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1.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omments1.xml" ContentType="application/vnd.openxmlformats-officedocument.spreadsheetml.comments+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drawings/drawing2.xml" ContentType="application/vnd.openxmlformats-officedocument.drawing+xml"/>
  <Override PartName="/xl/comments2.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3.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olatileDependencies.xml" ContentType="application/vnd.openxmlformats-officedocument.spreadsheetml.volatileDependenc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defaultThemeVersion="124226"/>
  <mc:AlternateContent xmlns:mc="http://schemas.openxmlformats.org/markup-compatibility/2006">
    <mc:Choice Requires="x15">
      <x15ac:absPath xmlns:x15ac="http://schemas.microsoft.com/office/spreadsheetml/2010/11/ac" url="\\firmwide.corp.gs.com\root\Projects\Research\au\Financials\BANKS\Models\Published\CBA\"/>
    </mc:Choice>
  </mc:AlternateContent>
  <xr:revisionPtr revIDLastSave="0" documentId="13_ncr:1_{6262D17E-7E37-4B04-BCFF-8A0FA9327E15}" xr6:coauthVersionLast="47" xr6:coauthVersionMax="47" xr10:uidLastSave="{00000000-0000-0000-0000-000000000000}"/>
  <bookViews>
    <workbookView xWindow="-120" yWindow="-120" windowWidth="38640" windowHeight="21240" firstSheet="6" activeTab="6" xr2:uid="{C6EEA79A-7C5B-4045-B6E6-F53844332B49}"/>
  </bookViews>
  <sheets>
    <sheet name="_QP_CBA.AX" sheetId="6" state="hidden" r:id="rId1"/>
    <sheet name="Cover Page" sheetId="22" state="hidden" r:id="rId2"/>
    <sheet name="Sheet2" sheetId="16" state="hidden" r:id="rId3"/>
    <sheet name="Sheet1" sheetId="15" state="hidden" r:id="rId4"/>
    <sheet name="MigrationOutput_QP_CBA.AX" sheetId="14" state="hidden" r:id="rId5"/>
    <sheet name="QP_CBA.AX_migrated" sheetId="8" state="hidden" r:id="rId6"/>
    <sheet name="Summary" sheetId="2" r:id="rId7"/>
    <sheet name="Model" sheetId="1" r:id="rId8"/>
    <sheet name="FinSum" sheetId="7" state="hidden" r:id="rId9"/>
    <sheet name="RIM" sheetId="17" state="hidden" r:id="rId10"/>
    <sheet name="Old" sheetId="4" state="hidden" r:id="rId11"/>
    <sheet name="Financial Summary" sheetId="23" r:id="rId12"/>
    <sheet name="Detailed P&amp;L" sheetId="24" r:id="rId13"/>
    <sheet name="WM and Life" sheetId="9" state="hidden" r:id="rId14"/>
  </sheets>
  <externalReferences>
    <externalReference r:id="rId15"/>
    <externalReference r:id="rId16"/>
    <externalReference r:id="rId17"/>
    <externalReference r:id="rId18"/>
    <externalReference r:id="rId19"/>
  </externalReferences>
  <definedNames>
    <definedName name="_bdm.3172d78025d0408fa037c96027ea1ea2.edm" hidden="1">'Financial Summary'!$1:$1048576</definedName>
    <definedName name="_bdm.87892ae4c9fd4427a0c130aebca073ca.edm" localSheetId="11" hidden="1">'Financial Summary'!$B$2:$O$57</definedName>
    <definedName name="_xleta.AVERAGE" hidden="1" xlm="1">#NAME?</definedName>
    <definedName name="_xleta.T" hidden="1" xlm="1">#NAME?</definedName>
    <definedName name="A_ALL_ANZ.AX" localSheetId="12">#REF!</definedName>
    <definedName name="A_ALL_ANZ.AX" localSheetId="11">#REF!</definedName>
    <definedName name="A_ALL_ANZ.AX">#REF!</definedName>
    <definedName name="A_ALL_ANZ.AX_">#REF!</definedName>
    <definedName name="A_ALL_CBA.AX" localSheetId="1">#REF!</definedName>
    <definedName name="A_ALL_CBA.AX">#REF!</definedName>
    <definedName name="A_ALL_CBA.AX_" localSheetId="1">#REF!</definedName>
    <definedName name="A_ALL_CBA.AX_">#REF!</definedName>
    <definedName name="A_ALL_KEYWORDS_TYPE_ScalarContributed_EQTY_200004992">#REF!,#REF!,#REF!,#REF!,#REF!,#REF!,#REF!,#REF!,#REF!,#REF!,#REF!</definedName>
    <definedName name="A_ALL_KEYWORDS_TYPE_ScalarContributed_EQTY_200004993">#REF!,#REF!,#REF!,#REF!,#REF!,#REF!,#REF!,#REF!,#REF!,#REF!,#REF!</definedName>
    <definedName name="A_ALL_KEYWORDS_TYPE_ScalarContributed_EQTY_200004995">#REF!,#REF!,#REF!,#REF!,#REF!,#REF!,#REF!,#REF!,#REF!,#REF!,#REF!</definedName>
    <definedName name="A_ALL_KEYWORDS_TYPE_ScalarContributed_ISSR_208005522">#REF!,#REF!</definedName>
    <definedName name="A_ALL_KEYWORDS_TYPE_ScalarContributed_ISSR_208005523" localSheetId="1">#REF!,#REF!,#REF!</definedName>
    <definedName name="A_ALL_KEYWORDS_TYPE_ScalarContributed_ISSR_208005523">#REF!,#REF!,#REF!</definedName>
    <definedName name="A_ALL_KEYWORDS_TYPE_ScalarContributed_ISSR_208005524">#REF!,#REF!,#REF!</definedName>
    <definedName name="A_ALL_KEYWORDS_TYPE_ScalarReference_EQTY_200004995">#REF!</definedName>
    <definedName name="A_ALL_KEYWORDS_TYPE_ScalarReference_ISSR_208005525">#REF!</definedName>
    <definedName name="A_ALL_KEYWORDS_TYPE_Vector_EQTY_200004992">#REF!,#REF!,#REF!,#REF!,#REF!,#REF!,#REF!,#REF!</definedName>
    <definedName name="A_ALL_KEYWORDS_TYPE_Vector_EQTY_200004993" localSheetId="1">#REF!,#REF!,#REF!,#REF!,#REF!,#REF!,#REF!,#REF!,#REF!,#REF!,#REF!,#REF!,#REF!</definedName>
    <definedName name="A_ALL_KEYWORDS_TYPE_Vector_EQTY_200004993">#REF!,#REF!,#REF!,#REF!,#REF!,#REF!,#REF!,#REF!,#REF!,#REF!,#REF!,#REF!,#REF!</definedName>
    <definedName name="A_ALL_KEYWORDS_TYPE_Vector_EQTY_200004994">#REF!,#REF!,#REF!,#REF!,#REF!,#REF!,#REF!,#REF!,#REF!,#REF!,#REF!,#REF!,#REF!</definedName>
    <definedName name="A_ALL_KEYWORDS_TYPE_Vector_ISSR_208005522">#REF!,#REF!,#REF!,#REF!,#REF!,#REF!,#REF!,#REF!,#REF!,#REF!,#REF!,#REF!,#REF!,#REF!,#REF!,#REF!,#REF!,#REF!,#REF!,#REF!,#REF!,#REF!,#REF!,#REF!,#REF!,#REF!,#REF!,#REF!,#REF!,#REF!</definedName>
    <definedName name="A_ALL_KEYWORDS_TYPE_Vector_ISSR_208005523" localSheetId="1">#REF!,#REF!,#REF!,#REF!,#REF!,#REF!,#REF!,#REF!,#REF!,#REF!,#REF!,#REF!,#REF!,#REF!,#REF!,#REF!,#REF!,#REF!,#REF!,#REF!,#REF!,#REF!,#REF!,#REF!,#REF!,#REF!,#REF!,#REF!</definedName>
    <definedName name="A_ALL_KEYWORDS_TYPE_Vector_ISSR_208005523">#REF!,#REF!,#REF!,#REF!,#REF!,#REF!,#REF!,#REF!,#REF!,#REF!,#REF!,#REF!,#REF!,#REF!,#REF!,#REF!,#REF!,#REF!,#REF!,#REF!,#REF!,#REF!,#REF!,#REF!,#REF!,#REF!,#REF!,#REF!</definedName>
    <definedName name="A_ALL_KEYWORDS_TYPE_Vector_ISSR_208005524">#REF!,#REF!,#REF!,#REF!,#REF!,#REF!,#REF!,#REF!,#REF!,#REF!,#REF!,#REF!,#REF!,#REF!,#REF!,#REF!,#REF!,#REF!,#REF!,#REF!,#REF!,#REF!,#REF!,#REF!,#REF!,#REF!,#REF!,#REF!</definedName>
    <definedName name="A_ALL_NAB.AX">#REF!</definedName>
    <definedName name="A_ALL_NAB.AX_">#REF!</definedName>
    <definedName name="A_ALL_PERIODS_WBC.AX">#REF!</definedName>
    <definedName name="A_ALL_SECTION_KEYWORDS_EQTY_200004992_1314">#REF!</definedName>
    <definedName name="A_ALL_SECTION_KEYWORDS_EQTY_200004992_1316A">#REF!</definedName>
    <definedName name="A_ALL_SECTION_KEYWORDS_EQTY_200004992_1316B">#REF!</definedName>
    <definedName name="A_ALL_SECTION_KEYWORDS_EQTY_200004992_1316C">#REF!</definedName>
    <definedName name="A_ALL_SECTION_KEYWORDS_EQTY_200004992_1316E">#REF!</definedName>
    <definedName name="A_ALL_SECTION_KEYWORDS_EQTY_200004992_1319">#REF!</definedName>
    <definedName name="A_ALL_SECTION_KEYWORDS_EQTY_200004992_131J">#REF!</definedName>
    <definedName name="A_ALL_SECTION_KEYWORDS_EQTY_200004992_131P">#REF!</definedName>
    <definedName name="A_ALL_SECTION_KEYWORDS_EQTY_200004992_13A">#REF!</definedName>
    <definedName name="A_ALL_SECTION_KEYWORDS_EQTY_200004992_13K">#REF!</definedName>
    <definedName name="A_ALL_SECTION_KEYWORDS_EQTY_200004992_13U">#REF!</definedName>
    <definedName name="A_ALL_SECTION_KEYWORDS_EQTY_200004992_13V">#REF!</definedName>
    <definedName name="A_ALL_SECTION_KEYWORDS_EQTY_200004992_13W">#REF!,#REF!</definedName>
    <definedName name="A_ALL_SECTION_KEYWORDS_EQTY_200004993_13A">#REF!</definedName>
    <definedName name="A_ALL_SECTION_KEYWORDS_EQTY_200004993_13K" localSheetId="1">#REF!</definedName>
    <definedName name="A_ALL_SECTION_KEYWORDS_EQTY_200004993_13K">#REF!</definedName>
    <definedName name="A_ALL_SECTION_KEYWORDS_EQTY_200004994_13K">#REF!</definedName>
    <definedName name="A_ALL_SECTION_KEYWORDS_EQTY_200004995_1314">#REF!</definedName>
    <definedName name="A_ALL_SECTION_KEYWORDS_EQTY_200004995_1316A">#REF!</definedName>
    <definedName name="A_ALL_SECTION_KEYWORDS_EQTY_200004995_1316B">#REF!</definedName>
    <definedName name="A_ALL_SECTION_KEYWORDS_EQTY_200004995_1316C">#REF!</definedName>
    <definedName name="A_ALL_SECTION_KEYWORDS_EQTY_200004995_1316E">#REF!</definedName>
    <definedName name="A_ALL_SECTION_KEYWORDS_EQTY_200004995_1319">#REF!</definedName>
    <definedName name="A_ALL_SECTION_KEYWORDS_EQTY_200004995_131J">#REF!</definedName>
    <definedName name="A_ALL_SECTION_KEYWORDS_EQTY_200004995_131O">#REF!</definedName>
    <definedName name="A_ALL_SECTION_KEYWORDS_EQTY_200004995_131P">#REF!</definedName>
    <definedName name="A_ALL_SECTION_KEYWORDS_EQTY_200004995_13A">#REF!</definedName>
    <definedName name="A_ALL_SECTION_KEYWORDS_EQTY_200004995_13U">#REF!</definedName>
    <definedName name="A_ALL_SECTION_KEYWORDS_EQTY_200004995_13V">#REF!</definedName>
    <definedName name="A_ALL_SECTION_KEYWORDS_EQTY_200004995_Reference_Data">#REF!</definedName>
    <definedName name="A_ALL_SECTION_KEYWORDS_ISSR_208005522_0918E">#REF!,#REF!</definedName>
    <definedName name="A_ALL_SECTION_KEYWORDS_ISSR_208005522_1314">#REF!</definedName>
    <definedName name="A_ALL_SECTION_KEYWORDS_ISSR_208005522_13168">#REF!,#REF!</definedName>
    <definedName name="A_ALL_SECTION_KEYWORDS_ISSR_208005522_1316B">#REF!</definedName>
    <definedName name="A_ALL_SECTION_KEYWORDS_ISSR_208005522_1316C">#REF!</definedName>
    <definedName name="A_ALL_SECTION_KEYWORDS_ISSR_208005522_1316E">#REF!</definedName>
    <definedName name="A_ALL_SECTION_KEYWORDS_ISSR_208005522_1316U">#REF!</definedName>
    <definedName name="A_ALL_SECTION_KEYWORDS_ISSR_208005522_1319">#REF!</definedName>
    <definedName name="A_ALL_SECTION_KEYWORDS_ISSR_208005522_131E">#REF!</definedName>
    <definedName name="A_ALL_SECTION_KEYWORDS_ISSR_208005522_131J">#REF!,#REF!</definedName>
    <definedName name="A_ALL_SECTION_KEYWORDS_ISSR_208005522_131O">#REF!</definedName>
    <definedName name="A_ALL_SECTION_KEYWORDS_ISSR_208005522_131P">#REF!</definedName>
    <definedName name="A_ALL_SECTION_KEYWORDS_ISSR_208005522_133M">#REF!</definedName>
    <definedName name="A_ALL_SECTION_KEYWORDS_ISSR_208005522_133R">#REF!</definedName>
    <definedName name="A_ALL_SECTION_KEYWORDS_ISSR_208005522_133W">#REF!</definedName>
    <definedName name="A_ALL_SECTION_KEYWORDS_ISSR_208005522_1341">#REF!</definedName>
    <definedName name="A_ALL_SECTION_KEYWORDS_ISSR_208005522_1346">#REF!</definedName>
    <definedName name="A_ALL_SECTION_KEYWORDS_ISSR_208005522_134B">#REF!</definedName>
    <definedName name="A_ALL_SECTION_KEYWORDS_ISSR_208005522_134G">#REF!</definedName>
    <definedName name="A_ALL_SECTION_KEYWORDS_ISSR_208005522_134L">#REF!</definedName>
    <definedName name="A_ALL_SECTION_KEYWORDS_ISSR_208005522_134Q">#REF!</definedName>
    <definedName name="A_ALL_SECTION_KEYWORDS_ISSR_208005522_134V">#REF!</definedName>
    <definedName name="A_ALL_SECTION_KEYWORDS_ISSR_208005522_1350">#REF!,#REF!</definedName>
    <definedName name="A_ALL_SECTION_KEYWORDS_ISSR_208005522_1355">#REF!,#REF!</definedName>
    <definedName name="A_ALL_SECTION_KEYWORDS_ISSR_208005522_135A">#REF!,#REF!</definedName>
    <definedName name="A_ALL_SECTION_KEYWORDS_ISSR_208005522_135F">#REF!,#REF!</definedName>
    <definedName name="A_ALL_SECTION_KEYWORDS_ISSR_208005522_135K">#REF!,#REF!</definedName>
    <definedName name="A_ALL_SECTION_KEYWORDS_ISSR_208005522_135P">#REF!</definedName>
    <definedName name="A_ALL_SECTION_KEYWORDS_ISSR_208005522_135U">#REF!,#REF!</definedName>
    <definedName name="A_ALL_SECTION_KEYWORDS_ISSR_208005522_135Z">#REF!,#REF!</definedName>
    <definedName name="A_ALL_SECTION_KEYWORDS_ISSR_208005522_13A">#REF!</definedName>
    <definedName name="A_ALL_SECTION_KEYWORDS_ISSR_208005522_13U">#REF!</definedName>
    <definedName name="A_ALL_SECTION_KEYWORDS_ISSR_208005522_13V">#REF!</definedName>
    <definedName name="A_ALL_SECTION_KEYWORDS_ISSR_208005523_1314" localSheetId="1">#REF!</definedName>
    <definedName name="A_ALL_SECTION_KEYWORDS_ISSR_208005523_1314">#REF!</definedName>
    <definedName name="A_ALL_SECTION_KEYWORDS_ISSR_208005523_1319" localSheetId="1">#REF!</definedName>
    <definedName name="A_ALL_SECTION_KEYWORDS_ISSR_208005523_1319">#REF!</definedName>
    <definedName name="A_ALL_SECTION_KEYWORDS_ISSR_208005523_131E" localSheetId="1">#REF!</definedName>
    <definedName name="A_ALL_SECTION_KEYWORDS_ISSR_208005523_131E">#REF!</definedName>
    <definedName name="A_ALL_SECTION_KEYWORDS_ISSR_208005523_13V" localSheetId="1">#REF!,#REF!</definedName>
    <definedName name="A_ALL_SECTION_KEYWORDS_ISSR_208005523_13V">#REF!,#REF!</definedName>
    <definedName name="A_ALL_SECTION_KEYWORDS_ISSR_208005524_1314">#REF!</definedName>
    <definedName name="A_ALL_SECTION_KEYWORDS_ISSR_208005524_1319">#REF!</definedName>
    <definedName name="A_ALL_SECTION_KEYWORDS_ISSR_208005524_131E">#REF!</definedName>
    <definedName name="A_ALL_SECTION_KEYWORDS_ISSR_208005524_13V">#REF!,#REF!</definedName>
    <definedName name="A_ALL_SECTION_KEYWORDS_ISSR_208005525_13168">#REF!</definedName>
    <definedName name="A_ALL_SECTION_KEYWORDS_ISSR_208005525_1316B">#REF!</definedName>
    <definedName name="A_ALL_SECTION_KEYWORDS_ISSR_208005525_1316C">#REF!</definedName>
    <definedName name="A_ALL_SECTION_KEYWORDS_ISSR_208005525_1316E">#REF!</definedName>
    <definedName name="A_ALL_SECTION_KEYWORDS_ISSR_208005525_1316T">#REF!</definedName>
    <definedName name="A_ALL_SECTION_KEYWORDS_ISSR_208005525_1316U">#REF!</definedName>
    <definedName name="A_ALL_SECTION_KEYWORDS_ISSR_208005525_131J">#REF!</definedName>
    <definedName name="A_ALL_SECTION_KEYWORDS_ISSR_208005525_131O">#REF!</definedName>
    <definedName name="A_ALL_SECTION_KEYWORDS_ISSR_208005525_131P">#REF!</definedName>
    <definedName name="A_ALL_SECTION_KEYWORDS_ISSR_208005525_133M">#REF!</definedName>
    <definedName name="A_ALL_SECTION_KEYWORDS_ISSR_208005525_133R">#REF!</definedName>
    <definedName name="A_ALL_SECTION_KEYWORDS_ISSR_208005525_133W">#REF!</definedName>
    <definedName name="A_ALL_SECTION_KEYWORDS_ISSR_208005525_1341">#REF!</definedName>
    <definedName name="A_ALL_SECTION_KEYWORDS_ISSR_208005525_1346">#REF!</definedName>
    <definedName name="A_ALL_SECTION_KEYWORDS_ISSR_208005525_134B">#REF!</definedName>
    <definedName name="A_ALL_SECTION_KEYWORDS_ISSR_208005525_134G">#REF!</definedName>
    <definedName name="A_ALL_SECTION_KEYWORDS_ISSR_208005525_134L">#REF!</definedName>
    <definedName name="A_ALL_SECTION_KEYWORDS_ISSR_208005525_134Q">#REF!</definedName>
    <definedName name="A_ALL_SECTION_KEYWORDS_ISSR_208005525_134V">#REF!</definedName>
    <definedName name="A_ALL_SECTION_KEYWORDS_ISSR_208005525_136E">#REF!</definedName>
    <definedName name="A_ALL_SECTION_KEYWORDS_ISSR_208005525_13A">#REF!</definedName>
    <definedName name="A_ALL_SECTION_KEYWORDS_ISSR_208005525_13U">#REF!</definedName>
    <definedName name="A_ALL_SECTION_KEYWORDS_ISSR_208005525_Reference_Data">#REF!</definedName>
    <definedName name="A_ALL_SECTIONS_EQTY_200004995">#REF!,#REF!,#REF!,#REF!,#REF!,#REF!,#REF!,#REF!,#REF!,#REF!,#REF!,#REF!,#REF!,#REF!</definedName>
    <definedName name="A_ALL_SECTIONS_ISSR_208005525">#REF!,#REF!,#REF!,#REF!,#REF!,#REF!,#REF!,#REF!,#REF!,#REF!,#REF!,#REF!,#REF!,#REF!,#REF!,#REF!,#REF!,#REF!,#REF!,#REF!,#REF!,#REF!,#REF!,#REF!,#REF!,#REF!,#REF!</definedName>
    <definedName name="A_ALL_WBC.AX">#REF!</definedName>
    <definedName name="A_ALL_WBC.AX_">#REF!</definedName>
    <definedName name="A_CURRENCY_EQTY_200004995_PRI">#REF!</definedName>
    <definedName name="A_CURRENCY_EQTY_200004995_PUB">#REF!</definedName>
    <definedName name="A_CURRENCY_EQTY_200004995_REP">#REF!</definedName>
    <definedName name="A_CURRENCY_ISSR_208005525_REP">#REF!</definedName>
    <definedName name="A_ENTITY_DATA_EQTY_200004995">#REF!</definedName>
    <definedName name="A_ENTITY_DATA_ISSR_208005525">#REF!</definedName>
    <definedName name="A_KEYWORD_EQTY_200004995_ANZ_CONVICTION">#REF!</definedName>
    <definedName name="A_KEYWORD_EQTY_200004995_ANZ_LIST">#REF!</definedName>
    <definedName name="A_KEYWORD_EQTY_200004995_ASSET_SALES_GAIN_LOSS">#REF!</definedName>
    <definedName name="A_KEYWORD_EQTY_200004995_AVG_ORD_SHOLDERS_EQUITY">#REF!</definedName>
    <definedName name="A_KEYWORD_EQTY_200004995_AVG_PREF_CAPITAL">#REF!</definedName>
    <definedName name="A_KEYWORD_EQTY_200004995_B_BS_L_GSEQUITY">#REF!</definedName>
    <definedName name="A_KEYWORD_EQTY_200004995_B_CAMELOT_BETA">#REF!</definedName>
    <definedName name="A_KEYWORD_EQTY_200004995_B_CAMELOT_CAGR_DPS">#REF!</definedName>
    <definedName name="A_KEYWORD_EQTY_200004995_B_CAMELOT_PB">#REF!</definedName>
    <definedName name="A_KEYWORD_EQTY_200004995_B_CAMELOT_PE">#REF!</definedName>
    <definedName name="A_KEYWORD_EQTY_200004995_B_FORECASTRANGE">#REF!</definedName>
    <definedName name="A_KEYWORD_EQTY_200004995_B_FORECASTYRS">#REF!</definedName>
    <definedName name="A_KEYWORD_EQTY_200004995_B_PL_GSBVPS">#REF!</definedName>
    <definedName name="A_KEYWORD_EQTY_200004995_B_PL_GSEPS">#REF!</definedName>
    <definedName name="A_KEYWORD_EQTY_200004995_B_PL_GSINCOME">#REF!</definedName>
    <definedName name="A_KEYWORD_EQTY_200004995_B_PL_PTASSOC">#REF!</definedName>
    <definedName name="A_KEYWORD_EQTY_200004995_B_RIM_BETA">#REF!</definedName>
    <definedName name="A_KEYWORD_EQTY_200004995_B_RIM_COE">#REF!</definedName>
    <definedName name="A_KEYWORD_EQTY_200004995_B_RIM_PB">#REF!</definedName>
    <definedName name="A_KEYWORD_EQTY_200004995_B_RIM_PE">#REF!</definedName>
    <definedName name="A_KEYWORD_EQTY_200004995_BASE_CASE_VAL_DCF">#REF!</definedName>
    <definedName name="A_KEYWORD_EQTY_200004995_BENEFITS_TAX_LOSSES">#REF!</definedName>
    <definedName name="A_KEYWORD_EQTY_200004995_BETA_ANALYST">#REF!</definedName>
    <definedName name="A_KEYWORD_EQTY_200004995_BVPS">#REF!</definedName>
    <definedName name="A_KEYWORD_EQTY_200004995_BVPS_PUB">#REF!</definedName>
    <definedName name="A_KEYWORD_EQTY_200004995_CASH_EARNINGS_COMPANY">#REF!</definedName>
    <definedName name="A_KEYWORD_EQTY_200004995_CATALYST1_DATE">#REF!</definedName>
    <definedName name="A_KEYWORD_EQTY_200004995_CATALYST1_EVENT">#REF!</definedName>
    <definedName name="A_KEYWORD_EQTY_200004995_CATALYST2_DATE">#REF!</definedName>
    <definedName name="A_KEYWORD_EQTY_200004995_CATALYST2_EVENT">#REF!</definedName>
    <definedName name="A_KEYWORD_EQTY_200004995_CATALYST3_DATE">#REF!</definedName>
    <definedName name="A_KEYWORD_EQTY_200004995_CATALYST3_EVENT">#REF!</definedName>
    <definedName name="A_KEYWORD_EQTY_200004995_CATALYST4_DATE">#REF!</definedName>
    <definedName name="A_KEYWORD_EQTY_200004995_CATALYST4_EVENT">#REF!</definedName>
    <definedName name="A_KEYWORD_EQTY_200004995_CATALYST5_DATE">#REF!</definedName>
    <definedName name="A_KEYWORD_EQTY_200004995_CATALYST5_EVENT">#REF!</definedName>
    <definedName name="A_KEYWORD_EQTY_200004995_CEEE_NDEBT">#REF!</definedName>
    <definedName name="A_KEYWORD_EQTY_200004995_COE">#REF!</definedName>
    <definedName name="A_KEYWORD_EQTY_200004995_COMMON_DIV_PAID">#REF!</definedName>
    <definedName name="A_KEYWORD_EQTY_200004995_CONVERTIBLE_NOTES">#REF!</definedName>
    <definedName name="A_KEYWORD_EQTY_200004995_COST_OF_EQUITY_DCF">#REF!</definedName>
    <definedName name="A_KEYWORD_EQTY_200004995_CUM_PRESENT_VAL_CASH_FLOWS_DCF">#REF!</definedName>
    <definedName name="A_KEYWORD_EQTY_200004995_CURRENCY_ISO">#REF!</definedName>
    <definedName name="A_KEYWORD_EQTY_200004995_DCF_CASH_FLOW">#REF!</definedName>
    <definedName name="A_KEYWORD_EQTY_200004995_DEBT_EQUITY">#REF!</definedName>
    <definedName name="A_KEYWORD_EQTY_200004995_DEBT_RISK_MARGIN_DCF">#REF!</definedName>
    <definedName name="A_KEYWORD_EQTY_200004995_DILUTE_NI_IMPAC">#REF!</definedName>
    <definedName name="A_KEYWORD_EQTY_200004995_DILUTE_SHARES">#REF!</definedName>
    <definedName name="A_KEYWORD_EQTY_200004995_DISCOUNT_FACTOR_DCF">#REF!</definedName>
    <definedName name="A_KEYWORD_EQTY_200004995_DPS">#REF!</definedName>
    <definedName name="A_KEYWORD_EQTY_200004995_DPS_PUB">#REF!</definedName>
    <definedName name="A_KEYWORD_EQTY_200004995_DPS_SPECIAL_PUB">#REF!</definedName>
    <definedName name="A_KEYWORD_EQTY_200004995_DRP_DISCOUNT">#REF!</definedName>
    <definedName name="A_KEYWORD_EQTY_200004995_DRP_PARTICIPATION">#REF!</definedName>
    <definedName name="A_KEYWORD_EQTY_200004995_EBIT_PUB">#REF!</definedName>
    <definedName name="A_KEYWORD_EQTY_200004995_EBITDA_PUB">#REF!</definedName>
    <definedName name="A_KEYWORD_EQTY_200004995_EFF_INT_RATE_IMPACT_POST_TAX">#REF!</definedName>
    <definedName name="A_KEYWORD_EQTY_200004995_EFPO">#REF!</definedName>
    <definedName name="A_KEYWORD_EQTY_200004995_EFPOWA">#REF!</definedName>
    <definedName name="A_KEYWORD_EQTY_200004995_EPS">#REF!</definedName>
    <definedName name="A_KEYWORD_EQTY_200004995_EPS_CONS_PUB">#REF!</definedName>
    <definedName name="A_KEYWORD_EQTY_200004995_EPS_FUL_DIL">#REF!</definedName>
    <definedName name="A_KEYWORD_EQTY_200004995_EPS_POST_BASIC">#REF!</definedName>
    <definedName name="A_KEYWORD_EQTY_200004995_EPS_PRE_GWILL">#REF!</definedName>
    <definedName name="A_KEYWORD_EQTY_200004995_EPS_PUB">#REF!</definedName>
    <definedName name="A_KEYWORD_EQTY_200004995_EPS_REPORTED">#REF!</definedName>
    <definedName name="A_KEYWORD_EQTY_200004995_EQ_PUB">#REF!</definedName>
    <definedName name="A_KEYWORD_EQTY_200004995_EQUITY_VALUE_DCF">#REF!</definedName>
    <definedName name="A_KEYWORD_EQTY_200004995_EV_ADJ_PUB">#REF!</definedName>
    <definedName name="A_KEYWORD_EQTY_200004995_FIN_INSTRUMENT_HEDGE_POST_TAX">#REF!</definedName>
    <definedName name="A_KEYWORD_EQTY_200004995_FINAL_DIV_AMOUNT">#REF!</definedName>
    <definedName name="A_KEYWORD_EQTY_200004995_FINAL_DIV_EXDATE">#REF!</definedName>
    <definedName name="A_KEYWORD_EQTY_200004995_FINAL_DIV_FRANK">#REF!</definedName>
    <definedName name="A_KEYWORD_EQTY_200004995_FINAL_DIV_TAXRATE">#REF!</definedName>
    <definedName name="A_KEYWORD_EQTY_200004995_FOREIGN_EXCHANGE_GAIN_LOSS">#REF!</definedName>
    <definedName name="A_KEYWORD_EQTY_200004995_FOREIGN_HOLDNG">#REF!</definedName>
    <definedName name="A_KEYWORD_EQTY_200004995_FRANK_TAX_RATE">#REF!</definedName>
    <definedName name="A_KEYWORD_EQTY_200004995_FRANKING">#REF!</definedName>
    <definedName name="A_KEYWORD_EQTY_200004995_FRANKING_ANZPUB">#REF!</definedName>
    <definedName name="A_KEYWORD_EQTY_200004995_FRANKING_SPECIAL_ANZPUB">#REF!</definedName>
    <definedName name="A_KEYWORD_EQTY_200004995_FREE_FLOAT">#REF!</definedName>
    <definedName name="A_KEYWORD_EQTY_200004995_FULLY_DIL_EPS">#REF!</definedName>
    <definedName name="A_KEYWORD_EQTY_200004995_GRTH_CAGR_TOT_ASSET_PROJECTED">#REF!</definedName>
    <definedName name="A_KEYWORD_EQTY_200004995_GRTH_CAGR_TOT_ASSET_TERMINAL">#REF!</definedName>
    <definedName name="A_KEYWORD_EQTY_200004995_GWILL_ASSET_IMP_CHG_POST_TAX">#REF!</definedName>
    <definedName name="A_KEYWORD_EQTY_200004995_IMP_CREDITS_PER_SHARE_DCF">#REF!</definedName>
    <definedName name="A_KEYWORD_EQTY_200004995_INC_MINORITY">#REF!</definedName>
    <definedName name="A_KEYWORD_EQTY_200004995_INCTAX_PL_ON_AB">#REF!</definedName>
    <definedName name="A_KEYWORD_EQTY_200004995_INCTAX_PL_POST_AB">#REF!</definedName>
    <definedName name="A_KEYWORD_EQTY_200004995_INT_DIV_AMOUNT">#REF!</definedName>
    <definedName name="A_KEYWORD_EQTY_200004995_INT_DIV_EXDATE">#REF!</definedName>
    <definedName name="A_KEYWORD_EQTY_200004995_INT_DIV_FRANK">#REF!</definedName>
    <definedName name="A_KEYWORD_EQTY_200004995_INT_DIV_TAXRATE">#REF!</definedName>
    <definedName name="A_KEYWORD_EQTY_200004995_Interim_Type">#REF!</definedName>
    <definedName name="A_KEYWORD_EQTY_200004995_INTRINSIC_PER_SHARE_VALUE_DCF">#REF!</definedName>
    <definedName name="A_KEYWORD_EQTY_200004995_LEGAL_RATING">#REF!</definedName>
    <definedName name="A_KEYWORD_EQTY_200004995_MARGIN_TAX_RATE">#REF!</definedName>
    <definedName name="A_KEYWORD_EQTY_200004995_MARKET_VALUE_OF_INVESTMENTS_DCF">#REF!</definedName>
    <definedName name="A_KEYWORD_EQTY_200004995_MINOR_EQUITY">#REF!</definedName>
    <definedName name="A_KEYWORD_EQTY_200004995_MINOR_NON_EQUITY">#REF!</definedName>
    <definedName name="A_KEYWORD_EQTY_200004995_MKT_EQ_RISK_PREM">#REF!</definedName>
    <definedName name="A_KEYWORD_EQTY_200004995_NET_DEBT_EX_LEASES_PUB">#REF!</definedName>
    <definedName name="A_KEYWORD_EQTY_200004995_NET_DEBT_NET_CASH_DCF">#REF!</definedName>
    <definedName name="A_KEYWORD_EQTY_200004995_NET_DEBT_PUB">#REF!</definedName>
    <definedName name="A_KEYWORD_EQTY_200004995_NET_EARNING">#REF!</definedName>
    <definedName name="A_KEYWORD_EQTY_200004995_NET_INC">#REF!</definedName>
    <definedName name="A_KEYWORD_EQTY_200004995_NET_PROFIT">#REF!</definedName>
    <definedName name="A_KEYWORD_EQTY_200004995_NET_TANGIBLE_ASSETS_ADJUSTED_NZ">#REF!</definedName>
    <definedName name="A_KEYWORD_EQTY_200004995_NI_CONS">#REF!</definedName>
    <definedName name="A_KEYWORD_EQTY_200004995_NI_PUB">#REF!</definedName>
    <definedName name="A_KEYWORD_EQTY_200004995_NI_REPT_PUB">#REF!</definedName>
    <definedName name="A_KEYWORD_EQTY_200004995_NON_OP_ADD">#REF!</definedName>
    <definedName name="A_KEYWORD_EQTY_200004995_NOPAT">#REF!</definedName>
    <definedName name="A_KEYWORD_EQTY_200004995_NOT_IN_USE">#REF!</definedName>
    <definedName name="A_KEYWORD_EQTY_200004995_NTA_PER_SHARE">#REF!</definedName>
    <definedName name="A_KEYWORD_EQTY_200004995_NUM_SH">#REF!</definedName>
    <definedName name="A_KEYWORD_EQTY_200004995_OPPL_ATAX_POST_AB">#REF!</definedName>
    <definedName name="A_KEYWORD_EQTY_200004995_OPTIONS">#REF!</definedName>
    <definedName name="A_KEYWORD_EQTY_200004995_OPTIONS_IN_MONEY">#REF!</definedName>
    <definedName name="A_KEYWORD_EQTY_200004995_OTH_ASSET_IMPAIR_CHG_POST_TAX">#REF!</definedName>
    <definedName name="A_KEYWORD_EQTY_200004995_OTHER_ABNORMAL_ITEMS">#REF!</definedName>
    <definedName name="A_KEYWORD_EQTY_200004995_OTHER_CAPITAL">#REF!</definedName>
    <definedName name="A_KEYWORD_EQTY_200004995_OTHER_IFRS_ADJUST_POST_TAX">#REF!</definedName>
    <definedName name="A_KEYWORD_EQTY_200004995_PARTLY_PAID_SHARES">#REF!</definedName>
    <definedName name="A_KEYWORD_EQTY_200004995_PERPETUITY_GROWTH_RATE_DCF">#REF!</definedName>
    <definedName name="A_KEYWORD_EQTY_200004995_PREFERENCE_SHARES">#REF!</definedName>
    <definedName name="A_KEYWORD_EQTY_200004995_PRESENT_VALUE_OF_CASH_FLOW_DCF">#REF!</definedName>
    <definedName name="A_KEYWORD_EQTY_200004995_PRI_TARG_METH">#REF!</definedName>
    <definedName name="A_KEYWORD_EQTY_200004995_PRI_TARG_MULT">#REF!</definedName>
    <definedName name="A_KEYWORD_EQTY_200004995_PRICE_CURRENCY_ISO">#REF!</definedName>
    <definedName name="A_KEYWORD_EQTY_200004995_PROF_ADJUST_EPS">#REF!</definedName>
    <definedName name="A_KEYWORD_EQTY_200004995_PROF_AT">#REF!</definedName>
    <definedName name="A_KEYWORD_EQTY_200004995_PROV_INC_TAX">#REF!</definedName>
    <definedName name="A_KEYWORD_EQTY_200004995_PTP_PUB">#REF!</definedName>
    <definedName name="A_KEYWORD_EQTY_200004995_PUB_CURRENCY_ISO">#REF!</definedName>
    <definedName name="A_KEYWORD_EQTY_200004995_RESTRUC_COSTS">#REF!</definedName>
    <definedName name="A_KEYWORD_EQTY_200004995_REVS_PUB">#REF!</definedName>
    <definedName name="A_KEYWORD_EQTY_200004995_RISK_ADJ_OPTION_VALUE_DCF">#REF!</definedName>
    <definedName name="A_KEYWORD_EQTY_200004995_RISK_FR_RATE">#REF!</definedName>
    <definedName name="A_KEYWORD_EQTY_200004995_RISK_TO_EARNINGS">#REF!</definedName>
    <definedName name="A_KEYWORD_EQTY_200004995_RISK_WEIGHTED_ASSET_APRA">#REF!</definedName>
    <definedName name="A_KEYWORD_EQTY_200004995_ROAA_PROJECTED">#REF!</definedName>
    <definedName name="A_KEYWORD_EQTY_200004995_ROCE_ANZ">#REF!</definedName>
    <definedName name="A_KEYWORD_EQTY_200004995_ROE_TERMINAL">#REF!</definedName>
    <definedName name="A_KEYWORD_EQTY_200004995_Security_Name">#REF!</definedName>
    <definedName name="A_KEYWORD_EQTY_200004995_SH">#REF!</definedName>
    <definedName name="A_KEYWORD_EQTY_200004995_SHOLDERS_EQUITY_MBRS">#REF!</definedName>
    <definedName name="A_KEYWORD_EQTY_200004995_STD_FREE_OP_CASH_FLOW_DCF">#REF!</definedName>
    <definedName name="A_KEYWORD_EQTY_200004995_TANG_BVPS">#REF!</definedName>
    <definedName name="A_KEYWORD_EQTY_200004995_TARGET_PRICE">#REF!</definedName>
    <definedName name="A_KEYWORD_EQTY_200004995_TARGET_PRICE_FUNDAMENTAL">#REF!</definedName>
    <definedName name="A_KEYWORD_EQTY_200004995_TARGET_PRICE_MA">#REF!</definedName>
    <definedName name="A_KEYWORD_EQTY_200004995_TAX_EXC">#REF!</definedName>
    <definedName name="A_KEYWORD_EQTY_200004995_TAX_RATE_DCF">#REF!</definedName>
    <definedName name="A_KEYWORD_EQTY_200004995_TBVPS_LAST">#REF!</definedName>
    <definedName name="A_KEYWORD_EQTY_200004995_TERMINAL_YEAR_DCF">#REF!</definedName>
    <definedName name="A_KEYWORD_EQTY_200004995_Ticker">#REF!</definedName>
    <definedName name="A_KEYWORD_EQTY_200004995_TOTAL_ANNUAL_DIV_AMOUNT">#REF!</definedName>
    <definedName name="A_KEYWORD_EQTY_200004995_TOTAL_CAPITAL_EFPO">#REF!</definedName>
    <definedName name="A_KEYWORD_EQTY_200004995_TOTAL_CAPITAL_EFPOWA">#REF!</definedName>
    <definedName name="A_KEYWORD_EQTY_200004995_TOTAL_IFRS_ADJUST_POST_TAX">#REF!</definedName>
    <definedName name="A_KEYWORD_EQTY_200004995_TP_PERIOD">#REF!</definedName>
    <definedName name="A_KEYWORD_EQTY_200004995_VALUATION_YEAR">#REF!</definedName>
    <definedName name="A_KEYWORD_EQTY_200004995_WACC_DCF">#REF!</definedName>
    <definedName name="A_KEYWORD_EQTY_200004995_YEAR_END_CAPITAL_EVA">#REF!</definedName>
    <definedName name="A_KEYWORD_ISSR_208005525_ACC_END_DATE">#REF!</definedName>
    <definedName name="A_KEYWORD_ISSR_208005525_ACCEPTANCES_ASSETS">#REF!</definedName>
    <definedName name="A_KEYWORD_ISSR_208005525_ACCEPTANCES_LIABS">#REF!</definedName>
    <definedName name="A_KEYWORD_ISSR_208005525_ACCRUAL">#REF!</definedName>
    <definedName name="A_KEYWORD_ISSR_208005525_AMORT_OF_INTANGIBLES">#REF!</definedName>
    <definedName name="A_KEYWORD_ISSR_208005525_AMORT_OF_INTANGIBLES_ADJ">#REF!</definedName>
    <definedName name="A_KEYWORD_ISSR_208005525_ASIA_ASS">#REF!</definedName>
    <definedName name="A_KEYWORD_ISSR_208005525_ASIA_OP">#REF!</definedName>
    <definedName name="A_KEYWORD_ISSR_208005525_ASIA_SALES">#REF!</definedName>
    <definedName name="A_KEYWORD_ISSR_208005525_ASSET_MISC">#REF!</definedName>
    <definedName name="A_KEYWORD_ISSR_208005525_ASSOCIATE">#REF!</definedName>
    <definedName name="A_KEYWORD_ISSR_208005525_AVG_ACCEPTANCES">#REF!</definedName>
    <definedName name="A_KEYWORD_ISSR_208005525_AVG_CAPITAL_EMPLOYED_ADJ">#REF!</definedName>
    <definedName name="A_KEYWORD_ISSR_208005525_AVG_GROSS_NON_PERF_ASSETS">#REF!</definedName>
    <definedName name="A_KEYWORD_ISSR_208005525_AVG_INT_BEARING_LIABS">#REF!</definedName>
    <definedName name="A_KEYWORD_ISSR_208005525_AVG_INT_EARN_ASSETS">#REF!</definedName>
    <definedName name="A_KEYWORD_ISSR_208005525_AVG_LOANS_ADVANCES">#REF!</definedName>
    <definedName name="A_KEYWORD_ISSR_208005525_AVG_NON_INT_BEARING_LIABS">#REF!</definedName>
    <definedName name="A_KEYWORD_ISSR_208005525_AVG_OTH_PROD_ASSETS">#REF!</definedName>
    <definedName name="A_KEYWORD_ISSR_208005525_AVG_OTHER_ASSETS">#REF!</definedName>
    <definedName name="A_KEYWORD_ISSR_208005525_AVG_OTHER_LIABS">#REF!</definedName>
    <definedName name="A_KEYWORD_ISSR_208005525_AVG_PROD_INT_EARN_ASSETS">#REF!</definedName>
    <definedName name="A_KEYWORD_ISSR_208005525_AVG_PROV_BAD_DEBT">#REF!</definedName>
    <definedName name="A_KEYWORD_ISSR_208005525_AVG_TOTAL_ASSETS">#REF!</definedName>
    <definedName name="A_KEYWORD_ISSR_208005525_AVG_YIELD_LOANS">#REF!</definedName>
    <definedName name="A_KEYWORD_ISSR_208005525_B_BS_A_DEBTTOT">#REF!</definedName>
    <definedName name="A_KEYWORD_ISSR_208005525_B_BS_A_LNBNK">#REF!</definedName>
    <definedName name="A_KEYWORD_ISSR_208005525_B_BS_A_NETLOANS">#REF!</definedName>
    <definedName name="A_KEYWORD_ISSR_208005525_B_BS_A_OTHINT1">#REF!</definedName>
    <definedName name="A_KEYWORD_ISSR_208005525_B_BS_A_PERIOD">#REF!</definedName>
    <definedName name="A_KEYWORD_ISSR_208005525_B_BS_L_BANKDEP">#REF!</definedName>
    <definedName name="A_KEYWORD_ISSR_208005525_B_BS_L_CUSTDEP">#REF!</definedName>
    <definedName name="A_KEYWORD_ISSR_208005525_B_BS_L_GSTANGEQ">#REF!</definedName>
    <definedName name="A_KEYWORD_ISSR_208005525_B_BS_L_PERIOD">#REF!</definedName>
    <definedName name="A_KEYWORD_ISSR_208005525_B_CA_B3T1RATIO">#REF!</definedName>
    <definedName name="A_KEYWORD_ISSR_208005525_B_CA_BISRATIO">#REF!</definedName>
    <definedName name="A_KEYWORD_ISSR_208005525_B_CA_CAPBASE">#REF!</definedName>
    <definedName name="A_KEYWORD_ISSR_208005525_B_CA_CORECAP">#REF!</definedName>
    <definedName name="A_KEYWORD_ISSR_208005525_B_CA_PREFCAP">#REF!</definedName>
    <definedName name="A_KEYWORD_ISSR_208005525_B_CA_RWA">#REF!</definedName>
    <definedName name="A_KEYWORD_ISSR_208005525_B_CA_T1CAP">#REF!</definedName>
    <definedName name="A_KEYWORD_ISSR_208005525_B_CA_T1RATIO">#REF!</definedName>
    <definedName name="A_KEYWORD_ISSR_208005525_B_CA_T2CAP">#REF!</definedName>
    <definedName name="A_KEYWORD_ISSR_208005525_B_CA_T2RATIO">#REF!</definedName>
    <definedName name="A_KEYWORD_ISSR_208005525_B_CAMELOT_SUST_ROE">#REF!</definedName>
    <definedName name="A_KEYWORD_ISSR_208005525_B_DE_DEMAND">#REF!</definedName>
    <definedName name="A_KEYWORD_ISSR_208005525_B_DE_OTHERS">#REF!</definedName>
    <definedName name="A_KEYWORD_ISSR_208005525_B_DE_TIME">#REF!</definedName>
    <definedName name="A_KEYWORD_ISSR_208005525_B_DE_TOTDEPOSIT">#REF!</definedName>
    <definedName name="A_KEYWORD_ISSR_208005525_B_GAIN_SALE_SEC">#REF!</definedName>
    <definedName name="A_KEYWORD_ISSR_208005525_B_IH_BKVALUE">#REF!</definedName>
    <definedName name="A_KEYWORD_ISSR_208005525_B_IH_MKTVALUE">#REF!</definedName>
    <definedName name="A_KEYWORD_ISSR_208005525_B_IH_PTAXVALUE">#REF!</definedName>
    <definedName name="A_KEYWORD_ISSR_208005525_B_IH_TAX">#REF!</definedName>
    <definedName name="A_KEYWORD_ISSR_208005525_B_IH_UNREALISE">#REF!</definedName>
    <definedName name="A_KEYWORD_ISSR_208005525_B_LB_COMMCL">#REF!</definedName>
    <definedName name="A_KEYWORD_ISSR_208005525_B_LB_CONSTRUCT">#REF!</definedName>
    <definedName name="A_KEYWORD_ISSR_208005525_B_LB_FINANCL">#REF!</definedName>
    <definedName name="A_KEYWORD_ISSR_208005525_B_LB_FINLEASE">#REF!</definedName>
    <definedName name="A_KEYWORD_ISSR_208005525_B_LB_GOVERNMT">#REF!</definedName>
    <definedName name="A_KEYWORD_ISSR_208005525_B_LB_GROSSLOANS">#REF!</definedName>
    <definedName name="A_KEYWORD_ISSR_208005525_B_LB_MORTG">#REF!</definedName>
    <definedName name="A_KEYWORD_ISSR_208005525_B_LB_OTHER">#REF!</definedName>
    <definedName name="A_KEYWORD_ISSR_208005525_B_LB_OTHLEND">#REF!</definedName>
    <definedName name="A_KEYWORD_ISSR_208005525_B_LB_OTHSECURE">#REF!</definedName>
    <definedName name="A_KEYWORD_ISSR_208005525_B_LB_OVSEASLEND">#REF!</definedName>
    <definedName name="A_KEYWORD_ISSR_208005525_B_LB_PERSON">#REF!</definedName>
    <definedName name="A_KEYWORD_ISSR_208005525_B_LB_TOTCORP">#REF!</definedName>
    <definedName name="A_KEYWORD_ISSR_208005525_B_LB_TOTPERSNL">#REF!</definedName>
    <definedName name="A_KEYWORD_ISSR_208005525_B_LT_DIV_PAYOUT">#REF!</definedName>
    <definedName name="A_KEYWORD_ISSR_208005525_B_MA_REPCOSTLIB">#REF!</definedName>
    <definedName name="A_KEYWORD_ISSR_208005525_B_MA_REPGYLD">#REF!</definedName>
    <definedName name="A_KEYWORD_ISSR_208005525_B_MA_REPIMPSPD">#REF!</definedName>
    <definedName name="A_KEYWORD_ISSR_208005525_B_MA_REPINTAST">#REF!</definedName>
    <definedName name="A_KEYWORD_ISSR_208005525_B_MA_REPINTLIB">#REF!</definedName>
    <definedName name="A_KEYWORD_ISSR_208005525_B_MA_REPNIM">#REF!</definedName>
    <definedName name="A_KEYWORD_ISSR_208005525_B_NPL_PROBLN">#REF!</definedName>
    <definedName name="A_KEYWORD_ISSR_208005525_B_NPL_TOTNPL">#REF!</definedName>
    <definedName name="A_KEYWORD_ISSR_208005525_B_PL_LOANPRV">#REF!</definedName>
    <definedName name="A_KEYWORD_ISSR_208005525_B_PL_NETINTINC">#REF!</definedName>
    <definedName name="A_KEYWORD_ISSR_208005525_B_PV_GLLRCUST">#REF!</definedName>
    <definedName name="A_KEYWORD_ISSR_208005525_B_PV_SLLRCUST">#REF!</definedName>
    <definedName name="A_KEYWORD_ISSR_208005525_B_PV_TOTLLRCUST">#REF!</definedName>
    <definedName name="A_KEYWORD_ISSR_208005525_BAL_MINO_INT">#REF!</definedName>
    <definedName name="A_KEYWORD_ISSR_208005525_BAL_OF_FRANK_CREDITS">#REF!</definedName>
    <definedName name="A_KEYWORD_ISSR_208005525_BONDS_NOTES_SUBORD_DEBT">#REF!</definedName>
    <definedName name="A_KEYWORD_ISSR_208005525_BRANCHES">#REF!</definedName>
    <definedName name="A_KEYWORD_ISSR_208005525_CAP_LEASES">#REF!</definedName>
    <definedName name="A_KEYWORD_ISSR_208005525_CASH_EQ">#REF!</definedName>
    <definedName name="A_KEYWORD_ISSR_208005525_COGS_PCT_ROW">#REF!</definedName>
    <definedName name="A_KEYWORD_ISSR_208005525_COGS_PCT_US">#REF!</definedName>
    <definedName name="A_KEYWORD_ISSR_208005525_COMMITMENTS">#REF!</definedName>
    <definedName name="A_KEYWORD_ISSR_208005525_CONTINGENCIES">#REF!</definedName>
    <definedName name="A_KEYWORD_ISSR_208005525_COST_OF_DEBT_DCF">#REF!</definedName>
    <definedName name="A_KEYWORD_ISSR_208005525_CURRENCY_ISO">#REF!</definedName>
    <definedName name="A_KEYWORD_ISSR_208005525_DEBT_SECUR">#REF!</definedName>
    <definedName name="A_KEYWORD_ISSR_208005525_DEBT_TO_EQUITY_MKT_VALUES_DCF">#REF!</definedName>
    <definedName name="A_KEYWORD_ISSR_208005525_DEFINED_BENEFIT_OBLIGATION">#REF!</definedName>
    <definedName name="A_KEYWORD_ISSR_208005525_DEFINED_BENEFIT_SURPLUS">#REF!</definedName>
    <definedName name="A_KEYWORD_ISSR_208005525_DEPR_ROU_ASSETS">#REF!</definedName>
    <definedName name="A_KEYWORD_ISSR_208005525_DEPREC">#REF!</definedName>
    <definedName name="A_KEYWORD_ISSR_208005525_DEVELOPMENT_VENTURES">#REF!</definedName>
    <definedName name="A_KEYWORD_ISSR_208005525_DIV_PAID">#REF!</definedName>
    <definedName name="A_KEYWORD_ISSR_208005525_DIVID_INC">#REF!</definedName>
    <definedName name="A_KEYWORD_ISSR_208005525_DOM_ASS">#REF!</definedName>
    <definedName name="A_KEYWORD_ISSR_208005525_DOM_OP">#REF!</definedName>
    <definedName name="A_KEYWORD_ISSR_208005525_DOM_SALES">#REF!</definedName>
    <definedName name="A_KEYWORD_ISSR_208005525_EBIT_UNDERLYING_PRE_GWILL">#REF!</definedName>
    <definedName name="A_KEYWORD_ISSR_208005525_EFFECT_INT_RATE_IMPACT_PRE_TAX">#REF!</definedName>
    <definedName name="A_KEYWORD_ISSR_208005525_EMER_ASS">#REF!</definedName>
    <definedName name="A_KEYWORD_ISSR_208005525_EMER_OP">#REF!</definedName>
    <definedName name="A_KEYWORD_ISSR_208005525_EMER_SALES">#REF!</definedName>
    <definedName name="A_KEYWORD_ISSR_208005525_EMPLOYEES">#REF!</definedName>
    <definedName name="A_KEYWORD_ISSR_208005525_EQ">#REF!</definedName>
    <definedName name="A_KEYWORD_ISSR_208005525_EQUIP_COSTS">#REF!</definedName>
    <definedName name="A_KEYWORD_ISSR_208005525_EUR_ASS">#REF!</definedName>
    <definedName name="A_KEYWORD_ISSR_208005525_EURO_OP">#REF!</definedName>
    <definedName name="A_KEYWORD_ISSR_208005525_EURO_SALES">#REF!</definedName>
    <definedName name="A_KEYWORD_ISSR_208005525_EXP_OIL_DERIV_NGLS_PLASTICS">#REF!</definedName>
    <definedName name="A_KEYWORD_ISSR_208005525_EXP_OIL_PETRO_FUEL">#REF!</definedName>
    <definedName name="A_KEYWORD_ISSR_208005525_FIN_INSTR_HEDGE_CURR_LIABILITY">#REF!</definedName>
    <definedName name="A_KEYWORD_ISSR_208005525_FIN_INSTRUMENT_HEDGE_PRE_TAX">#REF!</definedName>
    <definedName name="A_KEYWORD_ISSR_208005525_FIN_TRANS_INC">#REF!</definedName>
    <definedName name="A_KEYWORD_ISSR_208005525_FINANCE_SERVICES_INCOME">#REF!</definedName>
    <definedName name="A_KEYWORD_ISSR_208005525_FIX_ASS_INV">#REF!</definedName>
    <definedName name="A_KEYWORD_ISSR_208005525_FLOATING_PCT_LOCAL_DEBT">#REF!</definedName>
    <definedName name="A_KEYWORD_ISSR_208005525_FLOATING_PCT_LOCAL_DEBT_HEDGED">#REF!</definedName>
    <definedName name="A_KEYWORD_ISSR_208005525_FOREIGN_EXCH_INCOME">#REF!</definedName>
    <definedName name="A_KEYWORD_ISSR_208005525_FX_AUD_ASSUMPTION">#REF!</definedName>
    <definedName name="A_KEYWORD_ISSR_208005525_FX_AUD_NI_SENSITIVITY">#REF!</definedName>
    <definedName name="A_KEYWORD_ISSR_208005525_FX_EUR_ASSUMPTION">#REF!</definedName>
    <definedName name="A_KEYWORD_ISSR_208005525_FX_EUR_NI_SENSITIVITY">#REF!</definedName>
    <definedName name="A_KEYWORD_ISSR_208005525_FX_USD_ASSUMPTION">#REF!</definedName>
    <definedName name="A_KEYWORD_ISSR_208005525_FX_USD_NI_SENSITIVITY">#REF!</definedName>
    <definedName name="A_KEYWORD_ISSR_208005525_GEN_INS_INC">#REF!</definedName>
    <definedName name="A_KEYWORD_ISSR_208005525_GENERAL_PROV">#REF!</definedName>
    <definedName name="A_KEYWORD_ISSR_208005525_GENERAL_PROV_DOUBTFUL">#REF!</definedName>
    <definedName name="A_KEYWORD_ISSR_208005525_GOODWILL">#REF!</definedName>
    <definedName name="A_KEYWORD_ISSR_208005525_GOODWILL_AMORT">#REF!</definedName>
    <definedName name="A_KEYWORD_ISSR_208005525_GROSS_LOANS_ADVANCES">#REF!</definedName>
    <definedName name="A_KEYWORD_ISSR_208005525_GROSS_NON_ACCRUAL">#REF!</definedName>
    <definedName name="A_KEYWORD_ISSR_208005525_GROSS_OP_PROF">#REF!</definedName>
    <definedName name="A_KEYWORD_ISSR_208005525_GWILL_ASSET_IMPAIR_CHG_PRE_TAX">#REF!</definedName>
    <definedName name="A_KEYWORD_ISSR_208005525_HYBRID_DIST_PRE_TAX">#REF!</definedName>
    <definedName name="A_KEYWORD_ISSR_208005525_INS_CLAIMS">#REF!</definedName>
    <definedName name="A_KEYWORD_ISSR_208005525_INT_EARN_ASSETS">#REF!</definedName>
    <definedName name="A_KEYWORD_ISSR_208005525_INT_EXP">#REF!</definedName>
    <definedName name="A_KEYWORD_ISSR_208005525_INT_INC">#REF!</definedName>
    <definedName name="A_KEYWORD_ISSR_208005525_INV_SECUR">#REF!</definedName>
    <definedName name="A_KEYWORD_ISSR_208005525_INVESTMENT_SECS_INCOME">#REF!</definedName>
    <definedName name="A_KEYWORD_ISSR_208005525_INVESTMENTS">#REF!</definedName>
    <definedName name="A_KEYWORD_ISSR_208005525_Issuer_Name">#REF!</definedName>
    <definedName name="A_KEYWORD_ISSR_208005525_LABOUR">#REF!</definedName>
    <definedName name="A_KEYWORD_ISSR_208005525_LATAM_ASS">#REF!</definedName>
    <definedName name="A_KEYWORD_ISSR_208005525_LATAM_OP">#REF!</definedName>
    <definedName name="A_KEYWORD_ISSR_208005525_LATAM_SALES">#REF!</definedName>
    <definedName name="A_KEYWORD_ISSR_208005525_LEASE_ADOPT">#REF!</definedName>
    <definedName name="A_KEYWORD_ISSR_208005525_LEASE_INT_CHG">#REF!</definedName>
    <definedName name="A_KEYWORD_ISSR_208005525_LEASE_PAY">#REF!</definedName>
    <definedName name="A_KEYWORD_ISSR_208005525_LEASE_PRINCIPAL_CASH">#REF!</definedName>
    <definedName name="A_KEYWORD_ISSR_208005525_LENDING_FEES">#REF!</definedName>
    <definedName name="A_KEYWORD_ISSR_208005525_LIAB_MISC">#REF!</definedName>
    <definedName name="A_KEYWORD_ISSR_208005525_LIFE_INC">#REF!</definedName>
    <definedName name="A_KEYWORD_ISSR_208005525_LIFE_POLICY_ASS">#REF!</definedName>
    <definedName name="A_KEYWORD_ISSR_208005525_LIFE_POLICY_LIABS">#REF!</definedName>
    <definedName name="A_KEYWORD_ISSR_208005525_LIFE_SHARE">#REF!</definedName>
    <definedName name="A_KEYWORD_ISSR_208005525_LIQUID_ASSETS">#REF!</definedName>
    <definedName name="A_KEYWORD_ISSR_208005525_LOAN_CAPITAL">#REF!</definedName>
    <definedName name="A_KEYWORD_ISSR_208005525_LT_LEASE_LIAB">#REF!</definedName>
    <definedName name="A_KEYWORD_ISSR_208005525_MA_PROB">#REF!</definedName>
    <definedName name="A_KEYWORD_ISSR_208005525_MINOR_EQUITY_BS">#REF!</definedName>
    <definedName name="A_KEYWORD_ISSR_208005525_MINORITIES">#REF!</definedName>
    <definedName name="A_KEYWORD_ISSR_208005525_MONEY_TRANSFER_FEES">#REF!</definedName>
    <definedName name="A_KEYWORD_ISSR_208005525_MV_ASSOCIATES">#REF!</definedName>
    <definedName name="A_KEYWORD_ISSR_208005525_NAM_ASS">#REF!</definedName>
    <definedName name="A_KEYWORD_ISSR_208005525_NAM_OP">#REF!</definedName>
    <definedName name="A_KEYWORD_ISSR_208005525_NAM_SALES">#REF!</definedName>
    <definedName name="A_KEYWORD_ISSR_208005525_NET_ASSETS">#REF!</definedName>
    <definedName name="A_KEYWORD_ISSR_208005525_NET_DEBT">#REF!</definedName>
    <definedName name="A_KEYWORD_ISSR_208005525_NET_FEE">#REF!</definedName>
    <definedName name="A_KEYWORD_ISSR_208005525_NET_FIX_ASS">#REF!</definedName>
    <definedName name="A_KEYWORD_ISSR_208005525_NET_FREE_FUNDS">#REF!</definedName>
    <definedName name="A_KEYWORD_ISSR_208005525_NET_INTANG">#REF!</definedName>
    <definedName name="A_KEYWORD_ISSR_208005525_NET_OP_PROF">#REF!</definedName>
    <definedName name="A_KEYWORD_ISSR_208005525_NET_TANGIBLE_ASSETS">#REF!</definedName>
    <definedName name="A_KEYWORD_ISSR_208005525_NETCHGOFF_BS">#REF!</definedName>
    <definedName name="A_KEYWORD_ISSR_208005525_NEW_SPECIFIC_PROV">#REF!</definedName>
    <definedName name="A_KEYWORD_ISSR_208005525_NON_INT_INC">#REF!</definedName>
    <definedName name="A_KEYWORD_ISSR_208005525_OCCUPANCY_COSTS">#REF!</definedName>
    <definedName name="A_KEYWORD_ISSR_208005525_OP_COST">#REF!</definedName>
    <definedName name="A_KEYWORD_ISSR_208005525_OPPL_BTAX_POST_AB">#REF!</definedName>
    <definedName name="A_KEYWORD_ISSR_208005525_ORD_SH_FUND">#REF!</definedName>
    <definedName name="A_KEYWORD_ISSR_208005525_ORD_SHARE_CAPITAL">#REF!</definedName>
    <definedName name="A_KEYWORD_ISSR_208005525_OTH_ADMIN">#REF!</definedName>
    <definedName name="A_KEYWORD_ISSR_208005525_OTH_ASS">#REF!</definedName>
    <definedName name="A_KEYWORD_ISSR_208005525_OTH_ASSET">#REF!</definedName>
    <definedName name="A_KEYWORD_ISSR_208005525_OTH_COST">#REF!</definedName>
    <definedName name="A_KEYWORD_ISSR_208005525_OTH_COST_INC">#REF!</definedName>
    <definedName name="A_KEYWORD_ISSR_208005525_OTH_DACF_ADJ">#REF!</definedName>
    <definedName name="A_KEYWORD_ISSR_208005525_OTH_GCI_ADJ">#REF!</definedName>
    <definedName name="A_KEYWORD_ISSR_208005525_OTH_INC">#REF!</definedName>
    <definedName name="A_KEYWORD_ISSR_208005525_OTH_INTANG">#REF!</definedName>
    <definedName name="A_KEYWORD_ISSR_208005525_OTH_LIABS">#REF!</definedName>
    <definedName name="A_KEYWORD_ISSR_208005525_OTH_NONOP_EXP">#REF!</definedName>
    <definedName name="A_KEYWORD_ISSR_208005525_OTH_NONOP_INC">#REF!</definedName>
    <definedName name="A_KEYWORD_ISSR_208005525_OTH_OP">#REF!</definedName>
    <definedName name="A_KEYWORD_ISSR_208005525_OTH_PAY_LIABS">#REF!</definedName>
    <definedName name="A_KEYWORD_ISSR_208005525_OTH_PROVS">#REF!</definedName>
    <definedName name="A_KEYWORD_ISSR_208005525_OTH_SALES">#REF!</definedName>
    <definedName name="A_KEYWORD_ISSR_208005525_OTHER_ASSET_IMPAIR_CHG_PRE_TAX">#REF!</definedName>
    <definedName name="A_KEYWORD_ISSR_208005525_OTHER_EXPENSES">#REF!</definedName>
    <definedName name="A_KEYWORD_ISSR_208005525_OTHER_FEES">#REF!</definedName>
    <definedName name="A_KEYWORD_ISSR_208005525_OTHER_IFRS_ADJUST_PRE_TAX">#REF!</definedName>
    <definedName name="A_KEYWORD_ISSR_208005525_OTHER_INCOME">#REF!</definedName>
    <definedName name="A_KEYWORD_ISSR_208005525_OTHER_INTANGIBLES_DEPREC">#REF!</definedName>
    <definedName name="A_KEYWORD_ISSR_208005525_OTHER_INTANGIBLES_NON_DEPREC">#REF!</definedName>
    <definedName name="A_KEYWORD_ISSR_208005525_OTHER_STAFF_COSTS">#REF!</definedName>
    <definedName name="A_KEYWORD_ISSR_208005525_PCT_ASIA_ASS">#REF!</definedName>
    <definedName name="A_KEYWORD_ISSR_208005525_PCT_ASIA_OP">#REF!</definedName>
    <definedName name="A_KEYWORD_ISSR_208005525_PCT_ASIA_SALES">#REF!</definedName>
    <definedName name="A_KEYWORD_ISSR_208005525_PCT_DOM_ASS">#REF!</definedName>
    <definedName name="A_KEYWORD_ISSR_208005525_PCT_DOM_OP">#REF!</definedName>
    <definedName name="A_KEYWORD_ISSR_208005525_PCT_DOM_SALES">#REF!</definedName>
    <definedName name="A_KEYWORD_ISSR_208005525_PCT_EMER_ASS">#REF!</definedName>
    <definedName name="A_KEYWORD_ISSR_208005525_PCT_EMER_OP">#REF!</definedName>
    <definedName name="A_KEYWORD_ISSR_208005525_PCT_EMER_SALES">#REF!</definedName>
    <definedName name="A_KEYWORD_ISSR_208005525_PCT_EURO_ASS">#REF!</definedName>
    <definedName name="A_KEYWORD_ISSR_208005525_PCT_EURO_OP">#REF!</definedName>
    <definedName name="A_KEYWORD_ISSR_208005525_PCT_EURO_SALES">#REF!</definedName>
    <definedName name="A_KEYWORD_ISSR_208005525_PCT_LATAM_ASS">#REF!</definedName>
    <definedName name="A_KEYWORD_ISSR_208005525_PCT_LATAM_OP">#REF!</definedName>
    <definedName name="A_KEYWORD_ISSR_208005525_PCT_LATAM_SALES">#REF!</definedName>
    <definedName name="A_KEYWORD_ISSR_208005525_PCT_NAM_ASS">#REF!</definedName>
    <definedName name="A_KEYWORD_ISSR_208005525_PCT_NAM_OP">#REF!</definedName>
    <definedName name="A_KEYWORD_ISSR_208005525_PCT_NAM_SALES">#REF!</definedName>
    <definedName name="A_KEYWORD_ISSR_208005525_PCT_OTH_ASS">#REF!</definedName>
    <definedName name="A_KEYWORD_ISSR_208005525_PCT_OTH_OP">#REF!</definedName>
    <definedName name="A_KEYWORD_ISSR_208005525_PCT_OTH_SALES">#REF!</definedName>
    <definedName name="A_KEYWORD_ISSR_208005525_PERIOD_MILESTONE">#REF!</definedName>
    <definedName name="A_KEYWORD_ISSR_208005525_PERSONNEL">#REF!</definedName>
    <definedName name="A_KEYWORD_ISSR_208005525_PL_BTAX_ON_AB">#REF!</definedName>
    <definedName name="A_KEYWORD_ISSR_208005525_PRE_PAYMNTS">#REF!</definedName>
    <definedName name="A_KEYWORD_ISSR_208005525_PREF_SH">#REF!</definedName>
    <definedName name="A_KEYWORD_ISSR_208005525_PREF_SHARE_CAP">#REF!</definedName>
    <definedName name="A_KEYWORD_ISSR_208005525_PROF_BTE">#REF!</definedName>
    <definedName name="A_KEYWORD_ISSR_208005525_PROFIT_DEFBEN_PLAN_POST_TAX">#REF!</definedName>
    <definedName name="A_KEYWORD_ISSR_208005525_PROFIT_DEFBEN_PLAN_PRE_TAX">#REF!</definedName>
    <definedName name="A_KEYWORD_ISSR_208005525_PROFIT_ON_DISP">#REF!</definedName>
    <definedName name="A_KEYWORD_ISSR_208005525_PROV_BS">#REF!</definedName>
    <definedName name="A_KEYWORD_ISSR_208005525_PT_PROF">#REF!</definedName>
    <definedName name="A_KEYWORD_ISSR_208005525_RECOVERIES_BS">#REF!</definedName>
    <definedName name="A_KEYWORD_ISSR_208005525_RENTAL_INCOME">#REF!</definedName>
    <definedName name="A_KEYWORD_ISSR_208005525_RESERVES">#REF!</definedName>
    <definedName name="A_KEYWORD_ISSR_208005525_RETAIN_PROFIT_LOSS">#REF!</definedName>
    <definedName name="A_KEYWORD_ISSR_208005525_ROU_ASSET">#REF!</definedName>
    <definedName name="A_KEYWORD_ISSR_208005525_SALES">#REF!</definedName>
    <definedName name="A_KEYWORD_ISSR_208005525_SALES_ARGENTINA">#REF!</definedName>
    <definedName name="A_KEYWORD_ISSR_208005525_SALES_AUSTRA">#REF!</definedName>
    <definedName name="A_KEYWORD_ISSR_208005525_SALES_AUSTRIA">#REF!</definedName>
    <definedName name="A_KEYWORD_ISSR_208005525_SALES_BEL">#REF!</definedName>
    <definedName name="A_KEYWORD_ISSR_208005525_SALES_BRAZIL">#REF!</definedName>
    <definedName name="A_KEYWORD_ISSR_208005525_SALES_CANADA">#REF!</definedName>
    <definedName name="A_KEYWORD_ISSR_208005525_SALES_CEE">#REF!</definedName>
    <definedName name="A_KEYWORD_ISSR_208005525_SALES_CHILE">#REF!</definedName>
    <definedName name="A_KEYWORD_ISSR_208005525_SALES_CHINA">#REF!</definedName>
    <definedName name="A_KEYWORD_ISSR_208005525_SALES_COLOMBIA">#REF!</definedName>
    <definedName name="A_KEYWORD_ISSR_208005525_SALES_CONS">#REF!</definedName>
    <definedName name="A_KEYWORD_ISSR_208005525_SALES_EU_EX_UK">#REF!</definedName>
    <definedName name="A_KEYWORD_ISSR_208005525_SALES_FINAN">#REF!</definedName>
    <definedName name="A_KEYWORD_ISSR_208005525_SALES_FRA">#REF!</definedName>
    <definedName name="A_KEYWORD_ISSR_208005525_SALES_FX_AUD">#REF!</definedName>
    <definedName name="A_KEYWORD_ISSR_208005525_SALES_FX_BRL">#REF!</definedName>
    <definedName name="A_KEYWORD_ISSR_208005525_SALES_FX_CNY">#REF!</definedName>
    <definedName name="A_KEYWORD_ISSR_208005525_SALES_FX_EUR">#REF!</definedName>
    <definedName name="A_KEYWORD_ISSR_208005525_SALES_FX_GPB">#REF!</definedName>
    <definedName name="A_KEYWORD_ISSR_208005525_SALES_FX_INR">#REF!</definedName>
    <definedName name="A_KEYWORD_ISSR_208005525_SALES_FX_NZD">#REF!</definedName>
    <definedName name="A_KEYWORD_ISSR_208005525_SALES_FX_OTH">#REF!</definedName>
    <definedName name="A_KEYWORD_ISSR_208005525_SALES_FX_RUB">#REF!</definedName>
    <definedName name="A_KEYWORD_ISSR_208005525_SALES_FX_USD">#REF!</definedName>
    <definedName name="A_KEYWORD_ISSR_208005525_SALES_FX_YEN">#REF!</definedName>
    <definedName name="A_KEYWORD_ISSR_208005525_SALES_GER">#REF!</definedName>
    <definedName name="A_KEYWORD_ISSR_208005525_SALES_GOV">#REF!</definedName>
    <definedName name="A_KEYWORD_ISSR_208005525_SALES_GRE">#REF!</definedName>
    <definedName name="A_KEYWORD_ISSR_208005525_SALES_HONG_KONG">#REF!</definedName>
    <definedName name="A_KEYWORD_ISSR_208005525_SALES_IND">#REF!</definedName>
    <definedName name="A_KEYWORD_ISSR_208005525_SALES_INDIA">#REF!</definedName>
    <definedName name="A_KEYWORD_ISSR_208005525_SALES_INDONESIA">#REF!</definedName>
    <definedName name="A_KEYWORD_ISSR_208005525_SALES_IRE">#REF!</definedName>
    <definedName name="A_KEYWORD_ISSR_208005525_SALES_ITA">#REF!</definedName>
    <definedName name="A_KEYWORD_ISSR_208005525_SALES_JAPAN">#REF!</definedName>
    <definedName name="A_KEYWORD_ISSR_208005525_SALES_ME">#REF!</definedName>
    <definedName name="A_KEYWORD_ISSR_208005525_SALES_MEXICO">#REF!</definedName>
    <definedName name="A_KEYWORD_ISSR_208005525_SALES_NETH">#REF!</definedName>
    <definedName name="A_KEYWORD_ISSR_208005525_SALES_NIGERIA">#REF!</definedName>
    <definedName name="A_KEYWORD_ISSR_208005525_SALES_NOR">#REF!</definedName>
    <definedName name="A_KEYWORD_ISSR_208005525_SALES_NZ">#REF!</definedName>
    <definedName name="A_KEYWORD_ISSR_208005525_SALES_OIL_GAS">#REF!</definedName>
    <definedName name="A_KEYWORD_ISSR_208005525_SALES_OTH_AEJ">#REF!</definedName>
    <definedName name="A_KEYWORD_ISSR_208005525_SALES_OTH_AFRICA">#REF!</definedName>
    <definedName name="A_KEYWORD_ISSR_208005525_SALES_OTH_AM">#REF!</definedName>
    <definedName name="A_KEYWORD_ISSR_208005525_SALES_OTH_CEE">#REF!</definedName>
    <definedName name="A_KEYWORD_ISSR_208005525_SALES_OTH_DEV_ASIA">#REF!</definedName>
    <definedName name="A_KEYWORD_ISSR_208005525_SALES_OTH_EMEA">#REF!</definedName>
    <definedName name="A_KEYWORD_ISSR_208005525_SALES_OTH_EMERG_ASIA">#REF!</definedName>
    <definedName name="A_KEYWORD_ISSR_208005525_SALES_OTH_LATAM">#REF!</definedName>
    <definedName name="A_KEYWORD_ISSR_208005525_SALES_OTH_ME">#REF!</definedName>
    <definedName name="A_KEYWORD_ISSR_208005525_SALES_OTH_NO_AMER">#REF!</definedName>
    <definedName name="A_KEYWORD_ISSR_208005525_SALES_OTH_WEST_EURO">#REF!</definedName>
    <definedName name="A_KEYWORD_ISSR_208005525_SALES_OTHER">#REF!</definedName>
    <definedName name="A_KEYWORD_ISSR_208005525_SALES_POLAND">#REF!</definedName>
    <definedName name="A_KEYWORD_ISSR_208005525_SALES_POR">#REF!</definedName>
    <definedName name="A_KEYWORD_ISSR_208005525_SALES_RUSSIA">#REF!</definedName>
    <definedName name="A_KEYWORD_ISSR_208005525_SALES_SAUDI_ARABIA">#REF!</definedName>
    <definedName name="A_KEYWORD_ISSR_208005525_SALES_SINGAPORE">#REF!</definedName>
    <definedName name="A_KEYWORD_ISSR_208005525_SALES_SK">#REF!</definedName>
    <definedName name="A_KEYWORD_ISSR_208005525_SALES_SO_AFRICA">#REF!</definedName>
    <definedName name="A_KEYWORD_ISSR_208005525_SALES_SPA">#REF!</definedName>
    <definedName name="A_KEYWORD_ISSR_208005525_SALES_SWE">#REF!</definedName>
    <definedName name="A_KEYWORD_ISSR_208005525_SALES_SWIT">#REF!</definedName>
    <definedName name="A_KEYWORD_ISSR_208005525_SALES_TAIWAN">#REF!</definedName>
    <definedName name="A_KEYWORD_ISSR_208005525_SALES_THAILAND">#REF!</definedName>
    <definedName name="A_KEYWORD_ISSR_208005525_SALES_TOT_AFRICA">#REF!</definedName>
    <definedName name="A_KEYWORD_ISSR_208005525_SALES_TOT_AM">#REF!</definedName>
    <definedName name="A_KEYWORD_ISSR_208005525_SALES_TOT_ASIA">#REF!</definedName>
    <definedName name="A_KEYWORD_ISSR_208005525_SALES_TOT_EMEA">#REF!</definedName>
    <definedName name="A_KEYWORD_ISSR_208005525_SALES_TURKEY">#REF!</definedName>
    <definedName name="A_KEYWORD_ISSR_208005525_SALES_UAE">#REF!</definedName>
    <definedName name="A_KEYWORD_ISSR_208005525_SALES_UK">#REF!</definedName>
    <definedName name="A_KEYWORD_ISSR_208005525_SALES_US">#REF!</definedName>
    <definedName name="A_KEYWORD_ISSR_208005525_SALES_VENEZUELA">#REF!</definedName>
    <definedName name="A_KEYWORD_ISSR_208005525_SEL_GL_AD_OTHER">#REF!</definedName>
    <definedName name="A_KEYWORD_ISSR_208005525_SGA_PCT_ROW">#REF!</definedName>
    <definedName name="A_KEYWORD_ISSR_208005525_SGA_PCT_US">#REF!</definedName>
    <definedName name="A_KEYWORD_ISSR_208005525_SHARE_BASED_PAYMENTS">#REF!</definedName>
    <definedName name="A_KEYWORD_ISSR_208005525_SPECIFIC_PROV_DOUBTFUL">#REF!</definedName>
    <definedName name="A_KEYWORD_ISSR_208005525_ST_LEASE_LIAB">#REF!</definedName>
    <definedName name="A_KEYWORD_ISSR_208005525_SUB_ORD_LIABS">#REF!</definedName>
    <definedName name="A_KEYWORD_ISSR_208005525_TOT_ASS">#REF!</definedName>
    <definedName name="A_KEYWORD_ISSR_208005525_TOT_ASSET">#REF!</definedName>
    <definedName name="A_KEYWORD_ISSR_208005525_TOT_EXCEPTS">#REF!</definedName>
    <definedName name="A_KEYWORD_ISSR_208005525_TOT_LIAB">#REF!</definedName>
    <definedName name="A_KEYWORD_ISSR_208005525_TOT_LIAB_EQ">#REF!</definedName>
    <definedName name="A_KEYWORD_ISSR_208005525_TOT_OP">#REF!</definedName>
    <definedName name="A_KEYWORD_ISSR_208005525_TOT_PCT_USD_DEBT_HEDGED">#REF!</definedName>
    <definedName name="A_KEYWORD_ISSR_208005525_TOT_PROVS">#REF!</definedName>
    <definedName name="A_KEYWORD_ISSR_208005525_TOT_SALES">#REF!</definedName>
    <definedName name="A_KEYWORD_ISSR_208005525_TOT_USD_DEBT">#REF!</definedName>
    <definedName name="A_KEYWORD_ISSR_208005525_TOTAL_CAPITAL_EMPLOYED_ADJ">#REF!</definedName>
    <definedName name="A_KEYWORD_ISSR_208005525_TOTAL_DEPREC_AMORT">#REF!</definedName>
    <definedName name="A_KEYWORD_ISSR_208005525_TOTAL_IFRS_ADJUST_PRE_TAX">#REF!</definedName>
    <definedName name="A_KEYWORD_ISSR_208005525_TRADING_SECS_INCOME">#REF!</definedName>
    <definedName name="A_KEYWORD_ISSR_208005525_UNEARNED_INCOME">#REF!</definedName>
    <definedName name="A_KEYWORD_ISSR_208005525_UNF_PENS">#REF!</definedName>
    <definedName name="A_KEYWORD_ISSR_208005525_UNF_PENS_LIAB_OTH">#REF!</definedName>
    <definedName name="A_KEYWORD_ISSR_208005525_UNF_PENS_OFF">#REF!</definedName>
    <definedName name="A_KEYWORD_ISSR_208005525_WRITE_OFFS_BS">#REF!</definedName>
    <definedName name="A_KEYWORD_ISSR_208005525_WRITEBACK_RECOVERIES">#REF!</definedName>
    <definedName name="A_LIVEDATA_EQTY_200004995">#REF!</definedName>
    <definedName name="A_LIVEDATA_ISSR_208005525">#REF!</definedName>
    <definedName name="A_PERIOD_2006">#REF!</definedName>
    <definedName name="A_PERIOD_2007">#REF!</definedName>
    <definedName name="A_PERIOD_2008">#REF!</definedName>
    <definedName name="A_PERIOD_2009">#REF!</definedName>
    <definedName name="A_PERIOD_2010">#REF!</definedName>
    <definedName name="A_PERIOD_2011">#REF!</definedName>
    <definedName name="A_PERIOD_2012">#REF!</definedName>
    <definedName name="A_PERIOD_2013">#REF!</definedName>
    <definedName name="A_PERIOD_2014">#REF!</definedName>
    <definedName name="A_PERIOD_2014_H1">#REF!</definedName>
    <definedName name="A_PERIOD_2014_H2">#REF!</definedName>
    <definedName name="A_PERIOD_2015">#REF!</definedName>
    <definedName name="A_PERIOD_2015_H1">#REF!</definedName>
    <definedName name="A_PERIOD_2015_H2">#REF!</definedName>
    <definedName name="A_PERIOD_2016">#REF!</definedName>
    <definedName name="A_PERIOD_2016_H1">#REF!</definedName>
    <definedName name="A_PERIOD_2016_H2">#REF!</definedName>
    <definedName name="A_PERIOD_2017">#REF!</definedName>
    <definedName name="A_PERIOD_2017_H1">#REF!</definedName>
    <definedName name="A_PERIOD_2017_H2">#REF!</definedName>
    <definedName name="A_PERIOD_2018">#REF!</definedName>
    <definedName name="A_PERIOD_2018_H1">#REF!</definedName>
    <definedName name="A_PERIOD_2018_H2">#REF!</definedName>
    <definedName name="A_PERIOD_2019">#REF!</definedName>
    <definedName name="A_PERIOD_2019_H1">#REF!</definedName>
    <definedName name="A_PERIOD_2019_H2">#REF!</definedName>
    <definedName name="A_PERIOD_2020">#REF!</definedName>
    <definedName name="A_PERIOD_2020_H1">#REF!</definedName>
    <definedName name="A_PERIOD_2020_H2">#REF!</definedName>
    <definedName name="A_PERIOD_2021">#REF!</definedName>
    <definedName name="A_PERIOD_2021_H1">#REF!</definedName>
    <definedName name="A_PERIOD_2021_H2">#REF!</definedName>
    <definedName name="A_PERIOD_2022">#REF!</definedName>
    <definedName name="A_PERIOD_2022_H1">#REF!</definedName>
    <definedName name="A_PERIOD_2022_H2">#REF!</definedName>
    <definedName name="A_PERIOD_2023">#REF!</definedName>
    <definedName name="A_PERIOD_2023_H1">#REF!</definedName>
    <definedName name="A_PERIOD_2023_H2">#REF!</definedName>
    <definedName name="A_PERIOD_2024">#REF!</definedName>
    <definedName name="A_PERIOD_2024_H1">#REF!</definedName>
    <definedName name="A_PERIOD_2024_H2">#REF!</definedName>
    <definedName name="A_PERIOD_2025">#REF!</definedName>
    <definedName name="A_PERIOD_2025_H1">#REF!</definedName>
    <definedName name="A_PERIOD_2025_H2">#REF!</definedName>
    <definedName name="A_PERIOD_2026">#REF!</definedName>
    <definedName name="A_SECTION_EQTY_200004995_1314">#REF!</definedName>
    <definedName name="A_SECTION_EQTY_200004995_1316A">#REF!</definedName>
    <definedName name="A_SECTION_EQTY_200004995_1316B">#REF!</definedName>
    <definedName name="A_SECTION_EQTY_200004995_1316C">#REF!</definedName>
    <definedName name="A_SECTION_EQTY_200004995_1316E">#REF!</definedName>
    <definedName name="A_SECTION_EQTY_200004995_1319">#REF!</definedName>
    <definedName name="A_SECTION_EQTY_200004995_131J">#REF!</definedName>
    <definedName name="A_SECTION_EQTY_200004995_131O">#REF!</definedName>
    <definedName name="A_SECTION_EQTY_200004995_131P">#REF!</definedName>
    <definedName name="A_SECTION_EQTY_200004995_13A">#REF!</definedName>
    <definedName name="A_SECTION_EQTY_200004995_13K">#REF!</definedName>
    <definedName name="A_SECTION_EQTY_200004995_13U">#REF!</definedName>
    <definedName name="A_SECTION_EQTY_200004995_13V">#REF!</definedName>
    <definedName name="A_SECTION_EQTY_200004995_Reference_Data">#REF!</definedName>
    <definedName name="A_SECTION_ISSR_208005525_1314">#REF!</definedName>
    <definedName name="A_SECTION_ISSR_208005525_13168">#REF!</definedName>
    <definedName name="A_SECTION_ISSR_208005525_1316B">#REF!</definedName>
    <definedName name="A_SECTION_ISSR_208005525_1316C">#REF!</definedName>
    <definedName name="A_SECTION_ISSR_208005525_1316E">#REF!</definedName>
    <definedName name="A_SECTION_ISSR_208005525_1316T">#REF!</definedName>
    <definedName name="A_SECTION_ISSR_208005525_1316U">#REF!</definedName>
    <definedName name="A_SECTION_ISSR_208005525_1319">#REF!</definedName>
    <definedName name="A_SECTION_ISSR_208005525_131E">#REF!</definedName>
    <definedName name="A_SECTION_ISSR_208005525_131J">#REF!</definedName>
    <definedName name="A_SECTION_ISSR_208005525_131O">#REF!</definedName>
    <definedName name="A_SECTION_ISSR_208005525_131P">#REF!</definedName>
    <definedName name="A_SECTION_ISSR_208005525_133M">#REF!</definedName>
    <definedName name="A_SECTION_ISSR_208005525_133R">#REF!</definedName>
    <definedName name="A_SECTION_ISSR_208005525_133W">#REF!</definedName>
    <definedName name="A_SECTION_ISSR_208005525_1341">#REF!</definedName>
    <definedName name="A_SECTION_ISSR_208005525_1346">#REF!</definedName>
    <definedName name="A_SECTION_ISSR_208005525_134B">#REF!</definedName>
    <definedName name="A_SECTION_ISSR_208005525_134G">#REF!</definedName>
    <definedName name="A_SECTION_ISSR_208005525_134L">#REF!</definedName>
    <definedName name="A_SECTION_ISSR_208005525_134Q">#REF!</definedName>
    <definedName name="A_SECTION_ISSR_208005525_134V">#REF!</definedName>
    <definedName name="A_SECTION_ISSR_208005525_136E">#REF!</definedName>
    <definedName name="A_SECTION_ISSR_208005525_13A">#REF!</definedName>
    <definedName name="A_SECTION_ISSR_208005525_13U">#REF!</definedName>
    <definedName name="A_SECTION_ISSR_208005525_13V">#REF!</definedName>
    <definedName name="A_SECTION_ISSR_208005525_Reference_Data">#REF!</definedName>
    <definedName name="A_TEMPLATEHASH">#REF!</definedName>
    <definedName name="AAA">#REF!</definedName>
    <definedName name="AAAA">#REF!</definedName>
    <definedName name="AAAAA">#REF!</definedName>
    <definedName name="asset_sales" localSheetId="5">#REF!</definedName>
    <definedName name="asset_sales">#REF!</definedName>
    <definedName name="assets_acceptances" localSheetId="12">#REF!</definedName>
    <definedName name="assets_acceptances" localSheetId="11">#REF!</definedName>
    <definedName name="assets_acceptances" localSheetId="5">#REF!</definedName>
    <definedName name="assets_acceptances">Model!$201:$201</definedName>
    <definedName name="assets_life">#REF!</definedName>
    <definedName name="assets_total" localSheetId="1">[1]Model!$182:$182</definedName>
    <definedName name="assets_total" localSheetId="12">[1]Model!$182:$182</definedName>
    <definedName name="assets_total" localSheetId="11">[1]Model!$182:$182</definedName>
    <definedName name="assets_total" localSheetId="5">#REF!</definedName>
    <definedName name="assets_total" localSheetId="13">Model!$212:$212</definedName>
    <definedName name="assets_total">#REF!</definedName>
    <definedName name="Aust_housing" localSheetId="1">[1]Model!$267:$267</definedName>
    <definedName name="Aust_housing" localSheetId="12">[1]Model!$267:$267</definedName>
    <definedName name="Aust_housing" localSheetId="11">[1]Model!$267:$267</definedName>
    <definedName name="Aust_housing" localSheetId="5">#REF!</definedName>
    <definedName name="Aust_housing">#REF!</definedName>
    <definedName name="Aust_nonhousing" localSheetId="5">#REF!</definedName>
    <definedName name="Aust_nonhousing">#REF!</definedName>
    <definedName name="Aust_Risk_Free" localSheetId="12">#REF!</definedName>
    <definedName name="Aust_Risk_Free" localSheetId="11">#REF!</definedName>
    <definedName name="Aust_Risk_Free" localSheetId="5">#REF!</definedName>
    <definedName name="Aust_Risk_Free">#REF!</definedName>
    <definedName name="average_assets" localSheetId="1">[1]Model!$312:$312</definedName>
    <definedName name="average_assets" localSheetId="12">[1]Model!$312:$312</definedName>
    <definedName name="average_assets" localSheetId="11">[1]Model!$312:$312</definedName>
    <definedName name="average_assets" localSheetId="5">#REF!</definedName>
    <definedName name="average_assets" localSheetId="13">Model!$331:$331</definedName>
    <definedName name="average_assets">#REF!</definedName>
    <definedName name="average_equity" localSheetId="1">[1]Model!$335:$335</definedName>
    <definedName name="average_equity" localSheetId="12">[1]Model!$335:$335</definedName>
    <definedName name="average_equity" localSheetId="11">[1]Model!$335:$335</definedName>
    <definedName name="average_equity" localSheetId="5">#REF!</definedName>
    <definedName name="average_equity" localSheetId="13">Model!$353:$353</definedName>
    <definedName name="average_equity">#REF!</definedName>
    <definedName name="average_gross_loans" localSheetId="1">[1]Model!$306:$306</definedName>
    <definedName name="average_gross_loans" localSheetId="12">[1]Model!$306:$306</definedName>
    <definedName name="average_gross_loans" localSheetId="11">[1]Model!$306:$306</definedName>
    <definedName name="average_gross_loans" localSheetId="5">#REF!</definedName>
    <definedName name="average_gross_loans" localSheetId="13">Model!$324:$324</definedName>
    <definedName name="average_gross_loans">#REF!</definedName>
    <definedName name="average_interest_assets" localSheetId="12">#REF!</definedName>
    <definedName name="average_interest_assets" localSheetId="11">#REF!</definedName>
    <definedName name="average_interest_assets" localSheetId="5">#REF!</definedName>
    <definedName name="average_interest_assets">Model!$327:$327</definedName>
    <definedName name="average_interest_liabilities" localSheetId="12">#REF!</definedName>
    <definedName name="average_interest_liabilities" localSheetId="11">#REF!</definedName>
    <definedName name="average_interest_liabilities" localSheetId="5">#REF!</definedName>
    <definedName name="average_interest_liabilities">Model!$336:$336</definedName>
    <definedName name="average_liabilities">#REF!</definedName>
    <definedName name="Average_securitised_assets">Model!$329:$329</definedName>
    <definedName name="avereage_noninterest_assets">Model!$330:$330</definedName>
    <definedName name="bank_period">#REF!</definedName>
    <definedName name="Beta" localSheetId="5">#REF!</definedName>
    <definedName name="Beta" localSheetId="13">#REF!</definedName>
    <definedName name="Beta">#REF!</definedName>
    <definedName name="BeyondFCF" localSheetId="12">#REF!</definedName>
    <definedName name="BeyondFCF" localSheetId="11">#REF!</definedName>
    <definedName name="BeyondFCF" localSheetId="5">#REF!</definedName>
    <definedName name="BeyondFCF">#REF!</definedName>
    <definedName name="BV" localSheetId="1">[1]Model!$842:$842</definedName>
    <definedName name="BV" localSheetId="12">[1]Model!$842:$842</definedName>
    <definedName name="BV" localSheetId="11">[1]Model!$842:$842</definedName>
    <definedName name="BV" localSheetId="5">#REF!</definedName>
    <definedName name="BV" localSheetId="13">Model!$863:$863</definedName>
    <definedName name="BV">#REF!</definedName>
    <definedName name="capital_tier_1" localSheetId="1">[1]Model!$719:$719</definedName>
    <definedName name="capital_tier_1" localSheetId="12">[1]Model!$719:$719</definedName>
    <definedName name="capital_tier_1" localSheetId="11">[1]Model!$719:$719</definedName>
    <definedName name="capital_tier_1" localSheetId="5">#REF!</definedName>
    <definedName name="capital_tier_1" localSheetId="13">Model!$772:$772</definedName>
    <definedName name="capital_tier_1">#REF!</definedName>
    <definedName name="capital_tier_2" localSheetId="1">[1]Model!$732:$732</definedName>
    <definedName name="capital_tier_2" localSheetId="12">[1]Model!$732:$732</definedName>
    <definedName name="capital_tier_2" localSheetId="11">[1]Model!$732:$732</definedName>
    <definedName name="capital_tier_2" localSheetId="5">#REF!</definedName>
    <definedName name="capital_tier_2">#REF!</definedName>
    <definedName name="cash_earnings" localSheetId="5">#REF!</definedName>
    <definedName name="cash_earnings" localSheetId="13">Model!$75:$75</definedName>
    <definedName name="cash_earnings">#REF!</definedName>
    <definedName name="cash_eps" localSheetId="5">#REF!</definedName>
    <definedName name="cash_eps" localSheetId="13">Model!$101:$101</definedName>
    <definedName name="cash_eps">#REF!</definedName>
    <definedName name="company_eps" localSheetId="1">[1]Model!$100:$100</definedName>
    <definedName name="company_eps" localSheetId="12">[1]Model!$100:$100</definedName>
    <definedName name="company_eps" localSheetId="11">[1]Model!$100:$100</definedName>
    <definedName name="company_eps" localSheetId="5">#REF!</definedName>
    <definedName name="company_eps" localSheetId="13">Model!$96:$96</definedName>
    <definedName name="company_eps">#REF!</definedName>
    <definedName name="core_tier1" localSheetId="1">[1]Model!$707:$707</definedName>
    <definedName name="core_tier1" localSheetId="12">[1]Model!$707:$707</definedName>
    <definedName name="core_tier1" localSheetId="11">[1]Model!$707:$707</definedName>
    <definedName name="core_tier1" localSheetId="5">#REF!</definedName>
    <definedName name="core_tier1" localSheetId="13">Model!$768:$768</definedName>
    <definedName name="core_tier1">#REF!</definedName>
    <definedName name="Core_tier1_ratio" localSheetId="1">[1]Model!$804:$804</definedName>
    <definedName name="Core_tier1_ratio" localSheetId="12">[1]Model!$804:$804</definedName>
    <definedName name="Core_tier1_ratio" localSheetId="11">[1]Model!$804:$804</definedName>
    <definedName name="Core_tier1_ratio" localSheetId="5">#REF!</definedName>
    <definedName name="Core_Tier1_ratio" localSheetId="13">Model!$831:$831</definedName>
    <definedName name="Core_tier1_ratio">#REF!</definedName>
    <definedName name="cost_income" localSheetId="1">[1]Model!$478:$478</definedName>
    <definedName name="cost_income" localSheetId="12">[1]Model!$478:$478</definedName>
    <definedName name="cost_income" localSheetId="11">[1]Model!$478:$478</definedName>
    <definedName name="cost_income" localSheetId="5">#REF!</definedName>
    <definedName name="cost_income">#REF!</definedName>
    <definedName name="Cost_of_Equity" localSheetId="5">#REF!</definedName>
    <definedName name="Cost_of_Equity" localSheetId="13">#REF!</definedName>
    <definedName name="Cost_of_Equity">#REF!</definedName>
    <definedName name="CostDebt" localSheetId="12">#REF!</definedName>
    <definedName name="CostDebt" localSheetId="11">#REF!</definedName>
    <definedName name="CostDebt" localSheetId="5">#REF!</definedName>
    <definedName name="CostDebt">#REF!</definedName>
    <definedName name="CostEquity" localSheetId="12">#REF!</definedName>
    <definedName name="CostEquity" localSheetId="11">#REF!</definedName>
    <definedName name="CostEquity" localSheetId="5">#REF!</definedName>
    <definedName name="CostEquity">#REF!</definedName>
    <definedName name="Cwvu.Full_Year." hidden="1">#REF!,#REF!</definedName>
    <definedName name="Cwvu.Summary." hidden="1">#REF!,#REF!,#REF!,#REF!</definedName>
    <definedName name="DCF_INF" localSheetId="5">#REF!</definedName>
    <definedName name="DCF_INF" localSheetId="13">#REF!</definedName>
    <definedName name="DCF_INF">#REF!</definedName>
    <definedName name="DCF_Result" localSheetId="12">#REF!</definedName>
    <definedName name="DCF_Result" localSheetId="11">#REF!</definedName>
    <definedName name="DCF_Result" localSheetId="5">#REF!</definedName>
    <definedName name="DCF_Result">#REF!</definedName>
    <definedName name="DCF_Tier1Maint" localSheetId="12">#REF!</definedName>
    <definedName name="DCF_Tier1Maint" localSheetId="11">#REF!</definedName>
    <definedName name="DCF_Tier1Maint">#REF!</definedName>
    <definedName name="DCF_WACC" localSheetId="5">#REF!</definedName>
    <definedName name="DCF_WACC" localSheetId="13">#REF!</definedName>
    <definedName name="DCF_WACC">#REF!</definedName>
    <definedName name="DDE" localSheetId="5">#REF!</definedName>
    <definedName name="DDE" localSheetId="13">#REF!</definedName>
    <definedName name="DDE">#REF!</definedName>
    <definedName name="depreciation" localSheetId="1">[1]Model!$458:$458</definedName>
    <definedName name="depreciation" localSheetId="12">[1]Model!$458:$458</definedName>
    <definedName name="depreciation" localSheetId="11">[1]Model!$458:$458</definedName>
    <definedName name="depreciation" localSheetId="5">#REF!</definedName>
    <definedName name="depreciation" localSheetId="13">Model!$485:$485</definedName>
    <definedName name="depreciation">#REF!</definedName>
    <definedName name="dividend_income" localSheetId="5">#REF!</definedName>
    <definedName name="dividend_income">#REF!</definedName>
    <definedName name="dividend_revenue">Model!$21:$21</definedName>
    <definedName name="DPS" localSheetId="1">[1]Model!$144:$144</definedName>
    <definedName name="DPS" localSheetId="12">[1]Model!$144:$144</definedName>
    <definedName name="DPS" localSheetId="11">[1]Model!$144:$144</definedName>
    <definedName name="DPS" localSheetId="5">#REF!</definedName>
    <definedName name="DPS" localSheetId="13">Model!$168:$168</definedName>
    <definedName name="DPS">#REF!</definedName>
    <definedName name="DRP_participation" localSheetId="12">#REF!</definedName>
    <definedName name="DRP_participation" localSheetId="11">#REF!</definedName>
    <definedName name="DRP_participation" localSheetId="5">#REF!</definedName>
    <definedName name="DRP_participation">Model!$175:$175</definedName>
    <definedName name="DS" localSheetId="1" hidden="1">{"Full_Year",#N/A,FALSE,"PE1_S";#N/A,#N/A,FALSE,"DIVIS_S"}</definedName>
    <definedName name="DS" localSheetId="12" hidden="1">{"Full_Year",#N/A,FALSE,"PE1_S";#N/A,#N/A,FALSE,"DIVIS_S"}</definedName>
    <definedName name="DS" localSheetId="11" hidden="1">{"Full_Year",#N/A,FALSE,"PE1_S";#N/A,#N/A,FALSE,"DIVIS_S"}</definedName>
    <definedName name="DS" localSheetId="5" hidden="1">{"Full_Year",#N/A,FALSE,"PE1_S";#N/A,#N/A,FALSE,"DIVIS_S"}</definedName>
    <definedName name="DS" hidden="1">{"Full_Year",#N/A,FALSE,"PE1_S";#N/A,#N/A,FALSE,"DIVIS_S"}</definedName>
    <definedName name="E_ALL_ANZ.AX" localSheetId="1">#REF!</definedName>
    <definedName name="E_ALL_ANZ.AX" localSheetId="12">[2]ANZ.AX_Exchange_Sheet!$A$1:$BX$566</definedName>
    <definedName name="E_ALL_ANZ.AX" localSheetId="11">[2]ANZ.AX_Exchange_Sheet!$A$1:$BX$566</definedName>
    <definedName name="E_ALL_ANZ.AX">#REF!</definedName>
    <definedName name="E_ALL_CBA.AX" localSheetId="1">#REF!</definedName>
    <definedName name="E_ALL_CBA.AX">#REF!</definedName>
    <definedName name="E_ALL_KEYWORDS_TYPE_ScalarContributed_EQTY_200004992">#REF!,#REF!,#REF!</definedName>
    <definedName name="E_ALL_KEYWORDS_TYPE_ScalarContributed_EQTY_200004993">#REF!,#REF!,#REF!,#REF!,#REF!,#REF!,#REF!,#REF!,#REF!,#REF!,#REF!</definedName>
    <definedName name="E_ALL_KEYWORDS_TYPE_ScalarContributed_EQTY_200004995">[1]WBC.AX_Exchange_Sheet!$399:$418,[1]WBC.AX_Exchange_Sheet!$437:$440,[1]WBC.AX_Exchange_Sheet!$443:$451,[1]WBC.AX_Exchange_Sheet!$496:$503,[1]WBC.AX_Exchange_Sheet!$527:$527,[1]WBC.AX_Exchange_Sheet!$534:$534,[1]WBC.AX_Exchange_Sheet!$537:$537,[1]WBC.AX_Exchange_Sheet!$539:$541,[1]WBC.AX_Exchange_Sheet!$546:$547,[1]WBC.AX_Exchange_Sheet!$556:$566,[1]WBC.AX_Exchange_Sheet!$397:$398</definedName>
    <definedName name="E_ALL_KEYWORDS_TYPE_ScalarContributed_ISSR_208005522">#REF!,#REF!</definedName>
    <definedName name="E_ALL_KEYWORDS_TYPE_ScalarContributed_ISSR_208005523" localSheetId="1">#REF!,#REF!,#REF!</definedName>
    <definedName name="E_ALL_KEYWORDS_TYPE_ScalarContributed_ISSR_208005523">#REF!,#REF!,#REF!</definedName>
    <definedName name="E_ALL_KEYWORDS_TYPE_ScalarContributed_ISSR_208005524">#REF!,#REF!,#REF!</definedName>
    <definedName name="E_ALL_KEYWORDS_TYPE_ScalarContributed_ISSR_208005525">[1]WBC.AX_Exchange_Sheet!$9:$12,[1]WBC.AX_Exchange_Sheet!$88:$88,[1]WBC.AX_Exchange_Sheet!$191:$192</definedName>
    <definedName name="E_ALL_KEYWORDS_TYPE_Vector_EQTY_200004992">#REF!,#REF!,#REF!,#REF!,#REF!</definedName>
    <definedName name="E_ALL_KEYWORDS_TYPE_Vector_EQTY_200004993" localSheetId="1">#REF!,#REF!,#REF!,#REF!,#REF!,#REF!,#REF!,#REF!,#REF!,#REF!,#REF!,#REF!,#REF!</definedName>
    <definedName name="E_ALL_KEYWORDS_TYPE_Vector_EQTY_200004993">#REF!,#REF!,#REF!,#REF!,#REF!,#REF!,#REF!,#REF!,#REF!,#REF!,#REF!,#REF!,#REF!</definedName>
    <definedName name="E_ALL_KEYWORDS_TYPE_Vector_EQTY_200004994">#REF!,#REF!,#REF!,#REF!,#REF!,#REF!,#REF!,#REF!,#REF!,#REF!,#REF!,#REF!,#REF!</definedName>
    <definedName name="E_ALL_KEYWORDS_TYPE_Vector_EQTY_200004995">[1]WBC.AX_Exchange_Sheet!$420:$435,[1]WBC.AX_Exchange_Sheet!$441:$442,[1]WBC.AX_Exchange_Sheet!$452:$456,[1]WBC.AX_Exchange_Sheet!$458:$476,[1]WBC.AX_Exchange_Sheet!$478:$495,[1]WBC.AX_Exchange_Sheet!$504:$516,[1]WBC.AX_Exchange_Sheet!$518:$522,[1]WBC.AX_Exchange_Sheet!$524:$526,[1]WBC.AX_Exchange_Sheet!$529:$532,[1]WBC.AX_Exchange_Sheet!$535:$535,[1]WBC.AX_Exchange_Sheet!$543:$545,[1]WBC.AX_Exchange_Sheet!$548:$550,[1]WBC.AX_Exchange_Sheet!$552:$555</definedName>
    <definedName name="E_ALL_KEYWORDS_TYPE_Vector_ISSR_208005522">#REF!,#REF!,#REF!,#REF!,#REF!,#REF!,#REF!,#REF!,#REF!,#REF!,#REF!,#REF!,#REF!,#REF!,#REF!,#REF!,#REF!,#REF!,#REF!,#REF!,#REF!,#REF!,#REF!,#REF!,#REF!,#REF!,#REF!</definedName>
    <definedName name="E_ALL_KEYWORDS_TYPE_Vector_ISSR_208005523" localSheetId="1">#REF!,#REF!,#REF!,#REF!,#REF!,#REF!,#REF!,#REF!,#REF!,#REF!,#REF!,#REF!,#REF!,#REF!,#REF!,#REF!,#REF!,#REF!,#REF!,#REF!,#REF!,#REF!,#REF!,#REF!,#REF!,#REF!,#REF!,#REF!</definedName>
    <definedName name="E_ALL_KEYWORDS_TYPE_Vector_ISSR_208005523">#REF!,#REF!,#REF!,#REF!,#REF!,#REF!,#REF!,#REF!,#REF!,#REF!,#REF!,#REF!,#REF!,#REF!,#REF!,#REF!,#REF!,#REF!,#REF!,#REF!,#REF!,#REF!,#REF!,#REF!,#REF!,#REF!,#REF!,#REF!</definedName>
    <definedName name="E_ALL_KEYWORDS_TYPE_Vector_ISSR_208005524">#REF!,#REF!,#REF!,#REF!,#REF!,#REF!,#REF!,#REF!,#REF!,#REF!,#REF!,#REF!,#REF!,#REF!,#REF!,#REF!,#REF!,#REF!,#REF!,#REF!,#REF!,#REF!,#REF!,#REF!,#REF!,#REF!,#REF!,#REF!</definedName>
    <definedName name="E_ALL_KEYWORDS_TYPE_Vector_ISSR_208005525">[1]WBC.AX_Exchange_Sheet!$2:$3,[1]WBC.AX_Exchange_Sheet!$14:$45,[1]WBC.AX_Exchange_Sheet!$47:$80,[1]WBC.AX_Exchange_Sheet!$82:$87,[1]WBC.AX_Exchange_Sheet!$90:$128,[1]WBC.AX_Exchange_Sheet!$130:$163,[1]WBC.AX_Exchange_Sheet!$165:$178,[1]WBC.AX_Exchange_Sheet!$180:$181,[1]WBC.AX_Exchange_Sheet!$183:$183,[1]WBC.AX_Exchange_Sheet!$185:$186,[1]WBC.AX_Exchange_Sheet!$188:$190,[1]WBC.AX_Exchange_Sheet!$193:$194,[1]WBC.AX_Exchange_Sheet!$196:$197,[1]WBC.AX_Exchange_Sheet!$199:$200,[1]WBC.AX_Exchange_Sheet!$202:$211,[1]WBC.AX_Exchange_Sheet!$213:$228,[1]WBC.AX_Exchange_Sheet!$230:$235,[1]WBC.AX_Exchange_Sheet!$237:$243,[1]WBC.AX_Exchange_Sheet!$245:$248,[1]WBC.AX_Exchange_Sheet!$250:$254,[1]WBC.AX_Exchange_Sheet!$256:$270,[1]WBC.AX_Exchange_Sheet!$272:$286,[1]WBC.AX_Exchange_Sheet!$288:$302,[1]WBC.AX_Exchange_Sheet!$304:$361,[1]WBC.AX_Exchange_Sheet!$363:$364,[1]WBC.AX_Exchange_Sheet!$366:$376,[1]WBC.AX_Exchange_Sheet!$378:$387</definedName>
    <definedName name="E_ALL_NAB.AX">#REF!</definedName>
    <definedName name="E_ALL_SECTION_KEYWORDS_EQTY_200004992_1319">#REF!</definedName>
    <definedName name="E_ALL_SECTION_KEYWORDS_EQTY_200004992_13A">#REF!</definedName>
    <definedName name="E_ALL_SECTION_KEYWORDS_EQTY_200004992_13K">#REF!</definedName>
    <definedName name="E_ALL_SECTION_KEYWORDS_EQTY_200004992_13U">#REF!</definedName>
    <definedName name="E_ALL_SECTION_KEYWORDS_EQTY_200004992_13W">#REF!,#REF!</definedName>
    <definedName name="E_ALL_SECTION_KEYWORDS_EQTY_200004993_13A">#REF!</definedName>
    <definedName name="E_ALL_SECTION_KEYWORDS_EQTY_200004993_13K" localSheetId="1">#REF!</definedName>
    <definedName name="E_ALL_SECTION_KEYWORDS_EQTY_200004993_13K">#REF!</definedName>
    <definedName name="E_ALL_SECTION_KEYWORDS_EQTY_200004994_13K">#REF!</definedName>
    <definedName name="E_ALL_SECTION_KEYWORDS_ISSR_208005522_0918E">#REF!,#REF!</definedName>
    <definedName name="E_ALL_SECTION_KEYWORDS_ISSR_208005522_1314">#REF!</definedName>
    <definedName name="E_ALL_SECTION_KEYWORDS_ISSR_208005522_13168">#REF!,#REF!</definedName>
    <definedName name="E_ALL_SECTION_KEYWORDS_ISSR_208005522_1316U">#REF!</definedName>
    <definedName name="E_ALL_SECTION_KEYWORDS_ISSR_208005522_1319">#REF!</definedName>
    <definedName name="E_ALL_SECTION_KEYWORDS_ISSR_208005522_131E">#REF!</definedName>
    <definedName name="E_ALL_SECTION_KEYWORDS_ISSR_208005522_131J">#REF!,#REF!</definedName>
    <definedName name="E_ALL_SECTION_KEYWORDS_ISSR_208005522_131O">#REF!</definedName>
    <definedName name="E_ALL_SECTION_KEYWORDS_ISSR_208005522_1350">#REF!,#REF!</definedName>
    <definedName name="E_ALL_SECTION_KEYWORDS_ISSR_208005522_1355">#REF!,#REF!</definedName>
    <definedName name="E_ALL_SECTION_KEYWORDS_ISSR_208005522_135A">#REF!,#REF!</definedName>
    <definedName name="E_ALL_SECTION_KEYWORDS_ISSR_208005522_135F">#REF!,#REF!</definedName>
    <definedName name="E_ALL_SECTION_KEYWORDS_ISSR_208005522_135K">#REF!,#REF!</definedName>
    <definedName name="E_ALL_SECTION_KEYWORDS_ISSR_208005522_135P">#REF!</definedName>
    <definedName name="E_ALL_SECTION_KEYWORDS_ISSR_208005522_135U">#REF!,#REF!</definedName>
    <definedName name="E_ALL_SECTION_KEYWORDS_ISSR_208005522_135Z">#REF!,#REF!</definedName>
    <definedName name="E_ALL_SECTION_KEYWORDS_ISSR_208005522_13U">#REF!</definedName>
    <definedName name="E_ALL_SECTION_KEYWORDS_ISSR_208005522_13V">#REF!,#REF!</definedName>
    <definedName name="E_ALL_SECTION_KEYWORDS_ISSR_208005523_1314" localSheetId="1">#REF!</definedName>
    <definedName name="E_ALL_SECTION_KEYWORDS_ISSR_208005523_1314">#REF!</definedName>
    <definedName name="E_ALL_SECTION_KEYWORDS_ISSR_208005523_1319" localSheetId="1">#REF!</definedName>
    <definedName name="E_ALL_SECTION_KEYWORDS_ISSR_208005523_1319">#REF!</definedName>
    <definedName name="E_ALL_SECTION_KEYWORDS_ISSR_208005523_131E" localSheetId="1">#REF!</definedName>
    <definedName name="E_ALL_SECTION_KEYWORDS_ISSR_208005523_131E">#REF!</definedName>
    <definedName name="E_ALL_SECTION_KEYWORDS_ISSR_208005523_13V" localSheetId="1">#REF!,#REF!</definedName>
    <definedName name="E_ALL_SECTION_KEYWORDS_ISSR_208005523_13V">#REF!,#REF!</definedName>
    <definedName name="E_ALL_SECTION_KEYWORDS_ISSR_208005524_1314">#REF!</definedName>
    <definedName name="E_ALL_SECTION_KEYWORDS_ISSR_208005524_1319">#REF!</definedName>
    <definedName name="E_ALL_SECTION_KEYWORDS_ISSR_208005524_131E">#REF!</definedName>
    <definedName name="E_ALL_SECTION_KEYWORDS_ISSR_208005524_13V">#REF!,#REF!</definedName>
    <definedName name="E_ALL_SECTIONS_EQTY_200004995">[1]WBC.AX_Exchange_Sheet!$389:$389,[1]WBC.AX_Exchange_Sheet!$396:$396,[1]WBC.AX_Exchange_Sheet!$419:$419,[1]WBC.AX_Exchange_Sheet!$436:$436,[1]WBC.AX_Exchange_Sheet!$457:$457,[1]WBC.AX_Exchange_Sheet!$477:$477,[1]WBC.AX_Exchange_Sheet!$517:$517,[1]WBC.AX_Exchange_Sheet!$523:$523,[1]WBC.AX_Exchange_Sheet!$528:$528,[1]WBC.AX_Exchange_Sheet!$533:$533,[1]WBC.AX_Exchange_Sheet!$536:$536,[1]WBC.AX_Exchange_Sheet!$538:$538,[1]WBC.AX_Exchange_Sheet!$542:$542,[1]WBC.AX_Exchange_Sheet!$551:$551</definedName>
    <definedName name="E_ALL_SECTIONS_ISSR_208005525">[1]WBC.AX_Exchange_Sheet!$5:$5,[1]WBC.AX_Exchange_Sheet!$8:$8,[1]WBC.AX_Exchange_Sheet!$13:$13,[1]WBC.AX_Exchange_Sheet!$46:$46,[1]WBC.AX_Exchange_Sheet!$81:$81,[1]WBC.AX_Exchange_Sheet!$89:$89,[1]WBC.AX_Exchange_Sheet!$129:$129,[1]WBC.AX_Exchange_Sheet!$164:$164,[1]WBC.AX_Exchange_Sheet!$179:$179,[1]WBC.AX_Exchange_Sheet!$182:$182,[1]WBC.AX_Exchange_Sheet!$184:$184,[1]WBC.AX_Exchange_Sheet!$187:$187,[1]WBC.AX_Exchange_Sheet!$195:$195,[1]WBC.AX_Exchange_Sheet!$198:$198,[1]WBC.AX_Exchange_Sheet!$201:$201,[1]WBC.AX_Exchange_Sheet!$212:$212,[1]WBC.AX_Exchange_Sheet!$229:$229,[1]WBC.AX_Exchange_Sheet!$236:$236,[1]WBC.AX_Exchange_Sheet!$244:$244,[1]WBC.AX_Exchange_Sheet!$249:$249,[1]WBC.AX_Exchange_Sheet!$255:$255,[1]WBC.AX_Exchange_Sheet!$271:$271,[1]WBC.AX_Exchange_Sheet!$287:$287,[1]WBC.AX_Exchange_Sheet!$303:$303,[1]WBC.AX_Exchange_Sheet!$362:$362,[1]WBC.AX_Exchange_Sheet!$365:$365,[1]WBC.AX_Exchange_Sheet!$377:$377</definedName>
    <definedName name="E_ALL_WBC.AX">[1]WBC.AX_Exchange_Sheet!$A$1:$BX$566</definedName>
    <definedName name="E_KEYWORD_EQTY_200004995_ANZ_CONVICTION">[1]WBC.AX_Exchange_Sheet!#REF!</definedName>
    <definedName name="earnings_adjustment" localSheetId="12">#REF!</definedName>
    <definedName name="earnings_adjustment" localSheetId="11">#REF!</definedName>
    <definedName name="earnings_adjustment" localSheetId="5">#REF!</definedName>
    <definedName name="earnings_adjustment">Model!$158:$158</definedName>
    <definedName name="effective_tax_rate" localSheetId="12">#REF!</definedName>
    <definedName name="effective_tax_rate" localSheetId="11">#REF!</definedName>
    <definedName name="effective_tax_rate" localSheetId="5">#REF!</definedName>
    <definedName name="effective_tax_rate">Model!$636:$636</definedName>
    <definedName name="EFPOWA" localSheetId="1">[1]Model!$127:$127</definedName>
    <definedName name="EFPOWA" localSheetId="12">[1]Model!$127:$127</definedName>
    <definedName name="EFPOWA" localSheetId="11">[1]Model!$127:$127</definedName>
    <definedName name="EFPOWA" localSheetId="5">#REF!</definedName>
    <definedName name="EFPOWA" localSheetId="13">Model!$142:$142</definedName>
    <definedName name="EFPOWA">#REF!</definedName>
    <definedName name="EFPOWA_basic" localSheetId="5">#REF!</definedName>
    <definedName name="EFPOWA_basic">#REF!</definedName>
    <definedName name="equity" localSheetId="1">[1]Model!$214:$214</definedName>
    <definedName name="equity" localSheetId="12">[1]Model!$214:$214</definedName>
    <definedName name="equity" localSheetId="11">[1]Model!$214:$214</definedName>
    <definedName name="equity" localSheetId="5">#REF!</definedName>
    <definedName name="equity" localSheetId="13">Model!$238:$238</definedName>
    <definedName name="equity">#REF!</definedName>
    <definedName name="equity_and_minorities" localSheetId="12">#REF!</definedName>
    <definedName name="equity_and_minorities" localSheetId="11">#REF!</definedName>
    <definedName name="equity_and_minorities" localSheetId="5">#REF!</definedName>
    <definedName name="equity_and_minorities">Model!$247:$247</definedName>
    <definedName name="equity_buyback" localSheetId="1">[1]Model!$240:$240</definedName>
    <definedName name="equity_buyback" localSheetId="12">[1]Model!$240:$240</definedName>
    <definedName name="equity_buyback" localSheetId="11">[1]Model!$240:$240</definedName>
    <definedName name="equity_buyback" localSheetId="5">#REF!</definedName>
    <definedName name="equity_buyback">#REF!</definedName>
    <definedName name="equity_drp" localSheetId="1">[1]Model!$238:$238</definedName>
    <definedName name="equity_drp" localSheetId="12">[1]Model!$238:$238</definedName>
    <definedName name="equity_drp" localSheetId="11">[1]Model!$238:$238</definedName>
    <definedName name="equity_drp" localSheetId="5">#REF!</definedName>
    <definedName name="equity_drp" localSheetId="13">Model!$264:$264</definedName>
    <definedName name="equity_drp">#REF!</definedName>
    <definedName name="equity_other_issues">#REF!</definedName>
    <definedName name="equity_SPP" localSheetId="1">[1]Model!$239:$239</definedName>
    <definedName name="equity_SPP" localSheetId="12">[1]Model!$239:$239</definedName>
    <definedName name="equity_SPP" localSheetId="11">[1]Model!$239:$239</definedName>
    <definedName name="equity_SPP" localSheetId="5">#REF!</definedName>
    <definedName name="equity_SPP">#REF!</definedName>
    <definedName name="ExchangeSheetLink" localSheetId="4">MigrationOutput_QP_CBA.AX!$F$2</definedName>
    <definedName name="Final_CF" localSheetId="12">#REF!</definedName>
    <definedName name="Final_CF" localSheetId="11">#REF!</definedName>
    <definedName name="Final_CF">#REF!</definedName>
    <definedName name="Final_Forecast">#REF!</definedName>
    <definedName name="FM_total_expenses">#REF!</definedName>
    <definedName name="forex_income" localSheetId="5">#REF!</definedName>
    <definedName name="forex_income">#REF!</definedName>
    <definedName name="franking" localSheetId="1">[1]Model!$159:$159</definedName>
    <definedName name="franking" localSheetId="12">[1]Model!$159:$159</definedName>
    <definedName name="franking" localSheetId="11">[1]Model!$159:$159</definedName>
    <definedName name="franking" localSheetId="5">#REF!</definedName>
    <definedName name="franking" localSheetId="13">Model!$182:$182</definedName>
    <definedName name="franking">#REF!</definedName>
    <definedName name="free_funds" localSheetId="12">#REF!</definedName>
    <definedName name="free_funds" localSheetId="11">#REF!</definedName>
    <definedName name="Free_funds" localSheetId="5">#REF!</definedName>
    <definedName name="free_funds">Model!$343:$343</definedName>
    <definedName name="funds_management" localSheetId="12">#REF!</definedName>
    <definedName name="funds_management" localSheetId="11">#REF!</definedName>
    <definedName name="funds_management" localSheetId="5">#REF!</definedName>
    <definedName name="funds_management">Model!$30:$30</definedName>
    <definedName name="GNAL" localSheetId="1">[1]Model!$483:$483</definedName>
    <definedName name="GNAL" localSheetId="12">[1]Model!$483:$483</definedName>
    <definedName name="GNAL" localSheetId="11">[1]Model!$483:$483</definedName>
    <definedName name="GNAL" localSheetId="5">#REF!</definedName>
    <definedName name="GNAL" localSheetId="13">Model!$515:$515</definedName>
    <definedName name="GNAL">#REF!</definedName>
    <definedName name="goodwill" localSheetId="1">[1]Model!$48:$48</definedName>
    <definedName name="goodwill" localSheetId="12">[1]Model!$48:$48</definedName>
    <definedName name="goodwill" localSheetId="11">[1]Model!$48:$48</definedName>
    <definedName name="goodwill" localSheetId="5">#REF!</definedName>
    <definedName name="goodwill" localSheetId="13">Model!$57:$57</definedName>
    <definedName name="goodwill">#REF!</definedName>
    <definedName name="gross_impaired_assets" localSheetId="1">[1]Model!$487:$487</definedName>
    <definedName name="gross_impaired_assets" localSheetId="12">[1]Model!$487:$487</definedName>
    <definedName name="gross_impaired_assets" localSheetId="11">[1]Model!$487:$487</definedName>
    <definedName name="gross_impaired_assets" localSheetId="5">#REF!</definedName>
    <definedName name="gross_impaired_assets" localSheetId="13">Model!$518:$518</definedName>
    <definedName name="gross_impaired_assets">#REF!</definedName>
    <definedName name="gross_loans" localSheetId="1">[1]Model!$256:$256</definedName>
    <definedName name="gross_loans" localSheetId="12">[1]Model!$256:$256</definedName>
    <definedName name="gross_loans" localSheetId="11">[1]Model!$256:$256</definedName>
    <definedName name="gross_loans" localSheetId="5">#REF!</definedName>
    <definedName name="gross_loans" localSheetId="13">Model!$290:$290</definedName>
    <definedName name="gross_loans">#REF!</definedName>
    <definedName name="HiddenSheetLink" localSheetId="4">MigrationOutput_QP_CBA.AX!$F$3</definedName>
    <definedName name="housing_loans" localSheetId="12">#REF!</definedName>
    <definedName name="housing_loans" localSheetId="11">#REF!</definedName>
    <definedName name="housing_loans" localSheetId="5">#REF!</definedName>
    <definedName name="housing_loans">Model!$288:$288</definedName>
    <definedName name="hybrid">#REF!</definedName>
    <definedName name="hybrid_posttax">#REF!</definedName>
    <definedName name="hybrid_pretax">#REF!</definedName>
    <definedName name="hybrids" localSheetId="12">#REF!</definedName>
    <definedName name="hybrids" localSheetId="11">#REF!</definedName>
    <definedName name="hybrids">Model!$239:$239</definedName>
    <definedName name="IFRS_adj_goodwill">#REF!</definedName>
    <definedName name="IFRS_adj_hedge" localSheetId="12">#REF!</definedName>
    <definedName name="IFRS_adj_hedge" localSheetId="11">#REF!</definedName>
    <definedName name="IFRS_adj_hedge" localSheetId="5">#REF!</definedName>
    <definedName name="IFRS_adj_hedge">Model!$66:$66</definedName>
    <definedName name="IFRS_adj_revaluation" localSheetId="5">#REF!</definedName>
    <definedName name="IFRS_adj_revaluation">#REF!</definedName>
    <definedName name="IFRS_adj_super">Model!$63:$63</definedName>
    <definedName name="IFRS_adj_treasury" localSheetId="12">#REF!</definedName>
    <definedName name="IFRS_adj_treasury" localSheetId="11">#REF!</definedName>
    <definedName name="IFRS_adj_treasury" localSheetId="5">#REF!</definedName>
    <definedName name="IFRS_adj_treasury">Model!$64:$64</definedName>
    <definedName name="Imp_Credit" localSheetId="5">#REF!</definedName>
    <definedName name="imp_CREDIT" localSheetId="13">#REF!</definedName>
    <definedName name="Imp_Credit">#REF!</definedName>
    <definedName name="income_tax" localSheetId="12">#REF!</definedName>
    <definedName name="income_tax" localSheetId="11">#REF!</definedName>
    <definedName name="income_tax" localSheetId="5">#REF!</definedName>
    <definedName name="income_tax" localSheetId="13">Model!$56:$56</definedName>
    <definedName name="income_tax">#REF!</definedName>
    <definedName name="intangibles" localSheetId="1">[1]Model!$178:$178</definedName>
    <definedName name="intangibles" localSheetId="12">[1]Model!$178:$178</definedName>
    <definedName name="intangibles" localSheetId="11">[1]Model!$178:$178</definedName>
    <definedName name="intangibles" localSheetId="5">#REF!</definedName>
    <definedName name="intangibles" localSheetId="13">Model!$205:$205</definedName>
    <definedName name="intangibles">#REF!</definedName>
    <definedName name="interest_expense" localSheetId="1">[1]Model!$13:$13</definedName>
    <definedName name="interest_expense" localSheetId="12">[1]Model!$13:$13</definedName>
    <definedName name="interest_expense" localSheetId="11">[1]Model!$13:$13</definedName>
    <definedName name="interest_expense" localSheetId="5">#REF!</definedName>
    <definedName name="interest_expense" localSheetId="13">Model!$13:$13</definedName>
    <definedName name="interest_expense">#REF!</definedName>
    <definedName name="interest_income" localSheetId="1">[1]Model!$12:$12</definedName>
    <definedName name="interest_income" localSheetId="12">[1]Model!$12:$12</definedName>
    <definedName name="interest_income" localSheetId="11">[1]Model!$12:$12</definedName>
    <definedName name="interest_income" localSheetId="5">#REF!</definedName>
    <definedName name="interest_income" localSheetId="13">Model!$12:$12</definedName>
    <definedName name="interest_income">#REF!</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issued_shares" localSheetId="1">[1]Model!$115:$115</definedName>
    <definedName name="issued_shares" localSheetId="12">[1]Model!$115:$115</definedName>
    <definedName name="issued_shares" localSheetId="11">[1]Model!$115:$115</definedName>
    <definedName name="issued_shares" localSheetId="5">#REF!</definedName>
    <definedName name="issued_shares" localSheetId="13">Model!$131:$131</definedName>
    <definedName name="issued_shares">#REF!</definedName>
    <definedName name="IT">Model!$46:$46</definedName>
    <definedName name="L_ALL_ANZ.AX" localSheetId="1">#REF!</definedName>
    <definedName name="L_ALL_ANZ.AX" localSheetId="12">#REF!</definedName>
    <definedName name="L_ALL_ANZ.AX" localSheetId="11">#REF!</definedName>
    <definedName name="L_ALL_ANZ.AX">#REF!</definedName>
    <definedName name="L_ALL_ANZ.AX_">#REF!</definedName>
    <definedName name="L_ALL_CBA.AX" localSheetId="1">#REF!</definedName>
    <definedName name="L_ALL_CBA.AX">#REF!</definedName>
    <definedName name="L_ALL_CBA.AX_" localSheetId="1">#REF!</definedName>
    <definedName name="L_ALL_CBA.AX_">#REF!</definedName>
    <definedName name="L_ALL_KEYWORDS_TYPE_ScalarContributed_EQTY_200004992">#REF!,#REF!,#REF!,#REF!,#REF!,#REF!,#REF!,#REF!,#REF!,#REF!,#REF!</definedName>
    <definedName name="L_ALL_KEYWORDS_TYPE_ScalarContributed_EQTY_200004993">#REF!,#REF!,#REF!,#REF!,#REF!,#REF!,#REF!,#REF!,#REF!,#REF!,#REF!</definedName>
    <definedName name="L_ALL_KEYWORDS_TYPE_ScalarContributed_EQTY_200004995">#REF!,#REF!,#REF!,#REF!,#REF!,#REF!,#REF!,#REF!,#REF!,#REF!,#REF!</definedName>
    <definedName name="L_ALL_KEYWORDS_TYPE_ScalarContributed_ISSR_208005522">#REF!,#REF!</definedName>
    <definedName name="L_ALL_KEYWORDS_TYPE_ScalarContributed_ISSR_208005523" localSheetId="1">#REF!,#REF!,#REF!</definedName>
    <definedName name="L_ALL_KEYWORDS_TYPE_ScalarContributed_ISSR_208005523">#REF!,#REF!,#REF!</definedName>
    <definedName name="L_ALL_KEYWORDS_TYPE_ScalarContributed_ISSR_208005524">#REF!,#REF!,#REF!</definedName>
    <definedName name="L_ALL_KEYWORDS_TYPE_ScalarReference_EQTY_200004995">#REF!</definedName>
    <definedName name="L_ALL_KEYWORDS_TYPE_ScalarReference_ISSR_208005525">#REF!</definedName>
    <definedName name="L_ALL_KEYWORDS_TYPE_Vector_EQTY_200004992">#REF!,#REF!,#REF!,#REF!,#REF!,#REF!,#REF!,#REF!</definedName>
    <definedName name="L_ALL_KEYWORDS_TYPE_Vector_EQTY_200004993" localSheetId="1">#REF!,#REF!,#REF!,#REF!,#REF!,#REF!,#REF!,#REF!,#REF!,#REF!,#REF!,#REF!,#REF!</definedName>
    <definedName name="L_ALL_KEYWORDS_TYPE_Vector_EQTY_200004993">#REF!,#REF!,#REF!,#REF!,#REF!,#REF!,#REF!,#REF!,#REF!,#REF!,#REF!,#REF!,#REF!</definedName>
    <definedName name="L_ALL_KEYWORDS_TYPE_Vector_EQTY_200004994">#REF!,#REF!,#REF!,#REF!,#REF!,#REF!,#REF!,#REF!,#REF!,#REF!,#REF!,#REF!,#REF!</definedName>
    <definedName name="L_ALL_KEYWORDS_TYPE_Vector_ISSR_208005522">#REF!,#REF!,#REF!,#REF!,#REF!,#REF!,#REF!,#REF!,#REF!,#REF!,#REF!,#REF!,#REF!,#REF!,#REF!,#REF!,#REF!,#REF!,#REF!,#REF!,#REF!,#REF!,#REF!,#REF!,#REF!,#REF!,#REF!,#REF!,#REF!,#REF!</definedName>
    <definedName name="L_ALL_KEYWORDS_TYPE_Vector_ISSR_208005523" localSheetId="1">#REF!,#REF!,#REF!,#REF!,#REF!,#REF!,#REF!,#REF!,#REF!,#REF!,#REF!,#REF!,#REF!,#REF!,#REF!,#REF!,#REF!,#REF!,#REF!,#REF!,#REF!,#REF!,#REF!,#REF!,#REF!,#REF!,#REF!,#REF!</definedName>
    <definedName name="L_ALL_KEYWORDS_TYPE_Vector_ISSR_208005523">#REF!,#REF!,#REF!,#REF!,#REF!,#REF!,#REF!,#REF!,#REF!,#REF!,#REF!,#REF!,#REF!,#REF!,#REF!,#REF!,#REF!,#REF!,#REF!,#REF!,#REF!,#REF!,#REF!,#REF!,#REF!,#REF!,#REF!,#REF!</definedName>
    <definedName name="L_ALL_KEYWORDS_TYPE_Vector_ISSR_208005524">#REF!,#REF!,#REF!,#REF!,#REF!,#REF!,#REF!,#REF!,#REF!,#REF!,#REF!,#REF!,#REF!,#REF!,#REF!,#REF!,#REF!,#REF!,#REF!,#REF!,#REF!,#REF!,#REF!,#REF!,#REF!,#REF!,#REF!,#REF!</definedName>
    <definedName name="L_ALL_NAB.AX">#REF!</definedName>
    <definedName name="L_ALL_NAB.AX_">#REF!</definedName>
    <definedName name="L_ALL_PERIODS_WBC.AX">#REF!</definedName>
    <definedName name="L_ALL_SECTION_KEYWORDS_EQTY_200004992_1314">#REF!</definedName>
    <definedName name="L_ALL_SECTION_KEYWORDS_EQTY_200004992_1316A">#REF!</definedName>
    <definedName name="L_ALL_SECTION_KEYWORDS_EQTY_200004992_1316B">#REF!</definedName>
    <definedName name="L_ALL_SECTION_KEYWORDS_EQTY_200004992_1316C">#REF!</definedName>
    <definedName name="L_ALL_SECTION_KEYWORDS_EQTY_200004992_1316E">#REF!</definedName>
    <definedName name="L_ALL_SECTION_KEYWORDS_EQTY_200004992_1319">#REF!</definedName>
    <definedName name="L_ALL_SECTION_KEYWORDS_EQTY_200004992_131J">#REF!</definedName>
    <definedName name="L_ALL_SECTION_KEYWORDS_EQTY_200004992_131P">#REF!</definedName>
    <definedName name="L_ALL_SECTION_KEYWORDS_EQTY_200004992_13A">#REF!</definedName>
    <definedName name="L_ALL_SECTION_KEYWORDS_EQTY_200004992_13K">#REF!</definedName>
    <definedName name="L_ALL_SECTION_KEYWORDS_EQTY_200004992_13U">#REF!</definedName>
    <definedName name="L_ALL_SECTION_KEYWORDS_EQTY_200004992_13V">#REF!</definedName>
    <definedName name="L_ALL_SECTION_KEYWORDS_EQTY_200004992_13W">#REF!,#REF!</definedName>
    <definedName name="L_ALL_SECTION_KEYWORDS_EQTY_200004993_13A">#REF!</definedName>
    <definedName name="L_ALL_SECTION_KEYWORDS_EQTY_200004993_13K" localSheetId="1">#REF!</definedName>
    <definedName name="L_ALL_SECTION_KEYWORDS_EQTY_200004993_13K">#REF!</definedName>
    <definedName name="L_ALL_SECTION_KEYWORDS_EQTY_200004994_13K">#REF!</definedName>
    <definedName name="L_ALL_SECTION_KEYWORDS_EQTY_200004995_1314">#REF!</definedName>
    <definedName name="L_ALL_SECTION_KEYWORDS_EQTY_200004995_1316A">#REF!</definedName>
    <definedName name="L_ALL_SECTION_KEYWORDS_EQTY_200004995_1316B">#REF!</definedName>
    <definedName name="L_ALL_SECTION_KEYWORDS_EQTY_200004995_1316C">#REF!</definedName>
    <definedName name="L_ALL_SECTION_KEYWORDS_EQTY_200004995_1316E">#REF!</definedName>
    <definedName name="L_ALL_SECTION_KEYWORDS_EQTY_200004995_1319">#REF!</definedName>
    <definedName name="L_ALL_SECTION_KEYWORDS_EQTY_200004995_131J">#REF!</definedName>
    <definedName name="L_ALL_SECTION_KEYWORDS_EQTY_200004995_131O">#REF!</definedName>
    <definedName name="L_ALL_SECTION_KEYWORDS_EQTY_200004995_131P">#REF!</definedName>
    <definedName name="L_ALL_SECTION_KEYWORDS_EQTY_200004995_13A">#REF!</definedName>
    <definedName name="L_ALL_SECTION_KEYWORDS_EQTY_200004995_13U">#REF!</definedName>
    <definedName name="L_ALL_SECTION_KEYWORDS_EQTY_200004995_13V">#REF!</definedName>
    <definedName name="L_ALL_SECTION_KEYWORDS_EQTY_200004995_Reference_Data">#REF!</definedName>
    <definedName name="L_ALL_SECTION_KEYWORDS_ISSR_208005522_0918E">#REF!,#REF!</definedName>
    <definedName name="L_ALL_SECTION_KEYWORDS_ISSR_208005522_1314">#REF!</definedName>
    <definedName name="L_ALL_SECTION_KEYWORDS_ISSR_208005522_13168">#REF!,#REF!</definedName>
    <definedName name="L_ALL_SECTION_KEYWORDS_ISSR_208005522_1316B">#REF!</definedName>
    <definedName name="L_ALL_SECTION_KEYWORDS_ISSR_208005522_1316C">#REF!</definedName>
    <definedName name="L_ALL_SECTION_KEYWORDS_ISSR_208005522_1316E">#REF!</definedName>
    <definedName name="L_ALL_SECTION_KEYWORDS_ISSR_208005522_1316U">#REF!</definedName>
    <definedName name="L_ALL_SECTION_KEYWORDS_ISSR_208005522_1319">#REF!</definedName>
    <definedName name="L_ALL_SECTION_KEYWORDS_ISSR_208005522_131E">#REF!</definedName>
    <definedName name="L_ALL_SECTION_KEYWORDS_ISSR_208005522_131J">#REF!,#REF!</definedName>
    <definedName name="L_ALL_SECTION_KEYWORDS_ISSR_208005522_131O">#REF!</definedName>
    <definedName name="L_ALL_SECTION_KEYWORDS_ISSR_208005522_131P">#REF!</definedName>
    <definedName name="L_ALL_SECTION_KEYWORDS_ISSR_208005522_133M">#REF!</definedName>
    <definedName name="L_ALL_SECTION_KEYWORDS_ISSR_208005522_133R">#REF!</definedName>
    <definedName name="L_ALL_SECTION_KEYWORDS_ISSR_208005522_133W">#REF!</definedName>
    <definedName name="L_ALL_SECTION_KEYWORDS_ISSR_208005522_1341">#REF!</definedName>
    <definedName name="L_ALL_SECTION_KEYWORDS_ISSR_208005522_1346">#REF!</definedName>
    <definedName name="L_ALL_SECTION_KEYWORDS_ISSR_208005522_134B">#REF!</definedName>
    <definedName name="L_ALL_SECTION_KEYWORDS_ISSR_208005522_134G">#REF!</definedName>
    <definedName name="L_ALL_SECTION_KEYWORDS_ISSR_208005522_134L">#REF!</definedName>
    <definedName name="L_ALL_SECTION_KEYWORDS_ISSR_208005522_134Q">#REF!</definedName>
    <definedName name="L_ALL_SECTION_KEYWORDS_ISSR_208005522_134V">#REF!</definedName>
    <definedName name="L_ALL_SECTION_KEYWORDS_ISSR_208005522_1350">#REF!,#REF!</definedName>
    <definedName name="L_ALL_SECTION_KEYWORDS_ISSR_208005522_1355">#REF!,#REF!</definedName>
    <definedName name="L_ALL_SECTION_KEYWORDS_ISSR_208005522_135A">#REF!,#REF!</definedName>
    <definedName name="L_ALL_SECTION_KEYWORDS_ISSR_208005522_135F">#REF!,#REF!</definedName>
    <definedName name="L_ALL_SECTION_KEYWORDS_ISSR_208005522_135K">#REF!,#REF!</definedName>
    <definedName name="L_ALL_SECTION_KEYWORDS_ISSR_208005522_135P">#REF!</definedName>
    <definedName name="L_ALL_SECTION_KEYWORDS_ISSR_208005522_135U">#REF!,#REF!</definedName>
    <definedName name="L_ALL_SECTION_KEYWORDS_ISSR_208005522_135Z">#REF!,#REF!</definedName>
    <definedName name="L_ALL_SECTION_KEYWORDS_ISSR_208005522_13A">#REF!</definedName>
    <definedName name="L_ALL_SECTION_KEYWORDS_ISSR_208005522_13U">#REF!</definedName>
    <definedName name="L_ALL_SECTION_KEYWORDS_ISSR_208005522_13V">#REF!</definedName>
    <definedName name="L_ALL_SECTION_KEYWORDS_ISSR_208005523_1314" localSheetId="1">#REF!</definedName>
    <definedName name="L_ALL_SECTION_KEYWORDS_ISSR_208005523_1314">#REF!</definedName>
    <definedName name="L_ALL_SECTION_KEYWORDS_ISSR_208005523_1319" localSheetId="1">#REF!</definedName>
    <definedName name="L_ALL_SECTION_KEYWORDS_ISSR_208005523_1319">#REF!</definedName>
    <definedName name="L_ALL_SECTION_KEYWORDS_ISSR_208005523_131E" localSheetId="1">#REF!</definedName>
    <definedName name="L_ALL_SECTION_KEYWORDS_ISSR_208005523_131E">#REF!</definedName>
    <definedName name="L_ALL_SECTION_KEYWORDS_ISSR_208005523_13V" localSheetId="1">#REF!,#REF!</definedName>
    <definedName name="L_ALL_SECTION_KEYWORDS_ISSR_208005523_13V">#REF!,#REF!</definedName>
    <definedName name="L_ALL_SECTION_KEYWORDS_ISSR_208005524_1314">#REF!</definedName>
    <definedName name="L_ALL_SECTION_KEYWORDS_ISSR_208005524_1319">#REF!</definedName>
    <definedName name="L_ALL_SECTION_KEYWORDS_ISSR_208005524_131E">#REF!</definedName>
    <definedName name="L_ALL_SECTION_KEYWORDS_ISSR_208005524_13V">#REF!,#REF!</definedName>
    <definedName name="L_ALL_SECTION_KEYWORDS_ISSR_208005525_13168">#REF!</definedName>
    <definedName name="L_ALL_SECTION_KEYWORDS_ISSR_208005525_1316B">#REF!</definedName>
    <definedName name="L_ALL_SECTION_KEYWORDS_ISSR_208005525_1316C">#REF!</definedName>
    <definedName name="L_ALL_SECTION_KEYWORDS_ISSR_208005525_1316E">#REF!</definedName>
    <definedName name="L_ALL_SECTION_KEYWORDS_ISSR_208005525_1316T">#REF!</definedName>
    <definedName name="L_ALL_SECTION_KEYWORDS_ISSR_208005525_1316U">#REF!</definedName>
    <definedName name="L_ALL_SECTION_KEYWORDS_ISSR_208005525_131J">#REF!</definedName>
    <definedName name="L_ALL_SECTION_KEYWORDS_ISSR_208005525_131O">#REF!</definedName>
    <definedName name="L_ALL_SECTION_KEYWORDS_ISSR_208005525_131P">#REF!</definedName>
    <definedName name="L_ALL_SECTION_KEYWORDS_ISSR_208005525_133M">#REF!</definedName>
    <definedName name="L_ALL_SECTION_KEYWORDS_ISSR_208005525_133R">#REF!</definedName>
    <definedName name="L_ALL_SECTION_KEYWORDS_ISSR_208005525_133W">#REF!</definedName>
    <definedName name="L_ALL_SECTION_KEYWORDS_ISSR_208005525_1341">#REF!</definedName>
    <definedName name="L_ALL_SECTION_KEYWORDS_ISSR_208005525_1346">#REF!</definedName>
    <definedName name="L_ALL_SECTION_KEYWORDS_ISSR_208005525_134B">#REF!</definedName>
    <definedName name="L_ALL_SECTION_KEYWORDS_ISSR_208005525_134G">#REF!</definedName>
    <definedName name="L_ALL_SECTION_KEYWORDS_ISSR_208005525_134L">#REF!</definedName>
    <definedName name="L_ALL_SECTION_KEYWORDS_ISSR_208005525_134Q">#REF!</definedName>
    <definedName name="L_ALL_SECTION_KEYWORDS_ISSR_208005525_134V">#REF!</definedName>
    <definedName name="L_ALL_SECTION_KEYWORDS_ISSR_208005525_136E">#REF!</definedName>
    <definedName name="L_ALL_SECTION_KEYWORDS_ISSR_208005525_13A">#REF!</definedName>
    <definedName name="L_ALL_SECTION_KEYWORDS_ISSR_208005525_13U">#REF!</definedName>
    <definedName name="L_ALL_SECTION_KEYWORDS_ISSR_208005525_Reference_Data">#REF!</definedName>
    <definedName name="L_ALL_SECTIONS_EQTY_200004995">#REF!,#REF!,#REF!,#REF!,#REF!,#REF!,#REF!,#REF!,#REF!,#REF!,#REF!,#REF!,#REF!,#REF!</definedName>
    <definedName name="L_ALL_SECTIONS_ISSR_208005525">#REF!,#REF!,#REF!,#REF!,#REF!,#REF!,#REF!,#REF!,#REF!,#REF!,#REF!,#REF!,#REF!,#REF!,#REF!,#REF!,#REF!,#REF!,#REF!,#REF!,#REF!,#REF!,#REF!,#REF!,#REF!,#REF!,#REF!</definedName>
    <definedName name="L_ALL_WBC.AX">#REF!</definedName>
    <definedName name="L_ALL_WBC.AX_">#REF!</definedName>
    <definedName name="L_CURRENCY_EQTY_200004995_PRI">#REF!</definedName>
    <definedName name="L_CURRENCY_EQTY_200004995_PUB">#REF!</definedName>
    <definedName name="L_CURRENCY_EQTY_200004995_REP">#REF!</definedName>
    <definedName name="L_CURRENCY_ISSR_208005525_REP">#REF!</definedName>
    <definedName name="L_ENTITY_DATA_EQTY_200004995">#REF!</definedName>
    <definedName name="L_ENTITY_DATA_ISSR_208005525">#REF!</definedName>
    <definedName name="L_KEYWORD_EQTY_200004995_ANZ_CONVICTION">#REF!</definedName>
    <definedName name="L_KEYWORD_EQTY_200004995_ANZ_LIST">#REF!</definedName>
    <definedName name="L_KEYWORD_EQTY_200004995_ASSET_SALES_GAIN_LOSS">#REF!</definedName>
    <definedName name="L_KEYWORD_EQTY_200004995_AVG_ORD_SHOLDERS_EQUITY">#REF!</definedName>
    <definedName name="L_KEYWORD_EQTY_200004995_AVG_PREF_CAPITAL">#REF!</definedName>
    <definedName name="L_KEYWORD_EQTY_200004995_B_BS_L_GSEQUITY">#REF!</definedName>
    <definedName name="L_KEYWORD_EQTY_200004995_B_CAMELOT_BETA">#REF!</definedName>
    <definedName name="L_KEYWORD_EQTY_200004995_B_CAMELOT_CAGR_DPS">#REF!</definedName>
    <definedName name="L_KEYWORD_EQTY_200004995_B_CAMELOT_PB">#REF!</definedName>
    <definedName name="L_KEYWORD_EQTY_200004995_B_CAMELOT_PE">#REF!</definedName>
    <definedName name="L_KEYWORD_EQTY_200004995_B_FORECASTRANGE">#REF!</definedName>
    <definedName name="L_KEYWORD_EQTY_200004995_B_FORECASTYRS">#REF!</definedName>
    <definedName name="L_KEYWORD_EQTY_200004995_B_PL_GSBVPS">#REF!</definedName>
    <definedName name="L_KEYWORD_EQTY_200004995_B_PL_GSEPS">#REF!</definedName>
    <definedName name="L_KEYWORD_EQTY_200004995_B_PL_GSINCOME">#REF!</definedName>
    <definedName name="L_KEYWORD_EQTY_200004995_B_PL_PTASSOC">#REF!</definedName>
    <definedName name="L_KEYWORD_EQTY_200004995_B_RIM_BETA">#REF!</definedName>
    <definedName name="L_KEYWORD_EQTY_200004995_B_RIM_COE">#REF!</definedName>
    <definedName name="L_KEYWORD_EQTY_200004995_B_RIM_PB">#REF!</definedName>
    <definedName name="L_KEYWORD_EQTY_200004995_B_RIM_PE">#REF!</definedName>
    <definedName name="L_KEYWORD_EQTY_200004995_BASE_CASE_VAL_DCF">#REF!</definedName>
    <definedName name="L_KEYWORD_EQTY_200004995_BENEFITS_TAX_LOSSES">#REF!</definedName>
    <definedName name="L_KEYWORD_EQTY_200004995_BETA_ANALYST">#REF!</definedName>
    <definedName name="L_KEYWORD_EQTY_200004995_BVPS">#REF!</definedName>
    <definedName name="L_KEYWORD_EQTY_200004995_BVPS_PUB">#REF!</definedName>
    <definedName name="L_KEYWORD_EQTY_200004995_CASH_EARNINGS_COMPANY">#REF!</definedName>
    <definedName name="L_KEYWORD_EQTY_200004995_CATALYST1_DATE">#REF!</definedName>
    <definedName name="L_KEYWORD_EQTY_200004995_CATALYST1_EVENT">#REF!</definedName>
    <definedName name="L_KEYWORD_EQTY_200004995_CATALYST2_DATE">#REF!</definedName>
    <definedName name="L_KEYWORD_EQTY_200004995_CATALYST2_EVENT">#REF!</definedName>
    <definedName name="L_KEYWORD_EQTY_200004995_CATALYST3_DATE">#REF!</definedName>
    <definedName name="L_KEYWORD_EQTY_200004995_CATALYST3_EVENT">#REF!</definedName>
    <definedName name="L_KEYWORD_EQTY_200004995_CATALYST4_DATE">#REF!</definedName>
    <definedName name="L_KEYWORD_EQTY_200004995_CATALYST4_EVENT">#REF!</definedName>
    <definedName name="L_KEYWORD_EQTY_200004995_CATALYST5_DATE">#REF!</definedName>
    <definedName name="L_KEYWORD_EQTY_200004995_CATALYST5_EVENT">#REF!</definedName>
    <definedName name="L_KEYWORD_EQTY_200004995_CEEE_NDEBT">#REF!</definedName>
    <definedName name="L_KEYWORD_EQTY_200004995_COE">#REF!</definedName>
    <definedName name="L_KEYWORD_EQTY_200004995_COMMON_DIV_PAID">#REF!</definedName>
    <definedName name="L_KEYWORD_EQTY_200004995_CONVERTIBLE_NOTES">#REF!</definedName>
    <definedName name="L_KEYWORD_EQTY_200004995_COST_OF_EQUITY_DCF">#REF!</definedName>
    <definedName name="L_KEYWORD_EQTY_200004995_CUM_PRESENT_VAL_CASH_FLOWS_DCF">#REF!</definedName>
    <definedName name="L_KEYWORD_EQTY_200004995_CURRENCY_ISO">#REF!</definedName>
    <definedName name="L_KEYWORD_EQTY_200004995_DCF_CASH_FLOW">#REF!</definedName>
    <definedName name="L_KEYWORD_EQTY_200004995_DEBT_EQUITY">#REF!</definedName>
    <definedName name="L_KEYWORD_EQTY_200004995_DEBT_RISK_MARGIN_DCF">#REF!</definedName>
    <definedName name="L_KEYWORD_EQTY_200004995_DILUTE_NI_IMPAC">#REF!</definedName>
    <definedName name="L_KEYWORD_EQTY_200004995_DILUTE_SHARES">#REF!</definedName>
    <definedName name="L_KEYWORD_EQTY_200004995_DISCOUNT_FACTOR_DCF">#REF!</definedName>
    <definedName name="L_KEYWORD_EQTY_200004995_DPS">#REF!</definedName>
    <definedName name="L_KEYWORD_EQTY_200004995_DPS_PUB">#REF!</definedName>
    <definedName name="L_KEYWORD_EQTY_200004995_DPS_SPECIAL_PUB">#REF!</definedName>
    <definedName name="L_KEYWORD_EQTY_200004995_DRP_DISCOUNT">#REF!</definedName>
    <definedName name="L_KEYWORD_EQTY_200004995_DRP_PARTICIPATION">#REF!</definedName>
    <definedName name="L_KEYWORD_EQTY_200004995_EBIT_PUB">#REF!</definedName>
    <definedName name="L_KEYWORD_EQTY_200004995_EBITDA_PUB">#REF!</definedName>
    <definedName name="L_KEYWORD_EQTY_200004995_EFF_INT_RATE_IMPACT_POST_TAX">#REF!</definedName>
    <definedName name="L_KEYWORD_EQTY_200004995_EFPO">#REF!</definedName>
    <definedName name="L_KEYWORD_EQTY_200004995_EFPOWA">#REF!</definedName>
    <definedName name="L_KEYWORD_EQTY_200004995_EPS">#REF!</definedName>
    <definedName name="L_KEYWORD_EQTY_200004995_EPS_CONS_PUB">#REF!</definedName>
    <definedName name="L_KEYWORD_EQTY_200004995_EPS_FUL_DIL">#REF!</definedName>
    <definedName name="L_KEYWORD_EQTY_200004995_EPS_POST_BASIC">#REF!</definedName>
    <definedName name="L_KEYWORD_EQTY_200004995_EPS_PRE_GWILL">#REF!</definedName>
    <definedName name="L_KEYWORD_EQTY_200004995_EPS_PUB">#REF!</definedName>
    <definedName name="L_KEYWORD_EQTY_200004995_EPS_REPORTED">#REF!</definedName>
    <definedName name="L_KEYWORD_EQTY_200004995_EQ_PUB">#REF!</definedName>
    <definedName name="L_KEYWORD_EQTY_200004995_EQUITY_VALUE_DCF">#REF!</definedName>
    <definedName name="L_KEYWORD_EQTY_200004995_EV_ADJ_PUB">#REF!</definedName>
    <definedName name="L_KEYWORD_EQTY_200004995_FIN_INSTRUMENT_HEDGE_POST_TAX">#REF!</definedName>
    <definedName name="L_KEYWORD_EQTY_200004995_FINAL_DIV_AMOUNT">#REF!</definedName>
    <definedName name="L_KEYWORD_EQTY_200004995_FINAL_DIV_EXDATE">#REF!</definedName>
    <definedName name="L_KEYWORD_EQTY_200004995_FINAL_DIV_FRANK">#REF!</definedName>
    <definedName name="L_KEYWORD_EQTY_200004995_FINAL_DIV_TAXRATE">#REF!</definedName>
    <definedName name="L_KEYWORD_EQTY_200004995_FOREIGN_EXCHANGE_GAIN_LOSS">#REF!</definedName>
    <definedName name="L_KEYWORD_EQTY_200004995_FOREIGN_HOLDNG">#REF!</definedName>
    <definedName name="L_KEYWORD_EQTY_200004995_FRANK_TAX_RATE">#REF!</definedName>
    <definedName name="L_KEYWORD_EQTY_200004995_FRANKING">#REF!</definedName>
    <definedName name="L_KEYWORD_EQTY_200004995_FRANKING_ANZPUB">#REF!</definedName>
    <definedName name="L_KEYWORD_EQTY_200004995_FRANKING_SPECIAL_ANZPUB">#REF!</definedName>
    <definedName name="L_KEYWORD_EQTY_200004995_FREE_FLOAT">#REF!</definedName>
    <definedName name="L_KEYWORD_EQTY_200004995_FULLY_DIL_EPS">#REF!</definedName>
    <definedName name="L_KEYWORD_EQTY_200004995_GRTH_CAGR_TOT_ASSET_PROJECTED">#REF!</definedName>
    <definedName name="L_KEYWORD_EQTY_200004995_GRTH_CAGR_TOT_ASSET_TERMINAL">#REF!</definedName>
    <definedName name="L_KEYWORD_EQTY_200004995_GWILL_ASSET_IMP_CHG_POST_TAX">#REF!</definedName>
    <definedName name="L_KEYWORD_EQTY_200004995_IMP_CREDITS_PER_SHARE_DCF">#REF!</definedName>
    <definedName name="L_KEYWORD_EQTY_200004995_INC_MINORITY">#REF!</definedName>
    <definedName name="L_KEYWORD_EQTY_200004995_INCTAX_PL_ON_AB">#REF!</definedName>
    <definedName name="L_KEYWORD_EQTY_200004995_INCTAX_PL_POST_AB">#REF!</definedName>
    <definedName name="L_KEYWORD_EQTY_200004995_INT_DIV_AMOUNT">#REF!</definedName>
    <definedName name="L_KEYWORD_EQTY_200004995_INT_DIV_EXDATE">#REF!</definedName>
    <definedName name="L_KEYWORD_EQTY_200004995_INT_DIV_FRANK">#REF!</definedName>
    <definedName name="L_KEYWORD_EQTY_200004995_INT_DIV_TAXRATE">#REF!</definedName>
    <definedName name="L_KEYWORD_EQTY_200004995_Interim_Type">#REF!</definedName>
    <definedName name="L_KEYWORD_EQTY_200004995_INTRINSIC_PER_SHARE_VALUE_DCF">#REF!</definedName>
    <definedName name="L_KEYWORD_EQTY_200004995_LEGAL_RATING">#REF!</definedName>
    <definedName name="L_KEYWORD_EQTY_200004995_MARGIN_TAX_RATE">#REF!</definedName>
    <definedName name="L_KEYWORD_EQTY_200004995_MARKET_VALUE_OF_INVESTMENTS_DCF">#REF!</definedName>
    <definedName name="L_KEYWORD_EQTY_200004995_MINOR_EQUITY">#REF!</definedName>
    <definedName name="L_KEYWORD_EQTY_200004995_MINOR_NON_EQUITY">#REF!</definedName>
    <definedName name="L_KEYWORD_EQTY_200004995_MKT_EQ_RISK_PREM">#REF!</definedName>
    <definedName name="L_KEYWORD_EQTY_200004995_NET_DEBT_EX_LEASES_PUB">#REF!</definedName>
    <definedName name="L_KEYWORD_EQTY_200004995_NET_DEBT_NET_CASH_DCF">#REF!</definedName>
    <definedName name="L_KEYWORD_EQTY_200004995_NET_DEBT_PUB">#REF!</definedName>
    <definedName name="L_KEYWORD_EQTY_200004995_NET_EARNING">#REF!</definedName>
    <definedName name="L_KEYWORD_EQTY_200004995_NET_INC">#REF!</definedName>
    <definedName name="L_KEYWORD_EQTY_200004995_NET_PROFIT">#REF!</definedName>
    <definedName name="L_KEYWORD_EQTY_200004995_NET_TANGIBLE_ASSETS_ADJUSTED_NZ">#REF!</definedName>
    <definedName name="L_KEYWORD_EQTY_200004995_NI_CONS">#REF!</definedName>
    <definedName name="L_KEYWORD_EQTY_200004995_NI_PUB">#REF!</definedName>
    <definedName name="L_KEYWORD_EQTY_200004995_NI_REPT_PUB">#REF!</definedName>
    <definedName name="L_KEYWORD_EQTY_200004995_NON_OP_ADD">#REF!</definedName>
    <definedName name="L_KEYWORD_EQTY_200004995_NOPAT">#REF!</definedName>
    <definedName name="L_KEYWORD_EQTY_200004995_NOT_IN_USE">#REF!</definedName>
    <definedName name="L_KEYWORD_EQTY_200004995_NTA_PER_SHARE">#REF!</definedName>
    <definedName name="L_KEYWORD_EQTY_200004995_NUM_SH">#REF!</definedName>
    <definedName name="L_KEYWORD_EQTY_200004995_OPPL_ATAX_POST_AB">#REF!</definedName>
    <definedName name="L_KEYWORD_EQTY_200004995_OPTIONS">#REF!</definedName>
    <definedName name="L_KEYWORD_EQTY_200004995_OPTIONS_IN_MONEY">#REF!</definedName>
    <definedName name="L_KEYWORD_EQTY_200004995_OTH_ASSET_IMPAIR_CHG_POST_TAX">#REF!</definedName>
    <definedName name="L_KEYWORD_EQTY_200004995_OTHER_ABNORMAL_ITEMS">#REF!</definedName>
    <definedName name="L_KEYWORD_EQTY_200004995_OTHER_CAPITAL">#REF!</definedName>
    <definedName name="L_KEYWORD_EQTY_200004995_OTHER_IFRS_ADJUST_POST_TAX">#REF!</definedName>
    <definedName name="L_KEYWORD_EQTY_200004995_PARTLY_PAID_SHARES">#REF!</definedName>
    <definedName name="L_KEYWORD_EQTY_200004995_PERPETUITY_GROWTH_RATE_DCF">#REF!</definedName>
    <definedName name="L_KEYWORD_EQTY_200004995_PREFERENCE_SHARES">#REF!</definedName>
    <definedName name="L_KEYWORD_EQTY_200004995_PRESENT_VALUE_OF_CASH_FLOW_DCF">#REF!</definedName>
    <definedName name="L_KEYWORD_EQTY_200004995_PRI_TARG_METH">#REF!</definedName>
    <definedName name="L_KEYWORD_EQTY_200004995_PRI_TARG_MULT">#REF!</definedName>
    <definedName name="L_KEYWORD_EQTY_200004995_PRICE_CURRENCY_ISO">#REF!</definedName>
    <definedName name="L_KEYWORD_EQTY_200004995_PROF_ADJUST_EPS">#REF!</definedName>
    <definedName name="L_KEYWORD_EQTY_200004995_PROF_AT">#REF!</definedName>
    <definedName name="L_KEYWORD_EQTY_200004995_PROV_INC_TAX">#REF!</definedName>
    <definedName name="L_KEYWORD_EQTY_200004995_PTP_PUB">#REF!</definedName>
    <definedName name="L_KEYWORD_EQTY_200004995_PUB_CURRENCY_ISO">#REF!</definedName>
    <definedName name="L_KEYWORD_EQTY_200004995_RESTRUC_COSTS">#REF!</definedName>
    <definedName name="L_KEYWORD_EQTY_200004995_REVS_PUB">#REF!</definedName>
    <definedName name="L_KEYWORD_EQTY_200004995_RISK_ADJ_OPTION_VALUE_DCF">#REF!</definedName>
    <definedName name="L_KEYWORD_EQTY_200004995_RISK_FR_RATE">#REF!</definedName>
    <definedName name="L_KEYWORD_EQTY_200004995_RISK_TO_EARNINGS">#REF!</definedName>
    <definedName name="L_KEYWORD_EQTY_200004995_RISK_WEIGHTED_ASSET_APRA">#REF!</definedName>
    <definedName name="L_KEYWORD_EQTY_200004995_ROAA_PROJECTED">#REF!</definedName>
    <definedName name="L_KEYWORD_EQTY_200004995_ROCE_ANZ">#REF!</definedName>
    <definedName name="L_KEYWORD_EQTY_200004995_ROE_TERMINAL">#REF!</definedName>
    <definedName name="L_KEYWORD_EQTY_200004995_Security_Name">#REF!</definedName>
    <definedName name="L_KEYWORD_EQTY_200004995_SH">#REF!</definedName>
    <definedName name="L_KEYWORD_EQTY_200004995_SHOLDERS_EQUITY_MBRS">#REF!</definedName>
    <definedName name="L_KEYWORD_EQTY_200004995_STD_FREE_OP_CASH_FLOW_DCF">#REF!</definedName>
    <definedName name="L_KEYWORD_EQTY_200004995_TANG_BVPS">#REF!</definedName>
    <definedName name="L_KEYWORD_EQTY_200004995_TARGET_PRICE">#REF!</definedName>
    <definedName name="L_KEYWORD_EQTY_200004995_TARGET_PRICE_FUNDAMENTAL">#REF!</definedName>
    <definedName name="L_KEYWORD_EQTY_200004995_TARGET_PRICE_MA">#REF!</definedName>
    <definedName name="L_KEYWORD_EQTY_200004995_TAX_EXC">#REF!</definedName>
    <definedName name="L_KEYWORD_EQTY_200004995_TAX_RATE_DCF">#REF!</definedName>
    <definedName name="L_KEYWORD_EQTY_200004995_TBVPS_LAST">#REF!</definedName>
    <definedName name="L_KEYWORD_EQTY_200004995_TERMINAL_YEAR_DCF">#REF!</definedName>
    <definedName name="L_KEYWORD_EQTY_200004995_Ticker">#REF!</definedName>
    <definedName name="L_KEYWORD_EQTY_200004995_TOTAL_ANNUAL_DIV_AMOUNT">#REF!</definedName>
    <definedName name="L_KEYWORD_EQTY_200004995_TOTAL_CAPITAL_EFPO">#REF!</definedName>
    <definedName name="L_KEYWORD_EQTY_200004995_TOTAL_CAPITAL_EFPOWA">#REF!</definedName>
    <definedName name="L_KEYWORD_EQTY_200004995_TOTAL_IFRS_ADJUST_POST_TAX">#REF!</definedName>
    <definedName name="L_KEYWORD_EQTY_200004995_TP_PERIOD">#REF!</definedName>
    <definedName name="L_KEYWORD_EQTY_200004995_VALUATION_YEAR">#REF!</definedName>
    <definedName name="L_KEYWORD_EQTY_200004995_WACC_DCF">#REF!</definedName>
    <definedName name="L_KEYWORD_EQTY_200004995_YEAR_END_CAPITAL_EVA">#REF!</definedName>
    <definedName name="L_KEYWORD_ISSR_208005525_ACC_END_DATE">#REF!</definedName>
    <definedName name="L_KEYWORD_ISSR_208005525_ACCEPTANCES_ASSETS">#REF!</definedName>
    <definedName name="L_KEYWORD_ISSR_208005525_ACCEPTANCES_LIABS">#REF!</definedName>
    <definedName name="L_KEYWORD_ISSR_208005525_ACCRUAL">#REF!</definedName>
    <definedName name="L_KEYWORD_ISSR_208005525_AMORT_OF_INTANGIBLES">#REF!</definedName>
    <definedName name="L_KEYWORD_ISSR_208005525_AMORT_OF_INTANGIBLES_ADJ">#REF!</definedName>
    <definedName name="L_KEYWORD_ISSR_208005525_ASIA_ASS">#REF!</definedName>
    <definedName name="L_KEYWORD_ISSR_208005525_ASIA_OP">#REF!</definedName>
    <definedName name="L_KEYWORD_ISSR_208005525_ASIA_SALES">#REF!</definedName>
    <definedName name="L_KEYWORD_ISSR_208005525_ASSET_MISC">#REF!</definedName>
    <definedName name="L_KEYWORD_ISSR_208005525_ASSOCIATE">#REF!</definedName>
    <definedName name="L_KEYWORD_ISSR_208005525_AVG_ACCEPTANCES">#REF!</definedName>
    <definedName name="L_KEYWORD_ISSR_208005525_AVG_CAPITAL_EMPLOYED_ADJ">#REF!</definedName>
    <definedName name="L_KEYWORD_ISSR_208005525_AVG_GROSS_NON_PERF_ASSETS">#REF!</definedName>
    <definedName name="L_KEYWORD_ISSR_208005525_AVG_INT_BEARING_LIABS">#REF!</definedName>
    <definedName name="L_KEYWORD_ISSR_208005525_AVG_INT_EARN_ASSETS">#REF!</definedName>
    <definedName name="L_KEYWORD_ISSR_208005525_AVG_LOANS_ADVANCES">#REF!</definedName>
    <definedName name="L_KEYWORD_ISSR_208005525_AVG_NON_INT_BEARING_LIABS">#REF!</definedName>
    <definedName name="L_KEYWORD_ISSR_208005525_AVG_OTH_PROD_ASSETS">#REF!</definedName>
    <definedName name="L_KEYWORD_ISSR_208005525_AVG_OTHER_ASSETS">#REF!</definedName>
    <definedName name="L_KEYWORD_ISSR_208005525_AVG_OTHER_LIABS">#REF!</definedName>
    <definedName name="L_KEYWORD_ISSR_208005525_AVG_PROD_INT_EARN_ASSETS">#REF!</definedName>
    <definedName name="L_KEYWORD_ISSR_208005525_AVG_PROV_BAD_DEBT">#REF!</definedName>
    <definedName name="L_KEYWORD_ISSR_208005525_AVG_TOTAL_ASSETS">#REF!</definedName>
    <definedName name="L_KEYWORD_ISSR_208005525_AVG_YIELD_LOANS">#REF!</definedName>
    <definedName name="L_KEYWORD_ISSR_208005525_B_BS_A_DEBTTOT">#REF!</definedName>
    <definedName name="L_KEYWORD_ISSR_208005525_B_BS_A_LNBNK">#REF!</definedName>
    <definedName name="L_KEYWORD_ISSR_208005525_B_BS_A_NETLOANS">#REF!</definedName>
    <definedName name="L_KEYWORD_ISSR_208005525_B_BS_A_OTHINT1">#REF!</definedName>
    <definedName name="L_KEYWORD_ISSR_208005525_B_BS_A_PERIOD">#REF!</definedName>
    <definedName name="L_KEYWORD_ISSR_208005525_B_BS_L_BANKDEP">#REF!</definedName>
    <definedName name="L_KEYWORD_ISSR_208005525_B_BS_L_CUSTDEP">#REF!</definedName>
    <definedName name="L_KEYWORD_ISSR_208005525_B_BS_L_GSTANGEQ">#REF!</definedName>
    <definedName name="L_KEYWORD_ISSR_208005525_B_BS_L_PERIOD">#REF!</definedName>
    <definedName name="L_KEYWORD_ISSR_208005525_B_CA_B3T1RATIO">#REF!</definedName>
    <definedName name="L_KEYWORD_ISSR_208005525_B_CA_BISRATIO">#REF!</definedName>
    <definedName name="L_KEYWORD_ISSR_208005525_B_CA_CAPBASE">#REF!</definedName>
    <definedName name="L_KEYWORD_ISSR_208005525_B_CA_CORECAP">#REF!</definedName>
    <definedName name="L_KEYWORD_ISSR_208005525_B_CA_PREFCAP">#REF!</definedName>
    <definedName name="L_KEYWORD_ISSR_208005525_B_CA_RWA">#REF!</definedName>
    <definedName name="L_KEYWORD_ISSR_208005525_B_CA_T1CAP">#REF!</definedName>
    <definedName name="L_KEYWORD_ISSR_208005525_B_CA_T1RATIO">#REF!</definedName>
    <definedName name="L_KEYWORD_ISSR_208005525_B_CA_T2CAP">#REF!</definedName>
    <definedName name="L_KEYWORD_ISSR_208005525_B_CA_T2RATIO">#REF!</definedName>
    <definedName name="L_KEYWORD_ISSR_208005525_B_CAMELOT_SUST_ROE">#REF!</definedName>
    <definedName name="L_KEYWORD_ISSR_208005525_B_DE_DEMAND">#REF!</definedName>
    <definedName name="L_KEYWORD_ISSR_208005525_B_DE_OTHERS">#REF!</definedName>
    <definedName name="L_KEYWORD_ISSR_208005525_B_DE_TIME">#REF!</definedName>
    <definedName name="L_KEYWORD_ISSR_208005525_B_DE_TOTDEPOSIT">#REF!</definedName>
    <definedName name="L_KEYWORD_ISSR_208005525_B_GAIN_SALE_SEC">#REF!</definedName>
    <definedName name="L_KEYWORD_ISSR_208005525_B_IH_BKVALUE">#REF!</definedName>
    <definedName name="L_KEYWORD_ISSR_208005525_B_IH_MKTVALUE">#REF!</definedName>
    <definedName name="L_KEYWORD_ISSR_208005525_B_IH_PTAXVALUE">#REF!</definedName>
    <definedName name="L_KEYWORD_ISSR_208005525_B_IH_TAX">#REF!</definedName>
    <definedName name="L_KEYWORD_ISSR_208005525_B_IH_UNREALISE">#REF!</definedName>
    <definedName name="L_KEYWORD_ISSR_208005525_B_LB_COMMCL">#REF!</definedName>
    <definedName name="L_KEYWORD_ISSR_208005525_B_LB_CONSTRUCT">#REF!</definedName>
    <definedName name="L_KEYWORD_ISSR_208005525_B_LB_FINANCL">#REF!</definedName>
    <definedName name="L_KEYWORD_ISSR_208005525_B_LB_FINLEASE">#REF!</definedName>
    <definedName name="L_KEYWORD_ISSR_208005525_B_LB_GOVERNMT">#REF!</definedName>
    <definedName name="L_KEYWORD_ISSR_208005525_B_LB_GROSSLOANS">#REF!</definedName>
    <definedName name="L_KEYWORD_ISSR_208005525_B_LB_MORTG">#REF!</definedName>
    <definedName name="L_KEYWORD_ISSR_208005525_B_LB_OTHER">#REF!</definedName>
    <definedName name="L_KEYWORD_ISSR_208005525_B_LB_OTHLEND">#REF!</definedName>
    <definedName name="L_KEYWORD_ISSR_208005525_B_LB_OTHSECURE">#REF!</definedName>
    <definedName name="L_KEYWORD_ISSR_208005525_B_LB_OVSEASLEND">#REF!</definedName>
    <definedName name="L_KEYWORD_ISSR_208005525_B_LB_PERSON">#REF!</definedName>
    <definedName name="L_KEYWORD_ISSR_208005525_B_LB_TOTCORP">#REF!</definedName>
    <definedName name="L_KEYWORD_ISSR_208005525_B_LB_TOTPERSNL">#REF!</definedName>
    <definedName name="L_KEYWORD_ISSR_208005525_B_LT_DIV_PAYOUT">#REF!</definedName>
    <definedName name="L_KEYWORD_ISSR_208005525_B_MA_REPCOSTLIB">#REF!</definedName>
    <definedName name="L_KEYWORD_ISSR_208005525_B_MA_REPGYLD">#REF!</definedName>
    <definedName name="L_KEYWORD_ISSR_208005525_B_MA_REPIMPSPD">#REF!</definedName>
    <definedName name="L_KEYWORD_ISSR_208005525_B_MA_REPINTAST">#REF!</definedName>
    <definedName name="L_KEYWORD_ISSR_208005525_B_MA_REPINTLIB">#REF!</definedName>
    <definedName name="L_KEYWORD_ISSR_208005525_B_MA_REPNIM">#REF!</definedName>
    <definedName name="L_KEYWORD_ISSR_208005525_B_NPL_PROBLN">#REF!</definedName>
    <definedName name="L_KEYWORD_ISSR_208005525_B_NPL_TOTNPL">#REF!</definedName>
    <definedName name="L_KEYWORD_ISSR_208005525_B_PL_LOANPRV">#REF!</definedName>
    <definedName name="L_KEYWORD_ISSR_208005525_B_PL_NETINTINC">#REF!</definedName>
    <definedName name="L_KEYWORD_ISSR_208005525_B_PV_GLLRCUST">#REF!</definedName>
    <definedName name="L_KEYWORD_ISSR_208005525_B_PV_SLLRCUST">#REF!</definedName>
    <definedName name="L_KEYWORD_ISSR_208005525_B_PV_TOTLLRCUST">#REF!</definedName>
    <definedName name="L_KEYWORD_ISSR_208005525_BAL_MINO_INT">#REF!</definedName>
    <definedName name="L_KEYWORD_ISSR_208005525_BAL_OF_FRANK_CREDITS">#REF!</definedName>
    <definedName name="L_KEYWORD_ISSR_208005525_BONDS_NOTES_SUBORD_DEBT">#REF!</definedName>
    <definedName name="L_KEYWORD_ISSR_208005525_BRANCHES">#REF!</definedName>
    <definedName name="L_KEYWORD_ISSR_208005525_CAP_LEASES">#REF!</definedName>
    <definedName name="L_KEYWORD_ISSR_208005525_CASH_EQ">#REF!</definedName>
    <definedName name="L_KEYWORD_ISSR_208005525_COGS_PCT_ROW">#REF!</definedName>
    <definedName name="L_KEYWORD_ISSR_208005525_COGS_PCT_US">#REF!</definedName>
    <definedName name="L_KEYWORD_ISSR_208005525_COMMITMENTS">#REF!</definedName>
    <definedName name="L_KEYWORD_ISSR_208005525_CONTINGENCIES">#REF!</definedName>
    <definedName name="L_KEYWORD_ISSR_208005525_COST_OF_DEBT_DCF">#REF!</definedName>
    <definedName name="L_KEYWORD_ISSR_208005525_CURRENCY_ISO">#REF!</definedName>
    <definedName name="L_KEYWORD_ISSR_208005525_DEBT_SECUR">#REF!</definedName>
    <definedName name="L_KEYWORD_ISSR_208005525_DEBT_TO_EQUITY_MKT_VALUES_DCF">#REF!</definedName>
    <definedName name="L_KEYWORD_ISSR_208005525_DEFINED_BENEFIT_OBLIGATION">#REF!</definedName>
    <definedName name="L_KEYWORD_ISSR_208005525_DEFINED_BENEFIT_SURPLUS">#REF!</definedName>
    <definedName name="L_KEYWORD_ISSR_208005525_DEPR_ROU_ASSETS">#REF!</definedName>
    <definedName name="L_KEYWORD_ISSR_208005525_DEPREC">#REF!</definedName>
    <definedName name="L_KEYWORD_ISSR_208005525_DEVELOPMENT_VENTURES">#REF!</definedName>
    <definedName name="L_KEYWORD_ISSR_208005525_DIV_PAID">#REF!</definedName>
    <definedName name="L_KEYWORD_ISSR_208005525_DIVID_INC">#REF!</definedName>
    <definedName name="L_KEYWORD_ISSR_208005525_DOM_ASS">#REF!</definedName>
    <definedName name="L_KEYWORD_ISSR_208005525_DOM_OP">#REF!</definedName>
    <definedName name="L_KEYWORD_ISSR_208005525_DOM_SALES">#REF!</definedName>
    <definedName name="L_KEYWORD_ISSR_208005525_EBIT_UNDERLYING_PRE_GWILL">#REF!</definedName>
    <definedName name="L_KEYWORD_ISSR_208005525_EFFECT_INT_RATE_IMPACT_PRE_TAX">#REF!</definedName>
    <definedName name="L_KEYWORD_ISSR_208005525_EMER_ASS">#REF!</definedName>
    <definedName name="L_KEYWORD_ISSR_208005525_EMER_OP">#REF!</definedName>
    <definedName name="L_KEYWORD_ISSR_208005525_EMER_SALES">#REF!</definedName>
    <definedName name="L_KEYWORD_ISSR_208005525_EMPLOYEES">#REF!</definedName>
    <definedName name="L_KEYWORD_ISSR_208005525_EQ">#REF!</definedName>
    <definedName name="L_KEYWORD_ISSR_208005525_EQUIP_COSTS">#REF!</definedName>
    <definedName name="L_KEYWORD_ISSR_208005525_EUR_ASS">#REF!</definedName>
    <definedName name="L_KEYWORD_ISSR_208005525_EURO_OP">#REF!</definedName>
    <definedName name="L_KEYWORD_ISSR_208005525_EURO_SALES">#REF!</definedName>
    <definedName name="L_KEYWORD_ISSR_208005525_EXP_OIL_DERIV_NGLS_PLASTICS">#REF!</definedName>
    <definedName name="L_KEYWORD_ISSR_208005525_EXP_OIL_PETRO_FUEL">#REF!</definedName>
    <definedName name="L_KEYWORD_ISSR_208005525_FIN_INSTR_HEDGE_CURR_LIABILITY">#REF!</definedName>
    <definedName name="L_KEYWORD_ISSR_208005525_FIN_INSTRUMENT_HEDGE_PRE_TAX">#REF!</definedName>
    <definedName name="L_KEYWORD_ISSR_208005525_FIN_TRANS_INC">#REF!</definedName>
    <definedName name="L_KEYWORD_ISSR_208005525_FINANCE_SERVICES_INCOME">#REF!</definedName>
    <definedName name="L_KEYWORD_ISSR_208005525_FIX_ASS_INV">#REF!</definedName>
    <definedName name="L_KEYWORD_ISSR_208005525_FLOATING_PCT_LOCAL_DEBT">#REF!</definedName>
    <definedName name="L_KEYWORD_ISSR_208005525_FLOATING_PCT_LOCAL_DEBT_HEDGED">#REF!</definedName>
    <definedName name="L_KEYWORD_ISSR_208005525_FOREIGN_EXCH_INCOME">#REF!</definedName>
    <definedName name="L_KEYWORD_ISSR_208005525_FX_AUD_ASSUMPTION">#REF!</definedName>
    <definedName name="L_KEYWORD_ISSR_208005525_FX_AUD_NI_SENSITIVITY">#REF!</definedName>
    <definedName name="L_KEYWORD_ISSR_208005525_FX_EUR_ASSUMPTION">#REF!</definedName>
    <definedName name="L_KEYWORD_ISSR_208005525_FX_EUR_NI_SENSITIVITY">#REF!</definedName>
    <definedName name="L_KEYWORD_ISSR_208005525_FX_USD_ASSUMPTION">#REF!</definedName>
    <definedName name="L_KEYWORD_ISSR_208005525_FX_USD_NI_SENSITIVITY">#REF!</definedName>
    <definedName name="L_KEYWORD_ISSR_208005525_GEN_INS_INC">#REF!</definedName>
    <definedName name="L_KEYWORD_ISSR_208005525_GENERAL_PROV">#REF!</definedName>
    <definedName name="L_KEYWORD_ISSR_208005525_GENERAL_PROV_DOUBTFUL">#REF!</definedName>
    <definedName name="L_KEYWORD_ISSR_208005525_GOODWILL">#REF!</definedName>
    <definedName name="L_KEYWORD_ISSR_208005525_GOODWILL_AMORT">#REF!</definedName>
    <definedName name="L_KEYWORD_ISSR_208005525_GROSS_LOANS_ADVANCES">#REF!</definedName>
    <definedName name="L_KEYWORD_ISSR_208005525_GROSS_NON_ACCRUAL">#REF!</definedName>
    <definedName name="L_KEYWORD_ISSR_208005525_GROSS_OP_PROF">#REF!</definedName>
    <definedName name="L_KEYWORD_ISSR_208005525_GWILL_ASSET_IMPAIR_CHG_PRE_TAX">#REF!</definedName>
    <definedName name="L_KEYWORD_ISSR_208005525_HYBRID_DIST_PRE_TAX">#REF!</definedName>
    <definedName name="L_KEYWORD_ISSR_208005525_INS_CLAIMS">#REF!</definedName>
    <definedName name="L_KEYWORD_ISSR_208005525_INT_EARN_ASSETS">#REF!</definedName>
    <definedName name="L_KEYWORD_ISSR_208005525_INT_EXP">#REF!</definedName>
    <definedName name="L_KEYWORD_ISSR_208005525_INT_INC">#REF!</definedName>
    <definedName name="L_KEYWORD_ISSR_208005525_INV_SECUR">#REF!</definedName>
    <definedName name="L_KEYWORD_ISSR_208005525_INVESTMENT_SECS_INCOME">#REF!</definedName>
    <definedName name="L_KEYWORD_ISSR_208005525_INVESTMENTS">#REF!</definedName>
    <definedName name="L_KEYWORD_ISSR_208005525_Issuer_Name">#REF!</definedName>
    <definedName name="L_KEYWORD_ISSR_208005525_LABOUR">#REF!</definedName>
    <definedName name="L_KEYWORD_ISSR_208005525_LATAM_ASS">#REF!</definedName>
    <definedName name="L_KEYWORD_ISSR_208005525_LATAM_OP">#REF!</definedName>
    <definedName name="L_KEYWORD_ISSR_208005525_LATAM_SALES">#REF!</definedName>
    <definedName name="L_KEYWORD_ISSR_208005525_LEASE_ADOPT">#REF!</definedName>
    <definedName name="L_KEYWORD_ISSR_208005525_LEASE_INT_CHG">#REF!</definedName>
    <definedName name="L_KEYWORD_ISSR_208005525_LEASE_PAY">#REF!</definedName>
    <definedName name="L_KEYWORD_ISSR_208005525_LEASE_PRINCIPAL_CASH">#REF!</definedName>
    <definedName name="L_KEYWORD_ISSR_208005525_LENDING_FEES">#REF!</definedName>
    <definedName name="L_KEYWORD_ISSR_208005525_LIAB_MISC">#REF!</definedName>
    <definedName name="L_KEYWORD_ISSR_208005525_LIFE_INC">#REF!</definedName>
    <definedName name="L_KEYWORD_ISSR_208005525_LIFE_POLICY_ASS">#REF!</definedName>
    <definedName name="L_KEYWORD_ISSR_208005525_LIFE_POLICY_LIABS">#REF!</definedName>
    <definedName name="L_KEYWORD_ISSR_208005525_LIFE_SHARE">#REF!</definedName>
    <definedName name="L_KEYWORD_ISSR_208005525_LIQUID_ASSETS">#REF!</definedName>
    <definedName name="L_KEYWORD_ISSR_208005525_LOAN_CAPITAL">#REF!</definedName>
    <definedName name="L_KEYWORD_ISSR_208005525_LT_LEASE_LIAB">#REF!</definedName>
    <definedName name="L_KEYWORD_ISSR_208005525_MA_PROB">#REF!</definedName>
    <definedName name="L_KEYWORD_ISSR_208005525_MINOR_EQUITY_BS">#REF!</definedName>
    <definedName name="L_KEYWORD_ISSR_208005525_MINORITIES">#REF!</definedName>
    <definedName name="L_KEYWORD_ISSR_208005525_MONEY_TRANSFER_FEES">#REF!</definedName>
    <definedName name="L_KEYWORD_ISSR_208005525_MV_ASSOCIATES">#REF!</definedName>
    <definedName name="L_KEYWORD_ISSR_208005525_NAM_ASS">#REF!</definedName>
    <definedName name="L_KEYWORD_ISSR_208005525_NAM_OP">#REF!</definedName>
    <definedName name="L_KEYWORD_ISSR_208005525_NAM_SALES">#REF!</definedName>
    <definedName name="L_KEYWORD_ISSR_208005525_NET_ASSETS">#REF!</definedName>
    <definedName name="L_KEYWORD_ISSR_208005525_NET_DEBT">#REF!</definedName>
    <definedName name="L_KEYWORD_ISSR_208005525_NET_FEE">#REF!</definedName>
    <definedName name="L_KEYWORD_ISSR_208005525_NET_FIX_ASS">#REF!</definedName>
    <definedName name="L_KEYWORD_ISSR_208005525_NET_FREE_FUNDS">#REF!</definedName>
    <definedName name="L_KEYWORD_ISSR_208005525_NET_INTANG">#REF!</definedName>
    <definedName name="L_KEYWORD_ISSR_208005525_NET_OP_PROF">#REF!</definedName>
    <definedName name="L_KEYWORD_ISSR_208005525_NET_TANGIBLE_ASSETS">#REF!</definedName>
    <definedName name="L_KEYWORD_ISSR_208005525_NETCHGOFF_BS">#REF!</definedName>
    <definedName name="L_KEYWORD_ISSR_208005525_NEW_SPECIFIC_PROV">#REF!</definedName>
    <definedName name="L_KEYWORD_ISSR_208005525_NON_INT_INC">#REF!</definedName>
    <definedName name="L_KEYWORD_ISSR_208005525_OCCUPANCY_COSTS">#REF!</definedName>
    <definedName name="L_KEYWORD_ISSR_208005525_OP_COST">#REF!</definedName>
    <definedName name="L_KEYWORD_ISSR_208005525_OPPL_BTAX_POST_AB">#REF!</definedName>
    <definedName name="L_KEYWORD_ISSR_208005525_ORD_SH_FUND">#REF!</definedName>
    <definedName name="L_KEYWORD_ISSR_208005525_ORD_SHARE_CAPITAL">#REF!</definedName>
    <definedName name="L_KEYWORD_ISSR_208005525_OTH_ADMIN">#REF!</definedName>
    <definedName name="L_KEYWORD_ISSR_208005525_OTH_ASS">#REF!</definedName>
    <definedName name="L_KEYWORD_ISSR_208005525_OTH_ASSET">#REF!</definedName>
    <definedName name="L_KEYWORD_ISSR_208005525_OTH_COST">#REF!</definedName>
    <definedName name="L_KEYWORD_ISSR_208005525_OTH_COST_INC">#REF!</definedName>
    <definedName name="L_KEYWORD_ISSR_208005525_OTH_DACF_ADJ">#REF!</definedName>
    <definedName name="L_KEYWORD_ISSR_208005525_OTH_GCI_ADJ">#REF!</definedName>
    <definedName name="L_KEYWORD_ISSR_208005525_OTH_INC">#REF!</definedName>
    <definedName name="L_KEYWORD_ISSR_208005525_OTH_INTANG">#REF!</definedName>
    <definedName name="L_KEYWORD_ISSR_208005525_OTH_LIABS">#REF!</definedName>
    <definedName name="L_KEYWORD_ISSR_208005525_OTH_NONOP_EXP">#REF!</definedName>
    <definedName name="L_KEYWORD_ISSR_208005525_OTH_NONOP_INC">#REF!</definedName>
    <definedName name="L_KEYWORD_ISSR_208005525_OTH_OP">#REF!</definedName>
    <definedName name="L_KEYWORD_ISSR_208005525_OTH_PAY_LIABS">#REF!</definedName>
    <definedName name="L_KEYWORD_ISSR_208005525_OTH_PROVS">#REF!</definedName>
    <definedName name="L_KEYWORD_ISSR_208005525_OTH_SALES">#REF!</definedName>
    <definedName name="L_KEYWORD_ISSR_208005525_OTHER_ASSET_IMPAIR_CHG_PRE_TAX">#REF!</definedName>
    <definedName name="L_KEYWORD_ISSR_208005525_OTHER_EXPENSES">#REF!</definedName>
    <definedName name="L_KEYWORD_ISSR_208005525_OTHER_FEES">#REF!</definedName>
    <definedName name="L_KEYWORD_ISSR_208005525_OTHER_IFRS_ADJUST_PRE_TAX">#REF!</definedName>
    <definedName name="L_KEYWORD_ISSR_208005525_OTHER_INCOME">#REF!</definedName>
    <definedName name="L_KEYWORD_ISSR_208005525_OTHER_INTANGIBLES_DEPREC">#REF!</definedName>
    <definedName name="L_KEYWORD_ISSR_208005525_OTHER_INTANGIBLES_NON_DEPREC">#REF!</definedName>
    <definedName name="L_KEYWORD_ISSR_208005525_OTHER_STAFF_COSTS">#REF!</definedName>
    <definedName name="L_KEYWORD_ISSR_208005525_PCT_ASIA_ASS">#REF!</definedName>
    <definedName name="L_KEYWORD_ISSR_208005525_PCT_ASIA_OP">#REF!</definedName>
    <definedName name="L_KEYWORD_ISSR_208005525_PCT_ASIA_SALES">#REF!</definedName>
    <definedName name="L_KEYWORD_ISSR_208005525_PCT_DOM_ASS">#REF!</definedName>
    <definedName name="L_KEYWORD_ISSR_208005525_PCT_DOM_OP">#REF!</definedName>
    <definedName name="L_KEYWORD_ISSR_208005525_PCT_DOM_SALES">#REF!</definedName>
    <definedName name="L_KEYWORD_ISSR_208005525_PCT_EMER_ASS">#REF!</definedName>
    <definedName name="L_KEYWORD_ISSR_208005525_PCT_EMER_OP">#REF!</definedName>
    <definedName name="L_KEYWORD_ISSR_208005525_PCT_EMER_SALES">#REF!</definedName>
    <definedName name="L_KEYWORD_ISSR_208005525_PCT_EURO_ASS">#REF!</definedName>
    <definedName name="L_KEYWORD_ISSR_208005525_PCT_EURO_OP">#REF!</definedName>
    <definedName name="L_KEYWORD_ISSR_208005525_PCT_EURO_SALES">#REF!</definedName>
    <definedName name="L_KEYWORD_ISSR_208005525_PCT_LATAM_ASS">#REF!</definedName>
    <definedName name="L_KEYWORD_ISSR_208005525_PCT_LATAM_OP">#REF!</definedName>
    <definedName name="L_KEYWORD_ISSR_208005525_PCT_LATAM_SALES">#REF!</definedName>
    <definedName name="L_KEYWORD_ISSR_208005525_PCT_NAM_ASS">#REF!</definedName>
    <definedName name="L_KEYWORD_ISSR_208005525_PCT_NAM_OP">#REF!</definedName>
    <definedName name="L_KEYWORD_ISSR_208005525_PCT_NAM_SALES">#REF!</definedName>
    <definedName name="L_KEYWORD_ISSR_208005525_PCT_OTH_ASS">#REF!</definedName>
    <definedName name="L_KEYWORD_ISSR_208005525_PCT_OTH_OP">#REF!</definedName>
    <definedName name="L_KEYWORD_ISSR_208005525_PCT_OTH_SALES">#REF!</definedName>
    <definedName name="L_KEYWORD_ISSR_208005525_PERIOD_MILESTONE">#REF!</definedName>
    <definedName name="L_KEYWORD_ISSR_208005525_PERSONNEL">#REF!</definedName>
    <definedName name="L_KEYWORD_ISSR_208005525_PL_BTAX_ON_AB">#REF!</definedName>
    <definedName name="L_KEYWORD_ISSR_208005525_PRE_PAYMNTS">#REF!</definedName>
    <definedName name="L_KEYWORD_ISSR_208005525_PREF_SH">#REF!</definedName>
    <definedName name="L_KEYWORD_ISSR_208005525_PREF_SHARE_CAP">#REF!</definedName>
    <definedName name="L_KEYWORD_ISSR_208005525_PROF_BTE">#REF!</definedName>
    <definedName name="L_KEYWORD_ISSR_208005525_PROFIT_DEFBEN_PLAN_POST_TAX">#REF!</definedName>
    <definedName name="L_KEYWORD_ISSR_208005525_PROFIT_DEFBEN_PLAN_PRE_TAX">#REF!</definedName>
    <definedName name="L_KEYWORD_ISSR_208005525_PROFIT_ON_DISP">#REF!</definedName>
    <definedName name="L_KEYWORD_ISSR_208005525_PROV_BS">#REF!</definedName>
    <definedName name="L_KEYWORD_ISSR_208005525_PT_PROF">#REF!</definedName>
    <definedName name="L_KEYWORD_ISSR_208005525_RECOVERIES_BS">#REF!</definedName>
    <definedName name="L_KEYWORD_ISSR_208005525_RENTAL_INCOME">#REF!</definedName>
    <definedName name="L_KEYWORD_ISSR_208005525_RESERVES">#REF!</definedName>
    <definedName name="L_KEYWORD_ISSR_208005525_RETAIN_PROFIT_LOSS">#REF!</definedName>
    <definedName name="L_KEYWORD_ISSR_208005525_ROU_ASSET">#REF!</definedName>
    <definedName name="L_KEYWORD_ISSR_208005525_SALES">#REF!</definedName>
    <definedName name="L_KEYWORD_ISSR_208005525_SALES_ARGENTINA">#REF!</definedName>
    <definedName name="L_KEYWORD_ISSR_208005525_SALES_AUSTRA">#REF!</definedName>
    <definedName name="L_KEYWORD_ISSR_208005525_SALES_AUSTRIA">#REF!</definedName>
    <definedName name="L_KEYWORD_ISSR_208005525_SALES_BEL">#REF!</definedName>
    <definedName name="L_KEYWORD_ISSR_208005525_SALES_BRAZIL">#REF!</definedName>
    <definedName name="L_KEYWORD_ISSR_208005525_SALES_CANADA">#REF!</definedName>
    <definedName name="L_KEYWORD_ISSR_208005525_SALES_CEE">#REF!</definedName>
    <definedName name="L_KEYWORD_ISSR_208005525_SALES_CHILE">#REF!</definedName>
    <definedName name="L_KEYWORD_ISSR_208005525_SALES_CHINA">#REF!</definedName>
    <definedName name="L_KEYWORD_ISSR_208005525_SALES_COLOMBIA">#REF!</definedName>
    <definedName name="L_KEYWORD_ISSR_208005525_SALES_CONS">#REF!</definedName>
    <definedName name="L_KEYWORD_ISSR_208005525_SALES_EU_EX_UK">#REF!</definedName>
    <definedName name="L_KEYWORD_ISSR_208005525_SALES_FINAN">#REF!</definedName>
    <definedName name="L_KEYWORD_ISSR_208005525_SALES_FRA">#REF!</definedName>
    <definedName name="L_KEYWORD_ISSR_208005525_SALES_FX_AUD">#REF!</definedName>
    <definedName name="L_KEYWORD_ISSR_208005525_SALES_FX_BRL">#REF!</definedName>
    <definedName name="L_KEYWORD_ISSR_208005525_SALES_FX_CNY">#REF!</definedName>
    <definedName name="L_KEYWORD_ISSR_208005525_SALES_FX_EUR">#REF!</definedName>
    <definedName name="L_KEYWORD_ISSR_208005525_SALES_FX_GPB">#REF!</definedName>
    <definedName name="L_KEYWORD_ISSR_208005525_SALES_FX_INR">#REF!</definedName>
    <definedName name="L_KEYWORD_ISSR_208005525_SALES_FX_NZD">#REF!</definedName>
    <definedName name="L_KEYWORD_ISSR_208005525_SALES_FX_OTH">#REF!</definedName>
    <definedName name="L_KEYWORD_ISSR_208005525_SALES_FX_RUB">#REF!</definedName>
    <definedName name="L_KEYWORD_ISSR_208005525_SALES_FX_USD">#REF!</definedName>
    <definedName name="L_KEYWORD_ISSR_208005525_SALES_FX_YEN">#REF!</definedName>
    <definedName name="L_KEYWORD_ISSR_208005525_SALES_GER">#REF!</definedName>
    <definedName name="L_KEYWORD_ISSR_208005525_SALES_GOV">#REF!</definedName>
    <definedName name="L_KEYWORD_ISSR_208005525_SALES_GRE">#REF!</definedName>
    <definedName name="L_KEYWORD_ISSR_208005525_SALES_HONG_KONG">#REF!</definedName>
    <definedName name="L_KEYWORD_ISSR_208005525_SALES_IND">#REF!</definedName>
    <definedName name="L_KEYWORD_ISSR_208005525_SALES_INDIA">#REF!</definedName>
    <definedName name="L_KEYWORD_ISSR_208005525_SALES_INDONESIA">#REF!</definedName>
    <definedName name="L_KEYWORD_ISSR_208005525_SALES_IRE">#REF!</definedName>
    <definedName name="L_KEYWORD_ISSR_208005525_SALES_ITA">#REF!</definedName>
    <definedName name="L_KEYWORD_ISSR_208005525_SALES_JAPAN">#REF!</definedName>
    <definedName name="L_KEYWORD_ISSR_208005525_SALES_ME">#REF!</definedName>
    <definedName name="L_KEYWORD_ISSR_208005525_SALES_MEXICO">#REF!</definedName>
    <definedName name="L_KEYWORD_ISSR_208005525_SALES_NETH">#REF!</definedName>
    <definedName name="L_KEYWORD_ISSR_208005525_SALES_NIGERIA">#REF!</definedName>
    <definedName name="L_KEYWORD_ISSR_208005525_SALES_NOR">#REF!</definedName>
    <definedName name="L_KEYWORD_ISSR_208005525_SALES_NZ">#REF!</definedName>
    <definedName name="L_KEYWORD_ISSR_208005525_SALES_OIL_GAS">#REF!</definedName>
    <definedName name="L_KEYWORD_ISSR_208005525_SALES_OTH_AEJ">#REF!</definedName>
    <definedName name="L_KEYWORD_ISSR_208005525_SALES_OTH_AFRICA">#REF!</definedName>
    <definedName name="L_KEYWORD_ISSR_208005525_SALES_OTH_AM">#REF!</definedName>
    <definedName name="L_KEYWORD_ISSR_208005525_SALES_OTH_CEE">#REF!</definedName>
    <definedName name="L_KEYWORD_ISSR_208005525_SALES_OTH_DEV_ASIA">#REF!</definedName>
    <definedName name="L_KEYWORD_ISSR_208005525_SALES_OTH_EMEA">#REF!</definedName>
    <definedName name="L_KEYWORD_ISSR_208005525_SALES_OTH_EMERG_ASIA">#REF!</definedName>
    <definedName name="L_KEYWORD_ISSR_208005525_SALES_OTH_LATAM">#REF!</definedName>
    <definedName name="L_KEYWORD_ISSR_208005525_SALES_OTH_ME">#REF!</definedName>
    <definedName name="L_KEYWORD_ISSR_208005525_SALES_OTH_NO_AMER">#REF!</definedName>
    <definedName name="L_KEYWORD_ISSR_208005525_SALES_OTH_WEST_EURO">#REF!</definedName>
    <definedName name="L_KEYWORD_ISSR_208005525_SALES_OTHER">#REF!</definedName>
    <definedName name="L_KEYWORD_ISSR_208005525_SALES_POLAND">#REF!</definedName>
    <definedName name="L_KEYWORD_ISSR_208005525_SALES_POR">#REF!</definedName>
    <definedName name="L_KEYWORD_ISSR_208005525_SALES_RUSSIA">#REF!</definedName>
    <definedName name="L_KEYWORD_ISSR_208005525_SALES_SAUDI_ARABIA">#REF!</definedName>
    <definedName name="L_KEYWORD_ISSR_208005525_SALES_SINGAPORE">#REF!</definedName>
    <definedName name="L_KEYWORD_ISSR_208005525_SALES_SK">#REF!</definedName>
    <definedName name="L_KEYWORD_ISSR_208005525_SALES_SO_AFRICA">#REF!</definedName>
    <definedName name="L_KEYWORD_ISSR_208005525_SALES_SPA">#REF!</definedName>
    <definedName name="L_KEYWORD_ISSR_208005525_SALES_SWE">#REF!</definedName>
    <definedName name="L_KEYWORD_ISSR_208005525_SALES_SWIT">#REF!</definedName>
    <definedName name="L_KEYWORD_ISSR_208005525_SALES_TAIWAN">#REF!</definedName>
    <definedName name="L_KEYWORD_ISSR_208005525_SALES_THAILAND">#REF!</definedName>
    <definedName name="L_KEYWORD_ISSR_208005525_SALES_TOT_AFRICA">#REF!</definedName>
    <definedName name="L_KEYWORD_ISSR_208005525_SALES_TOT_AM">#REF!</definedName>
    <definedName name="L_KEYWORD_ISSR_208005525_SALES_TOT_ASIA">#REF!</definedName>
    <definedName name="L_KEYWORD_ISSR_208005525_SALES_TOT_EMEA">#REF!</definedName>
    <definedName name="L_KEYWORD_ISSR_208005525_SALES_TURKEY">#REF!</definedName>
    <definedName name="L_KEYWORD_ISSR_208005525_SALES_UAE">#REF!</definedName>
    <definedName name="L_KEYWORD_ISSR_208005525_SALES_UK">#REF!</definedName>
    <definedName name="L_KEYWORD_ISSR_208005525_SALES_US">#REF!</definedName>
    <definedName name="L_KEYWORD_ISSR_208005525_SALES_VENEZUELA">#REF!</definedName>
    <definedName name="L_KEYWORD_ISSR_208005525_SEL_GL_AD_OTHER">#REF!</definedName>
    <definedName name="L_KEYWORD_ISSR_208005525_SGA_PCT_ROW">#REF!</definedName>
    <definedName name="L_KEYWORD_ISSR_208005525_SGA_PCT_US">#REF!</definedName>
    <definedName name="L_KEYWORD_ISSR_208005525_SHARE_BASED_PAYMENTS">#REF!</definedName>
    <definedName name="L_KEYWORD_ISSR_208005525_SPECIFIC_PROV_DOUBTFUL">#REF!</definedName>
    <definedName name="L_KEYWORD_ISSR_208005525_ST_LEASE_LIAB">#REF!</definedName>
    <definedName name="L_KEYWORD_ISSR_208005525_SUB_ORD_LIABS">#REF!</definedName>
    <definedName name="L_KEYWORD_ISSR_208005525_TOT_ASS">#REF!</definedName>
    <definedName name="L_KEYWORD_ISSR_208005525_TOT_ASSET">#REF!</definedName>
    <definedName name="L_KEYWORD_ISSR_208005525_TOT_EXCEPTS">#REF!</definedName>
    <definedName name="L_KEYWORD_ISSR_208005525_TOT_LIAB">#REF!</definedName>
    <definedName name="L_KEYWORD_ISSR_208005525_TOT_LIAB_EQ">#REF!</definedName>
    <definedName name="L_KEYWORD_ISSR_208005525_TOT_OP">#REF!</definedName>
    <definedName name="L_KEYWORD_ISSR_208005525_TOT_PCT_USD_DEBT_HEDGED">#REF!</definedName>
    <definedName name="L_KEYWORD_ISSR_208005525_TOT_PROVS">#REF!</definedName>
    <definedName name="L_KEYWORD_ISSR_208005525_TOT_SALES">#REF!</definedName>
    <definedName name="L_KEYWORD_ISSR_208005525_TOT_USD_DEBT">#REF!</definedName>
    <definedName name="L_KEYWORD_ISSR_208005525_TOTAL_CAPITAL_EMPLOYED_ADJ">#REF!</definedName>
    <definedName name="L_KEYWORD_ISSR_208005525_TOTAL_DEPREC_AMORT">#REF!</definedName>
    <definedName name="L_KEYWORD_ISSR_208005525_TOTAL_IFRS_ADJUST_PRE_TAX">#REF!</definedName>
    <definedName name="L_KEYWORD_ISSR_208005525_TRADING_SECS_INCOME">#REF!</definedName>
    <definedName name="L_KEYWORD_ISSR_208005525_UNEARNED_INCOME">#REF!</definedName>
    <definedName name="L_KEYWORD_ISSR_208005525_UNF_PENS">#REF!</definedName>
    <definedName name="L_KEYWORD_ISSR_208005525_UNF_PENS_LIAB_OTH">#REF!</definedName>
    <definedName name="L_KEYWORD_ISSR_208005525_UNF_PENS_OFF">#REF!</definedName>
    <definedName name="L_KEYWORD_ISSR_208005525_WRITE_OFFS_BS">#REF!</definedName>
    <definedName name="L_KEYWORD_ISSR_208005525_WRITEBACK_RECOVERIES">#REF!</definedName>
    <definedName name="L_LIVEDATA_EQTY_200004995">#REF!</definedName>
    <definedName name="L_LIVEDATA_ISSR_208005525">#REF!</definedName>
    <definedName name="L_PERIOD_2006">#REF!</definedName>
    <definedName name="L_PERIOD_2007">#REF!</definedName>
    <definedName name="L_PERIOD_2008">#REF!</definedName>
    <definedName name="L_PERIOD_2009">#REF!</definedName>
    <definedName name="L_PERIOD_2010">#REF!</definedName>
    <definedName name="L_PERIOD_2011">#REF!</definedName>
    <definedName name="L_PERIOD_2012">#REF!</definedName>
    <definedName name="L_PERIOD_2013">#REF!</definedName>
    <definedName name="L_PERIOD_2014">#REF!</definedName>
    <definedName name="L_PERIOD_2014_H1">#REF!</definedName>
    <definedName name="L_PERIOD_2014_H2">#REF!</definedName>
    <definedName name="L_PERIOD_2015">#REF!</definedName>
    <definedName name="L_PERIOD_2015_H1">#REF!</definedName>
    <definedName name="L_PERIOD_2015_H2">#REF!</definedName>
    <definedName name="L_PERIOD_2016">#REF!</definedName>
    <definedName name="L_PERIOD_2016_H1">#REF!</definedName>
    <definedName name="L_PERIOD_2016_H2">#REF!</definedName>
    <definedName name="L_PERIOD_2017">#REF!</definedName>
    <definedName name="L_PERIOD_2017_H1">#REF!</definedName>
    <definedName name="L_PERIOD_2017_H2">#REF!</definedName>
    <definedName name="L_PERIOD_2018">#REF!</definedName>
    <definedName name="L_PERIOD_2018_H1">#REF!</definedName>
    <definedName name="L_PERIOD_2018_H2">#REF!</definedName>
    <definedName name="L_PERIOD_2019">#REF!</definedName>
    <definedName name="L_PERIOD_2019_H1">#REF!</definedName>
    <definedName name="L_PERIOD_2019_H2">#REF!</definedName>
    <definedName name="L_PERIOD_2020">#REF!</definedName>
    <definedName name="L_PERIOD_2020_H1">#REF!</definedName>
    <definedName name="L_PERIOD_2020_H2">#REF!</definedName>
    <definedName name="L_PERIOD_2021">#REF!</definedName>
    <definedName name="L_PERIOD_2021_H1">#REF!</definedName>
    <definedName name="L_PERIOD_2021_H2">#REF!</definedName>
    <definedName name="L_PERIOD_2022">#REF!</definedName>
    <definedName name="L_PERIOD_2022_H1">#REF!</definedName>
    <definedName name="L_PERIOD_2022_H2">#REF!</definedName>
    <definedName name="L_PERIOD_2023">#REF!</definedName>
    <definedName name="L_PERIOD_2023_H1">#REF!</definedName>
    <definedName name="L_PERIOD_2023_H2">#REF!</definedName>
    <definedName name="L_PERIOD_2024">#REF!</definedName>
    <definedName name="L_PERIOD_2024_H1">#REF!</definedName>
    <definedName name="L_PERIOD_2024_H2">#REF!</definedName>
    <definedName name="L_PERIOD_2025">#REF!</definedName>
    <definedName name="L_PERIOD_2025_H1">#REF!</definedName>
    <definedName name="L_PERIOD_2025_H2">#REF!</definedName>
    <definedName name="L_PERIOD_2026">#REF!</definedName>
    <definedName name="L_SECTION_EQTY_200004995_1314">#REF!</definedName>
    <definedName name="L_SECTION_EQTY_200004995_1316A">#REF!</definedName>
    <definedName name="L_SECTION_EQTY_200004995_1316B">#REF!</definedName>
    <definedName name="L_SECTION_EQTY_200004995_1316C">#REF!</definedName>
    <definedName name="L_SECTION_EQTY_200004995_1316E">#REF!</definedName>
    <definedName name="L_SECTION_EQTY_200004995_1319">#REF!</definedName>
    <definedName name="L_SECTION_EQTY_200004995_131J">#REF!</definedName>
    <definedName name="L_SECTION_EQTY_200004995_131O">#REF!</definedName>
    <definedName name="L_SECTION_EQTY_200004995_131P">#REF!</definedName>
    <definedName name="L_SECTION_EQTY_200004995_13A">#REF!</definedName>
    <definedName name="L_SECTION_EQTY_200004995_13K">#REF!</definedName>
    <definedName name="L_SECTION_EQTY_200004995_13U">#REF!</definedName>
    <definedName name="L_SECTION_EQTY_200004995_13V">#REF!</definedName>
    <definedName name="L_SECTION_EQTY_200004995_Reference_Data">#REF!</definedName>
    <definedName name="L_SECTION_ISSR_208005525_1314">#REF!</definedName>
    <definedName name="L_SECTION_ISSR_208005525_13168">#REF!</definedName>
    <definedName name="L_SECTION_ISSR_208005525_1316B">#REF!</definedName>
    <definedName name="L_SECTION_ISSR_208005525_1316C">#REF!</definedName>
    <definedName name="L_SECTION_ISSR_208005525_1316E">#REF!</definedName>
    <definedName name="L_SECTION_ISSR_208005525_1316T">#REF!</definedName>
    <definedName name="L_SECTION_ISSR_208005525_1316U">#REF!</definedName>
    <definedName name="L_SECTION_ISSR_208005525_1319">#REF!</definedName>
    <definedName name="L_SECTION_ISSR_208005525_131E">#REF!</definedName>
    <definedName name="L_SECTION_ISSR_208005525_131J">#REF!</definedName>
    <definedName name="L_SECTION_ISSR_208005525_131O">#REF!</definedName>
    <definedName name="L_SECTION_ISSR_208005525_131P">#REF!</definedName>
    <definedName name="L_SECTION_ISSR_208005525_133M">#REF!</definedName>
    <definedName name="L_SECTION_ISSR_208005525_133R">#REF!</definedName>
    <definedName name="L_SECTION_ISSR_208005525_133W">#REF!</definedName>
    <definedName name="L_SECTION_ISSR_208005525_1341">#REF!</definedName>
    <definedName name="L_SECTION_ISSR_208005525_1346">#REF!</definedName>
    <definedName name="L_SECTION_ISSR_208005525_134B">#REF!</definedName>
    <definedName name="L_SECTION_ISSR_208005525_134G">#REF!</definedName>
    <definedName name="L_SECTION_ISSR_208005525_134L">#REF!</definedName>
    <definedName name="L_SECTION_ISSR_208005525_134Q">#REF!</definedName>
    <definedName name="L_SECTION_ISSR_208005525_134V">#REF!</definedName>
    <definedName name="L_SECTION_ISSR_208005525_136E">#REF!</definedName>
    <definedName name="L_SECTION_ISSR_208005525_13A">#REF!</definedName>
    <definedName name="L_SECTION_ISSR_208005525_13U">#REF!</definedName>
    <definedName name="L_SECTION_ISSR_208005525_13V">#REF!</definedName>
    <definedName name="L_SECTION_ISSR_208005525_Reference_Data">#REF!</definedName>
    <definedName name="L_TEMPLATEHASH">#REF!</definedName>
    <definedName name="LastProblemKeyword" localSheetId="4">MigrationOutput_QP_CBA.AX!$B$7:$F$7</definedName>
    <definedName name="lending_fees" localSheetId="12">#REF!</definedName>
    <definedName name="lending_fees" localSheetId="11">#REF!</definedName>
    <definedName name="lending_fees" localSheetId="5">#REF!</definedName>
    <definedName name="Lending_Fees">Model!$17:$17</definedName>
    <definedName name="liabilities_deposits" localSheetId="12">#REF!</definedName>
    <definedName name="liabilities_deposits" localSheetId="11">#REF!</definedName>
    <definedName name="liabilities_deposits" localSheetId="5">#REF!</definedName>
    <definedName name="liabilities_deposits">Model!$216:$216</definedName>
    <definedName name="liabilities_total" localSheetId="12">#REF!</definedName>
    <definedName name="liabilities_total" localSheetId="11">#REF!</definedName>
    <definedName name="liabilities_total" localSheetId="5">#REF!</definedName>
    <definedName name="liabilities_total">Model!$230:$230</definedName>
    <definedName name="life_insurance">Model!$31:$31</definedName>
    <definedName name="margin" localSheetId="12">#REF!</definedName>
    <definedName name="margin" localSheetId="11">#REF!</definedName>
    <definedName name="margin" localSheetId="5">#REF!</definedName>
    <definedName name="margin" localSheetId="13">Model!$413:$413</definedName>
    <definedName name="margin">#REF!</definedName>
    <definedName name="margin_CBA">Model!$416:$416</definedName>
    <definedName name="minorities" localSheetId="12">#REF!</definedName>
    <definedName name="minorities" localSheetId="11">#REF!</definedName>
    <definedName name="minorities" localSheetId="5">#REF!</definedName>
    <definedName name="minorities">Model!$59:$59</definedName>
    <definedName name="MktImpute">#REF!</definedName>
    <definedName name="net_gains_investment" localSheetId="5">#REF!</definedName>
    <definedName name="net_gains_investment">#REF!</definedName>
    <definedName name="net_interest_income" localSheetId="12">#REF!</definedName>
    <definedName name="net_interest_income" localSheetId="11">#REF!</definedName>
    <definedName name="net_interest_income" localSheetId="5">#REF!</definedName>
    <definedName name="Net_Interest_Income" localSheetId="13">Model!$14:$14</definedName>
    <definedName name="net_interest_income">#REF!</definedName>
    <definedName name="net_loans_company" localSheetId="12">#REF!</definedName>
    <definedName name="net_loans_company" localSheetId="11">#REF!</definedName>
    <definedName name="net_loans_company" localSheetId="5">#REF!</definedName>
    <definedName name="net_loans_company">Model!$300:$300</definedName>
    <definedName name="non_interest_expense" localSheetId="12">#REF!</definedName>
    <definedName name="non_interest_expense" localSheetId="11">#REF!</definedName>
    <definedName name="non_interest_expense" localSheetId="5">#REF!</definedName>
    <definedName name="non_interest_expense">Model!$50:$50</definedName>
    <definedName name="non_interest_income" localSheetId="12">#REF!</definedName>
    <definedName name="non_interest_income" localSheetId="11">#REF!</definedName>
    <definedName name="non_interest_income" localSheetId="5">#REF!</definedName>
    <definedName name="Non_Interest_Income" localSheetId="13">Model!$34:$34</definedName>
    <definedName name="non_interest_income">#REF!</definedName>
    <definedName name="Non_Interest_Income_Bank" localSheetId="12">#REF!</definedName>
    <definedName name="Non_Interest_Income_Bank" localSheetId="11">#REF!</definedName>
    <definedName name="Non_Interest_Income_Bank">Model!$29:$29</definedName>
    <definedName name="NTA" localSheetId="1">[1]Model!$841:$841</definedName>
    <definedName name="NTA" localSheetId="12">[1]Model!$841:$841</definedName>
    <definedName name="NTA" localSheetId="11">[1]Model!$841:$841</definedName>
    <definedName name="NTA" localSheetId="5">#REF!</definedName>
    <definedName name="NTA" localSheetId="13">Model!$862:$862</definedName>
    <definedName name="NTA">#REF!</definedName>
    <definedName name="occupancy">Model!$45:$45</definedName>
    <definedName name="OEI" localSheetId="12">#REF!</definedName>
    <definedName name="OEI" localSheetId="11">#REF!</definedName>
    <definedName name="OEI" localSheetId="5">#REF!</definedName>
    <definedName name="OEI">Model!$245:$245</definedName>
    <definedName name="operating_results">Model!$61:$61</definedName>
    <definedName name="other_commissions" localSheetId="12">#REF!</definedName>
    <definedName name="other_commissions" localSheetId="11">#REF!</definedName>
    <definedName name="other_commissions" localSheetId="5">#REF!</definedName>
    <definedName name="other_commissions">Model!$18:$18</definedName>
    <definedName name="Other_expense" localSheetId="5">#REF!</definedName>
    <definedName name="Other_expense">#REF!</definedName>
    <definedName name="Other_expenses">Model!$47:$47</definedName>
    <definedName name="past_90" localSheetId="1">[1]Model!$494:$494</definedName>
    <definedName name="past_90" localSheetId="12">[1]Model!$494:$494</definedName>
    <definedName name="past_90" localSheetId="11">[1]Model!$494:$494</definedName>
    <definedName name="past_90" localSheetId="5">#REF!</definedName>
    <definedName name="past_90" localSheetId="13">Model!$524:$524</definedName>
    <definedName name="past_90">#REF!</definedName>
    <definedName name="period" localSheetId="5">#REF!</definedName>
    <definedName name="period" localSheetId="13">Model!$8:$8</definedName>
    <definedName name="period">#REF!</definedName>
    <definedName name="personnel" localSheetId="12">#REF!</definedName>
    <definedName name="personnel" localSheetId="11">#REF!</definedName>
    <definedName name="personnel" localSheetId="5">#REF!</definedName>
    <definedName name="personnel">Model!$43:$43</definedName>
    <definedName name="pre_tax_profit" localSheetId="1">[1]Model!$46:$46</definedName>
    <definedName name="pre_tax_profit" localSheetId="12">[1]Model!$46:$46</definedName>
    <definedName name="pre_tax_profit" localSheetId="11">[1]Model!$46:$46</definedName>
    <definedName name="pre_tax_profit" localSheetId="5">#REF!</definedName>
    <definedName name="Pre_Tax_Profit" localSheetId="13">Model!$55:$55</definedName>
    <definedName name="pre_tax_profit">#REF!</definedName>
    <definedName name="pref_divs_post_tax" localSheetId="12">#REF!</definedName>
    <definedName name="pref_divs_post_tax" localSheetId="11">#REF!</definedName>
    <definedName name="pref_divs_post_tax" localSheetId="5">#REF!</definedName>
    <definedName name="pref_divs_post_tax">Model!$58:$58</definedName>
    <definedName name="pref_divs_pre_tax" localSheetId="12">#REF!</definedName>
    <definedName name="pref_divs_pre_tax" localSheetId="11">#REF!</definedName>
    <definedName name="pref_divs_pre_tax" localSheetId="5">#REF!</definedName>
    <definedName name="pref_divs_pre_tax">Model!$62:$62</definedName>
    <definedName name="premises_expense" localSheetId="5">#REF!</definedName>
    <definedName name="premises_expense">#REF!</definedName>
    <definedName name="_xlnm.Print_Area" localSheetId="8">FinSum!$E$5:$Q$85</definedName>
    <definedName name="_xlnm.Print_Area" localSheetId="7">Model!$B$1:$DD$853</definedName>
    <definedName name="_xlnm.Print_Area" localSheetId="9">RIM!$C$1:$AD$59</definedName>
    <definedName name="_xlnm.Print_Area" localSheetId="6">Summary!$B$2:$L$54,Summary!$B$57:$L$115,Summary!$B$118:$L$154,Summary!#REF!</definedName>
    <definedName name="_xlnm.Print_Area" localSheetId="13">'WM and Life'!$A$1:$AA$378</definedName>
    <definedName name="_xlnm.Print_Titles" localSheetId="7">Model!$B:$B,Model!$1:$6</definedName>
    <definedName name="_xlnm.Print_Titles" localSheetId="6">Summary!$2:$11</definedName>
    <definedName name="provisioning" localSheetId="12">#REF!</definedName>
    <definedName name="provisioning" localSheetId="11">#REF!</definedName>
    <definedName name="provisioning" localSheetId="5">#REF!</definedName>
    <definedName name="provisioning" localSheetId="13">Model!$54:$54</definedName>
    <definedName name="provisioning">#REF!</definedName>
    <definedName name="provisioning_specific" localSheetId="12">#REF!</definedName>
    <definedName name="provisioning_specific" localSheetId="11">#REF!</definedName>
    <definedName name="provisioning_specific" localSheetId="5">#REF!</definedName>
    <definedName name="provisioning_specific">Model!$565:$565</definedName>
    <definedName name="provisions_general" localSheetId="1">[1]Model!$521:$521</definedName>
    <definedName name="provisions_general" localSheetId="12">[1]Model!$521:$521</definedName>
    <definedName name="provisions_general" localSheetId="11">[1]Model!$521:$521</definedName>
    <definedName name="provisions_general" localSheetId="5">#REF!</definedName>
    <definedName name="provisions_general" localSheetId="13">Model!$548:$548</definedName>
    <definedName name="provisions_general">#REF!</definedName>
    <definedName name="provisions_specific" localSheetId="1">[1]Model!$536:$536</definedName>
    <definedName name="provisions_specific" localSheetId="12">[1]Model!$536:$536</definedName>
    <definedName name="provisions_specific" localSheetId="11">[1]Model!$536:$536</definedName>
    <definedName name="provisions_specific" localSheetId="5">#REF!</definedName>
    <definedName name="provisions_specific" localSheetId="13">Model!$558:$558</definedName>
    <definedName name="provisions_specific">#REF!</definedName>
    <definedName name="PT_Price" localSheetId="5">#REF!</definedName>
    <definedName name="PT_Price" localSheetId="13">#REF!</definedName>
    <definedName name="PT_Price">#REF!</definedName>
    <definedName name="PVCF" localSheetId="5">#REF!</definedName>
    <definedName name="PVCF" localSheetId="13">#REF!</definedName>
    <definedName name="PVCF">#REF!</definedName>
    <definedName name="recoveries" localSheetId="1">[1]Model!$518:$518</definedName>
    <definedName name="recoveries" localSheetId="12">[1]Model!$518:$518</definedName>
    <definedName name="recoveries" localSheetId="11">[1]Model!$518:$518</definedName>
    <definedName name="recoveries" localSheetId="5">#REF!</definedName>
    <definedName name="recoveries" localSheetId="13">Model!$540:$540</definedName>
    <definedName name="recoveries">#REF!</definedName>
    <definedName name="reported_profit" localSheetId="12">#REF!</definedName>
    <definedName name="reported_profit" localSheetId="11">#REF!</definedName>
    <definedName name="reported_profit" localSheetId="5">#REF!</definedName>
    <definedName name="Reported_Profit">Model!$68:$68</definedName>
    <definedName name="Risk_Premium" localSheetId="12">#REF!</definedName>
    <definedName name="Risk_Premium" localSheetId="11">#REF!</definedName>
    <definedName name="Risk_Premium" localSheetId="5">#REF!</definedName>
    <definedName name="Risk_Premium">#REF!</definedName>
    <definedName name="ROE" localSheetId="1">[1]Model!$71:$71</definedName>
    <definedName name="ROE" localSheetId="12">[1]Model!$71:$71</definedName>
    <definedName name="ROE" localSheetId="11">[1]Model!$71:$71</definedName>
    <definedName name="ROE" localSheetId="5">#REF!</definedName>
    <definedName name="ROE" localSheetId="13">Model!$357:$357</definedName>
    <definedName name="ROE">#REF!</definedName>
    <definedName name="RWA" localSheetId="1">[1]Model!$771:$771</definedName>
    <definedName name="RWA" localSheetId="12">[1]Model!$771:$771</definedName>
    <definedName name="RWA" localSheetId="11">[1]Model!$771:$771</definedName>
    <definedName name="RWA" localSheetId="5">#REF!</definedName>
    <definedName name="RWA" localSheetId="13">Model!$796:$796</definedName>
    <definedName name="RWA">#REF!</definedName>
    <definedName name="RWA_credit" localSheetId="1">[1]Model!$767:$767</definedName>
    <definedName name="RWA_credit" localSheetId="12">[1]Model!$767:$767</definedName>
    <definedName name="RWA_credit" localSheetId="11">[1]Model!$767:$767</definedName>
    <definedName name="RWA_credit" localSheetId="5">#REF!</definedName>
    <definedName name="RWA_credit" localSheetId="13">Model!$791:$791</definedName>
    <definedName name="RWA_credit">#REF!</definedName>
    <definedName name="Rwvu.Full_Year." hidden="1">#REF!,#REF!,#REF!</definedName>
    <definedName name="salaries" localSheetId="12">#REF!</definedName>
    <definedName name="salaries" localSheetId="11">#REF!</definedName>
    <definedName name="salaries" localSheetId="5">#REF!</definedName>
    <definedName name="salaries">Model!$41:$41</definedName>
    <definedName name="Scatter_Data_1">"$F$4:$N$5"</definedName>
    <definedName name="Scatter_Data_2">"$F$4:$N$5"</definedName>
    <definedName name="Scatter_Data_3">"$F$4:$N$5"</definedName>
    <definedName name="Scatter_Data_4">"$F$4:$N$5"</definedName>
    <definedName name="Scatter_Data_5">"$L$10:$O$103"</definedName>
    <definedName name="Scatter_Data_6">"$L$10:$O$103"</definedName>
    <definedName name="Scatter_Data_7">"$F$4:$N$5"</definedName>
    <definedName name="share_based_compensation">Model!$44:$44</definedName>
    <definedName name="shareholder_funds" localSheetId="5">#REF!</definedName>
    <definedName name="shareholder_funds">#REF!</definedName>
    <definedName name="Shareholders_funds">Model!$240:$240</definedName>
    <definedName name="significant_items_company" localSheetId="12">#REF!</definedName>
    <definedName name="significant_items_company" localSheetId="11">#REF!</definedName>
    <definedName name="significant_items_company" localSheetId="5">#REF!</definedName>
    <definedName name="significant_items_company">Model!$67:$67</definedName>
    <definedName name="spread" localSheetId="12">#REF!</definedName>
    <definedName name="spread" localSheetId="11">#REF!</definedName>
    <definedName name="spread" localSheetId="5">#REF!</definedName>
    <definedName name="spread">Model!$411:$411</definedName>
    <definedName name="staff" localSheetId="1">[1]Model!$462:$462</definedName>
    <definedName name="staff" localSheetId="12">[1]Model!$462:$462</definedName>
    <definedName name="staff" localSheetId="11">[1]Model!$462:$462</definedName>
    <definedName name="staff" localSheetId="5">#REF!</definedName>
    <definedName name="staff" localSheetId="13">Model!$492:$492</definedName>
    <definedName name="staff">#REF!</definedName>
    <definedName name="staff_other" localSheetId="12">#REF!</definedName>
    <definedName name="staff_other" localSheetId="11">#REF!</definedName>
    <definedName name="staff_other" localSheetId="5">#REF!</definedName>
    <definedName name="staff_other">Model!$42:$42</definedName>
    <definedName name="Target_DCF_Beta" localSheetId="12">#REF!</definedName>
    <definedName name="Target_DCF_Beta" localSheetId="11">#REF!</definedName>
    <definedName name="Target_DCF_Beta">#REF!</definedName>
    <definedName name="Target_DCF_BetaOutput">#REF!</definedName>
    <definedName name="Target_DCF_MRP" localSheetId="12">#REF!</definedName>
    <definedName name="Target_DCF_MRP" localSheetId="11">#REF!</definedName>
    <definedName name="Target_DCF_MRP">#REF!</definedName>
    <definedName name="Target_DCF_MRPOutput">#REF!</definedName>
    <definedName name="Target_DCF_Rf" localSheetId="12">#REF!</definedName>
    <definedName name="Target_DCF_Rf" localSheetId="11">#REF!</definedName>
    <definedName name="Target_DCF_Rf">#REF!</definedName>
    <definedName name="Target_DCF_RfOutput">#REF!</definedName>
    <definedName name="Target_DCF_T1Maint">#REF!</definedName>
    <definedName name="Target_DCF_T1MaintOutput">#REF!</definedName>
    <definedName name="target_price" localSheetId="12">#REF!</definedName>
    <definedName name="target_price" localSheetId="11">#REF!</definedName>
    <definedName name="target_price">#REF!</definedName>
    <definedName name="tax_corporate">#REF!</definedName>
    <definedName name="tax_nri" localSheetId="12">#REF!</definedName>
    <definedName name="tax_nri" localSheetId="11">#REF!</definedName>
    <definedName name="tax_nri">Model!$632:$632</definedName>
    <definedName name="Tier_1_hybrids" localSheetId="1">[1]Model!$717:$717</definedName>
    <definedName name="Tier_1_hybrids" localSheetId="12">[1]Model!$717:$717</definedName>
    <definedName name="Tier_1_hybrids" localSheetId="11">[1]Model!$717:$717</definedName>
    <definedName name="Tier_1_hybrids" localSheetId="5">#REF!</definedName>
    <definedName name="Tier_1_hybrids">#REF!</definedName>
    <definedName name="tier_1_ratio" localSheetId="1">[1]Model!$805:$805</definedName>
    <definedName name="tier_1_ratio" localSheetId="12">[1]Model!$805:$805</definedName>
    <definedName name="tier_1_ratio" localSheetId="11">[1]Model!$805:$805</definedName>
    <definedName name="tier_1_ratio" localSheetId="5">#REF!</definedName>
    <definedName name="tier_1_ratio" localSheetId="13">Model!$832:$832</definedName>
    <definedName name="tier_1_ratio">#REF!</definedName>
    <definedName name="tier_2_ratio" localSheetId="12">#REF!</definedName>
    <definedName name="tier_2_ratio" localSheetId="11">#REF!</definedName>
    <definedName name="tier_2_ratio" localSheetId="5">#REF!</definedName>
    <definedName name="tier_2_ratio">Model!$833:$833</definedName>
    <definedName name="Tier1" localSheetId="5">#REF!</definedName>
    <definedName name="Tier1" localSheetId="13">#REF!</definedName>
    <definedName name="Tier1">#REF!</definedName>
    <definedName name="Tigr_Exhibit480a7ef5_0fd4_4624_bc55_87ec8c9300b8" hidden="1">#REF!</definedName>
    <definedName name="Tigr_Exhibitb2fc1697_61f0_45c3_bbc8_0c089a5f7f7e" localSheetId="1" hidden="1">#REF!</definedName>
    <definedName name="Tigr_Exhibitb2fc1697_61f0_45c3_bbc8_0c089a5f7f7e" hidden="1">FinSum!$E$4:$Q$83</definedName>
    <definedName name="Tigr_Exhibited97845e_7962_47b8_b778_8788b41b6d02" localSheetId="1" hidden="1">#REF!</definedName>
    <definedName name="Tigr_Exhibited97845e_7962_47b8_b778_8788b41b6d02" hidden="1">FinSum!$E$4:$Q$82</definedName>
    <definedName name="Total_capital" localSheetId="1">[1]Model!$734:$734</definedName>
    <definedName name="Total_capital" localSheetId="12">[1]Model!$734:$734</definedName>
    <definedName name="Total_capital" localSheetId="11">[1]Model!$734:$734</definedName>
    <definedName name="Total_capital" localSheetId="5">#REF!</definedName>
    <definedName name="total_capital" localSheetId="13">Model!$788:$788</definedName>
    <definedName name="Total_capital">#REF!</definedName>
    <definedName name="total_capital_ratio" localSheetId="12">#REF!</definedName>
    <definedName name="total_capital_ratio" localSheetId="11">#REF!</definedName>
    <definedName name="total_capital_ratio" localSheetId="5">#REF!</definedName>
    <definedName name="total_capital_ratio">Model!$835:$835</definedName>
    <definedName name="total_fee" localSheetId="1">[1]Model!$411:$411</definedName>
    <definedName name="total_fee" localSheetId="12">[1]Model!$411:$411</definedName>
    <definedName name="total_fee" localSheetId="11">[1]Model!$411:$411</definedName>
    <definedName name="total_fee" localSheetId="5">#REF!</definedName>
    <definedName name="total_fee" localSheetId="13">Model!$19:$19</definedName>
    <definedName name="total_fee">#REF!</definedName>
    <definedName name="total_interest_assets" localSheetId="1">[1]Model!$183:$183</definedName>
    <definedName name="total_interest_assets" localSheetId="12">[1]Model!$183:$183</definedName>
    <definedName name="total_interest_assets" localSheetId="11">[1]Model!$183:$183</definedName>
    <definedName name="total_interest_assets" localSheetId="5">#REF!</definedName>
    <definedName name="total_interest_assets" localSheetId="13">Model!$213:$213</definedName>
    <definedName name="total_interest_assets">#REF!</definedName>
    <definedName name="total_revenue" localSheetId="1">[1]Model!$30:$30</definedName>
    <definedName name="total_revenue" localSheetId="12">[1]Model!$30:$30</definedName>
    <definedName name="total_revenue" localSheetId="11">[1]Model!$30:$30</definedName>
    <definedName name="total_revenue" localSheetId="5">#REF!</definedName>
    <definedName name="total_revenue" localSheetId="13">Model!$37:$37</definedName>
    <definedName name="total_revenue">#REF!</definedName>
    <definedName name="total_tier2">Model!$782:$782</definedName>
    <definedName name="trading_income" localSheetId="1">[1]Model!$21:$21</definedName>
    <definedName name="trading_income" localSheetId="12">[1]Model!$21:$21</definedName>
    <definedName name="trading_income" localSheetId="11">[1]Model!$21:$21</definedName>
    <definedName name="trading_income" localSheetId="5">#REF!</definedName>
    <definedName name="trading_income" localSheetId="13">Model!$20:$20</definedName>
    <definedName name="trading_income">#REF!</definedName>
    <definedName name="underlying_performance" localSheetId="5">#REF!</definedName>
    <definedName name="underlying_performance">#REF!</definedName>
    <definedName name="V_ALL_ANZ.AX" localSheetId="1">#REF!</definedName>
    <definedName name="V_ALL_ANZ.AX" localSheetId="12">#REF!</definedName>
    <definedName name="V_ALL_ANZ.AX" localSheetId="11">#REF!</definedName>
    <definedName name="V_ALL_ANZ.AX">#REF!</definedName>
    <definedName name="V_ALL_ANZ.AX_">#REF!</definedName>
    <definedName name="V_ALL_CBA.AX" localSheetId="1">#REF!</definedName>
    <definedName name="V_ALL_CBA.AX">#REF!</definedName>
    <definedName name="V_ALL_CBA.AX_" localSheetId="1">#REF!</definedName>
    <definedName name="V_ALL_CBA.AX_">#REF!</definedName>
    <definedName name="V_ALL_KEYWORDS_TYPE_ScalarContributed_EQTY_200004992">#REF!,#REF!,#REF!,#REF!,#REF!,#REF!,#REF!,#REF!,#REF!,#REF!,#REF!</definedName>
    <definedName name="V_ALL_KEYWORDS_TYPE_ScalarContributed_EQTY_200004993">#REF!,#REF!,#REF!,#REF!,#REF!,#REF!,#REF!,#REF!,#REF!,#REF!,#REF!</definedName>
    <definedName name="V_ALL_KEYWORDS_TYPE_ScalarContributed_EQTY_200004995">#REF!,#REF!,#REF!,#REF!,#REF!,#REF!,#REF!,#REF!,#REF!,#REF!,#REF!</definedName>
    <definedName name="V_ALL_KEYWORDS_TYPE_ScalarContributed_ISSR_208005522">#REF!,#REF!</definedName>
    <definedName name="V_ALL_KEYWORDS_TYPE_ScalarContributed_ISSR_208005523" localSheetId="1">#REF!,#REF!,#REF!</definedName>
    <definedName name="V_ALL_KEYWORDS_TYPE_ScalarContributed_ISSR_208005523">#REF!,#REF!,#REF!</definedName>
    <definedName name="V_ALL_KEYWORDS_TYPE_ScalarContributed_ISSR_208005524">#REF!,#REF!,#REF!</definedName>
    <definedName name="V_ALL_KEYWORDS_TYPE_ScalarReference_EQTY_200004995">#REF!</definedName>
    <definedName name="V_ALL_KEYWORDS_TYPE_ScalarReference_ISSR_208005525">#REF!</definedName>
    <definedName name="V_ALL_KEYWORDS_TYPE_Vector_EQTY_200004992">#REF!,#REF!,#REF!,#REF!,#REF!,#REF!,#REF!,#REF!</definedName>
    <definedName name="V_ALL_KEYWORDS_TYPE_Vector_EQTY_200004993" localSheetId="1">#REF!,#REF!,#REF!,#REF!,#REF!,#REF!,#REF!,#REF!,#REF!,#REF!,#REF!,#REF!,#REF!</definedName>
    <definedName name="V_ALL_KEYWORDS_TYPE_Vector_EQTY_200004993">#REF!,#REF!,#REF!,#REF!,#REF!,#REF!,#REF!,#REF!,#REF!,#REF!,#REF!,#REF!,#REF!</definedName>
    <definedName name="V_ALL_KEYWORDS_TYPE_Vector_EQTY_200004994">#REF!,#REF!,#REF!,#REF!,#REF!,#REF!,#REF!,#REF!,#REF!,#REF!,#REF!,#REF!,#REF!</definedName>
    <definedName name="V_ALL_KEYWORDS_TYPE_Vector_ISSR_208005522">#REF!,#REF!,#REF!,#REF!,#REF!,#REF!,#REF!,#REF!,#REF!,#REF!,#REF!,#REF!,#REF!,#REF!,#REF!,#REF!,#REF!,#REF!,#REF!,#REF!,#REF!,#REF!,#REF!,#REF!,#REF!,#REF!,#REF!,#REF!,#REF!,#REF!</definedName>
    <definedName name="V_ALL_KEYWORDS_TYPE_Vector_ISSR_208005523" localSheetId="1">#REF!,#REF!,#REF!,#REF!,#REF!,#REF!,#REF!,#REF!,#REF!,#REF!,#REF!,#REF!,#REF!,#REF!,#REF!,#REF!,#REF!,#REF!,#REF!,#REF!,#REF!,#REF!,#REF!,#REF!,#REF!,#REF!,#REF!,#REF!</definedName>
    <definedName name="V_ALL_KEYWORDS_TYPE_Vector_ISSR_208005523">#REF!,#REF!,#REF!,#REF!,#REF!,#REF!,#REF!,#REF!,#REF!,#REF!,#REF!,#REF!,#REF!,#REF!,#REF!,#REF!,#REF!,#REF!,#REF!,#REF!,#REF!,#REF!,#REF!,#REF!,#REF!,#REF!,#REF!,#REF!</definedName>
    <definedName name="V_ALL_KEYWORDS_TYPE_Vector_ISSR_208005524">#REF!,#REF!,#REF!,#REF!,#REF!,#REF!,#REF!,#REF!,#REF!,#REF!,#REF!,#REF!,#REF!,#REF!,#REF!,#REF!,#REF!,#REF!,#REF!,#REF!,#REF!,#REF!,#REF!,#REF!,#REF!,#REF!,#REF!,#REF!</definedName>
    <definedName name="V_ALL_NAB.AX">#REF!</definedName>
    <definedName name="V_ALL_NAB.AX_">#REF!</definedName>
    <definedName name="V_ALL_PERIODS_WBC.AX">#REF!</definedName>
    <definedName name="V_ALL_SECTION_KEYWORDS_EQTY_200004992_1314">#REF!</definedName>
    <definedName name="V_ALL_SECTION_KEYWORDS_EQTY_200004992_1316A">#REF!</definedName>
    <definedName name="V_ALL_SECTION_KEYWORDS_EQTY_200004992_1316B">#REF!</definedName>
    <definedName name="V_ALL_SECTION_KEYWORDS_EQTY_200004992_1316C">#REF!</definedName>
    <definedName name="V_ALL_SECTION_KEYWORDS_EQTY_200004992_1316E">#REF!</definedName>
    <definedName name="V_ALL_SECTION_KEYWORDS_EQTY_200004992_1319">#REF!</definedName>
    <definedName name="V_ALL_SECTION_KEYWORDS_EQTY_200004992_131J">#REF!</definedName>
    <definedName name="V_ALL_SECTION_KEYWORDS_EQTY_200004992_131P">#REF!</definedName>
    <definedName name="V_ALL_SECTION_KEYWORDS_EQTY_200004992_13A">#REF!</definedName>
    <definedName name="V_ALL_SECTION_KEYWORDS_EQTY_200004992_13K">#REF!</definedName>
    <definedName name="V_ALL_SECTION_KEYWORDS_EQTY_200004992_13U">#REF!</definedName>
    <definedName name="V_ALL_SECTION_KEYWORDS_EQTY_200004992_13V">#REF!</definedName>
    <definedName name="V_ALL_SECTION_KEYWORDS_EQTY_200004992_13W">#REF!,#REF!</definedName>
    <definedName name="V_ALL_SECTION_KEYWORDS_EQTY_200004993_13A">#REF!</definedName>
    <definedName name="V_ALL_SECTION_KEYWORDS_EQTY_200004993_13K" localSheetId="1">#REF!</definedName>
    <definedName name="V_ALL_SECTION_KEYWORDS_EQTY_200004993_13K">#REF!</definedName>
    <definedName name="V_ALL_SECTION_KEYWORDS_EQTY_200004994_13K">#REF!</definedName>
    <definedName name="V_ALL_SECTION_KEYWORDS_EQTY_200004995_1314">#REF!</definedName>
    <definedName name="V_ALL_SECTION_KEYWORDS_EQTY_200004995_1316A">#REF!</definedName>
    <definedName name="V_ALL_SECTION_KEYWORDS_EQTY_200004995_1316B">#REF!</definedName>
    <definedName name="V_ALL_SECTION_KEYWORDS_EQTY_200004995_1316C">#REF!</definedName>
    <definedName name="V_ALL_SECTION_KEYWORDS_EQTY_200004995_1316E">#REF!</definedName>
    <definedName name="V_ALL_SECTION_KEYWORDS_EQTY_200004995_1319">#REF!</definedName>
    <definedName name="V_ALL_SECTION_KEYWORDS_EQTY_200004995_131J">#REF!</definedName>
    <definedName name="V_ALL_SECTION_KEYWORDS_EQTY_200004995_131O">#REF!</definedName>
    <definedName name="V_ALL_SECTION_KEYWORDS_EQTY_200004995_131P">#REF!</definedName>
    <definedName name="V_ALL_SECTION_KEYWORDS_EQTY_200004995_13A">#REF!</definedName>
    <definedName name="V_ALL_SECTION_KEYWORDS_EQTY_200004995_13U">#REF!</definedName>
    <definedName name="V_ALL_SECTION_KEYWORDS_EQTY_200004995_13V">#REF!</definedName>
    <definedName name="V_ALL_SECTION_KEYWORDS_EQTY_200004995_Reference_Data">#REF!</definedName>
    <definedName name="V_ALL_SECTION_KEYWORDS_ISSR_208005522_0918E">#REF!,#REF!</definedName>
    <definedName name="V_ALL_SECTION_KEYWORDS_ISSR_208005522_1314">#REF!</definedName>
    <definedName name="V_ALL_SECTION_KEYWORDS_ISSR_208005522_13168">#REF!,#REF!</definedName>
    <definedName name="V_ALL_SECTION_KEYWORDS_ISSR_208005522_1316B">#REF!</definedName>
    <definedName name="V_ALL_SECTION_KEYWORDS_ISSR_208005522_1316C">#REF!</definedName>
    <definedName name="V_ALL_SECTION_KEYWORDS_ISSR_208005522_1316E">#REF!</definedName>
    <definedName name="V_ALL_SECTION_KEYWORDS_ISSR_208005522_1316U">#REF!</definedName>
    <definedName name="V_ALL_SECTION_KEYWORDS_ISSR_208005522_1319">#REF!</definedName>
    <definedName name="V_ALL_SECTION_KEYWORDS_ISSR_208005522_131E">#REF!</definedName>
    <definedName name="V_ALL_SECTION_KEYWORDS_ISSR_208005522_131J">#REF!,#REF!</definedName>
    <definedName name="V_ALL_SECTION_KEYWORDS_ISSR_208005522_131O">#REF!</definedName>
    <definedName name="V_ALL_SECTION_KEYWORDS_ISSR_208005522_131P">#REF!</definedName>
    <definedName name="V_ALL_SECTION_KEYWORDS_ISSR_208005522_133M">#REF!</definedName>
    <definedName name="V_ALL_SECTION_KEYWORDS_ISSR_208005522_133R">#REF!</definedName>
    <definedName name="V_ALL_SECTION_KEYWORDS_ISSR_208005522_133W">#REF!</definedName>
    <definedName name="V_ALL_SECTION_KEYWORDS_ISSR_208005522_1341">#REF!</definedName>
    <definedName name="V_ALL_SECTION_KEYWORDS_ISSR_208005522_1346">#REF!</definedName>
    <definedName name="V_ALL_SECTION_KEYWORDS_ISSR_208005522_134B">#REF!</definedName>
    <definedName name="V_ALL_SECTION_KEYWORDS_ISSR_208005522_134G">#REF!</definedName>
    <definedName name="V_ALL_SECTION_KEYWORDS_ISSR_208005522_134L">#REF!</definedName>
    <definedName name="V_ALL_SECTION_KEYWORDS_ISSR_208005522_134Q">#REF!</definedName>
    <definedName name="V_ALL_SECTION_KEYWORDS_ISSR_208005522_134V">#REF!</definedName>
    <definedName name="V_ALL_SECTION_KEYWORDS_ISSR_208005522_1350">#REF!,#REF!</definedName>
    <definedName name="V_ALL_SECTION_KEYWORDS_ISSR_208005522_1355">#REF!,#REF!</definedName>
    <definedName name="V_ALL_SECTION_KEYWORDS_ISSR_208005522_135A">#REF!,#REF!</definedName>
    <definedName name="V_ALL_SECTION_KEYWORDS_ISSR_208005522_135F">#REF!,#REF!</definedName>
    <definedName name="V_ALL_SECTION_KEYWORDS_ISSR_208005522_135K">#REF!,#REF!</definedName>
    <definedName name="V_ALL_SECTION_KEYWORDS_ISSR_208005522_135P">#REF!</definedName>
    <definedName name="V_ALL_SECTION_KEYWORDS_ISSR_208005522_135U">#REF!,#REF!</definedName>
    <definedName name="V_ALL_SECTION_KEYWORDS_ISSR_208005522_135Z">#REF!,#REF!</definedName>
    <definedName name="V_ALL_SECTION_KEYWORDS_ISSR_208005522_13A">#REF!</definedName>
    <definedName name="V_ALL_SECTION_KEYWORDS_ISSR_208005522_13U">#REF!</definedName>
    <definedName name="V_ALL_SECTION_KEYWORDS_ISSR_208005522_13V">#REF!</definedName>
    <definedName name="V_ALL_SECTION_KEYWORDS_ISSR_208005523_1314" localSheetId="1">#REF!</definedName>
    <definedName name="V_ALL_SECTION_KEYWORDS_ISSR_208005523_1314">#REF!</definedName>
    <definedName name="V_ALL_SECTION_KEYWORDS_ISSR_208005523_1319" localSheetId="1">#REF!</definedName>
    <definedName name="V_ALL_SECTION_KEYWORDS_ISSR_208005523_1319">#REF!</definedName>
    <definedName name="V_ALL_SECTION_KEYWORDS_ISSR_208005523_131E" localSheetId="1">#REF!</definedName>
    <definedName name="V_ALL_SECTION_KEYWORDS_ISSR_208005523_131E">#REF!</definedName>
    <definedName name="V_ALL_SECTION_KEYWORDS_ISSR_208005523_13V" localSheetId="1">#REF!,#REF!</definedName>
    <definedName name="V_ALL_SECTION_KEYWORDS_ISSR_208005523_13V">#REF!,#REF!</definedName>
    <definedName name="V_ALL_SECTION_KEYWORDS_ISSR_208005524_1314">#REF!</definedName>
    <definedName name="V_ALL_SECTION_KEYWORDS_ISSR_208005524_1319">#REF!</definedName>
    <definedName name="V_ALL_SECTION_KEYWORDS_ISSR_208005524_131E">#REF!</definedName>
    <definedName name="V_ALL_SECTION_KEYWORDS_ISSR_208005524_13V">#REF!,#REF!</definedName>
    <definedName name="V_ALL_SECTION_KEYWORDS_ISSR_208005525_13168">#REF!</definedName>
    <definedName name="V_ALL_SECTION_KEYWORDS_ISSR_208005525_1316B">#REF!</definedName>
    <definedName name="V_ALL_SECTION_KEYWORDS_ISSR_208005525_1316C">#REF!</definedName>
    <definedName name="V_ALL_SECTION_KEYWORDS_ISSR_208005525_1316E">#REF!</definedName>
    <definedName name="V_ALL_SECTION_KEYWORDS_ISSR_208005525_1316T">#REF!</definedName>
    <definedName name="V_ALL_SECTION_KEYWORDS_ISSR_208005525_1316U">#REF!</definedName>
    <definedName name="V_ALL_SECTION_KEYWORDS_ISSR_208005525_131J">#REF!</definedName>
    <definedName name="V_ALL_SECTION_KEYWORDS_ISSR_208005525_131O">#REF!</definedName>
    <definedName name="V_ALL_SECTION_KEYWORDS_ISSR_208005525_131P">#REF!</definedName>
    <definedName name="V_ALL_SECTION_KEYWORDS_ISSR_208005525_133M">#REF!</definedName>
    <definedName name="V_ALL_SECTION_KEYWORDS_ISSR_208005525_133R">#REF!</definedName>
    <definedName name="V_ALL_SECTION_KEYWORDS_ISSR_208005525_133W">#REF!</definedName>
    <definedName name="V_ALL_SECTION_KEYWORDS_ISSR_208005525_1341">#REF!</definedName>
    <definedName name="V_ALL_SECTION_KEYWORDS_ISSR_208005525_1346">#REF!</definedName>
    <definedName name="V_ALL_SECTION_KEYWORDS_ISSR_208005525_134B">#REF!</definedName>
    <definedName name="V_ALL_SECTION_KEYWORDS_ISSR_208005525_134G">#REF!</definedName>
    <definedName name="V_ALL_SECTION_KEYWORDS_ISSR_208005525_134L">#REF!</definedName>
    <definedName name="V_ALL_SECTION_KEYWORDS_ISSR_208005525_134Q">#REF!</definedName>
    <definedName name="V_ALL_SECTION_KEYWORDS_ISSR_208005525_134V">#REF!</definedName>
    <definedName name="V_ALL_SECTION_KEYWORDS_ISSR_208005525_136E">#REF!</definedName>
    <definedName name="V_ALL_SECTION_KEYWORDS_ISSR_208005525_13A">#REF!</definedName>
    <definedName name="V_ALL_SECTION_KEYWORDS_ISSR_208005525_13U">#REF!</definedName>
    <definedName name="V_ALL_SECTION_KEYWORDS_ISSR_208005525_Reference_Data">#REF!</definedName>
    <definedName name="V_ALL_SECTIONS_EQTY_200004995">#REF!,#REF!,#REF!,#REF!,#REF!,#REF!,#REF!,#REF!,#REF!,#REF!,#REF!,#REF!,#REF!,#REF!</definedName>
    <definedName name="V_ALL_SECTIONS_ISSR_208005525">#REF!,#REF!,#REF!,#REF!,#REF!,#REF!,#REF!,#REF!,#REF!,#REF!,#REF!,#REF!,#REF!,#REF!,#REF!,#REF!,#REF!,#REF!,#REF!,#REF!,#REF!,#REF!,#REF!,#REF!,#REF!,#REF!,#REF!</definedName>
    <definedName name="V_ALL_WBC.AX">#REF!</definedName>
    <definedName name="V_ALL_WBC.AX_">#REF!</definedName>
    <definedName name="V_CURRENCY_EQTY_200004995_PRI">#REF!</definedName>
    <definedName name="V_CURRENCY_EQTY_200004995_PUB">#REF!</definedName>
    <definedName name="V_CURRENCY_EQTY_200004995_REP">#REF!</definedName>
    <definedName name="V_CURRENCY_ISSR_208005525_REP">#REF!</definedName>
    <definedName name="V_ENTITY_DATA_EQTY_200004995">#REF!</definedName>
    <definedName name="V_ENTITY_DATA_ISSR_208005525">#REF!</definedName>
    <definedName name="V_KEYWORD_EQTY_200004995_ANZ_CONVICTION">#REF!</definedName>
    <definedName name="V_KEYWORD_EQTY_200004995_ANZ_LIST">#REF!</definedName>
    <definedName name="V_KEYWORD_EQTY_200004995_ASSET_SALES_GAIN_LOSS">#REF!</definedName>
    <definedName name="V_KEYWORD_EQTY_200004995_AVG_ORD_SHOLDERS_EQUITY">#REF!</definedName>
    <definedName name="V_KEYWORD_EQTY_200004995_AVG_PREF_CAPITAL">#REF!</definedName>
    <definedName name="V_KEYWORD_EQTY_200004995_B_BS_L_GSEQUITY">#REF!</definedName>
    <definedName name="V_KEYWORD_EQTY_200004995_B_CAMELOT_BETA">#REF!</definedName>
    <definedName name="V_KEYWORD_EQTY_200004995_B_CAMELOT_CAGR_DPS">#REF!</definedName>
    <definedName name="V_KEYWORD_EQTY_200004995_B_CAMELOT_PB">#REF!</definedName>
    <definedName name="V_KEYWORD_EQTY_200004995_B_CAMELOT_PE">#REF!</definedName>
    <definedName name="V_KEYWORD_EQTY_200004995_B_FORECASTRANGE">#REF!</definedName>
    <definedName name="V_KEYWORD_EQTY_200004995_B_FORECASTYRS">#REF!</definedName>
    <definedName name="V_KEYWORD_EQTY_200004995_B_PL_GSBVPS">#REF!</definedName>
    <definedName name="V_KEYWORD_EQTY_200004995_B_PL_GSEPS">#REF!</definedName>
    <definedName name="V_KEYWORD_EQTY_200004995_B_PL_GSINCOME">#REF!</definedName>
    <definedName name="V_KEYWORD_EQTY_200004995_B_PL_PTASSOC">#REF!</definedName>
    <definedName name="V_KEYWORD_EQTY_200004995_B_RIM_BETA">#REF!</definedName>
    <definedName name="V_KEYWORD_EQTY_200004995_B_RIM_COE">#REF!</definedName>
    <definedName name="V_KEYWORD_EQTY_200004995_B_RIM_PB">#REF!</definedName>
    <definedName name="V_KEYWORD_EQTY_200004995_B_RIM_PE">#REF!</definedName>
    <definedName name="V_KEYWORD_EQTY_200004995_BASE_CASE_VAL_DCF">#REF!</definedName>
    <definedName name="V_KEYWORD_EQTY_200004995_BENEFITS_TAX_LOSSES">#REF!</definedName>
    <definedName name="V_KEYWORD_EQTY_200004995_BETA_ANALYST">#REF!</definedName>
    <definedName name="V_KEYWORD_EQTY_200004995_BVPS">#REF!</definedName>
    <definedName name="V_KEYWORD_EQTY_200004995_BVPS_PUB">#REF!</definedName>
    <definedName name="V_KEYWORD_EQTY_200004995_CASH_EARNINGS_COMPANY">#REF!</definedName>
    <definedName name="V_KEYWORD_EQTY_200004995_CATALYST1_DATE">#REF!</definedName>
    <definedName name="V_KEYWORD_EQTY_200004995_CATALYST1_EVENT">#REF!</definedName>
    <definedName name="V_KEYWORD_EQTY_200004995_CATALYST2_DATE">#REF!</definedName>
    <definedName name="V_KEYWORD_EQTY_200004995_CATALYST2_EVENT">#REF!</definedName>
    <definedName name="V_KEYWORD_EQTY_200004995_CATALYST3_DATE">#REF!</definedName>
    <definedName name="V_KEYWORD_EQTY_200004995_CATALYST3_EVENT">#REF!</definedName>
    <definedName name="V_KEYWORD_EQTY_200004995_CATALYST4_DATE">#REF!</definedName>
    <definedName name="V_KEYWORD_EQTY_200004995_CATALYST4_EVENT">#REF!</definedName>
    <definedName name="V_KEYWORD_EQTY_200004995_CATALYST5_DATE">#REF!</definedName>
    <definedName name="V_KEYWORD_EQTY_200004995_CATALYST5_EVENT">#REF!</definedName>
    <definedName name="V_KEYWORD_EQTY_200004995_CEEE_NDEBT">#REF!</definedName>
    <definedName name="V_KEYWORD_EQTY_200004995_COE">#REF!</definedName>
    <definedName name="V_KEYWORD_EQTY_200004995_COMMON_DIV_PAID">#REF!</definedName>
    <definedName name="V_KEYWORD_EQTY_200004995_CONVERTIBLE_NOTES">#REF!</definedName>
    <definedName name="V_KEYWORD_EQTY_200004995_COST_OF_EQUITY_DCF">#REF!</definedName>
    <definedName name="V_KEYWORD_EQTY_200004995_CUM_PRESENT_VAL_CASH_FLOWS_DCF">#REF!</definedName>
    <definedName name="V_KEYWORD_EQTY_200004995_CURRENCY_ISO">#REF!</definedName>
    <definedName name="V_KEYWORD_EQTY_200004995_DCF_CASH_FLOW">#REF!</definedName>
    <definedName name="V_KEYWORD_EQTY_200004995_DEBT_EQUITY">#REF!</definedName>
    <definedName name="V_KEYWORD_EQTY_200004995_DEBT_RISK_MARGIN_DCF">#REF!</definedName>
    <definedName name="V_KEYWORD_EQTY_200004995_DILUTE_NI_IMPAC">#REF!</definedName>
    <definedName name="V_KEYWORD_EQTY_200004995_DILUTE_SHARES">#REF!</definedName>
    <definedName name="V_KEYWORD_EQTY_200004995_DISCOUNT_FACTOR_DCF">#REF!</definedName>
    <definedName name="V_KEYWORD_EQTY_200004995_DPS">#REF!</definedName>
    <definedName name="V_KEYWORD_EQTY_200004995_DPS_PUB">#REF!</definedName>
    <definedName name="V_KEYWORD_EQTY_200004995_DPS_SPECIAL_PUB">#REF!</definedName>
    <definedName name="V_KEYWORD_EQTY_200004995_DRP_DISCOUNT">#REF!</definedName>
    <definedName name="V_KEYWORD_EQTY_200004995_DRP_PARTICIPATION">#REF!</definedName>
    <definedName name="V_KEYWORD_EQTY_200004995_EBIT_PUB">#REF!</definedName>
    <definedName name="V_KEYWORD_EQTY_200004995_EBITDA_PUB">#REF!</definedName>
    <definedName name="V_KEYWORD_EQTY_200004995_EFF_INT_RATE_IMPACT_POST_TAX">#REF!</definedName>
    <definedName name="V_KEYWORD_EQTY_200004995_EFPO">#REF!</definedName>
    <definedName name="V_KEYWORD_EQTY_200004995_EFPOWA">#REF!</definedName>
    <definedName name="V_KEYWORD_EQTY_200004995_EPS">#REF!</definedName>
    <definedName name="V_KEYWORD_EQTY_200004995_EPS_CONS_PUB">#REF!</definedName>
    <definedName name="V_KEYWORD_EQTY_200004995_EPS_FUL_DIL">#REF!</definedName>
    <definedName name="V_KEYWORD_EQTY_200004995_EPS_POST_BASIC">#REF!</definedName>
    <definedName name="V_KEYWORD_EQTY_200004995_EPS_PRE_GWILL">#REF!</definedName>
    <definedName name="V_KEYWORD_EQTY_200004995_EPS_PUB">#REF!</definedName>
    <definedName name="V_KEYWORD_EQTY_200004995_EPS_REPORTED">#REF!</definedName>
    <definedName name="V_KEYWORD_EQTY_200004995_EQ_PUB">#REF!</definedName>
    <definedName name="V_KEYWORD_EQTY_200004995_EQUITY_VALUE_DCF">#REF!</definedName>
    <definedName name="V_KEYWORD_EQTY_200004995_EV_ADJ_PUB">#REF!</definedName>
    <definedName name="V_KEYWORD_EQTY_200004995_FIN_INSTRUMENT_HEDGE_POST_TAX">#REF!</definedName>
    <definedName name="V_KEYWORD_EQTY_200004995_FINAL_DIV_AMOUNT">#REF!</definedName>
    <definedName name="V_KEYWORD_EQTY_200004995_FINAL_DIV_EXDATE">#REF!</definedName>
    <definedName name="V_KEYWORD_EQTY_200004995_FINAL_DIV_FRANK">#REF!</definedName>
    <definedName name="V_KEYWORD_EQTY_200004995_FINAL_DIV_TAXRATE">#REF!</definedName>
    <definedName name="V_KEYWORD_EQTY_200004995_FOREIGN_EXCHANGE_GAIN_LOSS">#REF!</definedName>
    <definedName name="V_KEYWORD_EQTY_200004995_FOREIGN_HOLDNG">#REF!</definedName>
    <definedName name="V_KEYWORD_EQTY_200004995_FRANK_TAX_RATE">#REF!</definedName>
    <definedName name="V_KEYWORD_EQTY_200004995_FRANKING">#REF!</definedName>
    <definedName name="V_KEYWORD_EQTY_200004995_FRANKING_ANZPUB">#REF!</definedName>
    <definedName name="V_KEYWORD_EQTY_200004995_FRANKING_SPECIAL_ANZPUB">#REF!</definedName>
    <definedName name="V_KEYWORD_EQTY_200004995_FREE_FLOAT">#REF!</definedName>
    <definedName name="V_KEYWORD_EQTY_200004995_FULLY_DIL_EPS">#REF!</definedName>
    <definedName name="V_KEYWORD_EQTY_200004995_GRTH_CAGR_TOT_ASSET_PROJECTED">#REF!</definedName>
    <definedName name="V_KEYWORD_EQTY_200004995_GRTH_CAGR_TOT_ASSET_TERMINAL">#REF!</definedName>
    <definedName name="V_KEYWORD_EQTY_200004995_GWILL_ASSET_IMP_CHG_POST_TAX">#REF!</definedName>
    <definedName name="V_KEYWORD_EQTY_200004995_IMP_CREDITS_PER_SHARE_DCF">#REF!</definedName>
    <definedName name="V_KEYWORD_EQTY_200004995_INC_MINORITY">#REF!</definedName>
    <definedName name="V_KEYWORD_EQTY_200004995_INCTAX_PL_ON_AB">#REF!</definedName>
    <definedName name="V_KEYWORD_EQTY_200004995_INCTAX_PL_POST_AB">#REF!</definedName>
    <definedName name="V_KEYWORD_EQTY_200004995_INT_DIV_AMOUNT">#REF!</definedName>
    <definedName name="V_KEYWORD_EQTY_200004995_INT_DIV_EXDATE">#REF!</definedName>
    <definedName name="V_KEYWORD_EQTY_200004995_INT_DIV_FRANK">#REF!</definedName>
    <definedName name="V_KEYWORD_EQTY_200004995_INT_DIV_TAXRATE">#REF!</definedName>
    <definedName name="V_KEYWORD_EQTY_200004995_Interim_Type">#REF!</definedName>
    <definedName name="V_KEYWORD_EQTY_200004995_INTRINSIC_PER_SHARE_VALUE_DCF">#REF!</definedName>
    <definedName name="V_KEYWORD_EQTY_200004995_LEGAL_RATING">#REF!</definedName>
    <definedName name="V_KEYWORD_EQTY_200004995_MARGIN_TAX_RATE">#REF!</definedName>
    <definedName name="V_KEYWORD_EQTY_200004995_MARKET_VALUE_OF_INVESTMENTS_DCF">#REF!</definedName>
    <definedName name="V_KEYWORD_EQTY_200004995_MINOR_EQUITY">#REF!</definedName>
    <definedName name="V_KEYWORD_EQTY_200004995_MINOR_NON_EQUITY">#REF!</definedName>
    <definedName name="V_KEYWORD_EQTY_200004995_MKT_EQ_RISK_PREM">#REF!</definedName>
    <definedName name="V_KEYWORD_EQTY_200004995_NET_DEBT_EX_LEASES_PUB">#REF!</definedName>
    <definedName name="V_KEYWORD_EQTY_200004995_NET_DEBT_NET_CASH_DCF">#REF!</definedName>
    <definedName name="V_KEYWORD_EQTY_200004995_NET_DEBT_PUB">#REF!</definedName>
    <definedName name="V_KEYWORD_EQTY_200004995_NET_EARNING">#REF!</definedName>
    <definedName name="V_KEYWORD_EQTY_200004995_NET_INC">#REF!</definedName>
    <definedName name="V_KEYWORD_EQTY_200004995_NET_PROFIT">#REF!</definedName>
    <definedName name="V_KEYWORD_EQTY_200004995_NET_TANGIBLE_ASSETS_ADJUSTED_NZ">#REF!</definedName>
    <definedName name="V_KEYWORD_EQTY_200004995_NI_CONS">#REF!</definedName>
    <definedName name="V_KEYWORD_EQTY_200004995_NI_PUB">#REF!</definedName>
    <definedName name="V_KEYWORD_EQTY_200004995_NI_REPT_PUB">#REF!</definedName>
    <definedName name="V_KEYWORD_EQTY_200004995_NON_OP_ADD">#REF!</definedName>
    <definedName name="V_KEYWORD_EQTY_200004995_NOPAT">#REF!</definedName>
    <definedName name="V_KEYWORD_EQTY_200004995_NOT_IN_USE">#REF!</definedName>
    <definedName name="V_KEYWORD_EQTY_200004995_NTA_PER_SHARE">#REF!</definedName>
    <definedName name="V_KEYWORD_EQTY_200004995_NUM_SH">#REF!</definedName>
    <definedName name="V_KEYWORD_EQTY_200004995_OPPL_ATAX_POST_AB">#REF!</definedName>
    <definedName name="V_KEYWORD_EQTY_200004995_OPTIONS">#REF!</definedName>
    <definedName name="V_KEYWORD_EQTY_200004995_OPTIONS_IN_MONEY">#REF!</definedName>
    <definedName name="V_KEYWORD_EQTY_200004995_OTH_ASSET_IMPAIR_CHG_POST_TAX">#REF!</definedName>
    <definedName name="V_KEYWORD_EQTY_200004995_OTHER_ABNORMAL_ITEMS">#REF!</definedName>
    <definedName name="V_KEYWORD_EQTY_200004995_OTHER_CAPITAL">#REF!</definedName>
    <definedName name="V_KEYWORD_EQTY_200004995_OTHER_IFRS_ADJUST_POST_TAX">#REF!</definedName>
    <definedName name="V_KEYWORD_EQTY_200004995_PARTLY_PAID_SHARES">#REF!</definedName>
    <definedName name="V_KEYWORD_EQTY_200004995_PERPETUITY_GROWTH_RATE_DCF">#REF!</definedName>
    <definedName name="V_KEYWORD_EQTY_200004995_PREFERENCE_SHARES">#REF!</definedName>
    <definedName name="V_KEYWORD_EQTY_200004995_PRESENT_VALUE_OF_CASH_FLOW_DCF">#REF!</definedName>
    <definedName name="V_KEYWORD_EQTY_200004995_PRI_TARG_METH">#REF!</definedName>
    <definedName name="V_KEYWORD_EQTY_200004995_PRI_TARG_MULT">#REF!</definedName>
    <definedName name="V_KEYWORD_EQTY_200004995_PRICE_CURRENCY_ISO">#REF!</definedName>
    <definedName name="V_KEYWORD_EQTY_200004995_PROF_ADJUST_EPS">#REF!</definedName>
    <definedName name="V_KEYWORD_EQTY_200004995_PROF_AT">#REF!</definedName>
    <definedName name="V_KEYWORD_EQTY_200004995_PROV_INC_TAX">#REF!</definedName>
    <definedName name="V_KEYWORD_EQTY_200004995_PTP_PUB">#REF!</definedName>
    <definedName name="V_KEYWORD_EQTY_200004995_PUB_CURRENCY_ISO">#REF!</definedName>
    <definedName name="V_KEYWORD_EQTY_200004995_RESTRUC_COSTS">#REF!</definedName>
    <definedName name="V_KEYWORD_EQTY_200004995_REVS_PUB">#REF!</definedName>
    <definedName name="V_KEYWORD_EQTY_200004995_RISK_ADJ_OPTION_VALUE_DCF">#REF!</definedName>
    <definedName name="V_KEYWORD_EQTY_200004995_RISK_FR_RATE">#REF!</definedName>
    <definedName name="V_KEYWORD_EQTY_200004995_RISK_TO_EARNINGS">#REF!</definedName>
    <definedName name="V_KEYWORD_EQTY_200004995_RISK_WEIGHTED_ASSET_APRA">#REF!</definedName>
    <definedName name="V_KEYWORD_EQTY_200004995_ROAA_PROJECTED">#REF!</definedName>
    <definedName name="V_KEYWORD_EQTY_200004995_ROCE_ANZ">#REF!</definedName>
    <definedName name="V_KEYWORD_EQTY_200004995_ROE_TERMINAL">#REF!</definedName>
    <definedName name="V_KEYWORD_EQTY_200004995_Security_Name">#REF!</definedName>
    <definedName name="V_KEYWORD_EQTY_200004995_SH">#REF!</definedName>
    <definedName name="V_KEYWORD_EQTY_200004995_SHOLDERS_EQUITY_MBRS">#REF!</definedName>
    <definedName name="V_KEYWORD_EQTY_200004995_STD_FREE_OP_CASH_FLOW_DCF">#REF!</definedName>
    <definedName name="V_KEYWORD_EQTY_200004995_TANG_BVPS">#REF!</definedName>
    <definedName name="V_KEYWORD_EQTY_200004995_TARGET_PRICE">#REF!</definedName>
    <definedName name="V_KEYWORD_EQTY_200004995_TARGET_PRICE_FUNDAMENTAL">#REF!</definedName>
    <definedName name="V_KEYWORD_EQTY_200004995_TARGET_PRICE_MA">#REF!</definedName>
    <definedName name="V_KEYWORD_EQTY_200004995_TAX_EXC">#REF!</definedName>
    <definedName name="V_KEYWORD_EQTY_200004995_TAX_RATE_DCF">#REF!</definedName>
    <definedName name="V_KEYWORD_EQTY_200004995_TBVPS_LAST">#REF!</definedName>
    <definedName name="V_KEYWORD_EQTY_200004995_TERMINAL_YEAR_DCF">#REF!</definedName>
    <definedName name="V_KEYWORD_EQTY_200004995_Ticker">#REF!</definedName>
    <definedName name="V_KEYWORD_EQTY_200004995_TOTAL_ANNUAL_DIV_AMOUNT">#REF!</definedName>
    <definedName name="V_KEYWORD_EQTY_200004995_TOTAL_CAPITAL_EFPO">#REF!</definedName>
    <definedName name="V_KEYWORD_EQTY_200004995_TOTAL_CAPITAL_EFPOWA">#REF!</definedName>
    <definedName name="V_KEYWORD_EQTY_200004995_TOTAL_IFRS_ADJUST_POST_TAX">#REF!</definedName>
    <definedName name="V_KEYWORD_EQTY_200004995_TP_PERIOD">#REF!</definedName>
    <definedName name="V_KEYWORD_EQTY_200004995_VALUATION_YEAR">#REF!</definedName>
    <definedName name="V_KEYWORD_EQTY_200004995_WACC_DCF">#REF!</definedName>
    <definedName name="V_KEYWORD_EQTY_200004995_YEAR_END_CAPITAL_EVA">#REF!</definedName>
    <definedName name="V_KEYWORD_ISSR_208005525_ACC_END_DATE">#REF!</definedName>
    <definedName name="V_KEYWORD_ISSR_208005525_ACCEPTANCES_ASSETS">#REF!</definedName>
    <definedName name="V_KEYWORD_ISSR_208005525_ACCEPTANCES_LIABS">#REF!</definedName>
    <definedName name="V_KEYWORD_ISSR_208005525_ACCRUAL">#REF!</definedName>
    <definedName name="V_KEYWORD_ISSR_208005525_AMORT_OF_INTANGIBLES">#REF!</definedName>
    <definedName name="V_KEYWORD_ISSR_208005525_AMORT_OF_INTANGIBLES_ADJ">#REF!</definedName>
    <definedName name="V_KEYWORD_ISSR_208005525_ASIA_ASS">#REF!</definedName>
    <definedName name="V_KEYWORD_ISSR_208005525_ASIA_OP">#REF!</definedName>
    <definedName name="V_KEYWORD_ISSR_208005525_ASIA_SALES">#REF!</definedName>
    <definedName name="V_KEYWORD_ISSR_208005525_ASSET_MISC">#REF!</definedName>
    <definedName name="V_KEYWORD_ISSR_208005525_ASSOCIATE">#REF!</definedName>
    <definedName name="V_KEYWORD_ISSR_208005525_AVG_ACCEPTANCES">#REF!</definedName>
    <definedName name="V_KEYWORD_ISSR_208005525_AVG_CAPITAL_EMPLOYED_ADJ">#REF!</definedName>
    <definedName name="V_KEYWORD_ISSR_208005525_AVG_GROSS_NON_PERF_ASSETS">#REF!</definedName>
    <definedName name="V_KEYWORD_ISSR_208005525_AVG_INT_BEARING_LIABS">#REF!</definedName>
    <definedName name="V_KEYWORD_ISSR_208005525_AVG_INT_EARN_ASSETS">#REF!</definedName>
    <definedName name="V_KEYWORD_ISSR_208005525_AVG_LOANS_ADVANCES">#REF!</definedName>
    <definedName name="V_KEYWORD_ISSR_208005525_AVG_NON_INT_BEARING_LIABS">#REF!</definedName>
    <definedName name="V_KEYWORD_ISSR_208005525_AVG_OTH_PROD_ASSETS">#REF!</definedName>
    <definedName name="V_KEYWORD_ISSR_208005525_AVG_OTHER_ASSETS">#REF!</definedName>
    <definedName name="V_KEYWORD_ISSR_208005525_AVG_OTHER_LIABS">#REF!</definedName>
    <definedName name="V_KEYWORD_ISSR_208005525_AVG_PROD_INT_EARN_ASSETS">#REF!</definedName>
    <definedName name="V_KEYWORD_ISSR_208005525_AVG_PROV_BAD_DEBT">#REF!</definedName>
    <definedName name="V_KEYWORD_ISSR_208005525_AVG_TOTAL_ASSETS">#REF!</definedName>
    <definedName name="V_KEYWORD_ISSR_208005525_AVG_YIELD_LOANS">#REF!</definedName>
    <definedName name="V_KEYWORD_ISSR_208005525_B_BS_A_DEBTTOT">#REF!</definedName>
    <definedName name="V_KEYWORD_ISSR_208005525_B_BS_A_LNBNK">#REF!</definedName>
    <definedName name="V_KEYWORD_ISSR_208005525_B_BS_A_NETLOANS">#REF!</definedName>
    <definedName name="V_KEYWORD_ISSR_208005525_B_BS_A_OTHINT1">#REF!</definedName>
    <definedName name="V_KEYWORD_ISSR_208005525_B_BS_A_PERIOD">#REF!</definedName>
    <definedName name="V_KEYWORD_ISSR_208005525_B_BS_L_BANKDEP">#REF!</definedName>
    <definedName name="V_KEYWORD_ISSR_208005525_B_BS_L_CUSTDEP">#REF!</definedName>
    <definedName name="V_KEYWORD_ISSR_208005525_B_BS_L_GSTANGEQ">#REF!</definedName>
    <definedName name="V_KEYWORD_ISSR_208005525_B_BS_L_PERIOD">#REF!</definedName>
    <definedName name="V_KEYWORD_ISSR_208005525_B_CA_B3T1RATIO">#REF!</definedName>
    <definedName name="V_KEYWORD_ISSR_208005525_B_CA_BISRATIO">#REF!</definedName>
    <definedName name="V_KEYWORD_ISSR_208005525_B_CA_CAPBASE">#REF!</definedName>
    <definedName name="V_KEYWORD_ISSR_208005525_B_CA_CORECAP">#REF!</definedName>
    <definedName name="V_KEYWORD_ISSR_208005525_B_CA_PREFCAP">#REF!</definedName>
    <definedName name="V_KEYWORD_ISSR_208005525_B_CA_RWA">#REF!</definedName>
    <definedName name="V_KEYWORD_ISSR_208005525_B_CA_T1CAP">#REF!</definedName>
    <definedName name="V_KEYWORD_ISSR_208005525_B_CA_T1RATIO">#REF!</definedName>
    <definedName name="V_KEYWORD_ISSR_208005525_B_CA_T2CAP">#REF!</definedName>
    <definedName name="V_KEYWORD_ISSR_208005525_B_CA_T2RATIO">#REF!</definedName>
    <definedName name="V_KEYWORD_ISSR_208005525_B_CAMELOT_SUST_ROE">#REF!</definedName>
    <definedName name="V_KEYWORD_ISSR_208005525_B_DE_DEMAND">#REF!</definedName>
    <definedName name="V_KEYWORD_ISSR_208005525_B_DE_OTHERS">#REF!</definedName>
    <definedName name="V_KEYWORD_ISSR_208005525_B_DE_TIME">#REF!</definedName>
    <definedName name="V_KEYWORD_ISSR_208005525_B_DE_TOTDEPOSIT">#REF!</definedName>
    <definedName name="V_KEYWORD_ISSR_208005525_B_GAIN_SALE_SEC">#REF!</definedName>
    <definedName name="V_KEYWORD_ISSR_208005525_B_IH_BKVALUE">#REF!</definedName>
    <definedName name="V_KEYWORD_ISSR_208005525_B_IH_MKTVALUE">#REF!</definedName>
    <definedName name="V_KEYWORD_ISSR_208005525_B_IH_PTAXVALUE">#REF!</definedName>
    <definedName name="V_KEYWORD_ISSR_208005525_B_IH_TAX">#REF!</definedName>
    <definedName name="V_KEYWORD_ISSR_208005525_B_IH_UNREALISE">#REF!</definedName>
    <definedName name="V_KEYWORD_ISSR_208005525_B_LB_COMMCL">#REF!</definedName>
    <definedName name="V_KEYWORD_ISSR_208005525_B_LB_CONSTRUCT">#REF!</definedName>
    <definedName name="V_KEYWORD_ISSR_208005525_B_LB_FINANCL">#REF!</definedName>
    <definedName name="V_KEYWORD_ISSR_208005525_B_LB_FINLEASE">#REF!</definedName>
    <definedName name="V_KEYWORD_ISSR_208005525_B_LB_GOVERNMT">#REF!</definedName>
    <definedName name="V_KEYWORD_ISSR_208005525_B_LB_GROSSLOANS">#REF!</definedName>
    <definedName name="V_KEYWORD_ISSR_208005525_B_LB_MORTG">#REF!</definedName>
    <definedName name="V_KEYWORD_ISSR_208005525_B_LB_OTHER">#REF!</definedName>
    <definedName name="V_KEYWORD_ISSR_208005525_B_LB_OTHLEND">#REF!</definedName>
    <definedName name="V_KEYWORD_ISSR_208005525_B_LB_OTHSECURE">#REF!</definedName>
    <definedName name="V_KEYWORD_ISSR_208005525_B_LB_OVSEASLEND">#REF!</definedName>
    <definedName name="V_KEYWORD_ISSR_208005525_B_LB_PERSON">#REF!</definedName>
    <definedName name="V_KEYWORD_ISSR_208005525_B_LB_TOTCORP">#REF!</definedName>
    <definedName name="V_KEYWORD_ISSR_208005525_B_LB_TOTPERSNL">#REF!</definedName>
    <definedName name="V_KEYWORD_ISSR_208005525_B_LT_DIV_PAYOUT">#REF!</definedName>
    <definedName name="V_KEYWORD_ISSR_208005525_B_MA_REPCOSTLIB">#REF!</definedName>
    <definedName name="V_KEYWORD_ISSR_208005525_B_MA_REPGYLD">#REF!</definedName>
    <definedName name="V_KEYWORD_ISSR_208005525_B_MA_REPIMPSPD">#REF!</definedName>
    <definedName name="V_KEYWORD_ISSR_208005525_B_MA_REPINTAST">#REF!</definedName>
    <definedName name="V_KEYWORD_ISSR_208005525_B_MA_REPINTLIB">#REF!</definedName>
    <definedName name="V_KEYWORD_ISSR_208005525_B_MA_REPNIM">#REF!</definedName>
    <definedName name="V_KEYWORD_ISSR_208005525_B_NPL_PROBLN">#REF!</definedName>
    <definedName name="V_KEYWORD_ISSR_208005525_B_NPL_TOTNPL">#REF!</definedName>
    <definedName name="V_KEYWORD_ISSR_208005525_B_PL_LOANPRV">#REF!</definedName>
    <definedName name="V_KEYWORD_ISSR_208005525_B_PL_NETINTINC">#REF!</definedName>
    <definedName name="V_KEYWORD_ISSR_208005525_B_PV_GLLRCUST">#REF!</definedName>
    <definedName name="V_KEYWORD_ISSR_208005525_B_PV_SLLRCUST">#REF!</definedName>
    <definedName name="V_KEYWORD_ISSR_208005525_B_PV_TOTLLRCUST">#REF!</definedName>
    <definedName name="V_KEYWORD_ISSR_208005525_BAL_MINO_INT">#REF!</definedName>
    <definedName name="V_KEYWORD_ISSR_208005525_BAL_OF_FRANK_CREDITS">#REF!</definedName>
    <definedName name="V_KEYWORD_ISSR_208005525_BONDS_NOTES_SUBORD_DEBT">#REF!</definedName>
    <definedName name="V_KEYWORD_ISSR_208005525_BRANCHES">#REF!</definedName>
    <definedName name="V_KEYWORD_ISSR_208005525_CAP_LEASES">#REF!</definedName>
    <definedName name="V_KEYWORD_ISSR_208005525_CASH_EQ">#REF!</definedName>
    <definedName name="V_KEYWORD_ISSR_208005525_COGS_PCT_ROW">#REF!</definedName>
    <definedName name="V_KEYWORD_ISSR_208005525_COGS_PCT_US">#REF!</definedName>
    <definedName name="V_KEYWORD_ISSR_208005525_COMMITMENTS">#REF!</definedName>
    <definedName name="V_KEYWORD_ISSR_208005525_CONTINGENCIES">#REF!</definedName>
    <definedName name="V_KEYWORD_ISSR_208005525_COST_OF_DEBT_DCF">#REF!</definedName>
    <definedName name="V_KEYWORD_ISSR_208005525_CURRENCY_ISO">#REF!</definedName>
    <definedName name="V_KEYWORD_ISSR_208005525_DEBT_SECUR">#REF!</definedName>
    <definedName name="V_KEYWORD_ISSR_208005525_DEBT_TO_EQUITY_MKT_VALUES_DCF">#REF!</definedName>
    <definedName name="V_KEYWORD_ISSR_208005525_DEFINED_BENEFIT_OBLIGATION">#REF!</definedName>
    <definedName name="V_KEYWORD_ISSR_208005525_DEFINED_BENEFIT_SURPLUS">#REF!</definedName>
    <definedName name="V_KEYWORD_ISSR_208005525_DEPR_ROU_ASSETS">#REF!</definedName>
    <definedName name="V_KEYWORD_ISSR_208005525_DEPREC">#REF!</definedName>
    <definedName name="V_KEYWORD_ISSR_208005525_DEVELOPMENT_VENTURES">#REF!</definedName>
    <definedName name="V_KEYWORD_ISSR_208005525_DIV_PAID">#REF!</definedName>
    <definedName name="V_KEYWORD_ISSR_208005525_DIVID_INC">#REF!</definedName>
    <definedName name="V_KEYWORD_ISSR_208005525_DOM_ASS">#REF!</definedName>
    <definedName name="V_KEYWORD_ISSR_208005525_DOM_OP">#REF!</definedName>
    <definedName name="V_KEYWORD_ISSR_208005525_DOM_SALES">#REF!</definedName>
    <definedName name="V_KEYWORD_ISSR_208005525_EBIT_UNDERLYING_PRE_GWILL">#REF!</definedName>
    <definedName name="V_KEYWORD_ISSR_208005525_EFFECT_INT_RATE_IMPACT_PRE_TAX">#REF!</definedName>
    <definedName name="V_KEYWORD_ISSR_208005525_EMER_ASS">#REF!</definedName>
    <definedName name="V_KEYWORD_ISSR_208005525_EMER_OP">#REF!</definedName>
    <definedName name="V_KEYWORD_ISSR_208005525_EMER_SALES">#REF!</definedName>
    <definedName name="V_KEYWORD_ISSR_208005525_EMPLOYEES">#REF!</definedName>
    <definedName name="V_KEYWORD_ISSR_208005525_EQ">#REF!</definedName>
    <definedName name="V_KEYWORD_ISSR_208005525_EQUIP_COSTS">#REF!</definedName>
    <definedName name="V_KEYWORD_ISSR_208005525_EUR_ASS">#REF!</definedName>
    <definedName name="V_KEYWORD_ISSR_208005525_EURO_OP">#REF!</definedName>
    <definedName name="V_KEYWORD_ISSR_208005525_EURO_SALES">#REF!</definedName>
    <definedName name="V_KEYWORD_ISSR_208005525_EXP_OIL_DERIV_NGLS_PLASTICS">#REF!</definedName>
    <definedName name="V_KEYWORD_ISSR_208005525_EXP_OIL_PETRO_FUEL">#REF!</definedName>
    <definedName name="V_KEYWORD_ISSR_208005525_FIN_INSTR_HEDGE_CURR_LIABILITY">#REF!</definedName>
    <definedName name="V_KEYWORD_ISSR_208005525_FIN_INSTRUMENT_HEDGE_PRE_TAX">#REF!</definedName>
    <definedName name="V_KEYWORD_ISSR_208005525_FIN_TRANS_INC">#REF!</definedName>
    <definedName name="V_KEYWORD_ISSR_208005525_FINANCE_SERVICES_INCOME">#REF!</definedName>
    <definedName name="V_KEYWORD_ISSR_208005525_FIX_ASS_INV">#REF!</definedName>
    <definedName name="V_KEYWORD_ISSR_208005525_FLOATING_PCT_LOCAL_DEBT">#REF!</definedName>
    <definedName name="V_KEYWORD_ISSR_208005525_FLOATING_PCT_LOCAL_DEBT_HEDGED">#REF!</definedName>
    <definedName name="V_KEYWORD_ISSR_208005525_FOREIGN_EXCH_INCOME">#REF!</definedName>
    <definedName name="V_KEYWORD_ISSR_208005525_FX_AUD_ASSUMPTION">#REF!</definedName>
    <definedName name="V_KEYWORD_ISSR_208005525_FX_AUD_NI_SENSITIVITY">#REF!</definedName>
    <definedName name="V_KEYWORD_ISSR_208005525_FX_EUR_ASSUMPTION">#REF!</definedName>
    <definedName name="V_KEYWORD_ISSR_208005525_FX_EUR_NI_SENSITIVITY">#REF!</definedName>
    <definedName name="V_KEYWORD_ISSR_208005525_FX_USD_ASSUMPTION">#REF!</definedName>
    <definedName name="V_KEYWORD_ISSR_208005525_FX_USD_NI_SENSITIVITY">#REF!</definedName>
    <definedName name="V_KEYWORD_ISSR_208005525_GEN_INS_INC">#REF!</definedName>
    <definedName name="V_KEYWORD_ISSR_208005525_GENERAL_PROV">#REF!</definedName>
    <definedName name="V_KEYWORD_ISSR_208005525_GENERAL_PROV_DOUBTFUL">#REF!</definedName>
    <definedName name="V_KEYWORD_ISSR_208005525_GOODWILL">#REF!</definedName>
    <definedName name="V_KEYWORD_ISSR_208005525_GOODWILL_AMORT">#REF!</definedName>
    <definedName name="V_KEYWORD_ISSR_208005525_GROSS_LOANS_ADVANCES">#REF!</definedName>
    <definedName name="V_KEYWORD_ISSR_208005525_GROSS_NON_ACCRUAL">#REF!</definedName>
    <definedName name="V_KEYWORD_ISSR_208005525_GROSS_OP_PROF">#REF!</definedName>
    <definedName name="V_KEYWORD_ISSR_208005525_GWILL_ASSET_IMPAIR_CHG_PRE_TAX">#REF!</definedName>
    <definedName name="V_KEYWORD_ISSR_208005525_HYBRID_DIST_PRE_TAX">#REF!</definedName>
    <definedName name="V_KEYWORD_ISSR_208005525_INS_CLAIMS">#REF!</definedName>
    <definedName name="V_KEYWORD_ISSR_208005525_INT_EARN_ASSETS">#REF!</definedName>
    <definedName name="V_KEYWORD_ISSR_208005525_INT_EXP">#REF!</definedName>
    <definedName name="V_KEYWORD_ISSR_208005525_INT_INC">#REF!</definedName>
    <definedName name="V_KEYWORD_ISSR_208005525_INV_SECUR">#REF!</definedName>
    <definedName name="V_KEYWORD_ISSR_208005525_INVESTMENT_SECS_INCOME">#REF!</definedName>
    <definedName name="V_KEYWORD_ISSR_208005525_INVESTMENTS">#REF!</definedName>
    <definedName name="V_KEYWORD_ISSR_208005525_Issuer_Name">#REF!</definedName>
    <definedName name="V_KEYWORD_ISSR_208005525_LABOUR">#REF!</definedName>
    <definedName name="V_KEYWORD_ISSR_208005525_LATAM_ASS">#REF!</definedName>
    <definedName name="V_KEYWORD_ISSR_208005525_LATAM_OP">#REF!</definedName>
    <definedName name="V_KEYWORD_ISSR_208005525_LATAM_SALES">#REF!</definedName>
    <definedName name="V_KEYWORD_ISSR_208005525_LEASE_ADOPT">#REF!</definedName>
    <definedName name="V_KEYWORD_ISSR_208005525_LEASE_INT_CHG">#REF!</definedName>
    <definedName name="V_KEYWORD_ISSR_208005525_LEASE_PAY">#REF!</definedName>
    <definedName name="V_KEYWORD_ISSR_208005525_LEASE_PRINCIPAL_CASH">#REF!</definedName>
    <definedName name="V_KEYWORD_ISSR_208005525_LENDING_FEES">#REF!</definedName>
    <definedName name="V_KEYWORD_ISSR_208005525_LIAB_MISC">#REF!</definedName>
    <definedName name="V_KEYWORD_ISSR_208005525_LIFE_INC">#REF!</definedName>
    <definedName name="V_KEYWORD_ISSR_208005525_LIFE_POLICY_ASS">#REF!</definedName>
    <definedName name="V_KEYWORD_ISSR_208005525_LIFE_POLICY_LIABS">#REF!</definedName>
    <definedName name="V_KEYWORD_ISSR_208005525_LIFE_SHARE">#REF!</definedName>
    <definedName name="V_KEYWORD_ISSR_208005525_LIQUID_ASSETS">#REF!</definedName>
    <definedName name="V_KEYWORD_ISSR_208005525_LOAN_CAPITAL">#REF!</definedName>
    <definedName name="V_KEYWORD_ISSR_208005525_LT_LEASE_LIAB">#REF!</definedName>
    <definedName name="V_KEYWORD_ISSR_208005525_MA_PROB">#REF!</definedName>
    <definedName name="V_KEYWORD_ISSR_208005525_MINOR_EQUITY_BS">#REF!</definedName>
    <definedName name="V_KEYWORD_ISSR_208005525_MINORITIES">#REF!</definedName>
    <definedName name="V_KEYWORD_ISSR_208005525_MONEY_TRANSFER_FEES">#REF!</definedName>
    <definedName name="V_KEYWORD_ISSR_208005525_MV_ASSOCIATES">#REF!</definedName>
    <definedName name="V_KEYWORD_ISSR_208005525_NAM_ASS">#REF!</definedName>
    <definedName name="V_KEYWORD_ISSR_208005525_NAM_OP">#REF!</definedName>
    <definedName name="V_KEYWORD_ISSR_208005525_NAM_SALES">#REF!</definedName>
    <definedName name="V_KEYWORD_ISSR_208005525_NET_ASSETS">#REF!</definedName>
    <definedName name="V_KEYWORD_ISSR_208005525_NET_DEBT">#REF!</definedName>
    <definedName name="V_KEYWORD_ISSR_208005525_NET_FEE">#REF!</definedName>
    <definedName name="V_KEYWORD_ISSR_208005525_NET_FIX_ASS">#REF!</definedName>
    <definedName name="V_KEYWORD_ISSR_208005525_NET_FREE_FUNDS">#REF!</definedName>
    <definedName name="V_KEYWORD_ISSR_208005525_NET_INTANG">#REF!</definedName>
    <definedName name="V_KEYWORD_ISSR_208005525_NET_OP_PROF">#REF!</definedName>
    <definedName name="V_KEYWORD_ISSR_208005525_NET_TANGIBLE_ASSETS">#REF!</definedName>
    <definedName name="V_KEYWORD_ISSR_208005525_NETCHGOFF_BS">#REF!</definedName>
    <definedName name="V_KEYWORD_ISSR_208005525_NEW_SPECIFIC_PROV">#REF!</definedName>
    <definedName name="V_KEYWORD_ISSR_208005525_NON_INT_INC">#REF!</definedName>
    <definedName name="V_KEYWORD_ISSR_208005525_OCCUPANCY_COSTS">#REF!</definedName>
    <definedName name="V_KEYWORD_ISSR_208005525_OP_COST">#REF!</definedName>
    <definedName name="V_KEYWORD_ISSR_208005525_OPPL_BTAX_POST_AB">#REF!</definedName>
    <definedName name="V_KEYWORD_ISSR_208005525_ORD_SH_FUND">#REF!</definedName>
    <definedName name="V_KEYWORD_ISSR_208005525_ORD_SHARE_CAPITAL">#REF!</definedName>
    <definedName name="V_KEYWORD_ISSR_208005525_OTH_ADMIN">#REF!</definedName>
    <definedName name="V_KEYWORD_ISSR_208005525_OTH_ASS">#REF!</definedName>
    <definedName name="V_KEYWORD_ISSR_208005525_OTH_ASSET">#REF!</definedName>
    <definedName name="V_KEYWORD_ISSR_208005525_OTH_COST">#REF!</definedName>
    <definedName name="V_KEYWORD_ISSR_208005525_OTH_COST_INC">#REF!</definedName>
    <definedName name="V_KEYWORD_ISSR_208005525_OTH_DACF_ADJ">#REF!</definedName>
    <definedName name="V_KEYWORD_ISSR_208005525_OTH_GCI_ADJ">#REF!</definedName>
    <definedName name="V_KEYWORD_ISSR_208005525_OTH_INC">#REF!</definedName>
    <definedName name="V_KEYWORD_ISSR_208005525_OTH_INTANG">#REF!</definedName>
    <definedName name="V_KEYWORD_ISSR_208005525_OTH_LIABS">#REF!</definedName>
    <definedName name="V_KEYWORD_ISSR_208005525_OTH_NONOP_EXP">#REF!</definedName>
    <definedName name="V_KEYWORD_ISSR_208005525_OTH_NONOP_INC">#REF!</definedName>
    <definedName name="V_KEYWORD_ISSR_208005525_OTH_OP">#REF!</definedName>
    <definedName name="V_KEYWORD_ISSR_208005525_OTH_PAY_LIABS">#REF!</definedName>
    <definedName name="V_KEYWORD_ISSR_208005525_OTH_PROVS">#REF!</definedName>
    <definedName name="V_KEYWORD_ISSR_208005525_OTH_SALES">#REF!</definedName>
    <definedName name="V_KEYWORD_ISSR_208005525_OTHER_ASSET_IMPAIR_CHG_PRE_TAX">#REF!</definedName>
    <definedName name="V_KEYWORD_ISSR_208005525_OTHER_EXPENSES">#REF!</definedName>
    <definedName name="V_KEYWORD_ISSR_208005525_OTHER_FEES">#REF!</definedName>
    <definedName name="V_KEYWORD_ISSR_208005525_OTHER_IFRS_ADJUST_PRE_TAX">#REF!</definedName>
    <definedName name="V_KEYWORD_ISSR_208005525_OTHER_INCOME">#REF!</definedName>
    <definedName name="V_KEYWORD_ISSR_208005525_OTHER_INTANGIBLES_DEPREC">#REF!</definedName>
    <definedName name="V_KEYWORD_ISSR_208005525_OTHER_INTANGIBLES_NON_DEPREC">#REF!</definedName>
    <definedName name="V_KEYWORD_ISSR_208005525_OTHER_STAFF_COSTS">#REF!</definedName>
    <definedName name="V_KEYWORD_ISSR_208005525_PCT_ASIA_ASS">#REF!</definedName>
    <definedName name="V_KEYWORD_ISSR_208005525_PCT_ASIA_OP">#REF!</definedName>
    <definedName name="V_KEYWORD_ISSR_208005525_PCT_ASIA_SALES">#REF!</definedName>
    <definedName name="V_KEYWORD_ISSR_208005525_PCT_DOM_ASS">#REF!</definedName>
    <definedName name="V_KEYWORD_ISSR_208005525_PCT_DOM_OP">#REF!</definedName>
    <definedName name="V_KEYWORD_ISSR_208005525_PCT_DOM_SALES">#REF!</definedName>
    <definedName name="V_KEYWORD_ISSR_208005525_PCT_EMER_ASS">#REF!</definedName>
    <definedName name="V_KEYWORD_ISSR_208005525_PCT_EMER_OP">#REF!</definedName>
    <definedName name="V_KEYWORD_ISSR_208005525_PCT_EMER_SALES">#REF!</definedName>
    <definedName name="V_KEYWORD_ISSR_208005525_PCT_EURO_ASS">#REF!</definedName>
    <definedName name="V_KEYWORD_ISSR_208005525_PCT_EURO_OP">#REF!</definedName>
    <definedName name="V_KEYWORD_ISSR_208005525_PCT_EURO_SALES">#REF!</definedName>
    <definedName name="V_KEYWORD_ISSR_208005525_PCT_LATAM_ASS">#REF!</definedName>
    <definedName name="V_KEYWORD_ISSR_208005525_PCT_LATAM_OP">#REF!</definedName>
    <definedName name="V_KEYWORD_ISSR_208005525_PCT_LATAM_SALES">#REF!</definedName>
    <definedName name="V_KEYWORD_ISSR_208005525_PCT_NAM_ASS">#REF!</definedName>
    <definedName name="V_KEYWORD_ISSR_208005525_PCT_NAM_OP">#REF!</definedName>
    <definedName name="V_KEYWORD_ISSR_208005525_PCT_NAM_SALES">#REF!</definedName>
    <definedName name="V_KEYWORD_ISSR_208005525_PCT_OTH_ASS">#REF!</definedName>
    <definedName name="V_KEYWORD_ISSR_208005525_PCT_OTH_OP">#REF!</definedName>
    <definedName name="V_KEYWORD_ISSR_208005525_PCT_OTH_SALES">#REF!</definedName>
    <definedName name="V_KEYWORD_ISSR_208005525_PERIOD_MILESTONE">#REF!</definedName>
    <definedName name="V_KEYWORD_ISSR_208005525_PERSONNEL">#REF!</definedName>
    <definedName name="V_KEYWORD_ISSR_208005525_PL_BTAX_ON_AB">#REF!</definedName>
    <definedName name="V_KEYWORD_ISSR_208005525_PRE_PAYMNTS">#REF!</definedName>
    <definedName name="V_KEYWORD_ISSR_208005525_PREF_SH">#REF!</definedName>
    <definedName name="V_KEYWORD_ISSR_208005525_PREF_SHARE_CAP">#REF!</definedName>
    <definedName name="V_KEYWORD_ISSR_208005525_PROF_BTE">#REF!</definedName>
    <definedName name="V_KEYWORD_ISSR_208005525_PROFIT_DEFBEN_PLAN_POST_TAX">#REF!</definedName>
    <definedName name="V_KEYWORD_ISSR_208005525_PROFIT_DEFBEN_PLAN_PRE_TAX">#REF!</definedName>
    <definedName name="V_KEYWORD_ISSR_208005525_PROFIT_ON_DISP">#REF!</definedName>
    <definedName name="V_KEYWORD_ISSR_208005525_PROV_BS">#REF!</definedName>
    <definedName name="V_KEYWORD_ISSR_208005525_PT_PROF">#REF!</definedName>
    <definedName name="V_KEYWORD_ISSR_208005525_RECOVERIES_BS">#REF!</definedName>
    <definedName name="V_KEYWORD_ISSR_208005525_RENTAL_INCOME">#REF!</definedName>
    <definedName name="V_KEYWORD_ISSR_208005525_RESERVES">#REF!</definedName>
    <definedName name="V_KEYWORD_ISSR_208005525_RETAIN_PROFIT_LOSS">#REF!</definedName>
    <definedName name="V_KEYWORD_ISSR_208005525_ROU_ASSET">#REF!</definedName>
    <definedName name="V_KEYWORD_ISSR_208005525_SALES">#REF!</definedName>
    <definedName name="V_KEYWORD_ISSR_208005525_SALES_ARGENTINA">#REF!</definedName>
    <definedName name="V_KEYWORD_ISSR_208005525_SALES_AUSTRA">#REF!</definedName>
    <definedName name="V_KEYWORD_ISSR_208005525_SALES_AUSTRIA">#REF!</definedName>
    <definedName name="V_KEYWORD_ISSR_208005525_SALES_BEL">#REF!</definedName>
    <definedName name="V_KEYWORD_ISSR_208005525_SALES_BRAZIL">#REF!</definedName>
    <definedName name="V_KEYWORD_ISSR_208005525_SALES_CANADA">#REF!</definedName>
    <definedName name="V_KEYWORD_ISSR_208005525_SALES_CEE">#REF!</definedName>
    <definedName name="V_KEYWORD_ISSR_208005525_SALES_CHILE">#REF!</definedName>
    <definedName name="V_KEYWORD_ISSR_208005525_SALES_CHINA">#REF!</definedName>
    <definedName name="V_KEYWORD_ISSR_208005525_SALES_COLOMBIA">#REF!</definedName>
    <definedName name="V_KEYWORD_ISSR_208005525_SALES_CONS">#REF!</definedName>
    <definedName name="V_KEYWORD_ISSR_208005525_SALES_EU_EX_UK">#REF!</definedName>
    <definedName name="V_KEYWORD_ISSR_208005525_SALES_FINAN">#REF!</definedName>
    <definedName name="V_KEYWORD_ISSR_208005525_SALES_FRA">#REF!</definedName>
    <definedName name="V_KEYWORD_ISSR_208005525_SALES_FX_AUD">#REF!</definedName>
    <definedName name="V_KEYWORD_ISSR_208005525_SALES_FX_BRL">#REF!</definedName>
    <definedName name="V_KEYWORD_ISSR_208005525_SALES_FX_CNY">#REF!</definedName>
    <definedName name="V_KEYWORD_ISSR_208005525_SALES_FX_EUR">#REF!</definedName>
    <definedName name="V_KEYWORD_ISSR_208005525_SALES_FX_GPB">#REF!</definedName>
    <definedName name="V_KEYWORD_ISSR_208005525_SALES_FX_INR">#REF!</definedName>
    <definedName name="V_KEYWORD_ISSR_208005525_SALES_FX_NZD">#REF!</definedName>
    <definedName name="V_KEYWORD_ISSR_208005525_SALES_FX_OTH">#REF!</definedName>
    <definedName name="V_KEYWORD_ISSR_208005525_SALES_FX_RUB">#REF!</definedName>
    <definedName name="V_KEYWORD_ISSR_208005525_SALES_FX_USD">#REF!</definedName>
    <definedName name="V_KEYWORD_ISSR_208005525_SALES_FX_YEN">#REF!</definedName>
    <definedName name="V_KEYWORD_ISSR_208005525_SALES_GER">#REF!</definedName>
    <definedName name="V_KEYWORD_ISSR_208005525_SALES_GOV">#REF!</definedName>
    <definedName name="V_KEYWORD_ISSR_208005525_SALES_GRE">#REF!</definedName>
    <definedName name="V_KEYWORD_ISSR_208005525_SALES_HONG_KONG">#REF!</definedName>
    <definedName name="V_KEYWORD_ISSR_208005525_SALES_IND">#REF!</definedName>
    <definedName name="V_KEYWORD_ISSR_208005525_SALES_INDIA">#REF!</definedName>
    <definedName name="V_KEYWORD_ISSR_208005525_SALES_INDONESIA">#REF!</definedName>
    <definedName name="V_KEYWORD_ISSR_208005525_SALES_IRE">#REF!</definedName>
    <definedName name="V_KEYWORD_ISSR_208005525_SALES_ITA">#REF!</definedName>
    <definedName name="V_KEYWORD_ISSR_208005525_SALES_JAPAN">#REF!</definedName>
    <definedName name="V_KEYWORD_ISSR_208005525_SALES_ME">#REF!</definedName>
    <definedName name="V_KEYWORD_ISSR_208005525_SALES_MEXICO">#REF!</definedName>
    <definedName name="V_KEYWORD_ISSR_208005525_SALES_NETH">#REF!</definedName>
    <definedName name="V_KEYWORD_ISSR_208005525_SALES_NIGERIA">#REF!</definedName>
    <definedName name="V_KEYWORD_ISSR_208005525_SALES_NOR">#REF!</definedName>
    <definedName name="V_KEYWORD_ISSR_208005525_SALES_NZ">#REF!</definedName>
    <definedName name="V_KEYWORD_ISSR_208005525_SALES_OIL_GAS">#REF!</definedName>
    <definedName name="V_KEYWORD_ISSR_208005525_SALES_OTH_AEJ">#REF!</definedName>
    <definedName name="V_KEYWORD_ISSR_208005525_SALES_OTH_AFRICA">#REF!</definedName>
    <definedName name="V_KEYWORD_ISSR_208005525_SALES_OTH_AM">#REF!</definedName>
    <definedName name="V_KEYWORD_ISSR_208005525_SALES_OTH_CEE">#REF!</definedName>
    <definedName name="V_KEYWORD_ISSR_208005525_SALES_OTH_DEV_ASIA">#REF!</definedName>
    <definedName name="V_KEYWORD_ISSR_208005525_SALES_OTH_EMEA">#REF!</definedName>
    <definedName name="V_KEYWORD_ISSR_208005525_SALES_OTH_EMERG_ASIA">#REF!</definedName>
    <definedName name="V_KEYWORD_ISSR_208005525_SALES_OTH_LATAM">#REF!</definedName>
    <definedName name="V_KEYWORD_ISSR_208005525_SALES_OTH_ME">#REF!</definedName>
    <definedName name="V_KEYWORD_ISSR_208005525_SALES_OTH_NO_AMER">#REF!</definedName>
    <definedName name="V_KEYWORD_ISSR_208005525_SALES_OTH_WEST_EURO">#REF!</definedName>
    <definedName name="V_KEYWORD_ISSR_208005525_SALES_OTHER">#REF!</definedName>
    <definedName name="V_KEYWORD_ISSR_208005525_SALES_POLAND">#REF!</definedName>
    <definedName name="V_KEYWORD_ISSR_208005525_SALES_POR">#REF!</definedName>
    <definedName name="V_KEYWORD_ISSR_208005525_SALES_RUSSIA">#REF!</definedName>
    <definedName name="V_KEYWORD_ISSR_208005525_SALES_SAUDI_ARABIA">#REF!</definedName>
    <definedName name="V_KEYWORD_ISSR_208005525_SALES_SINGAPORE">#REF!</definedName>
    <definedName name="V_KEYWORD_ISSR_208005525_SALES_SK">#REF!</definedName>
    <definedName name="V_KEYWORD_ISSR_208005525_SALES_SO_AFRICA">#REF!</definedName>
    <definedName name="V_KEYWORD_ISSR_208005525_SALES_SPA">#REF!</definedName>
    <definedName name="V_KEYWORD_ISSR_208005525_SALES_SWE">#REF!</definedName>
    <definedName name="V_KEYWORD_ISSR_208005525_SALES_SWIT">#REF!</definedName>
    <definedName name="V_KEYWORD_ISSR_208005525_SALES_TAIWAN">#REF!</definedName>
    <definedName name="V_KEYWORD_ISSR_208005525_SALES_THAILAND">#REF!</definedName>
    <definedName name="V_KEYWORD_ISSR_208005525_SALES_TOT_AFRICA">#REF!</definedName>
    <definedName name="V_KEYWORD_ISSR_208005525_SALES_TOT_AM">#REF!</definedName>
    <definedName name="V_KEYWORD_ISSR_208005525_SALES_TOT_ASIA">#REF!</definedName>
    <definedName name="V_KEYWORD_ISSR_208005525_SALES_TOT_EMEA">#REF!</definedName>
    <definedName name="V_KEYWORD_ISSR_208005525_SALES_TURKEY">#REF!</definedName>
    <definedName name="V_KEYWORD_ISSR_208005525_SALES_UAE">#REF!</definedName>
    <definedName name="V_KEYWORD_ISSR_208005525_SALES_UK">#REF!</definedName>
    <definedName name="V_KEYWORD_ISSR_208005525_SALES_US">#REF!</definedName>
    <definedName name="V_KEYWORD_ISSR_208005525_SALES_VENEZUELA">#REF!</definedName>
    <definedName name="V_KEYWORD_ISSR_208005525_SEL_GL_AD_OTHER">#REF!</definedName>
    <definedName name="V_KEYWORD_ISSR_208005525_SGA_PCT_ROW">#REF!</definedName>
    <definedName name="V_KEYWORD_ISSR_208005525_SGA_PCT_US">#REF!</definedName>
    <definedName name="V_KEYWORD_ISSR_208005525_SHARE_BASED_PAYMENTS">#REF!</definedName>
    <definedName name="V_KEYWORD_ISSR_208005525_SPECIFIC_PROV_DOUBTFUL">#REF!</definedName>
    <definedName name="V_KEYWORD_ISSR_208005525_ST_LEASE_LIAB">#REF!</definedName>
    <definedName name="V_KEYWORD_ISSR_208005525_SUB_ORD_LIABS">#REF!</definedName>
    <definedName name="V_KEYWORD_ISSR_208005525_TOT_ASS">#REF!</definedName>
    <definedName name="V_KEYWORD_ISSR_208005525_TOT_ASSET">#REF!</definedName>
    <definedName name="V_KEYWORD_ISSR_208005525_TOT_EXCEPTS">#REF!</definedName>
    <definedName name="V_KEYWORD_ISSR_208005525_TOT_LIAB">#REF!</definedName>
    <definedName name="V_KEYWORD_ISSR_208005525_TOT_LIAB_EQ">#REF!</definedName>
    <definedName name="V_KEYWORD_ISSR_208005525_TOT_OP">#REF!</definedName>
    <definedName name="V_KEYWORD_ISSR_208005525_TOT_PCT_USD_DEBT_HEDGED">#REF!</definedName>
    <definedName name="V_KEYWORD_ISSR_208005525_TOT_PROVS">#REF!</definedName>
    <definedName name="V_KEYWORD_ISSR_208005525_TOT_SALES">#REF!</definedName>
    <definedName name="V_KEYWORD_ISSR_208005525_TOT_USD_DEBT">#REF!</definedName>
    <definedName name="V_KEYWORD_ISSR_208005525_TOTAL_CAPITAL_EMPLOYED_ADJ">#REF!</definedName>
    <definedName name="V_KEYWORD_ISSR_208005525_TOTAL_DEPREC_AMORT">#REF!</definedName>
    <definedName name="V_KEYWORD_ISSR_208005525_TOTAL_IFRS_ADJUST_PRE_TAX">#REF!</definedName>
    <definedName name="V_KEYWORD_ISSR_208005525_TRADING_SECS_INCOME">#REF!</definedName>
    <definedName name="V_KEYWORD_ISSR_208005525_UNEARNED_INCOME">#REF!</definedName>
    <definedName name="V_KEYWORD_ISSR_208005525_UNF_PENS">#REF!</definedName>
    <definedName name="V_KEYWORD_ISSR_208005525_UNF_PENS_LIAB_OTH">#REF!</definedName>
    <definedName name="V_KEYWORD_ISSR_208005525_UNF_PENS_OFF">#REF!</definedName>
    <definedName name="V_KEYWORD_ISSR_208005525_WRITE_OFFS_BS">#REF!</definedName>
    <definedName name="V_KEYWORD_ISSR_208005525_WRITEBACK_RECOVERIES">#REF!</definedName>
    <definedName name="V_LIVEDATA_EQTY_200004995">#REF!</definedName>
    <definedName name="V_LIVEDATA_ISSR_208005525">#REF!</definedName>
    <definedName name="V_PERIOD_2006">#REF!</definedName>
    <definedName name="V_PERIOD_2007">#REF!</definedName>
    <definedName name="V_PERIOD_2008">#REF!</definedName>
    <definedName name="V_PERIOD_2009">#REF!</definedName>
    <definedName name="V_PERIOD_2010">#REF!</definedName>
    <definedName name="V_PERIOD_2011">#REF!</definedName>
    <definedName name="V_PERIOD_2012">#REF!</definedName>
    <definedName name="V_PERIOD_2013">#REF!</definedName>
    <definedName name="V_PERIOD_2014">#REF!</definedName>
    <definedName name="V_PERIOD_2014_H1">#REF!</definedName>
    <definedName name="V_PERIOD_2014_H2">#REF!</definedName>
    <definedName name="V_PERIOD_2015">#REF!</definedName>
    <definedName name="V_PERIOD_2015_H1">#REF!</definedName>
    <definedName name="V_PERIOD_2015_H2">#REF!</definedName>
    <definedName name="V_PERIOD_2016">#REF!</definedName>
    <definedName name="V_PERIOD_2016_H1">#REF!</definedName>
    <definedName name="V_PERIOD_2016_H2">#REF!</definedName>
    <definedName name="V_PERIOD_2017">#REF!</definedName>
    <definedName name="V_PERIOD_2017_H1">#REF!</definedName>
    <definedName name="V_PERIOD_2017_H2">#REF!</definedName>
    <definedName name="V_PERIOD_2018">#REF!</definedName>
    <definedName name="V_PERIOD_2018_H1">#REF!</definedName>
    <definedName name="V_PERIOD_2018_H2">#REF!</definedName>
    <definedName name="V_PERIOD_2019">#REF!</definedName>
    <definedName name="V_PERIOD_2019_H1">#REF!</definedName>
    <definedName name="V_PERIOD_2019_H2">#REF!</definedName>
    <definedName name="V_PERIOD_2020">#REF!</definedName>
    <definedName name="V_PERIOD_2020_H1">#REF!</definedName>
    <definedName name="V_PERIOD_2020_H2">#REF!</definedName>
    <definedName name="V_PERIOD_2021">#REF!</definedName>
    <definedName name="V_PERIOD_2021_H1">#REF!</definedName>
    <definedName name="V_PERIOD_2021_H2">#REF!</definedName>
    <definedName name="V_PERIOD_2022">#REF!</definedName>
    <definedName name="V_PERIOD_2022_H1">#REF!</definedName>
    <definedName name="V_PERIOD_2022_H2">#REF!</definedName>
    <definedName name="V_PERIOD_2023">#REF!</definedName>
    <definedName name="V_PERIOD_2023_H1">#REF!</definedName>
    <definedName name="V_PERIOD_2023_H2">#REF!</definedName>
    <definedName name="V_PERIOD_2024">#REF!</definedName>
    <definedName name="V_PERIOD_2024_H1">#REF!</definedName>
    <definedName name="V_PERIOD_2024_H2">#REF!</definedName>
    <definedName name="V_PERIOD_2025">#REF!</definedName>
    <definedName name="V_PERIOD_2025_H1">#REF!</definedName>
    <definedName name="V_PERIOD_2025_H2">#REF!</definedName>
    <definedName name="V_PERIOD_2026">#REF!</definedName>
    <definedName name="V_SECTION_EQTY_200004995_1314">#REF!</definedName>
    <definedName name="V_SECTION_EQTY_200004995_1316A">#REF!</definedName>
    <definedName name="V_SECTION_EQTY_200004995_1316B">#REF!</definedName>
    <definedName name="V_SECTION_EQTY_200004995_1316C">#REF!</definedName>
    <definedName name="V_SECTION_EQTY_200004995_1316E">#REF!</definedName>
    <definedName name="V_SECTION_EQTY_200004995_1319">#REF!</definedName>
    <definedName name="V_SECTION_EQTY_200004995_131J">#REF!</definedName>
    <definedName name="V_SECTION_EQTY_200004995_131O">#REF!</definedName>
    <definedName name="V_SECTION_EQTY_200004995_131P">#REF!</definedName>
    <definedName name="V_SECTION_EQTY_200004995_13A">#REF!</definedName>
    <definedName name="V_SECTION_EQTY_200004995_13K">#REF!</definedName>
    <definedName name="V_SECTION_EQTY_200004995_13U">#REF!</definedName>
    <definedName name="V_SECTION_EQTY_200004995_13V">#REF!</definedName>
    <definedName name="V_SECTION_EQTY_200004995_Reference_Data">#REF!</definedName>
    <definedName name="V_SECTION_ISSR_208005525_1314">#REF!</definedName>
    <definedName name="V_SECTION_ISSR_208005525_13168">#REF!</definedName>
    <definedName name="V_SECTION_ISSR_208005525_1316B">#REF!</definedName>
    <definedName name="V_SECTION_ISSR_208005525_1316C">#REF!</definedName>
    <definedName name="V_SECTION_ISSR_208005525_1316E">#REF!</definedName>
    <definedName name="V_SECTION_ISSR_208005525_1316T">#REF!</definedName>
    <definedName name="V_SECTION_ISSR_208005525_1316U">#REF!</definedName>
    <definedName name="V_SECTION_ISSR_208005525_1319">#REF!</definedName>
    <definedName name="V_SECTION_ISSR_208005525_131E">#REF!</definedName>
    <definedName name="V_SECTION_ISSR_208005525_131J">#REF!</definedName>
    <definedName name="V_SECTION_ISSR_208005525_131O">#REF!</definedName>
    <definedName name="V_SECTION_ISSR_208005525_131P">#REF!</definedName>
    <definedName name="V_SECTION_ISSR_208005525_133M">#REF!</definedName>
    <definedName name="V_SECTION_ISSR_208005525_133R">#REF!</definedName>
    <definedName name="V_SECTION_ISSR_208005525_133W">#REF!</definedName>
    <definedName name="V_SECTION_ISSR_208005525_1341">#REF!</definedName>
    <definedName name="V_SECTION_ISSR_208005525_1346">#REF!</definedName>
    <definedName name="V_SECTION_ISSR_208005525_134B">#REF!</definedName>
    <definedName name="V_SECTION_ISSR_208005525_134G">#REF!</definedName>
    <definedName name="V_SECTION_ISSR_208005525_134L">#REF!</definedName>
    <definedName name="V_SECTION_ISSR_208005525_134Q">#REF!</definedName>
    <definedName name="V_SECTION_ISSR_208005525_134V">#REF!</definedName>
    <definedName name="V_SECTION_ISSR_208005525_136E">#REF!</definedName>
    <definedName name="V_SECTION_ISSR_208005525_13A">#REF!</definedName>
    <definedName name="V_SECTION_ISSR_208005525_13U">#REF!</definedName>
    <definedName name="V_SECTION_ISSR_208005525_13V">#REF!</definedName>
    <definedName name="V_SECTION_ISSR_208005525_Reference_Data">#REF!</definedName>
    <definedName name="V_TEMPLATEHASH">#REF!</definedName>
    <definedName name="WACC" localSheetId="12">#REF!</definedName>
    <definedName name="WACC" localSheetId="11">#REF!</definedName>
    <definedName name="WACC" localSheetId="5">#REF!</definedName>
    <definedName name="WACC">#REF!</definedName>
    <definedName name="WM_revenue">#REF!</definedName>
    <definedName name="write_offs_general" localSheetId="1">[1]Model!$519:$519</definedName>
    <definedName name="write_offs_general" localSheetId="12">[1]Model!$519:$519</definedName>
    <definedName name="write_offs_general" localSheetId="11">[1]Model!$519:$519</definedName>
    <definedName name="write_offs_general" localSheetId="5">#REF!</definedName>
    <definedName name="write_offs_general" localSheetId="13">Model!$545:$545</definedName>
    <definedName name="write_offs_general">#REF!</definedName>
    <definedName name="write_offs_specific" localSheetId="1">[1]Model!$533:$533</definedName>
    <definedName name="write_offs_specific" localSheetId="12">[1]Model!$533:$533</definedName>
    <definedName name="write_offs_specific" localSheetId="11">[1]Model!$533:$533</definedName>
    <definedName name="write_offs_specific" localSheetId="5">#REF!</definedName>
    <definedName name="write_offs_specific" localSheetId="13">Model!$554:$554</definedName>
    <definedName name="write_offs_specific">#REF!</definedName>
    <definedName name="wrn.Client." localSheetId="1" hidden="1">{"Full_Year",#N/A,FALSE,"PE1_S";#N/A,#N/A,FALSE,"DIVIS_S"}</definedName>
    <definedName name="wrn.Client." localSheetId="12" hidden="1">{"Full_Year",#N/A,FALSE,"PE1_S";#N/A,#N/A,FALSE,"DIVIS_S"}</definedName>
    <definedName name="wrn.Client." localSheetId="11" hidden="1">{"Full_Year",#N/A,FALSE,"PE1_S";#N/A,#N/A,FALSE,"DIVIS_S"}</definedName>
    <definedName name="wrn.Client." localSheetId="5" hidden="1">{"Full_Year",#N/A,FALSE,"PE1_S";#N/A,#N/A,FALSE,"DIVIS_S"}</definedName>
    <definedName name="wrn.Client." hidden="1">{"Full_Year",#N/A,FALSE,"PE1_S";#N/A,#N/A,FALSE,"DIVIS_S"}</definedName>
    <definedName name="wrn.Client_Detailed." localSheetId="1" hidden="1">{"Full_Year",#N/A,FALSE,"PE1_S";"Full_Year",#N/A,FALSE,"Cashflow_EPS";"Full_Year",#N/A,FALSE,"EBIT_DIV"}</definedName>
    <definedName name="wrn.Client_Detailed." localSheetId="12" hidden="1">{"Full_Year",#N/A,FALSE,"PE1_S";"Full_Year",#N/A,FALSE,"Cashflow_EPS";"Full_Year",#N/A,FALSE,"EBIT_DIV"}</definedName>
    <definedName name="wrn.Client_Detailed." localSheetId="11" hidden="1">{"Full_Year",#N/A,FALSE,"PE1_S";"Full_Year",#N/A,FALSE,"Cashflow_EPS";"Full_Year",#N/A,FALSE,"EBIT_DIV"}</definedName>
    <definedName name="wrn.Client_Detailed." localSheetId="5" hidden="1">{"Full_Year",#N/A,FALSE,"PE1_S";"Full_Year",#N/A,FALSE,"Cashflow_EPS";"Full_Year",#N/A,FALSE,"EBIT_DIV"}</definedName>
    <definedName name="wrn.Client_Detailed." hidden="1">{"Full_Year",#N/A,FALSE,"PE1_S";"Full_Year",#N/A,FALSE,"Cashflow_EPS";"Full_Year",#N/A,FALSE,"EBIT_DIV"}</definedName>
    <definedName name="wrn.Full_Client." localSheetId="1" hidden="1">{"Full_Year",#N/A,FALSE,"PE1_S";"Automotive",#N/A,FALSE,"Auto_EBIT";#N/A,#N/A,FALSE,"Industrial_EBIT";#N/A,#N/A,FALSE,"Webforge_EBIT"}</definedName>
    <definedName name="wrn.Full_Client." localSheetId="12" hidden="1">{"Full_Year",#N/A,FALSE,"PE1_S";"Automotive",#N/A,FALSE,"Auto_EBIT";#N/A,#N/A,FALSE,"Industrial_EBIT";#N/A,#N/A,FALSE,"Webforge_EBIT"}</definedName>
    <definedName name="wrn.Full_Client." localSheetId="11" hidden="1">{"Full_Year",#N/A,FALSE,"PE1_S";"Automotive",#N/A,FALSE,"Auto_EBIT";#N/A,#N/A,FALSE,"Industrial_EBIT";#N/A,#N/A,FALSE,"Webforge_EBIT"}</definedName>
    <definedName name="wrn.Full_Client." localSheetId="5" hidden="1">{"Full_Year",#N/A,FALSE,"PE1_S";"Automotive",#N/A,FALSE,"Auto_EBIT";#N/A,#N/A,FALSE,"Industrial_EBIT";#N/A,#N/A,FALSE,"Webforge_EBIT"}</definedName>
    <definedName name="wrn.Full_Client." hidden="1">{"Full_Year",#N/A,FALSE,"PE1_S";"Automotive",#N/A,FALSE,"Auto_EBIT";#N/A,#N/A,FALSE,"Industrial_EBIT";#N/A,#N/A,FALSE,"Webforge_EBIT"}</definedName>
    <definedName name="wvu.B_Sheet." localSheetId="1" hidden="1">{TRUE,TRUE,-1.25,-15.5,604.5,366.75,FALSE,TRUE,TRUE,TRUE,0,1,#N/A,1,65,17.1333333333333,4,3,FALSE,TRUE,3,TRUE,1,FALSE,75,"Swvu.B_Sheet.","ACwvu.B_Sheet.",#N/A,FALSE,FALSE,0.748031496062992,0.748031496062992,0.984251968503937,0.984251968503937,1,"","&amp;C&amp;""Helvetica,Regular""&amp;10J B Were &amp;&amp; Son Industrial Research - Analyst: Matt Cook - (03) 9679-1445",FALSE,FALSE,FALSE,FALSE,1,75,#N/A,#N/A,"=R5C7:R69C15","=C1:C3,R1:R4","Rwvu.B_Sheet.",#N/A,FALSE,FALSE,TRUE,9,#N/A,#N/A,FALSE,FALSE,TRUE,TRUE,TRUE}</definedName>
    <definedName name="wvu.B_Sheet." localSheetId="12" hidden="1">{TRUE,TRUE,-1.25,-15.5,604.5,366.75,FALSE,TRUE,TRUE,TRUE,0,1,#N/A,1,65,17.1333333333333,4,3,FALSE,TRUE,3,TRUE,1,FALSE,75,"Swvu.B_Sheet.","ACwvu.B_Sheet.",#N/A,FALSE,FALSE,0.748031496062992,0.748031496062992,0.984251968503937,0.984251968503937,1,"","&amp;C&amp;""Helvetica,Regular""&amp;10J B Were &amp;&amp; Son Industrial Research - Analyst: Matt Cook - (03) 9679-1445",FALSE,FALSE,FALSE,FALSE,1,75,#N/A,#N/A,"=R5C7:R69C15","=C1:C3,R1:R4","Rwvu.B_Sheet.",#N/A,FALSE,FALSE,TRUE,9,#N/A,#N/A,FALSE,FALSE,TRUE,TRUE,TRUE}</definedName>
    <definedName name="wvu.B_Sheet." localSheetId="11" hidden="1">{TRUE,TRUE,-1.25,-15.5,604.5,366.75,FALSE,TRUE,TRUE,TRUE,0,1,#N/A,1,65,17.1333333333333,4,3,FALSE,TRUE,3,TRUE,1,FALSE,75,"Swvu.B_Sheet.","ACwvu.B_Sheet.",#N/A,FALSE,FALSE,0.748031496062992,0.748031496062992,0.984251968503937,0.984251968503937,1,"","&amp;C&amp;""Helvetica,Regular""&amp;10J B Were &amp;&amp; Son Industrial Research - Analyst: Matt Cook - (03) 9679-1445",FALSE,FALSE,FALSE,FALSE,1,75,#N/A,#N/A,"=R5C7:R69C15","=C1:C3,R1:R4","Rwvu.B_Sheet.",#N/A,FALSE,FALSE,TRUE,9,#N/A,#N/A,FALSE,FALSE,TRUE,TRUE,TRUE}</definedName>
    <definedName name="wvu.B_Sheet." localSheetId="5" hidden="1">{TRUE,TRUE,-1.25,-15.5,604.5,366.75,FALSE,TRUE,TRUE,TRUE,0,1,#N/A,1,65,17.1333333333333,4,3,FALSE,TRUE,3,TRUE,1,FALSE,75,"Swvu.B_Sheet.","ACwvu.B_Sheet.",#N/A,FALSE,FALSE,0.748031496062992,0.748031496062992,0.984251968503937,0.984251968503937,1,"","&amp;C&amp;""Helvetica,Regular""&amp;10J B Were &amp;&amp; Son Industrial Research - Analyst: Matt Cook - (03) 9679-1445",FALSE,FALSE,FALSE,FALSE,1,75,#N/A,#N/A,"=R5C7:R69C15","=C1:C3,R1:R4","Rwvu.B_Sheet.",#N/A,FALSE,FALSE,TRUE,9,#N/A,#N/A,FALSE,FALSE,TRUE,TRUE,TRUE}</definedName>
    <definedName name="wvu.B_Sheet." hidden="1">{TRUE,TRUE,-1.25,-15.5,604.5,366.75,FALSE,TRUE,TRUE,TRUE,0,1,#N/A,1,65,17.1333333333333,4,3,FALSE,TRUE,3,TRUE,1,FALSE,75,"Swvu.B_Sheet.","ACwvu.B_Sheet.",#N/A,FALSE,FALSE,0.748031496062992,0.748031496062992,0.984251968503937,0.984251968503937,1,"","&amp;C&amp;""Helvetica,Regular""&amp;10J B Were &amp;&amp; Son Industrial Research - Analyst: Matt Cook - (03) 9679-1445",FALSE,FALSE,FALSE,FALSE,1,75,#N/A,#N/A,"=R5C7:R69C15","=C1:C3,R1:R4","Rwvu.B_Sheet.",#N/A,FALSE,FALSE,TRUE,9,#N/A,#N/A,FALSE,FALSE,TRUE,TRUE,TRUE}</definedName>
    <definedName name="wvu.Detail." localSheetId="1" hidden="1">{TRUE,TRUE,-1.25,-15.5,604.5,366.75,FALSE,TRUE,TRUE,TRUE,0,1,#N/A,1,#N/A,11.4,33.0769230769231,1,FALSE,FALSE,3,TRUE,1,FALSE,75,"Swvu.Detail.","ACwvu.Detail.",#N/A,FALSE,FALSE,0.393700787401575,0.393700787401575,0.393700787401575,0.393700787401575,1,"","&amp;C&amp;""Helvetica,Regular""&amp;10J B Were &amp;&amp; Son Industrial Research:  Analyst Matt Cook:  Ph: 03-9679 1445",TRUE,FALSE,FALSE,FALSE,1,80,#N/A,#N/A,"=R5C4:R105C11","=C1,R1:R4",#N/A,#N/A,FALSE,FALSE,TRUE,9,#N/A,#N/A,FALSE,FALSE,TRUE,TRUE,TRUE}</definedName>
    <definedName name="wvu.Detail." localSheetId="12" hidden="1">{TRUE,TRUE,-1.25,-15.5,604.5,366.75,FALSE,TRUE,TRUE,TRUE,0,1,#N/A,1,#N/A,11.4,33.0769230769231,1,FALSE,FALSE,3,TRUE,1,FALSE,75,"Swvu.Detail.","ACwvu.Detail.",#N/A,FALSE,FALSE,0.393700787401575,0.393700787401575,0.393700787401575,0.393700787401575,1,"","&amp;C&amp;""Helvetica,Regular""&amp;10J B Were &amp;&amp; Son Industrial Research:  Analyst Matt Cook:  Ph: 03-9679 1445",TRUE,FALSE,FALSE,FALSE,1,80,#N/A,#N/A,"=R5C4:R105C11","=C1,R1:R4",#N/A,#N/A,FALSE,FALSE,TRUE,9,#N/A,#N/A,FALSE,FALSE,TRUE,TRUE,TRUE}</definedName>
    <definedName name="wvu.Detail." localSheetId="11" hidden="1">{TRUE,TRUE,-1.25,-15.5,604.5,366.75,FALSE,TRUE,TRUE,TRUE,0,1,#N/A,1,#N/A,11.4,33.0769230769231,1,FALSE,FALSE,3,TRUE,1,FALSE,75,"Swvu.Detail.","ACwvu.Detail.",#N/A,FALSE,FALSE,0.393700787401575,0.393700787401575,0.393700787401575,0.393700787401575,1,"","&amp;C&amp;""Helvetica,Regular""&amp;10J B Were &amp;&amp; Son Industrial Research:  Analyst Matt Cook:  Ph: 03-9679 1445",TRUE,FALSE,FALSE,FALSE,1,80,#N/A,#N/A,"=R5C4:R105C11","=C1,R1:R4",#N/A,#N/A,FALSE,FALSE,TRUE,9,#N/A,#N/A,FALSE,FALSE,TRUE,TRUE,TRUE}</definedName>
    <definedName name="wvu.Detail." localSheetId="5" hidden="1">{TRUE,TRUE,-1.25,-15.5,604.5,366.75,FALSE,TRUE,TRUE,TRUE,0,1,#N/A,1,#N/A,11.4,33.0769230769231,1,FALSE,FALSE,3,TRUE,1,FALSE,75,"Swvu.Detail.","ACwvu.Detail.",#N/A,FALSE,FALSE,0.393700787401575,0.393700787401575,0.393700787401575,0.393700787401575,1,"","&amp;C&amp;""Helvetica,Regular""&amp;10J B Were &amp;&amp; Son Industrial Research:  Analyst Matt Cook:  Ph: 03-9679 1445",TRUE,FALSE,FALSE,FALSE,1,80,#N/A,#N/A,"=R5C4:R105C11","=C1,R1:R4",#N/A,#N/A,FALSE,FALSE,TRUE,9,#N/A,#N/A,FALSE,FALSE,TRUE,TRUE,TRUE}</definedName>
    <definedName name="wvu.Detail." hidden="1">{TRUE,TRUE,-1.25,-15.5,604.5,366.75,FALSE,TRUE,TRUE,TRUE,0,1,#N/A,1,#N/A,11.4,33.0769230769231,1,FALSE,FALSE,3,TRUE,1,FALSE,75,"Swvu.Detail.","ACwvu.Detail.",#N/A,FALSE,FALSE,0.393700787401575,0.393700787401575,0.393700787401575,0.393700787401575,1,"","&amp;C&amp;""Helvetica,Regular""&amp;10J B Were &amp;&amp; Son Industrial Research:  Analyst Matt Cook:  Ph: 03-9679 1445",TRUE,FALSE,FALSE,FALSE,1,80,#N/A,#N/A,"=R5C4:R105C11","=C1,R1:R4",#N/A,#N/A,FALSE,FALSE,TRUE,9,#N/A,#N/A,FALSE,FALSE,TRUE,TRUE,TRUE}</definedName>
    <definedName name="wvu.Warehouse." localSheetId="1" hidden="1">{TRUE,TRUE,-1.25,-15.5,604.5,366.75,FALSE,TRUE,TRUE,TRUE,0,1,6,1,74,3.7,5.15384615384615,4,TRUE,TRUE,3,TRUE,1,FALSE,75,"Swvu.Warehouse.","ACwvu.Warehouse.",#N/A,FALSE,FALSE,0.393700787401575,0.393700787401575,0.393700787401575,0.393700787401575,1,"","&amp;C&amp;10J B Were &amp;&amp; Son Industrial Research - Analyst:  Matt Cook Ph: 03 9679 1445",TRUE,FALSE,FALSE,FALSE,1,75,#N/A,#N/A,"=R74C7:R192C13","=C1:C4,R1:R4",#N/A,#N/A,FALSE,FALSE,TRUE,9,#N/A,#N/A,FALSE,FALSE,TRUE,TRUE,TRUE}</definedName>
    <definedName name="wvu.Warehouse." localSheetId="12" hidden="1">{TRUE,TRUE,-1.25,-15.5,604.5,366.75,FALSE,TRUE,TRUE,TRUE,0,1,6,1,74,3.7,5.15384615384615,4,TRUE,TRUE,3,TRUE,1,FALSE,75,"Swvu.Warehouse.","ACwvu.Warehouse.",#N/A,FALSE,FALSE,0.393700787401575,0.393700787401575,0.393700787401575,0.393700787401575,1,"","&amp;C&amp;10J B Were &amp;&amp; Son Industrial Research - Analyst:  Matt Cook Ph: 03 9679 1445",TRUE,FALSE,FALSE,FALSE,1,75,#N/A,#N/A,"=R74C7:R192C13","=C1:C4,R1:R4",#N/A,#N/A,FALSE,FALSE,TRUE,9,#N/A,#N/A,FALSE,FALSE,TRUE,TRUE,TRUE}</definedName>
    <definedName name="wvu.Warehouse." localSheetId="11" hidden="1">{TRUE,TRUE,-1.25,-15.5,604.5,366.75,FALSE,TRUE,TRUE,TRUE,0,1,6,1,74,3.7,5.15384615384615,4,TRUE,TRUE,3,TRUE,1,FALSE,75,"Swvu.Warehouse.","ACwvu.Warehouse.",#N/A,FALSE,FALSE,0.393700787401575,0.393700787401575,0.393700787401575,0.393700787401575,1,"","&amp;C&amp;10J B Were &amp;&amp; Son Industrial Research - Analyst:  Matt Cook Ph: 03 9679 1445",TRUE,FALSE,FALSE,FALSE,1,75,#N/A,#N/A,"=R74C7:R192C13","=C1:C4,R1:R4",#N/A,#N/A,FALSE,FALSE,TRUE,9,#N/A,#N/A,FALSE,FALSE,TRUE,TRUE,TRUE}</definedName>
    <definedName name="wvu.Warehouse." localSheetId="5" hidden="1">{TRUE,TRUE,-1.25,-15.5,604.5,366.75,FALSE,TRUE,TRUE,TRUE,0,1,6,1,74,3.7,5.15384615384615,4,TRUE,TRUE,3,TRUE,1,FALSE,75,"Swvu.Warehouse.","ACwvu.Warehouse.",#N/A,FALSE,FALSE,0.393700787401575,0.393700787401575,0.393700787401575,0.393700787401575,1,"","&amp;C&amp;10J B Were &amp;&amp; Son Industrial Research - Analyst:  Matt Cook Ph: 03 9679 1445",TRUE,FALSE,FALSE,FALSE,1,75,#N/A,#N/A,"=R74C7:R192C13","=C1:C4,R1:R4",#N/A,#N/A,FALSE,FALSE,TRUE,9,#N/A,#N/A,FALSE,FALSE,TRUE,TRUE,TRUE}</definedName>
    <definedName name="wvu.Warehouse." hidden="1">{TRUE,TRUE,-1.25,-15.5,604.5,366.75,FALSE,TRUE,TRUE,TRUE,0,1,6,1,74,3.7,5.15384615384615,4,TRUE,TRUE,3,TRUE,1,FALSE,75,"Swvu.Warehouse.","ACwvu.Warehouse.",#N/A,FALSE,FALSE,0.393700787401575,0.393700787401575,0.393700787401575,0.393700787401575,1,"","&amp;C&amp;10J B Were &amp;&amp; Son Industrial Research - Analyst:  Matt Cook Ph: 03 9679 1445",TRUE,FALSE,FALSE,FALSE,1,75,#N/A,#N/A,"=R74C7:R192C13","=C1:C4,R1:R4",#N/A,#N/A,FALSE,FALSE,TRUE,9,#N/A,#N/A,FALSE,FALSE,TRUE,TRUE,TRUE}</definedName>
    <definedName name="zDebt" localSheetId="12">#REF!</definedName>
    <definedName name="zDebt" localSheetId="11">#REF!</definedName>
    <definedName name="zDebt" localSheetId="5">#REF!</definedName>
    <definedName name="zDebt">#REF!</definedName>
    <definedName name="zEDE" localSheetId="12">#REF!</definedName>
    <definedName name="zEDE" localSheetId="11">#REF!</definedName>
    <definedName name="zEDE" localSheetId="5">#REF!</definedName>
    <definedName name="zEDE">#REF!</definedName>
    <definedName name="zEquityValue" localSheetId="12">#REF!</definedName>
    <definedName name="zEquityValue" localSheetId="11">#REF!</definedName>
    <definedName name="zEquityValue" localSheetId="5">#REF!</definedName>
    <definedName name="zEquityValue">#REF!</definedName>
    <definedName name="zIRRM" localSheetId="12">#REF!</definedName>
    <definedName name="zIRRM" localSheetId="11">#REF!</definedName>
    <definedName name="zIRRM" localSheetId="5">#REF!</definedName>
    <definedName name="zIRRM">#REF!</definedName>
    <definedName name="zIssued_Shares" localSheetId="12">#REF!</definedName>
    <definedName name="zIssued_Shares" localSheetId="11">#REF!</definedName>
    <definedName name="zIssued_Shares">#REF!</definedName>
    <definedName name="zTc" localSheetId="12">#REF!</definedName>
    <definedName name="zTc" localSheetId="11">#REF!</definedName>
    <definedName name="zTc" localSheetId="5">#REF!</definedName>
    <definedName name="zTc">#REF!</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I135" i="1" l="1"/>
  <c r="BK135" i="1" s="1"/>
  <c r="BM135" i="1" s="1"/>
  <c r="BO135" i="1" s="1"/>
  <c r="BQ135" i="1" s="1"/>
  <c r="BG135" i="1"/>
  <c r="AZ713" i="1" l="1"/>
  <c r="AZ704" i="1"/>
  <c r="AZ703" i="1"/>
  <c r="AZ701" i="1"/>
  <c r="AZ696" i="1"/>
  <c r="AZ665" i="1"/>
  <c r="AZ663" i="1"/>
  <c r="AZ680" i="1"/>
  <c r="AZ677" i="1"/>
  <c r="AZ603" i="1"/>
  <c r="AZ589" i="1"/>
  <c r="AZ588" i="1"/>
  <c r="AZ583" i="1"/>
  <c r="AZ571" i="1"/>
  <c r="AZ584" i="1" s="1"/>
  <c r="AZ522" i="1"/>
  <c r="AZ536" i="1" s="1"/>
  <c r="AZ520" i="1"/>
  <c r="AZ519" i="1"/>
  <c r="AZ518" i="1"/>
  <c r="AZ517" i="1"/>
  <c r="AZ516" i="1"/>
  <c r="AZ504" i="1"/>
  <c r="AZ503" i="1"/>
  <c r="AZ501" i="1"/>
  <c r="AZ468" i="1"/>
  <c r="AZ470" i="1"/>
  <c r="AZ469" i="1" s="1"/>
  <c r="AZ479" i="1"/>
  <c r="AZ475" i="1"/>
  <c r="AZ474" i="1"/>
  <c r="AZ473" i="1"/>
  <c r="AZ450" i="1"/>
  <c r="AZ445" i="1"/>
  <c r="AZ444" i="1"/>
  <c r="AZ443" i="1" s="1"/>
  <c r="AZ441" i="1" s="1"/>
  <c r="AZ434" i="1"/>
  <c r="AZ415" i="1"/>
  <c r="AZ409" i="1"/>
  <c r="AZ388" i="1"/>
  <c r="AZ381" i="1"/>
  <c r="AZ122" i="1"/>
  <c r="AZ101" i="1"/>
  <c r="AZ102" i="1" s="1"/>
  <c r="AZ59" i="1"/>
  <c r="AZ57" i="1"/>
  <c r="AZ56" i="1"/>
  <c r="AZ54" i="1"/>
  <c r="AZ52" i="1"/>
  <c r="AZ453" i="1"/>
  <c r="AZ472" i="1" l="1"/>
  <c r="AZ471" i="1" s="1"/>
  <c r="AZ440" i="1"/>
  <c r="AZ507" i="1"/>
  <c r="AZ610" i="1" l="1"/>
  <c r="AZ249" i="1"/>
  <c r="AZ244" i="1"/>
  <c r="AZ254" i="1"/>
  <c r="AZ262" i="1"/>
  <c r="AZ234" i="1"/>
  <c r="AZ237" i="1" s="1"/>
  <c r="AZ238" i="1" s="1"/>
  <c r="AZ227" i="1"/>
  <c r="AZ222" i="1"/>
  <c r="AZ197" i="1"/>
  <c r="AZ196" i="1" s="1"/>
  <c r="AZ198" i="1" s="1"/>
  <c r="AZ61" i="1" s="1"/>
  <c r="AZ191" i="1"/>
  <c r="AZ190" i="1" s="1"/>
  <c r="AZ192" i="1" s="1"/>
  <c r="AZ58" i="1" s="1"/>
  <c r="AZ185" i="1"/>
  <c r="AZ184" i="1" s="1"/>
  <c r="AZ186" i="1" s="1"/>
  <c r="AZ266" i="1"/>
  <c r="AZ205" i="1"/>
  <c r="AZ176" i="1"/>
  <c r="AZ171" i="1"/>
  <c r="AZ165" i="1"/>
  <c r="AZ159" i="1"/>
  <c r="AZ161" i="1"/>
  <c r="AZ55" i="1" l="1"/>
  <c r="AZ178" i="1"/>
  <c r="AZ177" i="1" s="1"/>
  <c r="AZ611" i="1"/>
  <c r="AZ145" i="1"/>
  <c r="AZ612" i="1"/>
  <c r="AZ204" i="1"/>
  <c r="AZ146" i="1" l="1"/>
  <c r="BA146" i="1" s="1"/>
  <c r="BB146" i="1" s="1"/>
  <c r="BC146" i="1" s="1"/>
  <c r="BD146" i="1" s="1"/>
  <c r="BE146" i="1" s="1"/>
  <c r="AZ670" i="1"/>
  <c r="AZ181" i="1"/>
  <c r="AZ667" i="1"/>
  <c r="AZ147" i="1" l="1"/>
  <c r="BA25" i="24" l="1"/>
  <c r="AZ25" i="24"/>
  <c r="AY25" i="24"/>
  <c r="AX25" i="24"/>
  <c r="AW25" i="24"/>
  <c r="AV25" i="24"/>
  <c r="AU25" i="24"/>
  <c r="AT25" i="24"/>
  <c r="AS25" i="24"/>
  <c r="BA24" i="24"/>
  <c r="AZ24" i="24"/>
  <c r="AY24" i="24"/>
  <c r="AX24" i="24"/>
  <c r="AW24" i="24"/>
  <c r="AV24" i="24"/>
  <c r="AU24" i="24"/>
  <c r="AT24" i="24"/>
  <c r="AS24" i="24"/>
  <c r="BA23" i="24"/>
  <c r="AZ23" i="24"/>
  <c r="AY23" i="24"/>
  <c r="AX23" i="24"/>
  <c r="AW23" i="24"/>
  <c r="AV23" i="24"/>
  <c r="AU23" i="24"/>
  <c r="AT23" i="24"/>
  <c r="AS23" i="24"/>
  <c r="BA22" i="24"/>
  <c r="AZ22" i="24"/>
  <c r="AY22" i="24"/>
  <c r="AX22" i="24"/>
  <c r="AW22" i="24"/>
  <c r="AV22" i="24"/>
  <c r="AU22" i="24"/>
  <c r="AT22" i="24"/>
  <c r="AS22" i="24"/>
  <c r="AD25" i="24"/>
  <c r="AC25" i="24"/>
  <c r="AB25" i="24"/>
  <c r="AA25" i="24"/>
  <c r="Z25" i="24"/>
  <c r="Y25" i="24"/>
  <c r="X25" i="24"/>
  <c r="W25" i="24"/>
  <c r="V25" i="24"/>
  <c r="U25" i="24"/>
  <c r="T25" i="24"/>
  <c r="S25" i="24"/>
  <c r="R25" i="24"/>
  <c r="Q25" i="24"/>
  <c r="P25" i="24"/>
  <c r="O25" i="24"/>
  <c r="N25" i="24"/>
  <c r="M25" i="24"/>
  <c r="AD24" i="24"/>
  <c r="AC24" i="24"/>
  <c r="AB24" i="24"/>
  <c r="AA24" i="24"/>
  <c r="Z24" i="24"/>
  <c r="Y24" i="24"/>
  <c r="X24" i="24"/>
  <c r="W24" i="24"/>
  <c r="V24" i="24"/>
  <c r="U24" i="24"/>
  <c r="T24" i="24"/>
  <c r="S24" i="24"/>
  <c r="R24" i="24"/>
  <c r="Q24" i="24"/>
  <c r="P24" i="24"/>
  <c r="O24" i="24"/>
  <c r="N24" i="24"/>
  <c r="M24" i="24"/>
  <c r="AD23" i="24"/>
  <c r="AC23" i="24"/>
  <c r="AB23" i="24"/>
  <c r="AA23" i="24"/>
  <c r="Z23" i="24"/>
  <c r="Y23" i="24"/>
  <c r="X23" i="24"/>
  <c r="W23" i="24"/>
  <c r="V23" i="24"/>
  <c r="U23" i="24"/>
  <c r="T23" i="24"/>
  <c r="S23" i="24"/>
  <c r="R23" i="24"/>
  <c r="Q23" i="24"/>
  <c r="P23" i="24"/>
  <c r="O23" i="24"/>
  <c r="N23" i="24"/>
  <c r="M23" i="24"/>
  <c r="AD22" i="24"/>
  <c r="AC22" i="24"/>
  <c r="AB22" i="24"/>
  <c r="AA22" i="24"/>
  <c r="Z22" i="24"/>
  <c r="Y22" i="24"/>
  <c r="X22" i="24"/>
  <c r="W22" i="24"/>
  <c r="V22" i="24"/>
  <c r="U22" i="24"/>
  <c r="T22" i="24"/>
  <c r="S22" i="24"/>
  <c r="R22" i="24"/>
  <c r="Q22" i="24"/>
  <c r="P22" i="24"/>
  <c r="O22" i="24"/>
  <c r="N22" i="24"/>
  <c r="M22" i="24"/>
  <c r="BI449" i="1"/>
  <c r="BH449" i="1"/>
  <c r="BG449" i="1"/>
  <c r="BF449" i="1"/>
  <c r="BE449" i="1"/>
  <c r="BD449" i="1"/>
  <c r="BC449" i="1"/>
  <c r="BB449" i="1"/>
  <c r="BA449" i="1"/>
  <c r="BI442" i="1"/>
  <c r="BH442" i="1"/>
  <c r="BG442" i="1"/>
  <c r="BF442" i="1"/>
  <c r="BE442" i="1"/>
  <c r="BD442" i="1"/>
  <c r="BC442" i="1"/>
  <c r="BB442" i="1"/>
  <c r="BA442" i="1"/>
  <c r="BI398" i="1"/>
  <c r="BI556" i="1" s="1"/>
  <c r="BH398" i="1"/>
  <c r="BH556" i="1" s="1"/>
  <c r="BG398" i="1"/>
  <c r="BG556" i="1" s="1"/>
  <c r="BF398" i="1"/>
  <c r="BF556" i="1" s="1"/>
  <c r="BE398" i="1"/>
  <c r="BE556" i="1" s="1"/>
  <c r="BD398" i="1"/>
  <c r="BD556" i="1" s="1"/>
  <c r="BC398" i="1"/>
  <c r="BC556" i="1" s="1"/>
  <c r="BB398" i="1"/>
  <c r="BB556" i="1" s="1"/>
  <c r="BA398" i="1"/>
  <c r="BA556" i="1" s="1"/>
  <c r="BI103" i="1"/>
  <c r="BH103" i="1"/>
  <c r="BG103" i="1"/>
  <c r="BF103" i="1"/>
  <c r="BE103" i="1"/>
  <c r="BD103" i="1"/>
  <c r="BC103" i="1"/>
  <c r="BB103" i="1"/>
  <c r="BA103" i="1"/>
  <c r="BI102" i="1"/>
  <c r="BH102" i="1"/>
  <c r="BG102" i="1"/>
  <c r="BF102" i="1"/>
  <c r="BE102" i="1"/>
  <c r="BD102" i="1"/>
  <c r="BC102" i="1"/>
  <c r="BB102" i="1"/>
  <c r="BA102" i="1"/>
  <c r="BA92" i="1" l="1"/>
  <c r="BB92" i="1" l="1"/>
  <c r="BC92" i="1" l="1"/>
  <c r="BD92" i="1" l="1"/>
  <c r="BE92" i="1" l="1"/>
  <c r="BF92" i="1" l="1"/>
  <c r="BG92" i="1" l="1"/>
  <c r="BH92" i="1" l="1"/>
  <c r="BI92" i="1" l="1"/>
  <c r="AX75" i="1" l="1"/>
  <c r="M18" i="23"/>
  <c r="M32" i="23" s="1"/>
  <c r="N18" i="23"/>
  <c r="N32" i="23" s="1"/>
  <c r="O18" i="23"/>
  <c r="O32" i="23" s="1"/>
  <c r="L18" i="23"/>
  <c r="L32" i="23" s="1"/>
  <c r="E22" i="23"/>
  <c r="E40" i="23" s="1"/>
  <c r="F22" i="23"/>
  <c r="F40" i="23" s="1"/>
  <c r="G22" i="23"/>
  <c r="G40" i="23" s="1"/>
  <c r="D22" i="23"/>
  <c r="D40" i="23" s="1"/>
  <c r="C5" i="2" a="1"/>
  <c r="C6" i="2" a="1"/>
  <c r="C6" i="2" l="1"/>
  <c r="C5" i="2"/>
  <c r="AL27" i="24" l="1"/>
  <c r="AK27" i="24"/>
  <c r="AJ27" i="24"/>
  <c r="AI27" i="24"/>
  <c r="AH27" i="24"/>
  <c r="AG27" i="24"/>
  <c r="AF27" i="24"/>
  <c r="AE27" i="24"/>
  <c r="AD27" i="24"/>
  <c r="AC27" i="24"/>
  <c r="AB27" i="24"/>
  <c r="AA27" i="24"/>
  <c r="Z27" i="24"/>
  <c r="Y27" i="24"/>
  <c r="X27" i="24"/>
  <c r="W27" i="24"/>
  <c r="V27" i="24"/>
  <c r="U27" i="24"/>
  <c r="T27" i="24"/>
  <c r="S27" i="24"/>
  <c r="R27" i="24"/>
  <c r="Q27" i="24"/>
  <c r="P27" i="24"/>
  <c r="O27" i="24"/>
  <c r="M27" i="24"/>
  <c r="L27" i="24"/>
  <c r="K27" i="24"/>
  <c r="J27" i="24"/>
  <c r="I27" i="24"/>
  <c r="T40" i="24" l="1"/>
  <c r="S40" i="24"/>
  <c r="R40" i="24"/>
  <c r="Q40" i="24"/>
  <c r="P40" i="24"/>
  <c r="O40" i="24"/>
  <c r="N40" i="24"/>
  <c r="M40" i="24"/>
  <c r="L40" i="24"/>
  <c r="K40" i="24"/>
  <c r="F40" i="24"/>
  <c r="E40" i="24"/>
  <c r="D40" i="24"/>
  <c r="C40" i="24"/>
  <c r="AL16" i="24"/>
  <c r="AK16" i="24"/>
  <c r="AJ16" i="24"/>
  <c r="AI16" i="24"/>
  <c r="AH16" i="24"/>
  <c r="AG16" i="24"/>
  <c r="AF16" i="24"/>
  <c r="AE16" i="24"/>
  <c r="AD16" i="24"/>
  <c r="AC16" i="24"/>
  <c r="AB16" i="24"/>
  <c r="AA16" i="24"/>
  <c r="Z16" i="24"/>
  <c r="Y16" i="24"/>
  <c r="X16" i="24"/>
  <c r="W16" i="24"/>
  <c r="V16" i="24"/>
  <c r="U16" i="24"/>
  <c r="T16" i="24"/>
  <c r="S16" i="24"/>
  <c r="R16" i="24"/>
  <c r="Q16" i="24"/>
  <c r="P16" i="24"/>
  <c r="O16" i="24"/>
  <c r="N16" i="24"/>
  <c r="M16" i="24"/>
  <c r="L16" i="24"/>
  <c r="K16" i="24"/>
  <c r="J16" i="24"/>
  <c r="I16" i="24"/>
  <c r="H16" i="24"/>
  <c r="G16" i="24"/>
  <c r="F16" i="24"/>
  <c r="E16" i="24"/>
  <c r="D16" i="24"/>
  <c r="C16" i="24"/>
  <c r="AY507" i="1" l="1"/>
  <c r="CY142" i="1" l="1"/>
  <c r="AV66" i="24" l="1"/>
  <c r="AU66" i="24"/>
  <c r="AT66" i="24"/>
  <c r="AS66" i="24"/>
  <c r="AR66" i="24"/>
  <c r="AQ66" i="24"/>
  <c r="AP66" i="24"/>
  <c r="AO66" i="24"/>
  <c r="AN66" i="24"/>
  <c r="AN67" i="24" s="1"/>
  <c r="T66" i="24"/>
  <c r="S66" i="24"/>
  <c r="R66" i="24"/>
  <c r="Q66" i="24"/>
  <c r="P66" i="24"/>
  <c r="O66" i="24"/>
  <c r="N66" i="24"/>
  <c r="M66" i="24"/>
  <c r="L66" i="24"/>
  <c r="K66" i="24"/>
  <c r="J66" i="24"/>
  <c r="I66" i="24"/>
  <c r="F66" i="24"/>
  <c r="E66" i="24"/>
  <c r="D66" i="24"/>
  <c r="C66" i="24"/>
  <c r="O67" i="24" l="1"/>
  <c r="AU67" i="24"/>
  <c r="R67" i="24"/>
  <c r="AQ67" i="24"/>
  <c r="AT67" i="24"/>
  <c r="AO67" i="24"/>
  <c r="Q67" i="24"/>
  <c r="AP67" i="24"/>
  <c r="AV67" i="24"/>
  <c r="S67" i="24"/>
  <c r="AR67" i="24"/>
  <c r="P67" i="24"/>
  <c r="N67" i="24"/>
  <c r="T67" i="24"/>
  <c r="AS67" i="24"/>
  <c r="T62" i="24" l="1"/>
  <c r="S62" i="24"/>
  <c r="R62" i="24"/>
  <c r="Q62" i="24"/>
  <c r="P62" i="24"/>
  <c r="O62" i="24"/>
  <c r="N62" i="24"/>
  <c r="M62" i="24"/>
  <c r="L62" i="24"/>
  <c r="K62" i="24"/>
  <c r="J62" i="24"/>
  <c r="I62" i="24"/>
  <c r="H62" i="24"/>
  <c r="G62" i="24"/>
  <c r="F62" i="24"/>
  <c r="E62" i="24"/>
  <c r="D62" i="24"/>
  <c r="C62" i="24"/>
  <c r="L22" i="24"/>
  <c r="K22" i="24"/>
  <c r="H22" i="24"/>
  <c r="G22" i="24"/>
  <c r="F22" i="24"/>
  <c r="E22" i="24"/>
  <c r="D22" i="24"/>
  <c r="C22" i="24"/>
  <c r="T13" i="24"/>
  <c r="S13" i="24"/>
  <c r="R13" i="24"/>
  <c r="Q13" i="24"/>
  <c r="P13" i="24"/>
  <c r="O13" i="24"/>
  <c r="N13" i="24"/>
  <c r="M13" i="24"/>
  <c r="L13" i="24"/>
  <c r="K13" i="24"/>
  <c r="J13" i="24"/>
  <c r="I13" i="24"/>
  <c r="F13" i="24"/>
  <c r="E13" i="24"/>
  <c r="D13" i="24"/>
  <c r="C13" i="24"/>
  <c r="T12" i="24"/>
  <c r="S12" i="24"/>
  <c r="R12" i="24"/>
  <c r="Q12" i="24"/>
  <c r="P12" i="24"/>
  <c r="O12" i="24"/>
  <c r="N12" i="24"/>
  <c r="M12" i="24"/>
  <c r="L12" i="24"/>
  <c r="K12" i="24"/>
  <c r="J12" i="24"/>
  <c r="I12" i="24"/>
  <c r="H12" i="24"/>
  <c r="G12" i="24"/>
  <c r="F12" i="24"/>
  <c r="E12" i="24"/>
  <c r="D12" i="24"/>
  <c r="C12" i="24"/>
  <c r="T11" i="24"/>
  <c r="S11" i="24"/>
  <c r="R11" i="24"/>
  <c r="Q11" i="24"/>
  <c r="P11" i="24"/>
  <c r="O11" i="24"/>
  <c r="N11" i="24"/>
  <c r="M11" i="24"/>
  <c r="L11" i="24"/>
  <c r="K11" i="24"/>
  <c r="J11" i="24"/>
  <c r="I11" i="24"/>
  <c r="H11" i="24"/>
  <c r="G11" i="24"/>
  <c r="D11" i="24"/>
  <c r="C11" i="24"/>
  <c r="BE4" i="24"/>
  <c r="BD4" i="24"/>
  <c r="BC4" i="24"/>
  <c r="BB4" i="24"/>
  <c r="BA4" i="24"/>
  <c r="AZ4" i="24"/>
  <c r="AY4" i="24"/>
  <c r="AX4" i="24"/>
  <c r="AW4" i="24"/>
  <c r="AV4" i="24"/>
  <c r="AU4" i="24"/>
  <c r="AT4" i="24"/>
  <c r="AS4" i="24"/>
  <c r="AR4" i="24"/>
  <c r="AQ4" i="24"/>
  <c r="AP4" i="24"/>
  <c r="AO4" i="24"/>
  <c r="AN4" i="24"/>
  <c r="C57" i="23"/>
  <c r="C56" i="23"/>
  <c r="C37" i="23"/>
  <c r="C35" i="23"/>
  <c r="O13" i="23"/>
  <c r="J13" i="23"/>
  <c r="J11" i="23"/>
  <c r="O5" i="23"/>
  <c r="C5" i="23"/>
  <c r="D151" i="2" l="1"/>
  <c r="J12" i="23" s="1"/>
  <c r="AY103" i="1" l="1"/>
  <c r="AY713" i="1" l="1"/>
  <c r="AY708" i="1"/>
  <c r="AY704" i="1"/>
  <c r="AY701" i="1"/>
  <c r="AY696" i="1"/>
  <c r="AY680" i="1"/>
  <c r="AY665" i="1"/>
  <c r="AY663" i="1"/>
  <c r="AY415" i="1"/>
  <c r="AY414" i="1" s="1"/>
  <c r="AY449" i="1"/>
  <c r="AY451" i="1"/>
  <c r="AX524" i="1"/>
  <c r="AY479" i="1"/>
  <c r="AY468" i="1"/>
  <c r="AY470" i="1"/>
  <c r="AY388" i="1"/>
  <c r="AY603" i="1"/>
  <c r="AY583" i="1"/>
  <c r="AY585" i="1"/>
  <c r="AY571" i="1"/>
  <c r="AY614" i="1"/>
  <c r="AY610" i="1"/>
  <c r="AY450" i="1" l="1"/>
  <c r="AY469" i="1"/>
  <c r="AY584" i="1"/>
  <c r="AY611" i="1"/>
  <c r="AY612" i="1" l="1"/>
  <c r="AY116" i="1" s="1"/>
  <c r="AY52" i="1"/>
  <c r="AY56" i="1"/>
  <c r="AY57" i="1"/>
  <c r="AY59" i="1"/>
  <c r="AY249" i="1"/>
  <c r="AY244" i="1"/>
  <c r="AY254" i="1"/>
  <c r="AY227" i="1"/>
  <c r="AY222" i="1"/>
  <c r="AY266" i="1"/>
  <c r="AY197" i="1"/>
  <c r="AY196" i="1" s="1"/>
  <c r="AY191" i="1"/>
  <c r="AY190" i="1" s="1"/>
  <c r="AY192" i="1" s="1"/>
  <c r="AY58" i="1" s="1"/>
  <c r="AY185" i="1"/>
  <c r="AY184" i="1" s="1"/>
  <c r="AY186" i="1" s="1"/>
  <c r="AY161" i="1"/>
  <c r="AY171" i="1"/>
  <c r="AY165" i="1"/>
  <c r="AZ223" i="1" s="1"/>
  <c r="AY158" i="1"/>
  <c r="C8" i="2"/>
  <c r="AZ218" i="1" l="1"/>
  <c r="AZ215" i="1"/>
  <c r="AZ232" i="1" s="1"/>
  <c r="AZ233" i="1" s="1"/>
  <c r="AZ216" i="1"/>
  <c r="AZ53" i="1"/>
  <c r="AZ228" i="1"/>
  <c r="AZ60" i="1"/>
  <c r="AY198" i="1"/>
  <c r="AY61" i="1" s="1"/>
  <c r="AY159" i="1"/>
  <c r="AZ217" i="1" s="1"/>
  <c r="CY80" i="1" l="1"/>
  <c r="CX80" i="1"/>
  <c r="CW80" i="1"/>
  <c r="BB450" i="1" l="1"/>
  <c r="BC450" i="1" s="1"/>
  <c r="BD450" i="1" s="1"/>
  <c r="BA444" i="1"/>
  <c r="BB444" i="1"/>
  <c r="BC444" i="1"/>
  <c r="BD444" i="1"/>
  <c r="BE444" i="1"/>
  <c r="BF444" i="1"/>
  <c r="BG444" i="1"/>
  <c r="BH444" i="1"/>
  <c r="BI444" i="1"/>
  <c r="BA445" i="1"/>
  <c r="BB445" i="1"/>
  <c r="BC445" i="1"/>
  <c r="BD445" i="1"/>
  <c r="BE445" i="1"/>
  <c r="BF445" i="1"/>
  <c r="BG445" i="1"/>
  <c r="BH445" i="1"/>
  <c r="BI445" i="1"/>
  <c r="BE450" i="1" l="1"/>
  <c r="BF450" i="1" l="1"/>
  <c r="BG450" i="1" l="1"/>
  <c r="BH450" i="1" l="1"/>
  <c r="BI450" i="1" l="1"/>
  <c r="AX704" i="1" l="1"/>
  <c r="AV158" i="1"/>
  <c r="AW158" i="1"/>
  <c r="AX158" i="1"/>
  <c r="CY126" i="1"/>
  <c r="AX468" i="1" l="1"/>
  <c r="AX160" i="1" l="1"/>
  <c r="G6" i="2"/>
  <c r="G5" i="2"/>
  <c r="G4" i="2"/>
  <c r="O11" i="23" s="1"/>
  <c r="AX713" i="1"/>
  <c r="AX665" i="1"/>
  <c r="AX677" i="1" s="1"/>
  <c r="AX663" i="1"/>
  <c r="AX661" i="1"/>
  <c r="AX610" i="1"/>
  <c r="AX603" i="1"/>
  <c r="AX583" i="1"/>
  <c r="AX571" i="1"/>
  <c r="AX509" i="1"/>
  <c r="AX507" i="1" s="1"/>
  <c r="AX254" i="1"/>
  <c r="AX249" i="1"/>
  <c r="AX244" i="1"/>
  <c r="AW244" i="1"/>
  <c r="AX197" i="1"/>
  <c r="AX196" i="1" s="1"/>
  <c r="AX198" i="1" s="1"/>
  <c r="AX61" i="1" s="1"/>
  <c r="AW197" i="1"/>
  <c r="AW196" i="1" s="1"/>
  <c r="AX191" i="1"/>
  <c r="AX190" i="1" s="1"/>
  <c r="AX192" i="1" s="1"/>
  <c r="AX58" i="1" s="1"/>
  <c r="AW185" i="1"/>
  <c r="AW184" i="1" s="1"/>
  <c r="AX185" i="1"/>
  <c r="AX184" i="1" s="1"/>
  <c r="AX161" i="1"/>
  <c r="AX103" i="1"/>
  <c r="AX52" i="1"/>
  <c r="AX56" i="1"/>
  <c r="AX57" i="1"/>
  <c r="AX59" i="1"/>
  <c r="AX101" i="1"/>
  <c r="AX122" i="1"/>
  <c r="AX143" i="1"/>
  <c r="AX165" i="1"/>
  <c r="AY223" i="1" s="1"/>
  <c r="AX171" i="1"/>
  <c r="AX176" i="1"/>
  <c r="AX205" i="1"/>
  <c r="AX210" i="1"/>
  <c r="AX209" i="1" s="1"/>
  <c r="AX208" i="1" s="1"/>
  <c r="AX152" i="1" s="1"/>
  <c r="AX212" i="1"/>
  <c r="AX222" i="1"/>
  <c r="AX234" i="1"/>
  <c r="AX237" i="1" s="1"/>
  <c r="S68" i="24" s="1"/>
  <c r="AX262" i="1"/>
  <c r="AX266" i="1"/>
  <c r="AX381" i="1"/>
  <c r="AX388" i="1"/>
  <c r="AX409" i="1"/>
  <c r="AX421" i="1" s="1"/>
  <c r="AX415" i="1"/>
  <c r="AX420" i="1"/>
  <c r="AX422" i="1"/>
  <c r="AX457" i="1" s="1"/>
  <c r="AX423" i="1"/>
  <c r="AX458" i="1" s="1"/>
  <c r="AX487" i="1" s="1"/>
  <c r="AX425" i="1"/>
  <c r="AX460" i="1" s="1"/>
  <c r="AX489" i="1" s="1"/>
  <c r="AX444" i="1"/>
  <c r="AX445" i="1"/>
  <c r="AX450" i="1"/>
  <c r="AX473" i="1"/>
  <c r="AX474" i="1"/>
  <c r="AX475" i="1"/>
  <c r="AX479" i="1"/>
  <c r="AX501" i="1"/>
  <c r="AX503" i="1"/>
  <c r="AX504" i="1"/>
  <c r="AX516" i="1"/>
  <c r="AX517" i="1"/>
  <c r="AX518" i="1"/>
  <c r="AX519" i="1"/>
  <c r="AX520" i="1"/>
  <c r="AX522" i="1"/>
  <c r="AX588" i="1"/>
  <c r="AX589" i="1"/>
  <c r="AX621" i="1"/>
  <c r="AX625" i="1"/>
  <c r="AX626" i="1"/>
  <c r="AX633" i="1"/>
  <c r="AX634" i="1"/>
  <c r="AX680" i="1"/>
  <c r="AX696" i="1"/>
  <c r="AX703" i="1"/>
  <c r="AX735" i="1"/>
  <c r="AX737" i="1"/>
  <c r="AX763" i="1" s="1"/>
  <c r="AX818" i="1"/>
  <c r="AX821" i="1"/>
  <c r="AX824" i="1"/>
  <c r="AX827" i="1"/>
  <c r="AX839" i="1"/>
  <c r="AX238" i="1" l="1"/>
  <c r="S8" i="24"/>
  <c r="AX762" i="1"/>
  <c r="S56" i="24"/>
  <c r="AY228" i="1"/>
  <c r="AY60" i="1"/>
  <c r="AX611" i="1"/>
  <c r="AY54" i="1"/>
  <c r="AY218" i="1"/>
  <c r="AY215" i="1"/>
  <c r="AY216" i="1"/>
  <c r="AX327" i="1"/>
  <c r="AX584" i="1"/>
  <c r="AX456" i="1"/>
  <c r="AX485" i="1" s="1"/>
  <c r="AX443" i="1"/>
  <c r="S28" i="24" s="1"/>
  <c r="AX635" i="1"/>
  <c r="AX738" i="1" s="1"/>
  <c r="AX764" i="1" s="1"/>
  <c r="AX186" i="1"/>
  <c r="AX55" i="1" s="1"/>
  <c r="AX202" i="1"/>
  <c r="AX455" i="1"/>
  <c r="AX484" i="1" s="1"/>
  <c r="AX145" i="1"/>
  <c r="AX427" i="1"/>
  <c r="AX462" i="1" s="1"/>
  <c r="AX491" i="1" s="1"/>
  <c r="AX472" i="1"/>
  <c r="AX486" i="1"/>
  <c r="AX203" i="1"/>
  <c r="AX536" i="1"/>
  <c r="AX623" i="1" s="1"/>
  <c r="AX102" i="1"/>
  <c r="AX434" i="1"/>
  <c r="AX159" i="1"/>
  <c r="AX178" i="1"/>
  <c r="S59" i="24" s="1"/>
  <c r="BD135" i="1"/>
  <c r="BF135" i="1" s="1"/>
  <c r="BH135" i="1" s="1"/>
  <c r="BJ135" i="1" s="1"/>
  <c r="BL135" i="1" s="1"/>
  <c r="BN135" i="1" s="1"/>
  <c r="BP135" i="1" s="1"/>
  <c r="AX612" i="1" l="1"/>
  <c r="BA612" i="1" s="1"/>
  <c r="BB612" i="1" s="1"/>
  <c r="BC612" i="1" s="1"/>
  <c r="AX430" i="1"/>
  <c r="AX465" i="1"/>
  <c r="AX711" i="1" s="1"/>
  <c r="S35" i="24"/>
  <c r="S36" i="24" s="1"/>
  <c r="AY217" i="1"/>
  <c r="AY53" i="1"/>
  <c r="AX441" i="1"/>
  <c r="S26" i="24" s="1"/>
  <c r="AX204" i="1"/>
  <c r="AX181" i="1"/>
  <c r="AX177" i="1"/>
  <c r="AX667" i="1"/>
  <c r="AV509" i="1"/>
  <c r="AW509" i="1"/>
  <c r="AW470" i="1"/>
  <c r="AV468" i="1"/>
  <c r="AW468" i="1" s="1"/>
  <c r="AW467" i="1"/>
  <c r="CY193" i="1"/>
  <c r="CY254" i="1"/>
  <c r="CX254" i="1"/>
  <c r="CY249" i="1"/>
  <c r="CY244" i="1"/>
  <c r="AX817" i="1" l="1"/>
  <c r="AX823" i="1"/>
  <c r="AX820" i="1"/>
  <c r="AX826" i="1"/>
  <c r="BD612" i="1"/>
  <c r="BE612" i="1" s="1"/>
  <c r="BF612" i="1" s="1"/>
  <c r="BG612" i="1" s="1"/>
  <c r="BH612" i="1" s="1"/>
  <c r="BI612" i="1" s="1"/>
  <c r="BJ612" i="1" s="1"/>
  <c r="BK612" i="1" s="1"/>
  <c r="BL612" i="1" s="1"/>
  <c r="BM612" i="1" s="1"/>
  <c r="BN612" i="1" s="1"/>
  <c r="BO612" i="1" s="1"/>
  <c r="BP612" i="1" s="1"/>
  <c r="BQ612" i="1" s="1"/>
  <c r="AX116" i="1"/>
  <c r="AX670" i="1"/>
  <c r="S61" i="24"/>
  <c r="AX440" i="1"/>
  <c r="AX795" i="1"/>
  <c r="AX469" i="1"/>
  <c r="AX471" i="1"/>
  <c r="AX146" i="1"/>
  <c r="AX154" i="1"/>
  <c r="AX825" i="1"/>
  <c r="AX819" i="1"/>
  <c r="AX147" i="1"/>
  <c r="AX822" i="1"/>
  <c r="AX816" i="1"/>
  <c r="CX244" i="1"/>
  <c r="AW713" i="1"/>
  <c r="AW704" i="1"/>
  <c r="AW665" i="1"/>
  <c r="AW677" i="1" s="1"/>
  <c r="AW663" i="1"/>
  <c r="AW661" i="1"/>
  <c r="AW610" i="1"/>
  <c r="AW601" i="1"/>
  <c r="AW603" i="1" s="1"/>
  <c r="AV583" i="1"/>
  <c r="AW583" i="1"/>
  <c r="AW571" i="1"/>
  <c r="AW524" i="1"/>
  <c r="AW254" i="1"/>
  <c r="AW249" i="1"/>
  <c r="CY197" i="1"/>
  <c r="CY196" i="1"/>
  <c r="AW191" i="1"/>
  <c r="AW190" i="1" s="1"/>
  <c r="CY190" i="1" s="1"/>
  <c r="CY185" i="1"/>
  <c r="CY184" i="1"/>
  <c r="AW173" i="1"/>
  <c r="AX227" i="1" s="1"/>
  <c r="AW161" i="1"/>
  <c r="AW160" i="1"/>
  <c r="AW125" i="1"/>
  <c r="AW103" i="1"/>
  <c r="AW434" i="1" s="1"/>
  <c r="AW165" i="1"/>
  <c r="AX223" i="1" s="1"/>
  <c r="AW176" i="1"/>
  <c r="AW205" i="1"/>
  <c r="AW210" i="1"/>
  <c r="AW212" i="1"/>
  <c r="AW222" i="1"/>
  <c r="AW234" i="1"/>
  <c r="AW237" i="1" s="1"/>
  <c r="R68" i="24" s="1"/>
  <c r="AW262" i="1"/>
  <c r="AW266" i="1"/>
  <c r="AW381" i="1"/>
  <c r="AW388" i="1"/>
  <c r="AW409" i="1"/>
  <c r="AW421" i="1" s="1"/>
  <c r="AW415" i="1"/>
  <c r="AW420" i="1"/>
  <c r="AW422" i="1"/>
  <c r="AW457" i="1" s="1"/>
  <c r="AW423" i="1"/>
  <c r="AW458" i="1" s="1"/>
  <c r="AW487" i="1" s="1"/>
  <c r="AW425" i="1"/>
  <c r="AW460" i="1" s="1"/>
  <c r="AW489" i="1" s="1"/>
  <c r="AW444" i="1"/>
  <c r="AW445" i="1"/>
  <c r="AW450" i="1"/>
  <c r="AW469" i="1"/>
  <c r="AW473" i="1"/>
  <c r="AW474" i="1"/>
  <c r="AW475" i="1"/>
  <c r="AW479" i="1"/>
  <c r="AW501" i="1"/>
  <c r="AW503" i="1"/>
  <c r="AW504" i="1"/>
  <c r="AW507" i="1"/>
  <c r="AW516" i="1"/>
  <c r="AW517" i="1"/>
  <c r="AW518" i="1"/>
  <c r="AW519" i="1"/>
  <c r="AW520" i="1"/>
  <c r="AW522" i="1"/>
  <c r="AW536" i="1" s="1"/>
  <c r="AW588" i="1"/>
  <c r="AW589" i="1"/>
  <c r="AW621" i="1"/>
  <c r="AW625" i="1"/>
  <c r="AW626" i="1"/>
  <c r="AW633" i="1"/>
  <c r="AW634" i="1"/>
  <c r="AW680" i="1"/>
  <c r="AW696" i="1"/>
  <c r="AW703" i="1"/>
  <c r="AW735" i="1"/>
  <c r="AW737" i="1"/>
  <c r="AW763" i="1" s="1"/>
  <c r="AW815" i="1"/>
  <c r="AW818" i="1"/>
  <c r="AW821" i="1"/>
  <c r="AW824" i="1"/>
  <c r="AW827" i="1"/>
  <c r="AW839" i="1"/>
  <c r="AW101" i="1"/>
  <c r="AW115" i="1"/>
  <c r="AW122" i="1"/>
  <c r="AY243" i="1" l="1"/>
  <c r="AZ243" i="1"/>
  <c r="AW814" i="1"/>
  <c r="S69" i="24"/>
  <c r="R8" i="24"/>
  <c r="AW762" i="1"/>
  <c r="R56" i="24"/>
  <c r="AW611" i="1"/>
  <c r="AX243" i="1"/>
  <c r="AX242" i="1" s="1"/>
  <c r="AY242" i="1"/>
  <c r="AW243" i="1"/>
  <c r="AW242" i="1" s="1"/>
  <c r="AW102" i="1"/>
  <c r="AW171" i="1"/>
  <c r="AX60" i="1" s="1"/>
  <c r="AW178" i="1"/>
  <c r="AX215" i="1"/>
  <c r="AX232" i="1" s="1"/>
  <c r="AX233" i="1" s="1"/>
  <c r="AW584" i="1"/>
  <c r="AX627" i="1"/>
  <c r="AX216" i="1"/>
  <c r="AX698" i="1"/>
  <c r="AX702" i="1"/>
  <c r="AW455" i="1"/>
  <c r="AW484" i="1" s="1"/>
  <c r="AX54" i="1"/>
  <c r="AX218" i="1"/>
  <c r="AW472" i="1"/>
  <c r="AW443" i="1"/>
  <c r="R28" i="24" s="1"/>
  <c r="AW456" i="1"/>
  <c r="AW485" i="1" s="1"/>
  <c r="AW486" i="1"/>
  <c r="AW192" i="1"/>
  <c r="CY192" i="1" s="1"/>
  <c r="CY191" i="1"/>
  <c r="CY248" i="1" s="1"/>
  <c r="CY253" i="1" s="1"/>
  <c r="AW623" i="1"/>
  <c r="AW635" i="1"/>
  <c r="AW738" i="1" s="1"/>
  <c r="AW145" i="1"/>
  <c r="AW427" i="1"/>
  <c r="AW462" i="1" s="1"/>
  <c r="AW491" i="1" s="1"/>
  <c r="AW238" i="1"/>
  <c r="AW198" i="1"/>
  <c r="AW186" i="1"/>
  <c r="AW203" i="1"/>
  <c r="AW159" i="1"/>
  <c r="AW327" i="1"/>
  <c r="AW202" i="1"/>
  <c r="AW209" i="1"/>
  <c r="AZ242" i="1" l="1"/>
  <c r="S30" i="24"/>
  <c r="AW612" i="1"/>
  <c r="AW817" i="1" s="1"/>
  <c r="AW430" i="1"/>
  <c r="S9" i="24"/>
  <c r="AW667" i="1"/>
  <c r="R59" i="24"/>
  <c r="AW826" i="1"/>
  <c r="AW465" i="1"/>
  <c r="AW711" i="1" s="1"/>
  <c r="R35" i="24"/>
  <c r="AX228" i="1"/>
  <c r="AW181" i="1"/>
  <c r="AW471" i="1"/>
  <c r="AW177" i="1"/>
  <c r="AW146" i="1" s="1"/>
  <c r="AW441" i="1"/>
  <c r="R26" i="24" s="1"/>
  <c r="AW208" i="1"/>
  <c r="AW152" i="1" s="1"/>
  <c r="AX64" i="1"/>
  <c r="AX217" i="1"/>
  <c r="AX53" i="1"/>
  <c r="AW204" i="1"/>
  <c r="AW764" i="1"/>
  <c r="AW819" i="1" l="1"/>
  <c r="S29" i="24"/>
  <c r="AW823" i="1"/>
  <c r="AW820" i="1"/>
  <c r="R36" i="24"/>
  <c r="S60" i="24"/>
  <c r="AW670" i="1"/>
  <c r="R61" i="24"/>
  <c r="AW440" i="1"/>
  <c r="AX96" i="1" s="1"/>
  <c r="AW154" i="1"/>
  <c r="AW812" i="1"/>
  <c r="AW813" i="1"/>
  <c r="AW822" i="1"/>
  <c r="AW816" i="1"/>
  <c r="AW147" i="1"/>
  <c r="AW825" i="1"/>
  <c r="AW795" i="1"/>
  <c r="DI104" i="1" l="1"/>
  <c r="DI105" i="1"/>
  <c r="DI149" i="1"/>
  <c r="DI208" i="1"/>
  <c r="DI382" i="1"/>
  <c r="DI420" i="1" s="1"/>
  <c r="DI383" i="1"/>
  <c r="DI384" i="1"/>
  <c r="DI385" i="1"/>
  <c r="DI386" i="1"/>
  <c r="DI388" i="1"/>
  <c r="DI400" i="1"/>
  <c r="DI407" i="1"/>
  <c r="BE16" i="24" s="1"/>
  <c r="DI410" i="1"/>
  <c r="DI411" i="1"/>
  <c r="DI412" i="1"/>
  <c r="DI413" i="1"/>
  <c r="DI415" i="1"/>
  <c r="DI433" i="1"/>
  <c r="DI435" i="1"/>
  <c r="DI442" i="1"/>
  <c r="BE27" i="24" s="1"/>
  <c r="DI446" i="1"/>
  <c r="DI447" i="1"/>
  <c r="DI448" i="1"/>
  <c r="DI450" i="1"/>
  <c r="DI476" i="1"/>
  <c r="DI477" i="1"/>
  <c r="DI479" i="1"/>
  <c r="DI492" i="1"/>
  <c r="DI505" i="1"/>
  <c r="DI508" i="1"/>
  <c r="DI523" i="1"/>
  <c r="DI524" i="1"/>
  <c r="DI527" i="1"/>
  <c r="DI528" i="1"/>
  <c r="DI553" i="1"/>
  <c r="DI554" i="1"/>
  <c r="DI602" i="1"/>
  <c r="DI736" i="1"/>
  <c r="BQ622" i="1"/>
  <c r="BP622" i="1"/>
  <c r="BQ520" i="1"/>
  <c r="BP520" i="1"/>
  <c r="BQ519" i="1"/>
  <c r="BP519" i="1"/>
  <c r="BQ518" i="1"/>
  <c r="BP518" i="1"/>
  <c r="BQ517" i="1"/>
  <c r="BP517" i="1"/>
  <c r="BQ516" i="1"/>
  <c r="BP516" i="1"/>
  <c r="BQ504" i="1"/>
  <c r="BP504" i="1"/>
  <c r="BQ503" i="1"/>
  <c r="BP503" i="1"/>
  <c r="BQ502" i="1"/>
  <c r="BP502" i="1"/>
  <c r="BQ501" i="1"/>
  <c r="BP501" i="1"/>
  <c r="BQ475" i="1"/>
  <c r="BP475" i="1"/>
  <c r="BQ474" i="1"/>
  <c r="BP474" i="1"/>
  <c r="BQ473" i="1"/>
  <c r="BP473" i="1"/>
  <c r="BQ445" i="1"/>
  <c r="BP445" i="1"/>
  <c r="BQ444" i="1"/>
  <c r="BP444" i="1"/>
  <c r="BQ427" i="1"/>
  <c r="BQ462" i="1" s="1"/>
  <c r="BQ491" i="1" s="1"/>
  <c r="BQ507" i="1" s="1"/>
  <c r="BP427" i="1"/>
  <c r="BP462" i="1" s="1"/>
  <c r="BP491" i="1" s="1"/>
  <c r="BP507" i="1" s="1"/>
  <c r="BQ425" i="1"/>
  <c r="BQ460" i="1" s="1"/>
  <c r="BQ489" i="1" s="1"/>
  <c r="BP425" i="1"/>
  <c r="BP460" i="1" s="1"/>
  <c r="BP489" i="1" s="1"/>
  <c r="BQ424" i="1"/>
  <c r="BQ459" i="1" s="1"/>
  <c r="BQ488" i="1" s="1"/>
  <c r="BP424" i="1"/>
  <c r="BP459" i="1" s="1"/>
  <c r="BP488" i="1" s="1"/>
  <c r="BQ423" i="1"/>
  <c r="BQ458" i="1" s="1"/>
  <c r="BQ487" i="1" s="1"/>
  <c r="BP423" i="1"/>
  <c r="BP458" i="1" s="1"/>
  <c r="BP487" i="1" s="1"/>
  <c r="BQ422" i="1"/>
  <c r="BQ457" i="1" s="1"/>
  <c r="BP422" i="1"/>
  <c r="BP457" i="1" s="1"/>
  <c r="BP486" i="1" s="1"/>
  <c r="BQ420" i="1"/>
  <c r="BP420" i="1"/>
  <c r="BQ409" i="1"/>
  <c r="BQ421" i="1" s="1"/>
  <c r="BP409" i="1"/>
  <c r="BQ265" i="1"/>
  <c r="BP265" i="1"/>
  <c r="DI423" i="1" l="1"/>
  <c r="DI458" i="1" s="1"/>
  <c r="DI487" i="1" s="1"/>
  <c r="DI424" i="1"/>
  <c r="DI459" i="1" s="1"/>
  <c r="DI488" i="1" s="1"/>
  <c r="BQ486" i="1"/>
  <c r="DI409" i="1"/>
  <c r="DI421" i="1" s="1"/>
  <c r="DI507" i="1"/>
  <c r="DI473" i="1"/>
  <c r="DI501" i="1"/>
  <c r="DI504" i="1"/>
  <c r="DI518" i="1"/>
  <c r="DI425" i="1"/>
  <c r="DI460" i="1" s="1"/>
  <c r="DI489" i="1" s="1"/>
  <c r="DI503" i="1"/>
  <c r="BP455" i="1"/>
  <c r="BP484" i="1" s="1"/>
  <c r="BP421" i="1"/>
  <c r="BP456" i="1" s="1"/>
  <c r="BP485" i="1" s="1"/>
  <c r="DI475" i="1"/>
  <c r="DI517" i="1"/>
  <c r="DI520" i="1"/>
  <c r="DI622" i="1"/>
  <c r="DI445" i="1"/>
  <c r="DI474" i="1"/>
  <c r="DI502" i="1"/>
  <c r="DI516" i="1"/>
  <c r="DI519" i="1"/>
  <c r="BQ456" i="1"/>
  <c r="BQ485" i="1" s="1"/>
  <c r="DI422" i="1"/>
  <c r="DI457" i="1" s="1"/>
  <c r="DI444" i="1"/>
  <c r="DI455" i="1" s="1"/>
  <c r="DI427" i="1"/>
  <c r="DI462" i="1" s="1"/>
  <c r="DI491" i="1" s="1"/>
  <c r="BQ455" i="1"/>
  <c r="BQ484" i="1" s="1"/>
  <c r="DI456" i="1" l="1"/>
  <c r="DI485" i="1" s="1"/>
  <c r="DI486" i="1"/>
  <c r="DI484" i="1"/>
  <c r="DI135" i="1" l="1"/>
  <c r="DI735" i="1" s="1"/>
  <c r="DI138" i="1"/>
  <c r="BP735" i="1"/>
  <c r="BQ735" i="1"/>
  <c r="AV197" i="1"/>
  <c r="AV173" i="1"/>
  <c r="AW227" i="1" s="1"/>
  <c r="AL56" i="24" l="1"/>
  <c r="AK56" i="24"/>
  <c r="BE56" i="24"/>
  <c r="AV713" i="1"/>
  <c r="AV704" i="1"/>
  <c r="AV665" i="1"/>
  <c r="AV677" i="1" s="1"/>
  <c r="AU663" i="1"/>
  <c r="AV663" i="1"/>
  <c r="AV661" i="1"/>
  <c r="AV610" i="1"/>
  <c r="AV601" i="1"/>
  <c r="AV603" i="1" s="1"/>
  <c r="AV571" i="1"/>
  <c r="AW627" i="1" s="1"/>
  <c r="AT509" i="1"/>
  <c r="AV524" i="1"/>
  <c r="AV469" i="1"/>
  <c r="AU468" i="1"/>
  <c r="AV249" i="1"/>
  <c r="AT254" i="1"/>
  <c r="AU254" i="1"/>
  <c r="AV254" i="1"/>
  <c r="AV244" i="1"/>
  <c r="AU244" i="1"/>
  <c r="AV196" i="1"/>
  <c r="AV191" i="1"/>
  <c r="AV190" i="1"/>
  <c r="AV185" i="1"/>
  <c r="AV184" i="1"/>
  <c r="AV161" i="1"/>
  <c r="AW215" i="1" s="1"/>
  <c r="AW232" i="1" s="1"/>
  <c r="AW233" i="1" s="1"/>
  <c r="AV160" i="1"/>
  <c r="AT158" i="1"/>
  <c r="AU158" i="1"/>
  <c r="AV125" i="1"/>
  <c r="AV103" i="1"/>
  <c r="AV434" i="1" s="1"/>
  <c r="AV165" i="1"/>
  <c r="AW223" i="1" s="1"/>
  <c r="AV171" i="1"/>
  <c r="AW228" i="1" s="1"/>
  <c r="AV176" i="1"/>
  <c r="AV205" i="1"/>
  <c r="AV210" i="1"/>
  <c r="AV212" i="1"/>
  <c r="AV222" i="1"/>
  <c r="AV227" i="1"/>
  <c r="AV234" i="1"/>
  <c r="AV237" i="1" s="1"/>
  <c r="Q68" i="24" s="1"/>
  <c r="R69" i="24" s="1"/>
  <c r="AV262" i="1"/>
  <c r="AV266" i="1"/>
  <c r="AV381" i="1"/>
  <c r="AV388" i="1"/>
  <c r="AV409" i="1"/>
  <c r="AV421" i="1" s="1"/>
  <c r="AV415" i="1"/>
  <c r="AV420" i="1"/>
  <c r="AV422" i="1"/>
  <c r="AV457" i="1" s="1"/>
  <c r="AV423" i="1"/>
  <c r="AV458" i="1" s="1"/>
  <c r="AV487" i="1" s="1"/>
  <c r="AV425" i="1"/>
  <c r="AV460" i="1" s="1"/>
  <c r="AV489" i="1" s="1"/>
  <c r="AV444" i="1"/>
  <c r="AV445" i="1"/>
  <c r="AV450" i="1"/>
  <c r="AV473" i="1"/>
  <c r="AV474" i="1"/>
  <c r="AV475" i="1"/>
  <c r="AV479" i="1"/>
  <c r="AV501" i="1"/>
  <c r="AV503" i="1"/>
  <c r="AV504" i="1"/>
  <c r="AV507" i="1"/>
  <c r="AV516" i="1"/>
  <c r="AV517" i="1"/>
  <c r="AV518" i="1"/>
  <c r="AV519" i="1"/>
  <c r="AV520" i="1"/>
  <c r="AV522" i="1"/>
  <c r="AV588" i="1"/>
  <c r="AV589" i="1"/>
  <c r="AV621" i="1"/>
  <c r="AV625" i="1"/>
  <c r="AV626" i="1"/>
  <c r="AV633" i="1"/>
  <c r="AV634" i="1"/>
  <c r="AV680" i="1"/>
  <c r="AV696" i="1"/>
  <c r="AV703" i="1"/>
  <c r="AV735" i="1"/>
  <c r="AV737" i="1"/>
  <c r="AV763" i="1" s="1"/>
  <c r="AV815" i="1"/>
  <c r="AV818" i="1"/>
  <c r="AV821" i="1"/>
  <c r="AV824" i="1"/>
  <c r="AV827" i="1"/>
  <c r="AV839" i="1"/>
  <c r="AV101" i="1"/>
  <c r="AV115" i="1"/>
  <c r="AV122" i="1"/>
  <c r="AV141" i="1"/>
  <c r="AV52" i="1"/>
  <c r="AV56" i="1"/>
  <c r="AV57" i="1"/>
  <c r="AV59" i="1"/>
  <c r="Q8" i="24" l="1"/>
  <c r="AV762" i="1"/>
  <c r="Q56" i="24"/>
  <c r="AV814" i="1"/>
  <c r="AV611" i="1"/>
  <c r="AV327" i="1"/>
  <c r="AV102" i="1"/>
  <c r="AV178" i="1"/>
  <c r="AW216" i="1"/>
  <c r="AW218" i="1"/>
  <c r="AW698" i="1"/>
  <c r="AW702" i="1"/>
  <c r="AV584" i="1"/>
  <c r="AV159" i="1"/>
  <c r="AW217" i="1" s="1"/>
  <c r="AV203" i="1"/>
  <c r="AV192" i="1"/>
  <c r="AV58" i="1" s="1"/>
  <c r="AV427" i="1"/>
  <c r="AV462" i="1" s="1"/>
  <c r="AV491" i="1" s="1"/>
  <c r="AV186" i="1"/>
  <c r="AV55" i="1" s="1"/>
  <c r="AV486" i="1"/>
  <c r="AV472" i="1"/>
  <c r="AV456" i="1"/>
  <c r="AV485" i="1" s="1"/>
  <c r="AV202" i="1"/>
  <c r="AV635" i="1"/>
  <c r="AV738" i="1" s="1"/>
  <c r="AV764" i="1" s="1"/>
  <c r="AV198" i="1"/>
  <c r="AV61" i="1" s="1"/>
  <c r="AV455" i="1"/>
  <c r="AV484" i="1" s="1"/>
  <c r="AV443" i="1"/>
  <c r="Q28" i="24" s="1"/>
  <c r="AV238" i="1"/>
  <c r="AV145" i="1"/>
  <c r="AV536" i="1"/>
  <c r="AV623" i="1" s="1"/>
  <c r="AV209" i="1"/>
  <c r="AV208" i="1" s="1"/>
  <c r="AV152" i="1" s="1"/>
  <c r="R30" i="24" l="1"/>
  <c r="AV612" i="1"/>
  <c r="AV817" i="1" s="1"/>
  <c r="AX98" i="1"/>
  <c r="R9" i="24"/>
  <c r="AV177" i="1"/>
  <c r="AV146" i="1" s="1"/>
  <c r="Q59" i="24"/>
  <c r="AV465" i="1"/>
  <c r="AV711" i="1" s="1"/>
  <c r="Q35" i="24"/>
  <c r="AV181" i="1"/>
  <c r="AV667" i="1"/>
  <c r="AV204" i="1"/>
  <c r="AV471" i="1"/>
  <c r="AV430" i="1"/>
  <c r="AV441" i="1"/>
  <c r="Q26" i="24" s="1"/>
  <c r="AV116" i="1"/>
  <c r="AV826" i="1"/>
  <c r="AV820" i="1"/>
  <c r="AV823" i="1" l="1"/>
  <c r="AV825" i="1"/>
  <c r="R29" i="24"/>
  <c r="AV114" i="1"/>
  <c r="Q36" i="24"/>
  <c r="R60" i="24"/>
  <c r="AV670" i="1"/>
  <c r="Q61" i="24"/>
  <c r="AV813" i="1"/>
  <c r="AV812" i="1"/>
  <c r="AV440" i="1"/>
  <c r="AW96" i="1" s="1"/>
  <c r="AV147" i="1"/>
  <c r="AV822" i="1"/>
  <c r="AV819" i="1"/>
  <c r="AV816" i="1"/>
  <c r="AV154" i="1"/>
  <c r="AV795" i="1"/>
  <c r="AT506" i="1"/>
  <c r="AU509" i="1"/>
  <c r="AU506" i="1"/>
  <c r="AT416" i="1"/>
  <c r="AT414" i="1"/>
  <c r="AU416" i="1"/>
  <c r="AU414" i="1"/>
  <c r="AV143" i="1"/>
  <c r="CX249" i="1" l="1"/>
  <c r="AV243" i="1"/>
  <c r="AV242" i="1" s="1"/>
  <c r="AU713" i="1"/>
  <c r="AU704" i="1"/>
  <c r="AU665" i="1"/>
  <c r="AT665" i="1"/>
  <c r="AU661" i="1"/>
  <c r="AU601" i="1"/>
  <c r="AU583" i="1"/>
  <c r="AU571" i="1"/>
  <c r="AV627" i="1" s="1"/>
  <c r="AU524" i="1"/>
  <c r="AU470" i="1"/>
  <c r="AU249" i="1"/>
  <c r="AU610" i="1"/>
  <c r="AU196" i="1"/>
  <c r="CX196" i="1" s="1"/>
  <c r="AU191" i="1"/>
  <c r="CX191" i="1" s="1"/>
  <c r="AU190" i="1"/>
  <c r="CX190" i="1" s="1"/>
  <c r="AU185" i="1"/>
  <c r="CX185" i="1" s="1"/>
  <c r="AU184" i="1"/>
  <c r="CX184" i="1" s="1"/>
  <c r="AU161" i="1"/>
  <c r="AU160" i="1"/>
  <c r="AU125" i="1"/>
  <c r="AX124" i="1" s="1"/>
  <c r="AU103" i="1"/>
  <c r="AU611" i="1" l="1"/>
  <c r="AX125" i="1"/>
  <c r="AX813" i="1" s="1"/>
  <c r="AX679" i="1"/>
  <c r="AX815" i="1"/>
  <c r="AX115" i="1"/>
  <c r="AX114" i="1"/>
  <c r="AX812" i="1"/>
  <c r="AV215" i="1"/>
  <c r="AV232" i="1" s="1"/>
  <c r="AV233" i="1" s="1"/>
  <c r="AV216" i="1"/>
  <c r="AV702" i="1"/>
  <c r="AV698" i="1"/>
  <c r="AV218" i="1"/>
  <c r="AV54" i="1"/>
  <c r="AU243" i="1"/>
  <c r="AU165" i="1"/>
  <c r="AV223" i="1" s="1"/>
  <c r="AU171" i="1"/>
  <c r="AU176" i="1"/>
  <c r="AU197" i="1"/>
  <c r="CX197" i="1" s="1"/>
  <c r="CX248" i="1" s="1"/>
  <c r="AU205" i="1"/>
  <c r="AU210" i="1"/>
  <c r="AU212" i="1"/>
  <c r="AU222" i="1"/>
  <c r="AU227" i="1"/>
  <c r="AU234" i="1"/>
  <c r="AU237" i="1" s="1"/>
  <c r="P68" i="24" s="1"/>
  <c r="AU262" i="1"/>
  <c r="AU266" i="1"/>
  <c r="AU381" i="1"/>
  <c r="AU388" i="1"/>
  <c r="AU409" i="1"/>
  <c r="AU421" i="1" s="1"/>
  <c r="AU415" i="1"/>
  <c r="AU420" i="1"/>
  <c r="AU422" i="1"/>
  <c r="AU457" i="1" s="1"/>
  <c r="AU423" i="1"/>
  <c r="AU458" i="1" s="1"/>
  <c r="AU487" i="1" s="1"/>
  <c r="AU425" i="1"/>
  <c r="AU460" i="1" s="1"/>
  <c r="AU489" i="1" s="1"/>
  <c r="AU434" i="1"/>
  <c r="AU444" i="1"/>
  <c r="AU445" i="1"/>
  <c r="AU450" i="1"/>
  <c r="AU473" i="1"/>
  <c r="AU474" i="1"/>
  <c r="AU475" i="1"/>
  <c r="AU479" i="1"/>
  <c r="AU501" i="1"/>
  <c r="AU503" i="1"/>
  <c r="AU504" i="1"/>
  <c r="AU507" i="1"/>
  <c r="AU516" i="1"/>
  <c r="AU517" i="1"/>
  <c r="AU518" i="1"/>
  <c r="AU519" i="1"/>
  <c r="AU520" i="1"/>
  <c r="AU522" i="1"/>
  <c r="AU584" i="1"/>
  <c r="AU588" i="1"/>
  <c r="AU589" i="1"/>
  <c r="AU603" i="1"/>
  <c r="AU621" i="1"/>
  <c r="AU625" i="1"/>
  <c r="AU626" i="1"/>
  <c r="AU633" i="1"/>
  <c r="AU634" i="1"/>
  <c r="AU677" i="1"/>
  <c r="AU680" i="1"/>
  <c r="AU696" i="1"/>
  <c r="AU703" i="1"/>
  <c r="AU735" i="1"/>
  <c r="AU737" i="1"/>
  <c r="AU763" i="1" s="1"/>
  <c r="AU815" i="1"/>
  <c r="AU818" i="1"/>
  <c r="AU821" i="1"/>
  <c r="AU824" i="1"/>
  <c r="AU827" i="1"/>
  <c r="AU839" i="1"/>
  <c r="AU115" i="1"/>
  <c r="AU122" i="1"/>
  <c r="AU814" i="1"/>
  <c r="AU101" i="1"/>
  <c r="AU102" i="1" s="1"/>
  <c r="DH736" i="1"/>
  <c r="DH602" i="1"/>
  <c r="DH554" i="1"/>
  <c r="DH553" i="1"/>
  <c r="DH528" i="1"/>
  <c r="DH527" i="1"/>
  <c r="DH524" i="1"/>
  <c r="DH523" i="1"/>
  <c r="DH508" i="1"/>
  <c r="DH505" i="1"/>
  <c r="DH492" i="1"/>
  <c r="DH479" i="1"/>
  <c r="DH477" i="1"/>
  <c r="DH476" i="1"/>
  <c r="DH450" i="1"/>
  <c r="DH448" i="1"/>
  <c r="DH447" i="1"/>
  <c r="DH446" i="1"/>
  <c r="DH442" i="1"/>
  <c r="BD27" i="24" s="1"/>
  <c r="DH435" i="1"/>
  <c r="DH433" i="1"/>
  <c r="DH415" i="1"/>
  <c r="DH413" i="1"/>
  <c r="DH412" i="1"/>
  <c r="DH411" i="1"/>
  <c r="DH410" i="1"/>
  <c r="DH407" i="1"/>
  <c r="BD16" i="24" s="1"/>
  <c r="DH400" i="1"/>
  <c r="DH388" i="1"/>
  <c r="DH386" i="1"/>
  <c r="DH385" i="1"/>
  <c r="DH384" i="1"/>
  <c r="DH383" i="1"/>
  <c r="DH382" i="1"/>
  <c r="DH420" i="1" s="1"/>
  <c r="DH208" i="1"/>
  <c r="DH149" i="1"/>
  <c r="DH105" i="1"/>
  <c r="DH104" i="1"/>
  <c r="BO622" i="1"/>
  <c r="BN622" i="1"/>
  <c r="BO520" i="1"/>
  <c r="BN520" i="1"/>
  <c r="BO519" i="1"/>
  <c r="BN519" i="1"/>
  <c r="BO518" i="1"/>
  <c r="BN518" i="1"/>
  <c r="BO517" i="1"/>
  <c r="BN517" i="1"/>
  <c r="BO516" i="1"/>
  <c r="BN516" i="1"/>
  <c r="BO504" i="1"/>
  <c r="BN504" i="1"/>
  <c r="BO503" i="1"/>
  <c r="BN503" i="1"/>
  <c r="BO502" i="1"/>
  <c r="BN502" i="1"/>
  <c r="BO501" i="1"/>
  <c r="BN501" i="1"/>
  <c r="BO475" i="1"/>
  <c r="BN475" i="1"/>
  <c r="BO474" i="1"/>
  <c r="BN474" i="1"/>
  <c r="BO473" i="1"/>
  <c r="BN473" i="1"/>
  <c r="BO445" i="1"/>
  <c r="BN445" i="1"/>
  <c r="BO444" i="1"/>
  <c r="BN444" i="1"/>
  <c r="BO427" i="1"/>
  <c r="BO462" i="1" s="1"/>
  <c r="BO491" i="1" s="1"/>
  <c r="BO507" i="1" s="1"/>
  <c r="BN427" i="1"/>
  <c r="BN462" i="1" s="1"/>
  <c r="BN491" i="1" s="1"/>
  <c r="BN507" i="1" s="1"/>
  <c r="BO425" i="1"/>
  <c r="BO460" i="1" s="1"/>
  <c r="BO489" i="1" s="1"/>
  <c r="BN425" i="1"/>
  <c r="BN460" i="1" s="1"/>
  <c r="BN489" i="1" s="1"/>
  <c r="BO424" i="1"/>
  <c r="BO459" i="1" s="1"/>
  <c r="BO488" i="1" s="1"/>
  <c r="BN424" i="1"/>
  <c r="BN459" i="1" s="1"/>
  <c r="BN488" i="1" s="1"/>
  <c r="BO423" i="1"/>
  <c r="BO458" i="1" s="1"/>
  <c r="BO487" i="1" s="1"/>
  <c r="BN423" i="1"/>
  <c r="BN458" i="1" s="1"/>
  <c r="BN487" i="1" s="1"/>
  <c r="BO422" i="1"/>
  <c r="BO457" i="1" s="1"/>
  <c r="BN422" i="1"/>
  <c r="BN457" i="1" s="1"/>
  <c r="BO420" i="1"/>
  <c r="BN420" i="1"/>
  <c r="BO409" i="1"/>
  <c r="BN409" i="1"/>
  <c r="BN421" i="1" s="1"/>
  <c r="BO265" i="1"/>
  <c r="BN265" i="1"/>
  <c r="AT59" i="1"/>
  <c r="AY248" i="1" l="1"/>
  <c r="AY247" i="1" s="1"/>
  <c r="AZ248" i="1"/>
  <c r="Q69" i="24"/>
  <c r="AU762" i="1"/>
  <c r="P56" i="24"/>
  <c r="AU238" i="1"/>
  <c r="P8" i="24"/>
  <c r="AY124" i="1"/>
  <c r="AX814" i="1"/>
  <c r="BN486" i="1"/>
  <c r="AW248" i="1"/>
  <c r="AW247" i="1" s="1"/>
  <c r="AX248" i="1"/>
  <c r="BO421" i="1"/>
  <c r="BO456" i="1" s="1"/>
  <c r="BO485" i="1" s="1"/>
  <c r="CX253" i="1"/>
  <c r="AV248" i="1"/>
  <c r="AV228" i="1"/>
  <c r="AV60" i="1"/>
  <c r="AU248" i="1"/>
  <c r="DH473" i="1"/>
  <c r="DH501" i="1"/>
  <c r="DH504" i="1"/>
  <c r="DH518" i="1"/>
  <c r="DH622" i="1"/>
  <c r="DH445" i="1"/>
  <c r="DH503" i="1"/>
  <c r="DH517" i="1"/>
  <c r="DH520" i="1"/>
  <c r="AU456" i="1"/>
  <c r="AU485" i="1" s="1"/>
  <c r="DH507" i="1"/>
  <c r="DH424" i="1"/>
  <c r="DH459" i="1" s="1"/>
  <c r="DH488" i="1" s="1"/>
  <c r="AU443" i="1"/>
  <c r="AU486" i="1"/>
  <c r="DH444" i="1"/>
  <c r="DH455" i="1" s="1"/>
  <c r="DH474" i="1"/>
  <c r="DH502" i="1"/>
  <c r="DH516" i="1"/>
  <c r="DH519" i="1"/>
  <c r="AU472" i="1"/>
  <c r="AU455" i="1"/>
  <c r="AU484" i="1" s="1"/>
  <c r="AU209" i="1"/>
  <c r="AU427" i="1"/>
  <c r="AU462" i="1" s="1"/>
  <c r="AU491" i="1" s="1"/>
  <c r="AU635" i="1"/>
  <c r="AU738" i="1" s="1"/>
  <c r="AU203" i="1"/>
  <c r="AU198" i="1"/>
  <c r="AU192" i="1"/>
  <c r="AU186" i="1"/>
  <c r="AU469" i="1"/>
  <c r="AU327" i="1"/>
  <c r="AU178" i="1"/>
  <c r="AU202" i="1"/>
  <c r="AU159" i="1"/>
  <c r="AU612" i="1"/>
  <c r="AU145" i="1"/>
  <c r="AU536" i="1"/>
  <c r="AU623" i="1" s="1"/>
  <c r="DH427" i="1"/>
  <c r="DH462" i="1" s="1"/>
  <c r="DH491" i="1" s="1"/>
  <c r="DH475" i="1"/>
  <c r="DH423" i="1"/>
  <c r="DH458" i="1" s="1"/>
  <c r="DH487" i="1" s="1"/>
  <c r="DH425" i="1"/>
  <c r="DH460" i="1" s="1"/>
  <c r="DH489" i="1" s="1"/>
  <c r="BO486" i="1"/>
  <c r="BN455" i="1"/>
  <c r="BN484" i="1" s="1"/>
  <c r="DH409" i="1"/>
  <c r="DH421" i="1" s="1"/>
  <c r="BN456" i="1"/>
  <c r="BN485" i="1" s="1"/>
  <c r="DH422" i="1"/>
  <c r="DH457" i="1" s="1"/>
  <c r="BO455" i="1"/>
  <c r="BO484" i="1" s="1"/>
  <c r="AZ247" i="1" l="1"/>
  <c r="AY253" i="1"/>
  <c r="AY252" i="1" s="1"/>
  <c r="AZ253" i="1"/>
  <c r="AZ252" i="1" s="1"/>
  <c r="AY125" i="1"/>
  <c r="AZ124" i="1" s="1"/>
  <c r="P28" i="24"/>
  <c r="Q9" i="24"/>
  <c r="AU667" i="1"/>
  <c r="P59" i="24"/>
  <c r="AU471" i="1"/>
  <c r="P35" i="24"/>
  <c r="AY679" i="1"/>
  <c r="AW253" i="1"/>
  <c r="AW252" i="1" s="1"/>
  <c r="AW257" i="1" s="1"/>
  <c r="AX253" i="1"/>
  <c r="AX252" i="1" s="1"/>
  <c r="AX247" i="1"/>
  <c r="DH484" i="1"/>
  <c r="AV247" i="1"/>
  <c r="AU253" i="1"/>
  <c r="AV253" i="1"/>
  <c r="AV252" i="1" s="1"/>
  <c r="AU208" i="1"/>
  <c r="AU152" i="1" s="1"/>
  <c r="AV64" i="1"/>
  <c r="AV217" i="1"/>
  <c r="AV53" i="1"/>
  <c r="DH456" i="1"/>
  <c r="DH485" i="1" s="1"/>
  <c r="AU430" i="1"/>
  <c r="AU441" i="1"/>
  <c r="P26" i="24" s="1"/>
  <c r="AU465" i="1"/>
  <c r="AU711" i="1" s="1"/>
  <c r="AU204" i="1"/>
  <c r="AU764" i="1"/>
  <c r="AU820" i="1"/>
  <c r="AU826" i="1"/>
  <c r="AU823" i="1"/>
  <c r="AU817" i="1"/>
  <c r="AU177" i="1"/>
  <c r="AU146" i="1" s="1"/>
  <c r="AU181" i="1"/>
  <c r="DH486" i="1"/>
  <c r="BO735" i="1"/>
  <c r="AZ125" i="1" l="1"/>
  <c r="AZ679" i="1"/>
  <c r="AZ114" i="1"/>
  <c r="AZ258" i="1"/>
  <c r="AZ257" i="1"/>
  <c r="Q30" i="24"/>
  <c r="Q29" i="24"/>
  <c r="Q60" i="24"/>
  <c r="P36" i="24"/>
  <c r="AU670" i="1"/>
  <c r="P61" i="24"/>
  <c r="AJ56" i="24"/>
  <c r="AU440" i="1"/>
  <c r="AV96" i="1" s="1"/>
  <c r="AW258" i="1"/>
  <c r="AW259" i="1" s="1"/>
  <c r="AX258" i="1"/>
  <c r="AX257" i="1"/>
  <c r="AV257" i="1"/>
  <c r="AV258" i="1"/>
  <c r="AU795" i="1"/>
  <c r="AU154" i="1"/>
  <c r="AU812" i="1"/>
  <c r="AU813" i="1"/>
  <c r="AU819" i="1"/>
  <c r="AU825" i="1"/>
  <c r="AU816" i="1"/>
  <c r="AU822" i="1"/>
  <c r="AU147" i="1"/>
  <c r="AZ259" i="1" l="1"/>
  <c r="AX259" i="1"/>
  <c r="AW260" i="1"/>
  <c r="AW699" i="1" s="1"/>
  <c r="AV259" i="1"/>
  <c r="AZ260" i="1" l="1"/>
  <c r="AZ699" i="1" s="1"/>
  <c r="AX260" i="1"/>
  <c r="AX699" i="1" s="1"/>
  <c r="AW261" i="1"/>
  <c r="AV260" i="1"/>
  <c r="AV261" i="1" s="1"/>
  <c r="AS610" i="1"/>
  <c r="AT610" i="1"/>
  <c r="AX261" i="1" l="1"/>
  <c r="AV699" i="1"/>
  <c r="DH135" i="1" l="1"/>
  <c r="DH138" i="1"/>
  <c r="BN735" i="1"/>
  <c r="AT141" i="1"/>
  <c r="AT115" i="1"/>
  <c r="AT101" i="1"/>
  <c r="AI56" i="24" l="1"/>
  <c r="DH735" i="1"/>
  <c r="AT52" i="1"/>
  <c r="AT56" i="1"/>
  <c r="AT57" i="1"/>
  <c r="AT713" i="1"/>
  <c r="AT704" i="1"/>
  <c r="AT663" i="1"/>
  <c r="AT661" i="1"/>
  <c r="BD56" i="24" l="1"/>
  <c r="AU702" i="1"/>
  <c r="AU698" i="1"/>
  <c r="AT611" i="1"/>
  <c r="AT601" i="1"/>
  <c r="AT583" i="1" l="1"/>
  <c r="AT571" i="1"/>
  <c r="AU627" i="1" s="1"/>
  <c r="AT470" i="1"/>
  <c r="AT524" i="1"/>
  <c r="AS416" i="1"/>
  <c r="AR416" i="1"/>
  <c r="AS442" i="1"/>
  <c r="N27" i="24" s="1"/>
  <c r="AT249" i="1"/>
  <c r="AT244" i="1"/>
  <c r="AT243" i="1" s="1"/>
  <c r="AT196" i="1"/>
  <c r="AT191" i="1"/>
  <c r="AT190" i="1"/>
  <c r="AT185" i="1"/>
  <c r="AT184" i="1"/>
  <c r="AT161" i="1"/>
  <c r="AU215" i="1" s="1"/>
  <c r="AT160" i="1"/>
  <c r="AT125" i="1"/>
  <c r="AT103" i="1"/>
  <c r="AT248" i="1" l="1"/>
  <c r="AT253" i="1"/>
  <c r="AU216" i="1"/>
  <c r="AU218" i="1"/>
  <c r="AU232" i="1"/>
  <c r="AT102" i="1"/>
  <c r="AT165" i="1"/>
  <c r="AU223" i="1" s="1"/>
  <c r="AT171" i="1"/>
  <c r="AU228" i="1" s="1"/>
  <c r="AT176" i="1"/>
  <c r="AT186" i="1"/>
  <c r="AT55" i="1" s="1"/>
  <c r="AT192" i="1"/>
  <c r="AT58" i="1" s="1"/>
  <c r="AT197" i="1"/>
  <c r="AT198" i="1" s="1"/>
  <c r="AT61" i="1" s="1"/>
  <c r="AT202" i="1"/>
  <c r="AT205" i="1"/>
  <c r="AT210" i="1"/>
  <c r="AT212" i="1"/>
  <c r="AT222" i="1"/>
  <c r="AT227" i="1"/>
  <c r="AT234" i="1"/>
  <c r="AT262" i="1"/>
  <c r="AT266" i="1"/>
  <c r="AT381" i="1"/>
  <c r="AT388" i="1"/>
  <c r="AT409" i="1"/>
  <c r="AT421" i="1" s="1"/>
  <c r="AT415" i="1"/>
  <c r="AT420" i="1"/>
  <c r="AT422" i="1"/>
  <c r="AT457" i="1" s="1"/>
  <c r="AT423" i="1"/>
  <c r="AT458" i="1" s="1"/>
  <c r="AT487" i="1" s="1"/>
  <c r="AT425" i="1"/>
  <c r="AT460" i="1" s="1"/>
  <c r="AT489" i="1" s="1"/>
  <c r="AT434" i="1"/>
  <c r="AT444" i="1"/>
  <c r="AT445" i="1"/>
  <c r="AT450" i="1"/>
  <c r="AT473" i="1"/>
  <c r="AT474" i="1"/>
  <c r="AT475" i="1"/>
  <c r="AT479" i="1"/>
  <c r="AT501" i="1"/>
  <c r="AT503" i="1"/>
  <c r="AT504" i="1"/>
  <c r="AT507" i="1"/>
  <c r="AT516" i="1"/>
  <c r="AT517" i="1"/>
  <c r="AT518" i="1"/>
  <c r="AT519" i="1"/>
  <c r="AT520" i="1"/>
  <c r="AT522" i="1"/>
  <c r="AT536" i="1" s="1"/>
  <c r="AT588" i="1"/>
  <c r="AT589" i="1"/>
  <c r="AT603" i="1"/>
  <c r="AT612" i="1"/>
  <c r="AT116" i="1" s="1"/>
  <c r="AT621" i="1"/>
  <c r="AT625" i="1"/>
  <c r="AT626" i="1"/>
  <c r="AT633" i="1"/>
  <c r="AT634" i="1"/>
  <c r="AT677" i="1"/>
  <c r="AT680" i="1"/>
  <c r="AT696" i="1"/>
  <c r="AT703" i="1"/>
  <c r="AT735" i="1"/>
  <c r="AT737" i="1"/>
  <c r="AT763" i="1" s="1"/>
  <c r="AT814" i="1"/>
  <c r="AT815" i="1"/>
  <c r="AT818" i="1"/>
  <c r="AT821" i="1"/>
  <c r="AT824" i="1"/>
  <c r="AT827" i="1"/>
  <c r="AT839" i="1"/>
  <c r="AT122" i="1"/>
  <c r="O8" i="24" l="1"/>
  <c r="AT762" i="1"/>
  <c r="O56" i="24"/>
  <c r="AT327" i="1"/>
  <c r="AU233" i="1"/>
  <c r="AT443" i="1"/>
  <c r="AT584" i="1"/>
  <c r="AT455" i="1"/>
  <c r="AT484" i="1" s="1"/>
  <c r="AT623" i="1"/>
  <c r="AT456" i="1"/>
  <c r="AT485" i="1" s="1"/>
  <c r="AT635" i="1"/>
  <c r="AT738" i="1" s="1"/>
  <c r="AT764" i="1" s="1"/>
  <c r="AT486" i="1"/>
  <c r="AT203" i="1"/>
  <c r="AT204" i="1" s="1"/>
  <c r="AT472" i="1"/>
  <c r="AT427" i="1"/>
  <c r="AT462" i="1" s="1"/>
  <c r="AT491" i="1" s="1"/>
  <c r="AT820" i="1"/>
  <c r="AT817" i="1"/>
  <c r="AT823" i="1"/>
  <c r="AT826" i="1"/>
  <c r="AT237" i="1"/>
  <c r="O68" i="24" s="1"/>
  <c r="AT178" i="1"/>
  <c r="O59" i="24" s="1"/>
  <c r="AT159" i="1"/>
  <c r="AT209" i="1"/>
  <c r="O28" i="24" l="1"/>
  <c r="P69" i="24"/>
  <c r="P60" i="24"/>
  <c r="P9" i="24"/>
  <c r="AT670" i="1"/>
  <c r="O61" i="24"/>
  <c r="O35" i="24"/>
  <c r="AT441" i="1"/>
  <c r="O26" i="24" s="1"/>
  <c r="AV98" i="1"/>
  <c r="AU217" i="1"/>
  <c r="AT430" i="1"/>
  <c r="AT465" i="1"/>
  <c r="AT711" i="1" s="1"/>
  <c r="AT208" i="1"/>
  <c r="AT152" i="1" s="1"/>
  <c r="AT471" i="1"/>
  <c r="AT238" i="1"/>
  <c r="AT181" i="1"/>
  <c r="AT177" i="1"/>
  <c r="AT114" i="1" s="1"/>
  <c r="AT795" i="1"/>
  <c r="AT667" i="1"/>
  <c r="P29" i="24" l="1"/>
  <c r="P30" i="24"/>
  <c r="O36" i="24"/>
  <c r="AT440" i="1"/>
  <c r="AU96" i="1" s="1"/>
  <c r="AT154" i="1"/>
  <c r="AT816" i="1"/>
  <c r="AT822" i="1"/>
  <c r="AT812" i="1"/>
  <c r="AT813" i="1"/>
  <c r="AT819" i="1"/>
  <c r="AT825" i="1"/>
  <c r="AS470" i="1" l="1"/>
  <c r="DB400" i="1" l="1"/>
  <c r="AS125" i="1" l="1"/>
  <c r="AR141" i="1" l="1"/>
  <c r="AS467" i="1"/>
  <c r="CW254" i="1" l="1"/>
  <c r="CW249" i="1"/>
  <c r="CW244" i="1"/>
  <c r="CV244" i="1"/>
  <c r="AT242" i="1" l="1"/>
  <c r="AU242" i="1"/>
  <c r="AS737" i="1"/>
  <c r="AS763" i="1" s="1"/>
  <c r="AS713" i="1"/>
  <c r="AS704" i="1"/>
  <c r="AS665" i="1"/>
  <c r="AS677" i="1" s="1"/>
  <c r="AS663" i="1"/>
  <c r="AS661" i="1"/>
  <c r="AS611" i="1"/>
  <c r="AS601" i="1"/>
  <c r="AS583" i="1"/>
  <c r="AS571" i="1"/>
  <c r="AT627" i="1" s="1"/>
  <c r="AS524" i="1"/>
  <c r="AS509" i="1"/>
  <c r="AS507" i="1" s="1"/>
  <c r="AS249" i="1"/>
  <c r="AS254" i="1"/>
  <c r="AS244" i="1"/>
  <c r="AS243" i="1" s="1"/>
  <c r="AS197" i="1"/>
  <c r="CW197" i="1" s="1"/>
  <c r="AR197" i="1"/>
  <c r="AS196" i="1"/>
  <c r="CW196" i="1" s="1"/>
  <c r="AS191" i="1"/>
  <c r="CW191" i="1" s="1"/>
  <c r="AS190" i="1"/>
  <c r="CW190" i="1" s="1"/>
  <c r="AS185" i="1"/>
  <c r="CW185" i="1" s="1"/>
  <c r="AS184" i="1"/>
  <c r="AS161" i="1"/>
  <c r="AT215" i="1" s="1"/>
  <c r="AT232" i="1" s="1"/>
  <c r="AT233" i="1" s="1"/>
  <c r="AS160" i="1"/>
  <c r="AS158" i="1"/>
  <c r="AS103" i="1"/>
  <c r="AS434" i="1" s="1"/>
  <c r="AS52" i="1"/>
  <c r="AS101" i="1"/>
  <c r="AS115" i="1"/>
  <c r="AS122" i="1"/>
  <c r="AS141" i="1"/>
  <c r="AS143" i="1" s="1"/>
  <c r="AS165" i="1"/>
  <c r="AT223" i="1" s="1"/>
  <c r="AS171" i="1"/>
  <c r="AS176" i="1"/>
  <c r="AS205" i="1"/>
  <c r="AS210" i="1"/>
  <c r="AS209" i="1" s="1"/>
  <c r="AT64" i="1" s="1"/>
  <c r="AS212" i="1"/>
  <c r="AS222" i="1"/>
  <c r="AS227" i="1"/>
  <c r="AS234" i="1"/>
  <c r="AS262" i="1"/>
  <c r="AS266" i="1"/>
  <c r="AS381" i="1"/>
  <c r="AS388" i="1"/>
  <c r="AS409" i="1"/>
  <c r="AS421" i="1" s="1"/>
  <c r="AS420" i="1"/>
  <c r="AS422" i="1"/>
  <c r="AS457" i="1" s="1"/>
  <c r="AS423" i="1"/>
  <c r="AS458" i="1" s="1"/>
  <c r="AS487" i="1" s="1"/>
  <c r="AS425" i="1"/>
  <c r="AS460" i="1" s="1"/>
  <c r="AS489" i="1" s="1"/>
  <c r="AS444" i="1"/>
  <c r="AS445" i="1"/>
  <c r="AS450" i="1"/>
  <c r="AS473" i="1"/>
  <c r="AS474" i="1"/>
  <c r="AS475" i="1"/>
  <c r="AS479" i="1"/>
  <c r="AS501" i="1"/>
  <c r="AS503" i="1"/>
  <c r="AS504" i="1"/>
  <c r="AS516" i="1"/>
  <c r="AS517" i="1"/>
  <c r="AS518" i="1"/>
  <c r="AS519" i="1"/>
  <c r="AS520" i="1"/>
  <c r="AS522" i="1"/>
  <c r="AS536" i="1" s="1"/>
  <c r="AS588" i="1"/>
  <c r="AS589" i="1"/>
  <c r="AS603" i="1"/>
  <c r="AS621" i="1"/>
  <c r="AS625" i="1"/>
  <c r="AS626" i="1"/>
  <c r="AS633" i="1"/>
  <c r="AS634" i="1"/>
  <c r="AS680" i="1"/>
  <c r="AS696" i="1"/>
  <c r="AS703" i="1"/>
  <c r="AS735" i="1"/>
  <c r="AS814" i="1"/>
  <c r="AS815" i="1"/>
  <c r="AS818" i="1"/>
  <c r="AS821" i="1"/>
  <c r="AS824" i="1"/>
  <c r="AS827" i="1"/>
  <c r="AS839" i="1"/>
  <c r="N8" i="24" l="1"/>
  <c r="AS762" i="1"/>
  <c r="N56" i="24"/>
  <c r="AS327" i="1"/>
  <c r="AT54" i="1"/>
  <c r="AT228" i="1"/>
  <c r="AT60" i="1"/>
  <c r="AT216" i="1"/>
  <c r="AT218" i="1"/>
  <c r="AT702" i="1"/>
  <c r="AT698" i="1"/>
  <c r="CW248" i="1"/>
  <c r="CW253" i="1" s="1"/>
  <c r="AS253" i="1" s="1"/>
  <c r="AS202" i="1"/>
  <c r="CW184" i="1"/>
  <c r="AS584" i="1"/>
  <c r="AS443" i="1"/>
  <c r="AS456" i="1"/>
  <c r="AS485" i="1" s="1"/>
  <c r="AS192" i="1"/>
  <c r="AS102" i="1"/>
  <c r="AS486" i="1"/>
  <c r="AS208" i="1"/>
  <c r="AS152" i="1" s="1"/>
  <c r="AS198" i="1"/>
  <c r="AS635" i="1"/>
  <c r="AS738" i="1" s="1"/>
  <c r="AS472" i="1"/>
  <c r="AS455" i="1"/>
  <c r="AS484" i="1" s="1"/>
  <c r="AS186" i="1"/>
  <c r="AS55" i="1" s="1"/>
  <c r="AS203" i="1"/>
  <c r="AS178" i="1"/>
  <c r="N59" i="24" s="1"/>
  <c r="AS159" i="1"/>
  <c r="AT217" i="1" s="1"/>
  <c r="AS612" i="1"/>
  <c r="AS145" i="1"/>
  <c r="AS623" i="1"/>
  <c r="AS415" i="1"/>
  <c r="AS427" i="1" s="1"/>
  <c r="AS462" i="1" s="1"/>
  <c r="AS491" i="1" s="1"/>
  <c r="AS237" i="1"/>
  <c r="N68" i="24" s="1"/>
  <c r="AS430" i="1" l="1"/>
  <c r="N28" i="24"/>
  <c r="O69" i="24"/>
  <c r="O60" i="24"/>
  <c r="O9" i="24"/>
  <c r="AS471" i="1"/>
  <c r="N35" i="24"/>
  <c r="AS248" i="1"/>
  <c r="AT53" i="1"/>
  <c r="AS204" i="1"/>
  <c r="AS58" i="1"/>
  <c r="CW192" i="1"/>
  <c r="AS61" i="1"/>
  <c r="CW198" i="1"/>
  <c r="AS441" i="1"/>
  <c r="N26" i="24" s="1"/>
  <c r="AS465" i="1"/>
  <c r="AS711" i="1" s="1"/>
  <c r="AS238" i="1"/>
  <c r="AS826" i="1"/>
  <c r="AS823" i="1"/>
  <c r="AS116" i="1"/>
  <c r="AS820" i="1"/>
  <c r="AS817" i="1"/>
  <c r="AS764" i="1"/>
  <c r="AS181" i="1"/>
  <c r="AS177" i="1"/>
  <c r="AS114" i="1" s="1"/>
  <c r="AS667" i="1"/>
  <c r="O29" i="24" l="1"/>
  <c r="O30" i="24"/>
  <c r="AS670" i="1"/>
  <c r="N61" i="24"/>
  <c r="AS795" i="1"/>
  <c r="AS440" i="1"/>
  <c r="N36" i="24"/>
  <c r="AS147" i="1"/>
  <c r="AS822" i="1"/>
  <c r="AS819" i="1"/>
  <c r="AS812" i="1"/>
  <c r="AS816" i="1"/>
  <c r="AS813" i="1"/>
  <c r="AS154" i="1"/>
  <c r="AS825" i="1"/>
  <c r="AS146" i="1"/>
  <c r="DG736" i="1" l="1"/>
  <c r="DG602" i="1"/>
  <c r="DG554" i="1"/>
  <c r="DG553" i="1"/>
  <c r="DG528" i="1"/>
  <c r="DG527" i="1"/>
  <c r="DG524" i="1"/>
  <c r="DG523" i="1"/>
  <c r="DG508" i="1"/>
  <c r="DG505" i="1"/>
  <c r="DG492" i="1"/>
  <c r="DG479" i="1"/>
  <c r="DG477" i="1"/>
  <c r="DG476" i="1"/>
  <c r="DG450" i="1"/>
  <c r="DG448" i="1"/>
  <c r="DG447" i="1"/>
  <c r="DG446" i="1"/>
  <c r="DG442" i="1"/>
  <c r="BC27" i="24" s="1"/>
  <c r="DG435" i="1"/>
  <c r="DG415" i="1"/>
  <c r="DG413" i="1"/>
  <c r="DG411" i="1"/>
  <c r="DG410" i="1"/>
  <c r="DG407" i="1"/>
  <c r="BC16" i="24" s="1"/>
  <c r="DG388" i="1"/>
  <c r="DG386" i="1"/>
  <c r="DG385" i="1"/>
  <c r="DG384" i="1"/>
  <c r="DG383" i="1"/>
  <c r="DG382" i="1"/>
  <c r="DG420" i="1" s="1"/>
  <c r="DG208" i="1"/>
  <c r="DG149" i="1"/>
  <c r="DG105" i="1"/>
  <c r="DG104" i="1"/>
  <c r="BL735" i="1"/>
  <c r="BM622" i="1"/>
  <c r="BL622" i="1"/>
  <c r="BM520" i="1"/>
  <c r="BL520" i="1"/>
  <c r="BM519" i="1"/>
  <c r="BL519" i="1"/>
  <c r="BM518" i="1"/>
  <c r="BL518" i="1"/>
  <c r="BM517" i="1"/>
  <c r="BL517" i="1"/>
  <c r="BM516" i="1"/>
  <c r="BL516" i="1"/>
  <c r="BM504" i="1"/>
  <c r="BL504" i="1"/>
  <c r="BM503" i="1"/>
  <c r="BL503" i="1"/>
  <c r="BM501" i="1"/>
  <c r="BL501" i="1"/>
  <c r="BM475" i="1"/>
  <c r="BL475" i="1"/>
  <c r="BM474" i="1"/>
  <c r="BL474" i="1"/>
  <c r="BM473" i="1"/>
  <c r="BL473" i="1"/>
  <c r="BM445" i="1"/>
  <c r="BL445" i="1"/>
  <c r="BM444" i="1"/>
  <c r="BL444" i="1"/>
  <c r="BM427" i="1"/>
  <c r="BM462" i="1" s="1"/>
  <c r="BM491" i="1" s="1"/>
  <c r="BM507" i="1" s="1"/>
  <c r="BL427" i="1"/>
  <c r="BL462" i="1" s="1"/>
  <c r="BL491" i="1" s="1"/>
  <c r="BL507" i="1" s="1"/>
  <c r="BM425" i="1"/>
  <c r="BM460" i="1" s="1"/>
  <c r="BM489" i="1" s="1"/>
  <c r="BL425" i="1"/>
  <c r="BL460" i="1" s="1"/>
  <c r="BL489" i="1" s="1"/>
  <c r="BM423" i="1"/>
  <c r="BM458" i="1" s="1"/>
  <c r="BM487" i="1" s="1"/>
  <c r="BL423" i="1"/>
  <c r="BL458" i="1" s="1"/>
  <c r="BL487" i="1" s="1"/>
  <c r="BM422" i="1"/>
  <c r="BM457" i="1" s="1"/>
  <c r="BL422" i="1"/>
  <c r="BL457" i="1" s="1"/>
  <c r="BM420" i="1"/>
  <c r="BL420" i="1"/>
  <c r="BM409" i="1"/>
  <c r="BM421" i="1" s="1"/>
  <c r="BL409" i="1"/>
  <c r="BL421" i="1" s="1"/>
  <c r="BM265" i="1"/>
  <c r="BL265" i="1"/>
  <c r="AG56" i="24" l="1"/>
  <c r="BL486" i="1"/>
  <c r="BM486" i="1"/>
  <c r="DG475" i="1"/>
  <c r="DG518" i="1"/>
  <c r="DG473" i="1"/>
  <c r="DG516" i="1"/>
  <c r="DG503" i="1"/>
  <c r="DG520" i="1"/>
  <c r="DG423" i="1"/>
  <c r="DG458" i="1" s="1"/>
  <c r="DG487" i="1" s="1"/>
  <c r="BL456" i="1"/>
  <c r="BL485" i="1" s="1"/>
  <c r="BL455" i="1"/>
  <c r="BL484" i="1" s="1"/>
  <c r="BM456" i="1"/>
  <c r="BM485" i="1" s="1"/>
  <c r="DG427" i="1"/>
  <c r="DG462" i="1" s="1"/>
  <c r="DG491" i="1" s="1"/>
  <c r="DG445" i="1"/>
  <c r="DG474" i="1"/>
  <c r="DG501" i="1"/>
  <c r="DG504" i="1"/>
  <c r="DG517" i="1"/>
  <c r="DG519" i="1"/>
  <c r="DG622" i="1"/>
  <c r="DG422" i="1"/>
  <c r="DG457" i="1" s="1"/>
  <c r="DG507" i="1"/>
  <c r="BM455" i="1"/>
  <c r="BM484" i="1" s="1"/>
  <c r="DG444" i="1"/>
  <c r="DG455" i="1" s="1"/>
  <c r="DG409" i="1"/>
  <c r="DG421" i="1" s="1"/>
  <c r="DG425" i="1"/>
  <c r="DG460" i="1" s="1"/>
  <c r="DG489" i="1" s="1"/>
  <c r="DG486" i="1" l="1"/>
  <c r="DG484" i="1"/>
  <c r="DG456" i="1"/>
  <c r="DG485" i="1" s="1"/>
  <c r="DG138" i="1" l="1"/>
  <c r="DG135" i="1"/>
  <c r="DG735" i="1" s="1"/>
  <c r="BM735" i="1"/>
  <c r="AR210" i="1"/>
  <c r="AH56" i="24" l="1"/>
  <c r="BC56" i="24"/>
  <c r="AR468" i="1"/>
  <c r="AS468" i="1" s="1"/>
  <c r="AP468" i="1"/>
  <c r="AR713" i="1"/>
  <c r="AR704" i="1"/>
  <c r="AQ704" i="1"/>
  <c r="AR665" i="1"/>
  <c r="AR663" i="1"/>
  <c r="AR661" i="1"/>
  <c r="AR610" i="1"/>
  <c r="AR611" i="1" l="1"/>
  <c r="AS469" i="1"/>
  <c r="AT469" i="1"/>
  <c r="AS702" i="1"/>
  <c r="AS698" i="1"/>
  <c r="AR601" i="1"/>
  <c r="AR603" i="1" s="1"/>
  <c r="AQ601" i="1"/>
  <c r="AR583" i="1"/>
  <c r="AR571" i="1"/>
  <c r="AS627" i="1" s="1"/>
  <c r="AR546" i="1"/>
  <c r="AR524" i="1"/>
  <c r="AR509" i="1"/>
  <c r="AR507" i="1" s="1"/>
  <c r="AR254" i="1"/>
  <c r="AR249" i="1"/>
  <c r="AR244" i="1"/>
  <c r="AR243" i="1" s="1"/>
  <c r="AR196" i="1"/>
  <c r="AR198" i="1" s="1"/>
  <c r="AR61" i="1" s="1"/>
  <c r="AR191" i="1"/>
  <c r="AR190" i="1"/>
  <c r="AR185" i="1"/>
  <c r="AR184" i="1"/>
  <c r="AR161" i="1"/>
  <c r="AS215" i="1" s="1"/>
  <c r="AS232" i="1" s="1"/>
  <c r="AS233" i="1" s="1"/>
  <c r="AR160" i="1"/>
  <c r="AR158" i="1"/>
  <c r="AR125" i="1"/>
  <c r="AR103" i="1"/>
  <c r="AR57" i="1"/>
  <c r="AR52" i="1"/>
  <c r="AR59" i="1"/>
  <c r="AR101" i="1"/>
  <c r="AR115" i="1"/>
  <c r="AR122" i="1"/>
  <c r="AR143" i="1"/>
  <c r="AR165" i="1"/>
  <c r="AS223" i="1" s="1"/>
  <c r="AR171" i="1"/>
  <c r="AR176" i="1"/>
  <c r="AR205" i="1"/>
  <c r="AR212" i="1"/>
  <c r="AR222" i="1"/>
  <c r="AR227" i="1"/>
  <c r="AR234" i="1"/>
  <c r="AR237" i="1" s="1"/>
  <c r="M68" i="24" s="1"/>
  <c r="N69" i="24" s="1"/>
  <c r="AR262" i="1"/>
  <c r="AR266" i="1"/>
  <c r="AR381" i="1"/>
  <c r="AR388" i="1"/>
  <c r="AR409" i="1"/>
  <c r="AR421" i="1" s="1"/>
  <c r="AR420" i="1"/>
  <c r="AR422" i="1"/>
  <c r="AR457" i="1" s="1"/>
  <c r="AR423" i="1"/>
  <c r="AR458" i="1" s="1"/>
  <c r="AR487" i="1" s="1"/>
  <c r="AR425" i="1"/>
  <c r="AR460" i="1" s="1"/>
  <c r="AR489" i="1" s="1"/>
  <c r="AR444" i="1"/>
  <c r="AR445" i="1"/>
  <c r="AR450" i="1"/>
  <c r="AR473" i="1"/>
  <c r="AR474" i="1"/>
  <c r="AR475" i="1"/>
  <c r="AR479" i="1"/>
  <c r="AR501" i="1"/>
  <c r="AR503" i="1"/>
  <c r="AR504" i="1"/>
  <c r="AR516" i="1"/>
  <c r="AR517" i="1"/>
  <c r="AR518" i="1"/>
  <c r="AR519" i="1"/>
  <c r="AR520" i="1"/>
  <c r="AR522" i="1"/>
  <c r="AR588" i="1"/>
  <c r="AR589" i="1"/>
  <c r="AR621" i="1"/>
  <c r="AR625" i="1"/>
  <c r="AR626" i="1"/>
  <c r="AR633" i="1"/>
  <c r="AR634" i="1"/>
  <c r="AR677" i="1"/>
  <c r="AR680" i="1"/>
  <c r="AR696" i="1"/>
  <c r="AR703" i="1"/>
  <c r="AR735" i="1"/>
  <c r="AR737" i="1"/>
  <c r="AR763" i="1" s="1"/>
  <c r="AR815" i="1"/>
  <c r="AR818" i="1"/>
  <c r="AR821" i="1"/>
  <c r="AR824" i="1"/>
  <c r="AR827" i="1"/>
  <c r="AR839" i="1"/>
  <c r="AR238" i="1" l="1"/>
  <c r="M8" i="24"/>
  <c r="N9" i="24" s="1"/>
  <c r="AR762" i="1"/>
  <c r="M56" i="24"/>
  <c r="AR253" i="1"/>
  <c r="AR248" i="1"/>
  <c r="AS216" i="1"/>
  <c r="AR415" i="1"/>
  <c r="AR427" i="1" s="1"/>
  <c r="AR462" i="1" s="1"/>
  <c r="AR491" i="1" s="1"/>
  <c r="AS228" i="1"/>
  <c r="AS54" i="1"/>
  <c r="AS218" i="1"/>
  <c r="AR584" i="1"/>
  <c r="AR102" i="1"/>
  <c r="AR472" i="1"/>
  <c r="AR635" i="1"/>
  <c r="AR738" i="1" s="1"/>
  <c r="AR764" i="1" s="1"/>
  <c r="AR56" i="1"/>
  <c r="AR456" i="1"/>
  <c r="AR485" i="1" s="1"/>
  <c r="AR486" i="1"/>
  <c r="AR202" i="1"/>
  <c r="AR186" i="1"/>
  <c r="AR55" i="1" s="1"/>
  <c r="AR814" i="1"/>
  <c r="AR536" i="1"/>
  <c r="AR623" i="1" s="1"/>
  <c r="AR443" i="1"/>
  <c r="AR455" i="1"/>
  <c r="AR484" i="1" s="1"/>
  <c r="AR327" i="1"/>
  <c r="AR192" i="1"/>
  <c r="AR58" i="1" s="1"/>
  <c r="AR434" i="1"/>
  <c r="AR209" i="1"/>
  <c r="AS64" i="1" s="1"/>
  <c r="AR203" i="1"/>
  <c r="AR159" i="1"/>
  <c r="AR145" i="1"/>
  <c r="AR178" i="1"/>
  <c r="M59" i="24" s="1"/>
  <c r="N60" i="24" s="1"/>
  <c r="AT98" i="1" l="1"/>
  <c r="M28" i="24"/>
  <c r="N30" i="24" s="1"/>
  <c r="AR471" i="1"/>
  <c r="M35" i="24"/>
  <c r="M36" i="24" s="1"/>
  <c r="AS217" i="1"/>
  <c r="AS53" i="1"/>
  <c r="AR465" i="1"/>
  <c r="AR711" i="1" s="1"/>
  <c r="AR208" i="1"/>
  <c r="AR152" i="1" s="1"/>
  <c r="AR204" i="1"/>
  <c r="AR177" i="1"/>
  <c r="AR114" i="1" s="1"/>
  <c r="AR181" i="1"/>
  <c r="AR667" i="1"/>
  <c r="AR441" i="1"/>
  <c r="M26" i="24" s="1"/>
  <c r="N29" i="24" s="1"/>
  <c r="AR430" i="1"/>
  <c r="AR612" i="1"/>
  <c r="AQ414" i="1"/>
  <c r="AP414" i="1"/>
  <c r="AR670" i="1" l="1"/>
  <c r="M61" i="24"/>
  <c r="AR440" i="1"/>
  <c r="AS96" i="1" s="1"/>
  <c r="AR795" i="1"/>
  <c r="AR146" i="1"/>
  <c r="AR154" i="1"/>
  <c r="AR819" i="1"/>
  <c r="AR812" i="1"/>
  <c r="AR816" i="1"/>
  <c r="AR825" i="1"/>
  <c r="AR822" i="1"/>
  <c r="AR813" i="1"/>
  <c r="AR823" i="1"/>
  <c r="AR147" i="1"/>
  <c r="AR820" i="1"/>
  <c r="AR817" i="1"/>
  <c r="AR116" i="1"/>
  <c r="AR826" i="1"/>
  <c r="AQ610" i="1" l="1"/>
  <c r="CV254" i="1" l="1"/>
  <c r="CV249" i="1"/>
  <c r="AP103" i="1"/>
  <c r="AO661" i="1"/>
  <c r="AP509" i="1"/>
  <c r="AQ467" i="1"/>
  <c r="AQ244" i="1"/>
  <c r="AR242" i="1" l="1"/>
  <c r="AS242" i="1"/>
  <c r="AQ243" i="1"/>
  <c r="CV242" i="1"/>
  <c r="AO158" i="1"/>
  <c r="AP158" i="1"/>
  <c r="AO161" i="1"/>
  <c r="AP161" i="1"/>
  <c r="AQ161" i="1"/>
  <c r="AR215" i="1" s="1"/>
  <c r="AR232" i="1" s="1"/>
  <c r="AR233" i="1" s="1"/>
  <c r="AQ713" i="1" l="1"/>
  <c r="AQ665" i="1"/>
  <c r="AQ677" i="1" s="1"/>
  <c r="AQ663" i="1"/>
  <c r="AP661" i="1"/>
  <c r="AQ661" i="1"/>
  <c r="AQ611" i="1"/>
  <c r="AQ603" i="1"/>
  <c r="AQ583" i="1"/>
  <c r="AP571" i="1"/>
  <c r="AQ571" i="1"/>
  <c r="AR627" i="1" s="1"/>
  <c r="AQ546" i="1"/>
  <c r="AQ524" i="1"/>
  <c r="AQ509" i="1"/>
  <c r="AQ507" i="1" s="1"/>
  <c r="AQ470" i="1"/>
  <c r="AQ416" i="1"/>
  <c r="AQ415" i="1" s="1"/>
  <c r="AQ254" i="1"/>
  <c r="AQ249" i="1"/>
  <c r="AQ210" i="1"/>
  <c r="AQ197" i="1"/>
  <c r="CV197" i="1" s="1"/>
  <c r="AQ196" i="1"/>
  <c r="CV196" i="1" s="1"/>
  <c r="AQ191" i="1"/>
  <c r="CV191" i="1" s="1"/>
  <c r="AQ190" i="1"/>
  <c r="CV190" i="1" s="1"/>
  <c r="AP184" i="1"/>
  <c r="AQ185" i="1"/>
  <c r="CV185" i="1" s="1"/>
  <c r="AQ184" i="1"/>
  <c r="CV184" i="1" s="1"/>
  <c r="AQ160" i="1"/>
  <c r="AQ158" i="1"/>
  <c r="AR216" i="1" s="1"/>
  <c r="AQ125" i="1"/>
  <c r="AQ814" i="1" s="1"/>
  <c r="AQ103" i="1"/>
  <c r="AQ434" i="1" s="1"/>
  <c r="AQ52" i="1"/>
  <c r="AQ101" i="1"/>
  <c r="AQ115" i="1"/>
  <c r="AQ122" i="1"/>
  <c r="AQ141" i="1"/>
  <c r="AQ165" i="1"/>
  <c r="AR223" i="1" s="1"/>
  <c r="AQ171" i="1"/>
  <c r="AQ176" i="1"/>
  <c r="AQ145" i="1" s="1"/>
  <c r="AQ205" i="1"/>
  <c r="AQ212" i="1"/>
  <c r="AQ215" i="1"/>
  <c r="AQ222" i="1"/>
  <c r="AQ227" i="1"/>
  <c r="AQ234" i="1"/>
  <c r="AQ237" i="1" s="1"/>
  <c r="L68" i="24" s="1"/>
  <c r="AQ262" i="1"/>
  <c r="AQ266" i="1"/>
  <c r="AQ381" i="1"/>
  <c r="AQ388" i="1"/>
  <c r="AQ409" i="1"/>
  <c r="AQ421" i="1" s="1"/>
  <c r="AQ420" i="1"/>
  <c r="AQ422" i="1"/>
  <c r="AQ457" i="1" s="1"/>
  <c r="AQ423" i="1"/>
  <c r="AQ458" i="1" s="1"/>
  <c r="AQ487" i="1" s="1"/>
  <c r="AQ425" i="1"/>
  <c r="AQ460" i="1" s="1"/>
  <c r="AQ489" i="1" s="1"/>
  <c r="AQ444" i="1"/>
  <c r="AQ445" i="1"/>
  <c r="AQ450" i="1"/>
  <c r="AQ473" i="1"/>
  <c r="AQ474" i="1"/>
  <c r="AQ475" i="1"/>
  <c r="AQ479" i="1"/>
  <c r="AQ501" i="1"/>
  <c r="AQ503" i="1"/>
  <c r="AQ504" i="1"/>
  <c r="AQ516" i="1"/>
  <c r="AQ517" i="1"/>
  <c r="AQ518" i="1"/>
  <c r="AQ519" i="1"/>
  <c r="AQ520" i="1"/>
  <c r="AQ522" i="1"/>
  <c r="AQ536" i="1" s="1"/>
  <c r="AQ588" i="1"/>
  <c r="AQ589" i="1"/>
  <c r="AQ621" i="1"/>
  <c r="AQ625" i="1"/>
  <c r="AQ626" i="1"/>
  <c r="AQ633" i="1"/>
  <c r="AQ634" i="1"/>
  <c r="AQ680" i="1"/>
  <c r="AQ696" i="1"/>
  <c r="AQ703" i="1"/>
  <c r="AQ735" i="1"/>
  <c r="AQ737" i="1"/>
  <c r="AQ763" i="1" s="1"/>
  <c r="AQ815" i="1"/>
  <c r="AQ818" i="1"/>
  <c r="AQ821" i="1"/>
  <c r="AQ824" i="1"/>
  <c r="AQ827" i="1"/>
  <c r="AQ839" i="1"/>
  <c r="L8" i="24" l="1"/>
  <c r="AQ762" i="1"/>
  <c r="L56" i="24"/>
  <c r="AQ238" i="1"/>
  <c r="AQ612" i="1"/>
  <c r="AQ820" i="1" s="1"/>
  <c r="AQ627" i="1"/>
  <c r="AR228" i="1"/>
  <c r="AR60" i="1"/>
  <c r="AR702" i="1"/>
  <c r="AR698" i="1"/>
  <c r="AR218" i="1"/>
  <c r="AR54" i="1"/>
  <c r="AQ198" i="1"/>
  <c r="AQ61" i="1" s="1"/>
  <c r="AQ472" i="1"/>
  <c r="CV248" i="1"/>
  <c r="AQ427" i="1"/>
  <c r="AQ462" i="1" s="1"/>
  <c r="AQ491" i="1" s="1"/>
  <c r="AQ826" i="1"/>
  <c r="AQ635" i="1"/>
  <c r="AQ738" i="1" s="1"/>
  <c r="AQ623" i="1"/>
  <c r="AQ456" i="1"/>
  <c r="AQ485" i="1" s="1"/>
  <c r="AQ486" i="1"/>
  <c r="AQ232" i="1"/>
  <c r="AQ233" i="1" s="1"/>
  <c r="AQ443" i="1"/>
  <c r="AQ192" i="1"/>
  <c r="AQ58" i="1" s="1"/>
  <c r="AQ584" i="1"/>
  <c r="AQ455" i="1"/>
  <c r="AQ484" i="1" s="1"/>
  <c r="AQ327" i="1"/>
  <c r="AQ209" i="1"/>
  <c r="AQ203" i="1"/>
  <c r="AQ159" i="1"/>
  <c r="AQ102" i="1"/>
  <c r="AQ817" i="1"/>
  <c r="AQ242" i="1"/>
  <c r="AQ202" i="1"/>
  <c r="AQ186" i="1"/>
  <c r="AQ55" i="1" s="1"/>
  <c r="AQ178" i="1"/>
  <c r="L59" i="24" s="1"/>
  <c r="AS98" i="1" l="1"/>
  <c r="L28" i="24"/>
  <c r="AQ823" i="1"/>
  <c r="AQ116" i="1"/>
  <c r="AQ465" i="1"/>
  <c r="AQ711" i="1" s="1"/>
  <c r="L35" i="24"/>
  <c r="L36" i="24" s="1"/>
  <c r="AT247" i="1"/>
  <c r="AQ471" i="1"/>
  <c r="AR247" i="1"/>
  <c r="AQ208" i="1"/>
  <c r="AQ152" i="1" s="1"/>
  <c r="AR64" i="1"/>
  <c r="AR217" i="1"/>
  <c r="AR53" i="1"/>
  <c r="AQ248" i="1"/>
  <c r="CV253" i="1"/>
  <c r="AQ204" i="1"/>
  <c r="AQ177" i="1"/>
  <c r="AQ181" i="1"/>
  <c r="AQ667" i="1"/>
  <c r="AQ441" i="1"/>
  <c r="L26" i="24" s="1"/>
  <c r="AQ430" i="1"/>
  <c r="AQ764" i="1"/>
  <c r="AQ670" i="1" l="1"/>
  <c r="L61" i="24"/>
  <c r="AQ440" i="1"/>
  <c r="AR96" i="1" s="1"/>
  <c r="AT252" i="1"/>
  <c r="AT257" i="1" s="1"/>
  <c r="AU252" i="1"/>
  <c r="AU247" i="1"/>
  <c r="AT258" i="1"/>
  <c r="AS247" i="1"/>
  <c r="AR252" i="1"/>
  <c r="AR257" i="1" s="1"/>
  <c r="AS252" i="1"/>
  <c r="AQ253" i="1"/>
  <c r="AQ795" i="1"/>
  <c r="AQ154" i="1"/>
  <c r="AQ825" i="1"/>
  <c r="AQ819" i="1"/>
  <c r="AQ816" i="1"/>
  <c r="AQ812" i="1"/>
  <c r="AQ822" i="1"/>
  <c r="AQ147" i="1"/>
  <c r="AQ813" i="1"/>
  <c r="AQ114" i="1"/>
  <c r="AQ146" i="1"/>
  <c r="AU257" i="1" l="1"/>
  <c r="AU258" i="1"/>
  <c r="AT259" i="1"/>
  <c r="AR258" i="1"/>
  <c r="AR259" i="1" s="1"/>
  <c r="AS258" i="1"/>
  <c r="AS257" i="1"/>
  <c r="DF104" i="1"/>
  <c r="DF105" i="1"/>
  <c r="DF149" i="1"/>
  <c r="DF208" i="1"/>
  <c r="DF382" i="1"/>
  <c r="DF420" i="1" s="1"/>
  <c r="DF383" i="1"/>
  <c r="DF384" i="1"/>
  <c r="DF385" i="1"/>
  <c r="DF386" i="1"/>
  <c r="DF388" i="1"/>
  <c r="DF407" i="1"/>
  <c r="BB16" i="24" s="1"/>
  <c r="DF410" i="1"/>
  <c r="DF411" i="1"/>
  <c r="DF413" i="1"/>
  <c r="DF415" i="1"/>
  <c r="DF435" i="1"/>
  <c r="DF442" i="1"/>
  <c r="BB27" i="24" s="1"/>
  <c r="DF446" i="1"/>
  <c r="DF447" i="1"/>
  <c r="DF448" i="1"/>
  <c r="DF450" i="1"/>
  <c r="DF476" i="1"/>
  <c r="DF477" i="1"/>
  <c r="DF479" i="1"/>
  <c r="DF492" i="1"/>
  <c r="DF505" i="1"/>
  <c r="DF508" i="1"/>
  <c r="DF523" i="1"/>
  <c r="DF524" i="1"/>
  <c r="DF527" i="1"/>
  <c r="DF528" i="1"/>
  <c r="DF553" i="1"/>
  <c r="DF554" i="1"/>
  <c r="DF602" i="1"/>
  <c r="DF736" i="1"/>
  <c r="BK265" i="1"/>
  <c r="BK409" i="1"/>
  <c r="BK421" i="1" s="1"/>
  <c r="BK420" i="1"/>
  <c r="BK422" i="1"/>
  <c r="BK457" i="1" s="1"/>
  <c r="BK423" i="1"/>
  <c r="BK458" i="1" s="1"/>
  <c r="BK487" i="1" s="1"/>
  <c r="BK425" i="1"/>
  <c r="BK460" i="1" s="1"/>
  <c r="BK489" i="1" s="1"/>
  <c r="BK427" i="1"/>
  <c r="BK462" i="1" s="1"/>
  <c r="BK491" i="1" s="1"/>
  <c r="BK507" i="1" s="1"/>
  <c r="BK444" i="1"/>
  <c r="BK445" i="1"/>
  <c r="BK473" i="1"/>
  <c r="BK474" i="1"/>
  <c r="BK475" i="1"/>
  <c r="BK501" i="1"/>
  <c r="BK503" i="1"/>
  <c r="BK504" i="1"/>
  <c r="BK516" i="1"/>
  <c r="BK517" i="1"/>
  <c r="BK518" i="1"/>
  <c r="BK519" i="1"/>
  <c r="BK520" i="1"/>
  <c r="BK622" i="1"/>
  <c r="BJ265" i="1"/>
  <c r="BJ409" i="1"/>
  <c r="BJ420" i="1"/>
  <c r="BJ422" i="1"/>
  <c r="BJ457" i="1" s="1"/>
  <c r="BJ423" i="1"/>
  <c r="BJ458" i="1" s="1"/>
  <c r="BJ487" i="1" s="1"/>
  <c r="BJ425" i="1"/>
  <c r="BJ460" i="1" s="1"/>
  <c r="BJ489" i="1" s="1"/>
  <c r="BJ427" i="1"/>
  <c r="BJ462" i="1" s="1"/>
  <c r="BJ491" i="1" s="1"/>
  <c r="BJ507" i="1" s="1"/>
  <c r="BJ444" i="1"/>
  <c r="BJ445" i="1"/>
  <c r="BJ473" i="1"/>
  <c r="BJ474" i="1"/>
  <c r="BJ475" i="1"/>
  <c r="BJ501" i="1"/>
  <c r="BJ503" i="1"/>
  <c r="BJ504" i="1"/>
  <c r="BJ516" i="1"/>
  <c r="BJ517" i="1"/>
  <c r="BJ518" i="1"/>
  <c r="BJ519" i="1"/>
  <c r="BJ520" i="1"/>
  <c r="BJ622" i="1"/>
  <c r="AU259" i="1" l="1"/>
  <c r="AT260" i="1"/>
  <c r="AT261" i="1" s="1"/>
  <c r="DF516" i="1"/>
  <c r="DF475" i="1"/>
  <c r="DF520" i="1"/>
  <c r="DF519" i="1"/>
  <c r="DF504" i="1"/>
  <c r="AS259" i="1"/>
  <c r="DF503" i="1"/>
  <c r="AR260" i="1"/>
  <c r="AR261" i="1" s="1"/>
  <c r="DF423" i="1"/>
  <c r="DF458" i="1" s="1"/>
  <c r="DF487" i="1" s="1"/>
  <c r="DF444" i="1"/>
  <c r="DF455" i="1" s="1"/>
  <c r="DF507" i="1"/>
  <c r="BK455" i="1"/>
  <c r="BK484" i="1" s="1"/>
  <c r="DF427" i="1"/>
  <c r="DF462" i="1" s="1"/>
  <c r="DF491" i="1" s="1"/>
  <c r="BK456" i="1"/>
  <c r="BK485" i="1" s="1"/>
  <c r="BJ486" i="1"/>
  <c r="DF474" i="1"/>
  <c r="DF622" i="1"/>
  <c r="DF517" i="1"/>
  <c r="BJ455" i="1"/>
  <c r="BJ484" i="1" s="1"/>
  <c r="DF422" i="1"/>
  <c r="DF457" i="1" s="1"/>
  <c r="DF409" i="1"/>
  <c r="DF421" i="1" s="1"/>
  <c r="DF518" i="1"/>
  <c r="DF473" i="1"/>
  <c r="DF445" i="1"/>
  <c r="DF501" i="1"/>
  <c r="BJ421" i="1"/>
  <c r="BJ456" i="1" s="1"/>
  <c r="BJ485" i="1" s="1"/>
  <c r="BK486" i="1"/>
  <c r="DF425" i="1"/>
  <c r="DF460" i="1" s="1"/>
  <c r="DF489" i="1" s="1"/>
  <c r="AP196" i="1"/>
  <c r="AO196" i="1"/>
  <c r="AM196" i="1"/>
  <c r="AN196" i="1"/>
  <c r="AK196" i="1"/>
  <c r="AL196" i="1"/>
  <c r="AJ196" i="1"/>
  <c r="AI196" i="1"/>
  <c r="DF486" i="1" l="1"/>
  <c r="AS260" i="1"/>
  <c r="AS699" i="1" s="1"/>
  <c r="AU260" i="1"/>
  <c r="AU699" i="1" s="1"/>
  <c r="AT699" i="1"/>
  <c r="AS261" i="1"/>
  <c r="AR699" i="1"/>
  <c r="DF456" i="1"/>
  <c r="DF485" i="1" s="1"/>
  <c r="DF484" i="1"/>
  <c r="AU261" i="1" l="1"/>
  <c r="AO509" i="1"/>
  <c r="AN509" i="1"/>
  <c r="AN523" i="1"/>
  <c r="AO523" i="1" s="1"/>
  <c r="AN449" i="1"/>
  <c r="AN506" i="1"/>
  <c r="AO506" i="1" s="1"/>
  <c r="AN497" i="1"/>
  <c r="AN432" i="1"/>
  <c r="AO497" i="1" l="1"/>
  <c r="J40" i="24" s="1"/>
  <c r="I40" i="24"/>
  <c r="AO449" i="1"/>
  <c r="AO432" i="1"/>
  <c r="J22" i="24" s="1"/>
  <c r="I22" i="24"/>
  <c r="AP610" i="1"/>
  <c r="AY139" i="1" l="1"/>
  <c r="AP713" i="1"/>
  <c r="AP704" i="1"/>
  <c r="AP665" i="1"/>
  <c r="AP663" i="1"/>
  <c r="AP611" i="1"/>
  <c r="AP601" i="1"/>
  <c r="AP583" i="1"/>
  <c r="AP546" i="1"/>
  <c r="AP524" i="1"/>
  <c r="AQ468" i="1"/>
  <c r="AP416" i="1"/>
  <c r="AP254" i="1"/>
  <c r="AP249" i="1"/>
  <c r="AP244" i="1"/>
  <c r="AP243" i="1" s="1"/>
  <c r="AP210" i="1"/>
  <c r="AP197" i="1"/>
  <c r="AP191" i="1"/>
  <c r="AP190" i="1"/>
  <c r="AP185" i="1"/>
  <c r="AP160" i="1"/>
  <c r="AQ216" i="1"/>
  <c r="AP125" i="1"/>
  <c r="BA139" i="1" l="1"/>
  <c r="BB139" i="1" s="1"/>
  <c r="BC139" i="1" s="1"/>
  <c r="BD139" i="1" s="1"/>
  <c r="BE139" i="1" s="1"/>
  <c r="BF139" i="1" s="1"/>
  <c r="BG139" i="1" s="1"/>
  <c r="BH139" i="1" s="1"/>
  <c r="BI139" i="1" s="1"/>
  <c r="BJ139" i="1" s="1"/>
  <c r="BK139" i="1" s="1"/>
  <c r="BL139" i="1" s="1"/>
  <c r="AP248" i="1"/>
  <c r="AP253" i="1"/>
  <c r="AQ469" i="1"/>
  <c r="AR469" i="1"/>
  <c r="AQ698" i="1"/>
  <c r="AQ702" i="1"/>
  <c r="AQ218" i="1"/>
  <c r="AQ54" i="1"/>
  <c r="AP52" i="1"/>
  <c r="AP101" i="1"/>
  <c r="AP434" i="1"/>
  <c r="AP115" i="1"/>
  <c r="AP122" i="1"/>
  <c r="AP141" i="1"/>
  <c r="AP159" i="1"/>
  <c r="AP165" i="1"/>
  <c r="AQ223" i="1" s="1"/>
  <c r="AP171" i="1"/>
  <c r="AP176" i="1"/>
  <c r="AP178" i="1"/>
  <c r="K59" i="24" s="1"/>
  <c r="AP192" i="1"/>
  <c r="AP58" i="1" s="1"/>
  <c r="AP198" i="1"/>
  <c r="AP61" i="1" s="1"/>
  <c r="AP205" i="1"/>
  <c r="AP212" i="1"/>
  <c r="AP222" i="1"/>
  <c r="AP227" i="1"/>
  <c r="AP234" i="1"/>
  <c r="AP262" i="1"/>
  <c r="AP266" i="1"/>
  <c r="AP381" i="1"/>
  <c r="AP388" i="1"/>
  <c r="AP409" i="1"/>
  <c r="AP415" i="1"/>
  <c r="AP420" i="1"/>
  <c r="AP422" i="1"/>
  <c r="AP457" i="1" s="1"/>
  <c r="AP423" i="1"/>
  <c r="AP458" i="1" s="1"/>
  <c r="AP487" i="1" s="1"/>
  <c r="AP425" i="1"/>
  <c r="AP460" i="1" s="1"/>
  <c r="AP489" i="1" s="1"/>
  <c r="AP444" i="1"/>
  <c r="AP445" i="1"/>
  <c r="AP450" i="1"/>
  <c r="AP473" i="1"/>
  <c r="AP474" i="1"/>
  <c r="AP475" i="1"/>
  <c r="AP479" i="1"/>
  <c r="AP501" i="1"/>
  <c r="AP503" i="1"/>
  <c r="AP504" i="1"/>
  <c r="AP516" i="1"/>
  <c r="AP517" i="1"/>
  <c r="AP518" i="1"/>
  <c r="AP519" i="1"/>
  <c r="AP520" i="1"/>
  <c r="AP522" i="1"/>
  <c r="AP536" i="1" s="1"/>
  <c r="AP623" i="1" s="1"/>
  <c r="AP588" i="1"/>
  <c r="AP589" i="1"/>
  <c r="AP603" i="1"/>
  <c r="AP621" i="1"/>
  <c r="AP625" i="1"/>
  <c r="AP626" i="1"/>
  <c r="AP633" i="1"/>
  <c r="AP634" i="1"/>
  <c r="AP680" i="1"/>
  <c r="AP696" i="1"/>
  <c r="AP703" i="1"/>
  <c r="AP735" i="1"/>
  <c r="AP815" i="1"/>
  <c r="AP818" i="1"/>
  <c r="AP821" i="1"/>
  <c r="AP824" i="1"/>
  <c r="AP827" i="1"/>
  <c r="AP839" i="1"/>
  <c r="AP762" i="1" l="1"/>
  <c r="K56" i="24"/>
  <c r="AP327" i="1"/>
  <c r="K8" i="24"/>
  <c r="BM139" i="1"/>
  <c r="AP455" i="1"/>
  <c r="AP484" i="1" s="1"/>
  <c r="AQ217" i="1"/>
  <c r="AQ53" i="1"/>
  <c r="AQ228" i="1"/>
  <c r="AP486" i="1"/>
  <c r="AP472" i="1"/>
  <c r="AP427" i="1"/>
  <c r="AP462" i="1" s="1"/>
  <c r="AP491" i="1" s="1"/>
  <c r="AP177" i="1"/>
  <c r="AP443" i="1"/>
  <c r="AP667" i="1"/>
  <c r="AP145" i="1"/>
  <c r="AP203" i="1"/>
  <c r="AP181" i="1"/>
  <c r="AP822" i="1" s="1"/>
  <c r="AP814" i="1"/>
  <c r="AP677" i="1"/>
  <c r="AP635" i="1"/>
  <c r="AP584" i="1"/>
  <c r="AP102" i="1"/>
  <c r="AP209" i="1"/>
  <c r="AQ64" i="1" s="1"/>
  <c r="AP202" i="1"/>
  <c r="AP507" i="1"/>
  <c r="AP421" i="1"/>
  <c r="AP456" i="1" s="1"/>
  <c r="AP485" i="1" s="1"/>
  <c r="AP237" i="1"/>
  <c r="K68" i="24" s="1"/>
  <c r="AP186" i="1"/>
  <c r="AP55" i="1" s="1"/>
  <c r="K28" i="24" l="1"/>
  <c r="AP471" i="1"/>
  <c r="K35" i="24"/>
  <c r="BN139" i="1"/>
  <c r="AP430" i="1"/>
  <c r="AR98" i="1"/>
  <c r="AP114" i="1"/>
  <c r="AP465" i="1"/>
  <c r="AP441" i="1"/>
  <c r="K26" i="24" s="1"/>
  <c r="AP204" i="1"/>
  <c r="AP812" i="1"/>
  <c r="AP819" i="1"/>
  <c r="AP816" i="1"/>
  <c r="AP813" i="1"/>
  <c r="AP825" i="1"/>
  <c r="AP154" i="1"/>
  <c r="AP208" i="1"/>
  <c r="AP152" i="1" s="1"/>
  <c r="AP238" i="1"/>
  <c r="AP146" i="1"/>
  <c r="AP612" i="1"/>
  <c r="AP738" i="1"/>
  <c r="AP670" i="1" l="1"/>
  <c r="K61" i="24"/>
  <c r="AP440" i="1"/>
  <c r="AQ96" i="1" s="1"/>
  <c r="K36" i="24"/>
  <c r="BO139" i="1"/>
  <c r="AP711" i="1"/>
  <c r="AP795" i="1"/>
  <c r="AP764" i="1"/>
  <c r="AP817" i="1"/>
  <c r="AP147" i="1"/>
  <c r="AP826" i="1"/>
  <c r="AP820" i="1"/>
  <c r="AP116" i="1"/>
  <c r="AP823" i="1"/>
  <c r="BP139" i="1" l="1"/>
  <c r="AO610" i="1"/>
  <c r="BQ139" i="1" l="1"/>
  <c r="CU254" i="1"/>
  <c r="CU249" i="1"/>
  <c r="CU244" i="1"/>
  <c r="AO414" i="1" l="1"/>
  <c r="AO524" i="1"/>
  <c r="AO467" i="1" l="1"/>
  <c r="AO416" i="1"/>
  <c r="AO663" i="1"/>
  <c r="CU543" i="1"/>
  <c r="CU652" i="1" s="1"/>
  <c r="CU266" i="1"/>
  <c r="CU262" i="1"/>
  <c r="CU259" i="1"/>
  <c r="CU242" i="1"/>
  <c r="CU234" i="1"/>
  <c r="CU17" i="1"/>
  <c r="AO713" i="1"/>
  <c r="AO704" i="1"/>
  <c r="AO839" i="1"/>
  <c r="AO827" i="1"/>
  <c r="AO824" i="1"/>
  <c r="AO821" i="1"/>
  <c r="AO818" i="1"/>
  <c r="AO815" i="1"/>
  <c r="AO737" i="1"/>
  <c r="AO763" i="1" s="1"/>
  <c r="AO735" i="1"/>
  <c r="AO703" i="1"/>
  <c r="AO696" i="1"/>
  <c r="AO665" i="1"/>
  <c r="AO677" i="1" s="1"/>
  <c r="AO680" i="1"/>
  <c r="AO634" i="1"/>
  <c r="AO633" i="1"/>
  <c r="AO626" i="1"/>
  <c r="AO625" i="1"/>
  <c r="AO621" i="1"/>
  <c r="AO601" i="1"/>
  <c r="AO603" i="1" s="1"/>
  <c r="AO583" i="1"/>
  <c r="AO589" i="1"/>
  <c r="AO588" i="1"/>
  <c r="AO571" i="1"/>
  <c r="AP627" i="1" s="1"/>
  <c r="AO546" i="1"/>
  <c r="AN546" i="1"/>
  <c r="AO522" i="1"/>
  <c r="AO520" i="1"/>
  <c r="AO519" i="1"/>
  <c r="AO518" i="1"/>
  <c r="AO517" i="1"/>
  <c r="AO516" i="1"/>
  <c r="AO504" i="1"/>
  <c r="AO503" i="1"/>
  <c r="AO501" i="1"/>
  <c r="AO470" i="1"/>
  <c r="AO479" i="1"/>
  <c r="AO475" i="1"/>
  <c r="AO474" i="1"/>
  <c r="AO473" i="1"/>
  <c r="AO450" i="1"/>
  <c r="AO445" i="1"/>
  <c r="AO444" i="1"/>
  <c r="AO425" i="1"/>
  <c r="AO460" i="1" s="1"/>
  <c r="AO489" i="1" s="1"/>
  <c r="AO423" i="1"/>
  <c r="AO458" i="1" s="1"/>
  <c r="AO487" i="1" s="1"/>
  <c r="AO422" i="1"/>
  <c r="AO457" i="1" s="1"/>
  <c r="AO420" i="1"/>
  <c r="AO409" i="1"/>
  <c r="AO421" i="1" s="1"/>
  <c r="AO388" i="1"/>
  <c r="AO381" i="1"/>
  <c r="AO318" i="1"/>
  <c r="AO125" i="1"/>
  <c r="AO814" i="1" s="1"/>
  <c r="AO254" i="1"/>
  <c r="AO249" i="1"/>
  <c r="AO266" i="1"/>
  <c r="AO262" i="1"/>
  <c r="AO244" i="1"/>
  <c r="AO243" i="1" s="1"/>
  <c r="AO234" i="1"/>
  <c r="AO237" i="1" s="1"/>
  <c r="J68" i="24" s="1"/>
  <c r="AO227" i="1"/>
  <c r="AO222" i="1"/>
  <c r="AO212" i="1"/>
  <c r="AO197" i="1"/>
  <c r="CU197" i="1" s="1"/>
  <c r="CU196" i="1"/>
  <c r="AO191" i="1"/>
  <c r="CU191" i="1" s="1"/>
  <c r="AO190" i="1"/>
  <c r="CU190" i="1" s="1"/>
  <c r="AO185" i="1"/>
  <c r="CU185" i="1" s="1"/>
  <c r="AO184" i="1"/>
  <c r="CU184" i="1" s="1"/>
  <c r="AO205" i="1"/>
  <c r="AP215" i="1"/>
  <c r="AP232" i="1" s="1"/>
  <c r="AP233" i="1" s="1"/>
  <c r="AO160" i="1"/>
  <c r="AO176" i="1"/>
  <c r="AO171" i="1"/>
  <c r="AO165" i="1"/>
  <c r="AP223" i="1" s="1"/>
  <c r="AO122" i="1"/>
  <c r="AO103" i="1"/>
  <c r="AO101" i="1"/>
  <c r="J8" i="24" l="1"/>
  <c r="AO238" i="1"/>
  <c r="J56" i="24"/>
  <c r="CU260" i="1"/>
  <c r="BK735" i="1"/>
  <c r="AP469" i="1"/>
  <c r="AP698" i="1"/>
  <c r="AP702" i="1"/>
  <c r="AP218" i="1"/>
  <c r="AP54" i="1"/>
  <c r="AP228" i="1"/>
  <c r="AO468" i="1"/>
  <c r="AO469" i="1" s="1"/>
  <c r="AO443" i="1"/>
  <c r="AO456" i="1"/>
  <c r="AO485" i="1" s="1"/>
  <c r="CU546" i="1"/>
  <c r="AO186" i="1"/>
  <c r="AO486" i="1"/>
  <c r="AO455" i="1"/>
  <c r="AO484" i="1" s="1"/>
  <c r="AO536" i="1"/>
  <c r="AO623" i="1" s="1"/>
  <c r="AO584" i="1"/>
  <c r="AO611" i="1"/>
  <c r="AO612" i="1" s="1"/>
  <c r="AO102" i="1"/>
  <c r="AO198" i="1"/>
  <c r="CU248" i="1"/>
  <c r="AO635" i="1"/>
  <c r="AO738" i="1" s="1"/>
  <c r="AO764" i="1" s="1"/>
  <c r="AO434" i="1"/>
  <c r="AO472" i="1"/>
  <c r="CU261" i="1"/>
  <c r="CU237" i="1"/>
  <c r="AQ68" i="24" s="1"/>
  <c r="AO762" i="1"/>
  <c r="AO507" i="1"/>
  <c r="AO415" i="1"/>
  <c r="AO427" i="1" s="1"/>
  <c r="AO203" i="1"/>
  <c r="AO192" i="1"/>
  <c r="AO202" i="1"/>
  <c r="AO178" i="1"/>
  <c r="AN125" i="1"/>
  <c r="J28" i="24" l="1"/>
  <c r="AO667" i="1"/>
  <c r="J59" i="24"/>
  <c r="CU238" i="1"/>
  <c r="AF56" i="24"/>
  <c r="AO471" i="1"/>
  <c r="J35" i="24"/>
  <c r="CU253" i="1"/>
  <c r="CU252" i="1" s="1"/>
  <c r="AO248" i="1"/>
  <c r="AO430" i="1"/>
  <c r="AQ98" i="1"/>
  <c r="AO441" i="1"/>
  <c r="J26" i="24" s="1"/>
  <c r="CU247" i="1"/>
  <c r="AO823" i="1"/>
  <c r="AO820" i="1"/>
  <c r="AO826" i="1"/>
  <c r="AO817" i="1"/>
  <c r="AO465" i="1"/>
  <c r="AO462" i="1"/>
  <c r="AO204" i="1"/>
  <c r="J61" i="24" s="1"/>
  <c r="AO177" i="1"/>
  <c r="J36" i="24" l="1"/>
  <c r="AO440" i="1"/>
  <c r="AP96" i="1" s="1"/>
  <c r="CU258" i="1"/>
  <c r="AO253" i="1"/>
  <c r="AO711" i="1"/>
  <c r="CU257" i="1"/>
  <c r="AO795" i="1"/>
  <c r="AO670" i="1"/>
  <c r="AO491" i="1"/>
  <c r="DE736" i="1"/>
  <c r="DE602" i="1"/>
  <c r="DE554" i="1"/>
  <c r="DE553" i="1"/>
  <c r="DE528" i="1"/>
  <c r="DE527" i="1"/>
  <c r="DE524" i="1"/>
  <c r="DE508" i="1"/>
  <c r="DE505" i="1"/>
  <c r="DE492" i="1"/>
  <c r="DE479" i="1"/>
  <c r="DE477" i="1"/>
  <c r="DE476" i="1"/>
  <c r="DE450" i="1"/>
  <c r="DE448" i="1"/>
  <c r="DE447" i="1"/>
  <c r="DE446" i="1"/>
  <c r="DE435" i="1"/>
  <c r="DE415" i="1"/>
  <c r="DE413" i="1"/>
  <c r="DE411" i="1"/>
  <c r="DE410" i="1"/>
  <c r="DE407" i="1"/>
  <c r="BA16" i="24" s="1"/>
  <c r="DE388" i="1"/>
  <c r="DE386" i="1"/>
  <c r="DE385" i="1"/>
  <c r="DE384" i="1"/>
  <c r="DE383" i="1"/>
  <c r="DE382" i="1"/>
  <c r="DE420" i="1" s="1"/>
  <c r="DE208" i="1"/>
  <c r="DE149" i="1"/>
  <c r="DE105" i="1"/>
  <c r="DE104" i="1"/>
  <c r="BI622" i="1"/>
  <c r="BH622" i="1"/>
  <c r="BI520" i="1"/>
  <c r="BH520" i="1"/>
  <c r="BI519" i="1"/>
  <c r="BH519" i="1"/>
  <c r="BI518" i="1"/>
  <c r="BH518" i="1"/>
  <c r="BI517" i="1"/>
  <c r="BH517" i="1"/>
  <c r="BI516" i="1"/>
  <c r="BH516" i="1"/>
  <c r="BI504" i="1"/>
  <c r="BH504" i="1"/>
  <c r="BI503" i="1"/>
  <c r="BH503" i="1"/>
  <c r="BI501" i="1"/>
  <c r="BH501" i="1"/>
  <c r="BI475" i="1"/>
  <c r="BH475" i="1"/>
  <c r="BI474" i="1"/>
  <c r="BH474" i="1"/>
  <c r="BI473" i="1"/>
  <c r="BH473" i="1"/>
  <c r="BI427" i="1"/>
  <c r="BI462" i="1" s="1"/>
  <c r="BI491" i="1" s="1"/>
  <c r="BH427" i="1"/>
  <c r="BH462" i="1" s="1"/>
  <c r="BH491" i="1" s="1"/>
  <c r="BI425" i="1"/>
  <c r="BI460" i="1" s="1"/>
  <c r="BI489" i="1" s="1"/>
  <c r="BH425" i="1"/>
  <c r="BH460" i="1" s="1"/>
  <c r="BH489" i="1" s="1"/>
  <c r="BI423" i="1"/>
  <c r="BI458" i="1" s="1"/>
  <c r="BI487" i="1" s="1"/>
  <c r="BH423" i="1"/>
  <c r="BH458" i="1" s="1"/>
  <c r="BH487" i="1" s="1"/>
  <c r="BI422" i="1"/>
  <c r="BI457" i="1" s="1"/>
  <c r="BH422" i="1"/>
  <c r="BH457" i="1" s="1"/>
  <c r="BI420" i="1"/>
  <c r="BH420" i="1"/>
  <c r="BI409" i="1"/>
  <c r="BH409" i="1"/>
  <c r="BH421" i="1" s="1"/>
  <c r="BI265" i="1"/>
  <c r="BH265" i="1"/>
  <c r="BI486" i="1" l="1"/>
  <c r="BH486" i="1"/>
  <c r="BI421" i="1"/>
  <c r="BI456" i="1" s="1"/>
  <c r="BI485" i="1" s="1"/>
  <c r="DE473" i="1"/>
  <c r="DE475" i="1"/>
  <c r="DE503" i="1"/>
  <c r="DE516" i="1"/>
  <c r="DE518" i="1"/>
  <c r="DE520" i="1"/>
  <c r="DE445" i="1"/>
  <c r="DE474" i="1"/>
  <c r="DE501" i="1"/>
  <c r="DE504" i="1"/>
  <c r="DE622" i="1"/>
  <c r="DE517" i="1"/>
  <c r="DE519" i="1"/>
  <c r="DE427" i="1"/>
  <c r="DE462" i="1" s="1"/>
  <c r="DE491" i="1" s="1"/>
  <c r="BH456" i="1"/>
  <c r="BH485" i="1" s="1"/>
  <c r="BH455" i="1"/>
  <c r="BH484" i="1" s="1"/>
  <c r="DE422" i="1"/>
  <c r="DE457" i="1" s="1"/>
  <c r="BI455" i="1"/>
  <c r="BI484" i="1" s="1"/>
  <c r="DE409" i="1"/>
  <c r="DE421" i="1" s="1"/>
  <c r="DE425" i="1"/>
  <c r="DE460" i="1" s="1"/>
  <c r="DE489" i="1" s="1"/>
  <c r="DE423" i="1"/>
  <c r="DE458" i="1" s="1"/>
  <c r="DE487" i="1" s="1"/>
  <c r="DE444" i="1"/>
  <c r="DE455" i="1" s="1"/>
  <c r="AN210" i="1"/>
  <c r="AN209" i="1" s="1"/>
  <c r="CT266" i="1"/>
  <c r="AL267" i="1"/>
  <c r="AL266" i="1" s="1"/>
  <c r="AM267" i="1"/>
  <c r="AM266" i="1" s="1"/>
  <c r="AN266" i="1"/>
  <c r="AM239" i="1"/>
  <c r="AL239" i="1"/>
  <c r="AL92" i="1"/>
  <c r="AM92" i="1"/>
  <c r="AM497" i="1"/>
  <c r="AL497" i="1"/>
  <c r="AL449" i="1"/>
  <c r="AM449" i="1"/>
  <c r="AN414" i="1"/>
  <c r="AL414" i="1"/>
  <c r="AM414" i="1"/>
  <c r="AL398" i="1"/>
  <c r="G13" i="24" s="1"/>
  <c r="AM398" i="1"/>
  <c r="H13" i="24" s="1"/>
  <c r="AL387" i="1"/>
  <c r="AM387" i="1"/>
  <c r="AL506" i="1" l="1"/>
  <c r="G40" i="24"/>
  <c r="AM506" i="1"/>
  <c r="H40" i="24"/>
  <c r="G66" i="24"/>
  <c r="H66" i="24"/>
  <c r="DE456" i="1"/>
  <c r="DE485" i="1" s="1"/>
  <c r="DE486" i="1"/>
  <c r="DE484" i="1"/>
  <c r="AM210" i="1"/>
  <c r="AM209" i="1" s="1"/>
  <c r="AL210" i="1"/>
  <c r="AL209" i="1" s="1"/>
  <c r="AN610" i="1" l="1"/>
  <c r="AN176" i="1"/>
  <c r="BI735" i="1" l="1"/>
  <c r="AD56" i="24" l="1"/>
  <c r="DF135" i="1"/>
  <c r="AL442" i="1"/>
  <c r="G27" i="24" s="1"/>
  <c r="AM442" i="1"/>
  <c r="H27" i="24" s="1"/>
  <c r="BH735" i="1" l="1"/>
  <c r="DF138" i="1"/>
  <c r="BJ735" i="1"/>
  <c r="DF735" i="1"/>
  <c r="DE135" i="1"/>
  <c r="DE735" i="1" s="1"/>
  <c r="DE138" i="1"/>
  <c r="AN470" i="1"/>
  <c r="AN468" i="1" s="1"/>
  <c r="AM161" i="1"/>
  <c r="AN161" i="1"/>
  <c r="AL161" i="1"/>
  <c r="AC56" i="24" l="1"/>
  <c r="BB56" i="24"/>
  <c r="AE56" i="24"/>
  <c r="BA56" i="24"/>
  <c r="AO215" i="1"/>
  <c r="AN678" i="1"/>
  <c r="AO678" i="1" s="1"/>
  <c r="AP678" i="1" s="1"/>
  <c r="AQ678" i="1" s="1"/>
  <c r="AR678" i="1" s="1"/>
  <c r="AS678" i="1" s="1"/>
  <c r="AT678" i="1" s="1"/>
  <c r="AU678" i="1" s="1"/>
  <c r="AV678" i="1" s="1"/>
  <c r="AW678" i="1" s="1"/>
  <c r="AX678" i="1" s="1"/>
  <c r="AY678" i="1" s="1"/>
  <c r="AZ678" i="1" s="1"/>
  <c r="AN839" i="1"/>
  <c r="AN827" i="1"/>
  <c r="AN824" i="1"/>
  <c r="AN821" i="1"/>
  <c r="AN818" i="1"/>
  <c r="AN815" i="1"/>
  <c r="AN814" i="1"/>
  <c r="AN737" i="1"/>
  <c r="AN763" i="1" s="1"/>
  <c r="AN735" i="1"/>
  <c r="AN713" i="1"/>
  <c r="AN704" i="1"/>
  <c r="AN703" i="1"/>
  <c r="AN696" i="1"/>
  <c r="AN665" i="1"/>
  <c r="AN677" i="1" s="1"/>
  <c r="AN663" i="1"/>
  <c r="AN661" i="1"/>
  <c r="AN680" i="1"/>
  <c r="AN634" i="1"/>
  <c r="AN633" i="1"/>
  <c r="AN626" i="1"/>
  <c r="AN625" i="1"/>
  <c r="AN621" i="1"/>
  <c r="AN611" i="1"/>
  <c r="AN601" i="1"/>
  <c r="AN603" i="1" s="1"/>
  <c r="AN583" i="1"/>
  <c r="AN571" i="1"/>
  <c r="AN589" i="1"/>
  <c r="AN588" i="1"/>
  <c r="AN524" i="1"/>
  <c r="AN507" i="1"/>
  <c r="AN522" i="1"/>
  <c r="AN520" i="1"/>
  <c r="AN519" i="1"/>
  <c r="AN518" i="1"/>
  <c r="AN517" i="1"/>
  <c r="AN516" i="1"/>
  <c r="AN504" i="1"/>
  <c r="AN503" i="1"/>
  <c r="AN501" i="1"/>
  <c r="AN479" i="1"/>
  <c r="AN475" i="1"/>
  <c r="AN474" i="1"/>
  <c r="AN473" i="1"/>
  <c r="AN450" i="1"/>
  <c r="AN445" i="1"/>
  <c r="AN444" i="1"/>
  <c r="AN425" i="1"/>
  <c r="AN460" i="1" s="1"/>
  <c r="AN489" i="1" s="1"/>
  <c r="AN423" i="1"/>
  <c r="AN458" i="1" s="1"/>
  <c r="AN487" i="1" s="1"/>
  <c r="AN422" i="1"/>
  <c r="AN457" i="1" s="1"/>
  <c r="AN420" i="1"/>
  <c r="AN416" i="1"/>
  <c r="AN415" i="1" s="1"/>
  <c r="AN409" i="1"/>
  <c r="AN421" i="1" s="1"/>
  <c r="AN388" i="1"/>
  <c r="AN381" i="1"/>
  <c r="AN318" i="1"/>
  <c r="AN254" i="1"/>
  <c r="AN262" i="1"/>
  <c r="AN249" i="1"/>
  <c r="AN244" i="1"/>
  <c r="AN243" i="1" s="1"/>
  <c r="AN234" i="1"/>
  <c r="AN237" i="1" s="1"/>
  <c r="I68" i="24" s="1"/>
  <c r="AN227" i="1"/>
  <c r="AN222" i="1"/>
  <c r="AN215" i="1"/>
  <c r="AN212" i="1"/>
  <c r="AN197" i="1"/>
  <c r="AN191" i="1"/>
  <c r="AN190" i="1"/>
  <c r="AN185" i="1"/>
  <c r="AN184" i="1"/>
  <c r="AN208" i="1"/>
  <c r="AN205" i="1"/>
  <c r="AN160" i="1"/>
  <c r="AO218" i="1" s="1"/>
  <c r="AN158" i="1"/>
  <c r="AN171" i="1"/>
  <c r="AO228" i="1" s="1"/>
  <c r="AN165" i="1"/>
  <c r="AO223" i="1" s="1"/>
  <c r="AN178" i="1"/>
  <c r="I59" i="24" s="1"/>
  <c r="AN122" i="1"/>
  <c r="AN115" i="1"/>
  <c r="AN103" i="1"/>
  <c r="AN101" i="1"/>
  <c r="I8" i="24" l="1"/>
  <c r="AN238" i="1"/>
  <c r="AN762" i="1"/>
  <c r="I56" i="24"/>
  <c r="AN253" i="1"/>
  <c r="AN248" i="1"/>
  <c r="AN635" i="1"/>
  <c r="AN738" i="1" s="1"/>
  <c r="AN764" i="1" s="1"/>
  <c r="AN192" i="1"/>
  <c r="AN202" i="1"/>
  <c r="AN584" i="1"/>
  <c r="AO627" i="1"/>
  <c r="AN456" i="1"/>
  <c r="AN485" i="1" s="1"/>
  <c r="AO702" i="1"/>
  <c r="AO698" i="1"/>
  <c r="AO232" i="1"/>
  <c r="AO181" i="1"/>
  <c r="AN186" i="1"/>
  <c r="AN198" i="1"/>
  <c r="AN427" i="1"/>
  <c r="AN462" i="1" s="1"/>
  <c r="AN491" i="1" s="1"/>
  <c r="AN455" i="1"/>
  <c r="AN484" i="1" s="1"/>
  <c r="AN443" i="1"/>
  <c r="AN536" i="1"/>
  <c r="AN623" i="1" s="1"/>
  <c r="AN434" i="1"/>
  <c r="AN232" i="1"/>
  <c r="AN233" i="1" s="1"/>
  <c r="AN486" i="1"/>
  <c r="AN612" i="1"/>
  <c r="AN102" i="1"/>
  <c r="AN667" i="1"/>
  <c r="AN469" i="1"/>
  <c r="AN472" i="1"/>
  <c r="AN203" i="1"/>
  <c r="AN159" i="1"/>
  <c r="AN181" i="1"/>
  <c r="AN812" i="1" s="1"/>
  <c r="AN177" i="1"/>
  <c r="I28" i="24" l="1"/>
  <c r="I35" i="24"/>
  <c r="I36" i="24" s="1"/>
  <c r="AO159" i="1"/>
  <c r="AP53" i="1" s="1"/>
  <c r="AP216" i="1"/>
  <c r="AN441" i="1"/>
  <c r="I26" i="24" s="1"/>
  <c r="AP98" i="1"/>
  <c r="AN204" i="1"/>
  <c r="AO154" i="1"/>
  <c r="AO825" i="1"/>
  <c r="AO813" i="1"/>
  <c r="AO819" i="1"/>
  <c r="AO816" i="1"/>
  <c r="AO812" i="1"/>
  <c r="AO822" i="1"/>
  <c r="AO233" i="1"/>
  <c r="AO216" i="1"/>
  <c r="AN820" i="1"/>
  <c r="AN823" i="1"/>
  <c r="AN817" i="1"/>
  <c r="AN826" i="1"/>
  <c r="AN430" i="1"/>
  <c r="AN154" i="1"/>
  <c r="AN822" i="1"/>
  <c r="AN825" i="1"/>
  <c r="AN813" i="1"/>
  <c r="AN816" i="1"/>
  <c r="AN819" i="1"/>
  <c r="AN465" i="1"/>
  <c r="AN711" i="1" s="1"/>
  <c r="AN471" i="1"/>
  <c r="AN670" i="1" l="1"/>
  <c r="I61" i="24"/>
  <c r="AN440" i="1"/>
  <c r="AO96" i="1" s="1"/>
  <c r="AP217" i="1"/>
  <c r="AN795" i="1"/>
  <c r="AO217" i="1"/>
  <c r="AL158" i="1"/>
  <c r="AM158" i="1"/>
  <c r="AN216" i="1" s="1"/>
  <c r="G8" i="2" l="1"/>
  <c r="O14" i="23" s="1"/>
  <c r="AM141" i="1"/>
  <c r="AM610" i="1" l="1"/>
  <c r="CT244" i="1" l="1"/>
  <c r="AP242" i="1" s="1"/>
  <c r="AN242" i="1" l="1"/>
  <c r="AO242" i="1"/>
  <c r="CS537" i="1"/>
  <c r="CS535" i="1"/>
  <c r="AM509" i="1" l="1"/>
  <c r="AL509" i="1"/>
  <c r="AM524" i="1"/>
  <c r="AP94" i="9" l="1"/>
  <c r="AP93" i="9"/>
  <c r="AP89" i="9"/>
  <c r="AP86" i="9"/>
  <c r="AP85" i="9"/>
  <c r="AP77" i="9"/>
  <c r="AO76" i="9"/>
  <c r="AP75" i="9"/>
  <c r="AP73" i="9"/>
  <c r="AP70" i="9"/>
  <c r="AP69" i="9"/>
  <c r="AP66" i="9"/>
  <c r="AO61" i="9"/>
  <c r="AO54" i="9"/>
  <c r="AO53" i="9"/>
  <c r="AO57" i="9"/>
  <c r="CT508" i="1" l="1"/>
  <c r="CT254" i="1"/>
  <c r="CT249" i="1"/>
  <c r="CT262" i="1"/>
  <c r="CT242" i="1"/>
  <c r="CT234" i="1"/>
  <c r="CT237" i="1" s="1"/>
  <c r="AP68" i="24" s="1"/>
  <c r="AQ69" i="24" s="1"/>
  <c r="AM839" i="1"/>
  <c r="AM827" i="1"/>
  <c r="AM824" i="1"/>
  <c r="AM821" i="1"/>
  <c r="AM818" i="1"/>
  <c r="AM815" i="1"/>
  <c r="AM814" i="1"/>
  <c r="AM713" i="1"/>
  <c r="AM704" i="1"/>
  <c r="AM737" i="1"/>
  <c r="AM763" i="1" s="1"/>
  <c r="AM735" i="1"/>
  <c r="AM703" i="1"/>
  <c r="AM696" i="1"/>
  <c r="AM665" i="1"/>
  <c r="AM677" i="1" s="1"/>
  <c r="AM663" i="1"/>
  <c r="AM661" i="1"/>
  <c r="AM680" i="1"/>
  <c r="AM634" i="1"/>
  <c r="AM633" i="1"/>
  <c r="AM626" i="1"/>
  <c r="AM625" i="1"/>
  <c r="AM621" i="1"/>
  <c r="AM611" i="1"/>
  <c r="AM612" i="1" s="1"/>
  <c r="AM817" i="1" s="1"/>
  <c r="AM601" i="1"/>
  <c r="AM603" i="1" s="1"/>
  <c r="AM583" i="1"/>
  <c r="AM571" i="1"/>
  <c r="AN627" i="1" s="1"/>
  <c r="AM589" i="1"/>
  <c r="AM588" i="1"/>
  <c r="AM546" i="1"/>
  <c r="AM522" i="1"/>
  <c r="AM536" i="1" s="1"/>
  <c r="AM520" i="1"/>
  <c r="AM519" i="1"/>
  <c r="AM518" i="1"/>
  <c r="AM517" i="1"/>
  <c r="AM516" i="1"/>
  <c r="AM504" i="1"/>
  <c r="AM503" i="1"/>
  <c r="AM501" i="1"/>
  <c r="AK504" i="1"/>
  <c r="AM470" i="1"/>
  <c r="AM467" i="1"/>
  <c r="AM479" i="1"/>
  <c r="AM475" i="1"/>
  <c r="AM474" i="1"/>
  <c r="AM473" i="1"/>
  <c r="AM450" i="1"/>
  <c r="AM445" i="1"/>
  <c r="AM444" i="1"/>
  <c r="AM425" i="1"/>
  <c r="AM460" i="1" s="1"/>
  <c r="AM489" i="1" s="1"/>
  <c r="AM423" i="1"/>
  <c r="AM458" i="1" s="1"/>
  <c r="AM487" i="1" s="1"/>
  <c r="AM422" i="1"/>
  <c r="AM457" i="1" s="1"/>
  <c r="AM420" i="1"/>
  <c r="AM416" i="1"/>
  <c r="AM415" i="1" s="1"/>
  <c r="AM409" i="1"/>
  <c r="AM421" i="1" s="1"/>
  <c r="AM388" i="1"/>
  <c r="AM381" i="1"/>
  <c r="AM318" i="1"/>
  <c r="AM254" i="1"/>
  <c r="AM249" i="1"/>
  <c r="AM244" i="1"/>
  <c r="AM243" i="1" s="1"/>
  <c r="AM242" i="1" s="1"/>
  <c r="AM262" i="1"/>
  <c r="AM234" i="1"/>
  <c r="AM237" i="1" s="1"/>
  <c r="H68" i="24" s="1"/>
  <c r="AM227" i="1"/>
  <c r="AM222" i="1"/>
  <c r="AM212" i="1"/>
  <c r="AM197" i="1"/>
  <c r="CT197" i="1" s="1"/>
  <c r="CT196" i="1"/>
  <c r="AM191" i="1"/>
  <c r="AM190" i="1"/>
  <c r="CT190" i="1" s="1"/>
  <c r="AM185" i="1"/>
  <c r="CT185" i="1" s="1"/>
  <c r="AM184" i="1"/>
  <c r="CT184" i="1" s="1"/>
  <c r="AM208" i="1"/>
  <c r="AM205" i="1"/>
  <c r="AM160" i="1"/>
  <c r="AN218" i="1" s="1"/>
  <c r="AM178" i="1"/>
  <c r="H59" i="24" s="1"/>
  <c r="AM176" i="1"/>
  <c r="AM171" i="1"/>
  <c r="AN228" i="1" s="1"/>
  <c r="AM165" i="1"/>
  <c r="AN223" i="1" s="1"/>
  <c r="AM122" i="1"/>
  <c r="AM103" i="1"/>
  <c r="AM434" i="1" s="1"/>
  <c r="AM101" i="1"/>
  <c r="CT238" i="1" l="1"/>
  <c r="H56" i="24"/>
  <c r="AM327" i="1"/>
  <c r="H8" i="24"/>
  <c r="AM238" i="1"/>
  <c r="AM486" i="1"/>
  <c r="CT259" i="1"/>
  <c r="AM198" i="1"/>
  <c r="AM468" i="1"/>
  <c r="AM469" i="1" s="1"/>
  <c r="AN702" i="1"/>
  <c r="AN698" i="1"/>
  <c r="AM443" i="1"/>
  <c r="AM635" i="1"/>
  <c r="AM738" i="1" s="1"/>
  <c r="AM764" i="1" s="1"/>
  <c r="AM102" i="1"/>
  <c r="AM192" i="1"/>
  <c r="AM456" i="1"/>
  <c r="AM485" i="1" s="1"/>
  <c r="AM584" i="1"/>
  <c r="AM455" i="1"/>
  <c r="AM484" i="1" s="1"/>
  <c r="AM667" i="1"/>
  <c r="AM427" i="1"/>
  <c r="AM462" i="1" s="1"/>
  <c r="AM491" i="1" s="1"/>
  <c r="AM826" i="1"/>
  <c r="AM472" i="1"/>
  <c r="AM823" i="1"/>
  <c r="CT191" i="1"/>
  <c r="CT248" i="1" s="1"/>
  <c r="AM762" i="1"/>
  <c r="AM820" i="1"/>
  <c r="AM507" i="1"/>
  <c r="AM186" i="1"/>
  <c r="AM203" i="1"/>
  <c r="AM202" i="1"/>
  <c r="AM159" i="1"/>
  <c r="AN217" i="1" s="1"/>
  <c r="AM177" i="1"/>
  <c r="AM181" i="1"/>
  <c r="AM812" i="1" s="1"/>
  <c r="BC249" i="9"/>
  <c r="BE249" i="9" s="1"/>
  <c r="BC248" i="9"/>
  <c r="BE248" i="9" s="1"/>
  <c r="BE66" i="9"/>
  <c r="BE50" i="9"/>
  <c r="AM441" i="1" l="1"/>
  <c r="H26" i="24" s="1"/>
  <c r="H28" i="24"/>
  <c r="AM465" i="1"/>
  <c r="AM711" i="1" s="1"/>
  <c r="H35" i="24"/>
  <c r="H36" i="24" s="1"/>
  <c r="CT260" i="1"/>
  <c r="CT261" i="1" s="1"/>
  <c r="AM248" i="1"/>
  <c r="AP247" i="1"/>
  <c r="AN247" i="1"/>
  <c r="AM430" i="1"/>
  <c r="CT247" i="1"/>
  <c r="AM471" i="1"/>
  <c r="AM154" i="1"/>
  <c r="AM825" i="1"/>
  <c r="AM813" i="1"/>
  <c r="AM816" i="1"/>
  <c r="AM819" i="1"/>
  <c r="AM822" i="1"/>
  <c r="CT253" i="1"/>
  <c r="AM204" i="1"/>
  <c r="H61" i="24" s="1"/>
  <c r="DD736" i="1"/>
  <c r="DD602" i="1"/>
  <c r="DD554" i="1"/>
  <c r="DD553" i="1"/>
  <c r="DD528" i="1"/>
  <c r="DD527" i="1"/>
  <c r="DD524" i="1"/>
  <c r="DD508" i="1"/>
  <c r="DD505" i="1"/>
  <c r="DD492" i="1"/>
  <c r="DD479" i="1"/>
  <c r="DD477" i="1"/>
  <c r="DD476" i="1"/>
  <c r="DD450" i="1"/>
  <c r="DD448" i="1"/>
  <c r="DD447" i="1"/>
  <c r="DD446" i="1"/>
  <c r="DD435" i="1"/>
  <c r="DD415" i="1"/>
  <c r="DD413" i="1"/>
  <c r="DD411" i="1"/>
  <c r="DD410" i="1"/>
  <c r="DD407" i="1"/>
  <c r="AZ16" i="24" s="1"/>
  <c r="DD388" i="1"/>
  <c r="DD386" i="1"/>
  <c r="DD385" i="1"/>
  <c r="DD384" i="1"/>
  <c r="DD383" i="1"/>
  <c r="DD382" i="1"/>
  <c r="DD420" i="1" s="1"/>
  <c r="DD149" i="1"/>
  <c r="DD105" i="1"/>
  <c r="DD104" i="1"/>
  <c r="BG622" i="1"/>
  <c r="BF622" i="1"/>
  <c r="BG520" i="1"/>
  <c r="BF520" i="1"/>
  <c r="BG519" i="1"/>
  <c r="BF519" i="1"/>
  <c r="BG518" i="1"/>
  <c r="BF518" i="1"/>
  <c r="BG517" i="1"/>
  <c r="BF517" i="1"/>
  <c r="BG516" i="1"/>
  <c r="BF516" i="1"/>
  <c r="BG504" i="1"/>
  <c r="BF504" i="1"/>
  <c r="BG503" i="1"/>
  <c r="BF503" i="1"/>
  <c r="BG501" i="1"/>
  <c r="BF501" i="1"/>
  <c r="BG475" i="1"/>
  <c r="BF475" i="1"/>
  <c r="BG474" i="1"/>
  <c r="BF474" i="1"/>
  <c r="BG473" i="1"/>
  <c r="BF473" i="1"/>
  <c r="BG427" i="1"/>
  <c r="BG462" i="1" s="1"/>
  <c r="BG491" i="1" s="1"/>
  <c r="BF427" i="1"/>
  <c r="BF462" i="1" s="1"/>
  <c r="BF491" i="1" s="1"/>
  <c r="BG425" i="1"/>
  <c r="BG460" i="1" s="1"/>
  <c r="BG489" i="1" s="1"/>
  <c r="BF425" i="1"/>
  <c r="BF460" i="1" s="1"/>
  <c r="BF489" i="1" s="1"/>
  <c r="BG423" i="1"/>
  <c r="BG458" i="1" s="1"/>
  <c r="BG487" i="1" s="1"/>
  <c r="BF423" i="1"/>
  <c r="BF458" i="1" s="1"/>
  <c r="BF487" i="1" s="1"/>
  <c r="BG422" i="1"/>
  <c r="BG457" i="1" s="1"/>
  <c r="BF422" i="1"/>
  <c r="BF457" i="1" s="1"/>
  <c r="BG420" i="1"/>
  <c r="BF420" i="1"/>
  <c r="BG409" i="1"/>
  <c r="BG421" i="1" s="1"/>
  <c r="BF409" i="1"/>
  <c r="BF421" i="1" s="1"/>
  <c r="BF486" i="1" l="1"/>
  <c r="BG486" i="1"/>
  <c r="AQ252" i="1"/>
  <c r="AM253" i="1"/>
  <c r="AQ258" i="1"/>
  <c r="AQ247" i="1"/>
  <c r="AO252" i="1"/>
  <c r="AO247" i="1"/>
  <c r="CT258" i="1"/>
  <c r="DD501" i="1"/>
  <c r="DD504" i="1"/>
  <c r="DD519" i="1"/>
  <c r="DD622" i="1"/>
  <c r="DD445" i="1"/>
  <c r="DD474" i="1"/>
  <c r="DD517" i="1"/>
  <c r="BF456" i="1"/>
  <c r="BF485" i="1" s="1"/>
  <c r="BG456" i="1"/>
  <c r="BG485" i="1" s="1"/>
  <c r="CT252" i="1"/>
  <c r="CT257" i="1" s="1"/>
  <c r="AM795" i="1"/>
  <c r="AM670" i="1"/>
  <c r="DD425" i="1"/>
  <c r="DD460" i="1" s="1"/>
  <c r="DD489" i="1" s="1"/>
  <c r="BG455" i="1"/>
  <c r="BG484" i="1" s="1"/>
  <c r="DD423" i="1"/>
  <c r="DD458" i="1" s="1"/>
  <c r="DD487" i="1" s="1"/>
  <c r="DD427" i="1"/>
  <c r="DD462" i="1" s="1"/>
  <c r="DD491" i="1" s="1"/>
  <c r="BF455" i="1"/>
  <c r="BF484" i="1" s="1"/>
  <c r="DD473" i="1"/>
  <c r="DD475" i="1"/>
  <c r="DD503" i="1"/>
  <c r="DD516" i="1"/>
  <c r="DD518" i="1"/>
  <c r="DD520" i="1"/>
  <c r="DD422" i="1"/>
  <c r="DD457" i="1" s="1"/>
  <c r="DD409" i="1"/>
  <c r="DD421" i="1" s="1"/>
  <c r="DD444" i="1"/>
  <c r="DD455" i="1" s="1"/>
  <c r="DD484" i="1" s="1"/>
  <c r="AL59" i="1"/>
  <c r="AQ257" i="1" l="1"/>
  <c r="AQ259" i="1" s="1"/>
  <c r="AO258" i="1"/>
  <c r="AO257" i="1"/>
  <c r="AP252" i="1"/>
  <c r="AP258" i="1"/>
  <c r="DD456" i="1"/>
  <c r="DD485" i="1" s="1"/>
  <c r="AN252" i="1"/>
  <c r="AN258" i="1"/>
  <c r="DD486" i="1"/>
  <c r="AQ260" i="1" l="1"/>
  <c r="AQ261" i="1" s="1"/>
  <c r="AN257" i="1"/>
  <c r="AN259" i="1" s="1"/>
  <c r="AP257" i="1"/>
  <c r="AP259" i="1" s="1"/>
  <c r="AO259" i="1"/>
  <c r="AQ699" i="1" l="1"/>
  <c r="AO260" i="1"/>
  <c r="AO261" i="1" s="1"/>
  <c r="AN260" i="1"/>
  <c r="AN699" i="1" s="1"/>
  <c r="AP260" i="1"/>
  <c r="AP699" i="1" s="1"/>
  <c r="BG735" i="1"/>
  <c r="AP261" i="1" l="1"/>
  <c r="AO699" i="1"/>
  <c r="AB56" i="24"/>
  <c r="AN261" i="1"/>
  <c r="DD135" i="1" l="1"/>
  <c r="DD735" i="1" s="1"/>
  <c r="BF735" i="1"/>
  <c r="DD138" i="1"/>
  <c r="AA56" i="24" l="1"/>
  <c r="AZ56" i="24"/>
  <c r="CQ244" i="1"/>
  <c r="AF244" i="1"/>
  <c r="AG244" i="1"/>
  <c r="CS254" i="1" l="1"/>
  <c r="CS249" i="1"/>
  <c r="CS244" i="1"/>
  <c r="AH244" i="1" l="1"/>
  <c r="CS242" i="1"/>
  <c r="BA567" i="1" l="1"/>
  <c r="BB567" i="1" s="1"/>
  <c r="BC567" i="1" s="1"/>
  <c r="BD567" i="1" s="1"/>
  <c r="BE567" i="1" s="1"/>
  <c r="BF567" i="1" s="1"/>
  <c r="BG567" i="1" s="1"/>
  <c r="BA599" i="1"/>
  <c r="BB599" i="1" s="1"/>
  <c r="BC599" i="1" s="1"/>
  <c r="BD599" i="1" s="1"/>
  <c r="BE599" i="1" s="1"/>
  <c r="BF599" i="1" s="1"/>
  <c r="BG599" i="1" s="1"/>
  <c r="DD567" i="1" l="1"/>
  <c r="BH567" i="1"/>
  <c r="BI567" i="1" s="1"/>
  <c r="DD599" i="1"/>
  <c r="BH599" i="1"/>
  <c r="BI599" i="1" s="1"/>
  <c r="AK442" i="1"/>
  <c r="F27" i="24" s="1"/>
  <c r="AJ442" i="1"/>
  <c r="E27" i="24" s="1"/>
  <c r="AN41" i="9"/>
  <c r="AN39" i="9"/>
  <c r="AN294" i="9"/>
  <c r="AN268" i="9"/>
  <c r="AN278" i="9" s="1"/>
  <c r="AN237" i="9"/>
  <c r="AN76" i="9"/>
  <c r="AP76" i="9" s="1"/>
  <c r="AL839" i="1"/>
  <c r="AL827" i="1"/>
  <c r="AL824" i="1"/>
  <c r="AL821" i="1"/>
  <c r="AL818" i="1"/>
  <c r="AL815" i="1"/>
  <c r="AL737" i="1"/>
  <c r="AL763" i="1" s="1"/>
  <c r="AL735" i="1"/>
  <c r="AL713" i="1"/>
  <c r="AK704" i="1"/>
  <c r="AJ704" i="1"/>
  <c r="AL704" i="1"/>
  <c r="AL703" i="1"/>
  <c r="AL665" i="1"/>
  <c r="AL677" i="1" s="1"/>
  <c r="AL663" i="1"/>
  <c r="AL661" i="1"/>
  <c r="AL680" i="1"/>
  <c r="AL141" i="1"/>
  <c r="AL115" i="1"/>
  <c r="AL57" i="1"/>
  <c r="AL56" i="1"/>
  <c r="AL52" i="1"/>
  <c r="AL634" i="1"/>
  <c r="AL633" i="1"/>
  <c r="AL626" i="1"/>
  <c r="AL625" i="1"/>
  <c r="AL621" i="1"/>
  <c r="AL610" i="1"/>
  <c r="AL611" i="1" s="1"/>
  <c r="AL601" i="1"/>
  <c r="AL603" i="1" s="1"/>
  <c r="AL589" i="1"/>
  <c r="AL588" i="1"/>
  <c r="AL583" i="1"/>
  <c r="AJ571" i="1"/>
  <c r="AK571" i="1"/>
  <c r="AL571" i="1"/>
  <c r="AK546" i="1"/>
  <c r="AL546" i="1"/>
  <c r="AL524" i="1"/>
  <c r="AL522" i="1"/>
  <c r="AL520" i="1"/>
  <c r="AL519" i="1"/>
  <c r="AL518" i="1"/>
  <c r="AL517" i="1"/>
  <c r="AL516" i="1"/>
  <c r="AK396" i="1"/>
  <c r="F11" i="24" s="1"/>
  <c r="AJ396" i="1"/>
  <c r="E11" i="24" s="1"/>
  <c r="AL762" i="1" l="1"/>
  <c r="G56" i="24"/>
  <c r="AN40" i="9"/>
  <c r="DE599" i="1"/>
  <c r="BJ599" i="1"/>
  <c r="DE567" i="1"/>
  <c r="BJ567" i="1"/>
  <c r="AL584" i="1"/>
  <c r="AM627" i="1"/>
  <c r="AM698" i="1"/>
  <c r="AM702" i="1"/>
  <c r="AL627" i="1"/>
  <c r="AL635" i="1"/>
  <c r="AL738" i="1" s="1"/>
  <c r="AL764" i="1" s="1"/>
  <c r="AN277" i="9"/>
  <c r="AN276" i="9"/>
  <c r="AN275" i="9"/>
  <c r="AN274" i="9"/>
  <c r="AL536" i="1"/>
  <c r="AL612" i="1"/>
  <c r="AK158" i="1"/>
  <c r="AJ158" i="1"/>
  <c r="AL125" i="1"/>
  <c r="AL814" i="1" s="1"/>
  <c r="BK567" i="1" l="1"/>
  <c r="BK599" i="1"/>
  <c r="AL820" i="1"/>
  <c r="AL823" i="1"/>
  <c r="AL826" i="1"/>
  <c r="AL116" i="1"/>
  <c r="AL817" i="1"/>
  <c r="DF599" i="1" l="1"/>
  <c r="BL599" i="1"/>
  <c r="BM599" i="1" s="1"/>
  <c r="DF567" i="1"/>
  <c r="BL567" i="1"/>
  <c r="BM567" i="1" s="1"/>
  <c r="AL122" i="1"/>
  <c r="AL103" i="1"/>
  <c r="AL101" i="1"/>
  <c r="DG567" i="1" l="1"/>
  <c r="BN567" i="1"/>
  <c r="BO567" i="1" s="1"/>
  <c r="DG599" i="1"/>
  <c r="BN599" i="1"/>
  <c r="BO599" i="1" s="1"/>
  <c r="AL102" i="1"/>
  <c r="AL507" i="1"/>
  <c r="AL504" i="1"/>
  <c r="AL503" i="1"/>
  <c r="AL501" i="1"/>
  <c r="AL470" i="1"/>
  <c r="AL468" i="1" s="1"/>
  <c r="AL479" i="1"/>
  <c r="AL475" i="1"/>
  <c r="AL474" i="1"/>
  <c r="AL473" i="1"/>
  <c r="AL450" i="1"/>
  <c r="AL445" i="1"/>
  <c r="AL444" i="1"/>
  <c r="AL425" i="1"/>
  <c r="AL460" i="1" s="1"/>
  <c r="AL489" i="1" s="1"/>
  <c r="AL423" i="1"/>
  <c r="AL458" i="1" s="1"/>
  <c r="AL487" i="1" s="1"/>
  <c r="AL422" i="1"/>
  <c r="AL457" i="1" s="1"/>
  <c r="AL420" i="1"/>
  <c r="AL416" i="1"/>
  <c r="AL415" i="1" s="1"/>
  <c r="AL409" i="1"/>
  <c r="AL421" i="1" s="1"/>
  <c r="AL388" i="1"/>
  <c r="DH567" i="1" l="1"/>
  <c r="BP567" i="1"/>
  <c r="BQ567" i="1" s="1"/>
  <c r="DI567" i="1" s="1"/>
  <c r="DH599" i="1"/>
  <c r="BP599" i="1"/>
  <c r="BQ599" i="1" s="1"/>
  <c r="DI599" i="1" s="1"/>
  <c r="AL456" i="1"/>
  <c r="AL485" i="1" s="1"/>
  <c r="AL427" i="1"/>
  <c r="AL462" i="1" s="1"/>
  <c r="AL491" i="1" s="1"/>
  <c r="AL455" i="1"/>
  <c r="AL484" i="1" s="1"/>
  <c r="AL472" i="1"/>
  <c r="AL486" i="1"/>
  <c r="AL443" i="1"/>
  <c r="AL469" i="1"/>
  <c r="AL262" i="1"/>
  <c r="AL254" i="1"/>
  <c r="AL249" i="1"/>
  <c r="AL248" i="1" s="1"/>
  <c r="AL244" i="1"/>
  <c r="AL234" i="1"/>
  <c r="AL227" i="1"/>
  <c r="AL222" i="1"/>
  <c r="AL197" i="1"/>
  <c r="AL205" i="1"/>
  <c r="AL191" i="1"/>
  <c r="AL190" i="1"/>
  <c r="AL185" i="1"/>
  <c r="AL184" i="1"/>
  <c r="AL176" i="1"/>
  <c r="AL145" i="1" s="1"/>
  <c r="AL160" i="1"/>
  <c r="AL171" i="1"/>
  <c r="AM228" i="1" s="1"/>
  <c r="AL165" i="1"/>
  <c r="AM223" i="1" s="1"/>
  <c r="AL441" i="1" l="1"/>
  <c r="G26" i="24" s="1"/>
  <c r="G28" i="24"/>
  <c r="AL465" i="1"/>
  <c r="AL711" i="1" s="1"/>
  <c r="G35" i="24"/>
  <c r="AL253" i="1"/>
  <c r="AL178" i="1"/>
  <c r="AM215" i="1"/>
  <c r="AM232" i="1" s="1"/>
  <c r="AM233" i="1" s="1"/>
  <c r="AM216" i="1"/>
  <c r="AL243" i="1"/>
  <c r="AL242" i="1" s="1"/>
  <c r="AL202" i="1"/>
  <c r="AM218" i="1"/>
  <c r="AL186" i="1"/>
  <c r="AL55" i="1" s="1"/>
  <c r="AL192" i="1"/>
  <c r="AL58" i="1" s="1"/>
  <c r="AL198" i="1"/>
  <c r="AL61" i="1" s="1"/>
  <c r="AL471" i="1"/>
  <c r="AL208" i="1"/>
  <c r="AL237" i="1"/>
  <c r="G68" i="24" s="1"/>
  <c r="AL203" i="1"/>
  <c r="AL159" i="1"/>
  <c r="AM217" i="1" s="1"/>
  <c r="AL181" i="1" l="1"/>
  <c r="AL812" i="1" s="1"/>
  <c r="G59" i="24"/>
  <c r="G36" i="24" s="1"/>
  <c r="AL825" i="1"/>
  <c r="AL177" i="1"/>
  <c r="AL114" i="1" s="1"/>
  <c r="AL822" i="1"/>
  <c r="AL667" i="1"/>
  <c r="AL819" i="1"/>
  <c r="AL147" i="1"/>
  <c r="AL813" i="1"/>
  <c r="AL204" i="1"/>
  <c r="G61" i="24" s="1"/>
  <c r="AL152" i="1"/>
  <c r="AL238" i="1"/>
  <c r="AL154" i="1" l="1"/>
  <c r="AL816" i="1"/>
  <c r="AL795" i="1"/>
  <c r="AL146" i="1"/>
  <c r="AL670" i="1"/>
  <c r="AM75" i="9"/>
  <c r="AL76" i="9"/>
  <c r="AK76" i="9"/>
  <c r="AK41" i="9"/>
  <c r="AL39" i="9"/>
  <c r="AK39" i="9"/>
  <c r="AJ661" i="1"/>
  <c r="AK661" i="1"/>
  <c r="AK40" i="9" l="1"/>
  <c r="AM76" i="9"/>
  <c r="AL698" i="1"/>
  <c r="AL702" i="1"/>
  <c r="AJ509" i="1"/>
  <c r="AK509" i="1"/>
  <c r="AJ416" i="1"/>
  <c r="AK416" i="1"/>
  <c r="AK506" i="1"/>
  <c r="AJ506" i="1"/>
  <c r="AK414" i="1"/>
  <c r="AJ414" i="1"/>
  <c r="AK610" i="1" l="1"/>
  <c r="AK611" i="1" s="1"/>
  <c r="AD61" i="9" l="1"/>
  <c r="AK244" i="1" l="1"/>
  <c r="AK243" i="1" s="1"/>
  <c r="AK242" i="1" s="1"/>
  <c r="AK524" i="1" l="1"/>
  <c r="AJ524" i="1" s="1"/>
  <c r="AI509" i="1"/>
  <c r="AZ249" i="9" l="1"/>
  <c r="BB249" i="9" s="1"/>
  <c r="AZ248" i="9"/>
  <c r="BB248" i="9" s="1"/>
  <c r="BB66" i="9"/>
  <c r="BB50" i="9"/>
  <c r="AL179" i="9"/>
  <c r="BG507" i="1" l="1"/>
  <c r="BF507" i="1"/>
  <c r="AL181" i="9"/>
  <c r="AL268" i="9"/>
  <c r="AL278" i="9" s="1"/>
  <c r="AM267" i="9"/>
  <c r="AM266" i="9"/>
  <c r="AM265" i="9"/>
  <c r="AM264" i="9"/>
  <c r="AM251" i="9"/>
  <c r="AM250" i="9"/>
  <c r="AM237" i="9"/>
  <c r="AM243" i="9" s="1"/>
  <c r="AM153" i="9"/>
  <c r="AM150" i="9"/>
  <c r="AM145" i="9"/>
  <c r="AL141" i="9"/>
  <c r="AL139" i="9"/>
  <c r="AL112" i="9"/>
  <c r="AL122" i="9"/>
  <c r="AL120" i="9"/>
  <c r="AL119" i="9"/>
  <c r="AM118" i="9"/>
  <c r="AM115" i="9"/>
  <c r="AL113" i="9"/>
  <c r="AM93" i="9"/>
  <c r="AM86" i="9"/>
  <c r="AM85" i="9"/>
  <c r="AM94" i="9"/>
  <c r="AM89" i="9"/>
  <c r="AM77" i="9"/>
  <c r="AL53" i="9"/>
  <c r="AM73" i="9"/>
  <c r="AM70" i="9"/>
  <c r="AM69" i="9"/>
  <c r="AM66" i="9"/>
  <c r="AL61" i="9"/>
  <c r="AL41" i="9" s="1"/>
  <c r="AL40" i="9" s="1"/>
  <c r="AL57" i="9"/>
  <c r="AL54" i="9"/>
  <c r="AM42" i="9"/>
  <c r="AM39" i="9"/>
  <c r="AL326" i="9"/>
  <c r="AM318" i="9"/>
  <c r="AL318" i="9" s="1"/>
  <c r="AM314" i="9"/>
  <c r="AM311" i="9"/>
  <c r="AL309" i="9"/>
  <c r="AL308" i="9"/>
  <c r="AL307" i="9"/>
  <c r="AL306" i="9"/>
  <c r="AL302" i="9"/>
  <c r="AM296" i="9"/>
  <c r="AL297" i="9"/>
  <c r="AL294" i="9"/>
  <c r="AM294" i="9" s="1"/>
  <c r="AM292" i="9"/>
  <c r="AM291" i="9"/>
  <c r="AM284" i="9"/>
  <c r="AL345" i="9"/>
  <c r="AM436" i="9"/>
  <c r="AM435" i="9"/>
  <c r="AM434" i="9"/>
  <c r="AM433" i="9"/>
  <c r="AM430" i="9"/>
  <c r="AL429" i="9"/>
  <c r="AL457" i="9" s="1"/>
  <c r="AL428" i="9"/>
  <c r="AL456" i="9" s="1"/>
  <c r="AL427" i="9"/>
  <c r="AL455" i="9" s="1"/>
  <c r="AL426" i="9"/>
  <c r="AL454" i="9" s="1"/>
  <c r="AM423" i="9"/>
  <c r="AL422" i="9"/>
  <c r="AL450" i="9" s="1"/>
  <c r="AL421" i="9"/>
  <c r="AL449" i="9" s="1"/>
  <c r="AL420" i="9"/>
  <c r="AL448" i="9" s="1"/>
  <c r="AL419" i="9"/>
  <c r="AL447" i="9" s="1"/>
  <c r="AM41" i="9" l="1"/>
  <c r="DD507" i="1"/>
  <c r="DD523" i="1"/>
  <c r="AN338" i="9"/>
  <c r="AN295" i="9"/>
  <c r="AN342" i="9"/>
  <c r="AN118" i="9"/>
  <c r="AM142" i="9"/>
  <c r="AM312" i="9"/>
  <c r="AM61" i="9"/>
  <c r="AN296" i="9"/>
  <c r="AN341" i="9"/>
  <c r="AM139" i="9"/>
  <c r="AM141" i="9"/>
  <c r="AM140" i="9"/>
  <c r="AM268" i="9"/>
  <c r="AL275" i="9"/>
  <c r="AL277" i="9"/>
  <c r="AL274" i="9"/>
  <c r="AL276" i="9"/>
  <c r="AM244" i="9"/>
  <c r="AM245" i="9"/>
  <c r="AM240" i="9"/>
  <c r="AM241" i="9"/>
  <c r="AM242" i="9"/>
  <c r="AL298" i="9"/>
  <c r="AM437" i="9"/>
  <c r="BH507" i="1" l="1"/>
  <c r="DE523" i="1"/>
  <c r="AM278" i="9"/>
  <c r="AN270" i="9"/>
  <c r="AN269" i="9"/>
  <c r="AN298" i="9"/>
  <c r="AN299" i="9" s="1"/>
  <c r="AN297" i="9"/>
  <c r="AN139" i="9"/>
  <c r="AN142" i="9"/>
  <c r="AN141" i="9"/>
  <c r="AN140" i="9"/>
  <c r="AM276" i="9"/>
  <c r="AM274" i="9"/>
  <c r="AM277" i="9"/>
  <c r="AM275" i="9"/>
  <c r="AK467" i="1"/>
  <c r="CS543" i="1"/>
  <c r="CS540" i="1"/>
  <c r="CS539" i="1"/>
  <c r="CS712" i="1"/>
  <c r="CS710" i="1"/>
  <c r="CS709" i="1"/>
  <c r="CS708" i="1"/>
  <c r="CS706" i="1"/>
  <c r="CS262" i="1"/>
  <c r="CS234" i="1"/>
  <c r="AK122" i="1"/>
  <c r="AK103" i="1"/>
  <c r="AK434" i="1" s="1"/>
  <c r="AK101" i="1"/>
  <c r="BI507" i="1" l="1"/>
  <c r="AK102" i="1"/>
  <c r="CS259" i="1"/>
  <c r="CS237" i="1"/>
  <c r="AO68" i="24" s="1"/>
  <c r="AK59" i="1"/>
  <c r="AK57" i="1"/>
  <c r="AK56" i="1"/>
  <c r="AK52" i="1"/>
  <c r="AK735" i="1"/>
  <c r="AK713" i="1"/>
  <c r="AK703" i="1"/>
  <c r="AK696" i="1"/>
  <c r="AK665" i="1"/>
  <c r="AK677" i="1" s="1"/>
  <c r="AK663" i="1"/>
  <c r="AK634" i="1"/>
  <c r="AK633" i="1"/>
  <c r="AK627" i="1"/>
  <c r="AK626" i="1"/>
  <c r="AK625" i="1"/>
  <c r="AK621" i="1"/>
  <c r="AK601" i="1"/>
  <c r="AK603" i="1" s="1"/>
  <c r="AK589" i="1"/>
  <c r="AK588" i="1"/>
  <c r="AK583" i="1"/>
  <c r="AK584" i="1" s="1"/>
  <c r="AK522" i="1"/>
  <c r="AK536" i="1" s="1"/>
  <c r="AK520" i="1"/>
  <c r="AK519" i="1"/>
  <c r="AK518" i="1"/>
  <c r="AK517" i="1"/>
  <c r="AK516" i="1"/>
  <c r="AK507" i="1"/>
  <c r="AK503" i="1"/>
  <c r="AK501" i="1"/>
  <c r="AK470" i="1"/>
  <c r="AK468" i="1" s="1"/>
  <c r="AK479" i="1"/>
  <c r="AK475" i="1"/>
  <c r="AK474" i="1"/>
  <c r="AK473" i="1"/>
  <c r="AK450" i="1"/>
  <c r="AK445" i="1"/>
  <c r="AK444" i="1"/>
  <c r="AK425" i="1"/>
  <c r="AK460" i="1" s="1"/>
  <c r="AK489" i="1" s="1"/>
  <c r="AK423" i="1"/>
  <c r="AK458" i="1" s="1"/>
  <c r="AK487" i="1" s="1"/>
  <c r="AK422" i="1"/>
  <c r="AK457" i="1" s="1"/>
  <c r="AK420" i="1"/>
  <c r="AK415" i="1"/>
  <c r="AK409" i="1"/>
  <c r="AK421" i="1" s="1"/>
  <c r="AK388" i="1"/>
  <c r="AP69" i="24" l="1"/>
  <c r="F56" i="24"/>
  <c r="CS260" i="1"/>
  <c r="CS261" i="1" s="1"/>
  <c r="CS238" i="1"/>
  <c r="AK455" i="1"/>
  <c r="AK484" i="1" s="1"/>
  <c r="DE507" i="1"/>
  <c r="AK486" i="1"/>
  <c r="AK456" i="1"/>
  <c r="AK485" i="1" s="1"/>
  <c r="AK635" i="1"/>
  <c r="AK738" i="1" s="1"/>
  <c r="AK472" i="1"/>
  <c r="AK623" i="1"/>
  <c r="AK443" i="1"/>
  <c r="AK427" i="1"/>
  <c r="AK462" i="1" s="1"/>
  <c r="AK491" i="1" s="1"/>
  <c r="AK612" i="1"/>
  <c r="AK469" i="1"/>
  <c r="AK254" i="1"/>
  <c r="AK249" i="1"/>
  <c r="AK262" i="1"/>
  <c r="AK234" i="1"/>
  <c r="AK237" i="1" s="1"/>
  <c r="F68" i="24" s="1"/>
  <c r="AK227" i="1"/>
  <c r="AK222" i="1"/>
  <c r="AK212" i="1"/>
  <c r="AK209" i="1"/>
  <c r="AL64" i="1" s="1"/>
  <c r="AK197" i="1"/>
  <c r="CS197" i="1" s="1"/>
  <c r="AK191" i="1"/>
  <c r="CS191" i="1" s="1"/>
  <c r="AK190" i="1"/>
  <c r="CS190" i="1" s="1"/>
  <c r="AK185" i="1"/>
  <c r="CS185" i="1" s="1"/>
  <c r="AK184" i="1"/>
  <c r="CS184" i="1" s="1"/>
  <c r="AK205" i="1"/>
  <c r="AK176" i="1"/>
  <c r="AK161" i="1"/>
  <c r="AK178" i="1" s="1"/>
  <c r="F59" i="24" s="1"/>
  <c r="AK160" i="1"/>
  <c r="AK171" i="1"/>
  <c r="AK165" i="1"/>
  <c r="AL223" i="1" s="1"/>
  <c r="AK430" i="1" l="1"/>
  <c r="F28" i="24"/>
  <c r="AK471" i="1"/>
  <c r="F35" i="24"/>
  <c r="CS248" i="1"/>
  <c r="CS253" i="1" s="1"/>
  <c r="AL215" i="1"/>
  <c r="AL232" i="1" s="1"/>
  <c r="AL233" i="1" s="1"/>
  <c r="AL216" i="1"/>
  <c r="AK202" i="1"/>
  <c r="CS196" i="1"/>
  <c r="AL228" i="1"/>
  <c r="AL60" i="1"/>
  <c r="AL247" i="1"/>
  <c r="AK441" i="1"/>
  <c r="F26" i="24" s="1"/>
  <c r="AK145" i="1"/>
  <c r="AK465" i="1"/>
  <c r="AK711" i="1" s="1"/>
  <c r="AL218" i="1"/>
  <c r="AL54" i="1"/>
  <c r="AK208" i="1"/>
  <c r="AK152" i="1" s="1"/>
  <c r="AK198" i="1"/>
  <c r="AK186" i="1"/>
  <c r="AK192" i="1"/>
  <c r="CS699" i="1"/>
  <c r="AK181" i="1"/>
  <c r="AK238" i="1"/>
  <c r="AK203" i="1"/>
  <c r="AK177" i="1"/>
  <c r="AK146" i="1" s="1"/>
  <c r="AK159" i="1"/>
  <c r="DC736" i="1"/>
  <c r="DC602" i="1"/>
  <c r="DC554" i="1"/>
  <c r="DC553" i="1"/>
  <c r="DC528" i="1"/>
  <c r="DC527" i="1"/>
  <c r="DC524" i="1"/>
  <c r="G18" i="23" s="1"/>
  <c r="DC508" i="1"/>
  <c r="DC505" i="1"/>
  <c r="DC492" i="1"/>
  <c r="DC479" i="1"/>
  <c r="DC477" i="1"/>
  <c r="DC476" i="1"/>
  <c r="DC448" i="1"/>
  <c r="DC447" i="1"/>
  <c r="DC446" i="1"/>
  <c r="DC435" i="1"/>
  <c r="DC413" i="1"/>
  <c r="DC411" i="1"/>
  <c r="DC410" i="1"/>
  <c r="DC407" i="1"/>
  <c r="AY16" i="24" s="1"/>
  <c r="DC388" i="1"/>
  <c r="DC386" i="1"/>
  <c r="DC385" i="1"/>
  <c r="DC384" i="1"/>
  <c r="DC383" i="1"/>
  <c r="DC382" i="1"/>
  <c r="DC420" i="1" s="1"/>
  <c r="DC149" i="1"/>
  <c r="DC105" i="1"/>
  <c r="DC104" i="1"/>
  <c r="BE622" i="1"/>
  <c r="BD622" i="1"/>
  <c r="BE520" i="1"/>
  <c r="BD520" i="1"/>
  <c r="BE519" i="1"/>
  <c r="BD519" i="1"/>
  <c r="BE518" i="1"/>
  <c r="BD518" i="1"/>
  <c r="BE517" i="1"/>
  <c r="BD517" i="1"/>
  <c r="BE516" i="1"/>
  <c r="BD516" i="1"/>
  <c r="BE504" i="1"/>
  <c r="BD504" i="1"/>
  <c r="BE503" i="1"/>
  <c r="BD503" i="1"/>
  <c r="BE501" i="1"/>
  <c r="BD501" i="1"/>
  <c r="BE475" i="1"/>
  <c r="BD475" i="1"/>
  <c r="BE474" i="1"/>
  <c r="BD474" i="1"/>
  <c r="BE473" i="1"/>
  <c r="BD473" i="1"/>
  <c r="BE425" i="1"/>
  <c r="BE460" i="1" s="1"/>
  <c r="BE489" i="1" s="1"/>
  <c r="BD425" i="1"/>
  <c r="BD460" i="1" s="1"/>
  <c r="BD489" i="1" s="1"/>
  <c r="BE423" i="1"/>
  <c r="BE458" i="1" s="1"/>
  <c r="BE487" i="1" s="1"/>
  <c r="BD423" i="1"/>
  <c r="BD458" i="1" s="1"/>
  <c r="BD487" i="1" s="1"/>
  <c r="BE422" i="1"/>
  <c r="BE457" i="1" s="1"/>
  <c r="BD422" i="1"/>
  <c r="BD457" i="1" s="1"/>
  <c r="BE420" i="1"/>
  <c r="BD420" i="1"/>
  <c r="BE409" i="1"/>
  <c r="BE421" i="1" s="1"/>
  <c r="BE456" i="1" s="1"/>
  <c r="BD409" i="1"/>
  <c r="BD421" i="1" s="1"/>
  <c r="F36" i="24" l="1"/>
  <c r="CS247" i="1"/>
  <c r="AM252" i="1"/>
  <c r="AK253" i="1"/>
  <c r="AK252" i="1" s="1"/>
  <c r="AK248" i="1"/>
  <c r="AK247" i="1" s="1"/>
  <c r="AM247" i="1"/>
  <c r="AM258" i="1"/>
  <c r="AK204" i="1"/>
  <c r="AL252" i="1"/>
  <c r="CS252" i="1"/>
  <c r="AK147" i="1"/>
  <c r="AL63" i="1"/>
  <c r="AL217" i="1"/>
  <c r="AL53" i="1"/>
  <c r="AK58" i="1"/>
  <c r="AK61" i="1"/>
  <c r="AK55" i="1"/>
  <c r="BD456" i="1"/>
  <c r="BD485" i="1" s="1"/>
  <c r="BE485" i="1"/>
  <c r="DC444" i="1"/>
  <c r="DC455" i="1" s="1"/>
  <c r="DC473" i="1"/>
  <c r="DC475" i="1"/>
  <c r="DC503" i="1"/>
  <c r="DC516" i="1"/>
  <c r="DC518" i="1"/>
  <c r="DC520" i="1"/>
  <c r="BD486" i="1"/>
  <c r="DC423" i="1"/>
  <c r="DC458" i="1" s="1"/>
  <c r="DC487" i="1" s="1"/>
  <c r="DC445" i="1"/>
  <c r="DC474" i="1"/>
  <c r="DC501" i="1"/>
  <c r="DC504" i="1"/>
  <c r="DC517" i="1"/>
  <c r="DC519" i="1"/>
  <c r="DC622" i="1"/>
  <c r="DC422" i="1"/>
  <c r="DC457" i="1" s="1"/>
  <c r="DC425" i="1"/>
  <c r="DC460" i="1" s="1"/>
  <c r="DC489" i="1" s="1"/>
  <c r="BE455" i="1"/>
  <c r="BE484" i="1" s="1"/>
  <c r="DC409" i="1"/>
  <c r="DC421" i="1" s="1"/>
  <c r="BE486" i="1"/>
  <c r="BD455" i="1"/>
  <c r="BD484" i="1" s="1"/>
  <c r="AK670" i="1" l="1"/>
  <c r="F61" i="24"/>
  <c r="AM257" i="1"/>
  <c r="AM259" i="1" s="1"/>
  <c r="AK795" i="1"/>
  <c r="AL258" i="1"/>
  <c r="AL257" i="1"/>
  <c r="DC486" i="1"/>
  <c r="DC484" i="1"/>
  <c r="DC456" i="1"/>
  <c r="DC485" i="1" s="1"/>
  <c r="AM260" i="1" l="1"/>
  <c r="AM261" i="1" s="1"/>
  <c r="AL259" i="1"/>
  <c r="BA566" i="1"/>
  <c r="BB566" i="1" s="1"/>
  <c r="BC566" i="1" s="1"/>
  <c r="BD566" i="1" s="1"/>
  <c r="BE566" i="1" s="1"/>
  <c r="AL260" i="1" l="1"/>
  <c r="AL699" i="1" s="1"/>
  <c r="AM699" i="1"/>
  <c r="DC566" i="1"/>
  <c r="BF566" i="1"/>
  <c r="BG566" i="1" s="1"/>
  <c r="AE411" i="9"/>
  <c r="AE405" i="9"/>
  <c r="AL411" i="9"/>
  <c r="AI410" i="9"/>
  <c r="AI405" i="9"/>
  <c r="AK411" i="9"/>
  <c r="AK410" i="9"/>
  <c r="AK405" i="9"/>
  <c r="AH411" i="9"/>
  <c r="AH410" i="9"/>
  <c r="AH405" i="9"/>
  <c r="AL261" i="1" l="1"/>
  <c r="DD566" i="1"/>
  <c r="BH566" i="1"/>
  <c r="BI566" i="1" s="1"/>
  <c r="AD324" i="9"/>
  <c r="AD323" i="9"/>
  <c r="AI306" i="9"/>
  <c r="AJ318" i="9"/>
  <c r="AH318" i="9"/>
  <c r="AD306" i="9"/>
  <c r="AD318" i="9" s="1"/>
  <c r="AK311" i="9"/>
  <c r="AJ311" i="9"/>
  <c r="AJ312" i="9" s="1"/>
  <c r="AH311" i="9"/>
  <c r="AH312" i="9" s="1"/>
  <c r="AI309" i="9"/>
  <c r="AI308" i="9"/>
  <c r="AI307" i="9"/>
  <c r="AI302" i="9"/>
  <c r="AH321" i="9"/>
  <c r="AH320" i="9"/>
  <c r="AH319" i="9"/>
  <c r="AH314" i="9"/>
  <c r="AJ321" i="9"/>
  <c r="AJ320" i="9"/>
  <c r="AJ319" i="9"/>
  <c r="AJ314" i="9"/>
  <c r="AK321" i="9"/>
  <c r="AD309" i="9"/>
  <c r="AD321" i="9" s="1"/>
  <c r="AD308" i="9"/>
  <c r="AD320" i="9" s="1"/>
  <c r="AD307" i="9"/>
  <c r="AD319" i="9" s="1"/>
  <c r="AD302" i="9"/>
  <c r="AD314" i="9" s="1"/>
  <c r="AK319" i="9"/>
  <c r="AK320" i="9"/>
  <c r="AK314" i="9"/>
  <c r="AL314" i="9" s="1"/>
  <c r="B277" i="9"/>
  <c r="AF429" i="9"/>
  <c r="AF457" i="9" s="1"/>
  <c r="AF428" i="9"/>
  <c r="AF456" i="9" s="1"/>
  <c r="AF427" i="9"/>
  <c r="AF455" i="9" s="1"/>
  <c r="AF426" i="9"/>
  <c r="AF454" i="9" s="1"/>
  <c r="AF422" i="9"/>
  <c r="AF450" i="9" s="1"/>
  <c r="AF421" i="9"/>
  <c r="AF449" i="9" s="1"/>
  <c r="AF420" i="9"/>
  <c r="AF448" i="9" s="1"/>
  <c r="AF419" i="9"/>
  <c r="AF447" i="9" s="1"/>
  <c r="AE436" i="9"/>
  <c r="AE435" i="9"/>
  <c r="AE434" i="9"/>
  <c r="AE433" i="9"/>
  <c r="AE430" i="9"/>
  <c r="AE423" i="9"/>
  <c r="AH436" i="9"/>
  <c r="AH435" i="9"/>
  <c r="AH434" i="9"/>
  <c r="AH433" i="9"/>
  <c r="AI429" i="9"/>
  <c r="AI457" i="9" s="1"/>
  <c r="AI428" i="9"/>
  <c r="AI456" i="9" s="1"/>
  <c r="AI427" i="9"/>
  <c r="AI455" i="9" s="1"/>
  <c r="AI426" i="9"/>
  <c r="AI454" i="9" s="1"/>
  <c r="AH430" i="9"/>
  <c r="AI422" i="9"/>
  <c r="AI450" i="9" s="1"/>
  <c r="AI421" i="9"/>
  <c r="AI449" i="9" s="1"/>
  <c r="AI420" i="9"/>
  <c r="AI448" i="9" s="1"/>
  <c r="AI419" i="9"/>
  <c r="AI447" i="9" s="1"/>
  <c r="AH423" i="9"/>
  <c r="AK436" i="9"/>
  <c r="AL436" i="9" s="1"/>
  <c r="AL464" i="9" s="1"/>
  <c r="AK435" i="9"/>
  <c r="AL435" i="9" s="1"/>
  <c r="AL463" i="9" s="1"/>
  <c r="AK434" i="9"/>
  <c r="AL434" i="9" s="1"/>
  <c r="AL462" i="9" s="1"/>
  <c r="AK433" i="9"/>
  <c r="AL433" i="9" s="1"/>
  <c r="AL461" i="9" s="1"/>
  <c r="AK430" i="9"/>
  <c r="AL430" i="9" s="1"/>
  <c r="AK423" i="9"/>
  <c r="AL423" i="9" s="1"/>
  <c r="AI321" i="9" l="1"/>
  <c r="AI320" i="9"/>
  <c r="DE566" i="1"/>
  <c r="BJ566" i="1"/>
  <c r="AI312" i="9"/>
  <c r="AI318" i="9"/>
  <c r="AI319" i="9"/>
  <c r="AK312" i="9"/>
  <c r="AL312" i="9" s="1"/>
  <c r="AL311" i="9"/>
  <c r="AK437" i="9"/>
  <c r="AL437" i="9" s="1"/>
  <c r="AH323" i="9"/>
  <c r="AH324" i="9" s="1"/>
  <c r="AJ323" i="9"/>
  <c r="AJ324" i="9" s="1"/>
  <c r="AK323" i="9"/>
  <c r="AK324" i="9" s="1"/>
  <c r="AI314" i="9"/>
  <c r="AI311" i="9"/>
  <c r="AE437" i="9"/>
  <c r="AH437" i="9"/>
  <c r="BK566" i="1" l="1"/>
  <c r="AI324" i="9"/>
  <c r="AI323" i="9"/>
  <c r="DF566" i="1" l="1"/>
  <c r="BL566" i="1"/>
  <c r="BM566" i="1" s="1"/>
  <c r="J6" i="7"/>
  <c r="Z101" i="8"/>
  <c r="Y101" i="8"/>
  <c r="X101" i="8"/>
  <c r="W101" i="8"/>
  <c r="V101" i="8"/>
  <c r="U101" i="8"/>
  <c r="T101" i="8"/>
  <c r="S101" i="8"/>
  <c r="R101" i="8"/>
  <c r="Q101" i="8"/>
  <c r="DG566" i="1" l="1"/>
  <c r="BN566" i="1"/>
  <c r="BO566" i="1" s="1"/>
  <c r="BE735" i="1"/>
  <c r="Z56" i="24" l="1"/>
  <c r="DH566" i="1"/>
  <c r="BP566" i="1"/>
  <c r="BQ566" i="1" s="1"/>
  <c r="DI566" i="1" s="1"/>
  <c r="BD735" i="1" l="1"/>
  <c r="DC135" i="1"/>
  <c r="DC735" i="1" s="1"/>
  <c r="DC138" i="1"/>
  <c r="G52" i="23" s="1"/>
  <c r="DC523" i="1"/>
  <c r="AM334" i="9"/>
  <c r="AM321" i="9" s="1"/>
  <c r="AL321" i="9" s="1"/>
  <c r="AL332" i="9"/>
  <c r="AM332" i="9" s="1"/>
  <c r="AM333" i="9"/>
  <c r="AK345" i="9"/>
  <c r="AI331" i="9"/>
  <c r="AK298" i="9"/>
  <c r="AK294" i="9"/>
  <c r="AL295" i="9" s="1"/>
  <c r="AH294" i="9"/>
  <c r="AK268" i="9"/>
  <c r="AK259" i="9"/>
  <c r="AK258" i="9"/>
  <c r="AM40" i="9"/>
  <c r="G19" i="23" l="1"/>
  <c r="AY56" i="24"/>
  <c r="G49" i="23"/>
  <c r="Y56" i="24"/>
  <c r="AP333" i="9"/>
  <c r="AM320" i="9"/>
  <c r="AL320" i="9" s="1"/>
  <c r="AK278" i="9"/>
  <c r="AL270" i="9"/>
  <c r="AL269" i="9"/>
  <c r="AL458" i="9"/>
  <c r="AL451" i="9"/>
  <c r="AL465" i="9"/>
  <c r="AM298" i="9"/>
  <c r="AL299" i="9"/>
  <c r="AK388" i="9"/>
  <c r="AP332" i="9"/>
  <c r="AM319" i="9"/>
  <c r="AK276" i="9"/>
  <c r="AK274" i="9"/>
  <c r="AK277" i="9"/>
  <c r="AK275" i="9"/>
  <c r="AS332" i="9" l="1"/>
  <c r="AN332" i="9"/>
  <c r="AN271" i="9"/>
  <c r="AL319" i="9"/>
  <c r="AM323" i="9"/>
  <c r="AS333" i="9"/>
  <c r="AV333" i="9" s="1"/>
  <c r="AY333" i="9" s="1"/>
  <c r="AN333" i="9"/>
  <c r="BB333" i="9" l="1"/>
  <c r="AW333" i="9"/>
  <c r="AX333" i="9" s="1"/>
  <c r="AM324" i="9"/>
  <c r="AL324" i="9" s="1"/>
  <c r="AL323" i="9"/>
  <c r="AV332" i="9"/>
  <c r="AQ332" i="9"/>
  <c r="AR332" i="9" s="1"/>
  <c r="AJ713" i="1"/>
  <c r="AK216" i="9"/>
  <c r="AK179" i="9"/>
  <c r="AK111" i="9"/>
  <c r="AL111" i="9" s="1"/>
  <c r="AJ115" i="1"/>
  <c r="AJ103" i="1"/>
  <c r="AJ434" i="1" s="1"/>
  <c r="AI103" i="1"/>
  <c r="AJ59" i="1"/>
  <c r="AJ57" i="1"/>
  <c r="AJ56" i="1"/>
  <c r="AJ52" i="1"/>
  <c r="AJ839" i="1"/>
  <c r="AJ827" i="1"/>
  <c r="AJ824" i="1"/>
  <c r="AJ821" i="1"/>
  <c r="AJ818" i="1"/>
  <c r="AJ815" i="1"/>
  <c r="AJ814" i="1"/>
  <c r="AJ737" i="1"/>
  <c r="AJ763" i="1" s="1"/>
  <c r="AJ735" i="1"/>
  <c r="AJ703" i="1"/>
  <c r="AJ696" i="1"/>
  <c r="AJ665" i="1"/>
  <c r="AJ677" i="1" s="1"/>
  <c r="AJ663" i="1"/>
  <c r="AJ680" i="1"/>
  <c r="AJ634" i="1"/>
  <c r="AJ633" i="1"/>
  <c r="AJ626" i="1"/>
  <c r="AJ625" i="1"/>
  <c r="AJ621" i="1"/>
  <c r="AJ610" i="1"/>
  <c r="AJ611" i="1" s="1"/>
  <c r="AJ601" i="1"/>
  <c r="BA601" i="1" s="1"/>
  <c r="BB601" i="1" s="1"/>
  <c r="BC601" i="1" s="1"/>
  <c r="BD601" i="1" s="1"/>
  <c r="BE601" i="1" s="1"/>
  <c r="AJ583" i="1"/>
  <c r="AJ584" i="1" s="1"/>
  <c r="AJ589" i="1"/>
  <c r="AJ588" i="1"/>
  <c r="AJ546" i="1"/>
  <c r="AJ522" i="1"/>
  <c r="AJ520" i="1"/>
  <c r="AJ519" i="1"/>
  <c r="AJ518" i="1"/>
  <c r="AJ517" i="1"/>
  <c r="AJ516" i="1"/>
  <c r="AJ504" i="1"/>
  <c r="AJ503" i="1"/>
  <c r="AJ501" i="1"/>
  <c r="AJ470" i="1"/>
  <c r="AJ479" i="1"/>
  <c r="AJ475" i="1"/>
  <c r="AJ474" i="1"/>
  <c r="AJ473" i="1"/>
  <c r="AJ450" i="1"/>
  <c r="AJ445" i="1"/>
  <c r="AJ444" i="1"/>
  <c r="AJ425" i="1"/>
  <c r="AJ460" i="1" s="1"/>
  <c r="AJ489" i="1" s="1"/>
  <c r="AJ423" i="1"/>
  <c r="AJ458" i="1" s="1"/>
  <c r="AJ487" i="1" s="1"/>
  <c r="AJ422" i="1"/>
  <c r="AJ457" i="1" s="1"/>
  <c r="AJ420" i="1"/>
  <c r="AJ409" i="1"/>
  <c r="AJ421" i="1" s="1"/>
  <c r="AJ388" i="1"/>
  <c r="AJ318" i="1"/>
  <c r="AJ262" i="1"/>
  <c r="AJ254" i="1"/>
  <c r="AJ253" i="1" s="1"/>
  <c r="AJ249" i="1"/>
  <c r="AJ248" i="1" s="1"/>
  <c r="AJ244" i="1"/>
  <c r="AJ243" i="1" s="1"/>
  <c r="AJ234" i="1"/>
  <c r="AJ237" i="1" s="1"/>
  <c r="E68" i="24" s="1"/>
  <c r="AJ227" i="1"/>
  <c r="AJ222" i="1"/>
  <c r="AJ209" i="1"/>
  <c r="AJ205" i="1"/>
  <c r="AJ197" i="1"/>
  <c r="AJ191" i="1"/>
  <c r="AJ190" i="1"/>
  <c r="AJ185" i="1"/>
  <c r="AJ184" i="1"/>
  <c r="AJ176" i="1"/>
  <c r="AJ171" i="1"/>
  <c r="AJ165" i="1"/>
  <c r="AK223" i="1" s="1"/>
  <c r="AJ161" i="1"/>
  <c r="AJ160" i="1"/>
  <c r="AJ122" i="1"/>
  <c r="AJ101" i="1"/>
  <c r="AJ762" i="1" l="1"/>
  <c r="E56" i="24"/>
  <c r="AJ486" i="1"/>
  <c r="AJ202" i="1"/>
  <c r="AL142" i="9"/>
  <c r="AL140" i="9"/>
  <c r="AL116" i="9"/>
  <c r="AY332" i="9"/>
  <c r="AT332" i="9"/>
  <c r="AU332" i="9" s="1"/>
  <c r="BE333" i="9"/>
  <c r="BC333" i="9" s="1"/>
  <c r="BD333" i="9" s="1"/>
  <c r="AZ333" i="9"/>
  <c r="BA333" i="9" s="1"/>
  <c r="AJ178" i="1"/>
  <c r="AK215" i="1"/>
  <c r="AK232" i="1" s="1"/>
  <c r="AK233" i="1" s="1"/>
  <c r="AK228" i="1"/>
  <c r="AK60" i="1"/>
  <c r="DC601" i="1"/>
  <c r="BF601" i="1"/>
  <c r="BG601" i="1" s="1"/>
  <c r="AK218" i="1"/>
  <c r="AK54" i="1"/>
  <c r="AK266" i="1"/>
  <c r="AK64" i="1"/>
  <c r="AJ186" i="1"/>
  <c r="AJ198" i="1"/>
  <c r="AK216" i="1"/>
  <c r="AJ192" i="1"/>
  <c r="AJ603" i="1"/>
  <c r="AJ139" i="1"/>
  <c r="AJ443" i="1"/>
  <c r="AJ455" i="1"/>
  <c r="AJ484" i="1" s="1"/>
  <c r="AJ456" i="1"/>
  <c r="AJ485" i="1" s="1"/>
  <c r="AJ208" i="1"/>
  <c r="AJ238" i="1"/>
  <c r="AJ536" i="1"/>
  <c r="AJ203" i="1"/>
  <c r="AJ472" i="1"/>
  <c r="AJ635" i="1"/>
  <c r="AK218" i="9"/>
  <c r="AK181" i="9"/>
  <c r="AK116" i="9"/>
  <c r="AJ612" i="1"/>
  <c r="AJ507" i="1"/>
  <c r="AJ415" i="1"/>
  <c r="AJ427" i="1" s="1"/>
  <c r="AJ462" i="1" s="1"/>
  <c r="AJ491" i="1" s="1"/>
  <c r="AJ102" i="1"/>
  <c r="AJ159" i="1"/>
  <c r="E28" i="24" l="1"/>
  <c r="AJ177" i="1"/>
  <c r="AJ114" i="1" s="1"/>
  <c r="E59" i="24"/>
  <c r="E35" i="24"/>
  <c r="AJ204" i="1"/>
  <c r="DD601" i="1"/>
  <c r="BH601" i="1"/>
  <c r="BI601" i="1" s="1"/>
  <c r="AJ667" i="1"/>
  <c r="AJ181" i="1"/>
  <c r="AJ812" i="1" s="1"/>
  <c r="BB332" i="9"/>
  <c r="AW332" i="9"/>
  <c r="AX332" i="9" s="1"/>
  <c r="AJ623" i="1"/>
  <c r="CS536" i="1"/>
  <c r="AJ441" i="1"/>
  <c r="E26" i="24" s="1"/>
  <c r="AL98" i="1"/>
  <c r="AK217" i="1"/>
  <c r="AK265" i="1"/>
  <c r="AK267" i="1" s="1"/>
  <c r="AK63" i="1"/>
  <c r="AJ58" i="1"/>
  <c r="AJ61" i="1"/>
  <c r="AK53" i="1"/>
  <c r="AJ55" i="1"/>
  <c r="AJ471" i="1"/>
  <c r="AJ826" i="1"/>
  <c r="AJ820" i="1"/>
  <c r="AJ116" i="1"/>
  <c r="AJ823" i="1"/>
  <c r="AJ817" i="1"/>
  <c r="AJ795" i="1"/>
  <c r="E36" i="24" l="1"/>
  <c r="AJ670" i="1"/>
  <c r="E61" i="24"/>
  <c r="DE601" i="1"/>
  <c r="BJ601" i="1"/>
  <c r="AJ813" i="1"/>
  <c r="AJ816" i="1"/>
  <c r="AJ819" i="1"/>
  <c r="AJ147" i="1"/>
  <c r="AJ825" i="1"/>
  <c r="AJ822" i="1"/>
  <c r="BE332" i="9"/>
  <c r="BC332" i="9" s="1"/>
  <c r="BD332" i="9" s="1"/>
  <c r="AZ332" i="9"/>
  <c r="BA332" i="9" s="1"/>
  <c r="AK258" i="1"/>
  <c r="AK257" i="1"/>
  <c r="AI34" i="9"/>
  <c r="AI416" i="1"/>
  <c r="AH509" i="1"/>
  <c r="AH416" i="1"/>
  <c r="AI506" i="1"/>
  <c r="AH506" i="1"/>
  <c r="AI414" i="1"/>
  <c r="AH414" i="1"/>
  <c r="BK601" i="1" l="1"/>
  <c r="AK259" i="1"/>
  <c r="B444" i="9"/>
  <c r="B472" i="9" s="1"/>
  <c r="B443" i="9"/>
  <c r="B471" i="9" s="1"/>
  <c r="B442" i="9"/>
  <c r="B470" i="9" s="1"/>
  <c r="B441" i="9"/>
  <c r="B469" i="9" s="1"/>
  <c r="B440" i="9"/>
  <c r="B468" i="9" s="1"/>
  <c r="B437" i="9"/>
  <c r="B465" i="9" s="1"/>
  <c r="AJ436" i="9"/>
  <c r="AG436" i="9"/>
  <c r="B436" i="9"/>
  <c r="B464" i="9" s="1"/>
  <c r="AJ435" i="9"/>
  <c r="AG435" i="9"/>
  <c r="B435" i="9"/>
  <c r="B463" i="9" s="1"/>
  <c r="AJ434" i="9"/>
  <c r="AG434" i="9"/>
  <c r="B434" i="9"/>
  <c r="B462" i="9" s="1"/>
  <c r="AJ433" i="9"/>
  <c r="AG433" i="9"/>
  <c r="B433" i="9"/>
  <c r="B461" i="9" s="1"/>
  <c r="AJ430" i="9"/>
  <c r="AG430" i="9"/>
  <c r="B430" i="9"/>
  <c r="B458" i="9" s="1"/>
  <c r="B429" i="9"/>
  <c r="B457" i="9" s="1"/>
  <c r="B428" i="9"/>
  <c r="B456" i="9" s="1"/>
  <c r="B427" i="9"/>
  <c r="B455" i="9" s="1"/>
  <c r="B426" i="9"/>
  <c r="B454" i="9" s="1"/>
  <c r="AJ423" i="9"/>
  <c r="AG423" i="9"/>
  <c r="B423" i="9"/>
  <c r="B451" i="9" s="1"/>
  <c r="B422" i="9"/>
  <c r="B450" i="9" s="1"/>
  <c r="B421" i="9"/>
  <c r="B449" i="9" s="1"/>
  <c r="B420" i="9"/>
  <c r="B448" i="9" s="1"/>
  <c r="B419" i="9"/>
  <c r="B447" i="9" s="1"/>
  <c r="AH397" i="9"/>
  <c r="AE397" i="9"/>
  <c r="AB397" i="9"/>
  <c r="AH396" i="9"/>
  <c r="AB395" i="9"/>
  <c r="AB394" i="9"/>
  <c r="AH391" i="9"/>
  <c r="AF391" i="9"/>
  <c r="AE391" i="9"/>
  <c r="AK260" i="1" l="1"/>
  <c r="AK261" i="1" s="1"/>
  <c r="DF601" i="1"/>
  <c r="BL601" i="1"/>
  <c r="BM601" i="1" s="1"/>
  <c r="AK699" i="1"/>
  <c r="AF430" i="9"/>
  <c r="AI433" i="9"/>
  <c r="AI461" i="9" s="1"/>
  <c r="AF436" i="9"/>
  <c r="AF464" i="9" s="1"/>
  <c r="AF423" i="9"/>
  <c r="AI430" i="9"/>
  <c r="AF435" i="9"/>
  <c r="AF463" i="9" s="1"/>
  <c r="AF434" i="9"/>
  <c r="AF462" i="9" s="1"/>
  <c r="AI435" i="9"/>
  <c r="AI463" i="9" s="1"/>
  <c r="AI436" i="9"/>
  <c r="AI464" i="9" s="1"/>
  <c r="AI423" i="9"/>
  <c r="AF433" i="9"/>
  <c r="AF461" i="9" s="1"/>
  <c r="AI434" i="9"/>
  <c r="AI462" i="9" s="1"/>
  <c r="AG437" i="9"/>
  <c r="AJ437" i="9"/>
  <c r="DG601" i="1" l="1"/>
  <c r="BN601" i="1"/>
  <c r="BO601" i="1" s="1"/>
  <c r="AI437" i="9"/>
  <c r="AF437" i="9"/>
  <c r="AI173" i="9"/>
  <c r="AH173" i="9"/>
  <c r="AF173" i="9"/>
  <c r="AE15" i="9"/>
  <c r="AE173" i="9" s="1"/>
  <c r="AJ15" i="9"/>
  <c r="AE39" i="9"/>
  <c r="AF171" i="9"/>
  <c r="AG171" i="9"/>
  <c r="AI171" i="9"/>
  <c r="AI13" i="9" s="1"/>
  <c r="AI14" i="9" s="1"/>
  <c r="AH171" i="9"/>
  <c r="AI345" i="9"/>
  <c r="AJ345" i="9" s="1"/>
  <c r="AJ292" i="9"/>
  <c r="AJ291" i="9"/>
  <c r="AJ284" i="9"/>
  <c r="AI294" i="9"/>
  <c r="AI342" i="9" s="1"/>
  <c r="AJ267" i="9"/>
  <c r="AJ266" i="9"/>
  <c r="AJ265" i="9"/>
  <c r="AJ264" i="9"/>
  <c r="AI268" i="9"/>
  <c r="AJ232" i="9"/>
  <c r="AH232" i="9" s="1"/>
  <c r="AH236" i="9"/>
  <c r="AH235" i="9"/>
  <c r="AH234" i="9"/>
  <c r="AI40" i="9"/>
  <c r="AJ39" i="9"/>
  <c r="AJ42" i="9"/>
  <c r="AJ41" i="9"/>
  <c r="DH601" i="1" l="1"/>
  <c r="BP601" i="1"/>
  <c r="BQ601" i="1" s="1"/>
  <c r="DI601" i="1" s="1"/>
  <c r="AG173" i="9" a="1"/>
  <c r="AG173" i="9" s="1"/>
  <c r="AF172" i="9"/>
  <c r="AH172" i="9"/>
  <c r="AM457" i="9"/>
  <c r="AM450" i="9"/>
  <c r="AM464" i="9"/>
  <c r="AM443" i="9"/>
  <c r="AM454" i="9"/>
  <c r="AM447" i="9"/>
  <c r="AM461" i="9"/>
  <c r="AM440" i="9"/>
  <c r="AM455" i="9"/>
  <c r="AM448" i="9"/>
  <c r="AM462" i="9"/>
  <c r="AM441" i="9"/>
  <c r="AM442" i="9"/>
  <c r="AM456" i="9"/>
  <c r="AM449" i="9"/>
  <c r="AM463" i="9"/>
  <c r="AK456" i="9"/>
  <c r="AK449" i="9"/>
  <c r="AK463" i="9"/>
  <c r="AK442" i="9"/>
  <c r="AK470" i="9" s="1"/>
  <c r="AK450" i="9"/>
  <c r="AK457" i="9"/>
  <c r="AK464" i="9"/>
  <c r="AK443" i="9"/>
  <c r="AK471" i="9" s="1"/>
  <c r="AJ171" i="9"/>
  <c r="AK454" i="9"/>
  <c r="AK447" i="9"/>
  <c r="AK461" i="9"/>
  <c r="AK440" i="9"/>
  <c r="AK468" i="9" s="1"/>
  <c r="AK455" i="9"/>
  <c r="AK448" i="9"/>
  <c r="AK462" i="9"/>
  <c r="AK441" i="9"/>
  <c r="AK469" i="9" s="1"/>
  <c r="AH13" i="9"/>
  <c r="AH14" i="9" s="1"/>
  <c r="AE171" i="9"/>
  <c r="AE172" i="9" s="1"/>
  <c r="AI172" i="9"/>
  <c r="AJ173" i="9" a="1"/>
  <c r="AJ173" i="9" s="1"/>
  <c r="AJ268" i="9"/>
  <c r="AI274" i="9"/>
  <c r="AI275" i="9"/>
  <c r="AI276" i="9"/>
  <c r="AI277" i="9"/>
  <c r="AI278" i="9"/>
  <c r="AJ294" i="9"/>
  <c r="AM295" i="9" s="1"/>
  <c r="AG172" i="9" l="1"/>
  <c r="AJ172" i="9"/>
  <c r="AL441" i="9"/>
  <c r="AL469" i="9" s="1"/>
  <c r="AM469" i="9"/>
  <c r="AM468" i="9"/>
  <c r="AL440" i="9"/>
  <c r="AL468" i="9" s="1"/>
  <c r="AM471" i="9"/>
  <c r="AL443" i="9"/>
  <c r="AL471" i="9" s="1"/>
  <c r="AM458" i="9"/>
  <c r="AM451" i="9"/>
  <c r="AM269" i="9"/>
  <c r="AM465" i="9"/>
  <c r="AM470" i="9"/>
  <c r="AL442" i="9"/>
  <c r="AL470" i="9" s="1"/>
  <c r="AK270" i="9"/>
  <c r="AK451" i="9"/>
  <c r="AK458" i="9"/>
  <c r="AK465" i="9"/>
  <c r="AK269" i="9"/>
  <c r="AK444" i="9"/>
  <c r="AK472" i="9" s="1"/>
  <c r="AJ13" i="9"/>
  <c r="AK339" i="9"/>
  <c r="AK295" i="9"/>
  <c r="AJ278" i="9"/>
  <c r="AJ275" i="9"/>
  <c r="AJ274" i="9"/>
  <c r="AJ276" i="9"/>
  <c r="AJ277" i="9"/>
  <c r="AM270" i="9" l="1"/>
  <c r="AL271" i="9"/>
  <c r="CQ254" i="1"/>
  <c r="CQ249" i="1"/>
  <c r="CR254" i="1"/>
  <c r="CR249" i="1"/>
  <c r="CR244" i="1"/>
  <c r="AI546" i="1"/>
  <c r="AI524" i="1"/>
  <c r="CR546" i="1" l="1"/>
  <c r="CS546" i="1"/>
  <c r="CR242" i="1"/>
  <c r="AH243" i="1"/>
  <c r="AH242" i="1" s="1"/>
  <c r="AJ242" i="1"/>
  <c r="AJ94" i="9"/>
  <c r="AJ61" i="9"/>
  <c r="AI113" i="9"/>
  <c r="AI112" i="9"/>
  <c r="AI120" i="9"/>
  <c r="AI119" i="9"/>
  <c r="AJ118" i="9"/>
  <c r="AJ93" i="9"/>
  <c r="AJ77" i="9"/>
  <c r="AI73" i="9"/>
  <c r="AI397" i="9"/>
  <c r="AI59" i="1"/>
  <c r="AI57" i="1"/>
  <c r="AI56" i="1"/>
  <c r="AI52" i="1"/>
  <c r="AI467" i="1"/>
  <c r="AI141" i="1"/>
  <c r="AI143" i="1" s="1"/>
  <c r="CR712" i="1"/>
  <c r="CR710" i="1"/>
  <c r="CR709" i="1"/>
  <c r="CR708" i="1"/>
  <c r="CR706" i="1"/>
  <c r="CR543" i="1"/>
  <c r="CR262" i="1"/>
  <c r="CR219" i="1"/>
  <c r="AI839" i="1"/>
  <c r="AI827" i="1"/>
  <c r="AI824" i="1"/>
  <c r="AI821" i="1"/>
  <c r="AI818" i="1"/>
  <c r="AI815" i="1"/>
  <c r="AI814" i="1"/>
  <c r="AI737" i="1"/>
  <c r="AI763" i="1" s="1"/>
  <c r="AI735" i="1"/>
  <c r="AI713" i="1"/>
  <c r="AI704" i="1"/>
  <c r="AI703" i="1"/>
  <c r="AI696" i="1"/>
  <c r="AI665" i="1"/>
  <c r="AI677" i="1" s="1"/>
  <c r="AI663" i="1"/>
  <c r="AI661" i="1"/>
  <c r="AI680" i="1"/>
  <c r="AI634" i="1"/>
  <c r="AI633" i="1"/>
  <c r="AI626" i="1"/>
  <c r="AI625" i="1"/>
  <c r="AI621" i="1"/>
  <c r="AI610" i="1"/>
  <c r="AI611" i="1" s="1"/>
  <c r="AI601" i="1"/>
  <c r="AI599" i="1"/>
  <c r="AI583" i="1"/>
  <c r="AI589" i="1"/>
  <c r="AI588" i="1"/>
  <c r="AI571" i="1"/>
  <c r="AJ627" i="1" s="1"/>
  <c r="AI522" i="1"/>
  <c r="AI536" i="1" s="1"/>
  <c r="AI520" i="1"/>
  <c r="AI519" i="1"/>
  <c r="AI518" i="1"/>
  <c r="AI517" i="1"/>
  <c r="AI516" i="1"/>
  <c r="AI504" i="1"/>
  <c r="AI503" i="1"/>
  <c r="AI501" i="1"/>
  <c r="AI470" i="1"/>
  <c r="AI479" i="1"/>
  <c r="AI475" i="1"/>
  <c r="AI474" i="1"/>
  <c r="AI473" i="1"/>
  <c r="AI450" i="1"/>
  <c r="AI445" i="1"/>
  <c r="AI444" i="1"/>
  <c r="AI442" i="1"/>
  <c r="D27" i="24" s="1"/>
  <c r="AI425" i="1"/>
  <c r="AI460" i="1" s="1"/>
  <c r="AI489" i="1" s="1"/>
  <c r="AI423" i="1"/>
  <c r="AI458" i="1" s="1"/>
  <c r="AI487" i="1" s="1"/>
  <c r="AI422" i="1"/>
  <c r="AI457" i="1" s="1"/>
  <c r="AI420" i="1"/>
  <c r="AI415" i="1"/>
  <c r="AI409" i="1"/>
  <c r="AI421" i="1" s="1"/>
  <c r="AI388" i="1"/>
  <c r="AI381" i="1"/>
  <c r="AI318" i="1"/>
  <c r="AI254" i="1"/>
  <c r="AI244" i="1"/>
  <c r="AI243" i="1" s="1"/>
  <c r="AI242" i="1" s="1"/>
  <c r="AI249" i="1"/>
  <c r="AI262" i="1"/>
  <c r="AI234" i="1"/>
  <c r="AI237" i="1" s="1"/>
  <c r="D68" i="24" s="1"/>
  <c r="AI227" i="1"/>
  <c r="AI222" i="1"/>
  <c r="AI209" i="1"/>
  <c r="AJ64" i="1" s="1"/>
  <c r="CR196" i="1"/>
  <c r="AI197" i="1"/>
  <c r="CR197" i="1" s="1"/>
  <c r="AI191" i="1"/>
  <c r="CR191" i="1" s="1"/>
  <c r="AI190" i="1"/>
  <c r="CR190" i="1" s="1"/>
  <c r="AI185" i="1"/>
  <c r="CR185" i="1" s="1"/>
  <c r="AI184" i="1"/>
  <c r="CR184" i="1" s="1"/>
  <c r="AI205" i="1"/>
  <c r="AI176" i="1"/>
  <c r="AI171" i="1"/>
  <c r="AI165" i="1"/>
  <c r="AJ223" i="1" s="1"/>
  <c r="AI160" i="1"/>
  <c r="AI158" i="1"/>
  <c r="AI161" i="1"/>
  <c r="AJ215" i="1" s="1"/>
  <c r="AJ232" i="1" s="1"/>
  <c r="AJ233" i="1" s="1"/>
  <c r="AH161" i="1"/>
  <c r="AI122" i="1"/>
  <c r="AI434" i="1"/>
  <c r="AI101" i="1"/>
  <c r="AI762" i="1" l="1"/>
  <c r="D56" i="24"/>
  <c r="AI238" i="1"/>
  <c r="D8" i="24"/>
  <c r="AI456" i="1"/>
  <c r="AI485" i="1" s="1"/>
  <c r="AI215" i="1"/>
  <c r="AI232" i="1" s="1"/>
  <c r="AI233" i="1" s="1"/>
  <c r="AK118" i="9"/>
  <c r="AN122" i="9" s="1"/>
  <c r="AM122" i="9"/>
  <c r="AI178" i="1"/>
  <c r="AI584" i="1"/>
  <c r="AI603" i="1"/>
  <c r="AJ228" i="1"/>
  <c r="AJ60" i="1"/>
  <c r="CR248" i="1"/>
  <c r="CR247" i="1" s="1"/>
  <c r="AI486" i="1"/>
  <c r="AJ216" i="1"/>
  <c r="AJ702" i="1"/>
  <c r="AJ698" i="1"/>
  <c r="AJ218" i="1"/>
  <c r="AJ54" i="1"/>
  <c r="AI468" i="1"/>
  <c r="AI469" i="1" s="1"/>
  <c r="AI198" i="1"/>
  <c r="AI208" i="1"/>
  <c r="AJ63" i="1" s="1"/>
  <c r="AJ266" i="1"/>
  <c r="AI396" i="9"/>
  <c r="AI391" i="9"/>
  <c r="AI443" i="1"/>
  <c r="AI472" i="1"/>
  <c r="AI427" i="1"/>
  <c r="AI462" i="1" s="1"/>
  <c r="AI491" i="1" s="1"/>
  <c r="AI102" i="1"/>
  <c r="AI203" i="1"/>
  <c r="AI455" i="1"/>
  <c r="AI484" i="1" s="1"/>
  <c r="AI623" i="1"/>
  <c r="CR234" i="1"/>
  <c r="AI635" i="1"/>
  <c r="AI612" i="1"/>
  <c r="AI507" i="1"/>
  <c r="AI186" i="1"/>
  <c r="AI202" i="1"/>
  <c r="AI192" i="1"/>
  <c r="AI159" i="1"/>
  <c r="AJ217" i="1" s="1"/>
  <c r="AJ142" i="9"/>
  <c r="Z142" i="9"/>
  <c r="AJ141" i="9"/>
  <c r="AI141" i="9"/>
  <c r="Z141" i="9"/>
  <c r="AJ140" i="9"/>
  <c r="Z140" i="9"/>
  <c r="AJ139" i="9"/>
  <c r="AI139" i="9"/>
  <c r="Z139" i="9"/>
  <c r="AF120" i="9"/>
  <c r="AG120" i="9" s="1"/>
  <c r="AF119" i="9"/>
  <c r="AG119" i="9" s="1"/>
  <c r="D28" i="24" l="1"/>
  <c r="AI181" i="1"/>
  <c r="AI819" i="1" s="1"/>
  <c r="D59" i="24"/>
  <c r="AI465" i="1"/>
  <c r="AI711" i="1" s="1"/>
  <c r="D35" i="24"/>
  <c r="AK139" i="9"/>
  <c r="AK141" i="9"/>
  <c r="AK142" i="9"/>
  <c r="AK140" i="9"/>
  <c r="AI813" i="1"/>
  <c r="AI667" i="1"/>
  <c r="AI177" i="1"/>
  <c r="AI812" i="1"/>
  <c r="AI248" i="1"/>
  <c r="AI247" i="1" s="1"/>
  <c r="AJ247" i="1"/>
  <c r="CR253" i="1"/>
  <c r="CR252" i="1" s="1"/>
  <c r="AI430" i="1"/>
  <c r="AK98" i="1"/>
  <c r="AI204" i="1"/>
  <c r="D61" i="24" s="1"/>
  <c r="AI441" i="1"/>
  <c r="D26" i="24" s="1"/>
  <c r="AJ53" i="1"/>
  <c r="AJ468" i="1"/>
  <c r="AI58" i="1"/>
  <c r="AI55" i="1"/>
  <c r="AI152" i="1"/>
  <c r="AJ265" i="1"/>
  <c r="AJ267" i="1" s="1"/>
  <c r="AI61" i="1"/>
  <c r="AI471" i="1"/>
  <c r="AI823" i="1"/>
  <c r="AI817" i="1"/>
  <c r="AI826" i="1"/>
  <c r="AI820" i="1"/>
  <c r="CR237" i="1"/>
  <c r="AN68" i="24" s="1"/>
  <c r="DB736" i="1"/>
  <c r="DB602" i="1"/>
  <c r="DB554" i="1"/>
  <c r="DB553" i="1"/>
  <c r="DB528" i="1"/>
  <c r="DB527" i="1"/>
  <c r="DB524" i="1"/>
  <c r="F18" i="23" s="1"/>
  <c r="DB523" i="1"/>
  <c r="DB508" i="1"/>
  <c r="DB505" i="1"/>
  <c r="DB492" i="1"/>
  <c r="DB479" i="1"/>
  <c r="DB477" i="1"/>
  <c r="DB476" i="1"/>
  <c r="DB448" i="1"/>
  <c r="DB447" i="1"/>
  <c r="DB446" i="1"/>
  <c r="DB435" i="1"/>
  <c r="DB413" i="1"/>
  <c r="DB411" i="1"/>
  <c r="DB410" i="1"/>
  <c r="DB407" i="1"/>
  <c r="AX16" i="24" s="1"/>
  <c r="DB388" i="1"/>
  <c r="DB386" i="1"/>
  <c r="DB385" i="1"/>
  <c r="DB384" i="1"/>
  <c r="DB383" i="1"/>
  <c r="DB382" i="1"/>
  <c r="DB420" i="1" s="1"/>
  <c r="DB149" i="1"/>
  <c r="DB105" i="1"/>
  <c r="DB104" i="1"/>
  <c r="BC622" i="1"/>
  <c r="BB622" i="1"/>
  <c r="BC520" i="1"/>
  <c r="BB520" i="1"/>
  <c r="BC519" i="1"/>
  <c r="BB519" i="1"/>
  <c r="BC518" i="1"/>
  <c r="BB518" i="1"/>
  <c r="BC517" i="1"/>
  <c r="BB517" i="1"/>
  <c r="BC516" i="1"/>
  <c r="BB516" i="1"/>
  <c r="BC504" i="1"/>
  <c r="BB504" i="1"/>
  <c r="BC503" i="1"/>
  <c r="BB503" i="1"/>
  <c r="BC501" i="1"/>
  <c r="BB501" i="1"/>
  <c r="BC475" i="1"/>
  <c r="BB475" i="1"/>
  <c r="BC474" i="1"/>
  <c r="BB474" i="1"/>
  <c r="BC473" i="1"/>
  <c r="BB473" i="1"/>
  <c r="BC425" i="1"/>
  <c r="BC460" i="1" s="1"/>
  <c r="BC489" i="1" s="1"/>
  <c r="BB425" i="1"/>
  <c r="BB460" i="1" s="1"/>
  <c r="BB489" i="1" s="1"/>
  <c r="BC423" i="1"/>
  <c r="BC458" i="1" s="1"/>
  <c r="BC487" i="1" s="1"/>
  <c r="BB423" i="1"/>
  <c r="BB458" i="1" s="1"/>
  <c r="BB487" i="1" s="1"/>
  <c r="BC422" i="1"/>
  <c r="BC457" i="1" s="1"/>
  <c r="BB422" i="1"/>
  <c r="BB457" i="1" s="1"/>
  <c r="BC420" i="1"/>
  <c r="BB420" i="1"/>
  <c r="BC409" i="1"/>
  <c r="BC421" i="1" s="1"/>
  <c r="BB409" i="1"/>
  <c r="BB421" i="1" s="1"/>
  <c r="BB456" i="1" s="1"/>
  <c r="AW249" i="9"/>
  <c r="AY249" i="9" s="1"/>
  <c r="AW248" i="9"/>
  <c r="AY248" i="9" s="1"/>
  <c r="AY66" i="9"/>
  <c r="AY50" i="9"/>
  <c r="AI816" i="1" l="1"/>
  <c r="AI825" i="1"/>
  <c r="AI154" i="1"/>
  <c r="AI822" i="1"/>
  <c r="AN69" i="24"/>
  <c r="AO69" i="24"/>
  <c r="D36" i="24"/>
  <c r="F19" i="23"/>
  <c r="CR238" i="1"/>
  <c r="BB485" i="1"/>
  <c r="AI253" i="1"/>
  <c r="AI252" i="1" s="1"/>
  <c r="AJ252" i="1"/>
  <c r="AJ257" i="1" s="1"/>
  <c r="AI670" i="1"/>
  <c r="BC456" i="1"/>
  <c r="BC485" i="1" s="1"/>
  <c r="AI795" i="1"/>
  <c r="BB486" i="1"/>
  <c r="BC486" i="1"/>
  <c r="AJ469" i="1"/>
  <c r="DB445" i="1"/>
  <c r="DB473" i="1"/>
  <c r="DB474" i="1"/>
  <c r="DB475" i="1"/>
  <c r="DB501" i="1"/>
  <c r="DB503" i="1"/>
  <c r="DB504" i="1"/>
  <c r="DB516" i="1"/>
  <c r="DB517" i="1"/>
  <c r="DB518" i="1"/>
  <c r="DB519" i="1"/>
  <c r="DB520" i="1"/>
  <c r="DB622" i="1"/>
  <c r="DB423" i="1"/>
  <c r="DB458" i="1" s="1"/>
  <c r="DB487" i="1" s="1"/>
  <c r="BB455" i="1"/>
  <c r="BB484" i="1" s="1"/>
  <c r="DB422" i="1"/>
  <c r="DB457" i="1" s="1"/>
  <c r="DB425" i="1"/>
  <c r="DB460" i="1" s="1"/>
  <c r="DB489" i="1" s="1"/>
  <c r="BC455" i="1"/>
  <c r="BC484" i="1" s="1"/>
  <c r="DB409" i="1"/>
  <c r="DB421" i="1" s="1"/>
  <c r="DB444" i="1"/>
  <c r="DB455" i="1" s="1"/>
  <c r="CQ219" i="1"/>
  <c r="AJ258" i="1" l="1"/>
  <c r="AJ259" i="1" s="1"/>
  <c r="DB486" i="1"/>
  <c r="DB456" i="1"/>
  <c r="DB485" i="1" s="1"/>
  <c r="DB484" i="1"/>
  <c r="AJ260" i="1" l="1"/>
  <c r="AJ699" i="1" s="1"/>
  <c r="AJ261" i="1" l="1"/>
  <c r="BB735" i="1"/>
  <c r="W56" i="24" l="1"/>
  <c r="AH696" i="1"/>
  <c r="AG696" i="1"/>
  <c r="AF696" i="1"/>
  <c r="AE696" i="1"/>
  <c r="AD696" i="1"/>
  <c r="AC696" i="1"/>
  <c r="AB696" i="1"/>
  <c r="AA696" i="1"/>
  <c r="AH252" i="9" l="1"/>
  <c r="AF252" i="9"/>
  <c r="AH442" i="1"/>
  <c r="C27" i="24" s="1"/>
  <c r="AH103" i="1"/>
  <c r="AH434" i="1" s="1"/>
  <c r="AF583" i="1" l="1"/>
  <c r="AF215" i="9" l="1"/>
  <c r="AH162" i="9"/>
  <c r="AC215" i="9"/>
  <c r="AE215" i="9"/>
  <c r="AB215" i="9"/>
  <c r="AF571" i="1"/>
  <c r="AH40" i="9"/>
  <c r="AJ40" i="9" s="1"/>
  <c r="AG41" i="9"/>
  <c r="AG39" i="9"/>
  <c r="AH250" i="9"/>
  <c r="AH249" i="9"/>
  <c r="AH248" i="9"/>
  <c r="AH345" i="9"/>
  <c r="AG294" i="9"/>
  <c r="AG291" i="9"/>
  <c r="AG290" i="9"/>
  <c r="AG289" i="9"/>
  <c r="AG284" i="9"/>
  <c r="AH268" i="9"/>
  <c r="AH179" i="9"/>
  <c r="AG215" i="9" l="1"/>
  <c r="AI270" i="9"/>
  <c r="AI458" i="9"/>
  <c r="AI451" i="9"/>
  <c r="AI465" i="9"/>
  <c r="AG300" i="9"/>
  <c r="AH278" i="9"/>
  <c r="AI269" i="9"/>
  <c r="AJ342" i="9"/>
  <c r="AJ295" i="9"/>
  <c r="AH342" i="9"/>
  <c r="AI346" i="9"/>
  <c r="AI347" i="9"/>
  <c r="AH275" i="9"/>
  <c r="AH277" i="9"/>
  <c r="AH274" i="9"/>
  <c r="AH276" i="9"/>
  <c r="AH181" i="9"/>
  <c r="AF509" i="1"/>
  <c r="AG509" i="1"/>
  <c r="AK271" i="9" l="1"/>
  <c r="AI387" i="9"/>
  <c r="AH141" i="1"/>
  <c r="AH143" i="1" s="1"/>
  <c r="AH59" i="1"/>
  <c r="AH57" i="1"/>
  <c r="AH56" i="1"/>
  <c r="AH101" i="1"/>
  <c r="AH102" i="1" s="1"/>
  <c r="AH115" i="1"/>
  <c r="AH125" i="1"/>
  <c r="AH122" i="1"/>
  <c r="AF610" i="1"/>
  <c r="AG610" i="1"/>
  <c r="AH610" i="1"/>
  <c r="AH611" i="1" s="1"/>
  <c r="AH815" i="1"/>
  <c r="AH737" i="1"/>
  <c r="AH763" i="1" s="1"/>
  <c r="AH735" i="1"/>
  <c r="AH713" i="1"/>
  <c r="CS713" i="1" s="1"/>
  <c r="AH704" i="1"/>
  <c r="AH665" i="1"/>
  <c r="AH677" i="1" s="1"/>
  <c r="AH663" i="1"/>
  <c r="AH661" i="1"/>
  <c r="AH703" i="1"/>
  <c r="AH680" i="1"/>
  <c r="AH634" i="1"/>
  <c r="AH633" i="1"/>
  <c r="AH626" i="1"/>
  <c r="AH625" i="1"/>
  <c r="AH621" i="1"/>
  <c r="AH571" i="1"/>
  <c r="AH601" i="1"/>
  <c r="AH583" i="1"/>
  <c r="AH599" i="1"/>
  <c r="AH589" i="1"/>
  <c r="AH588" i="1"/>
  <c r="AH524" i="1"/>
  <c r="AH522" i="1"/>
  <c r="AH520" i="1"/>
  <c r="AH519" i="1"/>
  <c r="AH518" i="1"/>
  <c r="AH517" i="1"/>
  <c r="AH516" i="1"/>
  <c r="C56" i="24" l="1"/>
  <c r="AH584" i="1"/>
  <c r="AI627" i="1"/>
  <c r="AI702" i="1"/>
  <c r="AI698" i="1"/>
  <c r="AH536" i="1"/>
  <c r="AH623" i="1" s="1"/>
  <c r="AH762" i="1"/>
  <c r="AH635" i="1"/>
  <c r="AH603" i="1"/>
  <c r="AH612" i="1"/>
  <c r="AH504" i="1"/>
  <c r="AH503" i="1"/>
  <c r="AH501" i="1"/>
  <c r="AH470" i="1"/>
  <c r="AH468" i="1" s="1"/>
  <c r="AH469" i="1" s="1"/>
  <c r="AH479" i="1"/>
  <c r="AH475" i="1"/>
  <c r="AH474" i="1"/>
  <c r="AH473" i="1"/>
  <c r="AH450" i="1"/>
  <c r="AH445" i="1"/>
  <c r="AH444" i="1"/>
  <c r="AH425" i="1"/>
  <c r="AH460" i="1" s="1"/>
  <c r="AH489" i="1" s="1"/>
  <c r="AH423" i="1"/>
  <c r="AH458" i="1" s="1"/>
  <c r="AH487" i="1" s="1"/>
  <c r="AH422" i="1"/>
  <c r="AH457" i="1" s="1"/>
  <c r="AH420" i="1"/>
  <c r="AH409" i="1"/>
  <c r="AH421" i="1" s="1"/>
  <c r="AH388" i="1"/>
  <c r="AH381" i="1"/>
  <c r="AH318" i="1"/>
  <c r="AH254" i="1"/>
  <c r="AH253" i="1" s="1"/>
  <c r="AH252" i="1" s="1"/>
  <c r="AH249" i="1"/>
  <c r="AH248" i="1" s="1"/>
  <c r="AH247" i="1" s="1"/>
  <c r="AH262" i="1"/>
  <c r="AH234" i="1"/>
  <c r="AH237" i="1" s="1"/>
  <c r="C68" i="24" s="1"/>
  <c r="AH227" i="1"/>
  <c r="AH222" i="1"/>
  <c r="AH212" i="1"/>
  <c r="AH209" i="1"/>
  <c r="AH197" i="1"/>
  <c r="AH196" i="1"/>
  <c r="AH191" i="1"/>
  <c r="AH190" i="1"/>
  <c r="AH185" i="1"/>
  <c r="AH184" i="1"/>
  <c r="AF158" i="1"/>
  <c r="AG158" i="1"/>
  <c r="AH158" i="1"/>
  <c r="AH178" i="1"/>
  <c r="C59" i="24" s="1"/>
  <c r="AH160" i="1"/>
  <c r="AH205" i="1"/>
  <c r="AH171" i="1"/>
  <c r="AH165" i="1"/>
  <c r="AI223" i="1" s="1"/>
  <c r="AH176" i="1"/>
  <c r="AH327" i="1" l="1"/>
  <c r="C8" i="24"/>
  <c r="AH238" i="1"/>
  <c r="AI228" i="1"/>
  <c r="AI60" i="1"/>
  <c r="AH145" i="1"/>
  <c r="AH192" i="1"/>
  <c r="AI218" i="1"/>
  <c r="AI54" i="1"/>
  <c r="AI216" i="1"/>
  <c r="AH203" i="1"/>
  <c r="AI266" i="1"/>
  <c r="AI64" i="1"/>
  <c r="AH415" i="1"/>
  <c r="AH427" i="1" s="1"/>
  <c r="AH462" i="1" s="1"/>
  <c r="AH491" i="1" s="1"/>
  <c r="AH472" i="1"/>
  <c r="AH486" i="1"/>
  <c r="AH116" i="1"/>
  <c r="AH208" i="1"/>
  <c r="AH456" i="1"/>
  <c r="AH485" i="1" s="1"/>
  <c r="AH455" i="1"/>
  <c r="AH484" i="1" s="1"/>
  <c r="AH443" i="1"/>
  <c r="AH507" i="1"/>
  <c r="AH198" i="1"/>
  <c r="AH186" i="1"/>
  <c r="AH181" i="1"/>
  <c r="AH177" i="1"/>
  <c r="AH159" i="1"/>
  <c r="AI217" i="1" s="1"/>
  <c r="AH202" i="1"/>
  <c r="AH430" i="1" l="1"/>
  <c r="C28" i="24"/>
  <c r="AH471" i="1"/>
  <c r="C35" i="24"/>
  <c r="C36" i="24" s="1"/>
  <c r="AH58" i="1"/>
  <c r="AH204" i="1"/>
  <c r="AH61" i="1"/>
  <c r="AI265" i="1"/>
  <c r="AI267" i="1" s="1"/>
  <c r="AI63" i="1"/>
  <c r="AH55" i="1"/>
  <c r="AI53" i="1"/>
  <c r="AH465" i="1"/>
  <c r="AH711" i="1" s="1"/>
  <c r="CS711" i="1" s="1"/>
  <c r="AH114" i="1"/>
  <c r="AH146" i="1"/>
  <c r="AH152" i="1"/>
  <c r="AH154" i="1"/>
  <c r="AH812" i="1"/>
  <c r="AH147" i="1"/>
  <c r="AH441" i="1"/>
  <c r="AH795" i="1" l="1"/>
  <c r="C61" i="24"/>
  <c r="C26" i="24"/>
  <c r="AH670" i="1"/>
  <c r="AI257" i="1"/>
  <c r="AI258" i="1"/>
  <c r="AG184" i="1"/>
  <c r="AF184" i="1"/>
  <c r="AG161" i="1"/>
  <c r="AH216" i="1" s="1"/>
  <c r="AF161" i="1"/>
  <c r="AG157" i="1"/>
  <c r="AF157" i="1"/>
  <c r="AI259" i="1" l="1"/>
  <c r="AH52" i="1"/>
  <c r="AH215" i="1"/>
  <c r="AH232" i="1" s="1"/>
  <c r="AH233" i="1" s="1"/>
  <c r="AG215" i="1"/>
  <c r="AF524" i="1"/>
  <c r="AF506" i="1"/>
  <c r="AG506" i="1"/>
  <c r="AI260" i="1" l="1"/>
  <c r="AI261" i="1" s="1"/>
  <c r="AI699" i="1" l="1"/>
  <c r="N583" i="1"/>
  <c r="N585" i="1"/>
  <c r="O583" i="1"/>
  <c r="O585" i="1"/>
  <c r="P583" i="1"/>
  <c r="P585" i="1"/>
  <c r="Q583" i="1"/>
  <c r="Q585" i="1"/>
  <c r="R583" i="1"/>
  <c r="R585" i="1"/>
  <c r="S583" i="1"/>
  <c r="S585" i="1"/>
  <c r="T583" i="1"/>
  <c r="T585" i="1"/>
  <c r="U583" i="1"/>
  <c r="U585" i="1"/>
  <c r="V583" i="1"/>
  <c r="V585" i="1"/>
  <c r="W583" i="1"/>
  <c r="W585" i="1"/>
  <c r="X583" i="1"/>
  <c r="X585" i="1"/>
  <c r="Z586" i="1"/>
  <c r="Z583" i="1"/>
  <c r="AE583" i="1" l="1"/>
  <c r="AG583" i="1"/>
  <c r="P577" i="1" l="1"/>
  <c r="Q576" i="1"/>
  <c r="R577" i="1"/>
  <c r="S577" i="1"/>
  <c r="T577" i="1"/>
  <c r="U577" i="1"/>
  <c r="V577" i="1"/>
  <c r="Y577" i="1"/>
  <c r="Z577" i="1"/>
  <c r="AA577" i="1"/>
  <c r="AB577" i="1"/>
  <c r="AC577" i="1"/>
  <c r="AG577" i="1"/>
  <c r="AD577" i="1"/>
  <c r="AE577" i="1"/>
  <c r="AF577" i="1"/>
  <c r="AE236" i="9" l="1"/>
  <c r="AE235" i="9"/>
  <c r="AE234" i="9"/>
  <c r="AE233" i="9"/>
  <c r="AE232" i="9"/>
  <c r="AG237" i="9"/>
  <c r="AB250" i="9"/>
  <c r="AB236" i="9"/>
  <c r="AB235" i="9"/>
  <c r="AB234" i="9"/>
  <c r="AB233" i="9"/>
  <c r="AB232" i="9"/>
  <c r="AD237" i="9"/>
  <c r="AD244" i="9" s="1"/>
  <c r="AE237" i="9" l="1"/>
  <c r="AE245" i="9" s="1"/>
  <c r="AG245" i="9" s="1"/>
  <c r="AB237" i="9"/>
  <c r="AB245" i="9" s="1"/>
  <c r="AD245" i="9" s="1"/>
  <c r="AD241" i="9"/>
  <c r="AD243" i="9"/>
  <c r="AG244" i="9"/>
  <c r="AG242" i="9"/>
  <c r="AG240" i="9"/>
  <c r="AG243" i="9"/>
  <c r="AG241" i="9"/>
  <c r="AD240" i="9"/>
  <c r="AD242" i="9"/>
  <c r="AF40" i="9"/>
  <c r="AF178" i="9"/>
  <c r="AF177" i="9"/>
  <c r="AC178" i="9"/>
  <c r="AC177" i="9"/>
  <c r="AE244" i="9" l="1"/>
  <c r="AE242" i="9"/>
  <c r="AE241" i="9"/>
  <c r="AE240" i="9"/>
  <c r="AE243" i="9"/>
  <c r="AB240" i="9"/>
  <c r="AB242" i="9"/>
  <c r="AB243" i="9"/>
  <c r="AB244" i="9"/>
  <c r="AB241" i="9"/>
  <c r="AF345" i="9"/>
  <c r="AE345" i="9"/>
  <c r="AC345" i="9"/>
  <c r="AF153" i="9"/>
  <c r="AF150" i="9"/>
  <c r="AF113" i="9"/>
  <c r="AG113" i="9" s="1"/>
  <c r="AF112" i="9"/>
  <c r="AG112" i="9" s="1"/>
  <c r="AF13" i="9"/>
  <c r="AF292" i="9"/>
  <c r="AG292" i="9" s="1"/>
  <c r="AG267" i="9"/>
  <c r="AG266" i="9"/>
  <c r="AG265" i="9"/>
  <c r="AG264" i="9"/>
  <c r="AF268" i="9"/>
  <c r="AF278" i="9" s="1"/>
  <c r="AF93" i="9"/>
  <c r="AG93" i="9" s="1"/>
  <c r="AF89" i="9"/>
  <c r="AF85" i="9"/>
  <c r="AF86" i="9"/>
  <c r="AF77" i="9"/>
  <c r="AG77" i="9" s="1"/>
  <c r="AF73" i="9"/>
  <c r="AF70" i="9"/>
  <c r="AF61" i="9"/>
  <c r="AG61" i="9" s="1"/>
  <c r="AG80" i="1"/>
  <c r="AI411" i="9" l="1"/>
  <c r="AF405" i="9"/>
  <c r="AH448" i="9"/>
  <c r="AH455" i="9"/>
  <c r="AJ455" i="9"/>
  <c r="AJ448" i="9"/>
  <c r="AH441" i="9"/>
  <c r="AH462" i="9"/>
  <c r="AJ462" i="9"/>
  <c r="AJ441" i="9"/>
  <c r="AJ469" i="9" s="1"/>
  <c r="AJ456" i="9"/>
  <c r="AH449" i="9"/>
  <c r="AJ449" i="9"/>
  <c r="AH456" i="9"/>
  <c r="AH442" i="9"/>
  <c r="AH463" i="9"/>
  <c r="AJ463" i="9"/>
  <c r="AJ442" i="9"/>
  <c r="AJ470" i="9" s="1"/>
  <c r="AJ450" i="9"/>
  <c r="AJ457" i="9"/>
  <c r="AH450" i="9"/>
  <c r="AH457" i="9"/>
  <c r="AH443" i="9"/>
  <c r="AH464" i="9"/>
  <c r="AJ464" i="9"/>
  <c r="AJ443" i="9"/>
  <c r="AJ471" i="9" s="1"/>
  <c r="AH454" i="9"/>
  <c r="AH447" i="9"/>
  <c r="AJ447" i="9"/>
  <c r="AJ454" i="9"/>
  <c r="AH440" i="9"/>
  <c r="AH461" i="9"/>
  <c r="AJ461" i="9"/>
  <c r="AJ440" i="9"/>
  <c r="AJ468" i="9" s="1"/>
  <c r="AF275" i="9"/>
  <c r="AF277" i="9"/>
  <c r="AG268" i="9"/>
  <c r="AG276" i="9" s="1"/>
  <c r="AF274" i="9"/>
  <c r="AF276" i="9"/>
  <c r="CP244" i="1"/>
  <c r="CQ184" i="1"/>
  <c r="AG141" i="1"/>
  <c r="AG143" i="1" s="1"/>
  <c r="AG122" i="1"/>
  <c r="AG52" i="1"/>
  <c r="AG56" i="1"/>
  <c r="AG57" i="1"/>
  <c r="AG59" i="1"/>
  <c r="AE389" i="1"/>
  <c r="AE509" i="1"/>
  <c r="AE467" i="1"/>
  <c r="AG467" i="1"/>
  <c r="AG665" i="1"/>
  <c r="AG677" i="1" s="1"/>
  <c r="AF665" i="1"/>
  <c r="AG713" i="1"/>
  <c r="CR713" i="1" s="1"/>
  <c r="AG704" i="1"/>
  <c r="AG703" i="1"/>
  <c r="AG663" i="1"/>
  <c r="AG680" i="1"/>
  <c r="AG611" i="1"/>
  <c r="AG612" i="1" s="1"/>
  <c r="AG601" i="1"/>
  <c r="AG571" i="1"/>
  <c r="AH627" i="1" s="1"/>
  <c r="AG599" i="1"/>
  <c r="AG589" i="1"/>
  <c r="AG588" i="1"/>
  <c r="AG524" i="1"/>
  <c r="AG522" i="1"/>
  <c r="AG520" i="1"/>
  <c r="AG519" i="1"/>
  <c r="AG518" i="1"/>
  <c r="AG517" i="1"/>
  <c r="AG516" i="1"/>
  <c r="AG504" i="1"/>
  <c r="AG503" i="1"/>
  <c r="AG501" i="1"/>
  <c r="AG470" i="1"/>
  <c r="AG479" i="1"/>
  <c r="AG475" i="1"/>
  <c r="AG474" i="1"/>
  <c r="AG473" i="1"/>
  <c r="AG450" i="1"/>
  <c r="AG445" i="1"/>
  <c r="AG444" i="1"/>
  <c r="AF416" i="1"/>
  <c r="AG414" i="1"/>
  <c r="AG416" i="1"/>
  <c r="AG409" i="1"/>
  <c r="AG388" i="1"/>
  <c r="AG381" i="1"/>
  <c r="AG254" i="1"/>
  <c r="AG249" i="1"/>
  <c r="AG262" i="1"/>
  <c r="AG234" i="1"/>
  <c r="AG237" i="1" s="1"/>
  <c r="AG238" i="1" s="1"/>
  <c r="AG227" i="1"/>
  <c r="AG222" i="1"/>
  <c r="AG209" i="1"/>
  <c r="AG197" i="1"/>
  <c r="AG196" i="1"/>
  <c r="AG191" i="1"/>
  <c r="AG190" i="1"/>
  <c r="CQ190" i="1" s="1"/>
  <c r="AG185" i="1"/>
  <c r="AG178" i="1"/>
  <c r="AG160" i="1"/>
  <c r="AG205" i="1"/>
  <c r="AG176" i="1"/>
  <c r="AG145" i="1" s="1"/>
  <c r="AG171" i="1"/>
  <c r="AG165" i="1"/>
  <c r="AH223" i="1" s="1"/>
  <c r="AG415" i="1" l="1"/>
  <c r="AG603" i="1"/>
  <c r="AH228" i="1"/>
  <c r="AH60" i="1"/>
  <c r="AI442" i="9"/>
  <c r="AI470" i="9" s="1"/>
  <c r="AH470" i="9"/>
  <c r="AI440" i="9"/>
  <c r="AI468" i="9" s="1"/>
  <c r="AH468" i="9"/>
  <c r="AI443" i="9"/>
  <c r="AI471" i="9" s="1"/>
  <c r="AH471" i="9"/>
  <c r="AH270" i="9"/>
  <c r="AH387" i="9" s="1"/>
  <c r="AH451" i="9"/>
  <c r="AH458" i="9"/>
  <c r="AH465" i="9"/>
  <c r="AJ458" i="9"/>
  <c r="AJ451" i="9"/>
  <c r="AJ465" i="9"/>
  <c r="AJ444" i="9"/>
  <c r="AJ472" i="9" s="1"/>
  <c r="AH444" i="9"/>
  <c r="AG277" i="9"/>
  <c r="AI441" i="9"/>
  <c r="AI469" i="9" s="1"/>
  <c r="AH469" i="9"/>
  <c r="AJ269" i="9"/>
  <c r="AH269" i="9"/>
  <c r="AG278" i="9"/>
  <c r="AG274" i="9"/>
  <c r="AG275" i="9"/>
  <c r="AG202" i="1"/>
  <c r="CQ196" i="1"/>
  <c r="CQ209" i="1"/>
  <c r="AH266" i="1"/>
  <c r="AH64" i="1"/>
  <c r="AG468" i="1"/>
  <c r="AG469" i="1" s="1"/>
  <c r="AH218" i="1"/>
  <c r="AH54" i="1"/>
  <c r="AG186" i="1"/>
  <c r="CQ197" i="1"/>
  <c r="AG208" i="1"/>
  <c r="AG232" i="1"/>
  <c r="AG233" i="1" s="1"/>
  <c r="AG159" i="1"/>
  <c r="AG203" i="1"/>
  <c r="AG472" i="1"/>
  <c r="AG471" i="1" s="1"/>
  <c r="AG443" i="1"/>
  <c r="CQ185" i="1"/>
  <c r="CQ191" i="1"/>
  <c r="AG536" i="1"/>
  <c r="AG584" i="1"/>
  <c r="AG507" i="1"/>
  <c r="AG198" i="1"/>
  <c r="AG181" i="1"/>
  <c r="AG154" i="1" s="1"/>
  <c r="AG177" i="1"/>
  <c r="AG146" i="1" s="1"/>
  <c r="AG192" i="1"/>
  <c r="AT249" i="9"/>
  <c r="AT248" i="9"/>
  <c r="AV66" i="9"/>
  <c r="AV50" i="9"/>
  <c r="CQ92" i="1"/>
  <c r="DA736" i="1"/>
  <c r="DA602" i="1"/>
  <c r="DA554" i="1"/>
  <c r="DA553" i="1"/>
  <c r="DA528" i="1"/>
  <c r="DA524" i="1"/>
  <c r="E18" i="23" s="1"/>
  <c r="DA523" i="1"/>
  <c r="DA508" i="1"/>
  <c r="DA505" i="1"/>
  <c r="DA492" i="1"/>
  <c r="DA479" i="1"/>
  <c r="DA477" i="1"/>
  <c r="DA476" i="1"/>
  <c r="DA448" i="1"/>
  <c r="DA447" i="1"/>
  <c r="DA446" i="1"/>
  <c r="DA435" i="1"/>
  <c r="DA413" i="1"/>
  <c r="DA411" i="1"/>
  <c r="DA410" i="1"/>
  <c r="DA407" i="1"/>
  <c r="AW16" i="24" s="1"/>
  <c r="DA388" i="1"/>
  <c r="DA386" i="1"/>
  <c r="DA385" i="1"/>
  <c r="DA384" i="1"/>
  <c r="DA383" i="1"/>
  <c r="DA382" i="1"/>
  <c r="DA420" i="1" s="1"/>
  <c r="DA149" i="1"/>
  <c r="DA105" i="1"/>
  <c r="DA104" i="1"/>
  <c r="BA622" i="1"/>
  <c r="BA520" i="1"/>
  <c r="BA519" i="1"/>
  <c r="BA518" i="1"/>
  <c r="BA517" i="1"/>
  <c r="BA516" i="1"/>
  <c r="BA504" i="1"/>
  <c r="BA503" i="1"/>
  <c r="BA501" i="1"/>
  <c r="BA475" i="1"/>
  <c r="BA474" i="1"/>
  <c r="BA473" i="1"/>
  <c r="BA425" i="1"/>
  <c r="BA460" i="1" s="1"/>
  <c r="BA489" i="1" s="1"/>
  <c r="AZ425" i="1"/>
  <c r="AZ460" i="1" s="1"/>
  <c r="AZ489" i="1" s="1"/>
  <c r="BA423" i="1"/>
  <c r="BA458" i="1" s="1"/>
  <c r="BA487" i="1" s="1"/>
  <c r="AZ423" i="1"/>
  <c r="AZ458" i="1" s="1"/>
  <c r="AZ487" i="1" s="1"/>
  <c r="BA422" i="1"/>
  <c r="BA457" i="1" s="1"/>
  <c r="AZ422" i="1"/>
  <c r="AZ457" i="1" s="1"/>
  <c r="BA420" i="1"/>
  <c r="AZ420" i="1"/>
  <c r="BA409" i="1"/>
  <c r="BA421" i="1" s="1"/>
  <c r="E19" i="23" l="1"/>
  <c r="BA456" i="1"/>
  <c r="BA485" i="1" s="1"/>
  <c r="BA486" i="1"/>
  <c r="AI444" i="9"/>
  <c r="AI472" i="9" s="1"/>
  <c r="AH472" i="9"/>
  <c r="AZ486" i="1"/>
  <c r="AJ270" i="9"/>
  <c r="AM271" i="9" s="1"/>
  <c r="AG204" i="1"/>
  <c r="AG670" i="1" s="1"/>
  <c r="AG58" i="1"/>
  <c r="AG61" i="1"/>
  <c r="AH217" i="1"/>
  <c r="AH53" i="1"/>
  <c r="DA409" i="1"/>
  <c r="DA421" i="1" s="1"/>
  <c r="DA444" i="1"/>
  <c r="DA455" i="1" s="1"/>
  <c r="DA445" i="1"/>
  <c r="DA473" i="1"/>
  <c r="DA474" i="1"/>
  <c r="DA475" i="1"/>
  <c r="DA501" i="1"/>
  <c r="DA503" i="1"/>
  <c r="DA504" i="1"/>
  <c r="DA517" i="1"/>
  <c r="DA519" i="1"/>
  <c r="AG55" i="1"/>
  <c r="AG152" i="1"/>
  <c r="AH265" i="1"/>
  <c r="AH63" i="1"/>
  <c r="DA518" i="1"/>
  <c r="DA516" i="1"/>
  <c r="DA520" i="1"/>
  <c r="AG441" i="1"/>
  <c r="AG147" i="1"/>
  <c r="AV248" i="9"/>
  <c r="AV249" i="9"/>
  <c r="DA422" i="1"/>
  <c r="DA457" i="1" s="1"/>
  <c r="DA423" i="1"/>
  <c r="DA458" i="1" s="1"/>
  <c r="DA487" i="1" s="1"/>
  <c r="DA425" i="1"/>
  <c r="DA460" i="1" s="1"/>
  <c r="DA489" i="1" s="1"/>
  <c r="AZ421" i="1"/>
  <c r="AZ456" i="1" s="1"/>
  <c r="AZ485" i="1" s="1"/>
  <c r="AZ455" i="1"/>
  <c r="AZ484" i="1" s="1"/>
  <c r="BA455" i="1"/>
  <c r="BA484" i="1" s="1"/>
  <c r="CP262" i="1"/>
  <c r="CP234" i="1"/>
  <c r="CO262" i="1"/>
  <c r="AE227" i="1"/>
  <c r="CO382" i="1"/>
  <c r="AH267" i="1" l="1"/>
  <c r="DA484" i="1"/>
  <c r="DA486" i="1"/>
  <c r="AH257" i="1"/>
  <c r="DA456" i="1"/>
  <c r="DA485" i="1" s="1"/>
  <c r="AH258" i="1"/>
  <c r="AF522" i="1"/>
  <c r="AF414" i="1"/>
  <c r="AH259" i="1" l="1"/>
  <c r="AH260" i="1" l="1"/>
  <c r="AH699" i="1" s="1"/>
  <c r="AA161" i="1"/>
  <c r="AC161" i="1"/>
  <c r="AH261" i="1" l="1"/>
  <c r="CP237" i="1"/>
  <c r="CP238" i="1" s="1"/>
  <c r="CO234" i="1"/>
  <c r="CO237" i="1" s="1"/>
  <c r="CO238" i="1" s="1"/>
  <c r="AA40" i="9" l="1"/>
  <c r="AC40" i="9"/>
  <c r="AB40" i="9"/>
  <c r="AE40" i="9"/>
  <c r="AG40" i="9" s="1"/>
  <c r="Y40" i="9"/>
  <c r="AF333" i="9"/>
  <c r="AF332" i="9"/>
  <c r="AF331" i="9"/>
  <c r="AF326" i="9"/>
  <c r="AE334" i="9"/>
  <c r="AF334" i="9" s="1"/>
  <c r="AE292" i="9"/>
  <c r="C160" i="1" l="1"/>
  <c r="D161" i="1"/>
  <c r="BS161" i="1"/>
  <c r="BT161" i="1"/>
  <c r="BU161" i="1"/>
  <c r="BV161" i="1"/>
  <c r="BW161" i="1"/>
  <c r="BX161" i="1"/>
  <c r="BY161" i="1"/>
  <c r="BZ161" i="1"/>
  <c r="CA160" i="1" l="1"/>
  <c r="CA161" i="1"/>
  <c r="CB160" i="1"/>
  <c r="CB161" i="1"/>
  <c r="E160" i="1"/>
  <c r="C161" i="1"/>
  <c r="E161" i="1"/>
  <c r="CC161" i="1" s="1"/>
  <c r="F160" i="1"/>
  <c r="G160" i="1"/>
  <c r="F161" i="1"/>
  <c r="G161" i="1"/>
  <c r="H160" i="1"/>
  <c r="H161" i="1"/>
  <c r="I160" i="1"/>
  <c r="I161" i="1"/>
  <c r="J160" i="1"/>
  <c r="J161" i="1"/>
  <c r="K160" i="1"/>
  <c r="K161" i="1"/>
  <c r="L160" i="1"/>
  <c r="M160" i="1"/>
  <c r="L161" i="1"/>
  <c r="M161" i="1"/>
  <c r="N161" i="1"/>
  <c r="O161" i="1"/>
  <c r="N160" i="1"/>
  <c r="O160" i="1"/>
  <c r="P160" i="1"/>
  <c r="P161" i="1"/>
  <c r="Q160" i="1"/>
  <c r="Q161" i="1"/>
  <c r="R160" i="1"/>
  <c r="R161" i="1"/>
  <c r="S160" i="1"/>
  <c r="S161" i="1"/>
  <c r="T160" i="1"/>
  <c r="T161" i="1"/>
  <c r="U161" i="1"/>
  <c r="U160" i="1"/>
  <c r="D160" i="1" l="1"/>
  <c r="V160" i="1"/>
  <c r="W160" i="1"/>
  <c r="V161" i="1"/>
  <c r="W161" i="1"/>
  <c r="X160" i="1"/>
  <c r="Y160" i="1"/>
  <c r="X161" i="1"/>
  <c r="Y161" i="1"/>
  <c r="Z160" i="1"/>
  <c r="AA160" i="1"/>
  <c r="Z161" i="1"/>
  <c r="AB160" i="1"/>
  <c r="AC160" i="1"/>
  <c r="AB161" i="1"/>
  <c r="AD160" i="1" l="1"/>
  <c r="AE160" i="1"/>
  <c r="AD161" i="1"/>
  <c r="AE161" i="1"/>
  <c r="AF160" i="1"/>
  <c r="AG218" i="1" l="1"/>
  <c r="AG54" i="1"/>
  <c r="AE215" i="1"/>
  <c r="AC400" i="1" l="1"/>
  <c r="AC399" i="1"/>
  <c r="AC398" i="1"/>
  <c r="AF381" i="1" l="1"/>
  <c r="AF318" i="1"/>
  <c r="AF234" i="1"/>
  <c r="AF237" i="1" s="1"/>
  <c r="AF227" i="1"/>
  <c r="AF222" i="1"/>
  <c r="AF218" i="1"/>
  <c r="AF215" i="1"/>
  <c r="AF205" i="1"/>
  <c r="AF115" i="1"/>
  <c r="AF59" i="1"/>
  <c r="AF57" i="1"/>
  <c r="AF56" i="1"/>
  <c r="AF54" i="1"/>
  <c r="AF52" i="1"/>
  <c r="AF232" i="1" l="1"/>
  <c r="AF233" i="1" s="1"/>
  <c r="AF238" i="1"/>
  <c r="AF537" i="1" l="1"/>
  <c r="AF122" i="1"/>
  <c r="AF101" i="1"/>
  <c r="AF102" i="1" s="1"/>
  <c r="AF589" i="1"/>
  <c r="AF588" i="1"/>
  <c r="AF178" i="1" l="1"/>
  <c r="AF176" i="1"/>
  <c r="AF181" i="1" l="1"/>
  <c r="AF154" i="1" s="1"/>
  <c r="AF177" i="1"/>
  <c r="AD267" i="9"/>
  <c r="AD266" i="9"/>
  <c r="AD265" i="9"/>
  <c r="AD264" i="9"/>
  <c r="AD326" i="9"/>
  <c r="AD330" i="9"/>
  <c r="AD331" i="9"/>
  <c r="AD332" i="9"/>
  <c r="AD333" i="9"/>
  <c r="AD334" i="9"/>
  <c r="AD335" i="9"/>
  <c r="AD329" i="9"/>
  <c r="AD294" i="9"/>
  <c r="AE338" i="9" s="1"/>
  <c r="AE339" i="9" s="1"/>
  <c r="AE268" i="9"/>
  <c r="AD127" i="9"/>
  <c r="AD126" i="9"/>
  <c r="AD120" i="9"/>
  <c r="AD119" i="9"/>
  <c r="AD113" i="9"/>
  <c r="AD112" i="9"/>
  <c r="AD102" i="9"/>
  <c r="AD100" i="9"/>
  <c r="AD99" i="9"/>
  <c r="AD98" i="9"/>
  <c r="AC49" i="9"/>
  <c r="AC394" i="9" s="1"/>
  <c r="AE13" i="9"/>
  <c r="AG13" i="9" s="1"/>
  <c r="AD41" i="9"/>
  <c r="AF125" i="1"/>
  <c r="AF470" i="1"/>
  <c r="AF468" i="1" s="1"/>
  <c r="AF713" i="1"/>
  <c r="AD704" i="1"/>
  <c r="AE704" i="1"/>
  <c r="AF704" i="1"/>
  <c r="AF663" i="1"/>
  <c r="AF661" i="1"/>
  <c r="AF145" i="1"/>
  <c r="AF601" i="1"/>
  <c r="AD416" i="1"/>
  <c r="AE416" i="1" s="1"/>
  <c r="AF254" i="1"/>
  <c r="AF249" i="1"/>
  <c r="AD244" i="1"/>
  <c r="AE244" i="1"/>
  <c r="AF209" i="1"/>
  <c r="AG266" i="1" s="1"/>
  <c r="AF197" i="1"/>
  <c r="AF196" i="1"/>
  <c r="AF191" i="1"/>
  <c r="AF190" i="1"/>
  <c r="AF185" i="1"/>
  <c r="AD184" i="1"/>
  <c r="AE184" i="1"/>
  <c r="CP184" i="1" s="1"/>
  <c r="AD158" i="1"/>
  <c r="AE158" i="1"/>
  <c r="AF737" i="1"/>
  <c r="AF735" i="1"/>
  <c r="AF703" i="1"/>
  <c r="AF677" i="1"/>
  <c r="AF634" i="1"/>
  <c r="AF633" i="1"/>
  <c r="AF625" i="1"/>
  <c r="AF599" i="1"/>
  <c r="AF680" i="1"/>
  <c r="AF520" i="1"/>
  <c r="AF519" i="1"/>
  <c r="AF518" i="1"/>
  <c r="AF517" i="1"/>
  <c r="AF516" i="1"/>
  <c r="AF507" i="1"/>
  <c r="AF504" i="1"/>
  <c r="AF503" i="1"/>
  <c r="AF501" i="1"/>
  <c r="AF479" i="1"/>
  <c r="AF475" i="1"/>
  <c r="AF474" i="1"/>
  <c r="AF473" i="1"/>
  <c r="AF450" i="1"/>
  <c r="AF445" i="1"/>
  <c r="AF444" i="1"/>
  <c r="AF425" i="1"/>
  <c r="AF460" i="1" s="1"/>
  <c r="AF489" i="1" s="1"/>
  <c r="AF423" i="1"/>
  <c r="AF458" i="1" s="1"/>
  <c r="AF487" i="1" s="1"/>
  <c r="AF422" i="1"/>
  <c r="AF457" i="1" s="1"/>
  <c r="AF420" i="1"/>
  <c r="AF409" i="1"/>
  <c r="AF421" i="1" s="1"/>
  <c r="AF388" i="1"/>
  <c r="AF262" i="1"/>
  <c r="AF212" i="1"/>
  <c r="AF171" i="1"/>
  <c r="AF165" i="1"/>
  <c r="AG223" i="1" s="1"/>
  <c r="AF486" i="1" l="1"/>
  <c r="AF603" i="1"/>
  <c r="AF202" i="1"/>
  <c r="AG228" i="1"/>
  <c r="AG60" i="1"/>
  <c r="AE450" i="9"/>
  <c r="AC263" i="9"/>
  <c r="AG457" i="9"/>
  <c r="AE457" i="9"/>
  <c r="AG450" i="9"/>
  <c r="AE443" i="9"/>
  <c r="AE464" i="9"/>
  <c r="AG464" i="9"/>
  <c r="AG443" i="9"/>
  <c r="AG471" i="9" s="1"/>
  <c r="AE277" i="9"/>
  <c r="AF458" i="9"/>
  <c r="AF451" i="9"/>
  <c r="AF465" i="9"/>
  <c r="AE454" i="9"/>
  <c r="AG447" i="9"/>
  <c r="AG454" i="9"/>
  <c r="AE447" i="9"/>
  <c r="AE461" i="9"/>
  <c r="AE440" i="9"/>
  <c r="AG461" i="9"/>
  <c r="AG440" i="9"/>
  <c r="AG468" i="9" s="1"/>
  <c r="AG456" i="9"/>
  <c r="AG449" i="9"/>
  <c r="AE449" i="9"/>
  <c r="AE456" i="9"/>
  <c r="AE442" i="9"/>
  <c r="AE463" i="9"/>
  <c r="AG463" i="9"/>
  <c r="AG442" i="9"/>
  <c r="AG470" i="9" s="1"/>
  <c r="AG448" i="9"/>
  <c r="AG455" i="9"/>
  <c r="AD263" i="9"/>
  <c r="AE448" i="9"/>
  <c r="AE455" i="9"/>
  <c r="AE462" i="9"/>
  <c r="AE441" i="9"/>
  <c r="AG462" i="9"/>
  <c r="AG441" i="9"/>
  <c r="AG469" i="9" s="1"/>
  <c r="AG216" i="1"/>
  <c r="AF584" i="1"/>
  <c r="AF186" i="1"/>
  <c r="AG242" i="1" s="1"/>
  <c r="AF203" i="1"/>
  <c r="AF216" i="1"/>
  <c r="AF611" i="1"/>
  <c r="AF612" i="1" s="1"/>
  <c r="AF116" i="1" s="1"/>
  <c r="AE274" i="9"/>
  <c r="AE276" i="9"/>
  <c r="AE278" i="9"/>
  <c r="AD336" i="9"/>
  <c r="AE275" i="9"/>
  <c r="AF114" i="1"/>
  <c r="AF472" i="1"/>
  <c r="AF465" i="1" s="1"/>
  <c r="AF711" i="1" s="1"/>
  <c r="AF208" i="1"/>
  <c r="AG265" i="1" s="1"/>
  <c r="AF456" i="1"/>
  <c r="AF485" i="1" s="1"/>
  <c r="AF443" i="1"/>
  <c r="AH98" i="1" s="1"/>
  <c r="AF198" i="1"/>
  <c r="AG252" i="1" s="1"/>
  <c r="AF159" i="1"/>
  <c r="AG217" i="1" s="1"/>
  <c r="AF327" i="1"/>
  <c r="AF415" i="1"/>
  <c r="AF427" i="1" s="1"/>
  <c r="AF462" i="1" s="1"/>
  <c r="AF491" i="1" s="1"/>
  <c r="AF192" i="1"/>
  <c r="AG247" i="1" s="1"/>
  <c r="AF455" i="1"/>
  <c r="AF484" i="1" s="1"/>
  <c r="AF536" i="1"/>
  <c r="AF623" i="1" s="1"/>
  <c r="AF635" i="1"/>
  <c r="AF469" i="1"/>
  <c r="AE125" i="1"/>
  <c r="AF204" i="1" l="1"/>
  <c r="AF670" i="1" s="1"/>
  <c r="AG243" i="1"/>
  <c r="AG253" i="1"/>
  <c r="AG248" i="1"/>
  <c r="AG267" i="1"/>
  <c r="AF440" i="9"/>
  <c r="AF468" i="9" s="1"/>
  <c r="AE468" i="9"/>
  <c r="AF442" i="9"/>
  <c r="AF470" i="9" s="1"/>
  <c r="AE470" i="9"/>
  <c r="AF443" i="9"/>
  <c r="AF471" i="9" s="1"/>
  <c r="AE471" i="9"/>
  <c r="AF441" i="9"/>
  <c r="AF469" i="9" s="1"/>
  <c r="AE469" i="9"/>
  <c r="AF146" i="1"/>
  <c r="AF58" i="1"/>
  <c r="AF61" i="1"/>
  <c r="AF55" i="1"/>
  <c r="AG53" i="1"/>
  <c r="AF471" i="1"/>
  <c r="AF147" i="1"/>
  <c r="AF441" i="1"/>
  <c r="AF430" i="1"/>
  <c r="AF738" i="1"/>
  <c r="AF795" i="1" l="1"/>
  <c r="AG258" i="1"/>
  <c r="AG257" i="1"/>
  <c r="AC268" i="9"/>
  <c r="AG259" i="1" l="1"/>
  <c r="AG260" i="1" l="1"/>
  <c r="CP614" i="1"/>
  <c r="AG699" i="1" l="1"/>
  <c r="AG261" i="1"/>
  <c r="AE610" i="1"/>
  <c r="CB545" i="1" l="1"/>
  <c r="CA545" i="1"/>
  <c r="BZ545" i="1"/>
  <c r="BY545" i="1"/>
  <c r="BX545" i="1"/>
  <c r="BW545" i="1"/>
  <c r="BV545" i="1"/>
  <c r="BU545" i="1"/>
  <c r="BT545" i="1"/>
  <c r="BS545" i="1"/>
  <c r="AD545" i="1"/>
  <c r="AC545" i="1"/>
  <c r="AB545" i="1"/>
  <c r="AA545" i="1"/>
  <c r="Z545" i="1"/>
  <c r="Y545" i="1"/>
  <c r="X545" i="1"/>
  <c r="W545" i="1"/>
  <c r="V545" i="1"/>
  <c r="U545" i="1"/>
  <c r="T545" i="1"/>
  <c r="S545" i="1"/>
  <c r="R545" i="1"/>
  <c r="Q545" i="1"/>
  <c r="P545" i="1"/>
  <c r="O545" i="1"/>
  <c r="N545" i="1"/>
  <c r="M545" i="1"/>
  <c r="L545" i="1"/>
  <c r="K545" i="1"/>
  <c r="J545" i="1"/>
  <c r="I545" i="1"/>
  <c r="H545" i="1"/>
  <c r="G545" i="1"/>
  <c r="F545" i="1"/>
  <c r="E545" i="1"/>
  <c r="D545" i="1"/>
  <c r="C545" i="1"/>
  <c r="CB544" i="1"/>
  <c r="CA544" i="1"/>
  <c r="BZ544" i="1"/>
  <c r="BY544" i="1"/>
  <c r="BX544" i="1"/>
  <c r="BW544" i="1"/>
  <c r="BV544" i="1"/>
  <c r="BU544" i="1"/>
  <c r="BT544" i="1"/>
  <c r="BS544" i="1"/>
  <c r="AE544" i="1"/>
  <c r="AD544" i="1"/>
  <c r="AC544" i="1"/>
  <c r="AB544" i="1"/>
  <c r="AA544" i="1"/>
  <c r="Z544" i="1"/>
  <c r="Y544" i="1"/>
  <c r="X544" i="1"/>
  <c r="W544" i="1"/>
  <c r="V544" i="1"/>
  <c r="U544" i="1"/>
  <c r="T544" i="1"/>
  <c r="S544" i="1"/>
  <c r="R544" i="1"/>
  <c r="Q544" i="1"/>
  <c r="P544" i="1"/>
  <c r="O544" i="1"/>
  <c r="N544" i="1"/>
  <c r="M544" i="1"/>
  <c r="L544" i="1"/>
  <c r="K544" i="1"/>
  <c r="J544" i="1"/>
  <c r="I544" i="1"/>
  <c r="H544" i="1"/>
  <c r="G544" i="1"/>
  <c r="F544" i="1"/>
  <c r="E544" i="1"/>
  <c r="D544" i="1"/>
  <c r="C544" i="1"/>
  <c r="CB543" i="1"/>
  <c r="CA543" i="1"/>
  <c r="BZ543" i="1"/>
  <c r="BY543" i="1"/>
  <c r="BX543" i="1"/>
  <c r="BW543" i="1"/>
  <c r="BV543" i="1"/>
  <c r="BU543" i="1"/>
  <c r="BT543" i="1"/>
  <c r="BS543" i="1"/>
  <c r="AE543" i="1"/>
  <c r="AD543" i="1"/>
  <c r="AC543" i="1"/>
  <c r="AB543" i="1"/>
  <c r="AA543" i="1"/>
  <c r="Z543" i="1"/>
  <c r="Y543" i="1"/>
  <c r="X543" i="1"/>
  <c r="W543" i="1"/>
  <c r="V543" i="1"/>
  <c r="U543" i="1"/>
  <c r="T543" i="1"/>
  <c r="S543" i="1"/>
  <c r="R543" i="1"/>
  <c r="Q543" i="1"/>
  <c r="P543" i="1"/>
  <c r="O543" i="1"/>
  <c r="N543" i="1"/>
  <c r="M543" i="1"/>
  <c r="L543" i="1"/>
  <c r="K543" i="1"/>
  <c r="J543" i="1"/>
  <c r="I543" i="1"/>
  <c r="H543" i="1"/>
  <c r="G543" i="1"/>
  <c r="F543" i="1"/>
  <c r="E543" i="1"/>
  <c r="D543" i="1"/>
  <c r="C543" i="1"/>
  <c r="CB142" i="1"/>
  <c r="CA142" i="1"/>
  <c r="BZ142" i="1"/>
  <c r="BY142" i="1"/>
  <c r="BX142" i="1"/>
  <c r="BW142" i="1"/>
  <c r="BV142" i="1"/>
  <c r="BU142" i="1"/>
  <c r="BT142" i="1"/>
  <c r="BS142" i="1"/>
  <c r="AE142" i="1"/>
  <c r="AD142" i="1"/>
  <c r="AC142" i="1"/>
  <c r="AB142" i="1"/>
  <c r="AA142" i="1"/>
  <c r="Z142" i="1"/>
  <c r="Y142" i="1"/>
  <c r="X142" i="1"/>
  <c r="W142" i="1"/>
  <c r="V142" i="1"/>
  <c r="U142" i="1"/>
  <c r="T142" i="1"/>
  <c r="S142" i="1"/>
  <c r="R142" i="1"/>
  <c r="Q142" i="1"/>
  <c r="P142" i="1"/>
  <c r="O142" i="1"/>
  <c r="N142" i="1"/>
  <c r="M142" i="1"/>
  <c r="L142" i="1"/>
  <c r="K142" i="1"/>
  <c r="J142" i="1"/>
  <c r="I142" i="1"/>
  <c r="H142" i="1"/>
  <c r="G142" i="1"/>
  <c r="F142" i="1"/>
  <c r="E142" i="1"/>
  <c r="D142" i="1"/>
  <c r="C142" i="1"/>
  <c r="CB135" i="1"/>
  <c r="CA135" i="1"/>
  <c r="BZ135" i="1"/>
  <c r="BY135" i="1"/>
  <c r="BX135" i="1"/>
  <c r="BW135" i="1"/>
  <c r="BV135" i="1"/>
  <c r="BU135" i="1"/>
  <c r="BT135" i="1"/>
  <c r="BS135" i="1"/>
  <c r="AE135" i="1"/>
  <c r="AD135" i="1"/>
  <c r="AC135" i="1"/>
  <c r="AB135" i="1"/>
  <c r="AA135" i="1"/>
  <c r="Z135" i="1"/>
  <c r="Y135" i="1"/>
  <c r="X135" i="1"/>
  <c r="W135" i="1"/>
  <c r="V135" i="1"/>
  <c r="U135" i="1"/>
  <c r="T135" i="1"/>
  <c r="S135" i="1"/>
  <c r="R135" i="1"/>
  <c r="Q135" i="1"/>
  <c r="P135" i="1"/>
  <c r="O135" i="1"/>
  <c r="N135" i="1"/>
  <c r="M135" i="1"/>
  <c r="L135" i="1"/>
  <c r="K135" i="1"/>
  <c r="J135" i="1"/>
  <c r="I135" i="1"/>
  <c r="H135" i="1"/>
  <c r="G135" i="1"/>
  <c r="F135" i="1"/>
  <c r="E135" i="1"/>
  <c r="D135" i="1"/>
  <c r="C135" i="1"/>
  <c r="CP543" i="1" l="1"/>
  <c r="AF141" i="1"/>
  <c r="AF143" i="1" s="1"/>
  <c r="AZ735" i="1" l="1"/>
  <c r="AE141" i="1"/>
  <c r="AE143" i="1" s="1"/>
  <c r="AQ249" i="9"/>
  <c r="AS249" i="9" s="1"/>
  <c r="AQ248" i="9"/>
  <c r="AS248" i="9" s="1"/>
  <c r="AS66" i="9"/>
  <c r="AS50" i="9"/>
  <c r="U56" i="24" l="1"/>
  <c r="AC13" i="9"/>
  <c r="AC157" i="9"/>
  <c r="AD157" i="9" s="1"/>
  <c r="AC153" i="9"/>
  <c r="AC150" i="9"/>
  <c r="AC101" i="9"/>
  <c r="AC93" i="9"/>
  <c r="AC89" i="9"/>
  <c r="AC86" i="9"/>
  <c r="AC82" i="9"/>
  <c r="AC81" i="9"/>
  <c r="AC73" i="9"/>
  <c r="AC70" i="9"/>
  <c r="AF411" i="9" s="1"/>
  <c r="AC68" i="9"/>
  <c r="AC65" i="9"/>
  <c r="AC67" i="9" s="1"/>
  <c r="AC57" i="9"/>
  <c r="AC54" i="9"/>
  <c r="AC52" i="9"/>
  <c r="AC51" i="9"/>
  <c r="AC355" i="9"/>
  <c r="AC342" i="9"/>
  <c r="AC336" i="9"/>
  <c r="AC338" i="9" s="1"/>
  <c r="AC339" i="9" s="1"/>
  <c r="AC298" i="9"/>
  <c r="AC297" i="9"/>
  <c r="AC295" i="9"/>
  <c r="AC278" i="9"/>
  <c r="AC277" i="9"/>
  <c r="AC276" i="9"/>
  <c r="AC275" i="9"/>
  <c r="AC274" i="9"/>
  <c r="AC37" i="9" l="1"/>
  <c r="AC55" i="9"/>
  <c r="AC56" i="9" s="1"/>
  <c r="AC390" i="9"/>
  <c r="AC34" i="9"/>
  <c r="AC397" i="9"/>
  <c r="AF397" i="9"/>
  <c r="AE82" i="9"/>
  <c r="AF82" i="9"/>
  <c r="AC71" i="9"/>
  <c r="AC72" i="9" s="1"/>
  <c r="AC74" i="9" s="1"/>
  <c r="AC78" i="9" s="1"/>
  <c r="AC341" i="9"/>
  <c r="AC53" i="9"/>
  <c r="AC391" i="9" s="1"/>
  <c r="AC14" i="9"/>
  <c r="AC15" i="9" s="1"/>
  <c r="AC103" i="9"/>
  <c r="AC83" i="9"/>
  <c r="AC69" i="9"/>
  <c r="CP254" i="1"/>
  <c r="CP249" i="1"/>
  <c r="AE122" i="1"/>
  <c r="AE115" i="1"/>
  <c r="AE101" i="1"/>
  <c r="AE102" i="1" s="1"/>
  <c r="AE59" i="1"/>
  <c r="AE57" i="1"/>
  <c r="AE56" i="1"/>
  <c r="AE54" i="1"/>
  <c r="AE52" i="1"/>
  <c r="AE68" i="9" l="1"/>
  <c r="AE65" i="9" s="1"/>
  <c r="AE408" i="9" s="1"/>
  <c r="AF410" i="9"/>
  <c r="AC393" i="9"/>
  <c r="AC58" i="9"/>
  <c r="AC62" i="9" s="1"/>
  <c r="AC392" i="9"/>
  <c r="AE52" i="9"/>
  <c r="AE49" i="9" s="1"/>
  <c r="AE394" i="9" s="1"/>
  <c r="AF396" i="9"/>
  <c r="CP259" i="1"/>
  <c r="CP260" i="1" s="1"/>
  <c r="AC26" i="9"/>
  <c r="AE713" i="1"/>
  <c r="AE665" i="1"/>
  <c r="AE677" i="1" s="1"/>
  <c r="AE663" i="1"/>
  <c r="AE661" i="1"/>
  <c r="AE611" i="1"/>
  <c r="AE601" i="1"/>
  <c r="AD583" i="1"/>
  <c r="AF626" i="1"/>
  <c r="AE571" i="1"/>
  <c r="AF627" i="1" s="1"/>
  <c r="AE839" i="1"/>
  <c r="AE827" i="1"/>
  <c r="AE824" i="1"/>
  <c r="AE821" i="1"/>
  <c r="AE818" i="1"/>
  <c r="AE815" i="1"/>
  <c r="AE814" i="1"/>
  <c r="AE737" i="1"/>
  <c r="AE763" i="1" s="1"/>
  <c r="AE735" i="1"/>
  <c r="AE703" i="1"/>
  <c r="AE680" i="1"/>
  <c r="AE634" i="1"/>
  <c r="AE633" i="1"/>
  <c r="AE625" i="1"/>
  <c r="AE621" i="1"/>
  <c r="AE599" i="1"/>
  <c r="AE589" i="1"/>
  <c r="AE588" i="1"/>
  <c r="AE524" i="1"/>
  <c r="AE506" i="1"/>
  <c r="AE470" i="1"/>
  <c r="AE468" i="1" s="1"/>
  <c r="AE522" i="1"/>
  <c r="AE536" i="1" s="1"/>
  <c r="AE520" i="1"/>
  <c r="AE519" i="1"/>
  <c r="AE518" i="1"/>
  <c r="AE517" i="1"/>
  <c r="AE516" i="1"/>
  <c r="AE504" i="1"/>
  <c r="AE503" i="1"/>
  <c r="AE501" i="1"/>
  <c r="AE479" i="1"/>
  <c r="AE475" i="1"/>
  <c r="AE474" i="1"/>
  <c r="AE473" i="1"/>
  <c r="AE450" i="1"/>
  <c r="AE445" i="1"/>
  <c r="AE444" i="1"/>
  <c r="AE434" i="1"/>
  <c r="AE425" i="1"/>
  <c r="AE460" i="1" s="1"/>
  <c r="AE489" i="1" s="1"/>
  <c r="AE423" i="1"/>
  <c r="AE458" i="1" s="1"/>
  <c r="AE487" i="1" s="1"/>
  <c r="AE422" i="1"/>
  <c r="AE457" i="1" s="1"/>
  <c r="AE420" i="1"/>
  <c r="AE409" i="1"/>
  <c r="AE421" i="1" s="1"/>
  <c r="AE254" i="1"/>
  <c r="AE249" i="1"/>
  <c r="AE209" i="1"/>
  <c r="AF64" i="1" s="1"/>
  <c r="AE197" i="1"/>
  <c r="AE196" i="1"/>
  <c r="CP196" i="1" s="1"/>
  <c r="AE191" i="1"/>
  <c r="AE190" i="1"/>
  <c r="CP190" i="1" s="1"/>
  <c r="AE185" i="1"/>
  <c r="AE71" i="9" l="1"/>
  <c r="AF68" i="9"/>
  <c r="AE409" i="9"/>
  <c r="CP185" i="1"/>
  <c r="CP197" i="1"/>
  <c r="CP191" i="1"/>
  <c r="AF52" i="9"/>
  <c r="AE395" i="9"/>
  <c r="AE55" i="9"/>
  <c r="AE603" i="1"/>
  <c r="AF266" i="1"/>
  <c r="AE486" i="1"/>
  <c r="AE472" i="1"/>
  <c r="AE471" i="1" s="1"/>
  <c r="AE456" i="1"/>
  <c r="AE485" i="1" s="1"/>
  <c r="AE623" i="1"/>
  <c r="AE612" i="1"/>
  <c r="AE635" i="1"/>
  <c r="AE762" i="1"/>
  <c r="AE584" i="1"/>
  <c r="AE507" i="1"/>
  <c r="AE443" i="1"/>
  <c r="AG98" i="1" s="1"/>
  <c r="AE469" i="1"/>
  <c r="AE455" i="1"/>
  <c r="AE484" i="1" s="1"/>
  <c r="AE262" i="1"/>
  <c r="AE234" i="1"/>
  <c r="AE237" i="1" s="1"/>
  <c r="AE238" i="1" s="1"/>
  <c r="AE222" i="1"/>
  <c r="AE232" i="1" s="1"/>
  <c r="AE212" i="1"/>
  <c r="AE208" i="1"/>
  <c r="AF63" i="1" s="1"/>
  <c r="AE205" i="1"/>
  <c r="CP205" i="1" s="1"/>
  <c r="AE198" i="1"/>
  <c r="AF252" i="1" s="1"/>
  <c r="AE203" i="1"/>
  <c r="CP203" i="1" s="1"/>
  <c r="AE186" i="1"/>
  <c r="AF242" i="1" s="1"/>
  <c r="AF299" i="1" s="1"/>
  <c r="AE178" i="1"/>
  <c r="AE176" i="1"/>
  <c r="AE145" i="1" s="1"/>
  <c r="AE171" i="1"/>
  <c r="AE165" i="1"/>
  <c r="AF223" i="1" s="1"/>
  <c r="AE218" i="1"/>
  <c r="AE159" i="1"/>
  <c r="AH68" i="9" l="1"/>
  <c r="AF409" i="9"/>
  <c r="AF228" i="1"/>
  <c r="AF60" i="1"/>
  <c r="AF253" i="1"/>
  <c r="AF243" i="1"/>
  <c r="AE465" i="1"/>
  <c r="AE711" i="1" s="1"/>
  <c r="AE430" i="1"/>
  <c r="AF395" i="9"/>
  <c r="AH52" i="9"/>
  <c r="AF49" i="9"/>
  <c r="AF394" i="9" s="1"/>
  <c r="AF217" i="1"/>
  <c r="AF53" i="1"/>
  <c r="AE61" i="1"/>
  <c r="AE667" i="1"/>
  <c r="AE152" i="1"/>
  <c r="AF265" i="1"/>
  <c r="AF267" i="1" s="1"/>
  <c r="AE55" i="1"/>
  <c r="AE116" i="1"/>
  <c r="AE181" i="1"/>
  <c r="AE441" i="1"/>
  <c r="AE738" i="1"/>
  <c r="AE823" i="1"/>
  <c r="AE817" i="1"/>
  <c r="AE826" i="1"/>
  <c r="AE820" i="1"/>
  <c r="AE233" i="1"/>
  <c r="AE177" i="1"/>
  <c r="AE192" i="1"/>
  <c r="AE202" i="1"/>
  <c r="AE204" i="1" s="1"/>
  <c r="AH409" i="9" l="1"/>
  <c r="AI68" i="9"/>
  <c r="AH65" i="9"/>
  <c r="AH71" i="9"/>
  <c r="AF247" i="1"/>
  <c r="AF248" i="1"/>
  <c r="AF258" i="1" s="1"/>
  <c r="AH395" i="9"/>
  <c r="AI52" i="9"/>
  <c r="AI395" i="9" s="1"/>
  <c r="AE670" i="1"/>
  <c r="CP204" i="1"/>
  <c r="AE58" i="1"/>
  <c r="AE114" i="1"/>
  <c r="AE146" i="1"/>
  <c r="AE813" i="1"/>
  <c r="AE825" i="1"/>
  <c r="AE822" i="1"/>
  <c r="AE819" i="1"/>
  <c r="AE816" i="1"/>
  <c r="AE812" i="1"/>
  <c r="AE147" i="1"/>
  <c r="AE795" i="1"/>
  <c r="AE764" i="1"/>
  <c r="AH67" i="9" l="1"/>
  <c r="AH408" i="9"/>
  <c r="AK68" i="9"/>
  <c r="AI409" i="9"/>
  <c r="AH406" i="9"/>
  <c r="AH412" i="9"/>
  <c r="AF304" i="1"/>
  <c r="AF309" i="1"/>
  <c r="AF257" i="1"/>
  <c r="AF259" i="1" s="1"/>
  <c r="AF260" i="1" s="1"/>
  <c r="CZ736" i="1"/>
  <c r="CZ602" i="1"/>
  <c r="CZ554" i="1"/>
  <c r="CZ553" i="1"/>
  <c r="CZ528" i="1"/>
  <c r="CZ524" i="1"/>
  <c r="D18" i="23" s="1"/>
  <c r="CZ523" i="1"/>
  <c r="D19" i="23" s="1"/>
  <c r="CZ508" i="1"/>
  <c r="CZ505" i="1"/>
  <c r="CZ492" i="1"/>
  <c r="CZ479" i="1"/>
  <c r="CZ477" i="1"/>
  <c r="CZ476" i="1"/>
  <c r="CZ448" i="1"/>
  <c r="CZ447" i="1"/>
  <c r="CZ446" i="1"/>
  <c r="CZ435" i="1"/>
  <c r="CZ413" i="1"/>
  <c r="CZ411" i="1"/>
  <c r="CZ410" i="1"/>
  <c r="CZ407" i="1"/>
  <c r="AV16" i="24" s="1"/>
  <c r="CZ388" i="1"/>
  <c r="CZ386" i="1"/>
  <c r="CZ385" i="1"/>
  <c r="CZ384" i="1"/>
  <c r="CZ383" i="1"/>
  <c r="CZ382" i="1"/>
  <c r="CZ420" i="1" s="1"/>
  <c r="CZ149" i="1"/>
  <c r="CZ105" i="1"/>
  <c r="CZ104" i="1"/>
  <c r="AY520" i="1"/>
  <c r="AY519" i="1"/>
  <c r="AY518" i="1"/>
  <c r="AY517" i="1"/>
  <c r="AY516" i="1"/>
  <c r="AY504" i="1"/>
  <c r="AY503" i="1"/>
  <c r="AY501" i="1"/>
  <c r="AY475" i="1"/>
  <c r="AY474" i="1"/>
  <c r="AY473" i="1"/>
  <c r="AY445" i="1"/>
  <c r="AY444" i="1"/>
  <c r="AY425" i="1"/>
  <c r="AY460" i="1" s="1"/>
  <c r="AY489" i="1" s="1"/>
  <c r="AY423" i="1"/>
  <c r="AY458" i="1" s="1"/>
  <c r="AY487" i="1" s="1"/>
  <c r="AY422" i="1"/>
  <c r="AY457" i="1" s="1"/>
  <c r="AY420" i="1"/>
  <c r="AY409" i="1"/>
  <c r="AY472" i="1" l="1"/>
  <c r="AY421" i="1"/>
  <c r="AY456" i="1" s="1"/>
  <c r="AY485" i="1" s="1"/>
  <c r="AY408" i="1"/>
  <c r="T17" i="24" s="1"/>
  <c r="AL68" i="9"/>
  <c r="AM68" i="9" s="1"/>
  <c r="AM71" i="9" s="1"/>
  <c r="AK71" i="9"/>
  <c r="AK409" i="9"/>
  <c r="AK65" i="9"/>
  <c r="AH72" i="9"/>
  <c r="AH404" i="9"/>
  <c r="AY486" i="1"/>
  <c r="AF261" i="1"/>
  <c r="AF699" i="1"/>
  <c r="CZ409" i="1"/>
  <c r="CZ421" i="1" s="1"/>
  <c r="CZ444" i="1"/>
  <c r="CZ455" i="1" s="1"/>
  <c r="CZ445" i="1"/>
  <c r="CZ473" i="1"/>
  <c r="CZ474" i="1"/>
  <c r="CZ475" i="1"/>
  <c r="CZ501" i="1"/>
  <c r="CZ503" i="1"/>
  <c r="CZ504" i="1"/>
  <c r="CZ516" i="1"/>
  <c r="CZ517" i="1"/>
  <c r="CZ518" i="1"/>
  <c r="CZ519" i="1"/>
  <c r="CZ520" i="1"/>
  <c r="CZ423" i="1"/>
  <c r="CZ458" i="1" s="1"/>
  <c r="CZ487" i="1" s="1"/>
  <c r="CZ425" i="1"/>
  <c r="CZ460" i="1" s="1"/>
  <c r="CZ489" i="1" s="1"/>
  <c r="CZ422" i="1"/>
  <c r="CZ457" i="1" s="1"/>
  <c r="AY455" i="1"/>
  <c r="AY484" i="1" s="1"/>
  <c r="AY471" i="1" l="1"/>
  <c r="T35" i="24"/>
  <c r="AK67" i="9"/>
  <c r="AK406" i="9" s="1"/>
  <c r="AK408" i="9"/>
  <c r="AH74" i="9"/>
  <c r="AH407" i="9"/>
  <c r="AK412" i="9"/>
  <c r="AN68" i="9"/>
  <c r="AL65" i="9"/>
  <c r="AL67" i="9" s="1"/>
  <c r="AL71" i="9"/>
  <c r="CZ486" i="1"/>
  <c r="CZ484" i="1"/>
  <c r="CZ456" i="1"/>
  <c r="CZ485" i="1" s="1"/>
  <c r="AH78" i="9" l="1"/>
  <c r="AL72" i="9"/>
  <c r="AL74" i="9" s="1"/>
  <c r="AL78" i="9" s="1"/>
  <c r="AM65" i="9"/>
  <c r="AN71" i="9"/>
  <c r="AO68" i="9"/>
  <c r="AP68" i="9" s="1"/>
  <c r="AP71" i="9" s="1"/>
  <c r="AN65" i="9"/>
  <c r="AN67" i="9" s="1"/>
  <c r="AM67" i="9"/>
  <c r="AM72" i="9" s="1"/>
  <c r="AM74" i="9" s="1"/>
  <c r="AK72" i="9"/>
  <c r="AK404" i="9"/>
  <c r="AN72" i="9" l="1"/>
  <c r="AN74" i="9" s="1"/>
  <c r="AN78" i="9" s="1"/>
  <c r="AK74" i="9"/>
  <c r="AK413" i="9"/>
  <c r="AK407" i="9"/>
  <c r="AO71" i="9"/>
  <c r="AO65" i="9"/>
  <c r="AD52" i="1"/>
  <c r="AP65" i="9" l="1"/>
  <c r="AO67" i="9"/>
  <c r="AK78" i="9"/>
  <c r="AM78" i="9" s="1"/>
  <c r="AK414" i="9"/>
  <c r="AD139" i="1"/>
  <c r="AP67" i="9" l="1"/>
  <c r="AP72" i="9" s="1"/>
  <c r="AP74" i="9" s="1"/>
  <c r="AO72" i="9"/>
  <c r="AO74" i="9" s="1"/>
  <c r="AO78" i="9" s="1"/>
  <c r="AP78" i="9" s="1"/>
  <c r="AD141" i="1"/>
  <c r="AD125" i="1"/>
  <c r="AD122" i="1"/>
  <c r="AD101" i="1"/>
  <c r="AD102" i="1" s="1"/>
  <c r="AD59" i="1"/>
  <c r="AD57" i="1"/>
  <c r="AD56" i="1"/>
  <c r="AD839" i="1"/>
  <c r="AD737" i="1"/>
  <c r="AD735" i="1"/>
  <c r="AD713" i="1"/>
  <c r="AD703" i="1"/>
  <c r="AD680" i="1"/>
  <c r="AD665" i="1"/>
  <c r="AD677" i="1" s="1"/>
  <c r="AD663" i="1"/>
  <c r="AD634" i="1"/>
  <c r="AD633" i="1"/>
  <c r="AD625" i="1"/>
  <c r="AD610" i="1"/>
  <c r="AD611" i="1" s="1"/>
  <c r="AD601" i="1"/>
  <c r="AD599" i="1"/>
  <c r="AD589" i="1"/>
  <c r="AD588" i="1"/>
  <c r="AE626" i="1"/>
  <c r="AD571" i="1"/>
  <c r="AE627" i="1" s="1"/>
  <c r="AD526" i="1"/>
  <c r="AD621" i="1" s="1"/>
  <c r="AD524" i="1"/>
  <c r="AD509" i="1"/>
  <c r="AD504" i="1"/>
  <c r="AD503" i="1"/>
  <c r="AD501" i="1"/>
  <c r="AD506" i="1"/>
  <c r="AD479" i="1"/>
  <c r="AD475" i="1"/>
  <c r="AD474" i="1"/>
  <c r="AD473" i="1"/>
  <c r="AD470" i="1"/>
  <c r="AD468" i="1" s="1"/>
  <c r="AD450" i="1"/>
  <c r="AD445" i="1"/>
  <c r="AD444" i="1"/>
  <c r="Z345" i="9"/>
  <c r="AB297" i="9"/>
  <c r="AB268" i="9"/>
  <c r="AB277" i="9" s="1"/>
  <c r="AB101" i="9"/>
  <c r="AD101" i="9" s="1"/>
  <c r="AB84" i="9"/>
  <c r="AC84" i="9" s="1"/>
  <c r="AA49" i="9"/>
  <c r="AD409" i="1"/>
  <c r="AD262" i="1"/>
  <c r="AD254" i="1"/>
  <c r="AD249" i="1"/>
  <c r="AD234" i="1"/>
  <c r="AD237" i="1" s="1"/>
  <c r="AD238" i="1" s="1"/>
  <c r="AD227" i="1"/>
  <c r="AD222" i="1"/>
  <c r="AD215" i="1"/>
  <c r="AD209" i="1"/>
  <c r="AD205" i="1"/>
  <c r="AD197" i="1"/>
  <c r="AD196" i="1"/>
  <c r="AD191" i="1"/>
  <c r="AD190" i="1"/>
  <c r="AD185" i="1"/>
  <c r="AD178" i="1"/>
  <c r="AD176" i="1"/>
  <c r="AD171" i="1"/>
  <c r="AD165" i="1"/>
  <c r="AE223" i="1" s="1"/>
  <c r="AB158" i="1"/>
  <c r="AC158" i="1"/>
  <c r="AD507" i="1" l="1"/>
  <c r="AD202" i="1"/>
  <c r="AE228" i="1"/>
  <c r="AE60" i="1"/>
  <c r="AC87" i="9"/>
  <c r="AC88" i="9" s="1"/>
  <c r="AC90" i="9" s="1"/>
  <c r="AC85" i="9"/>
  <c r="AE84" i="9" s="1"/>
  <c r="AF84" i="9" s="1"/>
  <c r="AH84" i="9" s="1"/>
  <c r="AB14" i="9"/>
  <c r="AD40" i="9"/>
  <c r="AB103" i="9"/>
  <c r="AD103" i="9" s="1"/>
  <c r="AB275" i="9"/>
  <c r="AC270" i="9"/>
  <c r="AC387" i="9" s="1"/>
  <c r="AC269" i="9"/>
  <c r="AB274" i="9"/>
  <c r="AB276" i="9"/>
  <c r="AB278" i="9"/>
  <c r="AE266" i="1"/>
  <c r="AE64" i="1"/>
  <c r="AD159" i="1"/>
  <c r="AE216" i="1"/>
  <c r="AD216" i="1"/>
  <c r="AD218" i="1"/>
  <c r="AD192" i="1"/>
  <c r="AE247" i="1" s="1"/>
  <c r="AD198" i="1"/>
  <c r="AE252" i="1" s="1"/>
  <c r="AD232" i="1"/>
  <c r="AD233" i="1" s="1"/>
  <c r="AD472" i="1"/>
  <c r="AD471" i="1" s="1"/>
  <c r="AD54" i="1"/>
  <c r="AD186" i="1"/>
  <c r="AE242" i="1" s="1"/>
  <c r="AD177" i="1"/>
  <c r="AD146" i="1" s="1"/>
  <c r="AD203" i="1"/>
  <c r="AD443" i="1"/>
  <c r="AF98" i="1" s="1"/>
  <c r="AD635" i="1"/>
  <c r="AD738" i="1" s="1"/>
  <c r="AD764" i="1" s="1"/>
  <c r="AD145" i="1"/>
  <c r="AD181" i="1"/>
  <c r="AD208" i="1"/>
  <c r="AE63" i="1" s="1"/>
  <c r="AD469" i="1"/>
  <c r="AD612" i="1"/>
  <c r="AD584" i="1"/>
  <c r="AD763" i="1"/>
  <c r="AD762" i="1"/>
  <c r="AD204" i="1" l="1"/>
  <c r="AD795" i="1" s="1"/>
  <c r="AE253" i="1"/>
  <c r="AE243" i="1"/>
  <c r="AE248" i="1"/>
  <c r="AH82" i="9"/>
  <c r="AH81" i="9" s="1"/>
  <c r="AH87" i="9"/>
  <c r="AI84" i="9"/>
  <c r="AE87" i="9"/>
  <c r="AE81" i="9"/>
  <c r="AE83" i="9" s="1"/>
  <c r="AB13" i="9"/>
  <c r="AB15" i="9" s="1"/>
  <c r="AD39" i="9"/>
  <c r="AC95" i="9"/>
  <c r="AC106" i="9"/>
  <c r="AC108" i="9" s="1"/>
  <c r="AE217" i="1"/>
  <c r="AD441" i="1"/>
  <c r="AE53" i="1"/>
  <c r="AD55" i="1"/>
  <c r="AD152" i="1"/>
  <c r="AE265" i="1"/>
  <c r="AE267" i="1" s="1"/>
  <c r="AD61" i="1"/>
  <c r="AD58" i="1"/>
  <c r="AD147" i="1"/>
  <c r="AD670" i="1" l="1"/>
  <c r="AK84" i="9"/>
  <c r="AI82" i="9"/>
  <c r="AI81" i="9" s="1"/>
  <c r="AI83" i="9" s="1"/>
  <c r="AH83" i="9"/>
  <c r="AH88" i="9" s="1"/>
  <c r="AH90" i="9" s="1"/>
  <c r="AH95" i="9" s="1"/>
  <c r="AE88" i="9"/>
  <c r="AE258" i="1"/>
  <c r="AE257" i="1"/>
  <c r="CO614" i="1"/>
  <c r="AL84" i="9" l="1"/>
  <c r="AN84" i="9" s="1"/>
  <c r="AK82" i="9"/>
  <c r="AK87" i="9"/>
  <c r="AE259" i="1"/>
  <c r="AM84" i="9" l="1"/>
  <c r="AM87" i="9" s="1"/>
  <c r="AN87" i="9"/>
  <c r="AO84" i="9"/>
  <c r="AP84" i="9" s="1"/>
  <c r="AP87" i="9" s="1"/>
  <c r="AN82" i="9"/>
  <c r="AL82" i="9"/>
  <c r="AM82" i="9" s="1"/>
  <c r="AL87" i="9"/>
  <c r="AK83" i="9"/>
  <c r="AE260" i="1"/>
  <c r="AE261" i="1" s="1"/>
  <c r="Y583" i="1"/>
  <c r="AL81" i="9" l="1"/>
  <c r="AM81" i="9" s="1"/>
  <c r="AN83" i="9"/>
  <c r="AO87" i="9"/>
  <c r="AO82" i="9"/>
  <c r="AO81" i="9" s="1"/>
  <c r="AK88" i="9"/>
  <c r="AK90" i="9" s="1"/>
  <c r="AK95" i="9" s="1"/>
  <c r="AE699" i="1"/>
  <c r="AL83" i="9" l="1"/>
  <c r="AL88" i="9" s="1"/>
  <c r="AL90" i="9" s="1"/>
  <c r="AL95" i="9" s="1"/>
  <c r="AO83" i="9"/>
  <c r="AO88" i="9" s="1"/>
  <c r="AO90" i="9" s="1"/>
  <c r="AO95" i="9" s="1"/>
  <c r="AP81" i="9"/>
  <c r="AP82" i="9"/>
  <c r="AQ82" i="9"/>
  <c r="AR82" i="9" s="1"/>
  <c r="AT82" i="9" s="1"/>
  <c r="AN88" i="9"/>
  <c r="AN90" i="9" s="1"/>
  <c r="AN95" i="9" s="1"/>
  <c r="AC583" i="1"/>
  <c r="AB583" i="1"/>
  <c r="AA583" i="1"/>
  <c r="AM83" i="9" l="1"/>
  <c r="AM88" i="9" s="1"/>
  <c r="AM90" i="9" s="1"/>
  <c r="AM95" i="9" s="1"/>
  <c r="AP83" i="9"/>
  <c r="AP88" i="9" s="1"/>
  <c r="AP90" i="9" s="1"/>
  <c r="AP95" i="9" s="1"/>
  <c r="AS82" i="9"/>
  <c r="AU82" i="9"/>
  <c r="AW82" i="9" s="1"/>
  <c r="AX82" i="9" s="1"/>
  <c r="AB139" i="1"/>
  <c r="AV82" i="9" l="1"/>
  <c r="AY82" i="9"/>
  <c r="AZ82" i="9"/>
  <c r="CB839" i="1"/>
  <c r="CA839" i="1"/>
  <c r="BZ839" i="1"/>
  <c r="BY839" i="1"/>
  <c r="BX839" i="1"/>
  <c r="BW839" i="1"/>
  <c r="BV839" i="1"/>
  <c r="BU839" i="1"/>
  <c r="BT839" i="1"/>
  <c r="BS839" i="1"/>
  <c r="CB827" i="1"/>
  <c r="CA827" i="1"/>
  <c r="BZ827" i="1"/>
  <c r="BY827" i="1"/>
  <c r="BX827" i="1"/>
  <c r="BW827" i="1"/>
  <c r="BV827" i="1"/>
  <c r="BU827" i="1"/>
  <c r="BT827" i="1"/>
  <c r="BS827" i="1"/>
  <c r="CB824" i="1"/>
  <c r="CA824" i="1"/>
  <c r="BZ824" i="1"/>
  <c r="BY824" i="1"/>
  <c r="BX824" i="1"/>
  <c r="BW824" i="1"/>
  <c r="BV824" i="1"/>
  <c r="BU824" i="1"/>
  <c r="BT824" i="1"/>
  <c r="BS824" i="1"/>
  <c r="CB821" i="1"/>
  <c r="CA821" i="1"/>
  <c r="BZ821" i="1"/>
  <c r="BY821" i="1"/>
  <c r="BX821" i="1"/>
  <c r="BW821" i="1"/>
  <c r="BV821" i="1"/>
  <c r="BU821" i="1"/>
  <c r="BT821" i="1"/>
  <c r="BS821" i="1"/>
  <c r="CB818" i="1"/>
  <c r="CA818" i="1"/>
  <c r="BZ818" i="1"/>
  <c r="BY818" i="1"/>
  <c r="BX818" i="1"/>
  <c r="BW818" i="1"/>
  <c r="BV818" i="1"/>
  <c r="BU818" i="1"/>
  <c r="BT818" i="1"/>
  <c r="BS818" i="1"/>
  <c r="CB815" i="1"/>
  <c r="CA815" i="1"/>
  <c r="BZ815" i="1"/>
  <c r="BY815" i="1"/>
  <c r="BX815" i="1"/>
  <c r="BW815" i="1"/>
  <c r="BV815" i="1"/>
  <c r="BU815" i="1"/>
  <c r="BT815" i="1"/>
  <c r="BS815" i="1"/>
  <c r="CB814" i="1"/>
  <c r="CA814" i="1"/>
  <c r="BZ814" i="1"/>
  <c r="BY814" i="1"/>
  <c r="BX814" i="1"/>
  <c r="BW814" i="1"/>
  <c r="BV814" i="1"/>
  <c r="BU814" i="1"/>
  <c r="BT814" i="1"/>
  <c r="BS814" i="1"/>
  <c r="BZ790" i="1"/>
  <c r="BY790" i="1"/>
  <c r="BX790" i="1"/>
  <c r="BW790" i="1"/>
  <c r="BV790" i="1"/>
  <c r="BU790" i="1"/>
  <c r="BT790" i="1"/>
  <c r="BS790" i="1"/>
  <c r="BS743" i="1"/>
  <c r="BS769" i="1" s="1"/>
  <c r="BS742" i="1"/>
  <c r="BS768" i="1" s="1"/>
  <c r="CB703" i="1"/>
  <c r="CA703" i="1"/>
  <c r="BZ703" i="1"/>
  <c r="BY703" i="1"/>
  <c r="BX703" i="1"/>
  <c r="BW703" i="1"/>
  <c r="BV703" i="1"/>
  <c r="BU703" i="1"/>
  <c r="BT703" i="1"/>
  <c r="BS703" i="1"/>
  <c r="CB701" i="1"/>
  <c r="CB702" i="1" s="1"/>
  <c r="CA701" i="1"/>
  <c r="CA702" i="1" s="1"/>
  <c r="BZ701" i="1"/>
  <c r="BZ702" i="1" s="1"/>
  <c r="BY701" i="1"/>
  <c r="BY702" i="1" s="1"/>
  <c r="BX701" i="1"/>
  <c r="BX702" i="1" s="1"/>
  <c r="BW701" i="1"/>
  <c r="BW702" i="1" s="1"/>
  <c r="BV701" i="1"/>
  <c r="BV702" i="1" s="1"/>
  <c r="BU701" i="1"/>
  <c r="BU702" i="1" s="1"/>
  <c r="BT701" i="1"/>
  <c r="BT702" i="1" s="1"/>
  <c r="BS701" i="1"/>
  <c r="CB698" i="1"/>
  <c r="CA698" i="1"/>
  <c r="BZ698" i="1"/>
  <c r="BY698" i="1"/>
  <c r="BX698" i="1"/>
  <c r="BW698" i="1"/>
  <c r="BV698" i="1"/>
  <c r="BU698" i="1"/>
  <c r="BT698" i="1"/>
  <c r="BS698" i="1"/>
  <c r="CB696" i="1"/>
  <c r="CA696" i="1"/>
  <c r="BZ696" i="1"/>
  <c r="BY696" i="1"/>
  <c r="BX696" i="1"/>
  <c r="BW696" i="1"/>
  <c r="BV696" i="1"/>
  <c r="BU696" i="1"/>
  <c r="BT696" i="1"/>
  <c r="BS696" i="1"/>
  <c r="CB681" i="1"/>
  <c r="CA681" i="1"/>
  <c r="CB680" i="1"/>
  <c r="CA680" i="1"/>
  <c r="CB679" i="1"/>
  <c r="CA679" i="1"/>
  <c r="CB678" i="1"/>
  <c r="CA678" i="1"/>
  <c r="CB677" i="1"/>
  <c r="CA677" i="1"/>
  <c r="CB665" i="1"/>
  <c r="CA665" i="1"/>
  <c r="BZ665" i="1"/>
  <c r="BY665" i="1"/>
  <c r="BX665" i="1"/>
  <c r="BW665" i="1"/>
  <c r="BV665" i="1"/>
  <c r="BU665" i="1"/>
  <c r="BT665" i="1"/>
  <c r="BS665" i="1"/>
  <c r="CB663" i="1"/>
  <c r="CA663" i="1"/>
  <c r="BZ663" i="1"/>
  <c r="BY663" i="1"/>
  <c r="BX663" i="1"/>
  <c r="BW663" i="1"/>
  <c r="BV663" i="1"/>
  <c r="BU663" i="1"/>
  <c r="BT663" i="1"/>
  <c r="BS663" i="1"/>
  <c r="CB652" i="1"/>
  <c r="CA652" i="1"/>
  <c r="BZ652" i="1"/>
  <c r="BY652" i="1"/>
  <c r="BX652" i="1"/>
  <c r="BW652" i="1"/>
  <c r="BV652" i="1"/>
  <c r="BU652" i="1"/>
  <c r="BT652" i="1"/>
  <c r="BS652" i="1"/>
  <c r="BV634" i="1"/>
  <c r="BU634" i="1"/>
  <c r="BT634" i="1"/>
  <c r="BS634" i="1"/>
  <c r="BS633" i="1"/>
  <c r="BY627" i="1"/>
  <c r="BX627" i="1"/>
  <c r="BW627" i="1"/>
  <c r="BV627" i="1"/>
  <c r="BU627" i="1"/>
  <c r="BT627" i="1"/>
  <c r="CB626" i="1"/>
  <c r="CA626" i="1"/>
  <c r="BZ626" i="1"/>
  <c r="BY626" i="1"/>
  <c r="BX626" i="1"/>
  <c r="BW626" i="1"/>
  <c r="BV626" i="1"/>
  <c r="BU626" i="1"/>
  <c r="BT626" i="1"/>
  <c r="CB625" i="1"/>
  <c r="CA625" i="1"/>
  <c r="BZ625" i="1"/>
  <c r="BY625" i="1"/>
  <c r="BX625" i="1"/>
  <c r="BW625" i="1"/>
  <c r="BV625" i="1"/>
  <c r="BU625" i="1"/>
  <c r="BT625" i="1"/>
  <c r="BS625" i="1"/>
  <c r="CB621" i="1"/>
  <c r="CA621" i="1"/>
  <c r="BZ621" i="1"/>
  <c r="BY621" i="1"/>
  <c r="BX621" i="1"/>
  <c r="BW621" i="1"/>
  <c r="BV621" i="1"/>
  <c r="BU621" i="1"/>
  <c r="BT621" i="1"/>
  <c r="BS621" i="1"/>
  <c r="CB611" i="1"/>
  <c r="CB612" i="1" s="1"/>
  <c r="CB116" i="1" s="1"/>
  <c r="CA611" i="1"/>
  <c r="CA612" i="1" s="1"/>
  <c r="CA116" i="1" s="1"/>
  <c r="BZ611" i="1"/>
  <c r="BZ612" i="1" s="1"/>
  <c r="BY611" i="1"/>
  <c r="BY612" i="1" s="1"/>
  <c r="BY116" i="1" s="1"/>
  <c r="BX611" i="1"/>
  <c r="BX612" i="1" s="1"/>
  <c r="BX116" i="1" s="1"/>
  <c r="BW611" i="1"/>
  <c r="BW612" i="1" s="1"/>
  <c r="BW116" i="1" s="1"/>
  <c r="BV611" i="1"/>
  <c r="BV612" i="1" s="1"/>
  <c r="BU611" i="1"/>
  <c r="BU612" i="1" s="1"/>
  <c r="BU116" i="1" s="1"/>
  <c r="BT611" i="1"/>
  <c r="BT612" i="1" s="1"/>
  <c r="BT116" i="1" s="1"/>
  <c r="BS611" i="1"/>
  <c r="CA606" i="1"/>
  <c r="BZ606" i="1"/>
  <c r="CB601" i="1"/>
  <c r="CB599" i="1"/>
  <c r="CA599" i="1"/>
  <c r="BZ599" i="1"/>
  <c r="BY599" i="1"/>
  <c r="BX599" i="1"/>
  <c r="BW599" i="1"/>
  <c r="BW603" i="1" s="1"/>
  <c r="BV599" i="1"/>
  <c r="BV603" i="1" s="1"/>
  <c r="BU599" i="1"/>
  <c r="BU603" i="1" s="1"/>
  <c r="BT599" i="1"/>
  <c r="BT603" i="1" s="1"/>
  <c r="BS599" i="1"/>
  <c r="CB598" i="1"/>
  <c r="CA598" i="1"/>
  <c r="BZ598" i="1"/>
  <c r="BY598" i="1"/>
  <c r="BX598" i="1"/>
  <c r="CB593" i="1"/>
  <c r="CA593" i="1"/>
  <c r="CB592" i="1"/>
  <c r="CA592" i="1"/>
  <c r="CB591" i="1"/>
  <c r="CA591" i="1"/>
  <c r="CA589" i="1"/>
  <c r="BZ589" i="1"/>
  <c r="BY589" i="1"/>
  <c r="BX589" i="1"/>
  <c r="BW589" i="1"/>
  <c r="BV589" i="1"/>
  <c r="BU589" i="1"/>
  <c r="CB588" i="1"/>
  <c r="CA588" i="1"/>
  <c r="BZ588" i="1"/>
  <c r="BY588" i="1"/>
  <c r="BX588" i="1"/>
  <c r="BW588" i="1"/>
  <c r="BV588" i="1"/>
  <c r="BU588" i="1"/>
  <c r="BT588" i="1"/>
  <c r="BS588" i="1"/>
  <c r="BY585" i="1"/>
  <c r="BY583" i="1" s="1"/>
  <c r="BX585" i="1"/>
  <c r="BX583" i="1" s="1"/>
  <c r="BW585" i="1"/>
  <c r="BW583" i="1" s="1"/>
  <c r="BV585" i="1"/>
  <c r="BV583" i="1" s="1"/>
  <c r="BU585" i="1"/>
  <c r="BU583" i="1" s="1"/>
  <c r="BT585" i="1"/>
  <c r="BT583" i="1" s="1"/>
  <c r="BS585" i="1"/>
  <c r="BS583" i="1" s="1"/>
  <c r="CB584" i="1"/>
  <c r="CB571" i="1"/>
  <c r="CA571" i="1"/>
  <c r="CA585" i="1" s="1"/>
  <c r="CA583" i="1" s="1"/>
  <c r="BZ571" i="1"/>
  <c r="BZ585" i="1" s="1"/>
  <c r="BZ583" i="1" s="1"/>
  <c r="CB566" i="1"/>
  <c r="CB589" i="1" s="1"/>
  <c r="BT566" i="1"/>
  <c r="BT589" i="1" s="1"/>
  <c r="BS566" i="1"/>
  <c r="CB562" i="1"/>
  <c r="CA562" i="1"/>
  <c r="BZ562" i="1"/>
  <c r="BY562" i="1"/>
  <c r="BX562" i="1"/>
  <c r="BW562" i="1"/>
  <c r="BV562" i="1"/>
  <c r="BU562" i="1"/>
  <c r="BT562" i="1"/>
  <c r="BS562" i="1"/>
  <c r="BS546" i="1"/>
  <c r="BS541" i="1"/>
  <c r="CB537" i="1"/>
  <c r="CB634" i="1" s="1"/>
  <c r="CA537" i="1"/>
  <c r="CA634" i="1" s="1"/>
  <c r="BZ537" i="1"/>
  <c r="BZ634" i="1" s="1"/>
  <c r="BY537" i="1"/>
  <c r="BY634" i="1" s="1"/>
  <c r="BX537" i="1"/>
  <c r="BX634" i="1" s="1"/>
  <c r="BW537" i="1"/>
  <c r="BW634" i="1" s="1"/>
  <c r="CB535" i="1"/>
  <c r="CB633" i="1" s="1"/>
  <c r="CA535" i="1"/>
  <c r="CA633" i="1" s="1"/>
  <c r="BZ535" i="1"/>
  <c r="BZ633" i="1" s="1"/>
  <c r="BZ636" i="1" s="1"/>
  <c r="BY535" i="1"/>
  <c r="BY633" i="1" s="1"/>
  <c r="BX535" i="1"/>
  <c r="BX633" i="1" s="1"/>
  <c r="BW535" i="1"/>
  <c r="BW633" i="1" s="1"/>
  <c r="BV535" i="1"/>
  <c r="BV633" i="1" s="1"/>
  <c r="BV636" i="1" s="1"/>
  <c r="BU535" i="1"/>
  <c r="BU633" i="1" s="1"/>
  <c r="BT535" i="1"/>
  <c r="BT633" i="1" s="1"/>
  <c r="BT533" i="1"/>
  <c r="BS531" i="1"/>
  <c r="CB524" i="1"/>
  <c r="CA524" i="1"/>
  <c r="CA523" i="1"/>
  <c r="BY523" i="1"/>
  <c r="BX523" i="1"/>
  <c r="BT523" i="1"/>
  <c r="CB522" i="1"/>
  <c r="CA522" i="1"/>
  <c r="CA536" i="1" s="1"/>
  <c r="CA546" i="1" s="1"/>
  <c r="BZ522" i="1"/>
  <c r="BY522" i="1"/>
  <c r="BY536" i="1" s="1"/>
  <c r="BY546" i="1" s="1"/>
  <c r="BX522" i="1"/>
  <c r="BX536" i="1" s="1"/>
  <c r="BX546" i="1" s="1"/>
  <c r="BW522" i="1"/>
  <c r="BV522" i="1"/>
  <c r="BU522" i="1"/>
  <c r="BT522" i="1"/>
  <c r="BT536" i="1" s="1"/>
  <c r="BT546" i="1" s="1"/>
  <c r="BS522" i="1"/>
  <c r="CB520" i="1"/>
  <c r="CA520" i="1"/>
  <c r="BZ520" i="1"/>
  <c r="BY520" i="1"/>
  <c r="BX520" i="1"/>
  <c r="BW520" i="1"/>
  <c r="BV520" i="1"/>
  <c r="BU520" i="1"/>
  <c r="BT520" i="1"/>
  <c r="BS520" i="1"/>
  <c r="CB519" i="1"/>
  <c r="CA519" i="1"/>
  <c r="BZ519" i="1"/>
  <c r="BY519" i="1"/>
  <c r="BX519" i="1"/>
  <c r="BW519" i="1"/>
  <c r="BV519" i="1"/>
  <c r="BU519" i="1"/>
  <c r="BT519" i="1"/>
  <c r="BS519" i="1"/>
  <c r="CB518" i="1"/>
  <c r="CA518" i="1"/>
  <c r="BZ518" i="1"/>
  <c r="BY518" i="1"/>
  <c r="BX518" i="1"/>
  <c r="BW518" i="1"/>
  <c r="BV518" i="1"/>
  <c r="BU518" i="1"/>
  <c r="BT518" i="1"/>
  <c r="BS518" i="1"/>
  <c r="CB517" i="1"/>
  <c r="CA517" i="1"/>
  <c r="BZ517" i="1"/>
  <c r="BY517" i="1"/>
  <c r="BX517" i="1"/>
  <c r="BW517" i="1"/>
  <c r="BV517" i="1"/>
  <c r="BU517" i="1"/>
  <c r="BT517" i="1"/>
  <c r="BS517" i="1"/>
  <c r="CB516" i="1"/>
  <c r="CA516" i="1"/>
  <c r="BZ516" i="1"/>
  <c r="BY516" i="1"/>
  <c r="BX516" i="1"/>
  <c r="BW516" i="1"/>
  <c r="BV516" i="1"/>
  <c r="BU516" i="1"/>
  <c r="BT516" i="1"/>
  <c r="BS516" i="1"/>
  <c r="CB509" i="1"/>
  <c r="CA509" i="1"/>
  <c r="BZ509" i="1"/>
  <c r="BY509" i="1"/>
  <c r="BX509" i="1"/>
  <c r="BW509" i="1"/>
  <c r="BV509" i="1"/>
  <c r="BU509" i="1"/>
  <c r="BT509" i="1"/>
  <c r="BS509" i="1"/>
  <c r="CB506" i="1"/>
  <c r="CA506" i="1"/>
  <c r="BZ506" i="1"/>
  <c r="BY506" i="1"/>
  <c r="BX506" i="1"/>
  <c r="BW506" i="1"/>
  <c r="BV506" i="1"/>
  <c r="BU506" i="1"/>
  <c r="BT506" i="1"/>
  <c r="BS506" i="1"/>
  <c r="CB504" i="1"/>
  <c r="CA504" i="1"/>
  <c r="BZ504" i="1"/>
  <c r="BY504" i="1"/>
  <c r="BX504" i="1"/>
  <c r="BW504" i="1"/>
  <c r="BV504" i="1"/>
  <c r="BU504" i="1"/>
  <c r="BT504" i="1"/>
  <c r="BS504" i="1"/>
  <c r="CB503" i="1"/>
  <c r="CA503" i="1"/>
  <c r="BZ503" i="1"/>
  <c r="BY503" i="1"/>
  <c r="BX503" i="1"/>
  <c r="BW503" i="1"/>
  <c r="BV503" i="1"/>
  <c r="BU503" i="1"/>
  <c r="BT503" i="1"/>
  <c r="BS503" i="1"/>
  <c r="CB502" i="1"/>
  <c r="CA502" i="1"/>
  <c r="BZ502" i="1"/>
  <c r="BY502" i="1"/>
  <c r="BX502" i="1"/>
  <c r="BW502" i="1"/>
  <c r="BV502" i="1"/>
  <c r="BU502" i="1"/>
  <c r="BT502" i="1"/>
  <c r="BS502" i="1"/>
  <c r="CB501" i="1"/>
  <c r="CA501" i="1"/>
  <c r="BZ501" i="1"/>
  <c r="BY501" i="1"/>
  <c r="BX501" i="1"/>
  <c r="BW501" i="1"/>
  <c r="BV501" i="1"/>
  <c r="BU501" i="1"/>
  <c r="BT501" i="1"/>
  <c r="BS501" i="1"/>
  <c r="CA497" i="1"/>
  <c r="CB479" i="1"/>
  <c r="CA479" i="1"/>
  <c r="BZ479" i="1"/>
  <c r="BY479" i="1"/>
  <c r="BX479" i="1"/>
  <c r="BW479" i="1"/>
  <c r="BV479" i="1"/>
  <c r="BU479" i="1"/>
  <c r="BT479" i="1"/>
  <c r="BS479" i="1"/>
  <c r="CB475" i="1"/>
  <c r="CA475" i="1"/>
  <c r="BZ475" i="1"/>
  <c r="BY475" i="1"/>
  <c r="BX475" i="1"/>
  <c r="BW475" i="1"/>
  <c r="BV475" i="1"/>
  <c r="BU475" i="1"/>
  <c r="BT475" i="1"/>
  <c r="BS475" i="1"/>
  <c r="CB474" i="1"/>
  <c r="CA474" i="1"/>
  <c r="BZ474" i="1"/>
  <c r="BY474" i="1"/>
  <c r="BX474" i="1"/>
  <c r="BW474" i="1"/>
  <c r="BV474" i="1"/>
  <c r="BU474" i="1"/>
  <c r="BT474" i="1"/>
  <c r="BS474" i="1"/>
  <c r="CB473" i="1"/>
  <c r="CA473" i="1"/>
  <c r="BZ473" i="1"/>
  <c r="BY473" i="1"/>
  <c r="BX473" i="1"/>
  <c r="BW473" i="1"/>
  <c r="BV473" i="1"/>
  <c r="BU473" i="1"/>
  <c r="BT473" i="1"/>
  <c r="BS473" i="1"/>
  <c r="CB470" i="1"/>
  <c r="CA470" i="1"/>
  <c r="BZ470" i="1"/>
  <c r="BY470" i="1"/>
  <c r="BX470" i="1"/>
  <c r="BW470" i="1"/>
  <c r="BV470" i="1"/>
  <c r="BU470" i="1"/>
  <c r="BT470" i="1"/>
  <c r="BS470" i="1"/>
  <c r="CB469" i="1"/>
  <c r="CA469" i="1"/>
  <c r="BZ469" i="1"/>
  <c r="BY469" i="1"/>
  <c r="BX469" i="1"/>
  <c r="BW469" i="1"/>
  <c r="BV469" i="1"/>
  <c r="BU469" i="1"/>
  <c r="BT469" i="1"/>
  <c r="BS469" i="1"/>
  <c r="CB467" i="1"/>
  <c r="CA467" i="1"/>
  <c r="BZ467" i="1"/>
  <c r="BY467" i="1"/>
  <c r="BX467" i="1"/>
  <c r="BW467" i="1"/>
  <c r="BV467" i="1"/>
  <c r="BU467" i="1"/>
  <c r="BT467" i="1"/>
  <c r="BS467" i="1"/>
  <c r="CB451" i="1"/>
  <c r="CB450" i="1" s="1"/>
  <c r="CA451" i="1"/>
  <c r="CA450" i="1" s="1"/>
  <c r="BZ451" i="1"/>
  <c r="BS450" i="1"/>
  <c r="BZ449" i="1"/>
  <c r="BY449" i="1"/>
  <c r="BY450" i="1" s="1"/>
  <c r="BX449" i="1"/>
  <c r="BW449" i="1"/>
  <c r="BW450" i="1" s="1"/>
  <c r="BV449" i="1"/>
  <c r="BV450" i="1" s="1"/>
  <c r="BU449" i="1"/>
  <c r="BU450" i="1" s="1"/>
  <c r="BT449" i="1"/>
  <c r="CB445" i="1"/>
  <c r="CA445" i="1"/>
  <c r="BZ445" i="1"/>
  <c r="BY445" i="1"/>
  <c r="BX445" i="1"/>
  <c r="BW445" i="1"/>
  <c r="BV445" i="1"/>
  <c r="BU445" i="1"/>
  <c r="BT445" i="1"/>
  <c r="BS445" i="1"/>
  <c r="CB444" i="1"/>
  <c r="CA444" i="1"/>
  <c r="BZ444" i="1"/>
  <c r="BY444" i="1"/>
  <c r="BX444" i="1"/>
  <c r="BW444" i="1"/>
  <c r="BV444" i="1"/>
  <c r="BU444" i="1"/>
  <c r="BT444" i="1"/>
  <c r="BS444" i="1"/>
  <c r="CB434" i="1"/>
  <c r="CA434" i="1"/>
  <c r="BZ434" i="1"/>
  <c r="BY434" i="1"/>
  <c r="BX434" i="1"/>
  <c r="BW434" i="1"/>
  <c r="BV434" i="1"/>
  <c r="BU434" i="1"/>
  <c r="BT434" i="1"/>
  <c r="BS434" i="1"/>
  <c r="CB433" i="1"/>
  <c r="CA433" i="1"/>
  <c r="BZ433" i="1" s="1"/>
  <c r="BY433" i="1" s="1"/>
  <c r="CB425" i="1"/>
  <c r="CB460" i="1" s="1"/>
  <c r="CB489" i="1" s="1"/>
  <c r="CA425" i="1"/>
  <c r="CA460" i="1" s="1"/>
  <c r="CA489" i="1" s="1"/>
  <c r="BZ425" i="1"/>
  <c r="BZ460" i="1" s="1"/>
  <c r="BZ489" i="1" s="1"/>
  <c r="BY425" i="1"/>
  <c r="BY460" i="1" s="1"/>
  <c r="BY489" i="1" s="1"/>
  <c r="BX425" i="1"/>
  <c r="BX460" i="1" s="1"/>
  <c r="BX489" i="1" s="1"/>
  <c r="BW425" i="1"/>
  <c r="BW460" i="1" s="1"/>
  <c r="BW489" i="1" s="1"/>
  <c r="BV425" i="1"/>
  <c r="BV460" i="1" s="1"/>
  <c r="BV489" i="1" s="1"/>
  <c r="BU425" i="1"/>
  <c r="BU460" i="1" s="1"/>
  <c r="BU489" i="1" s="1"/>
  <c r="BT425" i="1"/>
  <c r="BT460" i="1" s="1"/>
  <c r="BT489" i="1" s="1"/>
  <c r="BS425" i="1"/>
  <c r="BS460" i="1" s="1"/>
  <c r="BS489" i="1" s="1"/>
  <c r="CB424" i="1"/>
  <c r="CB459" i="1" s="1"/>
  <c r="CB488" i="1" s="1"/>
  <c r="CA424" i="1"/>
  <c r="CA459" i="1" s="1"/>
  <c r="CA488" i="1" s="1"/>
  <c r="BZ424" i="1"/>
  <c r="BZ459" i="1" s="1"/>
  <c r="BZ488" i="1" s="1"/>
  <c r="BY424" i="1"/>
  <c r="BY459" i="1" s="1"/>
  <c r="BY488" i="1" s="1"/>
  <c r="BX424" i="1"/>
  <c r="BX459" i="1" s="1"/>
  <c r="BX488" i="1" s="1"/>
  <c r="BW424" i="1"/>
  <c r="BW459" i="1" s="1"/>
  <c r="BW488" i="1" s="1"/>
  <c r="BV424" i="1"/>
  <c r="BV459" i="1" s="1"/>
  <c r="BV488" i="1" s="1"/>
  <c r="BU424" i="1"/>
  <c r="BU459" i="1" s="1"/>
  <c r="BU488" i="1" s="1"/>
  <c r="BT424" i="1"/>
  <c r="BT459" i="1" s="1"/>
  <c r="BT488" i="1" s="1"/>
  <c r="BS424" i="1"/>
  <c r="BS459" i="1" s="1"/>
  <c r="BS488" i="1" s="1"/>
  <c r="CB423" i="1"/>
  <c r="CB458" i="1" s="1"/>
  <c r="CB487" i="1" s="1"/>
  <c r="CA423" i="1"/>
  <c r="CA458" i="1" s="1"/>
  <c r="CA487" i="1" s="1"/>
  <c r="BZ423" i="1"/>
  <c r="BZ458" i="1" s="1"/>
  <c r="BZ487" i="1" s="1"/>
  <c r="BY423" i="1"/>
  <c r="BY458" i="1" s="1"/>
  <c r="BY487" i="1" s="1"/>
  <c r="BX423" i="1"/>
  <c r="BX458" i="1" s="1"/>
  <c r="BX487" i="1" s="1"/>
  <c r="BW423" i="1"/>
  <c r="BW458" i="1" s="1"/>
  <c r="BW487" i="1" s="1"/>
  <c r="BV423" i="1"/>
  <c r="BV458" i="1" s="1"/>
  <c r="BV487" i="1" s="1"/>
  <c r="BU423" i="1"/>
  <c r="BU458" i="1" s="1"/>
  <c r="BU487" i="1" s="1"/>
  <c r="BT423" i="1"/>
  <c r="BT458" i="1" s="1"/>
  <c r="BT487" i="1" s="1"/>
  <c r="BS423" i="1"/>
  <c r="BS458" i="1" s="1"/>
  <c r="BS487" i="1" s="1"/>
  <c r="CB422" i="1"/>
  <c r="CB457" i="1" s="1"/>
  <c r="CA422" i="1"/>
  <c r="CA457" i="1" s="1"/>
  <c r="BZ422" i="1"/>
  <c r="BZ457" i="1" s="1"/>
  <c r="BY422" i="1"/>
  <c r="BY457" i="1" s="1"/>
  <c r="BX422" i="1"/>
  <c r="BX457" i="1" s="1"/>
  <c r="BW422" i="1"/>
  <c r="BW457" i="1" s="1"/>
  <c r="BV422" i="1"/>
  <c r="BV457" i="1" s="1"/>
  <c r="BU422" i="1"/>
  <c r="BU457" i="1" s="1"/>
  <c r="BT422" i="1"/>
  <c r="BT457" i="1" s="1"/>
  <c r="BS422" i="1"/>
  <c r="BS457" i="1" s="1"/>
  <c r="CB420" i="1"/>
  <c r="CA420" i="1"/>
  <c r="BZ420" i="1"/>
  <c r="BY420" i="1"/>
  <c r="BX420" i="1"/>
  <c r="BW420" i="1"/>
  <c r="BV420" i="1"/>
  <c r="BU420" i="1"/>
  <c r="BT420" i="1"/>
  <c r="BS420" i="1"/>
  <c r="CB416" i="1"/>
  <c r="BY416" i="1"/>
  <c r="BX416" i="1"/>
  <c r="BX415" i="1" s="1"/>
  <c r="BV416" i="1"/>
  <c r="BV415" i="1" s="1"/>
  <c r="BT416" i="1"/>
  <c r="BT415" i="1" s="1"/>
  <c r="BW415" i="1"/>
  <c r="BU415" i="1"/>
  <c r="BS415" i="1"/>
  <c r="CB414" i="1"/>
  <c r="CA414" i="1"/>
  <c r="CA416" i="1" s="1"/>
  <c r="CA415" i="1" s="1"/>
  <c r="BZ414" i="1"/>
  <c r="BZ415" i="1" s="1"/>
  <c r="BY414" i="1"/>
  <c r="CB409" i="1"/>
  <c r="CB421" i="1" s="1"/>
  <c r="CA409" i="1"/>
  <c r="CA421" i="1" s="1"/>
  <c r="BZ409" i="1"/>
  <c r="BZ421" i="1" s="1"/>
  <c r="BY409" i="1"/>
  <c r="BY421" i="1" s="1"/>
  <c r="BX409" i="1"/>
  <c r="BX421" i="1" s="1"/>
  <c r="BW409" i="1"/>
  <c r="BW421" i="1" s="1"/>
  <c r="BV409" i="1"/>
  <c r="BV421" i="1" s="1"/>
  <c r="BU409" i="1"/>
  <c r="BU421" i="1" s="1"/>
  <c r="BT409" i="1"/>
  <c r="BT421" i="1" s="1"/>
  <c r="BS409" i="1"/>
  <c r="BX399" i="1"/>
  <c r="BX398" i="1"/>
  <c r="BV398" i="1"/>
  <c r="BZ397" i="1"/>
  <c r="BY397" i="1"/>
  <c r="BX397" i="1"/>
  <c r="BW397" i="1"/>
  <c r="BV397" i="1"/>
  <c r="BU397" i="1"/>
  <c r="BT397" i="1"/>
  <c r="BS397" i="1"/>
  <c r="CB388" i="1"/>
  <c r="CA388" i="1"/>
  <c r="BZ388" i="1"/>
  <c r="BY388" i="1"/>
  <c r="BX388" i="1"/>
  <c r="BW388" i="1"/>
  <c r="BV388" i="1"/>
  <c r="BU388" i="1"/>
  <c r="BT388" i="1"/>
  <c r="BS388" i="1"/>
  <c r="CB381" i="1"/>
  <c r="CB327" i="1" s="1"/>
  <c r="CA381" i="1"/>
  <c r="CA327" i="1" s="1"/>
  <c r="BZ381" i="1"/>
  <c r="BZ327" i="1" s="1"/>
  <c r="BY381" i="1"/>
  <c r="BY327" i="1" s="1"/>
  <c r="BX381" i="1"/>
  <c r="BX327" i="1" s="1"/>
  <c r="BW381" i="1"/>
  <c r="BW327" i="1" s="1"/>
  <c r="BV381" i="1"/>
  <c r="BV327" i="1" s="1"/>
  <c r="BU381" i="1"/>
  <c r="BU327" i="1" s="1"/>
  <c r="BT381" i="1"/>
  <c r="BT327" i="1" s="1"/>
  <c r="BS381" i="1"/>
  <c r="CB369" i="1"/>
  <c r="CA369" i="1"/>
  <c r="BZ369" i="1"/>
  <c r="BY369" i="1"/>
  <c r="BX369" i="1"/>
  <c r="BW369" i="1"/>
  <c r="BV369" i="1"/>
  <c r="BU369" i="1"/>
  <c r="BT369" i="1"/>
  <c r="BS369" i="1"/>
  <c r="CB351" i="1"/>
  <c r="CA351" i="1"/>
  <c r="BZ351" i="1"/>
  <c r="BY351" i="1"/>
  <c r="BX351" i="1"/>
  <c r="BW351" i="1"/>
  <c r="BV351" i="1"/>
  <c r="BU351" i="1"/>
  <c r="BT351" i="1"/>
  <c r="BS351" i="1"/>
  <c r="CB350" i="1"/>
  <c r="CA350" i="1"/>
  <c r="BZ350" i="1"/>
  <c r="BY350" i="1"/>
  <c r="BX350" i="1"/>
  <c r="BW350" i="1"/>
  <c r="BV350" i="1"/>
  <c r="BU350" i="1"/>
  <c r="BT350" i="1"/>
  <c r="BS350" i="1"/>
  <c r="CB344" i="1"/>
  <c r="CA344" i="1"/>
  <c r="BZ344" i="1"/>
  <c r="BY344" i="1"/>
  <c r="BX344" i="1"/>
  <c r="BW344" i="1"/>
  <c r="BV344" i="1"/>
  <c r="BU344" i="1"/>
  <c r="BT344" i="1"/>
  <c r="BS344" i="1"/>
  <c r="CB318" i="1"/>
  <c r="CB296" i="1" s="1"/>
  <c r="CB379" i="1" s="1"/>
  <c r="CA318" i="1"/>
  <c r="CA296" i="1" s="1"/>
  <c r="CA379" i="1" s="1"/>
  <c r="BZ318" i="1"/>
  <c r="BZ296" i="1" s="1"/>
  <c r="BZ379" i="1" s="1"/>
  <c r="BY318" i="1"/>
  <c r="BY281" i="1" s="1"/>
  <c r="BY339" i="1" s="1"/>
  <c r="BX318" i="1"/>
  <c r="BX281" i="1" s="1"/>
  <c r="BX339" i="1" s="1"/>
  <c r="BW318" i="1"/>
  <c r="BW296" i="1" s="1"/>
  <c r="BW379" i="1" s="1"/>
  <c r="BV318" i="1"/>
  <c r="BV296" i="1" s="1"/>
  <c r="BV379" i="1" s="1"/>
  <c r="BU318" i="1"/>
  <c r="BU276" i="1" s="1"/>
  <c r="BU334" i="1" s="1"/>
  <c r="BT318" i="1"/>
  <c r="BT296" i="1" s="1"/>
  <c r="BT379" i="1" s="1"/>
  <c r="BS318" i="1"/>
  <c r="BS281" i="1" s="1"/>
  <c r="BS339" i="1" s="1"/>
  <c r="CB267" i="1"/>
  <c r="CB87" i="1" s="1"/>
  <c r="CA267" i="1"/>
  <c r="CA87" i="1" s="1"/>
  <c r="CB262" i="1"/>
  <c r="CA262" i="1"/>
  <c r="BZ262" i="1"/>
  <c r="BY262" i="1"/>
  <c r="BX262" i="1"/>
  <c r="BW262" i="1"/>
  <c r="BV262" i="1"/>
  <c r="BU262" i="1"/>
  <c r="BT262" i="1"/>
  <c r="BS262" i="1"/>
  <c r="CB249" i="1"/>
  <c r="CA249" i="1"/>
  <c r="BZ249" i="1"/>
  <c r="BY249" i="1"/>
  <c r="BX249" i="1"/>
  <c r="BW249" i="1"/>
  <c r="BV249" i="1"/>
  <c r="BU249" i="1"/>
  <c r="BT249" i="1"/>
  <c r="BS249" i="1"/>
  <c r="CB244" i="1"/>
  <c r="CA244" i="1"/>
  <c r="BZ244" i="1"/>
  <c r="BY244" i="1"/>
  <c r="BX244" i="1"/>
  <c r="BW244" i="1"/>
  <c r="BV244" i="1"/>
  <c r="BU244" i="1"/>
  <c r="BT244" i="1"/>
  <c r="BS244" i="1"/>
  <c r="CB234" i="1"/>
  <c r="CA234" i="1"/>
  <c r="BZ234" i="1"/>
  <c r="BY234" i="1"/>
  <c r="BX234" i="1"/>
  <c r="BW234" i="1"/>
  <c r="BV234" i="1"/>
  <c r="BU234" i="1"/>
  <c r="BT234" i="1"/>
  <c r="BS234" i="1"/>
  <c r="CB222" i="1"/>
  <c r="CA222" i="1"/>
  <c r="BZ222" i="1"/>
  <c r="BY222" i="1"/>
  <c r="BX222" i="1"/>
  <c r="BW222" i="1"/>
  <c r="BV222" i="1"/>
  <c r="BU222" i="1"/>
  <c r="BT222" i="1"/>
  <c r="BS222" i="1"/>
  <c r="CB218" i="1"/>
  <c r="CA218" i="1"/>
  <c r="BZ218" i="1"/>
  <c r="BY218" i="1"/>
  <c r="BX218" i="1"/>
  <c r="BW218" i="1"/>
  <c r="BV218" i="1"/>
  <c r="BU218" i="1"/>
  <c r="BT218" i="1"/>
  <c r="BS218" i="1"/>
  <c r="CB215" i="1"/>
  <c r="CA215" i="1"/>
  <c r="BZ215" i="1"/>
  <c r="BY215" i="1"/>
  <c r="BX215" i="1"/>
  <c r="BW215" i="1"/>
  <c r="BV215" i="1"/>
  <c r="BU215" i="1"/>
  <c r="BT215" i="1"/>
  <c r="BS215" i="1"/>
  <c r="CB212" i="1"/>
  <c r="CA212" i="1"/>
  <c r="BZ212" i="1"/>
  <c r="BY212" i="1"/>
  <c r="BX212" i="1"/>
  <c r="BW212" i="1"/>
  <c r="BV212" i="1"/>
  <c r="BU212" i="1"/>
  <c r="BT212" i="1"/>
  <c r="BS212" i="1"/>
  <c r="BY210" i="1"/>
  <c r="BX210" i="1"/>
  <c r="BX209" i="1" s="1"/>
  <c r="BV210" i="1"/>
  <c r="BW267" i="1" s="1"/>
  <c r="BU210" i="1"/>
  <c r="BU209" i="1" s="1"/>
  <c r="BT210" i="1"/>
  <c r="BS210" i="1"/>
  <c r="CB209" i="1"/>
  <c r="CB208" i="1" s="1"/>
  <c r="CA209" i="1"/>
  <c r="CA208" i="1" s="1"/>
  <c r="BZ209" i="1"/>
  <c r="BZ208" i="1" s="1"/>
  <c r="BW209" i="1"/>
  <c r="BW208" i="1" s="1"/>
  <c r="CB205" i="1"/>
  <c r="CB203" i="1" s="1"/>
  <c r="CA205" i="1"/>
  <c r="CA203" i="1" s="1"/>
  <c r="BZ205" i="1"/>
  <c r="BZ203" i="1" s="1"/>
  <c r="BY205" i="1"/>
  <c r="BY203" i="1" s="1"/>
  <c r="BX205" i="1"/>
  <c r="BX203" i="1" s="1"/>
  <c r="BW205" i="1"/>
  <c r="BW203" i="1" s="1"/>
  <c r="BS204" i="1"/>
  <c r="CB192" i="1"/>
  <c r="CB58" i="1" s="1"/>
  <c r="CA192" i="1"/>
  <c r="CA58" i="1" s="1"/>
  <c r="BZ192" i="1"/>
  <c r="BZ58" i="1" s="1"/>
  <c r="BY192" i="1"/>
  <c r="BY58" i="1" s="1"/>
  <c r="BX192" i="1"/>
  <c r="BX58" i="1" s="1"/>
  <c r="BW192" i="1"/>
  <c r="BW58" i="1" s="1"/>
  <c r="BV192" i="1"/>
  <c r="BV58" i="1" s="1"/>
  <c r="BU192" i="1"/>
  <c r="BU58" i="1" s="1"/>
  <c r="BT192" i="1"/>
  <c r="BT58" i="1" s="1"/>
  <c r="CB186" i="1"/>
  <c r="CB55" i="1" s="1"/>
  <c r="CA186" i="1"/>
  <c r="BZ186" i="1"/>
  <c r="BZ55" i="1" s="1"/>
  <c r="BY186" i="1"/>
  <c r="BX186" i="1"/>
  <c r="BW186" i="1"/>
  <c r="BV186" i="1"/>
  <c r="BV55" i="1" s="1"/>
  <c r="BU186" i="1"/>
  <c r="BT186" i="1"/>
  <c r="BT55" i="1" s="1"/>
  <c r="BZ180" i="1"/>
  <c r="CB178" i="1"/>
  <c r="CB181" i="1" s="1"/>
  <c r="CB154" i="1" s="1"/>
  <c r="CA178" i="1"/>
  <c r="BZ178" i="1"/>
  <c r="BY178" i="1"/>
  <c r="BX178" i="1"/>
  <c r="BX181" i="1" s="1"/>
  <c r="BX154" i="1" s="1"/>
  <c r="BW178" i="1"/>
  <c r="BV178" i="1"/>
  <c r="BV181" i="1" s="1"/>
  <c r="BV154" i="1" s="1"/>
  <c r="BU178" i="1"/>
  <c r="BT178" i="1"/>
  <c r="BT181" i="1" s="1"/>
  <c r="BT154" i="1" s="1"/>
  <c r="BS178" i="1"/>
  <c r="CB176" i="1"/>
  <c r="CA176" i="1"/>
  <c r="BZ176" i="1"/>
  <c r="BY176" i="1"/>
  <c r="BX176" i="1"/>
  <c r="BW176" i="1"/>
  <c r="BV176" i="1"/>
  <c r="BU176" i="1"/>
  <c r="BT176" i="1"/>
  <c r="BS176" i="1"/>
  <c r="CB171" i="1"/>
  <c r="CA171" i="1"/>
  <c r="BZ171" i="1"/>
  <c r="BY171" i="1"/>
  <c r="BX171" i="1"/>
  <c r="BW171" i="1"/>
  <c r="BV171" i="1"/>
  <c r="BU171" i="1"/>
  <c r="BT171" i="1"/>
  <c r="BS171" i="1"/>
  <c r="CB165" i="1"/>
  <c r="CA165" i="1"/>
  <c r="BZ165" i="1"/>
  <c r="BY165" i="1"/>
  <c r="BX165" i="1"/>
  <c r="BW165" i="1"/>
  <c r="BV165" i="1"/>
  <c r="BU165" i="1"/>
  <c r="BT165" i="1"/>
  <c r="BS165" i="1"/>
  <c r="CB158" i="1"/>
  <c r="CB159" i="1" s="1"/>
  <c r="CA158" i="1"/>
  <c r="CA159" i="1" s="1"/>
  <c r="CB141" i="1"/>
  <c r="CB143" i="1" s="1"/>
  <c r="CA141" i="1"/>
  <c r="BZ141" i="1"/>
  <c r="BY141" i="1"/>
  <c r="BY143" i="1" s="1"/>
  <c r="BX141" i="1"/>
  <c r="BW141" i="1"/>
  <c r="BW143" i="1" s="1"/>
  <c r="BV141" i="1"/>
  <c r="BV143" i="1" s="1"/>
  <c r="BU141" i="1"/>
  <c r="BU143" i="1" s="1"/>
  <c r="BT141" i="1"/>
  <c r="BT143" i="1" s="1"/>
  <c r="BS141" i="1"/>
  <c r="BS143" i="1" s="1"/>
  <c r="CB737" i="1"/>
  <c r="CB763" i="1" s="1"/>
  <c r="BZ735" i="1"/>
  <c r="BX737" i="1"/>
  <c r="BX763" i="1" s="1"/>
  <c r="BV735" i="1"/>
  <c r="BT737" i="1"/>
  <c r="BT763" i="1" s="1"/>
  <c r="CB122" i="1"/>
  <c r="CA122" i="1"/>
  <c r="BZ122" i="1"/>
  <c r="BY122" i="1"/>
  <c r="BX122" i="1"/>
  <c r="BW122" i="1"/>
  <c r="BV122" i="1"/>
  <c r="BU122" i="1"/>
  <c r="BT122" i="1"/>
  <c r="BS122" i="1"/>
  <c r="CB115" i="1"/>
  <c r="CA115" i="1"/>
  <c r="BZ115" i="1"/>
  <c r="BY115" i="1"/>
  <c r="BX115" i="1"/>
  <c r="BW115" i="1"/>
  <c r="BV115" i="1"/>
  <c r="BU115" i="1"/>
  <c r="BT115" i="1"/>
  <c r="BS115" i="1"/>
  <c r="CB101" i="1"/>
  <c r="CB790" i="1" s="1"/>
  <c r="CA101" i="1"/>
  <c r="CA790" i="1" s="1"/>
  <c r="BZ97" i="1"/>
  <c r="BY97" i="1"/>
  <c r="BX97" i="1"/>
  <c r="BW97" i="1"/>
  <c r="BV97" i="1"/>
  <c r="BU97" i="1"/>
  <c r="BT97" i="1"/>
  <c r="BS97" i="1"/>
  <c r="CB93" i="1"/>
  <c r="CA93" i="1"/>
  <c r="BZ93" i="1"/>
  <c r="BY93" i="1"/>
  <c r="BX93" i="1"/>
  <c r="BW93" i="1"/>
  <c r="BV93" i="1"/>
  <c r="BU93" i="1"/>
  <c r="BT93" i="1"/>
  <c r="BS93" i="1"/>
  <c r="CB78" i="1"/>
  <c r="CA78" i="1"/>
  <c r="BZ78" i="1"/>
  <c r="BY78" i="1"/>
  <c r="BX78" i="1"/>
  <c r="BW78" i="1"/>
  <c r="BV78" i="1"/>
  <c r="BU78" i="1"/>
  <c r="BT78" i="1"/>
  <c r="BS78" i="1"/>
  <c r="CB77" i="1"/>
  <c r="CA77" i="1"/>
  <c r="BZ77" i="1"/>
  <c r="BY77" i="1"/>
  <c r="BX77" i="1"/>
  <c r="BW77" i="1"/>
  <c r="BV77" i="1"/>
  <c r="BU77" i="1"/>
  <c r="BT77" i="1"/>
  <c r="BS77" i="1"/>
  <c r="CB61" i="1"/>
  <c r="CA61" i="1"/>
  <c r="BZ61" i="1"/>
  <c r="BY61" i="1"/>
  <c r="BX61" i="1"/>
  <c r="BW61" i="1"/>
  <c r="BV61" i="1"/>
  <c r="BU61" i="1"/>
  <c r="BT61" i="1"/>
  <c r="BS61" i="1"/>
  <c r="CB60" i="1"/>
  <c r="CB49" i="1" s="1"/>
  <c r="CA60" i="1"/>
  <c r="CA49" i="1" s="1"/>
  <c r="BZ60" i="1"/>
  <c r="BZ49" i="1" s="1"/>
  <c r="BY60" i="1"/>
  <c r="BY49" i="1" s="1"/>
  <c r="BX60" i="1"/>
  <c r="BX49" i="1" s="1"/>
  <c r="BW60" i="1"/>
  <c r="BW49" i="1" s="1"/>
  <c r="BV60" i="1"/>
  <c r="BV49" i="1" s="1"/>
  <c r="BU60" i="1"/>
  <c r="BU49" i="1" s="1"/>
  <c r="BT60" i="1"/>
  <c r="BT49" i="1" s="1"/>
  <c r="BS60" i="1"/>
  <c r="BS49" i="1" s="1"/>
  <c r="CB59" i="1"/>
  <c r="CB48" i="1" s="1"/>
  <c r="CA59" i="1"/>
  <c r="CA48" i="1" s="1"/>
  <c r="BZ59" i="1"/>
  <c r="BZ48" i="1" s="1"/>
  <c r="BY59" i="1"/>
  <c r="BY48" i="1" s="1"/>
  <c r="BX59" i="1"/>
  <c r="BX48" i="1" s="1"/>
  <c r="BW59" i="1"/>
  <c r="BW48" i="1" s="1"/>
  <c r="BV59" i="1"/>
  <c r="BV48" i="1" s="1"/>
  <c r="BU59" i="1"/>
  <c r="BU48" i="1" s="1"/>
  <c r="BT59" i="1"/>
  <c r="BT48" i="1" s="1"/>
  <c r="BS59" i="1"/>
  <c r="BS48" i="1" s="1"/>
  <c r="BS58" i="1"/>
  <c r="CB57" i="1"/>
  <c r="CA57" i="1"/>
  <c r="BZ57" i="1"/>
  <c r="BY57" i="1"/>
  <c r="BX57" i="1"/>
  <c r="BW57" i="1"/>
  <c r="BV57" i="1"/>
  <c r="BU57" i="1"/>
  <c r="BT57" i="1"/>
  <c r="BS57" i="1"/>
  <c r="CB56" i="1"/>
  <c r="CA56" i="1"/>
  <c r="BZ56" i="1"/>
  <c r="BY56" i="1"/>
  <c r="BX56" i="1"/>
  <c r="BW56" i="1"/>
  <c r="BV56" i="1"/>
  <c r="BU56" i="1"/>
  <c r="BT56" i="1"/>
  <c r="BS56" i="1"/>
  <c r="BX55" i="1"/>
  <c r="BS55" i="1"/>
  <c r="CB54" i="1"/>
  <c r="CA54" i="1"/>
  <c r="BZ54" i="1"/>
  <c r="BY54" i="1"/>
  <c r="BX54" i="1"/>
  <c r="BW54" i="1"/>
  <c r="BV54" i="1"/>
  <c r="BU54" i="1"/>
  <c r="BT54" i="1"/>
  <c r="BS54" i="1"/>
  <c r="CB52" i="1"/>
  <c r="CA52" i="1"/>
  <c r="BZ52" i="1"/>
  <c r="BY52" i="1"/>
  <c r="BX52" i="1"/>
  <c r="BW52" i="1"/>
  <c r="BV52" i="1"/>
  <c r="BU52" i="1"/>
  <c r="BT52" i="1"/>
  <c r="BS52" i="1"/>
  <c r="CB26" i="1"/>
  <c r="CA26" i="1"/>
  <c r="BZ26" i="1"/>
  <c r="BY26" i="1"/>
  <c r="CA3" i="1"/>
  <c r="BS3" i="1"/>
  <c r="CA2" i="1"/>
  <c r="CB725" i="1" s="1"/>
  <c r="BS2" i="1"/>
  <c r="BT725" i="1" s="1"/>
  <c r="CB1" i="1"/>
  <c r="CB2" i="1" s="1"/>
  <c r="BT1" i="1"/>
  <c r="BT3" i="1" s="1"/>
  <c r="L839" i="1"/>
  <c r="K839" i="1"/>
  <c r="J839" i="1"/>
  <c r="I839" i="1"/>
  <c r="H839" i="1"/>
  <c r="G839" i="1"/>
  <c r="F839" i="1"/>
  <c r="E839" i="1"/>
  <c r="D839" i="1"/>
  <c r="C839" i="1"/>
  <c r="L827" i="1"/>
  <c r="K827" i="1"/>
  <c r="J827" i="1"/>
  <c r="I827" i="1"/>
  <c r="H827" i="1"/>
  <c r="G827" i="1"/>
  <c r="F827" i="1"/>
  <c r="E827" i="1"/>
  <c r="D827" i="1"/>
  <c r="C827" i="1"/>
  <c r="L824" i="1"/>
  <c r="K824" i="1"/>
  <c r="J824" i="1"/>
  <c r="I824" i="1"/>
  <c r="H824" i="1"/>
  <c r="G824" i="1"/>
  <c r="F824" i="1"/>
  <c r="E824" i="1"/>
  <c r="D824" i="1"/>
  <c r="C824" i="1"/>
  <c r="L821" i="1"/>
  <c r="K821" i="1"/>
  <c r="J821" i="1"/>
  <c r="I821" i="1"/>
  <c r="H821" i="1"/>
  <c r="G821" i="1"/>
  <c r="F821" i="1"/>
  <c r="E821" i="1"/>
  <c r="D821" i="1"/>
  <c r="C821" i="1"/>
  <c r="L818" i="1"/>
  <c r="K818" i="1"/>
  <c r="J818" i="1"/>
  <c r="I818" i="1"/>
  <c r="H818" i="1"/>
  <c r="G818" i="1"/>
  <c r="F818" i="1"/>
  <c r="E818" i="1"/>
  <c r="D818" i="1"/>
  <c r="C818" i="1"/>
  <c r="K815" i="1"/>
  <c r="J815" i="1"/>
  <c r="I815" i="1"/>
  <c r="H815" i="1"/>
  <c r="G815" i="1"/>
  <c r="F815" i="1"/>
  <c r="E815" i="1"/>
  <c r="D815" i="1"/>
  <c r="C815" i="1"/>
  <c r="K814" i="1"/>
  <c r="J814" i="1"/>
  <c r="I814" i="1"/>
  <c r="H814" i="1"/>
  <c r="G814" i="1"/>
  <c r="F814" i="1"/>
  <c r="E814" i="1"/>
  <c r="D814" i="1"/>
  <c r="C814" i="1"/>
  <c r="L737" i="1"/>
  <c r="L763" i="1" s="1"/>
  <c r="K737" i="1"/>
  <c r="K763" i="1" s="1"/>
  <c r="J737" i="1"/>
  <c r="J763" i="1" s="1"/>
  <c r="I737" i="1"/>
  <c r="I763" i="1" s="1"/>
  <c r="H737" i="1"/>
  <c r="H763" i="1" s="1"/>
  <c r="G737" i="1"/>
  <c r="G763" i="1" s="1"/>
  <c r="F737" i="1"/>
  <c r="F763" i="1" s="1"/>
  <c r="E737" i="1"/>
  <c r="E763" i="1" s="1"/>
  <c r="D737" i="1"/>
  <c r="D763" i="1" s="1"/>
  <c r="C737" i="1"/>
  <c r="C763" i="1" s="1"/>
  <c r="L735" i="1"/>
  <c r="K735" i="1"/>
  <c r="J735" i="1"/>
  <c r="I735" i="1"/>
  <c r="H735" i="1"/>
  <c r="G735" i="1"/>
  <c r="F735" i="1"/>
  <c r="E735" i="1"/>
  <c r="D735" i="1"/>
  <c r="C735" i="1"/>
  <c r="K713" i="1"/>
  <c r="J713" i="1"/>
  <c r="I713" i="1"/>
  <c r="H713" i="1"/>
  <c r="G713" i="1"/>
  <c r="F713" i="1"/>
  <c r="E713" i="1"/>
  <c r="D713" i="1"/>
  <c r="C713" i="1"/>
  <c r="I712" i="1"/>
  <c r="H712" i="1"/>
  <c r="G712" i="1"/>
  <c r="F712" i="1"/>
  <c r="E712" i="1"/>
  <c r="D712" i="1"/>
  <c r="C712" i="1"/>
  <c r="K704" i="1"/>
  <c r="J704" i="1"/>
  <c r="I704" i="1"/>
  <c r="H704" i="1"/>
  <c r="G704" i="1"/>
  <c r="F704" i="1"/>
  <c r="E704" i="1"/>
  <c r="D704" i="1"/>
  <c r="C704" i="1"/>
  <c r="L703" i="1"/>
  <c r="K703" i="1"/>
  <c r="J703" i="1"/>
  <c r="I703" i="1"/>
  <c r="H703" i="1"/>
  <c r="G703" i="1"/>
  <c r="F703" i="1"/>
  <c r="E703" i="1"/>
  <c r="D703" i="1"/>
  <c r="C703" i="1"/>
  <c r="L701" i="1"/>
  <c r="K701" i="1"/>
  <c r="J701" i="1"/>
  <c r="I701" i="1"/>
  <c r="H701" i="1"/>
  <c r="E701" i="1"/>
  <c r="D701" i="1"/>
  <c r="C701" i="1"/>
  <c r="C696" i="1"/>
  <c r="I680" i="1"/>
  <c r="K677" i="1"/>
  <c r="J677" i="1"/>
  <c r="I677" i="1"/>
  <c r="H677" i="1"/>
  <c r="G677" i="1"/>
  <c r="F677" i="1"/>
  <c r="E677" i="1"/>
  <c r="D677" i="1"/>
  <c r="C677" i="1"/>
  <c r="L665" i="1"/>
  <c r="K665" i="1"/>
  <c r="J665" i="1"/>
  <c r="I665" i="1"/>
  <c r="H665" i="1"/>
  <c r="G665" i="1"/>
  <c r="F665" i="1"/>
  <c r="E665" i="1"/>
  <c r="D665" i="1"/>
  <c r="C665" i="1"/>
  <c r="L663" i="1"/>
  <c r="K663" i="1"/>
  <c r="I663" i="1"/>
  <c r="L661" i="1"/>
  <c r="K661" i="1"/>
  <c r="J661" i="1"/>
  <c r="I661" i="1"/>
  <c r="H661" i="1"/>
  <c r="G661" i="1"/>
  <c r="F661" i="1"/>
  <c r="E661" i="1"/>
  <c r="D661" i="1"/>
  <c r="C661" i="1"/>
  <c r="I633" i="1"/>
  <c r="I636" i="1" s="1"/>
  <c r="C633" i="1"/>
  <c r="C636" i="1" s="1"/>
  <c r="L626" i="1"/>
  <c r="K626" i="1"/>
  <c r="J626" i="1"/>
  <c r="I626" i="1"/>
  <c r="H626" i="1"/>
  <c r="G626" i="1"/>
  <c r="F626" i="1"/>
  <c r="E626" i="1"/>
  <c r="D626" i="1"/>
  <c r="C626" i="1"/>
  <c r="L625" i="1"/>
  <c r="K625" i="1"/>
  <c r="J625" i="1"/>
  <c r="I625" i="1"/>
  <c r="H625" i="1"/>
  <c r="G625" i="1"/>
  <c r="F625" i="1"/>
  <c r="E625" i="1"/>
  <c r="D625" i="1"/>
  <c r="C625" i="1"/>
  <c r="I621" i="1"/>
  <c r="H621" i="1"/>
  <c r="G621" i="1"/>
  <c r="F621" i="1"/>
  <c r="E621" i="1"/>
  <c r="D621" i="1"/>
  <c r="C621" i="1"/>
  <c r="L606" i="1"/>
  <c r="K606" i="1"/>
  <c r="J606" i="1"/>
  <c r="I606" i="1"/>
  <c r="H606" i="1"/>
  <c r="G606" i="1"/>
  <c r="F606" i="1"/>
  <c r="E606" i="1"/>
  <c r="D606" i="1"/>
  <c r="C606" i="1"/>
  <c r="L598" i="1"/>
  <c r="L603" i="1" s="1"/>
  <c r="K598" i="1"/>
  <c r="K603" i="1" s="1"/>
  <c r="J598" i="1"/>
  <c r="J603" i="1" s="1"/>
  <c r="I598" i="1"/>
  <c r="I603" i="1" s="1"/>
  <c r="H598" i="1"/>
  <c r="H603" i="1" s="1"/>
  <c r="G598" i="1"/>
  <c r="G603" i="1" s="1"/>
  <c r="F598" i="1"/>
  <c r="F603" i="1" s="1"/>
  <c r="E598" i="1"/>
  <c r="E603" i="1" s="1"/>
  <c r="D598" i="1"/>
  <c r="D603" i="1" s="1"/>
  <c r="C598" i="1"/>
  <c r="C603" i="1" s="1"/>
  <c r="L588" i="1"/>
  <c r="G588" i="1"/>
  <c r="F588" i="1"/>
  <c r="E588" i="1"/>
  <c r="D588" i="1"/>
  <c r="C588" i="1"/>
  <c r="L571" i="1"/>
  <c r="K571" i="1"/>
  <c r="J571" i="1"/>
  <c r="I571" i="1"/>
  <c r="H571" i="1"/>
  <c r="G571" i="1"/>
  <c r="F571" i="1"/>
  <c r="E571" i="1"/>
  <c r="D571" i="1"/>
  <c r="C571" i="1"/>
  <c r="C627" i="1" s="1"/>
  <c r="L566" i="1"/>
  <c r="L589" i="1" s="1"/>
  <c r="K566" i="1"/>
  <c r="K589" i="1" s="1"/>
  <c r="J566" i="1"/>
  <c r="J589" i="1" s="1"/>
  <c r="I566" i="1"/>
  <c r="I589" i="1" s="1"/>
  <c r="H566" i="1"/>
  <c r="H589" i="1" s="1"/>
  <c r="G566" i="1"/>
  <c r="G589" i="1" s="1"/>
  <c r="F566" i="1"/>
  <c r="F589" i="1" s="1"/>
  <c r="E566" i="1"/>
  <c r="E589" i="1" s="1"/>
  <c r="D566" i="1"/>
  <c r="D589" i="1" s="1"/>
  <c r="C566" i="1"/>
  <c r="C589" i="1" s="1"/>
  <c r="L562" i="1"/>
  <c r="K562" i="1"/>
  <c r="K561" i="1" s="1"/>
  <c r="J562" i="1"/>
  <c r="J561" i="1" s="1"/>
  <c r="I562" i="1"/>
  <c r="I561" i="1" s="1"/>
  <c r="H562" i="1"/>
  <c r="H561" i="1" s="1"/>
  <c r="G562" i="1"/>
  <c r="G561" i="1" s="1"/>
  <c r="F562" i="1"/>
  <c r="F561" i="1" s="1"/>
  <c r="E562" i="1"/>
  <c r="E561" i="1" s="1"/>
  <c r="D562" i="1"/>
  <c r="D561" i="1" s="1"/>
  <c r="C561" i="1"/>
  <c r="L553" i="1"/>
  <c r="L139" i="1" s="1"/>
  <c r="F540" i="1"/>
  <c r="K539" i="1"/>
  <c r="K588" i="1" s="1"/>
  <c r="J539" i="1"/>
  <c r="J588" i="1" s="1"/>
  <c r="I539" i="1"/>
  <c r="I588" i="1" s="1"/>
  <c r="H539" i="1"/>
  <c r="H588" i="1" s="1"/>
  <c r="L537" i="1"/>
  <c r="L634" i="1" s="1"/>
  <c r="K537" i="1"/>
  <c r="K634" i="1" s="1"/>
  <c r="J537" i="1"/>
  <c r="J634" i="1" s="1"/>
  <c r="H537" i="1"/>
  <c r="F537" i="1"/>
  <c r="D537" i="1"/>
  <c r="L535" i="1"/>
  <c r="K535" i="1"/>
  <c r="K633" i="1" s="1"/>
  <c r="J535" i="1"/>
  <c r="J633" i="1" s="1"/>
  <c r="H535" i="1"/>
  <c r="H633" i="1" s="1"/>
  <c r="G535" i="1"/>
  <c r="G633" i="1" s="1"/>
  <c r="F535" i="1"/>
  <c r="F633" i="1" s="1"/>
  <c r="E535" i="1"/>
  <c r="E633" i="1" s="1"/>
  <c r="D535" i="1"/>
  <c r="D633" i="1" s="1"/>
  <c r="C533" i="1"/>
  <c r="L526" i="1"/>
  <c r="L621" i="1" s="1"/>
  <c r="K526" i="1"/>
  <c r="K621" i="1" s="1"/>
  <c r="J526" i="1"/>
  <c r="J621" i="1" s="1"/>
  <c r="L524" i="1"/>
  <c r="L522" i="1"/>
  <c r="K522" i="1"/>
  <c r="J522" i="1"/>
  <c r="I522" i="1"/>
  <c r="H522" i="1"/>
  <c r="F522" i="1"/>
  <c r="E522" i="1"/>
  <c r="L520" i="1"/>
  <c r="K520" i="1"/>
  <c r="J520" i="1"/>
  <c r="I520" i="1"/>
  <c r="H520" i="1"/>
  <c r="G520" i="1"/>
  <c r="F520" i="1"/>
  <c r="E520" i="1"/>
  <c r="D520" i="1"/>
  <c r="C520" i="1"/>
  <c r="L519" i="1"/>
  <c r="K519" i="1"/>
  <c r="J519" i="1"/>
  <c r="I519" i="1"/>
  <c r="H519" i="1"/>
  <c r="G519" i="1"/>
  <c r="F519" i="1"/>
  <c r="E519" i="1"/>
  <c r="D519" i="1"/>
  <c r="C519" i="1"/>
  <c r="L518" i="1"/>
  <c r="K518" i="1"/>
  <c r="J518" i="1"/>
  <c r="I518" i="1"/>
  <c r="H518" i="1"/>
  <c r="G518" i="1"/>
  <c r="F518" i="1"/>
  <c r="E518" i="1"/>
  <c r="D518" i="1"/>
  <c r="C518" i="1"/>
  <c r="L517" i="1"/>
  <c r="K517" i="1"/>
  <c r="J517" i="1"/>
  <c r="I517" i="1"/>
  <c r="H517" i="1"/>
  <c r="G517" i="1"/>
  <c r="F517" i="1"/>
  <c r="E517" i="1"/>
  <c r="D517" i="1"/>
  <c r="C517" i="1"/>
  <c r="L516" i="1"/>
  <c r="K516" i="1"/>
  <c r="J516" i="1"/>
  <c r="I516" i="1"/>
  <c r="H516" i="1"/>
  <c r="G516" i="1"/>
  <c r="F516" i="1"/>
  <c r="E516" i="1"/>
  <c r="D516" i="1"/>
  <c r="C516" i="1"/>
  <c r="L509" i="1"/>
  <c r="K509" i="1"/>
  <c r="J509" i="1"/>
  <c r="I509" i="1"/>
  <c r="H509" i="1"/>
  <c r="G509" i="1"/>
  <c r="F509" i="1"/>
  <c r="E509" i="1"/>
  <c r="D509" i="1"/>
  <c r="C509" i="1"/>
  <c r="L506" i="1"/>
  <c r="K506" i="1"/>
  <c r="J506" i="1"/>
  <c r="I506" i="1"/>
  <c r="H506" i="1"/>
  <c r="G506" i="1"/>
  <c r="F506" i="1"/>
  <c r="E506" i="1"/>
  <c r="D506" i="1"/>
  <c r="C506" i="1"/>
  <c r="L504" i="1"/>
  <c r="K504" i="1"/>
  <c r="J504" i="1"/>
  <c r="I504" i="1"/>
  <c r="H504" i="1"/>
  <c r="G504" i="1"/>
  <c r="F504" i="1"/>
  <c r="E504" i="1"/>
  <c r="D504" i="1"/>
  <c r="C504" i="1"/>
  <c r="L503" i="1"/>
  <c r="K503" i="1"/>
  <c r="J503" i="1"/>
  <c r="I503" i="1"/>
  <c r="H503" i="1"/>
  <c r="G503" i="1"/>
  <c r="F503" i="1"/>
  <c r="E503" i="1"/>
  <c r="D503" i="1"/>
  <c r="C503" i="1"/>
  <c r="L502" i="1"/>
  <c r="K502" i="1"/>
  <c r="J502" i="1"/>
  <c r="I502" i="1"/>
  <c r="H502" i="1"/>
  <c r="G502" i="1"/>
  <c r="F502" i="1"/>
  <c r="E502" i="1"/>
  <c r="D502" i="1"/>
  <c r="C502" i="1"/>
  <c r="L501" i="1"/>
  <c r="K501" i="1"/>
  <c r="J501" i="1"/>
  <c r="I501" i="1"/>
  <c r="H501" i="1"/>
  <c r="G501" i="1"/>
  <c r="F501" i="1"/>
  <c r="E501" i="1"/>
  <c r="D501" i="1"/>
  <c r="C501" i="1"/>
  <c r="G499" i="1"/>
  <c r="G522" i="1" s="1"/>
  <c r="D499" i="1"/>
  <c r="D522" i="1" s="1"/>
  <c r="C499" i="1"/>
  <c r="C522" i="1" s="1"/>
  <c r="I497" i="1"/>
  <c r="H497" i="1"/>
  <c r="G497" i="1"/>
  <c r="F497" i="1"/>
  <c r="E497" i="1"/>
  <c r="D497" i="1"/>
  <c r="C497" i="1"/>
  <c r="I492" i="1"/>
  <c r="H492" i="1"/>
  <c r="G492" i="1"/>
  <c r="F492" i="1"/>
  <c r="E492" i="1"/>
  <c r="D492" i="1"/>
  <c r="C492" i="1"/>
  <c r="L479" i="1"/>
  <c r="K479" i="1"/>
  <c r="J479" i="1"/>
  <c r="I479" i="1"/>
  <c r="H479" i="1"/>
  <c r="G479" i="1"/>
  <c r="F479" i="1"/>
  <c r="E479" i="1"/>
  <c r="D479" i="1"/>
  <c r="C479" i="1"/>
  <c r="L475" i="1"/>
  <c r="K475" i="1"/>
  <c r="J475" i="1"/>
  <c r="I475" i="1"/>
  <c r="H475" i="1"/>
  <c r="G475" i="1"/>
  <c r="F475" i="1"/>
  <c r="E475" i="1"/>
  <c r="D475" i="1"/>
  <c r="C475" i="1"/>
  <c r="L474" i="1"/>
  <c r="K474" i="1"/>
  <c r="J474" i="1"/>
  <c r="I474" i="1"/>
  <c r="H474" i="1"/>
  <c r="G474" i="1"/>
  <c r="F474" i="1"/>
  <c r="E474" i="1"/>
  <c r="D474" i="1"/>
  <c r="C474" i="1"/>
  <c r="L473" i="1"/>
  <c r="K473" i="1"/>
  <c r="J473" i="1"/>
  <c r="I473" i="1"/>
  <c r="H473" i="1"/>
  <c r="G473" i="1"/>
  <c r="F473" i="1"/>
  <c r="E473" i="1"/>
  <c r="D473" i="1"/>
  <c r="C473" i="1"/>
  <c r="L470" i="1"/>
  <c r="K470" i="1"/>
  <c r="J470" i="1"/>
  <c r="I470" i="1"/>
  <c r="H470" i="1"/>
  <c r="G470" i="1"/>
  <c r="F470" i="1"/>
  <c r="E470" i="1"/>
  <c r="D470" i="1"/>
  <c r="C470" i="1"/>
  <c r="L467" i="1"/>
  <c r="K467" i="1"/>
  <c r="J467" i="1"/>
  <c r="I467" i="1"/>
  <c r="H467" i="1"/>
  <c r="G467" i="1"/>
  <c r="F467" i="1"/>
  <c r="E467" i="1"/>
  <c r="D467" i="1"/>
  <c r="C467" i="1"/>
  <c r="L451" i="1"/>
  <c r="L450" i="1" s="1"/>
  <c r="K451" i="1"/>
  <c r="K450" i="1" s="1"/>
  <c r="J451" i="1"/>
  <c r="J450" i="1" s="1"/>
  <c r="E451" i="1"/>
  <c r="D451" i="1"/>
  <c r="I450" i="1"/>
  <c r="H450" i="1"/>
  <c r="G450" i="1"/>
  <c r="F450" i="1"/>
  <c r="C450" i="1"/>
  <c r="E449" i="1"/>
  <c r="D449" i="1"/>
  <c r="L445" i="1"/>
  <c r="K445" i="1"/>
  <c r="J445" i="1"/>
  <c r="I445" i="1"/>
  <c r="H445" i="1"/>
  <c r="G445" i="1"/>
  <c r="F445" i="1"/>
  <c r="E445" i="1"/>
  <c r="D445" i="1"/>
  <c r="C445" i="1"/>
  <c r="L444" i="1"/>
  <c r="K444" i="1"/>
  <c r="J444" i="1"/>
  <c r="I444" i="1"/>
  <c r="H444" i="1"/>
  <c r="G444" i="1"/>
  <c r="F444" i="1"/>
  <c r="E444" i="1"/>
  <c r="D444" i="1"/>
  <c r="C444" i="1"/>
  <c r="L434" i="1"/>
  <c r="K434" i="1"/>
  <c r="J434" i="1"/>
  <c r="I434" i="1"/>
  <c r="H434" i="1"/>
  <c r="F434" i="1"/>
  <c r="L433" i="1"/>
  <c r="K433" i="1"/>
  <c r="J433" i="1"/>
  <c r="I433" i="1"/>
  <c r="H433" i="1"/>
  <c r="G433" i="1"/>
  <c r="F433" i="1"/>
  <c r="E433" i="1"/>
  <c r="D433" i="1"/>
  <c r="C433" i="1"/>
  <c r="I432" i="1"/>
  <c r="H432" i="1"/>
  <c r="G432" i="1"/>
  <c r="F432" i="1"/>
  <c r="E432" i="1"/>
  <c r="D432" i="1"/>
  <c r="C709" i="1" s="1"/>
  <c r="L425" i="1"/>
  <c r="L460" i="1" s="1"/>
  <c r="L489" i="1" s="1"/>
  <c r="K425" i="1"/>
  <c r="K460" i="1" s="1"/>
  <c r="K489" i="1" s="1"/>
  <c r="J425" i="1"/>
  <c r="J460" i="1" s="1"/>
  <c r="J489" i="1" s="1"/>
  <c r="I425" i="1"/>
  <c r="I460" i="1" s="1"/>
  <c r="I489" i="1" s="1"/>
  <c r="H425" i="1"/>
  <c r="H460" i="1" s="1"/>
  <c r="H489" i="1" s="1"/>
  <c r="G425" i="1"/>
  <c r="G460" i="1" s="1"/>
  <c r="G489" i="1" s="1"/>
  <c r="F425" i="1"/>
  <c r="F460" i="1" s="1"/>
  <c r="F489" i="1" s="1"/>
  <c r="E425" i="1"/>
  <c r="E460" i="1" s="1"/>
  <c r="E489" i="1" s="1"/>
  <c r="D425" i="1"/>
  <c r="D460" i="1" s="1"/>
  <c r="D489" i="1" s="1"/>
  <c r="C425" i="1"/>
  <c r="C460" i="1" s="1"/>
  <c r="C489" i="1" s="1"/>
  <c r="L424" i="1"/>
  <c r="L459" i="1" s="1"/>
  <c r="L488" i="1" s="1"/>
  <c r="K424" i="1"/>
  <c r="K459" i="1" s="1"/>
  <c r="K488" i="1" s="1"/>
  <c r="J424" i="1"/>
  <c r="J459" i="1" s="1"/>
  <c r="J488" i="1" s="1"/>
  <c r="I424" i="1"/>
  <c r="I459" i="1" s="1"/>
  <c r="I488" i="1" s="1"/>
  <c r="H424" i="1"/>
  <c r="H459" i="1" s="1"/>
  <c r="H488" i="1" s="1"/>
  <c r="G424" i="1"/>
  <c r="G459" i="1" s="1"/>
  <c r="G488" i="1" s="1"/>
  <c r="F424" i="1"/>
  <c r="F459" i="1" s="1"/>
  <c r="F488" i="1" s="1"/>
  <c r="E424" i="1"/>
  <c r="E459" i="1" s="1"/>
  <c r="E488" i="1" s="1"/>
  <c r="D424" i="1"/>
  <c r="D459" i="1" s="1"/>
  <c r="D488" i="1" s="1"/>
  <c r="C424" i="1"/>
  <c r="C459" i="1" s="1"/>
  <c r="C488" i="1" s="1"/>
  <c r="L423" i="1"/>
  <c r="L458" i="1" s="1"/>
  <c r="L487" i="1" s="1"/>
  <c r="K423" i="1"/>
  <c r="K458" i="1" s="1"/>
  <c r="K487" i="1" s="1"/>
  <c r="J423" i="1"/>
  <c r="J458" i="1" s="1"/>
  <c r="J487" i="1" s="1"/>
  <c r="I423" i="1"/>
  <c r="I458" i="1" s="1"/>
  <c r="I487" i="1" s="1"/>
  <c r="H423" i="1"/>
  <c r="H458" i="1" s="1"/>
  <c r="H487" i="1" s="1"/>
  <c r="G423" i="1"/>
  <c r="G458" i="1" s="1"/>
  <c r="G487" i="1" s="1"/>
  <c r="F423" i="1"/>
  <c r="F458" i="1" s="1"/>
  <c r="F487" i="1" s="1"/>
  <c r="E423" i="1"/>
  <c r="E458" i="1" s="1"/>
  <c r="E487" i="1" s="1"/>
  <c r="D423" i="1"/>
  <c r="D458" i="1" s="1"/>
  <c r="D487" i="1" s="1"/>
  <c r="C423" i="1"/>
  <c r="C458" i="1" s="1"/>
  <c r="C487" i="1" s="1"/>
  <c r="L422" i="1"/>
  <c r="L457" i="1" s="1"/>
  <c r="K422" i="1"/>
  <c r="K457" i="1" s="1"/>
  <c r="J422" i="1"/>
  <c r="J457" i="1" s="1"/>
  <c r="I422" i="1"/>
  <c r="I457" i="1" s="1"/>
  <c r="H422" i="1"/>
  <c r="H457" i="1" s="1"/>
  <c r="G422" i="1"/>
  <c r="G457" i="1" s="1"/>
  <c r="F422" i="1"/>
  <c r="F457" i="1" s="1"/>
  <c r="E422" i="1"/>
  <c r="E457" i="1" s="1"/>
  <c r="D422" i="1"/>
  <c r="D457" i="1" s="1"/>
  <c r="C422" i="1"/>
  <c r="C457" i="1" s="1"/>
  <c r="L420" i="1"/>
  <c r="K420" i="1"/>
  <c r="J420" i="1"/>
  <c r="I420" i="1"/>
  <c r="H420" i="1"/>
  <c r="G420" i="1"/>
  <c r="F420" i="1"/>
  <c r="E420" i="1"/>
  <c r="D420" i="1"/>
  <c r="C420" i="1"/>
  <c r="L416" i="1"/>
  <c r="K416" i="1"/>
  <c r="J416" i="1"/>
  <c r="I416" i="1"/>
  <c r="H416" i="1"/>
  <c r="G416" i="1"/>
  <c r="F416" i="1"/>
  <c r="E416" i="1"/>
  <c r="D416" i="1"/>
  <c r="C416" i="1"/>
  <c r="L414" i="1"/>
  <c r="K414" i="1"/>
  <c r="J414" i="1"/>
  <c r="I414" i="1"/>
  <c r="H414" i="1"/>
  <c r="G414" i="1"/>
  <c r="F414" i="1"/>
  <c r="E414" i="1"/>
  <c r="D414" i="1"/>
  <c r="C414" i="1"/>
  <c r="L409" i="1"/>
  <c r="L421" i="1" s="1"/>
  <c r="K409" i="1"/>
  <c r="K421" i="1" s="1"/>
  <c r="J409" i="1"/>
  <c r="J421" i="1" s="1"/>
  <c r="I409" i="1"/>
  <c r="I421" i="1" s="1"/>
  <c r="H409" i="1"/>
  <c r="H421" i="1" s="1"/>
  <c r="G409" i="1"/>
  <c r="G421" i="1" s="1"/>
  <c r="F409" i="1"/>
  <c r="F421" i="1" s="1"/>
  <c r="E409" i="1"/>
  <c r="E421" i="1" s="1"/>
  <c r="D409" i="1"/>
  <c r="D421" i="1" s="1"/>
  <c r="C409" i="1"/>
  <c r="C421" i="1" s="1"/>
  <c r="L400" i="1"/>
  <c r="E400" i="1"/>
  <c r="D400" i="1"/>
  <c r="I397" i="1"/>
  <c r="I396" i="1"/>
  <c r="I395" i="1"/>
  <c r="L388" i="1"/>
  <c r="K388" i="1"/>
  <c r="J388" i="1"/>
  <c r="I388" i="1"/>
  <c r="H388" i="1"/>
  <c r="G388" i="1"/>
  <c r="F388" i="1"/>
  <c r="E388" i="1"/>
  <c r="D388" i="1"/>
  <c r="C388" i="1"/>
  <c r="L381" i="1"/>
  <c r="L327" i="1" s="1"/>
  <c r="K381" i="1"/>
  <c r="K327" i="1" s="1"/>
  <c r="J381" i="1"/>
  <c r="J327" i="1" s="1"/>
  <c r="I381" i="1"/>
  <c r="I327" i="1" s="1"/>
  <c r="H381" i="1"/>
  <c r="H327" i="1" s="1"/>
  <c r="G381" i="1"/>
  <c r="G327" i="1" s="1"/>
  <c r="F381" i="1"/>
  <c r="F327" i="1" s="1"/>
  <c r="E381" i="1"/>
  <c r="E327" i="1" s="1"/>
  <c r="D381" i="1"/>
  <c r="D327" i="1" s="1"/>
  <c r="C381" i="1"/>
  <c r="C327" i="1" s="1"/>
  <c r="L318" i="1"/>
  <c r="K318" i="1"/>
  <c r="J318" i="1"/>
  <c r="I318" i="1"/>
  <c r="H318" i="1"/>
  <c r="G318" i="1"/>
  <c r="F318" i="1"/>
  <c r="E318" i="1"/>
  <c r="D318" i="1"/>
  <c r="C318" i="1"/>
  <c r="K267" i="1"/>
  <c r="J267" i="1"/>
  <c r="I267" i="1"/>
  <c r="H267" i="1"/>
  <c r="G267" i="1"/>
  <c r="F267" i="1"/>
  <c r="E267" i="1"/>
  <c r="D267" i="1"/>
  <c r="C267" i="1"/>
  <c r="K266" i="1"/>
  <c r="J266" i="1"/>
  <c r="I266" i="1"/>
  <c r="H266" i="1"/>
  <c r="G266" i="1"/>
  <c r="F266" i="1"/>
  <c r="E266" i="1"/>
  <c r="D266" i="1"/>
  <c r="C266" i="1"/>
  <c r="C262" i="1"/>
  <c r="L249" i="1"/>
  <c r="K249" i="1"/>
  <c r="J249" i="1"/>
  <c r="I249" i="1"/>
  <c r="H249" i="1"/>
  <c r="G249" i="1"/>
  <c r="F249" i="1"/>
  <c r="E249" i="1"/>
  <c r="D249" i="1"/>
  <c r="C249" i="1"/>
  <c r="L244" i="1"/>
  <c r="K244" i="1"/>
  <c r="J244" i="1"/>
  <c r="I244" i="1"/>
  <c r="H244" i="1"/>
  <c r="G244" i="1"/>
  <c r="F244" i="1"/>
  <c r="E244" i="1"/>
  <c r="D244" i="1"/>
  <c r="C244" i="1"/>
  <c r="L239" i="1"/>
  <c r="L696" i="1" s="1"/>
  <c r="K239" i="1"/>
  <c r="K212" i="1" s="1"/>
  <c r="J239" i="1"/>
  <c r="J696" i="1" s="1"/>
  <c r="I239" i="1"/>
  <c r="I212" i="1" s="1"/>
  <c r="H239" i="1"/>
  <c r="H696" i="1" s="1"/>
  <c r="G239" i="1"/>
  <c r="G212" i="1" s="1"/>
  <c r="F239" i="1"/>
  <c r="F696" i="1" s="1"/>
  <c r="E239" i="1"/>
  <c r="E212" i="1" s="1"/>
  <c r="D239" i="1"/>
  <c r="D696" i="1" s="1"/>
  <c r="C234" i="1"/>
  <c r="L224" i="1"/>
  <c r="L222" i="1" s="1"/>
  <c r="K224" i="1"/>
  <c r="J224" i="1"/>
  <c r="J222" i="1" s="1"/>
  <c r="I224" i="1"/>
  <c r="H224" i="1"/>
  <c r="H222" i="1" s="1"/>
  <c r="G224" i="1"/>
  <c r="F224" i="1"/>
  <c r="F222" i="1" s="1"/>
  <c r="E224" i="1"/>
  <c r="D224" i="1"/>
  <c r="D222" i="1" s="1"/>
  <c r="C222" i="1"/>
  <c r="L219" i="1"/>
  <c r="K219" i="1"/>
  <c r="K215" i="1" s="1"/>
  <c r="J219" i="1"/>
  <c r="I219" i="1"/>
  <c r="I215" i="1" s="1"/>
  <c r="H219" i="1"/>
  <c r="G219" i="1"/>
  <c r="G215" i="1" s="1"/>
  <c r="F219" i="1"/>
  <c r="E219" i="1"/>
  <c r="E215" i="1" s="1"/>
  <c r="D219" i="1"/>
  <c r="C218" i="1"/>
  <c r="C215" i="1"/>
  <c r="L210" i="1"/>
  <c r="L209" i="1" s="1"/>
  <c r="L64" i="1" s="1"/>
  <c r="K208" i="1"/>
  <c r="K152" i="1" s="1"/>
  <c r="J208" i="1"/>
  <c r="J152" i="1" s="1"/>
  <c r="I208" i="1"/>
  <c r="I152" i="1" s="1"/>
  <c r="H208" i="1"/>
  <c r="H152" i="1" s="1"/>
  <c r="G208" i="1"/>
  <c r="G152" i="1" s="1"/>
  <c r="F208" i="1"/>
  <c r="F152" i="1" s="1"/>
  <c r="E208" i="1"/>
  <c r="E152" i="1" s="1"/>
  <c r="D208" i="1"/>
  <c r="D152" i="1" s="1"/>
  <c r="C208" i="1"/>
  <c r="C265" i="1" s="1"/>
  <c r="L205" i="1"/>
  <c r="K205" i="1"/>
  <c r="J205" i="1"/>
  <c r="I205" i="1"/>
  <c r="H205" i="1"/>
  <c r="G205" i="1"/>
  <c r="F205" i="1"/>
  <c r="E205" i="1"/>
  <c r="D205" i="1"/>
  <c r="C205" i="1"/>
  <c r="L198" i="1"/>
  <c r="L61" i="1" s="1"/>
  <c r="K198" i="1"/>
  <c r="K61" i="1" s="1"/>
  <c r="J198" i="1"/>
  <c r="J61" i="1" s="1"/>
  <c r="I198" i="1"/>
  <c r="I61" i="1" s="1"/>
  <c r="H198" i="1"/>
  <c r="H61" i="1" s="1"/>
  <c r="G198" i="1"/>
  <c r="G61" i="1" s="1"/>
  <c r="F198" i="1"/>
  <c r="F61" i="1" s="1"/>
  <c r="E198" i="1"/>
  <c r="E61" i="1" s="1"/>
  <c r="D198" i="1"/>
  <c r="D61" i="1" s="1"/>
  <c r="C198" i="1"/>
  <c r="C61" i="1" s="1"/>
  <c r="L191" i="1"/>
  <c r="K191" i="1"/>
  <c r="J191" i="1"/>
  <c r="I191" i="1"/>
  <c r="H191" i="1"/>
  <c r="G191" i="1"/>
  <c r="F191" i="1"/>
  <c r="E191" i="1"/>
  <c r="D191" i="1"/>
  <c r="C191" i="1"/>
  <c r="L190" i="1"/>
  <c r="K190" i="1"/>
  <c r="J190" i="1"/>
  <c r="I190" i="1"/>
  <c r="H190" i="1"/>
  <c r="G190" i="1"/>
  <c r="F190" i="1"/>
  <c r="E190" i="1"/>
  <c r="D190" i="1"/>
  <c r="C190" i="1"/>
  <c r="L185" i="1"/>
  <c r="K185" i="1"/>
  <c r="J185" i="1"/>
  <c r="I185" i="1"/>
  <c r="H185" i="1"/>
  <c r="G185" i="1"/>
  <c r="F185" i="1"/>
  <c r="E185" i="1"/>
  <c r="D185" i="1"/>
  <c r="C185" i="1"/>
  <c r="L184" i="1"/>
  <c r="K184" i="1"/>
  <c r="J184" i="1"/>
  <c r="I184" i="1"/>
  <c r="H184" i="1"/>
  <c r="G184" i="1"/>
  <c r="F184" i="1"/>
  <c r="E184" i="1"/>
  <c r="D184" i="1"/>
  <c r="C184" i="1"/>
  <c r="L178" i="1"/>
  <c r="L181" i="1" s="1"/>
  <c r="K178" i="1"/>
  <c r="J178" i="1"/>
  <c r="I178" i="1"/>
  <c r="H178" i="1"/>
  <c r="H181" i="1" s="1"/>
  <c r="G178" i="1"/>
  <c r="F178" i="1"/>
  <c r="E178" i="1"/>
  <c r="D178" i="1"/>
  <c r="D181" i="1" s="1"/>
  <c r="C178" i="1"/>
  <c r="L176" i="1"/>
  <c r="L610" i="1" s="1"/>
  <c r="K176" i="1"/>
  <c r="K610" i="1" s="1"/>
  <c r="J176" i="1"/>
  <c r="J610" i="1" s="1"/>
  <c r="I176" i="1"/>
  <c r="I610" i="1" s="1"/>
  <c r="H176" i="1"/>
  <c r="H610" i="1" s="1"/>
  <c r="G176" i="1"/>
  <c r="G610" i="1" s="1"/>
  <c r="F176" i="1"/>
  <c r="F610" i="1" s="1"/>
  <c r="E176" i="1"/>
  <c r="E610" i="1" s="1"/>
  <c r="D176" i="1"/>
  <c r="D610" i="1" s="1"/>
  <c r="C176" i="1"/>
  <c r="C610" i="1" s="1"/>
  <c r="L171" i="1"/>
  <c r="K171" i="1"/>
  <c r="J171" i="1"/>
  <c r="I171" i="1"/>
  <c r="H171" i="1"/>
  <c r="G171" i="1"/>
  <c r="F171" i="1"/>
  <c r="E171" i="1"/>
  <c r="D171" i="1"/>
  <c r="C171" i="1"/>
  <c r="L165" i="1"/>
  <c r="K165" i="1"/>
  <c r="J165" i="1"/>
  <c r="I165" i="1"/>
  <c r="H165" i="1"/>
  <c r="G165" i="1"/>
  <c r="F165" i="1"/>
  <c r="E165" i="1"/>
  <c r="D165" i="1"/>
  <c r="C165" i="1"/>
  <c r="C223" i="1" s="1"/>
  <c r="L141" i="1"/>
  <c r="K141" i="1"/>
  <c r="J141" i="1"/>
  <c r="I141" i="1"/>
  <c r="H141" i="1"/>
  <c r="H143" i="1" s="1"/>
  <c r="G141" i="1"/>
  <c r="F141" i="1"/>
  <c r="E141" i="1"/>
  <c r="D141" i="1"/>
  <c r="C141" i="1"/>
  <c r="L125" i="1"/>
  <c r="L124" i="1"/>
  <c r="L115" i="1" s="1"/>
  <c r="L122" i="1"/>
  <c r="K122" i="1"/>
  <c r="J122" i="1"/>
  <c r="I122" i="1"/>
  <c r="H122" i="1"/>
  <c r="G122" i="1"/>
  <c r="F122" i="1"/>
  <c r="E122" i="1"/>
  <c r="D122" i="1"/>
  <c r="C122" i="1"/>
  <c r="K115" i="1"/>
  <c r="J115" i="1"/>
  <c r="I115" i="1"/>
  <c r="H115" i="1"/>
  <c r="G115" i="1"/>
  <c r="F115" i="1"/>
  <c r="E115" i="1"/>
  <c r="D115" i="1"/>
  <c r="C115" i="1"/>
  <c r="F106" i="1"/>
  <c r="G101" i="1" s="1"/>
  <c r="D106" i="1"/>
  <c r="E101" i="1" s="1"/>
  <c r="G103" i="1"/>
  <c r="D103" i="1"/>
  <c r="L101" i="1"/>
  <c r="L102" i="1" s="1"/>
  <c r="K101" i="1"/>
  <c r="K102" i="1" s="1"/>
  <c r="J101" i="1"/>
  <c r="J102" i="1" s="1"/>
  <c r="I101" i="1"/>
  <c r="I102" i="1" s="1"/>
  <c r="H101" i="1"/>
  <c r="H102" i="1" s="1"/>
  <c r="F101" i="1"/>
  <c r="D101" i="1"/>
  <c r="L78" i="1"/>
  <c r="K78" i="1"/>
  <c r="J78" i="1"/>
  <c r="I78" i="1"/>
  <c r="H78" i="1"/>
  <c r="G78" i="1"/>
  <c r="F78" i="1"/>
  <c r="E78" i="1"/>
  <c r="D78" i="1"/>
  <c r="C78" i="1"/>
  <c r="L77" i="1"/>
  <c r="K77" i="1"/>
  <c r="J77" i="1"/>
  <c r="I77" i="1"/>
  <c r="H77" i="1"/>
  <c r="G77" i="1"/>
  <c r="F77" i="1"/>
  <c r="E77" i="1"/>
  <c r="D77" i="1"/>
  <c r="C77" i="1"/>
  <c r="K64" i="1"/>
  <c r="J64" i="1"/>
  <c r="I64" i="1"/>
  <c r="H64" i="1"/>
  <c r="G64" i="1"/>
  <c r="F64" i="1"/>
  <c r="E64" i="1"/>
  <c r="D64" i="1"/>
  <c r="C64" i="1"/>
  <c r="L60" i="1"/>
  <c r="L49" i="1" s="1"/>
  <c r="K60" i="1"/>
  <c r="K49" i="1" s="1"/>
  <c r="J60" i="1"/>
  <c r="J49" i="1" s="1"/>
  <c r="I60" i="1"/>
  <c r="I49" i="1" s="1"/>
  <c r="H60" i="1"/>
  <c r="H49" i="1" s="1"/>
  <c r="G60" i="1"/>
  <c r="G49" i="1" s="1"/>
  <c r="F60" i="1"/>
  <c r="F49" i="1" s="1"/>
  <c r="E60" i="1"/>
  <c r="E49" i="1" s="1"/>
  <c r="D60" i="1"/>
  <c r="D49" i="1" s="1"/>
  <c r="C60" i="1"/>
  <c r="C49" i="1" s="1"/>
  <c r="L59" i="1"/>
  <c r="L48" i="1" s="1"/>
  <c r="K59" i="1"/>
  <c r="K48" i="1" s="1"/>
  <c r="J59" i="1"/>
  <c r="J48" i="1" s="1"/>
  <c r="I59" i="1"/>
  <c r="I48" i="1" s="1"/>
  <c r="H59" i="1"/>
  <c r="H48" i="1" s="1"/>
  <c r="G59" i="1"/>
  <c r="G48" i="1" s="1"/>
  <c r="F59" i="1"/>
  <c r="F48" i="1" s="1"/>
  <c r="E59" i="1"/>
  <c r="E48" i="1" s="1"/>
  <c r="D59" i="1"/>
  <c r="D48" i="1" s="1"/>
  <c r="C59" i="1"/>
  <c r="C48" i="1" s="1"/>
  <c r="L57" i="1"/>
  <c r="K57" i="1"/>
  <c r="J57" i="1"/>
  <c r="I57" i="1"/>
  <c r="H57" i="1"/>
  <c r="G57" i="1"/>
  <c r="F57" i="1"/>
  <c r="E57" i="1"/>
  <c r="D57" i="1"/>
  <c r="C57" i="1"/>
  <c r="L56" i="1"/>
  <c r="K56" i="1"/>
  <c r="J56" i="1"/>
  <c r="I56" i="1"/>
  <c r="H56" i="1"/>
  <c r="G56" i="1"/>
  <c r="F56" i="1"/>
  <c r="E56" i="1"/>
  <c r="D56" i="1"/>
  <c r="C56" i="1"/>
  <c r="K54" i="1"/>
  <c r="J54" i="1"/>
  <c r="I54" i="1"/>
  <c r="H54" i="1"/>
  <c r="C54" i="1"/>
  <c r="L52" i="1"/>
  <c r="K52" i="1"/>
  <c r="J52" i="1"/>
  <c r="I52" i="1"/>
  <c r="H52" i="1"/>
  <c r="G52" i="1"/>
  <c r="F52" i="1"/>
  <c r="E52" i="1"/>
  <c r="D52" i="1"/>
  <c r="C52" i="1"/>
  <c r="C3" i="1"/>
  <c r="C2" i="1"/>
  <c r="D725" i="1" s="1"/>
  <c r="D1" i="1"/>
  <c r="BX143" i="1" l="1"/>
  <c r="C455" i="1"/>
  <c r="C484" i="1" s="1"/>
  <c r="BV232" i="1"/>
  <c r="BV233" i="1" s="1"/>
  <c r="BV113" i="1" s="1"/>
  <c r="CB232" i="1"/>
  <c r="CB109" i="1" s="1"/>
  <c r="I202" i="1"/>
  <c r="CA232" i="1"/>
  <c r="CA109" i="1" s="1"/>
  <c r="BX232" i="1"/>
  <c r="BX109" i="1" s="1"/>
  <c r="E456" i="1"/>
  <c r="E485" i="1" s="1"/>
  <c r="E202" i="1"/>
  <c r="K202" i="1"/>
  <c r="D456" i="1"/>
  <c r="D485" i="1" s="1"/>
  <c r="J456" i="1"/>
  <c r="J485" i="1" s="1"/>
  <c r="G202" i="1"/>
  <c r="BT232" i="1"/>
  <c r="BT233" i="1" s="1"/>
  <c r="BT808" i="1" s="1"/>
  <c r="BZ232" i="1"/>
  <c r="BZ233" i="1" s="1"/>
  <c r="L456" i="1"/>
  <c r="L485" i="1" s="1"/>
  <c r="F456" i="1"/>
  <c r="F485" i="1" s="1"/>
  <c r="H456" i="1"/>
  <c r="H485" i="1" s="1"/>
  <c r="CA143" i="1"/>
  <c r="BW232" i="1"/>
  <c r="BW233" i="1" s="1"/>
  <c r="BW113" i="1" s="1"/>
  <c r="BZ143" i="1"/>
  <c r="BS670" i="1"/>
  <c r="BS636" i="1"/>
  <c r="BS223" i="1"/>
  <c r="BS267" i="1"/>
  <c r="BS232" i="1"/>
  <c r="BS603" i="1"/>
  <c r="BS702" i="1"/>
  <c r="BS421" i="1"/>
  <c r="BS456" i="1" s="1"/>
  <c r="BS485" i="1" s="1"/>
  <c r="BS130" i="1"/>
  <c r="BS623" i="1"/>
  <c r="BS628" i="1"/>
  <c r="BS612" i="1"/>
  <c r="BS327" i="1"/>
  <c r="BS589" i="1"/>
  <c r="L203" i="1"/>
  <c r="F143" i="1"/>
  <c r="E507" i="1"/>
  <c r="J143" i="1"/>
  <c r="F507" i="1"/>
  <c r="J507" i="1"/>
  <c r="BV468" i="1"/>
  <c r="BZ468" i="1"/>
  <c r="BS507" i="1"/>
  <c r="BW507" i="1"/>
  <c r="CA507" i="1"/>
  <c r="D143" i="1"/>
  <c r="I218" i="1"/>
  <c r="BU507" i="1"/>
  <c r="BY507" i="1"/>
  <c r="CB585" i="1"/>
  <c r="CB583" i="1" s="1"/>
  <c r="CB628" i="1" s="1"/>
  <c r="I507" i="1"/>
  <c r="BU468" i="1"/>
  <c r="BY468" i="1"/>
  <c r="BY276" i="1"/>
  <c r="BY334" i="1" s="1"/>
  <c r="G203" i="1"/>
  <c r="BU281" i="1"/>
  <c r="BU339" i="1" s="1"/>
  <c r="BU296" i="1"/>
  <c r="BU379" i="1" s="1"/>
  <c r="BU319" i="1" s="1"/>
  <c r="BU322" i="1" s="1"/>
  <c r="BT306" i="1"/>
  <c r="BT76" i="1" s="1"/>
  <c r="BX306" i="1"/>
  <c r="BX76" i="1" s="1"/>
  <c r="CB306" i="1"/>
  <c r="CB76" i="1" s="1"/>
  <c r="K203" i="1"/>
  <c r="CA276" i="1"/>
  <c r="CA334" i="1" s="1"/>
  <c r="BY296" i="1"/>
  <c r="BY379" i="1" s="1"/>
  <c r="BY319" i="1" s="1"/>
  <c r="BY322" i="1" s="1"/>
  <c r="BS486" i="1"/>
  <c r="BW486" i="1"/>
  <c r="CA486" i="1"/>
  <c r="E203" i="1"/>
  <c r="AN152" i="1"/>
  <c r="I203" i="1"/>
  <c r="CB443" i="1"/>
  <c r="CB430" i="1" s="1"/>
  <c r="BV281" i="1"/>
  <c r="BV339" i="1" s="1"/>
  <c r="J408" i="1"/>
  <c r="J393" i="1" s="1"/>
  <c r="E500" i="1"/>
  <c r="E498" i="1" s="1"/>
  <c r="E131" i="1" s="1"/>
  <c r="I500" i="1"/>
  <c r="I498" i="1" s="1"/>
  <c r="I131" i="1" s="1"/>
  <c r="BV301" i="1"/>
  <c r="BV359" i="1" s="1"/>
  <c r="BZ301" i="1"/>
  <c r="BZ359" i="1" s="1"/>
  <c r="BZ281" i="1"/>
  <c r="BZ339" i="1" s="1"/>
  <c r="BX603" i="1"/>
  <c r="BA82" i="9"/>
  <c r="BC82" i="9" s="1"/>
  <c r="L500" i="1"/>
  <c r="L498" i="1" s="1"/>
  <c r="L131" i="1" s="1"/>
  <c r="BX296" i="1"/>
  <c r="BX379" i="1" s="1"/>
  <c r="BX319" i="1" s="1"/>
  <c r="BX322" i="1" s="1"/>
  <c r="CA443" i="1"/>
  <c r="CA441" i="1" s="1"/>
  <c r="CA440" i="1" s="1"/>
  <c r="CB96" i="1" s="1"/>
  <c r="BT472" i="1"/>
  <c r="BT465" i="1" s="1"/>
  <c r="BX472" i="1"/>
  <c r="BX465" i="1" s="1"/>
  <c r="CB472" i="1"/>
  <c r="CB465" i="1" s="1"/>
  <c r="BV472" i="1"/>
  <c r="BV465" i="1" s="1"/>
  <c r="BS500" i="1"/>
  <c r="BU472" i="1"/>
  <c r="BU465" i="1" s="1"/>
  <c r="BY472" i="1"/>
  <c r="BY465" i="1" s="1"/>
  <c r="I443" i="1"/>
  <c r="I430" i="1" s="1"/>
  <c r="C443" i="1"/>
  <c r="C441" i="1" s="1"/>
  <c r="I472" i="1"/>
  <c r="I465" i="1" s="1"/>
  <c r="I711" i="1" s="1"/>
  <c r="K500" i="1"/>
  <c r="K495" i="1" s="1"/>
  <c r="BX276" i="1"/>
  <c r="BX334" i="1" s="1"/>
  <c r="BT281" i="1"/>
  <c r="BT339" i="1" s="1"/>
  <c r="BT276" i="1"/>
  <c r="BT334" i="1" s="1"/>
  <c r="CB281" i="1"/>
  <c r="CB339" i="1" s="1"/>
  <c r="H443" i="1"/>
  <c r="H441" i="1" s="1"/>
  <c r="H440" i="1" s="1"/>
  <c r="L443" i="1"/>
  <c r="L441" i="1" s="1"/>
  <c r="L440" i="1" s="1"/>
  <c r="D472" i="1"/>
  <c r="D465" i="1" s="1"/>
  <c r="D711" i="1" s="1"/>
  <c r="H472" i="1"/>
  <c r="H465" i="1" s="1"/>
  <c r="H711" i="1" s="1"/>
  <c r="L472" i="1"/>
  <c r="L465" i="1" s="1"/>
  <c r="L711" i="1" s="1"/>
  <c r="F500" i="1"/>
  <c r="F498" i="1" s="1"/>
  <c r="F131" i="1" s="1"/>
  <c r="CB276" i="1"/>
  <c r="CB334" i="1" s="1"/>
  <c r="BU500" i="1"/>
  <c r="BU498" i="1" s="1"/>
  <c r="BU131" i="1" s="1"/>
  <c r="BY500" i="1"/>
  <c r="BY495" i="1" s="1"/>
  <c r="CA500" i="1"/>
  <c r="CA495" i="1" s="1"/>
  <c r="BZ603" i="1"/>
  <c r="E472" i="1"/>
  <c r="E465" i="1" s="1"/>
  <c r="E711" i="1" s="1"/>
  <c r="BZ472" i="1"/>
  <c r="BZ465" i="1" s="1"/>
  <c r="C415" i="1"/>
  <c r="C427" i="1" s="1"/>
  <c r="C462" i="1" s="1"/>
  <c r="C491" i="1" s="1"/>
  <c r="G415" i="1"/>
  <c r="G427" i="1" s="1"/>
  <c r="G462" i="1" s="1"/>
  <c r="G491" i="1" s="1"/>
  <c r="K415" i="1"/>
  <c r="K427" i="1" s="1"/>
  <c r="K462" i="1" s="1"/>
  <c r="K491" i="1" s="1"/>
  <c r="BZ500" i="1"/>
  <c r="BZ495" i="1" s="1"/>
  <c r="BS472" i="1"/>
  <c r="BW472" i="1"/>
  <c r="BW465" i="1" s="1"/>
  <c r="CA472" i="1"/>
  <c r="CA465" i="1" s="1"/>
  <c r="BW500" i="1"/>
  <c r="BW498" i="1" s="1"/>
  <c r="BW131" i="1" s="1"/>
  <c r="BS296" i="1"/>
  <c r="BS379" i="1" s="1"/>
  <c r="BY232" i="1"/>
  <c r="BY233" i="1" s="1"/>
  <c r="BU232" i="1"/>
  <c r="BU233" i="1" s="1"/>
  <c r="BU84" i="1" s="1"/>
  <c r="J212" i="1"/>
  <c r="C507" i="1"/>
  <c r="G507" i="1"/>
  <c r="K507" i="1"/>
  <c r="BW276" i="1"/>
  <c r="BW334" i="1" s="1"/>
  <c r="L143" i="1"/>
  <c r="C456" i="1"/>
  <c r="C485" i="1" s="1"/>
  <c r="E455" i="1"/>
  <c r="E484" i="1" s="1"/>
  <c r="D507" i="1"/>
  <c r="H507" i="1"/>
  <c r="L507" i="1"/>
  <c r="BS177" i="1"/>
  <c r="BW177" i="1"/>
  <c r="BW114" i="1" s="1"/>
  <c r="CA177" i="1"/>
  <c r="CA114" i="1" s="1"/>
  <c r="BS276" i="1"/>
  <c r="BS334" i="1" s="1"/>
  <c r="BW281" i="1"/>
  <c r="CA281" i="1"/>
  <c r="CA339" i="1" s="1"/>
  <c r="BT468" i="1"/>
  <c r="BX468" i="1"/>
  <c r="CB468" i="1"/>
  <c r="BT500" i="1"/>
  <c r="BT495" i="1" s="1"/>
  <c r="BX500" i="1"/>
  <c r="BX495" i="1" s="1"/>
  <c r="CB500" i="1"/>
  <c r="CB498" i="1" s="1"/>
  <c r="CB131" i="1" s="1"/>
  <c r="BV500" i="1"/>
  <c r="BV495" i="1" s="1"/>
  <c r="BZ130" i="1"/>
  <c r="BT507" i="1"/>
  <c r="BX507" i="1"/>
  <c r="CB507" i="1"/>
  <c r="BT177" i="1"/>
  <c r="BT114" i="1" s="1"/>
  <c r="BX177" i="1"/>
  <c r="BX114" i="1" s="1"/>
  <c r="CB177" i="1"/>
  <c r="CB146" i="1" s="1"/>
  <c r="BY130" i="1"/>
  <c r="BU486" i="1"/>
  <c r="BY486" i="1"/>
  <c r="F415" i="1"/>
  <c r="F427" i="1" s="1"/>
  <c r="F462" i="1" s="1"/>
  <c r="F491" i="1" s="1"/>
  <c r="J415" i="1"/>
  <c r="J427" i="1" s="1"/>
  <c r="J462" i="1" s="1"/>
  <c r="J491" i="1" s="1"/>
  <c r="F443" i="1"/>
  <c r="F441" i="1" s="1"/>
  <c r="F440" i="1" s="1"/>
  <c r="J443" i="1"/>
  <c r="J441" i="1" s="1"/>
  <c r="J440" i="1" s="1"/>
  <c r="BV177" i="1"/>
  <c r="BV146" i="1" s="1"/>
  <c r="BZ177" i="1"/>
  <c r="BZ114" i="1" s="1"/>
  <c r="BV276" i="1"/>
  <c r="BV334" i="1" s="1"/>
  <c r="BZ276" i="1"/>
  <c r="BZ334" i="1" s="1"/>
  <c r="BS443" i="1"/>
  <c r="K472" i="1"/>
  <c r="K465" i="1" s="1"/>
  <c r="K711" i="1" s="1"/>
  <c r="G192" i="1"/>
  <c r="G58" i="1" s="1"/>
  <c r="K192" i="1"/>
  <c r="K58" i="1" s="1"/>
  <c r="F408" i="1"/>
  <c r="F393" i="1" s="1"/>
  <c r="G443" i="1"/>
  <c r="G441" i="1" s="1"/>
  <c r="K443" i="1"/>
  <c r="K441" i="1" s="1"/>
  <c r="K440" i="1" s="1"/>
  <c r="BS408" i="1"/>
  <c r="C408" i="1"/>
  <c r="C393" i="1" s="1"/>
  <c r="G408" i="1"/>
  <c r="G393" i="1" s="1"/>
  <c r="K408" i="1"/>
  <c r="K393" i="1" s="1"/>
  <c r="E192" i="1"/>
  <c r="E58" i="1" s="1"/>
  <c r="I192" i="1"/>
  <c r="E408" i="1"/>
  <c r="I408" i="1"/>
  <c r="I419" i="1" s="1"/>
  <c r="I426" i="1" s="1"/>
  <c r="E415" i="1"/>
  <c r="E427" i="1" s="1"/>
  <c r="I415" i="1"/>
  <c r="I427" i="1" s="1"/>
  <c r="I462" i="1" s="1"/>
  <c r="I491" i="1" s="1"/>
  <c r="D500" i="1"/>
  <c r="H500" i="1"/>
  <c r="H495" i="1" s="1"/>
  <c r="BU177" i="1"/>
  <c r="BU114" i="1" s="1"/>
  <c r="BY177" i="1"/>
  <c r="BY114" i="1" s="1"/>
  <c r="L192" i="1"/>
  <c r="D408" i="1"/>
  <c r="D419" i="1" s="1"/>
  <c r="D426" i="1" s="1"/>
  <c r="H408" i="1"/>
  <c r="L408" i="1"/>
  <c r="L419" i="1" s="1"/>
  <c r="D415" i="1"/>
  <c r="D427" i="1" s="1"/>
  <c r="H415" i="1"/>
  <c r="H427" i="1" s="1"/>
  <c r="H462" i="1" s="1"/>
  <c r="H491" i="1" s="1"/>
  <c r="L415" i="1"/>
  <c r="L427" i="1" s="1"/>
  <c r="L462" i="1" s="1"/>
  <c r="L491" i="1" s="1"/>
  <c r="F472" i="1"/>
  <c r="F465" i="1" s="1"/>
  <c r="F711" i="1" s="1"/>
  <c r="J472" i="1"/>
  <c r="J465" i="1" s="1"/>
  <c r="J711" i="1" s="1"/>
  <c r="C500" i="1"/>
  <c r="C495" i="1" s="1"/>
  <c r="G500" i="1"/>
  <c r="BW408" i="1"/>
  <c r="BW393" i="1" s="1"/>
  <c r="BZ408" i="1"/>
  <c r="BZ393" i="1" s="1"/>
  <c r="BU408" i="1"/>
  <c r="BU393" i="1" s="1"/>
  <c r="BY408" i="1"/>
  <c r="BY419" i="1" s="1"/>
  <c r="CA408" i="1"/>
  <c r="CA419" i="1" s="1"/>
  <c r="CB408" i="1"/>
  <c r="CB393" i="1" s="1"/>
  <c r="BS75" i="1"/>
  <c r="BT408" i="1"/>
  <c r="BT419" i="1" s="1"/>
  <c r="BV408" i="1"/>
  <c r="BV393" i="1" s="1"/>
  <c r="BX408" i="1"/>
  <c r="BX419" i="1" s="1"/>
  <c r="BY75" i="1"/>
  <c r="BT635" i="1"/>
  <c r="BT738" i="1" s="1"/>
  <c r="BX75" i="1"/>
  <c r="C152" i="1"/>
  <c r="E627" i="1"/>
  <c r="G627" i="1"/>
  <c r="I627" i="1"/>
  <c r="K627" i="1"/>
  <c r="BW443" i="1"/>
  <c r="BW430" i="1" s="1"/>
  <c r="J500" i="1"/>
  <c r="J498" i="1" s="1"/>
  <c r="J131" i="1" s="1"/>
  <c r="CB64" i="1"/>
  <c r="BU208" i="1"/>
  <c r="G218" i="1"/>
  <c r="F130" i="1"/>
  <c r="BV111" i="1"/>
  <c r="K143" i="1"/>
  <c r="L627" i="1"/>
  <c r="BX64" i="1"/>
  <c r="BT628" i="1"/>
  <c r="BX628" i="1"/>
  <c r="BT130" i="1"/>
  <c r="BV130" i="1"/>
  <c r="BX130" i="1"/>
  <c r="I63" i="1"/>
  <c r="C472" i="1"/>
  <c r="C465" i="1" s="1"/>
  <c r="C711" i="1" s="1"/>
  <c r="G472" i="1"/>
  <c r="G465" i="1" s="1"/>
  <c r="G711" i="1" s="1"/>
  <c r="BT486" i="1"/>
  <c r="BV486" i="1"/>
  <c r="BX486" i="1"/>
  <c r="BZ486" i="1"/>
  <c r="CB486" i="1"/>
  <c r="CB130" i="1"/>
  <c r="J130" i="1"/>
  <c r="E1" i="1"/>
  <c r="BU204" i="1"/>
  <c r="BU670" i="1" s="1"/>
  <c r="BW204" i="1"/>
  <c r="BW202" i="1" s="1"/>
  <c r="BY204" i="1"/>
  <c r="BY670" i="1" s="1"/>
  <c r="CA204" i="1"/>
  <c r="CA202" i="1" s="1"/>
  <c r="BT204" i="1"/>
  <c r="BT670" i="1" s="1"/>
  <c r="BV204" i="1"/>
  <c r="BV670" i="1" s="1"/>
  <c r="BX204" i="1"/>
  <c r="BX202" i="1" s="1"/>
  <c r="BZ204" i="1"/>
  <c r="BZ202" i="1" s="1"/>
  <c r="CB204" i="1"/>
  <c r="CB795" i="1" s="1"/>
  <c r="BS209" i="1"/>
  <c r="BU267" i="1"/>
  <c r="BU87" i="1" s="1"/>
  <c r="D63" i="1"/>
  <c r="H130" i="1"/>
  <c r="L130" i="1"/>
  <c r="H212" i="1"/>
  <c r="L212" i="1"/>
  <c r="C486" i="1"/>
  <c r="E486" i="1"/>
  <c r="D130" i="1"/>
  <c r="L54" i="1"/>
  <c r="F63" i="1"/>
  <c r="D102" i="1"/>
  <c r="CB97" i="1"/>
  <c r="BZ450" i="1"/>
  <c r="BZ111" i="1"/>
  <c r="E63" i="1"/>
  <c r="G63" i="1"/>
  <c r="K63" i="1"/>
  <c r="BU130" i="1"/>
  <c r="BW130" i="1"/>
  <c r="C63" i="1"/>
  <c r="C130" i="1"/>
  <c r="E130" i="1"/>
  <c r="G130" i="1"/>
  <c r="I130" i="1"/>
  <c r="K130" i="1"/>
  <c r="K218" i="1"/>
  <c r="H63" i="1"/>
  <c r="J63" i="1"/>
  <c r="D486" i="1"/>
  <c r="F486" i="1"/>
  <c r="H486" i="1"/>
  <c r="J486" i="1"/>
  <c r="L486" i="1"/>
  <c r="E698" i="1"/>
  <c r="G698" i="1"/>
  <c r="I698" i="1"/>
  <c r="CA64" i="1"/>
  <c r="BT456" i="1"/>
  <c r="BT485" i="1" s="1"/>
  <c r="BV456" i="1"/>
  <c r="BV485" i="1" s="1"/>
  <c r="BX456" i="1"/>
  <c r="BX485" i="1" s="1"/>
  <c r="BZ456" i="1"/>
  <c r="BZ485" i="1" s="1"/>
  <c r="CB456" i="1"/>
  <c r="CB485" i="1" s="1"/>
  <c r="BU443" i="1"/>
  <c r="BU441" i="1" s="1"/>
  <c r="BY443" i="1"/>
  <c r="BY430" i="1" s="1"/>
  <c r="CB627" i="1"/>
  <c r="CB603" i="1"/>
  <c r="D450" i="1"/>
  <c r="G456" i="1"/>
  <c r="G485" i="1" s="1"/>
  <c r="I456" i="1"/>
  <c r="I485" i="1" s="1"/>
  <c r="K456" i="1"/>
  <c r="K485" i="1" s="1"/>
  <c r="G455" i="1"/>
  <c r="G484" i="1" s="1"/>
  <c r="I455" i="1"/>
  <c r="I484" i="1" s="1"/>
  <c r="K455" i="1"/>
  <c r="K484" i="1" s="1"/>
  <c r="G486" i="1"/>
  <c r="I486" i="1"/>
  <c r="K486" i="1"/>
  <c r="BT111" i="1"/>
  <c r="BX111" i="1"/>
  <c r="CB111" i="1"/>
  <c r="BW398" i="1"/>
  <c r="BW87" i="1" s="1"/>
  <c r="BU456" i="1"/>
  <c r="BU485" i="1" s="1"/>
  <c r="BW456" i="1"/>
  <c r="BW485" i="1" s="1"/>
  <c r="BY456" i="1"/>
  <c r="BY485" i="1" s="1"/>
  <c r="CA456" i="1"/>
  <c r="CA485" i="1" s="1"/>
  <c r="BZ628" i="1"/>
  <c r="BV628" i="1"/>
  <c r="F265" i="1"/>
  <c r="H265" i="1"/>
  <c r="J265" i="1"/>
  <c r="D212" i="1"/>
  <c r="F212" i="1"/>
  <c r="D234" i="1"/>
  <c r="D237" i="1" s="1"/>
  <c r="F234" i="1"/>
  <c r="F237" i="1" s="1"/>
  <c r="F238" i="1" s="1"/>
  <c r="H234" i="1"/>
  <c r="H237" i="1" s="1"/>
  <c r="J234" i="1"/>
  <c r="J237" i="1" s="1"/>
  <c r="J238" i="1" s="1"/>
  <c r="L234" i="1"/>
  <c r="L237" i="1" s="1"/>
  <c r="E450" i="1"/>
  <c r="D627" i="1"/>
  <c r="F627" i="1"/>
  <c r="H627" i="1"/>
  <c r="J627" i="1"/>
  <c r="BZ158" i="1"/>
  <c r="CA216" i="1" s="1"/>
  <c r="BT209" i="1"/>
  <c r="BU64" i="1" s="1"/>
  <c r="BV209" i="1"/>
  <c r="BV266" i="1" s="1"/>
  <c r="BY267" i="1"/>
  <c r="BY87" i="1" s="1"/>
  <c r="BT267" i="1"/>
  <c r="BT87" i="1" s="1"/>
  <c r="CB635" i="1"/>
  <c r="CB738" i="1" s="1"/>
  <c r="BY603" i="1"/>
  <c r="CA603" i="1"/>
  <c r="BX267" i="1"/>
  <c r="BX87" i="1" s="1"/>
  <c r="BV507" i="1"/>
  <c r="BZ507" i="1"/>
  <c r="CB415" i="1"/>
  <c r="CB427" i="1" s="1"/>
  <c r="CB462" i="1" s="1"/>
  <c r="CB491" i="1" s="1"/>
  <c r="E443" i="1"/>
  <c r="E441" i="1" s="1"/>
  <c r="I265" i="1"/>
  <c r="BU1" i="1"/>
  <c r="BU2" i="1" s="1"/>
  <c r="BV725" i="1" s="1"/>
  <c r="BW399" i="1"/>
  <c r="BU427" i="1"/>
  <c r="BU462" i="1" s="1"/>
  <c r="BU491" i="1" s="1"/>
  <c r="BS455" i="1"/>
  <c r="BS484" i="1" s="1"/>
  <c r="BW455" i="1"/>
  <c r="BW484" i="1" s="1"/>
  <c r="CA455" i="1"/>
  <c r="CA484" i="1" s="1"/>
  <c r="CB63" i="1"/>
  <c r="CA623" i="1"/>
  <c r="CA265" i="1"/>
  <c r="CA88" i="1" s="1"/>
  <c r="CB265" i="1"/>
  <c r="CB88" i="1" s="1"/>
  <c r="BV321" i="1"/>
  <c r="BW427" i="1"/>
  <c r="BW462" i="1" s="1"/>
  <c r="BW491" i="1" s="1"/>
  <c r="BT455" i="1"/>
  <c r="BT484" i="1" s="1"/>
  <c r="BV455" i="1"/>
  <c r="BV484" i="1" s="1"/>
  <c r="BX455" i="1"/>
  <c r="BX484" i="1" s="1"/>
  <c r="BZ455" i="1"/>
  <c r="BZ484" i="1" s="1"/>
  <c r="CB455" i="1"/>
  <c r="CB484" i="1" s="1"/>
  <c r="BS111" i="1"/>
  <c r="BU111" i="1"/>
  <c r="BW111" i="1"/>
  <c r="BY111" i="1"/>
  <c r="CA111" i="1"/>
  <c r="BV667" i="1"/>
  <c r="F102" i="1"/>
  <c r="G265" i="1"/>
  <c r="K698" i="1"/>
  <c r="BT2" i="1"/>
  <c r="BU725" i="1" s="1"/>
  <c r="CA97" i="1"/>
  <c r="BV223" i="1"/>
  <c r="BX223" i="1"/>
  <c r="BZ223" i="1"/>
  <c r="CB223" i="1"/>
  <c r="BZ181" i="1"/>
  <c r="BZ822" i="1" s="1"/>
  <c r="CA266" i="1"/>
  <c r="CB266" i="1"/>
  <c r="BT319" i="1"/>
  <c r="BT322" i="1" s="1"/>
  <c r="CB319" i="1"/>
  <c r="CB322" i="1" s="1"/>
  <c r="BZ321" i="1"/>
  <c r="CA427" i="1"/>
  <c r="CA462" i="1" s="1"/>
  <c r="CA491" i="1" s="1"/>
  <c r="BS427" i="1"/>
  <c r="BS462" i="1" s="1"/>
  <c r="BS491" i="1" s="1"/>
  <c r="BU455" i="1"/>
  <c r="BU484" i="1" s="1"/>
  <c r="BY455" i="1"/>
  <c r="BY484" i="1" s="1"/>
  <c r="BT443" i="1"/>
  <c r="BT441" i="1" s="1"/>
  <c r="BT440" i="1" s="1"/>
  <c r="BU96" i="1" s="1"/>
  <c r="BV443" i="1"/>
  <c r="BX443" i="1"/>
  <c r="BX441" i="1" s="1"/>
  <c r="BZ443" i="1"/>
  <c r="BT667" i="1"/>
  <c r="BX667" i="1"/>
  <c r="BZ667" i="1"/>
  <c r="CB667" i="1"/>
  <c r="F54" i="1"/>
  <c r="G54" i="1"/>
  <c r="CB3" i="1"/>
  <c r="BV826" i="1"/>
  <c r="BV823" i="1"/>
  <c r="BV820" i="1"/>
  <c r="BV817" i="1"/>
  <c r="BV116" i="1"/>
  <c r="BZ826" i="1"/>
  <c r="BZ823" i="1"/>
  <c r="BZ820" i="1"/>
  <c r="BZ817" i="1"/>
  <c r="BZ116" i="1"/>
  <c r="CB217" i="1"/>
  <c r="CB53" i="1"/>
  <c r="CB233" i="1"/>
  <c r="CB808" i="1" s="1"/>
  <c r="BX433" i="1"/>
  <c r="BT825" i="1"/>
  <c r="BT822" i="1"/>
  <c r="BT819" i="1"/>
  <c r="BT816" i="1"/>
  <c r="BT813" i="1"/>
  <c r="BT812" i="1"/>
  <c r="CB825" i="1"/>
  <c r="CB822" i="1"/>
  <c r="CB819" i="1"/>
  <c r="CB816" i="1"/>
  <c r="CB813" i="1"/>
  <c r="CB812" i="1"/>
  <c r="CB216" i="1"/>
  <c r="BX301" i="1"/>
  <c r="BZ306" i="1"/>
  <c r="BZ76" i="1" s="1"/>
  <c r="BY415" i="1"/>
  <c r="BY427" i="1" s="1"/>
  <c r="BY462" i="1" s="1"/>
  <c r="BY491" i="1" s="1"/>
  <c r="BX427" i="1"/>
  <c r="BV536" i="1"/>
  <c r="BV546" i="1" s="1"/>
  <c r="BZ536" i="1"/>
  <c r="BZ546" i="1" s="1"/>
  <c r="BZ762" i="1"/>
  <c r="BX825" i="1"/>
  <c r="BX822" i="1"/>
  <c r="BX819" i="1"/>
  <c r="BX816" i="1"/>
  <c r="BX813" i="1"/>
  <c r="BX812" i="1"/>
  <c r="BT223" i="1"/>
  <c r="BV237" i="1"/>
  <c r="BV809" i="1" s="1"/>
  <c r="BZ237" i="1"/>
  <c r="BZ809" i="1" s="1"/>
  <c r="BV259" i="1"/>
  <c r="BZ259" i="1"/>
  <c r="BT301" i="1"/>
  <c r="CB301" i="1"/>
  <c r="BV306" i="1"/>
  <c r="BV76" i="1" s="1"/>
  <c r="BV427" i="1"/>
  <c r="BV462" i="1" s="1"/>
  <c r="BV491" i="1" s="1"/>
  <c r="BT427" i="1"/>
  <c r="BX623" i="1"/>
  <c r="BX635" i="1"/>
  <c r="BT826" i="1"/>
  <c r="BT823" i="1"/>
  <c r="BT820" i="1"/>
  <c r="BT817" i="1"/>
  <c r="BX826" i="1"/>
  <c r="BX823" i="1"/>
  <c r="BX820" i="1"/>
  <c r="BX817" i="1"/>
  <c r="CB826" i="1"/>
  <c r="CB823" i="1"/>
  <c r="CB820" i="1"/>
  <c r="CB817" i="1"/>
  <c r="BZ635" i="1"/>
  <c r="BX636" i="1"/>
  <c r="BT735" i="1"/>
  <c r="CB735" i="1"/>
  <c r="BZ737" i="1"/>
  <c r="BZ763" i="1" s="1"/>
  <c r="BV762" i="1"/>
  <c r="BU55" i="1"/>
  <c r="BW55" i="1"/>
  <c r="BY55" i="1"/>
  <c r="CA55" i="1"/>
  <c r="CA63" i="1"/>
  <c r="CA130" i="1"/>
  <c r="BS737" i="1"/>
  <c r="BS763" i="1" s="1"/>
  <c r="BS735" i="1"/>
  <c r="BU737" i="1"/>
  <c r="BU763" i="1" s="1"/>
  <c r="BU735" i="1"/>
  <c r="BW737" i="1"/>
  <c r="BW763" i="1" s="1"/>
  <c r="BW735" i="1"/>
  <c r="BY737" i="1"/>
  <c r="BY763" i="1" s="1"/>
  <c r="BY735" i="1"/>
  <c r="CA737" i="1"/>
  <c r="CA763" i="1" s="1"/>
  <c r="CA735" i="1"/>
  <c r="BU223" i="1"/>
  <c r="BW223" i="1"/>
  <c r="BY223" i="1"/>
  <c r="CA223" i="1"/>
  <c r="BS181" i="1"/>
  <c r="BU181" i="1"/>
  <c r="BW181" i="1"/>
  <c r="BY181" i="1"/>
  <c r="CA181" i="1"/>
  <c r="BV825" i="1"/>
  <c r="BV822" i="1"/>
  <c r="BV819" i="1"/>
  <c r="BV816" i="1"/>
  <c r="BV813" i="1"/>
  <c r="BV812" i="1"/>
  <c r="BV187" i="1"/>
  <c r="BX208" i="1"/>
  <c r="BY209" i="1"/>
  <c r="BT237" i="1"/>
  <c r="BX237" i="1"/>
  <c r="CB237" i="1"/>
  <c r="BT259" i="1"/>
  <c r="BX259" i="1"/>
  <c r="CB259" i="1"/>
  <c r="BX266" i="1"/>
  <c r="BV267" i="1"/>
  <c r="BV87" i="1" s="1"/>
  <c r="BZ267" i="1"/>
  <c r="BZ87" i="1" s="1"/>
  <c r="BV319" i="1"/>
  <c r="BZ319" i="1"/>
  <c r="BZ322" i="1" s="1"/>
  <c r="BT321" i="1"/>
  <c r="CB321" i="1"/>
  <c r="BZ427" i="1"/>
  <c r="BT450" i="1"/>
  <c r="BX450" i="1"/>
  <c r="BS468" i="1"/>
  <c r="BW468" i="1"/>
  <c r="CA468" i="1"/>
  <c r="BT623" i="1"/>
  <c r="BU636" i="1"/>
  <c r="BU635" i="1"/>
  <c r="BW636" i="1"/>
  <c r="BW635" i="1"/>
  <c r="BY636" i="1"/>
  <c r="BY635" i="1"/>
  <c r="CA636" i="1"/>
  <c r="CA635" i="1"/>
  <c r="CB536" i="1"/>
  <c r="CB546" i="1" s="1"/>
  <c r="BS550" i="1"/>
  <c r="BS564" i="1" s="1"/>
  <c r="BS568" i="1" s="1"/>
  <c r="BS587" i="1" s="1"/>
  <c r="CA628" i="1"/>
  <c r="BZ627" i="1"/>
  <c r="BV635" i="1"/>
  <c r="BT636" i="1"/>
  <c r="CB636" i="1"/>
  <c r="BX735" i="1"/>
  <c r="BV737" i="1"/>
  <c r="BV763" i="1" s="1"/>
  <c r="BS237" i="1"/>
  <c r="BU237" i="1"/>
  <c r="BW237" i="1"/>
  <c r="BY237" i="1"/>
  <c r="CA237" i="1"/>
  <c r="BS259" i="1"/>
  <c r="BU259" i="1"/>
  <c r="BW259" i="1"/>
  <c r="BY259" i="1"/>
  <c r="CA259" i="1"/>
  <c r="BS301" i="1"/>
  <c r="BS359" i="1" s="1"/>
  <c r="BU301" i="1"/>
  <c r="BW301" i="1"/>
  <c r="BW359" i="1" s="1"/>
  <c r="BY301" i="1"/>
  <c r="CA301" i="1"/>
  <c r="CA359" i="1" s="1"/>
  <c r="BS306" i="1"/>
  <c r="BS76" i="1" s="1"/>
  <c r="BU306" i="1"/>
  <c r="BU76" i="1" s="1"/>
  <c r="BW306" i="1"/>
  <c r="BW76" i="1" s="1"/>
  <c r="BY306" i="1"/>
  <c r="BY76" i="1" s="1"/>
  <c r="CA306" i="1"/>
  <c r="CA76" i="1" s="1"/>
  <c r="BW319" i="1"/>
  <c r="BW322" i="1" s="1"/>
  <c r="CA319" i="1"/>
  <c r="CA322" i="1" s="1"/>
  <c r="BW321" i="1"/>
  <c r="CA321" i="1"/>
  <c r="BY623" i="1"/>
  <c r="CA627" i="1"/>
  <c r="BU536" i="1"/>
  <c r="BU546" i="1" s="1"/>
  <c r="BW536" i="1"/>
  <c r="BW546" i="1" s="1"/>
  <c r="BU628" i="1"/>
  <c r="BW628" i="1"/>
  <c r="BY628" i="1"/>
  <c r="BU826" i="1"/>
  <c r="BU823" i="1"/>
  <c r="BU820" i="1"/>
  <c r="BU817" i="1"/>
  <c r="BW826" i="1"/>
  <c r="BW823" i="1"/>
  <c r="BW820" i="1"/>
  <c r="BW817" i="1"/>
  <c r="BY826" i="1"/>
  <c r="BY823" i="1"/>
  <c r="BY820" i="1"/>
  <c r="BY817" i="1"/>
  <c r="CA826" i="1"/>
  <c r="CA823" i="1"/>
  <c r="CA820" i="1"/>
  <c r="CA817" i="1"/>
  <c r="BS667" i="1"/>
  <c r="BU667" i="1"/>
  <c r="BW667" i="1"/>
  <c r="BY667" i="1"/>
  <c r="CA667" i="1"/>
  <c r="BS635" i="1"/>
  <c r="G102" i="1"/>
  <c r="E265" i="1"/>
  <c r="K265" i="1"/>
  <c r="D455" i="1"/>
  <c r="D484" i="1" s="1"/>
  <c r="F455" i="1"/>
  <c r="F484" i="1" s="1"/>
  <c r="H455" i="1"/>
  <c r="H484" i="1" s="1"/>
  <c r="J455" i="1"/>
  <c r="J484" i="1" s="1"/>
  <c r="L455" i="1"/>
  <c r="L484" i="1" s="1"/>
  <c r="D443" i="1"/>
  <c r="D434" i="1"/>
  <c r="G434" i="1"/>
  <c r="D611" i="1"/>
  <c r="D612" i="1" s="1"/>
  <c r="F611" i="1"/>
  <c r="F612" i="1" s="1"/>
  <c r="H611" i="1"/>
  <c r="H612" i="1" s="1"/>
  <c r="J611" i="1"/>
  <c r="J612" i="1" s="1"/>
  <c r="L611" i="1"/>
  <c r="L612" i="1" s="1"/>
  <c r="F177" i="1"/>
  <c r="F114" i="1" s="1"/>
  <c r="J177" i="1"/>
  <c r="J114" i="1" s="1"/>
  <c r="D825" i="1"/>
  <c r="D822" i="1"/>
  <c r="D819" i="1"/>
  <c r="D816" i="1"/>
  <c r="D813" i="1"/>
  <c r="D812" i="1"/>
  <c r="D154" i="1"/>
  <c r="H825" i="1"/>
  <c r="H822" i="1"/>
  <c r="H819" i="1"/>
  <c r="H816" i="1"/>
  <c r="H813" i="1"/>
  <c r="H812" i="1"/>
  <c r="H154" i="1"/>
  <c r="L825" i="1"/>
  <c r="L822" i="1"/>
  <c r="L819" i="1"/>
  <c r="L816" i="1"/>
  <c r="L154" i="1"/>
  <c r="D202" i="1"/>
  <c r="D186" i="1"/>
  <c r="D55" i="1" s="1"/>
  <c r="F202" i="1"/>
  <c r="F186" i="1"/>
  <c r="F55" i="1" s="1"/>
  <c r="H202" i="1"/>
  <c r="H186" i="1"/>
  <c r="H55" i="1" s="1"/>
  <c r="J202" i="1"/>
  <c r="J186" i="1"/>
  <c r="J55" i="1" s="1"/>
  <c r="L202" i="1"/>
  <c r="L186" i="1"/>
  <c r="L55" i="1" s="1"/>
  <c r="D203" i="1"/>
  <c r="F203" i="1"/>
  <c r="H203" i="1"/>
  <c r="J203" i="1"/>
  <c r="L266" i="1"/>
  <c r="L208" i="1"/>
  <c r="L265" i="1" s="1"/>
  <c r="D2" i="1"/>
  <c r="E725" i="1" s="1"/>
  <c r="D3" i="1"/>
  <c r="C103" i="1"/>
  <c r="E103" i="1"/>
  <c r="L815" i="1"/>
  <c r="L814" i="1"/>
  <c r="L813" i="1"/>
  <c r="L812" i="1"/>
  <c r="F223" i="1"/>
  <c r="H223" i="1"/>
  <c r="J223" i="1"/>
  <c r="L223" i="1"/>
  <c r="D177" i="1"/>
  <c r="D114" i="1" s="1"/>
  <c r="H177" i="1"/>
  <c r="H114" i="1" s="1"/>
  <c r="L177" i="1"/>
  <c r="L114" i="1" s="1"/>
  <c r="F181" i="1"/>
  <c r="J181" i="1"/>
  <c r="D192" i="1"/>
  <c r="D58" i="1" s="1"/>
  <c r="F192" i="1"/>
  <c r="F58" i="1" s="1"/>
  <c r="H192" i="1"/>
  <c r="H58" i="1" s="1"/>
  <c r="J192" i="1"/>
  <c r="J58" i="1" s="1"/>
  <c r="D223" i="1"/>
  <c r="C232" i="1"/>
  <c r="C233" i="1" s="1"/>
  <c r="E234" i="1"/>
  <c r="G234" i="1"/>
  <c r="I234" i="1"/>
  <c r="K234" i="1"/>
  <c r="C237" i="1"/>
  <c r="D262" i="1"/>
  <c r="F262" i="1"/>
  <c r="H262" i="1"/>
  <c r="J262" i="1"/>
  <c r="L262" i="1"/>
  <c r="D265" i="1"/>
  <c r="L267" i="1"/>
  <c r="D536" i="1"/>
  <c r="D546" i="1" s="1"/>
  <c r="C611" i="1"/>
  <c r="C612" i="1" s="1"/>
  <c r="E611" i="1"/>
  <c r="E612" i="1" s="1"/>
  <c r="G611" i="1"/>
  <c r="G612" i="1" s="1"/>
  <c r="I611" i="1"/>
  <c r="I612" i="1" s="1"/>
  <c r="K611" i="1"/>
  <c r="K612" i="1" s="1"/>
  <c r="C177" i="1"/>
  <c r="C114" i="1" s="1"/>
  <c r="E177" i="1"/>
  <c r="E114" i="1" s="1"/>
  <c r="G177" i="1"/>
  <c r="G114" i="1" s="1"/>
  <c r="I177" i="1"/>
  <c r="I114" i="1" s="1"/>
  <c r="K177" i="1"/>
  <c r="K114" i="1" s="1"/>
  <c r="C181" i="1"/>
  <c r="E181" i="1"/>
  <c r="G181" i="1"/>
  <c r="I181" i="1"/>
  <c r="K181" i="1"/>
  <c r="C186" i="1"/>
  <c r="C55" i="1" s="1"/>
  <c r="E186" i="1"/>
  <c r="E55" i="1" s="1"/>
  <c r="G186" i="1"/>
  <c r="G55" i="1" s="1"/>
  <c r="I186" i="1"/>
  <c r="I55" i="1" s="1"/>
  <c r="K186" i="1"/>
  <c r="K55" i="1" s="1"/>
  <c r="C192" i="1"/>
  <c r="C58" i="1" s="1"/>
  <c r="C202" i="1"/>
  <c r="C203" i="1"/>
  <c r="D215" i="1"/>
  <c r="F215" i="1"/>
  <c r="H215" i="1"/>
  <c r="J215" i="1"/>
  <c r="L215" i="1"/>
  <c r="F218" i="1"/>
  <c r="H218" i="1"/>
  <c r="J218" i="1"/>
  <c r="L218" i="1"/>
  <c r="E222" i="1"/>
  <c r="E232" i="1" s="1"/>
  <c r="G222" i="1"/>
  <c r="G232" i="1" s="1"/>
  <c r="I222" i="1"/>
  <c r="I232" i="1" s="1"/>
  <c r="K222" i="1"/>
  <c r="K232" i="1" s="1"/>
  <c r="E223" i="1"/>
  <c r="G223" i="1"/>
  <c r="I223" i="1"/>
  <c r="K223" i="1"/>
  <c r="E696" i="1"/>
  <c r="G696" i="1"/>
  <c r="I696" i="1"/>
  <c r="K696" i="1"/>
  <c r="E262" i="1"/>
  <c r="G262" i="1"/>
  <c r="I262" i="1"/>
  <c r="K262" i="1"/>
  <c r="C468" i="1"/>
  <c r="C469" i="1" s="1"/>
  <c r="E468" i="1"/>
  <c r="G468" i="1"/>
  <c r="G469" i="1" s="1"/>
  <c r="I468" i="1"/>
  <c r="K468" i="1"/>
  <c r="K469" i="1" s="1"/>
  <c r="C536" i="1"/>
  <c r="C546" i="1" s="1"/>
  <c r="G536" i="1"/>
  <c r="G546" i="1" s="1"/>
  <c r="D636" i="1"/>
  <c r="F636" i="1"/>
  <c r="H636" i="1"/>
  <c r="K636" i="1"/>
  <c r="K635" i="1"/>
  <c r="H536" i="1"/>
  <c r="H546" i="1" s="1"/>
  <c r="L536" i="1"/>
  <c r="L623" i="1" s="1"/>
  <c r="E537" i="1"/>
  <c r="D634" i="1"/>
  <c r="D635" i="1" s="1"/>
  <c r="I537" i="1"/>
  <c r="H634" i="1"/>
  <c r="H635" i="1" s="1"/>
  <c r="L667" i="1"/>
  <c r="D468" i="1"/>
  <c r="F468" i="1"/>
  <c r="H468" i="1"/>
  <c r="J468" i="1"/>
  <c r="L468" i="1"/>
  <c r="E636" i="1"/>
  <c r="G636" i="1"/>
  <c r="J636" i="1"/>
  <c r="J635" i="1"/>
  <c r="F536" i="1"/>
  <c r="F546" i="1" s="1"/>
  <c r="J536" i="1"/>
  <c r="J623" i="1" s="1"/>
  <c r="G537" i="1"/>
  <c r="F634" i="1"/>
  <c r="F635" i="1" s="1"/>
  <c r="L633" i="1"/>
  <c r="C667" i="1"/>
  <c r="E667" i="1"/>
  <c r="G667" i="1"/>
  <c r="I667" i="1"/>
  <c r="K667" i="1"/>
  <c r="L561" i="1"/>
  <c r="D702" i="1"/>
  <c r="H702" i="1"/>
  <c r="J702" i="1"/>
  <c r="L702" i="1"/>
  <c r="E536" i="1"/>
  <c r="E546" i="1" s="1"/>
  <c r="I536" i="1"/>
  <c r="I546" i="1" s="1"/>
  <c r="K536" i="1"/>
  <c r="K623" i="1" s="1"/>
  <c r="F701" i="1"/>
  <c r="F702" i="1" s="1"/>
  <c r="G701" i="1"/>
  <c r="G702" i="1" s="1"/>
  <c r="C635" i="1"/>
  <c r="D698" i="1"/>
  <c r="C698" i="1"/>
  <c r="F698" i="1"/>
  <c r="H698" i="1"/>
  <c r="J698" i="1"/>
  <c r="L698" i="1"/>
  <c r="D667" i="1"/>
  <c r="F667" i="1"/>
  <c r="H667" i="1"/>
  <c r="J667" i="1"/>
  <c r="E702" i="1"/>
  <c r="I702" i="1"/>
  <c r="K702" i="1"/>
  <c r="D762" i="1"/>
  <c r="F762" i="1"/>
  <c r="H762" i="1"/>
  <c r="J762" i="1"/>
  <c r="L762" i="1"/>
  <c r="C762" i="1"/>
  <c r="E762" i="1"/>
  <c r="G762" i="1"/>
  <c r="I762" i="1"/>
  <c r="K762" i="1"/>
  <c r="CA233" i="1" l="1"/>
  <c r="CA86" i="1" s="1"/>
  <c r="BV109" i="1"/>
  <c r="BS674" i="1"/>
  <c r="BS826" i="1"/>
  <c r="BS233" i="1"/>
  <c r="BS810" i="1" s="1"/>
  <c r="BX233" i="1"/>
  <c r="BX808" i="1" s="1"/>
  <c r="BZ109" i="1"/>
  <c r="E204" i="1"/>
  <c r="E670" i="1" s="1"/>
  <c r="CB495" i="1"/>
  <c r="G204" i="1"/>
  <c r="G670" i="1" s="1"/>
  <c r="BW109" i="1"/>
  <c r="BS817" i="1"/>
  <c r="I204" i="1"/>
  <c r="I670" i="1" s="1"/>
  <c r="K204" i="1"/>
  <c r="K670" i="1" s="1"/>
  <c r="BS820" i="1"/>
  <c r="BT109" i="1"/>
  <c r="BS823" i="1"/>
  <c r="BX811" i="1"/>
  <c r="BU86" i="1"/>
  <c r="BS109" i="1"/>
  <c r="H471" i="1"/>
  <c r="L204" i="1"/>
  <c r="L670" i="1" s="1"/>
  <c r="CA146" i="1"/>
  <c r="E471" i="1"/>
  <c r="BU321" i="1"/>
  <c r="BU323" i="1" s="1"/>
  <c r="BU109" i="1"/>
  <c r="CB471" i="1"/>
  <c r="BS291" i="1"/>
  <c r="BS294" i="1" s="1"/>
  <c r="BS87" i="1"/>
  <c r="BS266" i="1"/>
  <c r="BS114" i="1"/>
  <c r="BS319" i="1"/>
  <c r="BS322" i="1" s="1"/>
  <c r="BS465" i="1"/>
  <c r="BS498" i="1"/>
  <c r="BS441" i="1"/>
  <c r="BS393" i="1"/>
  <c r="BS116" i="1"/>
  <c r="BU146" i="1"/>
  <c r="BU113" i="1"/>
  <c r="J419" i="1"/>
  <c r="J426" i="1" s="1"/>
  <c r="J428" i="1" s="1"/>
  <c r="BX471" i="1"/>
  <c r="BU291" i="1"/>
  <c r="BU294" i="1" s="1"/>
  <c r="BU471" i="1"/>
  <c r="I471" i="1"/>
  <c r="CB364" i="1"/>
  <c r="BU75" i="1"/>
  <c r="E3" i="1"/>
  <c r="BY291" i="1"/>
  <c r="BY294" i="1" s="1"/>
  <c r="BT364" i="1"/>
  <c r="L471" i="1"/>
  <c r="C419" i="1"/>
  <c r="C426" i="1" s="1"/>
  <c r="C428" i="1" s="1"/>
  <c r="CB98" i="1"/>
  <c r="I495" i="1"/>
  <c r="J406" i="1"/>
  <c r="J405" i="1" s="1"/>
  <c r="BD82" i="9"/>
  <c r="L454" i="1"/>
  <c r="L483" i="1" s="1"/>
  <c r="BT291" i="1"/>
  <c r="BT294" i="1" s="1"/>
  <c r="L495" i="1"/>
  <c r="K498" i="1"/>
  <c r="K131" i="1" s="1"/>
  <c r="BZ118" i="1"/>
  <c r="F419" i="1"/>
  <c r="F426" i="1" s="1"/>
  <c r="F428" i="1" s="1"/>
  <c r="H98" i="1"/>
  <c r="CB419" i="1"/>
  <c r="CB426" i="1" s="1"/>
  <c r="CB428" i="1" s="1"/>
  <c r="CA471" i="1"/>
  <c r="C430" i="1"/>
  <c r="BS146" i="1"/>
  <c r="BU495" i="1"/>
  <c r="BV406" i="1"/>
  <c r="BV405" i="1" s="1"/>
  <c r="BV89" i="1" s="1"/>
  <c r="BY321" i="1"/>
  <c r="BY323" i="1" s="1"/>
  <c r="BW84" i="1"/>
  <c r="BT811" i="1"/>
  <c r="BX364" i="1"/>
  <c r="BS495" i="1"/>
  <c r="BV75" i="1"/>
  <c r="BT471" i="1"/>
  <c r="BW86" i="1"/>
  <c r="BW808" i="1"/>
  <c r="BT498" i="1"/>
  <c r="BT131" i="1" s="1"/>
  <c r="BT75" i="1"/>
  <c r="D471" i="1"/>
  <c r="BS321" i="1"/>
  <c r="CA291" i="1"/>
  <c r="CA294" i="1" s="1"/>
  <c r="BV291" i="1"/>
  <c r="BV349" i="1" s="1"/>
  <c r="I441" i="1"/>
  <c r="I440" i="1" s="1"/>
  <c r="CA430" i="1"/>
  <c r="CA793" i="1" s="1"/>
  <c r="BV471" i="1"/>
  <c r="BX291" i="1"/>
  <c r="BX294" i="1" s="1"/>
  <c r="F495" i="1"/>
  <c r="CA791" i="1"/>
  <c r="CB791" i="1"/>
  <c r="CB441" i="1"/>
  <c r="CB440" i="1" s="1"/>
  <c r="BZ471" i="1"/>
  <c r="BU808" i="1"/>
  <c r="E495" i="1"/>
  <c r="BZ498" i="1"/>
  <c r="BZ131" i="1" s="1"/>
  <c r="CB75" i="1"/>
  <c r="L515" i="1"/>
  <c r="L136" i="1" s="1"/>
  <c r="BY118" i="1"/>
  <c r="G419" i="1"/>
  <c r="G426" i="1" s="1"/>
  <c r="G428" i="1" s="1"/>
  <c r="BU810" i="1"/>
  <c r="BX321" i="1"/>
  <c r="BX323" i="1" s="1"/>
  <c r="BX325" i="1" s="1"/>
  <c r="CB291" i="1"/>
  <c r="CB294" i="1" s="1"/>
  <c r="CA99" i="1"/>
  <c r="BZ291" i="1"/>
  <c r="BZ349" i="1" s="1"/>
  <c r="H430" i="1"/>
  <c r="BW495" i="1"/>
  <c r="BZ75" i="1"/>
  <c r="BY498" i="1"/>
  <c r="BY131" i="1" s="1"/>
  <c r="BY471" i="1"/>
  <c r="CB811" i="1"/>
  <c r="G99" i="1"/>
  <c r="G406" i="1"/>
  <c r="G405" i="1" s="1"/>
  <c r="BU118" i="1"/>
  <c r="BB82" i="9"/>
  <c r="BV114" i="1"/>
  <c r="K98" i="1"/>
  <c r="BT146" i="1"/>
  <c r="K419" i="1"/>
  <c r="K426" i="1" s="1"/>
  <c r="K428" i="1" s="1"/>
  <c r="BS791" i="1"/>
  <c r="L430" i="1"/>
  <c r="L793" i="1" s="1"/>
  <c r="K430" i="1"/>
  <c r="F471" i="1"/>
  <c r="BS99" i="1"/>
  <c r="I515" i="1"/>
  <c r="I136" i="1" s="1"/>
  <c r="L99" i="1"/>
  <c r="CA498" i="1"/>
  <c r="CA131" i="1" s="1"/>
  <c r="BS430" i="1"/>
  <c r="BS406" i="1"/>
  <c r="BV498" i="1"/>
  <c r="BV131" i="1" s="1"/>
  <c r="I99" i="1"/>
  <c r="BY146" i="1"/>
  <c r="CB114" i="1"/>
  <c r="C99" i="1"/>
  <c r="BS471" i="1"/>
  <c r="C498" i="1"/>
  <c r="C131" i="1" s="1"/>
  <c r="F430" i="1"/>
  <c r="F99" i="1"/>
  <c r="F515" i="1"/>
  <c r="F136" i="1" s="1"/>
  <c r="L98" i="1"/>
  <c r="BW810" i="1"/>
  <c r="BW471" i="1"/>
  <c r="J430" i="1"/>
  <c r="J98" i="1"/>
  <c r="I98" i="1"/>
  <c r="G440" i="1"/>
  <c r="BW118" i="1"/>
  <c r="J99" i="1"/>
  <c r="G430" i="1"/>
  <c r="K471" i="1"/>
  <c r="BY110" i="1"/>
  <c r="BS515" i="1"/>
  <c r="BY113" i="1"/>
  <c r="BY86" i="1"/>
  <c r="BY808" i="1"/>
  <c r="BS419" i="1"/>
  <c r="BW146" i="1"/>
  <c r="BX146" i="1"/>
  <c r="J471" i="1"/>
  <c r="BY109" i="1"/>
  <c r="BY84" i="1"/>
  <c r="H498" i="1"/>
  <c r="H131" i="1" s="1"/>
  <c r="CA75" i="1"/>
  <c r="BW291" i="1"/>
  <c r="BW294" i="1" s="1"/>
  <c r="BY810" i="1"/>
  <c r="CA515" i="1"/>
  <c r="CA136" i="1" s="1"/>
  <c r="BX498" i="1"/>
  <c r="BX131" i="1" s="1"/>
  <c r="BZ146" i="1"/>
  <c r="L247" i="1"/>
  <c r="BW339" i="1"/>
  <c r="BW75" i="1"/>
  <c r="F406" i="1"/>
  <c r="F405" i="1" s="1"/>
  <c r="BW419" i="1"/>
  <c r="BW792" i="1" s="1"/>
  <c r="BZ515" i="1"/>
  <c r="BZ525" i="1" s="1"/>
  <c r="BZ782" i="1" s="1"/>
  <c r="K515" i="1"/>
  <c r="K741" i="1" s="1"/>
  <c r="K767" i="1" s="1"/>
  <c r="K99" i="1"/>
  <c r="BW406" i="1"/>
  <c r="BW405" i="1" s="1"/>
  <c r="BW89" i="1" s="1"/>
  <c r="BZ406" i="1"/>
  <c r="BZ405" i="1" s="1"/>
  <c r="BZ89" i="1" s="1"/>
  <c r="K406" i="1"/>
  <c r="K405" i="1" s="1"/>
  <c r="C406" i="1"/>
  <c r="C405" i="1" s="1"/>
  <c r="G495" i="1"/>
  <c r="G498" i="1"/>
  <c r="G131" i="1" s="1"/>
  <c r="D495" i="1"/>
  <c r="D498" i="1"/>
  <c r="D131" i="1" s="1"/>
  <c r="L58" i="1"/>
  <c r="L248" i="1"/>
  <c r="E393" i="1"/>
  <c r="E406" i="1"/>
  <c r="E405" i="1" s="1"/>
  <c r="E419" i="1"/>
  <c r="E426" i="1" s="1"/>
  <c r="E428" i="1" s="1"/>
  <c r="I58" i="1"/>
  <c r="J247" i="1"/>
  <c r="H393" i="1"/>
  <c r="H406" i="1"/>
  <c r="H405" i="1" s="1"/>
  <c r="H99" i="1"/>
  <c r="H515" i="1"/>
  <c r="H136" i="1" s="1"/>
  <c r="H419" i="1"/>
  <c r="H454" i="1" s="1"/>
  <c r="H461" i="1" s="1"/>
  <c r="H463" i="1" s="1"/>
  <c r="D393" i="1"/>
  <c r="D792" i="1" s="1"/>
  <c r="D406" i="1"/>
  <c r="D405" i="1" s="1"/>
  <c r="L393" i="1"/>
  <c r="L792" i="1" s="1"/>
  <c r="L406" i="1"/>
  <c r="L405" i="1" s="1"/>
  <c r="I393" i="1"/>
  <c r="I792" i="1" s="1"/>
  <c r="I406" i="1"/>
  <c r="I405" i="1" s="1"/>
  <c r="BU406" i="1"/>
  <c r="BU405" i="1" s="1"/>
  <c r="BU89" i="1" s="1"/>
  <c r="BZ419" i="1"/>
  <c r="BV419" i="1"/>
  <c r="BV426" i="1" s="1"/>
  <c r="BV428" i="1" s="1"/>
  <c r="L111" i="1"/>
  <c r="CB99" i="1"/>
  <c r="CB515" i="1"/>
  <c r="CB788" i="1" s="1"/>
  <c r="CB406" i="1"/>
  <c r="CB405" i="1" s="1"/>
  <c r="CB89" i="1" s="1"/>
  <c r="CA393" i="1"/>
  <c r="CA792" i="1" s="1"/>
  <c r="CA406" i="1"/>
  <c r="CA405" i="1" s="1"/>
  <c r="CA89" i="1" s="1"/>
  <c r="BU419" i="1"/>
  <c r="BU792" i="1" s="1"/>
  <c r="BV515" i="1"/>
  <c r="BV788" i="1" s="1"/>
  <c r="BY393" i="1"/>
  <c r="BY792" i="1" s="1"/>
  <c r="BY406" i="1"/>
  <c r="BY405" i="1" s="1"/>
  <c r="BY89" i="1" s="1"/>
  <c r="BW99" i="1"/>
  <c r="BW64" i="1"/>
  <c r="BX670" i="1"/>
  <c r="BW515" i="1"/>
  <c r="BW136" i="1" s="1"/>
  <c r="BW670" i="1"/>
  <c r="BT393" i="1"/>
  <c r="BT792" i="1" s="1"/>
  <c r="BT406" i="1"/>
  <c r="BT405" i="1" s="1"/>
  <c r="BT89" i="1" s="1"/>
  <c r="BT637" i="1"/>
  <c r="BT739" i="1" s="1"/>
  <c r="BT765" i="1" s="1"/>
  <c r="BW791" i="1"/>
  <c r="BZ462" i="1"/>
  <c r="BZ491" i="1" s="1"/>
  <c r="BV208" i="1"/>
  <c r="BV265" i="1" s="1"/>
  <c r="BV88" i="1" s="1"/>
  <c r="C515" i="1"/>
  <c r="C136" i="1" s="1"/>
  <c r="BW441" i="1"/>
  <c r="BX393" i="1"/>
  <c r="BX792" i="1" s="1"/>
  <c r="BX406" i="1"/>
  <c r="BX405" i="1" s="1"/>
  <c r="BX89" i="1" s="1"/>
  <c r="C471" i="1"/>
  <c r="CB202" i="1"/>
  <c r="F1" i="1"/>
  <c r="CA795" i="1"/>
  <c r="J515" i="1"/>
  <c r="J136" i="1" s="1"/>
  <c r="J495" i="1"/>
  <c r="BW795" i="1"/>
  <c r="BZ670" i="1"/>
  <c r="BV811" i="1"/>
  <c r="BZ113" i="1"/>
  <c r="BZ825" i="1"/>
  <c r="BY795" i="1"/>
  <c r="BY202" i="1"/>
  <c r="CB670" i="1"/>
  <c r="BZ813" i="1"/>
  <c r="BV1" i="1"/>
  <c r="BV3" i="1" s="1"/>
  <c r="CA670" i="1"/>
  <c r="BV810" i="1"/>
  <c r="BV808" i="1"/>
  <c r="BZ795" i="1"/>
  <c r="BZ159" i="1"/>
  <c r="CA217" i="1" s="1"/>
  <c r="BS208" i="1"/>
  <c r="BS64" i="1"/>
  <c r="E2" i="1"/>
  <c r="F725" i="1" s="1"/>
  <c r="I454" i="1"/>
  <c r="I483" i="1" s="1"/>
  <c r="BT809" i="1"/>
  <c r="BZ811" i="1"/>
  <c r="BX791" i="1"/>
  <c r="BV84" i="1"/>
  <c r="G515" i="1"/>
  <c r="G136" i="1" s="1"/>
  <c r="BT810" i="1"/>
  <c r="CB810" i="1"/>
  <c r="G471" i="1"/>
  <c r="BZ810" i="1"/>
  <c r="CB637" i="1"/>
  <c r="CB739" i="1" s="1"/>
  <c r="CB765" i="1" s="1"/>
  <c r="BZ323" i="1"/>
  <c r="BZ269" i="1" s="1"/>
  <c r="BT266" i="1"/>
  <c r="BT208" i="1"/>
  <c r="BU63" i="1" s="1"/>
  <c r="BY158" i="1"/>
  <c r="BY159" i="1" s="1"/>
  <c r="BX795" i="1"/>
  <c r="BZ84" i="1"/>
  <c r="BZ808" i="1"/>
  <c r="BZ154" i="1"/>
  <c r="BZ819" i="1"/>
  <c r="BX440" i="1"/>
  <c r="BY96" i="1" s="1"/>
  <c r="D462" i="1"/>
  <c r="D491" i="1" s="1"/>
  <c r="BU99" i="1"/>
  <c r="BU430" i="1"/>
  <c r="BZ430" i="1"/>
  <c r="BV791" i="1"/>
  <c r="BZ791" i="1"/>
  <c r="BV430" i="1"/>
  <c r="BY791" i="1"/>
  <c r="E430" i="1"/>
  <c r="BX430" i="1"/>
  <c r="BX793" i="1" s="1"/>
  <c r="BY515" i="1"/>
  <c r="BY525" i="1" s="1"/>
  <c r="BY729" i="1" s="1"/>
  <c r="BY758" i="1" s="1"/>
  <c r="CB323" i="1"/>
  <c r="CB325" i="1" s="1"/>
  <c r="BT323" i="1"/>
  <c r="BT325" i="1" s="1"/>
  <c r="BY99" i="1"/>
  <c r="BY98" i="1"/>
  <c r="BY441" i="1"/>
  <c r="BY440" i="1" s="1"/>
  <c r="BZ96" i="1" s="1"/>
  <c r="E515" i="1"/>
  <c r="E740" i="1" s="1"/>
  <c r="E766" i="1" s="1"/>
  <c r="BU515" i="1"/>
  <c r="BU525" i="1" s="1"/>
  <c r="BU729" i="1" s="1"/>
  <c r="BU758" i="1" s="1"/>
  <c r="BU791" i="1"/>
  <c r="BZ86" i="1"/>
  <c r="BZ812" i="1"/>
  <c r="BZ816" i="1"/>
  <c r="BU3" i="1"/>
  <c r="L426" i="1"/>
  <c r="L428" i="1" s="1"/>
  <c r="E462" i="1"/>
  <c r="E491" i="1" s="1"/>
  <c r="CB809" i="1"/>
  <c r="BU266" i="1"/>
  <c r="BT64" i="1"/>
  <c r="BW266" i="1"/>
  <c r="BV64" i="1"/>
  <c r="D428" i="1"/>
  <c r="D454" i="1"/>
  <c r="D734" i="1" s="1"/>
  <c r="D761" i="1" s="1"/>
  <c r="I428" i="1"/>
  <c r="BZ441" i="1"/>
  <c r="BZ440" i="1" s="1"/>
  <c r="CA96" i="1" s="1"/>
  <c r="BV441" i="1"/>
  <c r="I793" i="1"/>
  <c r="BU98" i="1"/>
  <c r="BT430" i="1"/>
  <c r="BT793" i="1" s="1"/>
  <c r="BV118" i="1"/>
  <c r="BV86" i="1"/>
  <c r="E99" i="1"/>
  <c r="G98" i="1"/>
  <c r="D623" i="1"/>
  <c r="CA323" i="1"/>
  <c r="CA269" i="1" s="1"/>
  <c r="BW323" i="1"/>
  <c r="BW269" i="1" s="1"/>
  <c r="BY316" i="1"/>
  <c r="BU316" i="1"/>
  <c r="BX99" i="1"/>
  <c r="BX98" i="1"/>
  <c r="BT99" i="1"/>
  <c r="BT791" i="1"/>
  <c r="BT98" i="1"/>
  <c r="BU623" i="1"/>
  <c r="CA98" i="1"/>
  <c r="BZ99" i="1"/>
  <c r="BZ98" i="1"/>
  <c r="BV98" i="1"/>
  <c r="BV99" i="1"/>
  <c r="BW98" i="1"/>
  <c r="BX515" i="1"/>
  <c r="BT515" i="1"/>
  <c r="H111" i="1"/>
  <c r="J111" i="1"/>
  <c r="BY260" i="1"/>
  <c r="BY85" i="1"/>
  <c r="BU260" i="1"/>
  <c r="BU699" i="1" s="1"/>
  <c r="BU85" i="1"/>
  <c r="CA238" i="1"/>
  <c r="CA117" i="1"/>
  <c r="BW238" i="1"/>
  <c r="BW117" i="1"/>
  <c r="BS238" i="1"/>
  <c r="BS117" i="1"/>
  <c r="BT764" i="1"/>
  <c r="BX762" i="1"/>
  <c r="BS836" i="1"/>
  <c r="BS607" i="1"/>
  <c r="BS837" i="1" s="1"/>
  <c r="BS590" i="1"/>
  <c r="CA738" i="1"/>
  <c r="CA637" i="1"/>
  <c r="CA739" i="1" s="1"/>
  <c r="CA765" i="1" s="1"/>
  <c r="BY738" i="1"/>
  <c r="BY637" i="1"/>
  <c r="BY739" i="1" s="1"/>
  <c r="BY765" i="1" s="1"/>
  <c r="BW738" i="1"/>
  <c r="BW637" i="1"/>
  <c r="BW739" i="1" s="1"/>
  <c r="BW765" i="1" s="1"/>
  <c r="BU738" i="1"/>
  <c r="BU637" i="1"/>
  <c r="BU739" i="1" s="1"/>
  <c r="BU765" i="1" s="1"/>
  <c r="CA110" i="1"/>
  <c r="BS110" i="1"/>
  <c r="BY426" i="1"/>
  <c r="BY428" i="1" s="1"/>
  <c r="BY454" i="1"/>
  <c r="BX454" i="1"/>
  <c r="BX426" i="1"/>
  <c r="BX428" i="1" s="1"/>
  <c r="BT454" i="1"/>
  <c r="BT426" i="1"/>
  <c r="BT428" i="1" s="1"/>
  <c r="CB260" i="1"/>
  <c r="CB699" i="1" s="1"/>
  <c r="CB85" i="1"/>
  <c r="BT260" i="1"/>
  <c r="BT85" i="1"/>
  <c r="BY364" i="1"/>
  <c r="BU364" i="1"/>
  <c r="BX809" i="1"/>
  <c r="BX238" i="1"/>
  <c r="BX117" i="1"/>
  <c r="BX112" i="1"/>
  <c r="BX110" i="1"/>
  <c r="BY64" i="1"/>
  <c r="BZ266" i="1"/>
  <c r="BZ64" i="1"/>
  <c r="BV205" i="1"/>
  <c r="BU187" i="1"/>
  <c r="CA112" i="1"/>
  <c r="BW112" i="1"/>
  <c r="BS112" i="1"/>
  <c r="BT762" i="1"/>
  <c r="BZ738" i="1"/>
  <c r="BZ637" i="1"/>
  <c r="BZ739" i="1" s="1"/>
  <c r="BZ765" i="1" s="1"/>
  <c r="BY809" i="1"/>
  <c r="BU809" i="1"/>
  <c r="BY793" i="1"/>
  <c r="CB316" i="1"/>
  <c r="BV260" i="1"/>
  <c r="BV85" i="1"/>
  <c r="BV238" i="1"/>
  <c r="BV117" i="1"/>
  <c r="BV112" i="1"/>
  <c r="BV110" i="1"/>
  <c r="BY266" i="1"/>
  <c r="BX316" i="1"/>
  <c r="BZ623" i="1"/>
  <c r="BW433" i="1"/>
  <c r="BV364" i="1"/>
  <c r="BZ316" i="1"/>
  <c r="BV316" i="1"/>
  <c r="CB113" i="1"/>
  <c r="CB84" i="1"/>
  <c r="CB118" i="1"/>
  <c r="CB86" i="1"/>
  <c r="BT113" i="1"/>
  <c r="BT84" i="1"/>
  <c r="BT118" i="1"/>
  <c r="BT86" i="1"/>
  <c r="BS738" i="1"/>
  <c r="BS637" i="1"/>
  <c r="BS739" i="1" s="1"/>
  <c r="BS765" i="1" s="1"/>
  <c r="BW623" i="1"/>
  <c r="CA316" i="1"/>
  <c r="BW316" i="1"/>
  <c r="BS316" i="1"/>
  <c r="CA260" i="1"/>
  <c r="CA699" i="1" s="1"/>
  <c r="CA85" i="1"/>
  <c r="BW260" i="1"/>
  <c r="BW85" i="1"/>
  <c r="BS260" i="1"/>
  <c r="BS85" i="1"/>
  <c r="BY238" i="1"/>
  <c r="BY117" i="1"/>
  <c r="BU238" i="1"/>
  <c r="BU117" i="1"/>
  <c r="CB764" i="1"/>
  <c r="BV738" i="1"/>
  <c r="BV637" i="1"/>
  <c r="BV739" i="1" s="1"/>
  <c r="BV765" i="1" s="1"/>
  <c r="CA811" i="1"/>
  <c r="BY811" i="1"/>
  <c r="BW811" i="1"/>
  <c r="BU811" i="1"/>
  <c r="BS811" i="1"/>
  <c r="BW110" i="1"/>
  <c r="BV322" i="1"/>
  <c r="BV323" i="1" s="1"/>
  <c r="BX260" i="1"/>
  <c r="BX699" i="1" s="1"/>
  <c r="BX85" i="1"/>
  <c r="CA364" i="1"/>
  <c r="BW364" i="1"/>
  <c r="BS364" i="1"/>
  <c r="BY359" i="1"/>
  <c r="BU359" i="1"/>
  <c r="CB117" i="1"/>
  <c r="CB238" i="1"/>
  <c r="CB112" i="1"/>
  <c r="CB110" i="1"/>
  <c r="BT238" i="1"/>
  <c r="BT117" i="1"/>
  <c r="BT112" i="1"/>
  <c r="BT110" i="1"/>
  <c r="BY208" i="1"/>
  <c r="BX265" i="1"/>
  <c r="BX88" i="1" s="1"/>
  <c r="BX63" i="1"/>
  <c r="CA825" i="1"/>
  <c r="CA822" i="1"/>
  <c r="CA819" i="1"/>
  <c r="CA816" i="1"/>
  <c r="CA813" i="1"/>
  <c r="CA812" i="1"/>
  <c r="CA154" i="1"/>
  <c r="BY825" i="1"/>
  <c r="BY822" i="1"/>
  <c r="BY819" i="1"/>
  <c r="BY816" i="1"/>
  <c r="BY813" i="1"/>
  <c r="BY812" i="1"/>
  <c r="BY154" i="1"/>
  <c r="BW825" i="1"/>
  <c r="BW822" i="1"/>
  <c r="BW819" i="1"/>
  <c r="BW816" i="1"/>
  <c r="BW813" i="1"/>
  <c r="BW812" i="1"/>
  <c r="BW154" i="1"/>
  <c r="BU825" i="1"/>
  <c r="BU822" i="1"/>
  <c r="BU819" i="1"/>
  <c r="BU816" i="1"/>
  <c r="BU813" i="1"/>
  <c r="BU812" i="1"/>
  <c r="BU154" i="1"/>
  <c r="BS825" i="1"/>
  <c r="BS822" i="1"/>
  <c r="BS819" i="1"/>
  <c r="BS816" i="1"/>
  <c r="BS813" i="1"/>
  <c r="BS812" i="1"/>
  <c r="BS154" i="1"/>
  <c r="CA762" i="1"/>
  <c r="BY762" i="1"/>
  <c r="BW762" i="1"/>
  <c r="BU762" i="1"/>
  <c r="BS762" i="1"/>
  <c r="BY112" i="1"/>
  <c r="BU112" i="1"/>
  <c r="CB762" i="1"/>
  <c r="BX637" i="1"/>
  <c r="BX739" i="1" s="1"/>
  <c r="BX765" i="1" s="1"/>
  <c r="BX738" i="1"/>
  <c r="CA454" i="1"/>
  <c r="CA426" i="1"/>
  <c r="CA428" i="1" s="1"/>
  <c r="BT462" i="1"/>
  <c r="BT491" i="1" s="1"/>
  <c r="BT316" i="1"/>
  <c r="BZ260" i="1"/>
  <c r="BZ85" i="1"/>
  <c r="BZ238" i="1"/>
  <c r="BZ112" i="1"/>
  <c r="BZ117" i="1"/>
  <c r="BZ110" i="1"/>
  <c r="CB623" i="1"/>
  <c r="CA809" i="1"/>
  <c r="BW809" i="1"/>
  <c r="BS809" i="1"/>
  <c r="BX462" i="1"/>
  <c r="BX491" i="1" s="1"/>
  <c r="BV623" i="1"/>
  <c r="BZ364" i="1"/>
  <c r="CB359" i="1"/>
  <c r="BX359" i="1"/>
  <c r="BT359" i="1"/>
  <c r="BU110" i="1"/>
  <c r="F623" i="1"/>
  <c r="F247" i="1"/>
  <c r="H243" i="1"/>
  <c r="J248" i="1"/>
  <c r="C242" i="1"/>
  <c r="G248" i="1"/>
  <c r="G247" i="1"/>
  <c r="D430" i="1"/>
  <c r="D793" i="1" s="1"/>
  <c r="D441" i="1"/>
  <c r="D440" i="1" s="1"/>
  <c r="D99" i="1"/>
  <c r="F98" i="1"/>
  <c r="D515" i="1"/>
  <c r="L243" i="1"/>
  <c r="D243" i="1"/>
  <c r="F248" i="1"/>
  <c r="K248" i="1"/>
  <c r="K247" i="1"/>
  <c r="H738" i="1"/>
  <c r="H637" i="1"/>
  <c r="H739" i="1" s="1"/>
  <c r="H765" i="1" s="1"/>
  <c r="D738" i="1"/>
  <c r="D637" i="1"/>
  <c r="D739" i="1" s="1"/>
  <c r="D765" i="1" s="1"/>
  <c r="F738" i="1"/>
  <c r="F637" i="1"/>
  <c r="F739" i="1" s="1"/>
  <c r="F765" i="1" s="1"/>
  <c r="L636" i="1"/>
  <c r="L635" i="1"/>
  <c r="J738" i="1"/>
  <c r="J637" i="1"/>
  <c r="J739" i="1" s="1"/>
  <c r="J765" i="1" s="1"/>
  <c r="I634" i="1"/>
  <c r="I635" i="1" s="1"/>
  <c r="I143" i="1"/>
  <c r="E634" i="1"/>
  <c r="E635" i="1" s="1"/>
  <c r="E143" i="1"/>
  <c r="J469" i="1"/>
  <c r="F469" i="1"/>
  <c r="J232" i="1"/>
  <c r="J233" i="1" s="1"/>
  <c r="F232" i="1"/>
  <c r="F233" i="1" s="1"/>
  <c r="K825" i="1"/>
  <c r="K822" i="1"/>
  <c r="K819" i="1"/>
  <c r="K816" i="1"/>
  <c r="K813" i="1"/>
  <c r="K812" i="1"/>
  <c r="K154" i="1"/>
  <c r="G825" i="1"/>
  <c r="G822" i="1"/>
  <c r="G819" i="1"/>
  <c r="G816" i="1"/>
  <c r="G813" i="1"/>
  <c r="G812" i="1"/>
  <c r="G154" i="1"/>
  <c r="C825" i="1"/>
  <c r="C822" i="1"/>
  <c r="C819" i="1"/>
  <c r="C816" i="1"/>
  <c r="C813" i="1"/>
  <c r="C812" i="1"/>
  <c r="C154" i="1"/>
  <c r="K826" i="1"/>
  <c r="K823" i="1"/>
  <c r="K820" i="1"/>
  <c r="K817" i="1"/>
  <c r="K116" i="1"/>
  <c r="I826" i="1"/>
  <c r="I823" i="1"/>
  <c r="I820" i="1"/>
  <c r="I817" i="1"/>
  <c r="I116" i="1"/>
  <c r="G826" i="1"/>
  <c r="G823" i="1"/>
  <c r="G820" i="1"/>
  <c r="G817" i="1"/>
  <c r="G116" i="1"/>
  <c r="E826" i="1"/>
  <c r="E823" i="1"/>
  <c r="E820" i="1"/>
  <c r="E817" i="1"/>
  <c r="E116" i="1"/>
  <c r="C826" i="1"/>
  <c r="C823" i="1"/>
  <c r="C820" i="1"/>
  <c r="C817" i="1"/>
  <c r="C116" i="1"/>
  <c r="D248" i="1"/>
  <c r="J242" i="1"/>
  <c r="F242" i="1"/>
  <c r="C238" i="1"/>
  <c r="I237" i="1"/>
  <c r="I233" i="1"/>
  <c r="E237" i="1"/>
  <c r="E233" i="1"/>
  <c r="F825" i="1"/>
  <c r="F822" i="1"/>
  <c r="F819" i="1"/>
  <c r="F816" i="1"/>
  <c r="F813" i="1"/>
  <c r="F812" i="1"/>
  <c r="F154" i="1"/>
  <c r="E434" i="1"/>
  <c r="E440" i="1" s="1"/>
  <c r="L152" i="1"/>
  <c r="L63" i="1"/>
  <c r="K242" i="1"/>
  <c r="H204" i="1"/>
  <c r="G242" i="1"/>
  <c r="D204" i="1"/>
  <c r="L826" i="1"/>
  <c r="L823" i="1"/>
  <c r="L820" i="1"/>
  <c r="L817" i="1"/>
  <c r="L116" i="1"/>
  <c r="J826" i="1"/>
  <c r="J823" i="1"/>
  <c r="J820" i="1"/>
  <c r="J817" i="1"/>
  <c r="J116" i="1"/>
  <c r="H826" i="1"/>
  <c r="H823" i="1"/>
  <c r="H820" i="1"/>
  <c r="H817" i="1"/>
  <c r="H116" i="1"/>
  <c r="F826" i="1"/>
  <c r="F823" i="1"/>
  <c r="F820" i="1"/>
  <c r="F817" i="1"/>
  <c r="F116" i="1"/>
  <c r="D826" i="1"/>
  <c r="D823" i="1"/>
  <c r="D820" i="1"/>
  <c r="D817" i="1"/>
  <c r="D116" i="1"/>
  <c r="E102" i="1"/>
  <c r="C738" i="1"/>
  <c r="C637" i="1"/>
  <c r="C739" i="1" s="1"/>
  <c r="C765" i="1" s="1"/>
  <c r="G634" i="1"/>
  <c r="G635" i="1" s="1"/>
  <c r="G143" i="1"/>
  <c r="I623" i="1"/>
  <c r="K738" i="1"/>
  <c r="K637" i="1"/>
  <c r="K739" i="1" s="1"/>
  <c r="K765" i="1" s="1"/>
  <c r="H623" i="1"/>
  <c r="E623" i="1"/>
  <c r="G623" i="1"/>
  <c r="C623" i="1"/>
  <c r="L469" i="1"/>
  <c r="H469" i="1"/>
  <c r="D469" i="1"/>
  <c r="L238" i="1"/>
  <c r="H238" i="1"/>
  <c r="D238" i="1"/>
  <c r="L232" i="1"/>
  <c r="H232" i="1"/>
  <c r="H233" i="1" s="1"/>
  <c r="D232" i="1"/>
  <c r="D233" i="1" s="1"/>
  <c r="C204" i="1"/>
  <c r="I825" i="1"/>
  <c r="I822" i="1"/>
  <c r="I819" i="1"/>
  <c r="I816" i="1"/>
  <c r="I813" i="1"/>
  <c r="I812" i="1"/>
  <c r="I154" i="1"/>
  <c r="E825" i="1"/>
  <c r="E822" i="1"/>
  <c r="E819" i="1"/>
  <c r="E816" i="1"/>
  <c r="E813" i="1"/>
  <c r="E812" i="1"/>
  <c r="E154" i="1"/>
  <c r="K146" i="1"/>
  <c r="I146" i="1"/>
  <c r="G146" i="1"/>
  <c r="E146" i="1"/>
  <c r="C146" i="1"/>
  <c r="I469" i="1"/>
  <c r="E469" i="1"/>
  <c r="H247" i="1"/>
  <c r="D247" i="1"/>
  <c r="J243" i="1"/>
  <c r="F243" i="1"/>
  <c r="L242" i="1"/>
  <c r="H242" i="1"/>
  <c r="D242" i="1"/>
  <c r="K237" i="1"/>
  <c r="K233" i="1"/>
  <c r="G237" i="1"/>
  <c r="G233" i="1"/>
  <c r="H248" i="1"/>
  <c r="C243" i="1"/>
  <c r="J825" i="1"/>
  <c r="J822" i="1"/>
  <c r="J819" i="1"/>
  <c r="J816" i="1"/>
  <c r="J813" i="1"/>
  <c r="J812" i="1"/>
  <c r="J154" i="1"/>
  <c r="C434" i="1"/>
  <c r="C440" i="1" s="1"/>
  <c r="I248" i="1"/>
  <c r="E248" i="1"/>
  <c r="I247" i="1"/>
  <c r="E247" i="1"/>
  <c r="K243" i="1"/>
  <c r="I243" i="1"/>
  <c r="G243" i="1"/>
  <c r="E243" i="1"/>
  <c r="J204" i="1"/>
  <c r="I242" i="1"/>
  <c r="F204" i="1"/>
  <c r="E242" i="1"/>
  <c r="L146" i="1"/>
  <c r="J146" i="1"/>
  <c r="H146" i="1"/>
  <c r="F146" i="1"/>
  <c r="D146" i="1"/>
  <c r="CA113" i="1" l="1"/>
  <c r="CA808" i="1"/>
  <c r="CA118" i="1"/>
  <c r="CA84" i="1"/>
  <c r="CA810" i="1"/>
  <c r="BS118" i="1"/>
  <c r="BX86" i="1"/>
  <c r="BS84" i="1"/>
  <c r="BS808" i="1"/>
  <c r="BS86" i="1"/>
  <c r="BS113" i="1"/>
  <c r="E795" i="1"/>
  <c r="BX113" i="1"/>
  <c r="G795" i="1"/>
  <c r="BX118" i="1"/>
  <c r="BX84" i="1"/>
  <c r="BX810" i="1"/>
  <c r="L795" i="1"/>
  <c r="BS349" i="1"/>
  <c r="K795" i="1"/>
  <c r="I795" i="1"/>
  <c r="L109" i="1"/>
  <c r="E5" i="1"/>
  <c r="E350" i="1" s="1"/>
  <c r="J109" i="1"/>
  <c r="H109" i="1"/>
  <c r="BS323" i="1"/>
  <c r="BS269" i="1" s="1"/>
  <c r="BU349" i="1"/>
  <c r="BU352" i="1" s="1"/>
  <c r="J792" i="1"/>
  <c r="K793" i="1"/>
  <c r="BS699" i="1"/>
  <c r="BS63" i="1"/>
  <c r="BS405" i="1"/>
  <c r="BS136" i="1"/>
  <c r="BS440" i="1"/>
  <c r="J454" i="1"/>
  <c r="J483" i="1" s="1"/>
  <c r="J129" i="1" s="1"/>
  <c r="L734" i="1"/>
  <c r="L761" i="1" s="1"/>
  <c r="D5" i="1"/>
  <c r="D369" i="1" s="1"/>
  <c r="CB454" i="1"/>
  <c r="CB483" i="1" s="1"/>
  <c r="BZ294" i="1"/>
  <c r="BZ352" i="1" s="1"/>
  <c r="C792" i="1"/>
  <c r="BY349" i="1"/>
  <c r="BY352" i="1" s="1"/>
  <c r="BV294" i="1"/>
  <c r="BV352" i="1" s="1"/>
  <c r="C454" i="1"/>
  <c r="C483" i="1" s="1"/>
  <c r="C129" i="1" s="1"/>
  <c r="L732" i="1"/>
  <c r="L760" i="1" s="1"/>
  <c r="I730" i="1"/>
  <c r="I838" i="1" s="1"/>
  <c r="C793" i="1"/>
  <c r="F792" i="1"/>
  <c r="F454" i="1"/>
  <c r="F483" i="1" s="1"/>
  <c r="F129" i="1" s="1"/>
  <c r="L620" i="1"/>
  <c r="L730" i="1"/>
  <c r="L838" i="1" s="1"/>
  <c r="L740" i="1"/>
  <c r="L766" i="1" s="1"/>
  <c r="L521" i="1"/>
  <c r="L513" i="1"/>
  <c r="I525" i="1"/>
  <c r="I729" i="1" s="1"/>
  <c r="I758" i="1" s="1"/>
  <c r="L741" i="1"/>
  <c r="L767" i="1" s="1"/>
  <c r="L525" i="1"/>
  <c r="L728" i="1" s="1"/>
  <c r="L757" i="1" s="1"/>
  <c r="L461" i="1"/>
  <c r="L463" i="1" s="1"/>
  <c r="CB792" i="1"/>
  <c r="CB793" i="1"/>
  <c r="BT349" i="1"/>
  <c r="BT352" i="1" s="1"/>
  <c r="CB794" i="1"/>
  <c r="K620" i="1"/>
  <c r="H521" i="1"/>
  <c r="F741" i="1"/>
  <c r="F767" i="1" s="1"/>
  <c r="BE82" i="9"/>
  <c r="BS793" i="1"/>
  <c r="F793" i="1"/>
  <c r="BZ792" i="1"/>
  <c r="BZ454" i="1"/>
  <c r="BZ461" i="1" s="1"/>
  <c r="BZ463" i="1" s="1"/>
  <c r="F732" i="1"/>
  <c r="F760" i="1" s="1"/>
  <c r="K454" i="1"/>
  <c r="K483" i="1" s="1"/>
  <c r="K129" i="1" s="1"/>
  <c r="CA349" i="1"/>
  <c r="CA352" i="1" s="1"/>
  <c r="F521" i="1"/>
  <c r="F513" i="1"/>
  <c r="F740" i="1"/>
  <c r="F766" i="1" s="1"/>
  <c r="BU454" i="1"/>
  <c r="BU461" i="1" s="1"/>
  <c r="BU463" i="1" s="1"/>
  <c r="BS426" i="1"/>
  <c r="BS428" i="1" s="1"/>
  <c r="G792" i="1"/>
  <c r="G793" i="1"/>
  <c r="BX349" i="1"/>
  <c r="BX352" i="1" s="1"/>
  <c r="BZ521" i="1"/>
  <c r="BS454" i="1"/>
  <c r="BS734" i="1" s="1"/>
  <c r="BS761" i="1" s="1"/>
  <c r="BZ136" i="1"/>
  <c r="BS792" i="1"/>
  <c r="BZ789" i="1"/>
  <c r="G454" i="1"/>
  <c r="G483" i="1" s="1"/>
  <c r="G129" i="1" s="1"/>
  <c r="I732" i="1"/>
  <c r="I760" i="1" s="1"/>
  <c r="CB349" i="1"/>
  <c r="CB352" i="1" s="1"/>
  <c r="I620" i="1"/>
  <c r="I740" i="1"/>
  <c r="I766" i="1" s="1"/>
  <c r="I741" i="1"/>
  <c r="I767" i="1" s="1"/>
  <c r="I521" i="1"/>
  <c r="I513" i="1"/>
  <c r="C730" i="1"/>
  <c r="C838" i="1" s="1"/>
  <c r="BW426" i="1"/>
  <c r="BW428" i="1" s="1"/>
  <c r="CA730" i="1"/>
  <c r="CA838" i="1" s="1"/>
  <c r="L794" i="1"/>
  <c r="K792" i="1"/>
  <c r="H483" i="1"/>
  <c r="H129" i="1" s="1"/>
  <c r="K794" i="1"/>
  <c r="F794" i="1"/>
  <c r="BW793" i="1"/>
  <c r="G794" i="1"/>
  <c r="BV789" i="1"/>
  <c r="CB783" i="1"/>
  <c r="CB740" i="1"/>
  <c r="CB766" i="1" s="1"/>
  <c r="BS521" i="1"/>
  <c r="CA783" i="1"/>
  <c r="BW454" i="1"/>
  <c r="BW483" i="1" s="1"/>
  <c r="CA789" i="1"/>
  <c r="H426" i="1"/>
  <c r="H428" i="1" s="1"/>
  <c r="F730" i="1"/>
  <c r="F759" i="1" s="1"/>
  <c r="CA794" i="1"/>
  <c r="E454" i="1"/>
  <c r="E483" i="1" s="1"/>
  <c r="E490" i="1" s="1"/>
  <c r="E493" i="1" s="1"/>
  <c r="BW349" i="1"/>
  <c r="BW352" i="1" s="1"/>
  <c r="K732" i="1"/>
  <c r="K760" i="1" s="1"/>
  <c r="CB513" i="1"/>
  <c r="CB525" i="1"/>
  <c r="CB728" i="1" s="1"/>
  <c r="CB757" i="1" s="1"/>
  <c r="H792" i="1"/>
  <c r="BW620" i="1"/>
  <c r="BV792" i="1"/>
  <c r="K136" i="1"/>
  <c r="K513" i="1"/>
  <c r="C521" i="1"/>
  <c r="BW794" i="1"/>
  <c r="BV454" i="1"/>
  <c r="BV461" i="1" s="1"/>
  <c r="BV463" i="1" s="1"/>
  <c r="K525" i="1"/>
  <c r="K729" i="1" s="1"/>
  <c r="K758" i="1" s="1"/>
  <c r="H513" i="1"/>
  <c r="CB789" i="1"/>
  <c r="K730" i="1"/>
  <c r="K838" i="1" s="1"/>
  <c r="K740" i="1"/>
  <c r="K766" i="1" s="1"/>
  <c r="K521" i="1"/>
  <c r="F525" i="1"/>
  <c r="F729" i="1" s="1"/>
  <c r="F758" i="1" s="1"/>
  <c r="F620" i="1"/>
  <c r="CA513" i="1"/>
  <c r="CA732" i="1"/>
  <c r="CA760" i="1" s="1"/>
  <c r="CA785" i="1"/>
  <c r="CA525" i="1"/>
  <c r="CA729" i="1" s="1"/>
  <c r="CA758" i="1" s="1"/>
  <c r="CA521" i="1"/>
  <c r="CA740" i="1"/>
  <c r="CA766" i="1" s="1"/>
  <c r="CA787" i="1"/>
  <c r="CA620" i="1"/>
  <c r="CA741" i="1"/>
  <c r="CA767" i="1" s="1"/>
  <c r="CA788" i="1"/>
  <c r="H734" i="1"/>
  <c r="H761" i="1" s="1"/>
  <c r="BS740" i="1"/>
  <c r="BS766" i="1" s="1"/>
  <c r="J794" i="1"/>
  <c r="J793" i="1"/>
  <c r="BS787" i="1"/>
  <c r="BV732" i="1"/>
  <c r="BV760" i="1" s="1"/>
  <c r="L258" i="1"/>
  <c r="BS513" i="1"/>
  <c r="BS732" i="1"/>
  <c r="BS760" i="1" s="1"/>
  <c r="BS785" i="1"/>
  <c r="BZ426" i="1"/>
  <c r="BZ428" i="1" s="1"/>
  <c r="BZ788" i="1"/>
  <c r="BZ785" i="1"/>
  <c r="BS525" i="1"/>
  <c r="BZ729" i="1"/>
  <c r="BZ758" i="1" s="1"/>
  <c r="BS620" i="1"/>
  <c r="BS741" i="1"/>
  <c r="BS767" i="1" s="1"/>
  <c r="BS788" i="1"/>
  <c r="BZ730" i="1"/>
  <c r="BZ838" i="1" s="1"/>
  <c r="H793" i="1"/>
  <c r="I794" i="1"/>
  <c r="H794" i="1"/>
  <c r="BS730" i="1"/>
  <c r="BS838" i="1" s="1"/>
  <c r="BS783" i="1"/>
  <c r="BS789" i="1"/>
  <c r="BZ741" i="1"/>
  <c r="BZ767" i="1" s="1"/>
  <c r="BW741" i="1"/>
  <c r="BW767" i="1" s="1"/>
  <c r="E258" i="1"/>
  <c r="BZ728" i="1"/>
  <c r="BZ757" i="1" s="1"/>
  <c r="BW513" i="1"/>
  <c r="BW732" i="1"/>
  <c r="BW760" i="1" s="1"/>
  <c r="BW785" i="1"/>
  <c r="BZ732" i="1"/>
  <c r="BZ760" i="1" s="1"/>
  <c r="BZ513" i="1"/>
  <c r="BZ620" i="1"/>
  <c r="BZ740" i="1"/>
  <c r="BZ766" i="1" s="1"/>
  <c r="BZ783" i="1"/>
  <c r="BZ787" i="1"/>
  <c r="BW788" i="1"/>
  <c r="C620" i="1"/>
  <c r="C525" i="1"/>
  <c r="C728" i="1" s="1"/>
  <c r="C757" i="1" s="1"/>
  <c r="BU793" i="1"/>
  <c r="E792" i="1"/>
  <c r="BV785" i="1"/>
  <c r="BV740" i="1"/>
  <c r="BV766" i="1" s="1"/>
  <c r="BV525" i="1"/>
  <c r="BV728" i="1" s="1"/>
  <c r="BV757" i="1" s="1"/>
  <c r="BV787" i="1"/>
  <c r="BV741" i="1"/>
  <c r="BV767" i="1" s="1"/>
  <c r="BV730" i="1"/>
  <c r="BV838" i="1" s="1"/>
  <c r="H620" i="1"/>
  <c r="H732" i="1"/>
  <c r="H760" i="1" s="1"/>
  <c r="H741" i="1"/>
  <c r="H767" i="1" s="1"/>
  <c r="H525" i="1"/>
  <c r="H729" i="1" s="1"/>
  <c r="H758" i="1" s="1"/>
  <c r="H730" i="1"/>
  <c r="H838" i="1" s="1"/>
  <c r="H740" i="1"/>
  <c r="H766" i="1" s="1"/>
  <c r="BV136" i="1"/>
  <c r="BV513" i="1"/>
  <c r="BV783" i="1"/>
  <c r="BV620" i="1"/>
  <c r="BV521" i="1"/>
  <c r="CB787" i="1"/>
  <c r="J513" i="1"/>
  <c r="J521" i="1"/>
  <c r="CB136" i="1"/>
  <c r="BW521" i="1"/>
  <c r="BW730" i="1"/>
  <c r="BW838" i="1" s="1"/>
  <c r="BW740" i="1"/>
  <c r="BW766" i="1" s="1"/>
  <c r="BW783" i="1"/>
  <c r="BW787" i="1"/>
  <c r="BW789" i="1"/>
  <c r="BU426" i="1"/>
  <c r="BU428" i="1" s="1"/>
  <c r="BW525" i="1"/>
  <c r="BW729" i="1" s="1"/>
  <c r="BW758" i="1" s="1"/>
  <c r="C732" i="1"/>
  <c r="C760" i="1" s="1"/>
  <c r="C740" i="1"/>
  <c r="C766" i="1" s="1"/>
  <c r="C513" i="1"/>
  <c r="C741" i="1"/>
  <c r="C767" i="1" s="1"/>
  <c r="CB730" i="1"/>
  <c r="CB840" i="1" s="1"/>
  <c r="CB741" i="1"/>
  <c r="CB767" i="1" s="1"/>
  <c r="CB732" i="1"/>
  <c r="CB760" i="1" s="1"/>
  <c r="CB785" i="1"/>
  <c r="CB521" i="1"/>
  <c r="CB620" i="1"/>
  <c r="CB295" i="1"/>
  <c r="CB353" i="1" s="1"/>
  <c r="BW63" i="1"/>
  <c r="I734" i="1"/>
  <c r="I761" i="1" s="1"/>
  <c r="BW265" i="1"/>
  <c r="BW88" i="1" s="1"/>
  <c r="G1" i="1"/>
  <c r="BV63" i="1"/>
  <c r="CB269" i="1"/>
  <c r="BZ793" i="1"/>
  <c r="J732" i="1"/>
  <c r="J760" i="1" s="1"/>
  <c r="J741" i="1"/>
  <c r="J767" i="1" s="1"/>
  <c r="J620" i="1"/>
  <c r="J525" i="1"/>
  <c r="J728" i="1" s="1"/>
  <c r="J757" i="1" s="1"/>
  <c r="J740" i="1"/>
  <c r="J766" i="1" s="1"/>
  <c r="J730" i="1"/>
  <c r="J759" i="1" s="1"/>
  <c r="BX374" i="1"/>
  <c r="BY374" i="1"/>
  <c r="BT81" i="1"/>
  <c r="BY730" i="1"/>
  <c r="BY838" i="1" s="1"/>
  <c r="F2" i="1"/>
  <c r="G725" i="1" s="1"/>
  <c r="F3" i="1"/>
  <c r="BZ81" i="1"/>
  <c r="I461" i="1"/>
  <c r="I463" i="1" s="1"/>
  <c r="BZ216" i="1"/>
  <c r="BT265" i="1"/>
  <c r="BT88" i="1" s="1"/>
  <c r="BW1" i="1"/>
  <c r="BW2" i="1" s="1"/>
  <c r="BX725" i="1" s="1"/>
  <c r="BS265" i="1"/>
  <c r="CA53" i="1"/>
  <c r="BU265" i="1"/>
  <c r="BU88" i="1" s="1"/>
  <c r="BZ794" i="1"/>
  <c r="BV2" i="1"/>
  <c r="BW725" i="1" s="1"/>
  <c r="BT269" i="1"/>
  <c r="BY789" i="1"/>
  <c r="BZ325" i="1"/>
  <c r="G730" i="1"/>
  <c r="G838" i="1" s="1"/>
  <c r="BZ217" i="1"/>
  <c r="BV793" i="1"/>
  <c r="BT63" i="1"/>
  <c r="BX269" i="1"/>
  <c r="BY782" i="1"/>
  <c r="BY783" i="1"/>
  <c r="G741" i="1"/>
  <c r="G767" i="1" s="1"/>
  <c r="G732" i="1"/>
  <c r="G760" i="1" s="1"/>
  <c r="G740" i="1"/>
  <c r="G766" i="1" s="1"/>
  <c r="G521" i="1"/>
  <c r="G513" i="1"/>
  <c r="G525" i="1"/>
  <c r="G620" i="1"/>
  <c r="BY728" i="1"/>
  <c r="BY757" i="1" s="1"/>
  <c r="BY521" i="1"/>
  <c r="BY740" i="1"/>
  <c r="BY766" i="1" s="1"/>
  <c r="BY787" i="1"/>
  <c r="BX158" i="1"/>
  <c r="BY216" i="1" s="1"/>
  <c r="BW374" i="1"/>
  <c r="CB81" i="1"/>
  <c r="BU521" i="1"/>
  <c r="CA325" i="1"/>
  <c r="J304" i="1"/>
  <c r="K304" i="1"/>
  <c r="H258" i="1"/>
  <c r="F258" i="1"/>
  <c r="BZ374" i="1"/>
  <c r="BS374" i="1"/>
  <c r="CA374" i="1"/>
  <c r="BY136" i="1"/>
  <c r="BY513" i="1"/>
  <c r="BY620" i="1"/>
  <c r="BY732" i="1"/>
  <c r="BY741" i="1"/>
  <c r="BY767" i="1" s="1"/>
  <c r="BY785" i="1"/>
  <c r="BY788" i="1"/>
  <c r="E620" i="1"/>
  <c r="BU787" i="1"/>
  <c r="E136" i="1"/>
  <c r="E741" i="1"/>
  <c r="E767" i="1" s="1"/>
  <c r="BV794" i="1"/>
  <c r="BU782" i="1"/>
  <c r="BU740" i="1"/>
  <c r="BU766" i="1" s="1"/>
  <c r="BX794" i="1"/>
  <c r="BY794" i="1"/>
  <c r="E513" i="1"/>
  <c r="E732" i="1"/>
  <c r="E760" i="1" s="1"/>
  <c r="BU136" i="1"/>
  <c r="BU794" i="1"/>
  <c r="BU728" i="1"/>
  <c r="BU757" i="1" s="1"/>
  <c r="BU730" i="1"/>
  <c r="BU838" i="1" s="1"/>
  <c r="BU783" i="1"/>
  <c r="BU789" i="1"/>
  <c r="E793" i="1"/>
  <c r="D483" i="1"/>
  <c r="D490" i="1" s="1"/>
  <c r="D493" i="1" s="1"/>
  <c r="E525" i="1"/>
  <c r="E729" i="1" s="1"/>
  <c r="E758" i="1" s="1"/>
  <c r="E521" i="1"/>
  <c r="E730" i="1"/>
  <c r="BU513" i="1"/>
  <c r="BU620" i="1"/>
  <c r="BU732" i="1"/>
  <c r="BU741" i="1"/>
  <c r="BU767" i="1" s="1"/>
  <c r="BU785" i="1"/>
  <c r="BU788" i="1"/>
  <c r="BT794" i="1"/>
  <c r="BX81" i="1"/>
  <c r="BW325" i="1"/>
  <c r="CA81" i="1"/>
  <c r="C299" i="1"/>
  <c r="C72" i="1" s="1"/>
  <c r="G304" i="1"/>
  <c r="G258" i="1"/>
  <c r="K258" i="1"/>
  <c r="J258" i="1"/>
  <c r="D461" i="1"/>
  <c r="D463" i="1" s="1"/>
  <c r="BU374" i="1"/>
  <c r="F304" i="1"/>
  <c r="BU261" i="1"/>
  <c r="BU376" i="1" s="1"/>
  <c r="BW81" i="1"/>
  <c r="D258" i="1"/>
  <c r="CB261" i="1"/>
  <c r="CB376" i="1" s="1"/>
  <c r="BZ53" i="1"/>
  <c r="BS261" i="1"/>
  <c r="CA261" i="1"/>
  <c r="CA376" i="1" s="1"/>
  <c r="BT740" i="1"/>
  <c r="BT766" i="1" s="1"/>
  <c r="BT785" i="1"/>
  <c r="BT730" i="1"/>
  <c r="BT783" i="1"/>
  <c r="BT787" i="1"/>
  <c r="BT513" i="1"/>
  <c r="BT136" i="1"/>
  <c r="BT788" i="1"/>
  <c r="BT789" i="1"/>
  <c r="BT732" i="1"/>
  <c r="BT760" i="1" s="1"/>
  <c r="BT620" i="1"/>
  <c r="BT741" i="1"/>
  <c r="BT767" i="1" s="1"/>
  <c r="BT521" i="1"/>
  <c r="BT525" i="1"/>
  <c r="BX788" i="1"/>
  <c r="BX787" i="1"/>
  <c r="BX741" i="1"/>
  <c r="BX767" i="1" s="1"/>
  <c r="BX730" i="1"/>
  <c r="BX840" i="1" s="1"/>
  <c r="BX789" i="1"/>
  <c r="BX513" i="1"/>
  <c r="BX525" i="1"/>
  <c r="BX740" i="1"/>
  <c r="BX766" i="1" s="1"/>
  <c r="BX783" i="1"/>
  <c r="BX732" i="1"/>
  <c r="BX620" i="1"/>
  <c r="BX785" i="1"/>
  <c r="BX521" i="1"/>
  <c r="BX136" i="1"/>
  <c r="CA734" i="1"/>
  <c r="CA761" i="1" s="1"/>
  <c r="CA483" i="1"/>
  <c r="CA461" i="1"/>
  <c r="CA463" i="1" s="1"/>
  <c r="BX764" i="1"/>
  <c r="BZ265" i="1"/>
  <c r="BZ88" i="1" s="1"/>
  <c r="BY63" i="1"/>
  <c r="BZ63" i="1"/>
  <c r="BY295" i="1"/>
  <c r="BY353" i="1" s="1"/>
  <c r="BY325" i="1"/>
  <c r="BY269" i="1"/>
  <c r="BY81" i="1"/>
  <c r="BZ764" i="1"/>
  <c r="BU205" i="1"/>
  <c r="BT187" i="1"/>
  <c r="BT374" i="1"/>
  <c r="BT734" i="1"/>
  <c r="BT761" i="1" s="1"/>
  <c r="BT483" i="1"/>
  <c r="BT461" i="1"/>
  <c r="BT463" i="1" s="1"/>
  <c r="BY734" i="1"/>
  <c r="BY761" i="1" s="1"/>
  <c r="BY461" i="1"/>
  <c r="BY463" i="1" s="1"/>
  <c r="BY483" i="1"/>
  <c r="BS834" i="1"/>
  <c r="BS595" i="1"/>
  <c r="BS150" i="1"/>
  <c r="BS548" i="1"/>
  <c r="BS295" i="1"/>
  <c r="BS353" i="1" s="1"/>
  <c r="CA295" i="1"/>
  <c r="CA353" i="1" s="1"/>
  <c r="BZ261" i="1"/>
  <c r="BZ699" i="1"/>
  <c r="BY265" i="1"/>
  <c r="BY88" i="1" s="1"/>
  <c r="BX261" i="1"/>
  <c r="BX376" i="1" s="1"/>
  <c r="BT295" i="1"/>
  <c r="BT353" i="1" s="1"/>
  <c r="BV325" i="1"/>
  <c r="BV269" i="1"/>
  <c r="BV81" i="1"/>
  <c r="BV764" i="1"/>
  <c r="BW261" i="1"/>
  <c r="BW376" i="1" s="1"/>
  <c r="BW699" i="1"/>
  <c r="BU295" i="1"/>
  <c r="BU353" i="1" s="1"/>
  <c r="BU325" i="1"/>
  <c r="BU269" i="1"/>
  <c r="BU81" i="1"/>
  <c r="BS764" i="1"/>
  <c r="BV433" i="1"/>
  <c r="BW440" i="1"/>
  <c r="BX96" i="1" s="1"/>
  <c r="BV261" i="1"/>
  <c r="BV376" i="1" s="1"/>
  <c r="BV374" i="1"/>
  <c r="BV699" i="1"/>
  <c r="BV203" i="1"/>
  <c r="BV202" i="1" s="1"/>
  <c r="BV795" i="1"/>
  <c r="BT261" i="1"/>
  <c r="BT376" i="1" s="1"/>
  <c r="BT699" i="1"/>
  <c r="CB374" i="1"/>
  <c r="BX295" i="1"/>
  <c r="BX353" i="1" s="1"/>
  <c r="BX734" i="1"/>
  <c r="BX761" i="1" s="1"/>
  <c r="BX483" i="1"/>
  <c r="BX461" i="1"/>
  <c r="BX463" i="1" s="1"/>
  <c r="BU764" i="1"/>
  <c r="BW764" i="1"/>
  <c r="BY764" i="1"/>
  <c r="CA764" i="1"/>
  <c r="BY261" i="1"/>
  <c r="BY699" i="1"/>
  <c r="BW295" i="1"/>
  <c r="BW353" i="1" s="1"/>
  <c r="D136" i="1"/>
  <c r="D741" i="1"/>
  <c r="D767" i="1" s="1"/>
  <c r="D732" i="1"/>
  <c r="D620" i="1"/>
  <c r="D513" i="1"/>
  <c r="D525" i="1"/>
  <c r="D740" i="1"/>
  <c r="D766" i="1" s="1"/>
  <c r="D730" i="1"/>
  <c r="D840" i="1" s="1"/>
  <c r="D521" i="1"/>
  <c r="E794" i="1"/>
  <c r="E299" i="1"/>
  <c r="E257" i="1"/>
  <c r="I299" i="1"/>
  <c r="I257" i="1"/>
  <c r="I258" i="1"/>
  <c r="E304" i="1"/>
  <c r="G238" i="1"/>
  <c r="H299" i="1"/>
  <c r="H257" i="1"/>
  <c r="D304" i="1"/>
  <c r="C670" i="1"/>
  <c r="C795" i="1"/>
  <c r="L233" i="1"/>
  <c r="K764" i="1"/>
  <c r="G738" i="1"/>
  <c r="G637" i="1"/>
  <c r="G739" i="1" s="1"/>
  <c r="G765" i="1" s="1"/>
  <c r="C764" i="1"/>
  <c r="D670" i="1"/>
  <c r="D795" i="1"/>
  <c r="H670" i="1"/>
  <c r="H795" i="1"/>
  <c r="I238" i="1"/>
  <c r="F299" i="1"/>
  <c r="F257" i="1"/>
  <c r="I490" i="1"/>
  <c r="I493" i="1" s="1"/>
  <c r="I129" i="1"/>
  <c r="L490" i="1"/>
  <c r="L493" i="1" s="1"/>
  <c r="L129" i="1"/>
  <c r="J764" i="1"/>
  <c r="D764" i="1"/>
  <c r="H764" i="1"/>
  <c r="F670" i="1"/>
  <c r="F795" i="1"/>
  <c r="J670" i="1"/>
  <c r="J795" i="1"/>
  <c r="I304" i="1"/>
  <c r="K238" i="1"/>
  <c r="D299" i="1"/>
  <c r="D257" i="1"/>
  <c r="L257" i="1"/>
  <c r="H304" i="1"/>
  <c r="G299" i="1"/>
  <c r="G257" i="1"/>
  <c r="K299" i="1"/>
  <c r="K257" i="1"/>
  <c r="E238" i="1"/>
  <c r="J299" i="1"/>
  <c r="J257" i="1"/>
  <c r="E738" i="1"/>
  <c r="E637" i="1"/>
  <c r="E739" i="1" s="1"/>
  <c r="E765" i="1" s="1"/>
  <c r="I738" i="1"/>
  <c r="I637" i="1"/>
  <c r="I739" i="1" s="1"/>
  <c r="I765" i="1" s="1"/>
  <c r="L738" i="1"/>
  <c r="L637" i="1"/>
  <c r="L739" i="1" s="1"/>
  <c r="L765" i="1" s="1"/>
  <c r="F764" i="1"/>
  <c r="BS352" i="1" l="1"/>
  <c r="BS354" i="1" s="1"/>
  <c r="E362" i="1"/>
  <c r="D113" i="1"/>
  <c r="E25" i="1"/>
  <c r="D93" i="1"/>
  <c r="E296" i="1"/>
  <c r="E321" i="1" s="1"/>
  <c r="E351" i="1"/>
  <c r="E810" i="1"/>
  <c r="E357" i="1"/>
  <c r="E789" i="1"/>
  <c r="E808" i="1"/>
  <c r="E367" i="1"/>
  <c r="E112" i="1"/>
  <c r="E88" i="1"/>
  <c r="E787" i="1"/>
  <c r="E87" i="1"/>
  <c r="E117" i="1"/>
  <c r="E281" i="1"/>
  <c r="E75" i="1" s="1"/>
  <c r="E785" i="1"/>
  <c r="E301" i="1"/>
  <c r="E74" i="1" s="1"/>
  <c r="E783" i="1"/>
  <c r="E790" i="1"/>
  <c r="E86" i="1"/>
  <c r="C5" i="1"/>
  <c r="C306" i="1" s="1"/>
  <c r="E306" i="1"/>
  <c r="E364" i="1" s="1"/>
  <c r="J490" i="1"/>
  <c r="J493" i="1" s="1"/>
  <c r="J510" i="1" s="1"/>
  <c r="E84" i="1"/>
  <c r="E809" i="1"/>
  <c r="E788" i="1"/>
  <c r="E113" i="1"/>
  <c r="E109" i="1"/>
  <c r="E344" i="1"/>
  <c r="E93" i="1"/>
  <c r="E369" i="1"/>
  <c r="E811" i="1"/>
  <c r="E118" i="1"/>
  <c r="E276" i="1"/>
  <c r="E334" i="1" s="1"/>
  <c r="BZ734" i="1"/>
  <c r="BZ761" i="1" s="1"/>
  <c r="CB734" i="1"/>
  <c r="CB761" i="1" s="1"/>
  <c r="BS325" i="1"/>
  <c r="D112" i="1"/>
  <c r="D783" i="1"/>
  <c r="D301" i="1"/>
  <c r="D74" i="1" s="1"/>
  <c r="D788" i="1"/>
  <c r="D351" i="1"/>
  <c r="BS81" i="1"/>
  <c r="K490" i="1"/>
  <c r="K493" i="1" s="1"/>
  <c r="K510" i="1" s="1"/>
  <c r="C490" i="1"/>
  <c r="C493" i="1" s="1"/>
  <c r="C510" i="1" s="1"/>
  <c r="D808" i="1"/>
  <c r="D789" i="1"/>
  <c r="D88" i="1"/>
  <c r="D350" i="1"/>
  <c r="C461" i="1"/>
  <c r="C463" i="1" s="1"/>
  <c r="BZ295" i="1"/>
  <c r="BZ353" i="1" s="1"/>
  <c r="BZ354" i="1" s="1"/>
  <c r="D86" i="1"/>
  <c r="D809" i="1"/>
  <c r="E24" i="1"/>
  <c r="D296" i="1"/>
  <c r="D321" i="1" s="1"/>
  <c r="D782" i="1"/>
  <c r="C734" i="1"/>
  <c r="C761" i="1" s="1"/>
  <c r="BZ483" i="1"/>
  <c r="BZ490" i="1" s="1"/>
  <c r="BZ493" i="1" s="1"/>
  <c r="BZ510" i="1" s="1"/>
  <c r="CB461" i="1"/>
  <c r="CB463" i="1" s="1"/>
  <c r="J461" i="1"/>
  <c r="J463" i="1" s="1"/>
  <c r="I759" i="1"/>
  <c r="J734" i="1"/>
  <c r="J761" i="1" s="1"/>
  <c r="BS88" i="1"/>
  <c r="BS729" i="1"/>
  <c r="BS758" i="1" s="1"/>
  <c r="BT96" i="1"/>
  <c r="BS376" i="1"/>
  <c r="BS89" i="1"/>
  <c r="D357" i="1"/>
  <c r="D117" i="1"/>
  <c r="D118" i="1"/>
  <c r="D362" i="1"/>
  <c r="D785" i="1"/>
  <c r="D790" i="1"/>
  <c r="E26" i="1"/>
  <c r="D276" i="1"/>
  <c r="D71" i="1" s="1"/>
  <c r="D306" i="1"/>
  <c r="D364" i="1" s="1"/>
  <c r="D367" i="1"/>
  <c r="D368" i="1" s="1"/>
  <c r="D811" i="1"/>
  <c r="D810" i="1"/>
  <c r="D84" i="1"/>
  <c r="D787" i="1"/>
  <c r="E23" i="1"/>
  <c r="D87" i="1"/>
  <c r="D281" i="1"/>
  <c r="D339" i="1" s="1"/>
  <c r="D344" i="1"/>
  <c r="F734" i="1"/>
  <c r="F761" i="1" s="1"/>
  <c r="F490" i="1"/>
  <c r="F493" i="1" s="1"/>
  <c r="F510" i="1" s="1"/>
  <c r="F461" i="1"/>
  <c r="F463" i="1" s="1"/>
  <c r="BS483" i="1"/>
  <c r="BS490" i="1" s="1"/>
  <c r="BS493" i="1" s="1"/>
  <c r="BS510" i="1" s="1"/>
  <c r="I510" i="1"/>
  <c r="BV295" i="1"/>
  <c r="BV353" i="1" s="1"/>
  <c r="BV354" i="1" s="1"/>
  <c r="H490" i="1"/>
  <c r="H493" i="1" s="1"/>
  <c r="H510" i="1" s="1"/>
  <c r="I728" i="1"/>
  <c r="I757" i="1" s="1"/>
  <c r="L759" i="1"/>
  <c r="K728" i="1"/>
  <c r="K757" i="1" s="1"/>
  <c r="L729" i="1"/>
  <c r="L758" i="1" s="1"/>
  <c r="L510" i="1"/>
  <c r="BS840" i="1"/>
  <c r="BS759" i="1"/>
  <c r="BW354" i="1"/>
  <c r="G490" i="1"/>
  <c r="G493" i="1" s="1"/>
  <c r="G510" i="1" s="1"/>
  <c r="CA731" i="1"/>
  <c r="CA840" i="1"/>
  <c r="BS461" i="1"/>
  <c r="BS463" i="1" s="1"/>
  <c r="L733" i="1"/>
  <c r="K461" i="1"/>
  <c r="K463" i="1" s="1"/>
  <c r="K734" i="1"/>
  <c r="K761" i="1" s="1"/>
  <c r="BW734" i="1"/>
  <c r="BW761" i="1" s="1"/>
  <c r="BV840" i="1"/>
  <c r="H1" i="1"/>
  <c r="CA733" i="1"/>
  <c r="BZ733" i="1"/>
  <c r="BU734" i="1"/>
  <c r="BU761" i="1" s="1"/>
  <c r="C731" i="1"/>
  <c r="K759" i="1"/>
  <c r="E461" i="1"/>
  <c r="E463" i="1" s="1"/>
  <c r="BV483" i="1"/>
  <c r="BV129" i="1" s="1"/>
  <c r="CA782" i="1"/>
  <c r="CA354" i="1"/>
  <c r="E129" i="1"/>
  <c r="BU354" i="1"/>
  <c r="BV734" i="1"/>
  <c r="BV761" i="1" s="1"/>
  <c r="BU483" i="1"/>
  <c r="BU129" i="1" s="1"/>
  <c r="BW782" i="1"/>
  <c r="BS782" i="1"/>
  <c r="L731" i="1"/>
  <c r="E734" i="1"/>
  <c r="E761" i="1" s="1"/>
  <c r="C840" i="1"/>
  <c r="K840" i="1"/>
  <c r="CA728" i="1"/>
  <c r="CA757" i="1" s="1"/>
  <c r="C759" i="1"/>
  <c r="CB729" i="1"/>
  <c r="CB758" i="1" s="1"/>
  <c r="CB782" i="1"/>
  <c r="F840" i="1"/>
  <c r="F731" i="1"/>
  <c r="F838" i="1"/>
  <c r="CA759" i="1"/>
  <c r="C729" i="1"/>
  <c r="C758" i="1" s="1"/>
  <c r="G734" i="1"/>
  <c r="G761" i="1" s="1"/>
  <c r="BW461" i="1"/>
  <c r="BW463" i="1" s="1"/>
  <c r="BV759" i="1"/>
  <c r="H728" i="1"/>
  <c r="H757" i="1" s="1"/>
  <c r="G461" i="1"/>
  <c r="G463" i="1" s="1"/>
  <c r="CA841" i="1"/>
  <c r="J733" i="1"/>
  <c r="F728" i="1"/>
  <c r="F757" i="1" s="1"/>
  <c r="BW759" i="1"/>
  <c r="BZ841" i="1"/>
  <c r="BS728" i="1"/>
  <c r="BS757" i="1" s="1"/>
  <c r="BV733" i="1"/>
  <c r="BS527" i="1"/>
  <c r="BS841" i="1"/>
  <c r="BW733" i="1"/>
  <c r="BZ759" i="1"/>
  <c r="BY354" i="1"/>
  <c r="CB838" i="1"/>
  <c r="CB841" i="1" s="1"/>
  <c r="BZ840" i="1"/>
  <c r="I733" i="1"/>
  <c r="CA317" i="1"/>
  <c r="CA79" i="1" s="1"/>
  <c r="H840" i="1"/>
  <c r="H759" i="1"/>
  <c r="BV782" i="1"/>
  <c r="BV841" i="1"/>
  <c r="J840" i="1"/>
  <c r="CB731" i="1"/>
  <c r="CB733" i="1"/>
  <c r="BV729" i="1"/>
  <c r="BV758" i="1" s="1"/>
  <c r="I731" i="1"/>
  <c r="BW841" i="1"/>
  <c r="C733" i="1"/>
  <c r="BY840" i="1"/>
  <c r="CB759" i="1"/>
  <c r="G2" i="1"/>
  <c r="H725" i="1" s="1"/>
  <c r="BW840" i="1"/>
  <c r="BW731" i="1"/>
  <c r="BW3" i="1"/>
  <c r="BW728" i="1"/>
  <c r="BW757" i="1" s="1"/>
  <c r="J731" i="1"/>
  <c r="J729" i="1"/>
  <c r="J758" i="1" s="1"/>
  <c r="G3" i="1"/>
  <c r="G731" i="1"/>
  <c r="K733" i="1"/>
  <c r="BX354" i="1"/>
  <c r="BX1" i="1"/>
  <c r="BX3" i="1" s="1"/>
  <c r="BT354" i="1"/>
  <c r="BY759" i="1"/>
  <c r="BZ731" i="1"/>
  <c r="K731" i="1"/>
  <c r="BY841" i="1"/>
  <c r="J838" i="1"/>
  <c r="H731" i="1"/>
  <c r="G759" i="1"/>
  <c r="CB317" i="1"/>
  <c r="CB79" i="1" s="1"/>
  <c r="CB354" i="1"/>
  <c r="G733" i="1"/>
  <c r="H733" i="1"/>
  <c r="BY760" i="1"/>
  <c r="BS317" i="1"/>
  <c r="BS79" i="1" s="1"/>
  <c r="BY733" i="1"/>
  <c r="G729" i="1"/>
  <c r="G758" i="1" s="1"/>
  <c r="G728" i="1"/>
  <c r="G757" i="1" s="1"/>
  <c r="E838" i="1"/>
  <c r="BW158" i="1"/>
  <c r="BW159" i="1" s="1"/>
  <c r="BX159" i="1"/>
  <c r="BY217" i="1" s="1"/>
  <c r="E782" i="1"/>
  <c r="E510" i="1"/>
  <c r="BU841" i="1"/>
  <c r="E728" i="1"/>
  <c r="E757" i="1" s="1"/>
  <c r="BU760" i="1"/>
  <c r="BV731" i="1"/>
  <c r="D129" i="1"/>
  <c r="F733" i="1"/>
  <c r="E759" i="1"/>
  <c r="E733" i="1"/>
  <c r="BU840" i="1"/>
  <c r="BU759" i="1"/>
  <c r="BU731" i="1"/>
  <c r="BU733" i="1"/>
  <c r="BT733" i="1"/>
  <c r="BW317" i="1"/>
  <c r="BW79" i="1" s="1"/>
  <c r="E731" i="1"/>
  <c r="BU317" i="1"/>
  <c r="BU380" i="1" s="1"/>
  <c r="BX731" i="1"/>
  <c r="BY731" i="1"/>
  <c r="D510" i="1"/>
  <c r="BX317" i="1"/>
  <c r="BX79" i="1" s="1"/>
  <c r="BX760" i="1"/>
  <c r="BX733" i="1"/>
  <c r="BX838" i="1"/>
  <c r="BX841" i="1" s="1"/>
  <c r="BX759" i="1"/>
  <c r="BT782" i="1"/>
  <c r="BT729" i="1"/>
  <c r="BT758" i="1" s="1"/>
  <c r="BT728" i="1"/>
  <c r="BT757" i="1" s="1"/>
  <c r="BT527" i="1"/>
  <c r="BX728" i="1"/>
  <c r="BX757" i="1" s="1"/>
  <c r="BX782" i="1"/>
  <c r="BX729" i="1"/>
  <c r="BX758" i="1" s="1"/>
  <c r="BT840" i="1"/>
  <c r="BT759" i="1"/>
  <c r="BT838" i="1"/>
  <c r="BT841" i="1" s="1"/>
  <c r="BT731" i="1"/>
  <c r="BY376" i="1"/>
  <c r="BY317" i="1"/>
  <c r="BW129" i="1"/>
  <c r="BW490" i="1"/>
  <c r="BW493" i="1" s="1"/>
  <c r="BW510" i="1" s="1"/>
  <c r="BU433" i="1"/>
  <c r="BV440" i="1"/>
  <c r="BW96" i="1" s="1"/>
  <c r="BZ376" i="1"/>
  <c r="BZ317" i="1"/>
  <c r="BT490" i="1"/>
  <c r="BT493" i="1" s="1"/>
  <c r="BT510" i="1" s="1"/>
  <c r="BT129" i="1"/>
  <c r="BT205" i="1"/>
  <c r="BS187" i="1"/>
  <c r="BX490" i="1"/>
  <c r="BX493" i="1" s="1"/>
  <c r="BX510" i="1" s="1"/>
  <c r="BX129" i="1"/>
  <c r="BS744" i="1"/>
  <c r="BY490" i="1"/>
  <c r="BY493" i="1" s="1"/>
  <c r="BY510" i="1" s="1"/>
  <c r="BY129" i="1"/>
  <c r="CB490" i="1"/>
  <c r="CB493" i="1" s="1"/>
  <c r="CB510" i="1" s="1"/>
  <c r="CB129" i="1"/>
  <c r="BV317" i="1"/>
  <c r="BU203" i="1"/>
  <c r="BU202" i="1" s="1"/>
  <c r="BU795" i="1"/>
  <c r="CA490" i="1"/>
  <c r="CA493" i="1" s="1"/>
  <c r="CA510" i="1" s="1"/>
  <c r="CA129" i="1"/>
  <c r="BT317" i="1"/>
  <c r="D733" i="1"/>
  <c r="D760" i="1"/>
  <c r="D838" i="1"/>
  <c r="D731" i="1"/>
  <c r="D759" i="1"/>
  <c r="D728" i="1"/>
  <c r="D757" i="1" s="1"/>
  <c r="D729" i="1"/>
  <c r="D758" i="1" s="1"/>
  <c r="L840" i="1"/>
  <c r="L764" i="1"/>
  <c r="I840" i="1"/>
  <c r="I764" i="1"/>
  <c r="E840" i="1"/>
  <c r="E764" i="1"/>
  <c r="G314" i="1"/>
  <c r="G72" i="1"/>
  <c r="J259" i="1"/>
  <c r="K314" i="1"/>
  <c r="K72" i="1"/>
  <c r="G259" i="1"/>
  <c r="D259" i="1"/>
  <c r="F314" i="1"/>
  <c r="F72" i="1"/>
  <c r="G840" i="1"/>
  <c r="G764" i="1"/>
  <c r="H314" i="1"/>
  <c r="H72" i="1"/>
  <c r="I314" i="1"/>
  <c r="I72" i="1"/>
  <c r="E259" i="1"/>
  <c r="J314" i="1"/>
  <c r="J72" i="1"/>
  <c r="K259" i="1"/>
  <c r="L259" i="1"/>
  <c r="D314" i="1"/>
  <c r="D72" i="1"/>
  <c r="F259" i="1"/>
  <c r="H259" i="1"/>
  <c r="I259" i="1"/>
  <c r="E314" i="1"/>
  <c r="E72" i="1"/>
  <c r="C351" i="1" l="1"/>
  <c r="E363" i="1"/>
  <c r="E305" i="1" s="1"/>
  <c r="C23" i="1"/>
  <c r="C344" i="1"/>
  <c r="E379" i="1"/>
  <c r="E319" i="1" s="1"/>
  <c r="E322" i="1" s="1"/>
  <c r="E323" i="1" s="1"/>
  <c r="C118" i="1"/>
  <c r="C810" i="1"/>
  <c r="C357" i="1"/>
  <c r="C281" i="1"/>
  <c r="C339" i="1" s="1"/>
  <c r="C84" i="1"/>
  <c r="C87" i="1"/>
  <c r="E359" i="1"/>
  <c r="E358" i="1" s="1"/>
  <c r="E300" i="1" s="1"/>
  <c r="E73" i="1" s="1"/>
  <c r="E71" i="1"/>
  <c r="D359" i="1"/>
  <c r="D358" i="1" s="1"/>
  <c r="D300" i="1" s="1"/>
  <c r="D73" i="1" s="1"/>
  <c r="E76" i="1"/>
  <c r="C811" i="1"/>
  <c r="C93" i="1"/>
  <c r="C785" i="1"/>
  <c r="C841" i="1" s="1"/>
  <c r="D26" i="1"/>
  <c r="E368" i="1"/>
  <c r="D379" i="1"/>
  <c r="D319" i="1" s="1"/>
  <c r="D322" i="1" s="1"/>
  <c r="D323" i="1" s="1"/>
  <c r="E339" i="1"/>
  <c r="E291" i="1"/>
  <c r="E294" i="1" s="1"/>
  <c r="C86" i="1"/>
  <c r="C113" i="1"/>
  <c r="C787" i="1"/>
  <c r="C88" i="1"/>
  <c r="C276" i="1"/>
  <c r="C334" i="1" s="1"/>
  <c r="C350" i="1"/>
  <c r="D23" i="1"/>
  <c r="C24" i="1"/>
  <c r="C367" i="1"/>
  <c r="C112" i="1"/>
  <c r="C782" i="1"/>
  <c r="C788" i="1"/>
  <c r="C25" i="1"/>
  <c r="D24" i="1"/>
  <c r="C301" i="1"/>
  <c r="C359" i="1" s="1"/>
  <c r="C369" i="1"/>
  <c r="E372" i="1"/>
  <c r="C110" i="1"/>
  <c r="C117" i="1"/>
  <c r="C809" i="1"/>
  <c r="C296" i="1"/>
  <c r="C379" i="1" s="1"/>
  <c r="C319" i="1" s="1"/>
  <c r="C789" i="1"/>
  <c r="C783" i="1"/>
  <c r="C808" i="1"/>
  <c r="C26" i="1"/>
  <c r="D25" i="1"/>
  <c r="E841" i="1"/>
  <c r="E316" i="1"/>
  <c r="D334" i="1"/>
  <c r="BS129" i="1"/>
  <c r="BS786" i="1" s="1"/>
  <c r="D316" i="1"/>
  <c r="BZ129" i="1"/>
  <c r="BV490" i="1"/>
  <c r="BV493" i="1" s="1"/>
  <c r="BV510" i="1" s="1"/>
  <c r="D841" i="1"/>
  <c r="D372" i="1"/>
  <c r="D76" i="1"/>
  <c r="D291" i="1"/>
  <c r="D363" i="1"/>
  <c r="D305" i="1" s="1"/>
  <c r="BS205" i="1"/>
  <c r="BS622" i="1"/>
  <c r="D75" i="1"/>
  <c r="BU490" i="1"/>
  <c r="BU493" i="1" s="1"/>
  <c r="BU510" i="1" s="1"/>
  <c r="H3" i="1"/>
  <c r="H2" i="1"/>
  <c r="I725" i="1" s="1"/>
  <c r="I1" i="1"/>
  <c r="CA375" i="1"/>
  <c r="CA377" i="1" s="1"/>
  <c r="CA391" i="1" s="1"/>
  <c r="BS529" i="1"/>
  <c r="CA380" i="1"/>
  <c r="G5" i="1"/>
  <c r="G301" i="1" s="1"/>
  <c r="F5" i="1"/>
  <c r="F357" i="1" s="1"/>
  <c r="CB380" i="1"/>
  <c r="BY1" i="1"/>
  <c r="BY3" i="1" s="1"/>
  <c r="BX2" i="1"/>
  <c r="BY725" i="1" s="1"/>
  <c r="BU79" i="1"/>
  <c r="CB375" i="1"/>
  <c r="CB377" i="1" s="1"/>
  <c r="CB391" i="1" s="1"/>
  <c r="BS380" i="1"/>
  <c r="BX216" i="1"/>
  <c r="BV158" i="1"/>
  <c r="BU158" i="1" s="1"/>
  <c r="BS375" i="1"/>
  <c r="BY53" i="1"/>
  <c r="BU375" i="1"/>
  <c r="BU377" i="1" s="1"/>
  <c r="BU391" i="1" s="1"/>
  <c r="BW375" i="1"/>
  <c r="BW377" i="1" s="1"/>
  <c r="BW391" i="1" s="1"/>
  <c r="BW380" i="1"/>
  <c r="BX380" i="1"/>
  <c r="BX375" i="1"/>
  <c r="BX377" i="1" s="1"/>
  <c r="BX391" i="1" s="1"/>
  <c r="BT622" i="1"/>
  <c r="BT624" i="1" s="1"/>
  <c r="BT629" i="1" s="1"/>
  <c r="BT529" i="1"/>
  <c r="BT534" i="1" s="1"/>
  <c r="BT538" i="1" s="1"/>
  <c r="BZ79" i="1"/>
  <c r="BZ375" i="1"/>
  <c r="BZ377" i="1" s="1"/>
  <c r="BZ391" i="1" s="1"/>
  <c r="BZ380" i="1"/>
  <c r="BY79" i="1"/>
  <c r="BY380" i="1"/>
  <c r="BY375" i="1"/>
  <c r="BY377" i="1" s="1"/>
  <c r="BY391" i="1" s="1"/>
  <c r="BT79" i="1"/>
  <c r="BT375" i="1"/>
  <c r="BT377" i="1" s="1"/>
  <c r="BT391" i="1" s="1"/>
  <c r="BT380" i="1"/>
  <c r="BT203" i="1"/>
  <c r="BT202" i="1" s="1"/>
  <c r="BT795" i="1"/>
  <c r="BV79" i="1"/>
  <c r="BV380" i="1"/>
  <c r="BV375" i="1"/>
  <c r="BV377" i="1" s="1"/>
  <c r="BV391" i="1" s="1"/>
  <c r="BX217" i="1"/>
  <c r="BX53" i="1"/>
  <c r="BU440" i="1"/>
  <c r="BV96" i="1" s="1"/>
  <c r="H260" i="1"/>
  <c r="H261" i="1" s="1"/>
  <c r="E260" i="1"/>
  <c r="E261" i="1" s="1"/>
  <c r="E85" i="1"/>
  <c r="E89" i="1"/>
  <c r="D260" i="1"/>
  <c r="D261" i="1" s="1"/>
  <c r="D376" i="1" s="1"/>
  <c r="D85" i="1"/>
  <c r="D89" i="1"/>
  <c r="J260" i="1"/>
  <c r="J261" i="1" s="1"/>
  <c r="I260" i="1"/>
  <c r="I261" i="1" s="1"/>
  <c r="F260" i="1"/>
  <c r="F261" i="1" s="1"/>
  <c r="L260" i="1"/>
  <c r="L261" i="1" s="1"/>
  <c r="K260" i="1"/>
  <c r="K261" i="1" s="1"/>
  <c r="C76" i="1"/>
  <c r="C364" i="1"/>
  <c r="G260" i="1"/>
  <c r="G261" i="1" s="1"/>
  <c r="C358" i="1" l="1"/>
  <c r="C300" i="1" s="1"/>
  <c r="C73" i="1" s="1"/>
  <c r="C71" i="1"/>
  <c r="E315" i="1"/>
  <c r="E373" i="1" s="1"/>
  <c r="E349" i="1"/>
  <c r="E352" i="1" s="1"/>
  <c r="C368" i="1"/>
  <c r="BS203" i="1"/>
  <c r="BS202" i="1" s="1"/>
  <c r="C291" i="1"/>
  <c r="C294" i="1" s="1"/>
  <c r="C74" i="1"/>
  <c r="C75" i="1"/>
  <c r="D374" i="1"/>
  <c r="E374" i="1"/>
  <c r="C321" i="1"/>
  <c r="D349" i="1"/>
  <c r="BS784" i="1"/>
  <c r="BS795" i="1"/>
  <c r="D315" i="1"/>
  <c r="D373" i="1" s="1"/>
  <c r="D294" i="1"/>
  <c r="D295" i="1" s="1"/>
  <c r="D353" i="1" s="1"/>
  <c r="BS377" i="1"/>
  <c r="BS624" i="1"/>
  <c r="J1" i="1"/>
  <c r="I2" i="1"/>
  <c r="J725" i="1" s="1"/>
  <c r="I3" i="1"/>
  <c r="G808" i="1"/>
  <c r="F344" i="1"/>
  <c r="G85" i="1"/>
  <c r="G783" i="1"/>
  <c r="G809" i="1"/>
  <c r="G281" i="1"/>
  <c r="G339" i="1" s="1"/>
  <c r="G376" i="1"/>
  <c r="F376" i="1"/>
  <c r="G362" i="1"/>
  <c r="G296" i="1"/>
  <c r="G379" i="1" s="1"/>
  <c r="G319" i="1" s="1"/>
  <c r="G322" i="1" s="1"/>
  <c r="G86" i="1"/>
  <c r="G782" i="1"/>
  <c r="F23" i="1"/>
  <c r="G117" i="1"/>
  <c r="G111" i="1"/>
  <c r="G811" i="1"/>
  <c r="G87" i="1"/>
  <c r="F87" i="1"/>
  <c r="G88" i="1"/>
  <c r="G351" i="1"/>
  <c r="G789" i="1"/>
  <c r="G369" i="1"/>
  <c r="G25" i="1"/>
  <c r="G787" i="1"/>
  <c r="F24" i="1"/>
  <c r="F785" i="1"/>
  <c r="F841" i="1" s="1"/>
  <c r="G810" i="1"/>
  <c r="G89" i="1"/>
  <c r="G367" i="1"/>
  <c r="G785" i="1"/>
  <c r="G841" i="1" s="1"/>
  <c r="G112" i="1"/>
  <c r="G350" i="1"/>
  <c r="G84" i="1"/>
  <c r="G357" i="1"/>
  <c r="G788" i="1"/>
  <c r="G74" i="1"/>
  <c r="G359" i="1"/>
  <c r="G26" i="1"/>
  <c r="F89" i="1"/>
  <c r="G113" i="1"/>
  <c r="G110" i="1"/>
  <c r="G109" i="1"/>
  <c r="G118" i="1"/>
  <c r="G93" i="1"/>
  <c r="G790" i="1"/>
  <c r="G306" i="1"/>
  <c r="G364" i="1" s="1"/>
  <c r="G344" i="1"/>
  <c r="G276" i="1"/>
  <c r="F301" i="1"/>
  <c r="G24" i="1"/>
  <c r="F112" i="1"/>
  <c r="F369" i="1"/>
  <c r="F281" i="1"/>
  <c r="F811" i="1"/>
  <c r="F782" i="1"/>
  <c r="F85" i="1"/>
  <c r="G23" i="1"/>
  <c r="F351" i="1"/>
  <c r="F93" i="1"/>
  <c r="F787" i="1"/>
  <c r="F113" i="1"/>
  <c r="F809" i="1"/>
  <c r="F350" i="1"/>
  <c r="F86" i="1"/>
  <c r="F88" i="1"/>
  <c r="F84" i="1"/>
  <c r="F790" i="1"/>
  <c r="F296" i="1"/>
  <c r="F788" i="1"/>
  <c r="F783" i="1"/>
  <c r="BY2" i="1"/>
  <c r="BZ725" i="1" s="1"/>
  <c r="BZ1" i="1"/>
  <c r="BZ2" i="1" s="1"/>
  <c r="CA725" i="1" s="1"/>
  <c r="F118" i="1"/>
  <c r="F26" i="1"/>
  <c r="F789" i="1"/>
  <c r="F25" i="1"/>
  <c r="F367" i="1"/>
  <c r="F110" i="1"/>
  <c r="F306" i="1"/>
  <c r="F117" i="1"/>
  <c r="F810" i="1"/>
  <c r="F808" i="1"/>
  <c r="F362" i="1"/>
  <c r="F276" i="1"/>
  <c r="BW216" i="1"/>
  <c r="BV159" i="1"/>
  <c r="BW217" i="1" s="1"/>
  <c r="E376" i="1"/>
  <c r="E317" i="1"/>
  <c r="E79" i="1" s="1"/>
  <c r="BT541" i="1"/>
  <c r="BU533" i="1"/>
  <c r="BU527" i="1" s="1"/>
  <c r="BU622" i="1" s="1"/>
  <c r="BU624" i="1" s="1"/>
  <c r="BU629" i="1" s="1"/>
  <c r="BT742" i="1"/>
  <c r="BT768" i="1" s="1"/>
  <c r="BT743" i="1"/>
  <c r="BT769" i="1" s="1"/>
  <c r="BT531" i="1"/>
  <c r="BV216" i="1"/>
  <c r="BU159" i="1"/>
  <c r="BT158" i="1"/>
  <c r="E325" i="1"/>
  <c r="E269" i="1"/>
  <c r="E81" i="1"/>
  <c r="F699" i="1"/>
  <c r="J699" i="1"/>
  <c r="E295" i="1"/>
  <c r="E353" i="1" s="1"/>
  <c r="E699" i="1"/>
  <c r="H699" i="1"/>
  <c r="G699" i="1"/>
  <c r="C322" i="1"/>
  <c r="D325" i="1"/>
  <c r="D269" i="1"/>
  <c r="D81" i="1"/>
  <c r="K699" i="1"/>
  <c r="L699" i="1"/>
  <c r="I699" i="1"/>
  <c r="D699" i="1"/>
  <c r="D317" i="1"/>
  <c r="C349" i="1" l="1"/>
  <c r="C352" i="1" s="1"/>
  <c r="C323" i="1"/>
  <c r="C81" i="1" s="1"/>
  <c r="D352" i="1"/>
  <c r="D354" i="1" s="1"/>
  <c r="I5" i="1"/>
  <c r="I369" i="1" s="1"/>
  <c r="H5" i="1"/>
  <c r="J3" i="1"/>
  <c r="BS391" i="1"/>
  <c r="K1" i="1"/>
  <c r="J2" i="1"/>
  <c r="K725" i="1" s="1"/>
  <c r="G368" i="1"/>
  <c r="G321" i="1"/>
  <c r="G323" i="1" s="1"/>
  <c r="G291" i="1"/>
  <c r="G294" i="1" s="1"/>
  <c r="G295" i="1" s="1"/>
  <c r="G353" i="1" s="1"/>
  <c r="G358" i="1"/>
  <c r="G300" i="1" s="1"/>
  <c r="G73" i="1" s="1"/>
  <c r="G75" i="1"/>
  <c r="G363" i="1"/>
  <c r="G305" i="1" s="1"/>
  <c r="G372" i="1"/>
  <c r="G316" i="1"/>
  <c r="G374" i="1" s="1"/>
  <c r="F316" i="1"/>
  <c r="G76" i="1"/>
  <c r="F368" i="1"/>
  <c r="BZ3" i="1"/>
  <c r="F75" i="1"/>
  <c r="F339" i="1"/>
  <c r="F359" i="1"/>
  <c r="F358" i="1" s="1"/>
  <c r="F300" i="1" s="1"/>
  <c r="F73" i="1" s="1"/>
  <c r="F74" i="1"/>
  <c r="G71" i="1"/>
  <c r="G334" i="1"/>
  <c r="F379" i="1"/>
  <c r="F319" i="1" s="1"/>
  <c r="F322" i="1" s="1"/>
  <c r="F321" i="1"/>
  <c r="F71" i="1"/>
  <c r="F334" i="1"/>
  <c r="F291" i="1"/>
  <c r="F372" i="1"/>
  <c r="F76" i="1"/>
  <c r="F364" i="1"/>
  <c r="F363" i="1" s="1"/>
  <c r="F305" i="1" s="1"/>
  <c r="BW53" i="1"/>
  <c r="E380" i="1"/>
  <c r="E375" i="1"/>
  <c r="E377" i="1" s="1"/>
  <c r="BU529" i="1"/>
  <c r="BU534" i="1" s="1"/>
  <c r="BU538" i="1" s="1"/>
  <c r="BU742" i="1" s="1"/>
  <c r="BU768" i="1" s="1"/>
  <c r="BT550" i="1"/>
  <c r="BT564" i="1" s="1"/>
  <c r="BT568" i="1" s="1"/>
  <c r="BT587" i="1" s="1"/>
  <c r="BT674" i="1"/>
  <c r="BU216" i="1"/>
  <c r="BS158" i="1"/>
  <c r="BT159" i="1"/>
  <c r="BU217" i="1" s="1"/>
  <c r="BV217" i="1"/>
  <c r="BV53" i="1"/>
  <c r="E354" i="1"/>
  <c r="D79" i="1"/>
  <c r="D380" i="1"/>
  <c r="D375" i="1"/>
  <c r="D377" i="1" s="1"/>
  <c r="C295" i="1"/>
  <c r="C353" i="1" s="1"/>
  <c r="C325" i="1" l="1"/>
  <c r="C269" i="1"/>
  <c r="I357" i="1"/>
  <c r="I112" i="1"/>
  <c r="K2" i="1"/>
  <c r="L725" i="1" s="1"/>
  <c r="I362" i="1"/>
  <c r="I93" i="1"/>
  <c r="I24" i="1"/>
  <c r="H110" i="1"/>
  <c r="I86" i="1"/>
  <c r="H344" i="1"/>
  <c r="I23" i="1"/>
  <c r="H808" i="1"/>
  <c r="I109" i="1"/>
  <c r="I111" i="1"/>
  <c r="H809" i="1"/>
  <c r="H89" i="1"/>
  <c r="I811" i="1"/>
  <c r="I350" i="1"/>
  <c r="H788" i="1"/>
  <c r="I89" i="1"/>
  <c r="I85" i="1"/>
  <c r="H281" i="1"/>
  <c r="H75" i="1" s="1"/>
  <c r="H783" i="1"/>
  <c r="H84" i="1"/>
  <c r="I351" i="1"/>
  <c r="I87" i="1"/>
  <c r="I117" i="1"/>
  <c r="H367" i="1"/>
  <c r="H782" i="1"/>
  <c r="H376" i="1"/>
  <c r="H811" i="1"/>
  <c r="I783" i="1"/>
  <c r="H350" i="1"/>
  <c r="H23" i="1"/>
  <c r="I809" i="1"/>
  <c r="I113" i="1"/>
  <c r="H93" i="1"/>
  <c r="H789" i="1"/>
  <c r="H810" i="1"/>
  <c r="I344" i="1"/>
  <c r="I787" i="1"/>
  <c r="I118" i="1"/>
  <c r="H306" i="1"/>
  <c r="H76" i="1" s="1"/>
  <c r="H25" i="1"/>
  <c r="I790" i="1"/>
  <c r="H790" i="1"/>
  <c r="I306" i="1"/>
  <c r="I76" i="1" s="1"/>
  <c r="I376" i="1"/>
  <c r="I810" i="1"/>
  <c r="H362" i="1"/>
  <c r="H787" i="1"/>
  <c r="H301" i="1"/>
  <c r="H74" i="1" s="1"/>
  <c r="H85" i="1"/>
  <c r="H26" i="1"/>
  <c r="I301" i="1"/>
  <c r="I74" i="1" s="1"/>
  <c r="I788" i="1"/>
  <c r="I808" i="1"/>
  <c r="H276" i="1"/>
  <c r="H71" i="1" s="1"/>
  <c r="H113" i="1"/>
  <c r="I296" i="1"/>
  <c r="I321" i="1" s="1"/>
  <c r="I25" i="1"/>
  <c r="I88" i="1"/>
  <c r="H296" i="1"/>
  <c r="H379" i="1" s="1"/>
  <c r="H319" i="1" s="1"/>
  <c r="H322" i="1" s="1"/>
  <c r="I785" i="1"/>
  <c r="I841" i="1" s="1"/>
  <c r="I367" i="1"/>
  <c r="I368" i="1" s="1"/>
  <c r="H369" i="1"/>
  <c r="H88" i="1"/>
  <c r="H117" i="1"/>
  <c r="H351" i="1"/>
  <c r="I26" i="1"/>
  <c r="H112" i="1"/>
  <c r="H86" i="1"/>
  <c r="I281" i="1"/>
  <c r="I75" i="1" s="1"/>
  <c r="I110" i="1"/>
  <c r="I84" i="1"/>
  <c r="H87" i="1"/>
  <c r="H24" i="1"/>
  <c r="I789" i="1"/>
  <c r="H357" i="1"/>
  <c r="I782" i="1"/>
  <c r="H118" i="1"/>
  <c r="H785" i="1"/>
  <c r="H841" i="1" s="1"/>
  <c r="I276" i="1"/>
  <c r="I71" i="1" s="1"/>
  <c r="K3" i="1"/>
  <c r="L1" i="1"/>
  <c r="G349" i="1"/>
  <c r="G352" i="1" s="1"/>
  <c r="G354" i="1" s="1"/>
  <c r="G315" i="1"/>
  <c r="G373" i="1" s="1"/>
  <c r="G317" i="1"/>
  <c r="G79" i="1" s="1"/>
  <c r="F315" i="1"/>
  <c r="F373" i="1" s="1"/>
  <c r="F317" i="1"/>
  <c r="F323" i="1"/>
  <c r="BU743" i="1"/>
  <c r="BU769" i="1" s="1"/>
  <c r="F349" i="1"/>
  <c r="F294" i="1"/>
  <c r="F374" i="1"/>
  <c r="G269" i="1"/>
  <c r="G325" i="1"/>
  <c r="G81" i="1"/>
  <c r="E391" i="1"/>
  <c r="BU541" i="1"/>
  <c r="BU674" i="1" s="1"/>
  <c r="BV533" i="1"/>
  <c r="BV527" i="1" s="1"/>
  <c r="BU531" i="1"/>
  <c r="C354" i="1"/>
  <c r="BT590" i="1"/>
  <c r="BT836" i="1"/>
  <c r="BT607" i="1"/>
  <c r="BT837" i="1" s="1"/>
  <c r="BU53" i="1"/>
  <c r="BS216" i="1"/>
  <c r="BS159" i="1"/>
  <c r="BT216" i="1"/>
  <c r="D391" i="1"/>
  <c r="I364" i="1" l="1"/>
  <c r="I363" i="1" s="1"/>
  <c r="I305" i="1" s="1"/>
  <c r="H372" i="1"/>
  <c r="I291" i="1"/>
  <c r="I294" i="1" s="1"/>
  <c r="I295" i="1" s="1"/>
  <c r="I353" i="1" s="1"/>
  <c r="K5" i="1"/>
  <c r="K351" i="1" s="1"/>
  <c r="H291" i="1"/>
  <c r="H294" i="1" s="1"/>
  <c r="H295" i="1" s="1"/>
  <c r="H353" i="1" s="1"/>
  <c r="L2" i="1"/>
  <c r="I339" i="1"/>
  <c r="J5" i="1"/>
  <c r="J306" i="1" s="1"/>
  <c r="J76" i="1" s="1"/>
  <c r="I359" i="1"/>
  <c r="I358" i="1" s="1"/>
  <c r="I300" i="1" s="1"/>
  <c r="I73" i="1" s="1"/>
  <c r="I316" i="1"/>
  <c r="I334" i="1"/>
  <c r="H368" i="1"/>
  <c r="I379" i="1"/>
  <c r="I319" i="1" s="1"/>
  <c r="I322" i="1" s="1"/>
  <c r="I323" i="1" s="1"/>
  <c r="I269" i="1" s="1"/>
  <c r="I372" i="1"/>
  <c r="H364" i="1"/>
  <c r="H363" i="1" s="1"/>
  <c r="H305" i="1" s="1"/>
  <c r="H321" i="1"/>
  <c r="H323" i="1" s="1"/>
  <c r="H269" i="1" s="1"/>
  <c r="H359" i="1"/>
  <c r="H358" i="1" s="1"/>
  <c r="H300" i="1" s="1"/>
  <c r="H73" i="1" s="1"/>
  <c r="H316" i="1"/>
  <c r="H317" i="1" s="1"/>
  <c r="H380" i="1" s="1"/>
  <c r="H339" i="1"/>
  <c r="H334" i="1"/>
  <c r="L3" i="1"/>
  <c r="G380" i="1"/>
  <c r="G375" i="1"/>
  <c r="G377" i="1" s="1"/>
  <c r="G391" i="1" s="1"/>
  <c r="F79" i="1"/>
  <c r="F380" i="1"/>
  <c r="F375" i="1"/>
  <c r="F377" i="1" s="1"/>
  <c r="F325" i="1"/>
  <c r="F81" i="1"/>
  <c r="F269" i="1"/>
  <c r="F352" i="1"/>
  <c r="F295" i="1"/>
  <c r="F353" i="1" s="1"/>
  <c r="BU550" i="1"/>
  <c r="BU564" i="1" s="1"/>
  <c r="BU568" i="1" s="1"/>
  <c r="BU587" i="1" s="1"/>
  <c r="BU607" i="1" s="1"/>
  <c r="BU837" i="1" s="1"/>
  <c r="BT834" i="1"/>
  <c r="BT548" i="1"/>
  <c r="BT595" i="1"/>
  <c r="BT150" i="1"/>
  <c r="BS217" i="1"/>
  <c r="BT217" i="1"/>
  <c r="BV622" i="1"/>
  <c r="BV624" i="1" s="1"/>
  <c r="BV629" i="1" s="1"/>
  <c r="BV529" i="1"/>
  <c r="BV534" i="1" s="1"/>
  <c r="BV538" i="1" s="1"/>
  <c r="BT53" i="1"/>
  <c r="BS53" i="1"/>
  <c r="J783" i="1" l="1"/>
  <c r="J84" i="1"/>
  <c r="J112" i="1"/>
  <c r="K23" i="1"/>
  <c r="K785" i="1"/>
  <c r="K841" i="1" s="1"/>
  <c r="J24" i="1"/>
  <c r="J811" i="1"/>
  <c r="J118" i="1"/>
  <c r="J369" i="1"/>
  <c r="J351" i="1"/>
  <c r="J788" i="1"/>
  <c r="K25" i="1"/>
  <c r="J344" i="1"/>
  <c r="J276" i="1"/>
  <c r="J71" i="1" s="1"/>
  <c r="J785" i="1"/>
  <c r="J841" i="1" s="1"/>
  <c r="J787" i="1"/>
  <c r="K281" i="1"/>
  <c r="K339" i="1" s="1"/>
  <c r="J301" i="1"/>
  <c r="J316" i="1" s="1"/>
  <c r="J357" i="1"/>
  <c r="J113" i="1"/>
  <c r="J26" i="1"/>
  <c r="J782" i="1"/>
  <c r="K782" i="1"/>
  <c r="J350" i="1"/>
  <c r="J23" i="1"/>
  <c r="J87" i="1"/>
  <c r="K85" i="1"/>
  <c r="K376" i="1"/>
  <c r="K87" i="1"/>
  <c r="K788" i="1"/>
  <c r="K118" i="1"/>
  <c r="K783" i="1"/>
  <c r="K296" i="1"/>
  <c r="K379" i="1" s="1"/>
  <c r="K319" i="1" s="1"/>
  <c r="K322" i="1" s="1"/>
  <c r="K88" i="1"/>
  <c r="K810" i="1"/>
  <c r="K344" i="1"/>
  <c r="K24" i="1"/>
  <c r="K111" i="1"/>
  <c r="K93" i="1"/>
  <c r="K787" i="1"/>
  <c r="I349" i="1"/>
  <c r="I352" i="1" s="1"/>
  <c r="I354" i="1" s="1"/>
  <c r="K110" i="1"/>
  <c r="K367" i="1"/>
  <c r="K86" i="1"/>
  <c r="K89" i="1"/>
  <c r="K362" i="1"/>
  <c r="K789" i="1"/>
  <c r="K808" i="1"/>
  <c r="K301" i="1"/>
  <c r="K74" i="1" s="1"/>
  <c r="K113" i="1"/>
  <c r="K790" i="1"/>
  <c r="K112" i="1"/>
  <c r="K306" i="1"/>
  <c r="K364" i="1" s="1"/>
  <c r="K357" i="1"/>
  <c r="K809" i="1"/>
  <c r="H315" i="1"/>
  <c r="H373" i="1" s="1"/>
  <c r="K26" i="1"/>
  <c r="K109" i="1"/>
  <c r="K811" i="1"/>
  <c r="K350" i="1"/>
  <c r="K84" i="1"/>
  <c r="K276" i="1"/>
  <c r="K334" i="1" s="1"/>
  <c r="K117" i="1"/>
  <c r="K369" i="1"/>
  <c r="J93" i="1"/>
  <c r="J809" i="1"/>
  <c r="J25" i="1"/>
  <c r="J367" i="1"/>
  <c r="J88" i="1"/>
  <c r="J117" i="1"/>
  <c r="J376" i="1"/>
  <c r="J89" i="1"/>
  <c r="J362" i="1"/>
  <c r="I374" i="1"/>
  <c r="J790" i="1"/>
  <c r="I315" i="1"/>
  <c r="I373" i="1" s="1"/>
  <c r="J110" i="1"/>
  <c r="J808" i="1"/>
  <c r="J281" i="1"/>
  <c r="J339" i="1" s="1"/>
  <c r="J789" i="1"/>
  <c r="J810" i="1"/>
  <c r="J296" i="1"/>
  <c r="J379" i="1" s="1"/>
  <c r="J319" i="1" s="1"/>
  <c r="J322" i="1" s="1"/>
  <c r="J85" i="1"/>
  <c r="J86" i="1"/>
  <c r="H375" i="1"/>
  <c r="H374" i="1"/>
  <c r="H79" i="1"/>
  <c r="I325" i="1"/>
  <c r="H349" i="1"/>
  <c r="H352" i="1" s="1"/>
  <c r="H354" i="1" s="1"/>
  <c r="I81" i="1"/>
  <c r="I317" i="1"/>
  <c r="I380" i="1" s="1"/>
  <c r="H81" i="1"/>
  <c r="H325" i="1"/>
  <c r="J364" i="1"/>
  <c r="F354" i="1"/>
  <c r="F391" i="1" s="1"/>
  <c r="BU836" i="1"/>
  <c r="BU590" i="1"/>
  <c r="BU595" i="1" s="1"/>
  <c r="BT786" i="1"/>
  <c r="BT744" i="1"/>
  <c r="BT784" i="1"/>
  <c r="BT630" i="1"/>
  <c r="BT631" i="1" s="1"/>
  <c r="BV743" i="1"/>
  <c r="BV769" i="1" s="1"/>
  <c r="BV742" i="1"/>
  <c r="BV768" i="1" s="1"/>
  <c r="BV541" i="1"/>
  <c r="BW533" i="1"/>
  <c r="BV531" i="1"/>
  <c r="J334" i="1" l="1"/>
  <c r="J368" i="1"/>
  <c r="J359" i="1"/>
  <c r="J358" i="1" s="1"/>
  <c r="J300" i="1" s="1"/>
  <c r="J73" i="1" s="1"/>
  <c r="J74" i="1"/>
  <c r="K75" i="1"/>
  <c r="K291" i="1"/>
  <c r="K294" i="1" s="1"/>
  <c r="K295" i="1" s="1"/>
  <c r="K353" i="1" s="1"/>
  <c r="K321" i="1"/>
  <c r="K323" i="1" s="1"/>
  <c r="K81" i="1" s="1"/>
  <c r="K71" i="1"/>
  <c r="K359" i="1"/>
  <c r="K358" i="1" s="1"/>
  <c r="K300" i="1" s="1"/>
  <c r="K368" i="1"/>
  <c r="K363" i="1"/>
  <c r="K305" i="1" s="1"/>
  <c r="K372" i="1"/>
  <c r="J363" i="1"/>
  <c r="J305" i="1" s="1"/>
  <c r="K316" i="1"/>
  <c r="K317" i="1" s="1"/>
  <c r="K380" i="1" s="1"/>
  <c r="J372" i="1"/>
  <c r="K76" i="1"/>
  <c r="J321" i="1"/>
  <c r="J323" i="1" s="1"/>
  <c r="J325" i="1" s="1"/>
  <c r="J317" i="1"/>
  <c r="J380" i="1" s="1"/>
  <c r="H377" i="1"/>
  <c r="H391" i="1" s="1"/>
  <c r="J291" i="1"/>
  <c r="J294" i="1" s="1"/>
  <c r="J295" i="1" s="1"/>
  <c r="J353" i="1" s="1"/>
  <c r="J75" i="1"/>
  <c r="I79" i="1"/>
  <c r="I375" i="1"/>
  <c r="I377" i="1" s="1"/>
  <c r="I391" i="1" s="1"/>
  <c r="BU834" i="1"/>
  <c r="BU150" i="1"/>
  <c r="BU548" i="1"/>
  <c r="BT639" i="1"/>
  <c r="BT4" i="1" s="1"/>
  <c r="BT618" i="1"/>
  <c r="BU786" i="1"/>
  <c r="BU784" i="1"/>
  <c r="BU744" i="1"/>
  <c r="BU630" i="1"/>
  <c r="BU631" i="1" s="1"/>
  <c r="BV550" i="1"/>
  <c r="BV564" i="1" s="1"/>
  <c r="BV568" i="1" s="1"/>
  <c r="BV587" i="1" s="1"/>
  <c r="BV674" i="1"/>
  <c r="BW527" i="1"/>
  <c r="K349" i="1" l="1"/>
  <c r="K352" i="1" s="1"/>
  <c r="K354" i="1" s="1"/>
  <c r="J374" i="1"/>
  <c r="J315" i="1"/>
  <c r="J373" i="1" s="1"/>
  <c r="K315" i="1"/>
  <c r="K373" i="1" s="1"/>
  <c r="J375" i="1"/>
  <c r="K375" i="1"/>
  <c r="K73" i="1"/>
  <c r="K374" i="1"/>
  <c r="K79" i="1"/>
  <c r="J79" i="1"/>
  <c r="J349" i="1"/>
  <c r="J352" i="1" s="1"/>
  <c r="J354" i="1" s="1"/>
  <c r="J81" i="1"/>
  <c r="J269" i="1"/>
  <c r="K325" i="1"/>
  <c r="K269" i="1"/>
  <c r="BW622" i="1"/>
  <c r="BW624" i="1" s="1"/>
  <c r="BW629" i="1" s="1"/>
  <c r="BW529" i="1"/>
  <c r="BW534" i="1" s="1"/>
  <c r="BW538" i="1" s="1"/>
  <c r="BV836" i="1"/>
  <c r="BV590" i="1"/>
  <c r="BV607" i="1"/>
  <c r="BV837" i="1" s="1"/>
  <c r="BU639" i="1"/>
  <c r="BU618" i="1"/>
  <c r="J377" i="1" l="1"/>
  <c r="J391" i="1" s="1"/>
  <c r="K377" i="1"/>
  <c r="K391" i="1" s="1"/>
  <c r="CZ556" i="1"/>
  <c r="BV834" i="1"/>
  <c r="BV595" i="1"/>
  <c r="BV548" i="1"/>
  <c r="BV150" i="1"/>
  <c r="BW743" i="1"/>
  <c r="BW769" i="1" s="1"/>
  <c r="BW742" i="1"/>
  <c r="BW768" i="1" s="1"/>
  <c r="BX533" i="1"/>
  <c r="BW531" i="1"/>
  <c r="BW541" i="1"/>
  <c r="BW674" i="1" l="1"/>
  <c r="BW550" i="1"/>
  <c r="BW564" i="1" s="1"/>
  <c r="BW568" i="1" s="1"/>
  <c r="BW587" i="1" s="1"/>
  <c r="BX527" i="1"/>
  <c r="BV786" i="1"/>
  <c r="BV784" i="1"/>
  <c r="BV744" i="1"/>
  <c r="BV630" i="1"/>
  <c r="BV631" i="1" s="1"/>
  <c r="DA556" i="1" l="1"/>
  <c r="BV639" i="1"/>
  <c r="BV618" i="1"/>
  <c r="BX622" i="1"/>
  <c r="BX624" i="1" s="1"/>
  <c r="BX629" i="1" s="1"/>
  <c r="BX529" i="1"/>
  <c r="BX534" i="1" s="1"/>
  <c r="BX538" i="1" s="1"/>
  <c r="BW836" i="1"/>
  <c r="BW607" i="1"/>
  <c r="BW837" i="1" s="1"/>
  <c r="BW590" i="1"/>
  <c r="BW834" i="1" l="1"/>
  <c r="BW595" i="1"/>
  <c r="BW150" i="1"/>
  <c r="BW548" i="1"/>
  <c r="BX743" i="1"/>
  <c r="BX769" i="1" s="1"/>
  <c r="BX742" i="1"/>
  <c r="BX768" i="1" s="1"/>
  <c r="BX541" i="1"/>
  <c r="BY533" i="1"/>
  <c r="BX531" i="1"/>
  <c r="DB556" i="1" l="1"/>
  <c r="BY527" i="1"/>
  <c r="BX674" i="1"/>
  <c r="BX550" i="1"/>
  <c r="BX564" i="1" s="1"/>
  <c r="BX568" i="1" s="1"/>
  <c r="BX587" i="1" s="1"/>
  <c r="BW786" i="1"/>
  <c r="BW784" i="1"/>
  <c r="BW744" i="1"/>
  <c r="BW630" i="1"/>
  <c r="BW631" i="1" s="1"/>
  <c r="BW639" i="1" l="1"/>
  <c r="BW618" i="1"/>
  <c r="BX836" i="1"/>
  <c r="BX590" i="1"/>
  <c r="BX607" i="1"/>
  <c r="BX837" i="1" s="1"/>
  <c r="BY622" i="1"/>
  <c r="BY624" i="1" s="1"/>
  <c r="BY629" i="1" s="1"/>
  <c r="BY529" i="1"/>
  <c r="BY534" i="1" s="1"/>
  <c r="BY538" i="1" s="1"/>
  <c r="DC556" i="1" l="1"/>
  <c r="BY743" i="1"/>
  <c r="BY769" i="1" s="1"/>
  <c r="BY742" i="1"/>
  <c r="BY768" i="1" s="1"/>
  <c r="BZ533" i="1"/>
  <c r="BY531" i="1"/>
  <c r="BY541" i="1"/>
  <c r="BX834" i="1"/>
  <c r="BX595" i="1"/>
  <c r="BX548" i="1"/>
  <c r="BX150" i="1"/>
  <c r="DD556" i="1" l="1"/>
  <c r="BX786" i="1"/>
  <c r="BX784" i="1"/>
  <c r="BX744" i="1"/>
  <c r="BX630" i="1"/>
  <c r="BX631" i="1" s="1"/>
  <c r="BY674" i="1"/>
  <c r="BY550" i="1"/>
  <c r="BY564" i="1" s="1"/>
  <c r="BY568" i="1" s="1"/>
  <c r="BY587" i="1" s="1"/>
  <c r="BZ527" i="1"/>
  <c r="BZ622" i="1" l="1"/>
  <c r="BZ624" i="1" s="1"/>
  <c r="BZ629" i="1" s="1"/>
  <c r="BZ529" i="1"/>
  <c r="BZ534" i="1" s="1"/>
  <c r="BZ538" i="1" s="1"/>
  <c r="BY836" i="1"/>
  <c r="BY607" i="1"/>
  <c r="BY837" i="1" s="1"/>
  <c r="BY590" i="1"/>
  <c r="BX639" i="1"/>
  <c r="BX618" i="1"/>
  <c r="DE556" i="1" l="1"/>
  <c r="BY834" i="1"/>
  <c r="BY548" i="1"/>
  <c r="BY150" i="1"/>
  <c r="BY595" i="1"/>
  <c r="BZ743" i="1"/>
  <c r="BZ769" i="1" s="1"/>
  <c r="BZ742" i="1"/>
  <c r="BZ768" i="1" s="1"/>
  <c r="BZ541" i="1"/>
  <c r="BZ531" i="1"/>
  <c r="CA533" i="1"/>
  <c r="BZ550" i="1" l="1"/>
  <c r="BZ564" i="1" s="1"/>
  <c r="BZ568" i="1" s="1"/>
  <c r="BZ587" i="1" s="1"/>
  <c r="BZ674" i="1"/>
  <c r="CA527" i="1"/>
  <c r="BY786" i="1"/>
  <c r="BY784" i="1"/>
  <c r="BY744" i="1"/>
  <c r="BY630" i="1"/>
  <c r="BY631" i="1" s="1"/>
  <c r="BY639" i="1" l="1"/>
  <c r="BY618" i="1"/>
  <c r="BZ836" i="1"/>
  <c r="BZ590" i="1"/>
  <c r="BZ607" i="1"/>
  <c r="BZ837" i="1" s="1"/>
  <c r="CA622" i="1"/>
  <c r="CA624" i="1" s="1"/>
  <c r="CA629" i="1" s="1"/>
  <c r="CA529" i="1"/>
  <c r="CA534" i="1" s="1"/>
  <c r="CA538" i="1" s="1"/>
  <c r="CA743" i="1" l="1"/>
  <c r="CA769" i="1" s="1"/>
  <c r="CA742" i="1"/>
  <c r="CA768" i="1" s="1"/>
  <c r="CB533" i="1"/>
  <c r="CA531" i="1"/>
  <c r="CA541" i="1"/>
  <c r="BZ834" i="1"/>
  <c r="BZ595" i="1"/>
  <c r="BZ548" i="1"/>
  <c r="BZ150" i="1"/>
  <c r="BZ786" i="1" l="1"/>
  <c r="BZ784" i="1"/>
  <c r="BZ744" i="1"/>
  <c r="BZ630" i="1"/>
  <c r="BZ631" i="1" s="1"/>
  <c r="CA674" i="1"/>
  <c r="CA550" i="1"/>
  <c r="CA564" i="1" s="1"/>
  <c r="CA568" i="1" s="1"/>
  <c r="CA587" i="1" s="1"/>
  <c r="CB527" i="1"/>
  <c r="CB622" i="1" l="1"/>
  <c r="CB624" i="1" s="1"/>
  <c r="CB629" i="1" s="1"/>
  <c r="CB529" i="1"/>
  <c r="CB534" i="1" s="1"/>
  <c r="CB538" i="1" s="1"/>
  <c r="CA836" i="1"/>
  <c r="CA607" i="1"/>
  <c r="CA837" i="1" s="1"/>
  <c r="CA590" i="1"/>
  <c r="BZ639" i="1"/>
  <c r="BZ618" i="1"/>
  <c r="CA834" i="1" l="1"/>
  <c r="CA595" i="1"/>
  <c r="CA150" i="1"/>
  <c r="CA548" i="1"/>
  <c r="CB541" i="1"/>
  <c r="CB742" i="1"/>
  <c r="CB768" i="1" s="1"/>
  <c r="CB531" i="1"/>
  <c r="CB743" i="1"/>
  <c r="CB769" i="1" s="1"/>
  <c r="CB674" i="1" l="1"/>
  <c r="CB550" i="1"/>
  <c r="CB564" i="1" s="1"/>
  <c r="CB568" i="1" s="1"/>
  <c r="CB587" i="1" s="1"/>
  <c r="CA786" i="1"/>
  <c r="CA784" i="1"/>
  <c r="CA744" i="1"/>
  <c r="CA630" i="1"/>
  <c r="CA631" i="1" s="1"/>
  <c r="CA639" i="1" l="1"/>
  <c r="CA618" i="1"/>
  <c r="CB836" i="1"/>
  <c r="CB590" i="1"/>
  <c r="CB606" i="1"/>
  <c r="CB607" i="1" s="1"/>
  <c r="CB837" i="1" s="1"/>
  <c r="CB834" i="1" l="1"/>
  <c r="CB595" i="1"/>
  <c r="CB548" i="1"/>
  <c r="CB150" i="1"/>
  <c r="CB784" i="1" l="1"/>
  <c r="CB786" i="1"/>
  <c r="CB744" i="1"/>
  <c r="CB630" i="1"/>
  <c r="CB631" i="1" s="1"/>
  <c r="CB618" i="1" l="1"/>
  <c r="CB639" i="1"/>
  <c r="AN249" i="9" l="1"/>
  <c r="AP249" i="9" s="1"/>
  <c r="AN248" i="9"/>
  <c r="AP248" i="9" s="1"/>
  <c r="AP50" i="9"/>
  <c r="Y233" i="9" l="1"/>
  <c r="Y234" i="9"/>
  <c r="Y235" i="9"/>
  <c r="Y236" i="9"/>
  <c r="Y232" i="9"/>
  <c r="AA237" i="9"/>
  <c r="X237" i="9"/>
  <c r="X241" i="9" s="1"/>
  <c r="Z18" i="9"/>
  <c r="Y18" i="9"/>
  <c r="Z187" i="9"/>
  <c r="AA187" i="9" s="1"/>
  <c r="Z215" i="9"/>
  <c r="Z214" i="9"/>
  <c r="Z178" i="9"/>
  <c r="Z177" i="9"/>
  <c r="Y39" i="9"/>
  <c r="Z40" i="9"/>
  <c r="Z39" i="9" s="1"/>
  <c r="X242" i="9" l="1"/>
  <c r="X240" i="9"/>
  <c r="X243" i="9"/>
  <c r="X244" i="9"/>
  <c r="Y13" i="9"/>
  <c r="Y261" i="9" s="1"/>
  <c r="AA14" i="9"/>
  <c r="AG99" i="9"/>
  <c r="AG98" i="9"/>
  <c r="AA13" i="9" l="1"/>
  <c r="Z294" i="9"/>
  <c r="AA293" i="9"/>
  <c r="AA292" i="9"/>
  <c r="AA291" i="9"/>
  <c r="AA290" i="9"/>
  <c r="AA289" i="9"/>
  <c r="AA288" i="9"/>
  <c r="AA287" i="9"/>
  <c r="AA284" i="9"/>
  <c r="Z268" i="9"/>
  <c r="Z278" i="9" s="1"/>
  <c r="AA267" i="9"/>
  <c r="AA266" i="9"/>
  <c r="AA265" i="9"/>
  <c r="AA264" i="9"/>
  <c r="AA241" i="9"/>
  <c r="AA242" i="9"/>
  <c r="AA243" i="9"/>
  <c r="AA244" i="9"/>
  <c r="AA240" i="9"/>
  <c r="Z129" i="9"/>
  <c r="Y127" i="9"/>
  <c r="AA127" i="9" s="1"/>
  <c r="Y126" i="9"/>
  <c r="AA126" i="9" s="1"/>
  <c r="AA125" i="9"/>
  <c r="AB125" i="9" s="1"/>
  <c r="Z122" i="9"/>
  <c r="Y120" i="9"/>
  <c r="AA120" i="9" s="1"/>
  <c r="Y119" i="9"/>
  <c r="AA119" i="9" s="1"/>
  <c r="AA118" i="9"/>
  <c r="Z115" i="9"/>
  <c r="Y113" i="9"/>
  <c r="AA113" i="9" s="1"/>
  <c r="Y112" i="9"/>
  <c r="AA112" i="9" s="1"/>
  <c r="AA111" i="9"/>
  <c r="AA102" i="9"/>
  <c r="Z101" i="9"/>
  <c r="Z103" i="9" s="1"/>
  <c r="Y101" i="9"/>
  <c r="Y103" i="9" s="1"/>
  <c r="AA100" i="9"/>
  <c r="AA99" i="9"/>
  <c r="AA98" i="9"/>
  <c r="Z93" i="9"/>
  <c r="AA93" i="9" s="1"/>
  <c r="Z89" i="9"/>
  <c r="Z86" i="9"/>
  <c r="Z82" i="9"/>
  <c r="Z81" i="9"/>
  <c r="Z77" i="9"/>
  <c r="AA77" i="9" s="1"/>
  <c r="X77" i="9"/>
  <c r="Z73" i="9"/>
  <c r="Z70" i="9"/>
  <c r="Z65" i="9"/>
  <c r="Z57" i="9"/>
  <c r="Z52" i="9"/>
  <c r="W52" i="9"/>
  <c r="AC395" i="9" l="1"/>
  <c r="AA294" i="9"/>
  <c r="AB295" i="9" s="1"/>
  <c r="AA142" i="9"/>
  <c r="AA140" i="9"/>
  <c r="AB111" i="9"/>
  <c r="AC111" i="9" s="1"/>
  <c r="AB118" i="9"/>
  <c r="AC118" i="9" s="1"/>
  <c r="AA141" i="9"/>
  <c r="AA139" i="9"/>
  <c r="AA103" i="9"/>
  <c r="AA101" i="9"/>
  <c r="AC125" i="9"/>
  <c r="AB130" i="9"/>
  <c r="Z274" i="9"/>
  <c r="Z275" i="9"/>
  <c r="Z276" i="9"/>
  <c r="Z277" i="9"/>
  <c r="AC141" i="1"/>
  <c r="AC143" i="1" s="1"/>
  <c r="AD143" i="1" s="1"/>
  <c r="AC125" i="1"/>
  <c r="AC122" i="1"/>
  <c r="AC101" i="1"/>
  <c r="AB116" i="9" l="1"/>
  <c r="AC142" i="9"/>
  <c r="AC140" i="9"/>
  <c r="AC141" i="9"/>
  <c r="AC139" i="9"/>
  <c r="AB139" i="9"/>
  <c r="AB141" i="9"/>
  <c r="AB142" i="9"/>
  <c r="AB140" i="9"/>
  <c r="AC130" i="9"/>
  <c r="AD125" i="9"/>
  <c r="AD129" i="9" s="1"/>
  <c r="AC129" i="9"/>
  <c r="AC116" i="9"/>
  <c r="AD111" i="9"/>
  <c r="AC115" i="9"/>
  <c r="AC122" i="9"/>
  <c r="AD118" i="9"/>
  <c r="AC59" i="1"/>
  <c r="AC57" i="1"/>
  <c r="AC56" i="1"/>
  <c r="AC54" i="1"/>
  <c r="AC52" i="1"/>
  <c r="CO254" i="1"/>
  <c r="CO249" i="1"/>
  <c r="CO244" i="1"/>
  <c r="AC735" i="1"/>
  <c r="AC713" i="1"/>
  <c r="AC704" i="1"/>
  <c r="AC703" i="1"/>
  <c r="AC680" i="1"/>
  <c r="AC665" i="1"/>
  <c r="AC677" i="1" s="1"/>
  <c r="AE111" i="9" l="1"/>
  <c r="AE116" i="9" s="1"/>
  <c r="AD142" i="9"/>
  <c r="AD140" i="9"/>
  <c r="AD122" i="9"/>
  <c r="AE118" i="9"/>
  <c r="AD141" i="9"/>
  <c r="AD139" i="9"/>
  <c r="CO259" i="1"/>
  <c r="AC663" i="1"/>
  <c r="AC634" i="1"/>
  <c r="AC633" i="1"/>
  <c r="AC625" i="1"/>
  <c r="AC610" i="1"/>
  <c r="AC611" i="1" s="1"/>
  <c r="AC612" i="1" s="1"/>
  <c r="AC589" i="1"/>
  <c r="AC588" i="1"/>
  <c r="AC601" i="1"/>
  <c r="AC599" i="1"/>
  <c r="AD626" i="1"/>
  <c r="AC571" i="1"/>
  <c r="AD627" i="1" s="1"/>
  <c r="AC526" i="1"/>
  <c r="AC621" i="1" s="1"/>
  <c r="AC524" i="1"/>
  <c r="AC523" i="1"/>
  <c r="AC509" i="1"/>
  <c r="AC506" i="1"/>
  <c r="AC504" i="1"/>
  <c r="AC503" i="1"/>
  <c r="AC501" i="1"/>
  <c r="AC479" i="1"/>
  <c r="AC475" i="1"/>
  <c r="AC474" i="1"/>
  <c r="AC473" i="1"/>
  <c r="AC467" i="1"/>
  <c r="AC470" i="1"/>
  <c r="AC450" i="1"/>
  <c r="AC445" i="1"/>
  <c r="AC444" i="1"/>
  <c r="AC416" i="1"/>
  <c r="AC414" i="1"/>
  <c r="AC412" i="1"/>
  <c r="AC409" i="1"/>
  <c r="AC388" i="1"/>
  <c r="AC381" i="1"/>
  <c r="AC262" i="1"/>
  <c r="AC254" i="1"/>
  <c r="AC249" i="1"/>
  <c r="AC244" i="1"/>
  <c r="AC234" i="1"/>
  <c r="AE115" i="9" l="1"/>
  <c r="AE141" i="9"/>
  <c r="AE139" i="9"/>
  <c r="AE122" i="9"/>
  <c r="AF118" i="9"/>
  <c r="AF111" i="9"/>
  <c r="AE142" i="9"/>
  <c r="AE140" i="9"/>
  <c r="AC415" i="1"/>
  <c r="AC603" i="1"/>
  <c r="AC502" i="1"/>
  <c r="AE412" i="1"/>
  <c r="AG412" i="1" s="1"/>
  <c r="AI412" i="1" s="1"/>
  <c r="AK412" i="1" s="1"/>
  <c r="AM412" i="1" s="1"/>
  <c r="AO412" i="1" s="1"/>
  <c r="AQ412" i="1" s="1"/>
  <c r="AS412" i="1" s="1"/>
  <c r="AU412" i="1" s="1"/>
  <c r="AW412" i="1" s="1"/>
  <c r="AC468" i="1"/>
  <c r="AC469" i="1" s="1"/>
  <c r="AC507" i="1"/>
  <c r="AC584" i="1"/>
  <c r="AC237" i="1"/>
  <c r="AC635" i="1"/>
  <c r="AC738" i="1" s="1"/>
  <c r="AC227" i="1"/>
  <c r="AC222" i="1"/>
  <c r="AC218" i="1"/>
  <c r="AC215" i="1"/>
  <c r="AC209" i="1"/>
  <c r="AC205" i="1"/>
  <c r="AC197" i="1"/>
  <c r="AC196" i="1"/>
  <c r="AC191" i="1"/>
  <c r="AC190" i="1"/>
  <c r="AC185" i="1"/>
  <c r="AC184" i="1"/>
  <c r="AC178" i="1"/>
  <c r="AC181" i="1" s="1"/>
  <c r="AC147" i="1" s="1"/>
  <c r="AC176" i="1"/>
  <c r="AC145" i="1" s="1"/>
  <c r="AC171" i="1"/>
  <c r="AC165" i="1"/>
  <c r="AD223" i="1" s="1"/>
  <c r="AW502" i="1" l="1"/>
  <c r="AW500" i="1" s="1"/>
  <c r="AW424" i="1"/>
  <c r="AW459" i="1" s="1"/>
  <c r="AW488" i="1" s="1"/>
  <c r="AW408" i="1"/>
  <c r="R17" i="24" s="1"/>
  <c r="AU502" i="1"/>
  <c r="AU500" i="1" s="1"/>
  <c r="AU408" i="1"/>
  <c r="P17" i="24" s="1"/>
  <c r="AU424" i="1"/>
  <c r="AU459" i="1" s="1"/>
  <c r="AU488" i="1" s="1"/>
  <c r="AS424" i="1"/>
  <c r="AS459" i="1" s="1"/>
  <c r="AS488" i="1" s="1"/>
  <c r="AS502" i="1"/>
  <c r="AS408" i="1"/>
  <c r="N17" i="24" s="1"/>
  <c r="AQ424" i="1"/>
  <c r="AQ459" i="1" s="1"/>
  <c r="AQ488" i="1" s="1"/>
  <c r="AQ408" i="1"/>
  <c r="L17" i="24" s="1"/>
  <c r="AQ502" i="1"/>
  <c r="AO502" i="1"/>
  <c r="AO500" i="1" s="1"/>
  <c r="AO408" i="1"/>
  <c r="J17" i="24" s="1"/>
  <c r="AO424" i="1"/>
  <c r="AO459" i="1" s="1"/>
  <c r="AO488" i="1" s="1"/>
  <c r="AM408" i="1"/>
  <c r="H17" i="24" s="1"/>
  <c r="AM502" i="1"/>
  <c r="AM500" i="1" s="1"/>
  <c r="AM424" i="1"/>
  <c r="AM459" i="1" s="1"/>
  <c r="AM488" i="1" s="1"/>
  <c r="AD228" i="1"/>
  <c r="AD60" i="1"/>
  <c r="AK424" i="1"/>
  <c r="AK459" i="1" s="1"/>
  <c r="AK488" i="1" s="1"/>
  <c r="AK502" i="1"/>
  <c r="AK408" i="1"/>
  <c r="F17" i="24" s="1"/>
  <c r="AC202" i="1"/>
  <c r="AI122" i="9"/>
  <c r="AG118" i="9"/>
  <c r="AF141" i="9"/>
  <c r="AF139" i="9"/>
  <c r="AF122" i="9"/>
  <c r="AF142" i="9"/>
  <c r="AF140" i="9"/>
  <c r="AF116" i="9"/>
  <c r="AF115" i="9"/>
  <c r="AG111" i="9"/>
  <c r="AI502" i="1"/>
  <c r="AI500" i="1" s="1"/>
  <c r="AI424" i="1"/>
  <c r="AI459" i="1" s="1"/>
  <c r="AI488" i="1" s="1"/>
  <c r="AI408" i="1"/>
  <c r="D17" i="24" s="1"/>
  <c r="AG502" i="1"/>
  <c r="AG408" i="1"/>
  <c r="AE424" i="1"/>
  <c r="AE459" i="1" s="1"/>
  <c r="AE488" i="1" s="1"/>
  <c r="AE502" i="1"/>
  <c r="AC232" i="1"/>
  <c r="AC233" i="1" s="1"/>
  <c r="AC186" i="1"/>
  <c r="CO191" i="1"/>
  <c r="CO197" i="1"/>
  <c r="CO185" i="1"/>
  <c r="CO190" i="1"/>
  <c r="CO196" i="1"/>
  <c r="AC208" i="1"/>
  <c r="AC152" i="1" s="1"/>
  <c r="AD266" i="1"/>
  <c r="AD64" i="1"/>
  <c r="CO184" i="1"/>
  <c r="AC198" i="1"/>
  <c r="AC159" i="1"/>
  <c r="AC192" i="1"/>
  <c r="AC238" i="1"/>
  <c r="AC177" i="1"/>
  <c r="AC146" i="1" s="1"/>
  <c r="AC203" i="1"/>
  <c r="CY104" i="1"/>
  <c r="CY105" i="1"/>
  <c r="CY149" i="1"/>
  <c r="CY382" i="1"/>
  <c r="CY420" i="1" s="1"/>
  <c r="CY383" i="1"/>
  <c r="CY384" i="1"/>
  <c r="CY385" i="1"/>
  <c r="CY386" i="1"/>
  <c r="CY388" i="1"/>
  <c r="CY407" i="1"/>
  <c r="AU16" i="24" s="1"/>
  <c r="CY410" i="1"/>
  <c r="CY411" i="1"/>
  <c r="CY413" i="1"/>
  <c r="CY435" i="1"/>
  <c r="CY442" i="1"/>
  <c r="AU27" i="24" s="1"/>
  <c r="CY446" i="1"/>
  <c r="CY447" i="1"/>
  <c r="CY448" i="1"/>
  <c r="CY476" i="1"/>
  <c r="CY477" i="1"/>
  <c r="CY479" i="1"/>
  <c r="CY492" i="1"/>
  <c r="CY505" i="1"/>
  <c r="CY508" i="1"/>
  <c r="CY523" i="1"/>
  <c r="C19" i="23" s="1"/>
  <c r="CY524" i="1"/>
  <c r="C18" i="23" s="1"/>
  <c r="CY528" i="1"/>
  <c r="CY553" i="1"/>
  <c r="CY554" i="1"/>
  <c r="CY556" i="1"/>
  <c r="CY602" i="1"/>
  <c r="CY736" i="1"/>
  <c r="AW393" i="1" l="1"/>
  <c r="AW515" i="1"/>
  <c r="AW419" i="1"/>
  <c r="AW406" i="1"/>
  <c r="AW498" i="1"/>
  <c r="R43" i="24" s="1"/>
  <c r="AW495" i="1"/>
  <c r="AU515" i="1"/>
  <c r="AU419" i="1"/>
  <c r="AU406" i="1"/>
  <c r="AU393" i="1"/>
  <c r="AU498" i="1"/>
  <c r="AU495" i="1"/>
  <c r="AS99" i="1"/>
  <c r="AS393" i="1"/>
  <c r="AS406" i="1"/>
  <c r="AS419" i="1"/>
  <c r="AS500" i="1"/>
  <c r="AS130" i="1"/>
  <c r="AQ130" i="1"/>
  <c r="AQ500" i="1"/>
  <c r="AQ406" i="1"/>
  <c r="AQ419" i="1"/>
  <c r="AQ393" i="1"/>
  <c r="AQ99" i="1"/>
  <c r="AO406" i="1"/>
  <c r="AO515" i="1"/>
  <c r="AO393" i="1"/>
  <c r="AO419" i="1"/>
  <c r="AO495" i="1"/>
  <c r="AO498" i="1"/>
  <c r="J43" i="24" s="1"/>
  <c r="AM498" i="1"/>
  <c r="AM495" i="1"/>
  <c r="AM419" i="1"/>
  <c r="AM515" i="1"/>
  <c r="AM393" i="1"/>
  <c r="AM406" i="1"/>
  <c r="AC61" i="1"/>
  <c r="AD252" i="1"/>
  <c r="AD253" i="1"/>
  <c r="AC58" i="1"/>
  <c r="AD247" i="1"/>
  <c r="AC55" i="1"/>
  <c r="AD242" i="1"/>
  <c r="AD243" i="1"/>
  <c r="AD248" i="1"/>
  <c r="AK406" i="1"/>
  <c r="AK393" i="1"/>
  <c r="AK500" i="1"/>
  <c r="AK130" i="1"/>
  <c r="AJ115" i="9"/>
  <c r="AG142" i="9"/>
  <c r="AG140" i="9"/>
  <c r="AG115" i="9"/>
  <c r="AH111" i="9"/>
  <c r="AK115" i="9" s="1"/>
  <c r="AJ122" i="9"/>
  <c r="AG141" i="9"/>
  <c r="AG139" i="9"/>
  <c r="AH118" i="9"/>
  <c r="AK122" i="9" s="1"/>
  <c r="AG122" i="9"/>
  <c r="AI406" i="1"/>
  <c r="AI419" i="1"/>
  <c r="AI515" i="1"/>
  <c r="AI393" i="1"/>
  <c r="AI495" i="1"/>
  <c r="AI498" i="1"/>
  <c r="D43" i="24" s="1"/>
  <c r="AG406" i="1"/>
  <c r="AG405" i="1" s="1"/>
  <c r="AG99" i="1"/>
  <c r="AG130" i="1"/>
  <c r="AG500" i="1"/>
  <c r="AG498" i="1" s="1"/>
  <c r="AC204" i="1"/>
  <c r="AC795" i="1" s="1"/>
  <c r="CO203" i="1"/>
  <c r="AE500" i="1"/>
  <c r="AE498" i="1" s="1"/>
  <c r="AD217" i="1"/>
  <c r="AD53" i="1"/>
  <c r="AD265" i="1"/>
  <c r="AD267" i="1" s="1"/>
  <c r="AD63" i="1"/>
  <c r="CY423" i="1"/>
  <c r="CY458" i="1" s="1"/>
  <c r="CY487" i="1" s="1"/>
  <c r="CY473" i="1"/>
  <c r="CY501" i="1"/>
  <c r="CY516" i="1"/>
  <c r="CY520" i="1"/>
  <c r="CY425" i="1"/>
  <c r="CY460" i="1" s="1"/>
  <c r="CY489" i="1" s="1"/>
  <c r="CY504" i="1"/>
  <c r="CY519" i="1"/>
  <c r="CY475" i="1"/>
  <c r="CY503" i="1"/>
  <c r="CY518" i="1"/>
  <c r="CY445" i="1"/>
  <c r="CY474" i="1"/>
  <c r="CY517" i="1"/>
  <c r="CY422" i="1"/>
  <c r="CY457" i="1" s="1"/>
  <c r="CY409" i="1"/>
  <c r="CY421" i="1" s="1"/>
  <c r="CY444" i="1"/>
  <c r="CY455" i="1" s="1"/>
  <c r="AB470" i="1"/>
  <c r="AM131" i="1" l="1"/>
  <c r="H43" i="24"/>
  <c r="AS515" i="1"/>
  <c r="AS741" i="1" s="1"/>
  <c r="AS767" i="1" s="1"/>
  <c r="AK405" i="1"/>
  <c r="F14" i="24" s="1"/>
  <c r="F15" i="24"/>
  <c r="AM523" i="1"/>
  <c r="AM623" i="1" s="1"/>
  <c r="H44" i="24"/>
  <c r="H47" i="24" s="1"/>
  <c r="AW405" i="1"/>
  <c r="R14" i="24" s="1"/>
  <c r="R15" i="24"/>
  <c r="AO405" i="1"/>
  <c r="J14" i="24" s="1"/>
  <c r="J15" i="24"/>
  <c r="P44" i="24"/>
  <c r="P47" i="24" s="1"/>
  <c r="AM405" i="1"/>
  <c r="H14" i="24" s="1"/>
  <c r="H15" i="24"/>
  <c r="AU131" i="1"/>
  <c r="P43" i="24"/>
  <c r="AQ405" i="1"/>
  <c r="L14" i="24" s="1"/>
  <c r="L15" i="24"/>
  <c r="N15" i="24"/>
  <c r="AU405" i="1"/>
  <c r="P14" i="24" s="1"/>
  <c r="P15" i="24"/>
  <c r="AI405" i="1"/>
  <c r="D14" i="24" s="1"/>
  <c r="D15" i="24"/>
  <c r="D44" i="24"/>
  <c r="D47" i="24" s="1"/>
  <c r="J44" i="24"/>
  <c r="J47" i="24" s="1"/>
  <c r="AQ515" i="1"/>
  <c r="AQ136" i="1" s="1"/>
  <c r="R44" i="24"/>
  <c r="R47" i="24" s="1"/>
  <c r="AW792" i="1"/>
  <c r="AW793" i="1"/>
  <c r="R71" i="24" s="1"/>
  <c r="AW426" i="1"/>
  <c r="AW454" i="1"/>
  <c r="AW732" i="1"/>
  <c r="AW513" i="1"/>
  <c r="AW730" i="1"/>
  <c r="AW740" i="1"/>
  <c r="AW766" i="1" s="1"/>
  <c r="AW525" i="1"/>
  <c r="AW521" i="1"/>
  <c r="AW620" i="1"/>
  <c r="AW741" i="1"/>
  <c r="AW767" i="1" s="1"/>
  <c r="AU792" i="1"/>
  <c r="AU620" i="1"/>
  <c r="AU740" i="1"/>
  <c r="AU766" i="1" s="1"/>
  <c r="AU732" i="1"/>
  <c r="P55" i="24" s="1"/>
  <c r="AU525" i="1"/>
  <c r="AU513" i="1"/>
  <c r="AU741" i="1"/>
  <c r="AU767" i="1" s="1"/>
  <c r="AU730" i="1"/>
  <c r="AU521" i="1"/>
  <c r="AU793" i="1"/>
  <c r="P71" i="24" s="1"/>
  <c r="AU454" i="1"/>
  <c r="AU426" i="1"/>
  <c r="AS405" i="1"/>
  <c r="N14" i="24" s="1"/>
  <c r="AS792" i="1"/>
  <c r="AS498" i="1"/>
  <c r="AS495" i="1"/>
  <c r="AS793" i="1"/>
  <c r="N71" i="24" s="1"/>
  <c r="AS426" i="1"/>
  <c r="AS454" i="1"/>
  <c r="AO131" i="1"/>
  <c r="AQ792" i="1"/>
  <c r="AQ454" i="1"/>
  <c r="AQ426" i="1"/>
  <c r="AQ793" i="1"/>
  <c r="L71" i="24" s="1"/>
  <c r="AQ495" i="1"/>
  <c r="AQ498" i="1"/>
  <c r="AO792" i="1"/>
  <c r="AO741" i="1"/>
  <c r="AO767" i="1" s="1"/>
  <c r="AO620" i="1"/>
  <c r="AO732" i="1"/>
  <c r="J55" i="24" s="1"/>
  <c r="AO525" i="1"/>
  <c r="AO740" i="1"/>
  <c r="AO766" i="1" s="1"/>
  <c r="AO521" i="1"/>
  <c r="AO513" i="1"/>
  <c r="AO730" i="1"/>
  <c r="AO426" i="1"/>
  <c r="AO454" i="1"/>
  <c r="AO793" i="1"/>
  <c r="J71" i="24" s="1"/>
  <c r="AM513" i="1"/>
  <c r="AM740" i="1"/>
  <c r="AM766" i="1" s="1"/>
  <c r="AM730" i="1"/>
  <c r="AM732" i="1"/>
  <c r="H55" i="24" s="1"/>
  <c r="AM741" i="1"/>
  <c r="AM767" i="1" s="1"/>
  <c r="AM620" i="1"/>
  <c r="AM521" i="1"/>
  <c r="AM525" i="1"/>
  <c r="AM426" i="1"/>
  <c r="AM454" i="1"/>
  <c r="AM793" i="1"/>
  <c r="H71" i="24" s="1"/>
  <c r="AM792" i="1"/>
  <c r="AK498" i="1"/>
  <c r="AK495" i="1"/>
  <c r="AI792" i="1"/>
  <c r="AH122" i="9"/>
  <c r="AH141" i="9"/>
  <c r="AH139" i="9"/>
  <c r="AI111" i="9"/>
  <c r="AL115" i="9" s="1"/>
  <c r="AH142" i="9"/>
  <c r="AH140" i="9"/>
  <c r="AH116" i="9"/>
  <c r="AH115" i="9"/>
  <c r="AI426" i="1"/>
  <c r="AI454" i="1"/>
  <c r="AI793" i="1"/>
  <c r="D71" i="24" s="1"/>
  <c r="AI521" i="1"/>
  <c r="AI620" i="1"/>
  <c r="AI525" i="1"/>
  <c r="AG515" i="1"/>
  <c r="AC670" i="1"/>
  <c r="AE495" i="1"/>
  <c r="AE131" i="1"/>
  <c r="AD257" i="1"/>
  <c r="AD258" i="1"/>
  <c r="CY484" i="1"/>
  <c r="CY456" i="1"/>
  <c r="CY485" i="1" s="1"/>
  <c r="CY486" i="1"/>
  <c r="Z210" i="1"/>
  <c r="AS136" i="1" l="1"/>
  <c r="AS730" i="1"/>
  <c r="AS840" i="1" s="1"/>
  <c r="AS732" i="1"/>
  <c r="N55" i="24" s="1"/>
  <c r="AS525" i="1"/>
  <c r="N51" i="24" s="1"/>
  <c r="AQ741" i="1"/>
  <c r="AQ767" i="1" s="1"/>
  <c r="AS521" i="1"/>
  <c r="AQ740" i="1"/>
  <c r="AQ766" i="1" s="1"/>
  <c r="AS620" i="1"/>
  <c r="AS513" i="1"/>
  <c r="AQ525" i="1"/>
  <c r="AQ728" i="1" s="1"/>
  <c r="AM428" i="1"/>
  <c r="H19" i="24"/>
  <c r="J54" i="24"/>
  <c r="AQ428" i="1"/>
  <c r="L19" i="24"/>
  <c r="AW760" i="1"/>
  <c r="R55" i="24"/>
  <c r="P51" i="24"/>
  <c r="P50" i="24" s="1"/>
  <c r="AK131" i="1"/>
  <c r="F43" i="24"/>
  <c r="AS428" i="1"/>
  <c r="N19" i="24"/>
  <c r="R51" i="24"/>
  <c r="R50" i="24" s="1"/>
  <c r="AW428" i="1"/>
  <c r="R19" i="24"/>
  <c r="L44" i="24"/>
  <c r="L47" i="24" s="1"/>
  <c r="AI428" i="1"/>
  <c r="D19" i="24"/>
  <c r="AQ131" i="1"/>
  <c r="L43" i="24"/>
  <c r="AQ620" i="1"/>
  <c r="AQ730" i="1"/>
  <c r="AQ759" i="1" s="1"/>
  <c r="D51" i="24"/>
  <c r="D50" i="24" s="1"/>
  <c r="J51" i="24"/>
  <c r="J50" i="24" s="1"/>
  <c r="AQ513" i="1"/>
  <c r="AQ732" i="1"/>
  <c r="L55" i="24" s="1"/>
  <c r="R54" i="24"/>
  <c r="H54" i="24"/>
  <c r="N54" i="24"/>
  <c r="H51" i="24"/>
  <c r="H50" i="24" s="1"/>
  <c r="P54" i="24"/>
  <c r="N44" i="24"/>
  <c r="N47" i="24" s="1"/>
  <c r="AO428" i="1"/>
  <c r="J19" i="24"/>
  <c r="AQ521" i="1"/>
  <c r="AS131" i="1"/>
  <c r="N43" i="24"/>
  <c r="AS740" i="1"/>
  <c r="AS766" i="1" s="1"/>
  <c r="AU428" i="1"/>
  <c r="P19" i="24"/>
  <c r="AW461" i="1"/>
  <c r="AW483" i="1"/>
  <c r="AW490" i="1" s="1"/>
  <c r="AW734" i="1"/>
  <c r="AW761" i="1" s="1"/>
  <c r="AW729" i="1"/>
  <c r="AW758" i="1" s="1"/>
  <c r="AW728" i="1"/>
  <c r="AW840" i="1"/>
  <c r="AW759" i="1"/>
  <c r="AW838" i="1"/>
  <c r="AU840" i="1"/>
  <c r="AU838" i="1"/>
  <c r="AU759" i="1"/>
  <c r="AU729" i="1"/>
  <c r="AU758" i="1" s="1"/>
  <c r="AU728" i="1"/>
  <c r="AU734" i="1"/>
  <c r="AU761" i="1" s="1"/>
  <c r="AU483" i="1"/>
  <c r="AU461" i="1"/>
  <c r="AU760" i="1"/>
  <c r="AS461" i="1"/>
  <c r="AS483" i="1"/>
  <c r="AS734" i="1"/>
  <c r="AS761" i="1" s="1"/>
  <c r="AS838" i="1"/>
  <c r="AS759" i="1"/>
  <c r="AS729" i="1"/>
  <c r="AS758" i="1" s="1"/>
  <c r="AQ461" i="1"/>
  <c r="AQ483" i="1"/>
  <c r="AQ734" i="1"/>
  <c r="AQ761" i="1" s="1"/>
  <c r="AO759" i="1"/>
  <c r="AO840" i="1"/>
  <c r="AO838" i="1"/>
  <c r="AO729" i="1"/>
  <c r="AO758" i="1" s="1"/>
  <c r="AO728" i="1"/>
  <c r="AO760" i="1"/>
  <c r="AO483" i="1"/>
  <c r="AO490" i="1" s="1"/>
  <c r="AO461" i="1"/>
  <c r="AO734" i="1"/>
  <c r="AO761" i="1" s="1"/>
  <c r="AM734" i="1"/>
  <c r="AM761" i="1" s="1"/>
  <c r="AM483" i="1"/>
  <c r="AM490" i="1" s="1"/>
  <c r="AM461" i="1"/>
  <c r="AM729" i="1"/>
  <c r="AM758" i="1" s="1"/>
  <c r="AM728" i="1"/>
  <c r="AM759" i="1"/>
  <c r="AM840" i="1"/>
  <c r="AM838" i="1"/>
  <c r="AM760" i="1"/>
  <c r="AI728" i="1"/>
  <c r="AI116" i="9"/>
  <c r="AI115" i="9"/>
  <c r="AI142" i="9"/>
  <c r="AI140" i="9"/>
  <c r="AI461" i="1"/>
  <c r="AI483" i="1"/>
  <c r="AI490" i="1" s="1"/>
  <c r="AG521" i="1"/>
  <c r="AG136" i="1"/>
  <c r="AG525" i="1"/>
  <c r="AD259" i="1"/>
  <c r="AD260" i="1" s="1"/>
  <c r="Z416" i="1"/>
  <c r="AA416" i="1"/>
  <c r="AS728" i="1" l="1"/>
  <c r="AS760" i="1"/>
  <c r="AQ729" i="1"/>
  <c r="AQ758" i="1" s="1"/>
  <c r="L51" i="24"/>
  <c r="L50" i="24" s="1"/>
  <c r="AQ840" i="1"/>
  <c r="AQ760" i="1"/>
  <c r="L54" i="24"/>
  <c r="AI463" i="1"/>
  <c r="D32" i="24"/>
  <c r="AM463" i="1"/>
  <c r="H32" i="24"/>
  <c r="AQ838" i="1"/>
  <c r="AW757" i="1"/>
  <c r="AQ463" i="1"/>
  <c r="L32" i="24"/>
  <c r="AW493" i="1"/>
  <c r="AW510" i="1" s="1"/>
  <c r="R38" i="24"/>
  <c r="R41" i="24" s="1"/>
  <c r="AM757" i="1"/>
  <c r="AO463" i="1"/>
  <c r="J32" i="24"/>
  <c r="AS757" i="1"/>
  <c r="AS463" i="1"/>
  <c r="N32" i="24"/>
  <c r="AU757" i="1"/>
  <c r="AW463" i="1"/>
  <c r="R32" i="24"/>
  <c r="AI493" i="1"/>
  <c r="AI510" i="1" s="1"/>
  <c r="D38" i="24"/>
  <c r="D41" i="24" s="1"/>
  <c r="AO493" i="1"/>
  <c r="J38" i="24"/>
  <c r="J41" i="24" s="1"/>
  <c r="AM493" i="1"/>
  <c r="AM510" i="1" s="1"/>
  <c r="H38" i="24"/>
  <c r="H41" i="24" s="1"/>
  <c r="AO757" i="1"/>
  <c r="AQ757" i="1"/>
  <c r="AU463" i="1"/>
  <c r="P32" i="24"/>
  <c r="AI757" i="1"/>
  <c r="N50" i="24"/>
  <c r="AU490" i="1"/>
  <c r="AU129" i="1"/>
  <c r="AS490" i="1"/>
  <c r="AS129" i="1"/>
  <c r="AQ129" i="1"/>
  <c r="AQ490" i="1"/>
  <c r="AI734" i="1"/>
  <c r="AI761" i="1" s="1"/>
  <c r="AI738" i="1"/>
  <c r="AI741" i="1"/>
  <c r="AI767" i="1" s="1"/>
  <c r="AI740" i="1"/>
  <c r="AI766" i="1" s="1"/>
  <c r="AI730" i="1"/>
  <c r="AD261" i="1"/>
  <c r="AD699" i="1"/>
  <c r="D54" i="24" l="1"/>
  <c r="AU493" i="1"/>
  <c r="AU510" i="1" s="1"/>
  <c r="P38" i="24"/>
  <c r="P41" i="24" s="1"/>
  <c r="AS493" i="1"/>
  <c r="AS510" i="1" s="1"/>
  <c r="N38" i="24"/>
  <c r="N41" i="24" s="1"/>
  <c r="AQ493" i="1"/>
  <c r="AQ510" i="1" s="1"/>
  <c r="L38" i="24"/>
  <c r="L41" i="24" s="1"/>
  <c r="AI764" i="1"/>
  <c r="AI840" i="1"/>
  <c r="AI759" i="1"/>
  <c r="AI838" i="1"/>
  <c r="AI732" i="1"/>
  <c r="AI729" i="1"/>
  <c r="AI758" i="1" s="1"/>
  <c r="AI760" i="1" l="1"/>
  <c r="D55" i="24"/>
  <c r="CX736" i="1"/>
  <c r="CX602" i="1"/>
  <c r="CX556" i="1"/>
  <c r="CX554" i="1"/>
  <c r="CX553" i="1"/>
  <c r="CX528" i="1"/>
  <c r="CX524" i="1"/>
  <c r="CX523" i="1"/>
  <c r="CX508" i="1"/>
  <c r="CX505" i="1"/>
  <c r="CX492" i="1"/>
  <c r="CX479" i="1"/>
  <c r="CX477" i="1"/>
  <c r="CX476" i="1"/>
  <c r="CX448" i="1"/>
  <c r="CX447" i="1"/>
  <c r="CX446" i="1"/>
  <c r="CX442" i="1"/>
  <c r="AT27" i="24" s="1"/>
  <c r="CX435" i="1"/>
  <c r="CX413" i="1"/>
  <c r="CX411" i="1"/>
  <c r="CX410" i="1"/>
  <c r="CX407" i="1"/>
  <c r="AT16" i="24" s="1"/>
  <c r="CX388" i="1"/>
  <c r="CX386" i="1"/>
  <c r="CX385" i="1"/>
  <c r="CX384" i="1"/>
  <c r="CX383" i="1"/>
  <c r="CX382" i="1"/>
  <c r="CX420" i="1" s="1"/>
  <c r="CX149" i="1"/>
  <c r="CX105" i="1"/>
  <c r="CX104" i="1"/>
  <c r="CW736" i="1"/>
  <c r="CW602" i="1"/>
  <c r="CW556" i="1"/>
  <c r="CW554" i="1"/>
  <c r="CW553" i="1"/>
  <c r="CW528" i="1"/>
  <c r="CW524" i="1"/>
  <c r="CW523" i="1"/>
  <c r="CW508" i="1"/>
  <c r="CW505" i="1"/>
  <c r="CW492" i="1"/>
  <c r="CW479" i="1"/>
  <c r="CW477" i="1"/>
  <c r="CW476" i="1"/>
  <c r="CW448" i="1"/>
  <c r="CW447" i="1"/>
  <c r="CW446" i="1"/>
  <c r="CW442" i="1"/>
  <c r="AS27" i="24" s="1"/>
  <c r="CW435" i="1"/>
  <c r="CW413" i="1"/>
  <c r="CW411" i="1"/>
  <c r="CW410" i="1"/>
  <c r="CW407" i="1"/>
  <c r="AS16" i="24" s="1"/>
  <c r="CW388" i="1"/>
  <c r="CW386" i="1"/>
  <c r="CW385" i="1"/>
  <c r="CW384" i="1"/>
  <c r="CW383" i="1"/>
  <c r="CW382" i="1"/>
  <c r="CW420" i="1" s="1"/>
  <c r="CW149" i="1"/>
  <c r="CW105" i="1"/>
  <c r="CW104" i="1"/>
  <c r="CV736" i="1"/>
  <c r="CV602" i="1"/>
  <c r="CV556" i="1"/>
  <c r="CV554" i="1"/>
  <c r="CV553" i="1"/>
  <c r="CV528" i="1"/>
  <c r="CV524" i="1"/>
  <c r="CV523" i="1"/>
  <c r="CV508" i="1"/>
  <c r="CV505" i="1"/>
  <c r="CV492" i="1"/>
  <c r="CV479" i="1"/>
  <c r="CV477" i="1"/>
  <c r="CV476" i="1"/>
  <c r="CV448" i="1"/>
  <c r="CV447" i="1"/>
  <c r="CV446" i="1"/>
  <c r="CV442" i="1"/>
  <c r="AR27" i="24" s="1"/>
  <c r="CV435" i="1"/>
  <c r="CV413" i="1"/>
  <c r="CV411" i="1"/>
  <c r="CV410" i="1"/>
  <c r="CV407" i="1"/>
  <c r="AR16" i="24" s="1"/>
  <c r="CV388" i="1"/>
  <c r="CV386" i="1"/>
  <c r="CV385" i="1"/>
  <c r="CV384" i="1"/>
  <c r="CV383" i="1"/>
  <c r="CV382" i="1"/>
  <c r="CV420" i="1" s="1"/>
  <c r="CV149" i="1"/>
  <c r="CV105" i="1"/>
  <c r="CV104" i="1"/>
  <c r="CU602" i="1"/>
  <c r="CU556" i="1"/>
  <c r="CU554" i="1"/>
  <c r="CU553" i="1"/>
  <c r="CU528" i="1"/>
  <c r="CU524" i="1"/>
  <c r="CU523" i="1"/>
  <c r="CU508" i="1"/>
  <c r="CU505" i="1"/>
  <c r="CU492" i="1"/>
  <c r="CU479" i="1"/>
  <c r="CU477" i="1"/>
  <c r="CU476" i="1"/>
  <c r="CU448" i="1"/>
  <c r="CU447" i="1"/>
  <c r="CU446" i="1"/>
  <c r="CU442" i="1"/>
  <c r="AQ27" i="24" s="1"/>
  <c r="CU435" i="1"/>
  <c r="CU413" i="1"/>
  <c r="CU411" i="1"/>
  <c r="CU410" i="1"/>
  <c r="CU407" i="1"/>
  <c r="AQ16" i="24" s="1"/>
  <c r="CU388" i="1"/>
  <c r="CU386" i="1"/>
  <c r="CU385" i="1"/>
  <c r="CU384" i="1"/>
  <c r="CU383" i="1"/>
  <c r="CU382" i="1"/>
  <c r="CU420" i="1" s="1"/>
  <c r="CU149" i="1"/>
  <c r="CU105" i="1"/>
  <c r="CU104" i="1"/>
  <c r="CT736" i="1"/>
  <c r="CT602" i="1"/>
  <c r="CT556" i="1"/>
  <c r="CT554" i="1"/>
  <c r="CT553" i="1"/>
  <c r="CT528" i="1"/>
  <c r="CT524" i="1"/>
  <c r="CT505" i="1"/>
  <c r="CT479" i="1"/>
  <c r="CT477" i="1"/>
  <c r="CT476" i="1"/>
  <c r="CT448" i="1"/>
  <c r="CT447" i="1"/>
  <c r="CT446" i="1"/>
  <c r="CT442" i="1"/>
  <c r="AP27" i="24" s="1"/>
  <c r="CT435" i="1"/>
  <c r="CT413" i="1"/>
  <c r="CT411" i="1"/>
  <c r="CT410" i="1"/>
  <c r="CT407" i="1"/>
  <c r="AP16" i="24" s="1"/>
  <c r="CT388" i="1"/>
  <c r="CT386" i="1"/>
  <c r="CT385" i="1"/>
  <c r="CT384" i="1"/>
  <c r="CT383" i="1"/>
  <c r="CT382" i="1"/>
  <c r="CT420" i="1" s="1"/>
  <c r="CT149" i="1"/>
  <c r="CT105" i="1"/>
  <c r="CT104" i="1"/>
  <c r="CW425" i="1" l="1"/>
  <c r="CW460" i="1" s="1"/>
  <c r="CW489" i="1" s="1"/>
  <c r="CX444" i="1"/>
  <c r="CX455" i="1" s="1"/>
  <c r="CT445" i="1"/>
  <c r="CU445" i="1"/>
  <c r="CX445" i="1"/>
  <c r="CT473" i="1"/>
  <c r="CV473" i="1"/>
  <c r="CX473" i="1"/>
  <c r="CT474" i="1"/>
  <c r="CU474" i="1"/>
  <c r="CX474" i="1"/>
  <c r="CX475" i="1"/>
  <c r="CT501" i="1"/>
  <c r="CU501" i="1"/>
  <c r="CX501" i="1"/>
  <c r="CX503" i="1"/>
  <c r="CT504" i="1"/>
  <c r="CW504" i="1"/>
  <c r="CX504" i="1"/>
  <c r="CT516" i="1"/>
  <c r="CW516" i="1"/>
  <c r="CX516" i="1"/>
  <c r="CT517" i="1"/>
  <c r="CV517" i="1"/>
  <c r="CX517" i="1"/>
  <c r="CT518" i="1"/>
  <c r="CU518" i="1"/>
  <c r="CX518" i="1"/>
  <c r="CX519" i="1"/>
  <c r="CT520" i="1"/>
  <c r="CW520" i="1"/>
  <c r="CX520" i="1"/>
  <c r="CX425" i="1"/>
  <c r="CX460" i="1" s="1"/>
  <c r="CX489" i="1" s="1"/>
  <c r="CX423" i="1"/>
  <c r="CX458" i="1" s="1"/>
  <c r="CX487" i="1" s="1"/>
  <c r="CT444" i="1"/>
  <c r="CT455" i="1" s="1"/>
  <c r="CU444" i="1"/>
  <c r="CU455" i="1" s="1"/>
  <c r="CW444" i="1"/>
  <c r="CW455" i="1" s="1"/>
  <c r="CV445" i="1"/>
  <c r="CU473" i="1"/>
  <c r="CW474" i="1"/>
  <c r="CT475" i="1"/>
  <c r="CU475" i="1"/>
  <c r="CV475" i="1"/>
  <c r="CW501" i="1"/>
  <c r="CT503" i="1"/>
  <c r="CV503" i="1"/>
  <c r="CU504" i="1"/>
  <c r="CU516" i="1"/>
  <c r="CW518" i="1"/>
  <c r="CT519" i="1"/>
  <c r="CV519" i="1"/>
  <c r="CU520" i="1"/>
  <c r="CX409" i="1"/>
  <c r="CX421" i="1" s="1"/>
  <c r="CX422" i="1"/>
  <c r="CX457" i="1" s="1"/>
  <c r="CV422" i="1"/>
  <c r="CV457" i="1" s="1"/>
  <c r="CW423" i="1"/>
  <c r="CW458" i="1" s="1"/>
  <c r="CW487" i="1" s="1"/>
  <c r="CT422" i="1"/>
  <c r="CT457" i="1" s="1"/>
  <c r="CT425" i="1"/>
  <c r="CT460" i="1" s="1"/>
  <c r="CT489" i="1" s="1"/>
  <c r="CU423" i="1"/>
  <c r="CU458" i="1" s="1"/>
  <c r="CU487" i="1" s="1"/>
  <c r="CV425" i="1"/>
  <c r="CV460" i="1" s="1"/>
  <c r="CV489" i="1" s="1"/>
  <c r="CU409" i="1"/>
  <c r="CU421" i="1" s="1"/>
  <c r="CV409" i="1"/>
  <c r="CV421" i="1" s="1"/>
  <c r="CV444" i="1"/>
  <c r="CV455" i="1" s="1"/>
  <c r="CW445" i="1"/>
  <c r="CW473" i="1"/>
  <c r="CV474" i="1"/>
  <c r="CW475" i="1"/>
  <c r="CV501" i="1"/>
  <c r="CU503" i="1"/>
  <c r="CW503" i="1"/>
  <c r="CV504" i="1"/>
  <c r="CV516" i="1"/>
  <c r="CU517" i="1"/>
  <c r="CW517" i="1"/>
  <c r="CV518" i="1"/>
  <c r="CU519" i="1"/>
  <c r="CW519" i="1"/>
  <c r="CV520" i="1"/>
  <c r="CT409" i="1"/>
  <c r="CT421" i="1" s="1"/>
  <c r="CT423" i="1"/>
  <c r="CT458" i="1" s="1"/>
  <c r="CT487" i="1" s="1"/>
  <c r="CU422" i="1"/>
  <c r="CU457" i="1" s="1"/>
  <c r="CU425" i="1"/>
  <c r="CU460" i="1" s="1"/>
  <c r="CU489" i="1" s="1"/>
  <c r="CW409" i="1"/>
  <c r="CW421" i="1" s="1"/>
  <c r="CV423" i="1"/>
  <c r="CV458" i="1" s="1"/>
  <c r="CV487" i="1" s="1"/>
  <c r="CW422" i="1"/>
  <c r="CW457" i="1" s="1"/>
  <c r="CT484" i="1" l="1"/>
  <c r="CX456" i="1"/>
  <c r="CX485" i="1" s="1"/>
  <c r="CU486" i="1"/>
  <c r="CT456" i="1"/>
  <c r="CT485" i="1" s="1"/>
  <c r="CV456" i="1"/>
  <c r="CV485" i="1" s="1"/>
  <c r="CV486" i="1"/>
  <c r="CU456" i="1"/>
  <c r="CU485" i="1" s="1"/>
  <c r="CW484" i="1"/>
  <c r="CX486" i="1"/>
  <c r="CX484" i="1"/>
  <c r="CW486" i="1"/>
  <c r="CU484" i="1"/>
  <c r="CV484" i="1"/>
  <c r="CT486" i="1"/>
  <c r="CW456" i="1"/>
  <c r="CW485" i="1" s="1"/>
  <c r="CT135" i="1" l="1"/>
  <c r="CT735" i="1" s="1"/>
  <c r="CT138" i="1"/>
  <c r="CS736" i="1"/>
  <c r="CR736" i="1"/>
  <c r="CQ736" i="1"/>
  <c r="CP736" i="1"/>
  <c r="CO736" i="1"/>
  <c r="CN736" i="1"/>
  <c r="CM736" i="1"/>
  <c r="CL736" i="1"/>
  <c r="CK736" i="1"/>
  <c r="CJ736" i="1"/>
  <c r="CI736" i="1"/>
  <c r="CH736" i="1"/>
  <c r="CG736" i="1"/>
  <c r="CF736" i="1"/>
  <c r="CE736" i="1"/>
  <c r="CD736" i="1"/>
  <c r="CC736" i="1"/>
  <c r="AP56" i="24" l="1"/>
  <c r="Y345" i="9"/>
  <c r="W345" i="9"/>
  <c r="W385" i="9" l="1"/>
  <c r="V385" i="9"/>
  <c r="S385" i="9"/>
  <c r="R385" i="9"/>
  <c r="P385" i="9"/>
  <c r="O385" i="9"/>
  <c r="M385" i="9"/>
  <c r="L385" i="9"/>
  <c r="J385" i="9"/>
  <c r="H385" i="9"/>
  <c r="G385" i="9"/>
  <c r="D385" i="9"/>
  <c r="C376" i="9"/>
  <c r="R375" i="9"/>
  <c r="C375" i="9"/>
  <c r="G371" i="9"/>
  <c r="D371" i="9"/>
  <c r="G369" i="9"/>
  <c r="D369" i="9"/>
  <c r="G368" i="9"/>
  <c r="D368" i="9"/>
  <c r="G367" i="9"/>
  <c r="D367" i="9"/>
  <c r="C355" i="9"/>
  <c r="F352" i="9"/>
  <c r="M351" i="9"/>
  <c r="J351" i="9"/>
  <c r="J352" i="9" s="1"/>
  <c r="L352" i="9" s="1"/>
  <c r="H351" i="9"/>
  <c r="H352" i="9" s="1"/>
  <c r="I352" i="9" s="1"/>
  <c r="G351" i="9"/>
  <c r="E351" i="9"/>
  <c r="D351" i="9"/>
  <c r="D345" i="9" s="1"/>
  <c r="D355" i="9" s="1"/>
  <c r="F350" i="9"/>
  <c r="F349" i="9"/>
  <c r="V345" i="9"/>
  <c r="W346" i="9" s="1"/>
  <c r="T345" i="9"/>
  <c r="U345" i="9" s="1"/>
  <c r="S345" i="9"/>
  <c r="Q345" i="9"/>
  <c r="P345" i="9"/>
  <c r="N345" i="9"/>
  <c r="O345" i="9" s="1"/>
  <c r="D342" i="9"/>
  <c r="G341" i="9"/>
  <c r="E341" i="9"/>
  <c r="D341" i="9"/>
  <c r="E339" i="9"/>
  <c r="D339" i="9"/>
  <c r="F338" i="9"/>
  <c r="F339" i="9" s="1"/>
  <c r="Y336" i="9"/>
  <c r="X336" i="9"/>
  <c r="V336" i="9"/>
  <c r="U336" i="9"/>
  <c r="L336" i="9"/>
  <c r="F336" i="9"/>
  <c r="W335" i="9"/>
  <c r="T335" i="9"/>
  <c r="Q335" i="9"/>
  <c r="P335" i="9"/>
  <c r="O335" i="9"/>
  <c r="M335" i="9"/>
  <c r="J335" i="9"/>
  <c r="K335" i="9" s="1"/>
  <c r="H335" i="9"/>
  <c r="I335" i="9" s="1"/>
  <c r="W334" i="9"/>
  <c r="S334" i="9"/>
  <c r="T334" i="9" s="1"/>
  <c r="Q334" i="9"/>
  <c r="P334" i="9"/>
  <c r="O334" i="9"/>
  <c r="M334" i="9"/>
  <c r="J334" i="9"/>
  <c r="K334" i="9" s="1"/>
  <c r="H334" i="9"/>
  <c r="I334" i="9" s="1"/>
  <c r="Z333" i="9"/>
  <c r="W333" i="9"/>
  <c r="S333" i="9"/>
  <c r="T333" i="9" s="1"/>
  <c r="Q333" i="9"/>
  <c r="P333" i="9"/>
  <c r="O333" i="9"/>
  <c r="M333" i="9"/>
  <c r="J333" i="9"/>
  <c r="K333" i="9" s="1"/>
  <c r="H333" i="9"/>
  <c r="I333" i="9" s="1"/>
  <c r="W332" i="9"/>
  <c r="S332" i="9"/>
  <c r="T332" i="9" s="1"/>
  <c r="Q332" i="9"/>
  <c r="P332" i="9"/>
  <c r="O332" i="9"/>
  <c r="M332" i="9"/>
  <c r="J332" i="9"/>
  <c r="K332" i="9" s="1"/>
  <c r="H332" i="9"/>
  <c r="I332" i="9" s="1"/>
  <c r="Z331" i="9"/>
  <c r="W331" i="9"/>
  <c r="S331" i="9"/>
  <c r="T331" i="9" s="1"/>
  <c r="Q331" i="9"/>
  <c r="P331" i="9"/>
  <c r="O331" i="9"/>
  <c r="M331" i="9"/>
  <c r="J331" i="9"/>
  <c r="K331" i="9" s="1"/>
  <c r="H331" i="9"/>
  <c r="I331" i="9" s="1"/>
  <c r="W330" i="9"/>
  <c r="S330" i="9"/>
  <c r="T330" i="9" s="1"/>
  <c r="Q330" i="9"/>
  <c r="P330" i="9"/>
  <c r="O330" i="9"/>
  <c r="M330" i="9"/>
  <c r="J330" i="9"/>
  <c r="K330" i="9" s="1"/>
  <c r="H330" i="9"/>
  <c r="I330" i="9" s="1"/>
  <c r="W329" i="9"/>
  <c r="S329" i="9"/>
  <c r="T329" i="9" s="1"/>
  <c r="Q329" i="9"/>
  <c r="P329" i="9"/>
  <c r="O329" i="9"/>
  <c r="M329" i="9"/>
  <c r="J328" i="9"/>
  <c r="K328" i="9" s="1"/>
  <c r="H328" i="9"/>
  <c r="I328" i="9" s="1"/>
  <c r="J327" i="9"/>
  <c r="K327" i="9" s="1"/>
  <c r="H327" i="9"/>
  <c r="I327" i="9" s="1"/>
  <c r="Z326" i="9"/>
  <c r="W326" i="9"/>
  <c r="S326" i="9"/>
  <c r="T326" i="9" s="1"/>
  <c r="Q326" i="9"/>
  <c r="P326" i="9"/>
  <c r="O326" i="9"/>
  <c r="M326" i="9"/>
  <c r="J326" i="9"/>
  <c r="K326" i="9" s="1"/>
  <c r="H326" i="9"/>
  <c r="I326" i="9" s="1"/>
  <c r="Y298" i="9"/>
  <c r="Y386" i="9" s="1"/>
  <c r="X298" i="9"/>
  <c r="W298" i="9"/>
  <c r="W386" i="9" s="1"/>
  <c r="V298" i="9"/>
  <c r="V386" i="9" s="1"/>
  <c r="U298" i="9"/>
  <c r="S298" i="9"/>
  <c r="S386" i="9" s="1"/>
  <c r="R298" i="9"/>
  <c r="R386" i="9" s="1"/>
  <c r="Q298" i="9"/>
  <c r="P298" i="9"/>
  <c r="P386" i="9" s="1"/>
  <c r="O298" i="9"/>
  <c r="O386" i="9" s="1"/>
  <c r="N298" i="9"/>
  <c r="M298" i="9"/>
  <c r="M386" i="9" s="1"/>
  <c r="L298" i="9"/>
  <c r="L386" i="9" s="1"/>
  <c r="K298" i="9"/>
  <c r="J298" i="9"/>
  <c r="J386" i="9" s="1"/>
  <c r="E298" i="9"/>
  <c r="D298" i="9"/>
  <c r="D386" i="9" s="1"/>
  <c r="Y297" i="9"/>
  <c r="X297" i="9"/>
  <c r="W297" i="9"/>
  <c r="U297" i="9"/>
  <c r="S297" i="9"/>
  <c r="R297" i="9"/>
  <c r="Q297" i="9"/>
  <c r="P297" i="9"/>
  <c r="O297" i="9"/>
  <c r="N297" i="9"/>
  <c r="M297" i="9"/>
  <c r="L297" i="9"/>
  <c r="K297" i="9"/>
  <c r="J297" i="9"/>
  <c r="H297" i="9"/>
  <c r="G297" i="9"/>
  <c r="E297" i="9"/>
  <c r="T296" i="9"/>
  <c r="F296" i="9"/>
  <c r="F347" i="9" s="1"/>
  <c r="D295" i="9"/>
  <c r="Y294" i="9"/>
  <c r="W294" i="9"/>
  <c r="V294" i="9"/>
  <c r="T294" i="9"/>
  <c r="S294" i="9"/>
  <c r="Q294" i="9"/>
  <c r="P294" i="9"/>
  <c r="N294" i="9"/>
  <c r="O294" i="9" s="1"/>
  <c r="M294" i="9"/>
  <c r="K294" i="9"/>
  <c r="L294" i="9" s="1"/>
  <c r="H294" i="9"/>
  <c r="G294" i="9"/>
  <c r="F294" i="9"/>
  <c r="X293" i="9"/>
  <c r="U293" i="9"/>
  <c r="R293" i="9"/>
  <c r="O293" i="9"/>
  <c r="L293" i="9"/>
  <c r="I293" i="9"/>
  <c r="X292" i="9"/>
  <c r="U292" i="9"/>
  <c r="R292" i="9"/>
  <c r="O292" i="9"/>
  <c r="L292" i="9"/>
  <c r="I292" i="9"/>
  <c r="X291" i="9"/>
  <c r="U291" i="9"/>
  <c r="R291" i="9"/>
  <c r="O291" i="9"/>
  <c r="L291" i="9"/>
  <c r="I291" i="9"/>
  <c r="X290" i="9"/>
  <c r="U290" i="9"/>
  <c r="R290" i="9"/>
  <c r="O290" i="9"/>
  <c r="L290" i="9"/>
  <c r="I290" i="9"/>
  <c r="X289" i="9"/>
  <c r="U289" i="9"/>
  <c r="R289" i="9"/>
  <c r="O289" i="9"/>
  <c r="L289" i="9"/>
  <c r="J289" i="9"/>
  <c r="J294" i="9" s="1"/>
  <c r="I289" i="9"/>
  <c r="X288" i="9"/>
  <c r="U288" i="9"/>
  <c r="R288" i="9"/>
  <c r="O288" i="9"/>
  <c r="L288" i="9"/>
  <c r="I288" i="9"/>
  <c r="X287" i="9"/>
  <c r="U287" i="9"/>
  <c r="R287" i="9"/>
  <c r="O287" i="9"/>
  <c r="L286" i="9"/>
  <c r="I286" i="9"/>
  <c r="L285" i="9"/>
  <c r="I285" i="9"/>
  <c r="X284" i="9"/>
  <c r="U284" i="9"/>
  <c r="R284" i="9"/>
  <c r="O284" i="9"/>
  <c r="L284" i="9"/>
  <c r="I284" i="9"/>
  <c r="D278" i="9"/>
  <c r="C278" i="9"/>
  <c r="X271" i="9"/>
  <c r="W271" i="9"/>
  <c r="V271" i="9"/>
  <c r="U271" i="9"/>
  <c r="T271" i="9"/>
  <c r="S271" i="9"/>
  <c r="R271" i="9"/>
  <c r="Q271" i="9"/>
  <c r="P271" i="9"/>
  <c r="O271" i="9"/>
  <c r="N271" i="9"/>
  <c r="M271" i="9"/>
  <c r="L271" i="9"/>
  <c r="K271" i="9"/>
  <c r="J271" i="9"/>
  <c r="H271" i="9"/>
  <c r="G271" i="9"/>
  <c r="E271" i="9"/>
  <c r="F270" i="9"/>
  <c r="Y268" i="9"/>
  <c r="W268" i="9"/>
  <c r="X268" i="9" s="1"/>
  <c r="V268" i="9"/>
  <c r="T268" i="9"/>
  <c r="S268" i="9"/>
  <c r="Q268" i="9"/>
  <c r="R268" i="9" s="1"/>
  <c r="R278" i="9" s="1"/>
  <c r="P268" i="9"/>
  <c r="N268" i="9"/>
  <c r="M268" i="9"/>
  <c r="K268" i="9"/>
  <c r="L268" i="9" s="1"/>
  <c r="L278" i="9" s="1"/>
  <c r="J268" i="9"/>
  <c r="H268" i="9"/>
  <c r="G268" i="9"/>
  <c r="F268" i="9"/>
  <c r="E268" i="9" s="1"/>
  <c r="E278" i="9" s="1"/>
  <c r="X267" i="9"/>
  <c r="U267" i="9"/>
  <c r="R267" i="9"/>
  <c r="O267" i="9"/>
  <c r="L267" i="9"/>
  <c r="I267" i="9"/>
  <c r="E267" i="9"/>
  <c r="D267" i="9"/>
  <c r="D277" i="9" s="1"/>
  <c r="X266" i="9"/>
  <c r="U266" i="9"/>
  <c r="R266" i="9"/>
  <c r="O266" i="9"/>
  <c r="L266" i="9"/>
  <c r="I266" i="9"/>
  <c r="E266" i="9"/>
  <c r="D266" i="9"/>
  <c r="D276" i="9" s="1"/>
  <c r="C266" i="9"/>
  <c r="C276" i="9" s="1"/>
  <c r="X265" i="9"/>
  <c r="U265" i="9"/>
  <c r="R265" i="9"/>
  <c r="O265" i="9"/>
  <c r="L265" i="9"/>
  <c r="I265" i="9"/>
  <c r="E265" i="9"/>
  <c r="D265" i="9"/>
  <c r="D275" i="9" s="1"/>
  <c r="C265" i="9"/>
  <c r="C275" i="9" s="1"/>
  <c r="X264" i="9"/>
  <c r="U264" i="9"/>
  <c r="R264" i="9"/>
  <c r="O264" i="9"/>
  <c r="L264" i="9"/>
  <c r="I264" i="9"/>
  <c r="E264" i="9"/>
  <c r="D264" i="9"/>
  <c r="D274" i="9" s="1"/>
  <c r="C264" i="9"/>
  <c r="C274" i="9" s="1"/>
  <c r="Z260" i="9"/>
  <c r="W260" i="9"/>
  <c r="S260" i="9"/>
  <c r="P260" i="9"/>
  <c r="M260" i="9"/>
  <c r="K260" i="9"/>
  <c r="J260" i="9"/>
  <c r="H260" i="9"/>
  <c r="Z259" i="9"/>
  <c r="P259" i="9"/>
  <c r="M259" i="9"/>
  <c r="Z258" i="9"/>
  <c r="W258" i="9"/>
  <c r="P258" i="9"/>
  <c r="N258" i="9"/>
  <c r="J258" i="9"/>
  <c r="Z257" i="9"/>
  <c r="W257" i="9"/>
  <c r="T257" i="9"/>
  <c r="Q257" i="9"/>
  <c r="P257" i="9"/>
  <c r="N257" i="9"/>
  <c r="M257" i="9"/>
  <c r="K257" i="9"/>
  <c r="J257" i="9"/>
  <c r="T256" i="9"/>
  <c r="Q256" i="9"/>
  <c r="P256" i="9"/>
  <c r="N256" i="9"/>
  <c r="M256" i="9"/>
  <c r="K256" i="9"/>
  <c r="J256" i="9"/>
  <c r="T252" i="9"/>
  <c r="T260" i="9" s="1"/>
  <c r="Q252" i="9"/>
  <c r="Q260" i="9" s="1"/>
  <c r="N252" i="9"/>
  <c r="N260" i="9" s="1"/>
  <c r="AB251" i="9"/>
  <c r="AC251" i="9" s="1"/>
  <c r="Y251" i="9"/>
  <c r="W251" i="9"/>
  <c r="W259" i="9" s="1"/>
  <c r="Q251" i="9"/>
  <c r="Q259" i="9" s="1"/>
  <c r="N251" i="9"/>
  <c r="N259" i="9" s="1"/>
  <c r="H251" i="9"/>
  <c r="H259" i="9" s="1"/>
  <c r="AC250" i="9"/>
  <c r="AE250" i="9" s="1"/>
  <c r="Q250" i="9"/>
  <c r="Q258" i="9" s="1"/>
  <c r="M250" i="9"/>
  <c r="M258" i="9" s="1"/>
  <c r="H250" i="9"/>
  <c r="H258" i="9" s="1"/>
  <c r="AK249" i="9"/>
  <c r="AM249" i="9" s="1"/>
  <c r="AJ249" i="9"/>
  <c r="AE249" i="9"/>
  <c r="AB249" i="9"/>
  <c r="Y249" i="9"/>
  <c r="V249" i="9"/>
  <c r="S249" i="9"/>
  <c r="S257" i="9" s="1"/>
  <c r="H249" i="9"/>
  <c r="H257" i="9" s="1"/>
  <c r="AK248" i="9"/>
  <c r="AM248" i="9" s="1"/>
  <c r="AJ248" i="9"/>
  <c r="AE248" i="9"/>
  <c r="AB248" i="9"/>
  <c r="Y248" i="9"/>
  <c r="V248" i="9"/>
  <c r="S248" i="9"/>
  <c r="H248" i="9"/>
  <c r="H256" i="9" s="1"/>
  <c r="U237" i="9"/>
  <c r="S237" i="9"/>
  <c r="S244" i="9" s="1"/>
  <c r="P237" i="9"/>
  <c r="P244" i="9" s="1"/>
  <c r="O237" i="9"/>
  <c r="M237" i="9"/>
  <c r="M244" i="9" s="1"/>
  <c r="L237" i="9"/>
  <c r="L241" i="9" s="1"/>
  <c r="J237" i="9"/>
  <c r="J241" i="9" s="1"/>
  <c r="I237" i="9"/>
  <c r="I244" i="9" s="1"/>
  <c r="H237" i="9"/>
  <c r="G237" i="9"/>
  <c r="G244" i="9" s="1"/>
  <c r="F237" i="9"/>
  <c r="F241" i="9" s="1"/>
  <c r="K236" i="9"/>
  <c r="K235" i="9"/>
  <c r="K234" i="9"/>
  <c r="K233" i="9"/>
  <c r="V232" i="9"/>
  <c r="R232" i="9"/>
  <c r="K232" i="9"/>
  <c r="Y226" i="9"/>
  <c r="AA226" i="9" s="1"/>
  <c r="W226" i="9"/>
  <c r="W225" i="9" s="1"/>
  <c r="V226" i="9"/>
  <c r="V225" i="9" s="1"/>
  <c r="T226" i="9"/>
  <c r="Q226" i="9"/>
  <c r="M226" i="9"/>
  <c r="L226" i="9"/>
  <c r="L173" i="9" s="1"/>
  <c r="L172" i="9" s="1"/>
  <c r="J226" i="9"/>
  <c r="J173" i="9" s="1"/>
  <c r="J172" i="9" s="1"/>
  <c r="H226" i="9"/>
  <c r="H173" i="9" s="1"/>
  <c r="H172" i="9" s="1"/>
  <c r="G226" i="9"/>
  <c r="G173" i="9" s="1"/>
  <c r="G172" i="9" s="1"/>
  <c r="E226" i="9"/>
  <c r="U225" i="9"/>
  <c r="S225" i="9"/>
  <c r="S172" i="9" s="1"/>
  <c r="AD224" i="9"/>
  <c r="AG224" i="9" s="1"/>
  <c r="AJ224" i="9" s="1"/>
  <c r="AM224" i="9" s="1"/>
  <c r="AP224" i="9" s="1"/>
  <c r="AS224" i="9" s="1"/>
  <c r="AV224" i="9" s="1"/>
  <c r="AY224" i="9" s="1"/>
  <c r="BB224" i="9" s="1"/>
  <c r="BE224" i="9" s="1"/>
  <c r="AA224" i="9"/>
  <c r="X224" i="9"/>
  <c r="T224" i="9"/>
  <c r="Y216" i="9"/>
  <c r="Y218" i="9" s="1"/>
  <c r="W216" i="9"/>
  <c r="V216" i="9"/>
  <c r="V218" i="9" s="1"/>
  <c r="F216" i="9"/>
  <c r="F218" i="9" s="1"/>
  <c r="D216" i="9"/>
  <c r="D218" i="9" s="1"/>
  <c r="C216" i="9"/>
  <c r="AA215" i="9"/>
  <c r="X215" i="9"/>
  <c r="M215" i="9"/>
  <c r="M162" i="9" s="1"/>
  <c r="L215" i="9"/>
  <c r="L162" i="9" s="1"/>
  <c r="J215" i="9"/>
  <c r="J162" i="9" s="1"/>
  <c r="H215" i="9"/>
  <c r="H162" i="9" s="1"/>
  <c r="G215" i="9"/>
  <c r="G162" i="9" s="1"/>
  <c r="E215" i="9"/>
  <c r="Z216" i="9"/>
  <c r="X214" i="9"/>
  <c r="M214" i="9"/>
  <c r="L214" i="9"/>
  <c r="L161" i="9" s="1"/>
  <c r="J214" i="9"/>
  <c r="H214" i="9"/>
  <c r="G214" i="9"/>
  <c r="G161" i="9" s="1"/>
  <c r="E214" i="9"/>
  <c r="S209" i="9"/>
  <c r="L209" i="9"/>
  <c r="I209" i="9"/>
  <c r="V208" i="9"/>
  <c r="U208" i="9"/>
  <c r="S208" i="9"/>
  <c r="R208" i="9"/>
  <c r="P208" i="9"/>
  <c r="O208" i="9"/>
  <c r="N208" i="9" s="1"/>
  <c r="L208" i="9"/>
  <c r="I208" i="9"/>
  <c r="V207" i="9"/>
  <c r="U207" i="9"/>
  <c r="S207" i="9"/>
  <c r="R207" i="9"/>
  <c r="P207" i="9"/>
  <c r="O207" i="9"/>
  <c r="N207" i="9" s="1"/>
  <c r="L207" i="9"/>
  <c r="I207" i="9"/>
  <c r="D206" i="9"/>
  <c r="D211" i="9" s="1"/>
  <c r="J202" i="9"/>
  <c r="H202" i="9"/>
  <c r="G202" i="9"/>
  <c r="D202" i="9"/>
  <c r="L197" i="9"/>
  <c r="L202" i="9" s="1"/>
  <c r="I197" i="9"/>
  <c r="F197" i="9"/>
  <c r="F202" i="9" s="1"/>
  <c r="M196" i="9"/>
  <c r="M198" i="9" s="1"/>
  <c r="K196" i="9"/>
  <c r="K198" i="9" s="1"/>
  <c r="J196" i="9"/>
  <c r="J198" i="9" s="1"/>
  <c r="H196" i="9"/>
  <c r="H198" i="9" s="1"/>
  <c r="G196" i="9"/>
  <c r="G198" i="9" s="1"/>
  <c r="D196" i="9"/>
  <c r="D198" i="9" s="1"/>
  <c r="L195" i="9"/>
  <c r="I195" i="9"/>
  <c r="F195" i="9"/>
  <c r="E195" i="9" s="1"/>
  <c r="L194" i="9"/>
  <c r="I194" i="9"/>
  <c r="F194" i="9"/>
  <c r="E194" i="9" s="1"/>
  <c r="L193" i="9"/>
  <c r="I193" i="9"/>
  <c r="F193" i="9"/>
  <c r="X189" i="9"/>
  <c r="T189" i="9"/>
  <c r="Q189" i="9"/>
  <c r="M189" i="9"/>
  <c r="M202" i="9" s="1"/>
  <c r="K189" i="9"/>
  <c r="K202" i="9" s="1"/>
  <c r="I189" i="9"/>
  <c r="E189" i="9"/>
  <c r="W188" i="9"/>
  <c r="V188" i="9"/>
  <c r="U188" i="9"/>
  <c r="T188" i="9" s="1"/>
  <c r="X187" i="9"/>
  <c r="T187" i="9"/>
  <c r="U185" i="9"/>
  <c r="S185" i="9"/>
  <c r="R185" i="9"/>
  <c r="P185" i="9"/>
  <c r="O185" i="9"/>
  <c r="N185" i="9" s="1"/>
  <c r="K185" i="9"/>
  <c r="I185" i="9"/>
  <c r="E185" i="9"/>
  <c r="M183" i="9"/>
  <c r="L183" i="9"/>
  <c r="J183" i="9"/>
  <c r="H183" i="9"/>
  <c r="G183" i="9"/>
  <c r="F183" i="9"/>
  <c r="D183" i="9"/>
  <c r="C183" i="9"/>
  <c r="U182" i="9"/>
  <c r="U183" i="9" s="1"/>
  <c r="S182" i="9"/>
  <c r="S183" i="9" s="1"/>
  <c r="R182" i="9"/>
  <c r="R183" i="9" s="1"/>
  <c r="P182" i="9"/>
  <c r="P183" i="9" s="1"/>
  <c r="O182" i="9"/>
  <c r="O183" i="9" s="1"/>
  <c r="K182" i="9"/>
  <c r="K183" i="9" s="1"/>
  <c r="I182" i="9"/>
  <c r="I183" i="9" s="1"/>
  <c r="E182" i="9"/>
  <c r="E183" i="9" s="1"/>
  <c r="Y179" i="9"/>
  <c r="Y181" i="9" s="1"/>
  <c r="V179" i="9"/>
  <c r="M179" i="9"/>
  <c r="M181" i="9" s="1"/>
  <c r="J179" i="9"/>
  <c r="G179" i="9"/>
  <c r="G181" i="9" s="1"/>
  <c r="F179" i="9"/>
  <c r="D179" i="9"/>
  <c r="C179" i="9"/>
  <c r="C181" i="9" s="1"/>
  <c r="AA178" i="9"/>
  <c r="U178" i="9"/>
  <c r="U215" i="9" s="1"/>
  <c r="S178" i="9"/>
  <c r="S215" i="9" s="1"/>
  <c r="S162" i="9" s="1"/>
  <c r="R178" i="9"/>
  <c r="R215" i="9" s="1"/>
  <c r="Q178" i="9"/>
  <c r="P178" i="9"/>
  <c r="P215" i="9" s="1"/>
  <c r="O178" i="9"/>
  <c r="O215" i="9" s="1"/>
  <c r="K178" i="9"/>
  <c r="I178" i="9"/>
  <c r="E178" i="9"/>
  <c r="X177" i="9"/>
  <c r="U177" i="9"/>
  <c r="U214" i="9" s="1"/>
  <c r="U161" i="9" s="1"/>
  <c r="S177" i="9"/>
  <c r="S214" i="9" s="1"/>
  <c r="R177" i="9"/>
  <c r="P177" i="9"/>
  <c r="O177" i="9"/>
  <c r="O214" i="9" s="1"/>
  <c r="K177" i="9"/>
  <c r="H177" i="9"/>
  <c r="H179" i="9" s="1"/>
  <c r="E177" i="9"/>
  <c r="U173" i="9"/>
  <c r="S173" i="9"/>
  <c r="P173" i="9"/>
  <c r="O173" i="9"/>
  <c r="N173" i="9"/>
  <c r="F173" i="9"/>
  <c r="D173" i="9"/>
  <c r="C173" i="9"/>
  <c r="W171" i="9"/>
  <c r="W13" i="9" s="1"/>
  <c r="V171" i="9"/>
  <c r="V13" i="9" s="1"/>
  <c r="V261" i="9" s="1"/>
  <c r="U171" i="9"/>
  <c r="S171" i="9"/>
  <c r="S13" i="9" s="1"/>
  <c r="Q171" i="9"/>
  <c r="Q13" i="9" s="1"/>
  <c r="P171" i="9"/>
  <c r="P13" i="9" s="1"/>
  <c r="O171" i="9"/>
  <c r="N171" i="9"/>
  <c r="N13" i="9" s="1"/>
  <c r="K171" i="9"/>
  <c r="I171" i="9"/>
  <c r="F171" i="9"/>
  <c r="E171" i="9" s="1"/>
  <c r="Y162" i="9"/>
  <c r="V162" i="9"/>
  <c r="F162" i="9"/>
  <c r="D162" i="9"/>
  <c r="C162" i="9"/>
  <c r="Y161" i="9"/>
  <c r="V161" i="9"/>
  <c r="F161" i="9"/>
  <c r="D161" i="9"/>
  <c r="C161" i="9"/>
  <c r="X157" i="9"/>
  <c r="T157" i="9"/>
  <c r="U157" i="9" s="1"/>
  <c r="R157" i="9"/>
  <c r="O157" i="9"/>
  <c r="K157" i="9"/>
  <c r="I157" i="9"/>
  <c r="E157" i="9"/>
  <c r="X153" i="9"/>
  <c r="T153" i="9"/>
  <c r="U153" i="9" s="1"/>
  <c r="R153" i="9"/>
  <c r="R37" i="9" s="1"/>
  <c r="N153" i="9"/>
  <c r="K153" i="9"/>
  <c r="I153" i="9"/>
  <c r="E153" i="9"/>
  <c r="Y151" i="9"/>
  <c r="W151" i="9"/>
  <c r="V151" i="9"/>
  <c r="S151" i="9"/>
  <c r="Q151" i="9"/>
  <c r="P151" i="9"/>
  <c r="O151" i="9"/>
  <c r="M151" i="9"/>
  <c r="L151" i="9"/>
  <c r="J151" i="9"/>
  <c r="H151" i="9"/>
  <c r="G151" i="9"/>
  <c r="F151" i="9"/>
  <c r="D151" i="9"/>
  <c r="C151" i="9"/>
  <c r="AA150" i="9"/>
  <c r="X150" i="9"/>
  <c r="T150" i="9"/>
  <c r="R150" i="9"/>
  <c r="R34" i="9" s="1"/>
  <c r="N150" i="9"/>
  <c r="K150" i="9"/>
  <c r="I150" i="9"/>
  <c r="E150" i="9"/>
  <c r="Z148" i="9"/>
  <c r="Z151" i="9" s="1"/>
  <c r="X148" i="9"/>
  <c r="T148" i="9"/>
  <c r="U148" i="9" s="1"/>
  <c r="R148" i="9"/>
  <c r="N148" i="9"/>
  <c r="K148" i="9"/>
  <c r="I148" i="9"/>
  <c r="E148" i="9"/>
  <c r="Y147" i="9"/>
  <c r="W147" i="9"/>
  <c r="V147" i="9"/>
  <c r="S147" i="9"/>
  <c r="Q147" i="9"/>
  <c r="P147" i="9"/>
  <c r="M147" i="9"/>
  <c r="J147" i="9"/>
  <c r="H147" i="9"/>
  <c r="G147" i="9"/>
  <c r="F147" i="9"/>
  <c r="D147" i="9"/>
  <c r="C147" i="9"/>
  <c r="Z146" i="9"/>
  <c r="AB146" i="9" s="1"/>
  <c r="AB30" i="9" s="1"/>
  <c r="X146" i="9"/>
  <c r="T146" i="9"/>
  <c r="U146" i="9" s="1"/>
  <c r="R146" i="9"/>
  <c r="N146" i="9"/>
  <c r="K146" i="9"/>
  <c r="I146" i="9"/>
  <c r="E146" i="9"/>
  <c r="Z145" i="9"/>
  <c r="AB145" i="9" s="1"/>
  <c r="X145" i="9"/>
  <c r="T145" i="9"/>
  <c r="R145" i="9"/>
  <c r="R29" i="9" s="1"/>
  <c r="N145" i="9"/>
  <c r="K145" i="9"/>
  <c r="I145" i="9"/>
  <c r="E145" i="9"/>
  <c r="W142" i="9"/>
  <c r="V142" i="9"/>
  <c r="T142" i="9"/>
  <c r="S142" i="9"/>
  <c r="Q142" i="9"/>
  <c r="W141" i="9"/>
  <c r="V141" i="9"/>
  <c r="T141" i="9"/>
  <c r="S141" i="9"/>
  <c r="Q141" i="9"/>
  <c r="P141" i="9"/>
  <c r="W140" i="9"/>
  <c r="V140" i="9"/>
  <c r="T140" i="9"/>
  <c r="S140" i="9"/>
  <c r="Q140" i="9"/>
  <c r="C140" i="9"/>
  <c r="W139" i="9"/>
  <c r="V139" i="9"/>
  <c r="T139" i="9"/>
  <c r="S139" i="9"/>
  <c r="Q139" i="9"/>
  <c r="Q377" i="9" s="1"/>
  <c r="P139" i="9"/>
  <c r="P377" i="9" s="1"/>
  <c r="C139" i="9"/>
  <c r="L135" i="9"/>
  <c r="L134" i="9"/>
  <c r="L133" i="9"/>
  <c r="K132" i="9"/>
  <c r="L132" i="9" s="1"/>
  <c r="W130" i="9"/>
  <c r="T130" i="9"/>
  <c r="Q130" i="9"/>
  <c r="W129" i="9"/>
  <c r="V129" i="9"/>
  <c r="T129" i="9"/>
  <c r="S129" i="9"/>
  <c r="O128" i="9"/>
  <c r="L128" i="9"/>
  <c r="I128" i="9"/>
  <c r="F128" i="9"/>
  <c r="X127" i="9"/>
  <c r="U127" i="9"/>
  <c r="R127" i="9"/>
  <c r="O127" i="9"/>
  <c r="L127" i="9"/>
  <c r="I127" i="9"/>
  <c r="F127" i="9"/>
  <c r="X126" i="9"/>
  <c r="U126" i="9"/>
  <c r="R126" i="9"/>
  <c r="O126" i="9"/>
  <c r="L126" i="9"/>
  <c r="I126" i="9"/>
  <c r="F126" i="9"/>
  <c r="X125" i="9"/>
  <c r="U125" i="9"/>
  <c r="V130" i="9" s="1"/>
  <c r="R125" i="9"/>
  <c r="S130" i="9" s="1"/>
  <c r="D125" i="9"/>
  <c r="D130" i="9" s="1"/>
  <c r="W123" i="9"/>
  <c r="T123" i="9"/>
  <c r="W122" i="9"/>
  <c r="T122" i="9"/>
  <c r="O121" i="9"/>
  <c r="L121" i="9"/>
  <c r="I121" i="9"/>
  <c r="F121" i="9"/>
  <c r="X120" i="9"/>
  <c r="U120" i="9"/>
  <c r="R120" i="9"/>
  <c r="O120" i="9"/>
  <c r="L120" i="9"/>
  <c r="I120" i="9"/>
  <c r="F120" i="9"/>
  <c r="X119" i="9"/>
  <c r="U119" i="9"/>
  <c r="R119" i="9"/>
  <c r="O119" i="9"/>
  <c r="L119" i="9"/>
  <c r="I119" i="9"/>
  <c r="F119" i="9"/>
  <c r="X118" i="9"/>
  <c r="U118" i="9"/>
  <c r="R118" i="9"/>
  <c r="D118" i="9"/>
  <c r="E118" i="9" s="1"/>
  <c r="W116" i="9"/>
  <c r="T116" i="9"/>
  <c r="S116" i="9"/>
  <c r="W115" i="9"/>
  <c r="V115" i="9"/>
  <c r="T115" i="9"/>
  <c r="N114" i="9"/>
  <c r="L114" i="9"/>
  <c r="I114" i="9"/>
  <c r="F114" i="9"/>
  <c r="X113" i="9"/>
  <c r="U113" i="9"/>
  <c r="R113" i="9"/>
  <c r="N113" i="9"/>
  <c r="L113" i="9"/>
  <c r="I113" i="9"/>
  <c r="F113" i="9"/>
  <c r="X112" i="9"/>
  <c r="U112" i="9"/>
  <c r="R112" i="9"/>
  <c r="N112" i="9"/>
  <c r="L112" i="9"/>
  <c r="I112" i="9"/>
  <c r="F112" i="9"/>
  <c r="X111" i="9"/>
  <c r="U111" i="9"/>
  <c r="U375" i="9" s="1"/>
  <c r="D111" i="9"/>
  <c r="D375" i="9" s="1"/>
  <c r="S108" i="9"/>
  <c r="M107" i="9"/>
  <c r="J107" i="9"/>
  <c r="H107" i="9"/>
  <c r="G107" i="9"/>
  <c r="D107" i="9"/>
  <c r="X102" i="9"/>
  <c r="T102" i="9"/>
  <c r="R102" i="9"/>
  <c r="P102" i="9"/>
  <c r="P107" i="9" s="1"/>
  <c r="N102" i="9"/>
  <c r="K102" i="9"/>
  <c r="I102" i="9"/>
  <c r="F102" i="9"/>
  <c r="E102" i="9" s="1"/>
  <c r="W101" i="9"/>
  <c r="W103" i="9" s="1"/>
  <c r="V101" i="9"/>
  <c r="V103" i="9" s="1"/>
  <c r="U101" i="9"/>
  <c r="U103" i="9" s="1"/>
  <c r="S101" i="9"/>
  <c r="S103" i="9" s="1"/>
  <c r="R101" i="9"/>
  <c r="P101" i="9"/>
  <c r="O101" i="9"/>
  <c r="O103" i="9" s="1"/>
  <c r="M101" i="9"/>
  <c r="M103" i="9" s="1"/>
  <c r="L101" i="9"/>
  <c r="L103" i="9" s="1"/>
  <c r="J101" i="9"/>
  <c r="J103" i="9" s="1"/>
  <c r="H101" i="9"/>
  <c r="H103" i="9" s="1"/>
  <c r="G101" i="9"/>
  <c r="G103" i="9" s="1"/>
  <c r="D101" i="9"/>
  <c r="D103" i="9" s="1"/>
  <c r="X100" i="9"/>
  <c r="AG100" i="9" s="1"/>
  <c r="AJ100" i="9" s="1"/>
  <c r="AM100" i="9" s="1"/>
  <c r="T100" i="9"/>
  <c r="Q100" i="9"/>
  <c r="N100" i="9"/>
  <c r="K100" i="9"/>
  <c r="I100" i="9"/>
  <c r="F100" i="9"/>
  <c r="AJ99" i="9"/>
  <c r="AM99" i="9" s="1"/>
  <c r="X99" i="9"/>
  <c r="T99" i="9"/>
  <c r="Q99" i="9"/>
  <c r="N99" i="9"/>
  <c r="K99" i="9"/>
  <c r="I99" i="9"/>
  <c r="F99" i="9"/>
  <c r="E99" i="9" s="1"/>
  <c r="X98" i="9"/>
  <c r="X97" i="9" s="1"/>
  <c r="T98" i="9"/>
  <c r="N98" i="9"/>
  <c r="K98" i="9"/>
  <c r="I98" i="9"/>
  <c r="F98" i="9"/>
  <c r="U97" i="9"/>
  <c r="Q97" i="9"/>
  <c r="T93" i="9"/>
  <c r="U93" i="9" s="1"/>
  <c r="Q93" i="9"/>
  <c r="N93" i="9"/>
  <c r="N41" i="9" s="1"/>
  <c r="N40" i="9" s="1"/>
  <c r="K93" i="9"/>
  <c r="I93" i="9"/>
  <c r="E93" i="9"/>
  <c r="W89" i="9"/>
  <c r="X89" i="9" s="1"/>
  <c r="T89" i="9"/>
  <c r="U89" i="9" s="1"/>
  <c r="Q89" i="9"/>
  <c r="O89" i="9"/>
  <c r="N89" i="9" s="1"/>
  <c r="K89" i="9"/>
  <c r="I89" i="9"/>
  <c r="E89" i="9"/>
  <c r="S87" i="9"/>
  <c r="R87" i="9"/>
  <c r="P87" i="9"/>
  <c r="M87" i="9"/>
  <c r="L87" i="9"/>
  <c r="J87" i="9"/>
  <c r="H87" i="9"/>
  <c r="G87" i="9"/>
  <c r="F87" i="9"/>
  <c r="D87" i="9"/>
  <c r="C87" i="9"/>
  <c r="AA86" i="9"/>
  <c r="X86" i="9"/>
  <c r="T86" i="9"/>
  <c r="U86" i="9" s="1"/>
  <c r="Q86" i="9"/>
  <c r="O86" i="9"/>
  <c r="N86" i="9" s="1"/>
  <c r="K86" i="9"/>
  <c r="I86" i="9"/>
  <c r="E86" i="9"/>
  <c r="Y84" i="9"/>
  <c r="Z84" i="9" s="1"/>
  <c r="V84" i="9"/>
  <c r="V87" i="9" s="1"/>
  <c r="T84" i="9"/>
  <c r="Q84" i="9"/>
  <c r="O84" i="9"/>
  <c r="K84" i="9"/>
  <c r="I84" i="9"/>
  <c r="E84" i="9"/>
  <c r="Y83" i="9"/>
  <c r="V83" i="9"/>
  <c r="S83" i="9"/>
  <c r="P83" i="9"/>
  <c r="P85" i="9" s="1"/>
  <c r="M83" i="9"/>
  <c r="J83" i="9"/>
  <c r="J85" i="9" s="1"/>
  <c r="H83" i="9"/>
  <c r="H85" i="9" s="1"/>
  <c r="G83" i="9"/>
  <c r="F83" i="9"/>
  <c r="F85" i="9" s="1"/>
  <c r="D83" i="9"/>
  <c r="D85" i="9" s="1"/>
  <c r="C83" i="9"/>
  <c r="W82" i="9"/>
  <c r="W83" i="9" s="1"/>
  <c r="T82" i="9"/>
  <c r="U82" i="9" s="1"/>
  <c r="Q82" i="9"/>
  <c r="O82" i="9"/>
  <c r="N82" i="9" s="1"/>
  <c r="K82" i="9"/>
  <c r="I82" i="9"/>
  <c r="E82" i="9"/>
  <c r="X81" i="9"/>
  <c r="T81" i="9"/>
  <c r="U81" i="9" s="1"/>
  <c r="Q81" i="9"/>
  <c r="O81" i="9"/>
  <c r="N81" i="9" s="1"/>
  <c r="K81" i="9"/>
  <c r="I81" i="9"/>
  <c r="E81" i="9"/>
  <c r="T77" i="9"/>
  <c r="U77" i="9" s="1"/>
  <c r="Q77" i="9"/>
  <c r="O77" i="9"/>
  <c r="K77" i="9"/>
  <c r="I77" i="9"/>
  <c r="E77" i="9"/>
  <c r="X73" i="9"/>
  <c r="T73" i="9"/>
  <c r="U73" i="9" s="1"/>
  <c r="Q73" i="9"/>
  <c r="N73" i="9"/>
  <c r="K73" i="9"/>
  <c r="I73" i="9"/>
  <c r="E73" i="9"/>
  <c r="Y71" i="9"/>
  <c r="V71" i="9"/>
  <c r="S71" i="9"/>
  <c r="R71" i="9"/>
  <c r="P71" i="9"/>
  <c r="O71" i="9"/>
  <c r="M71" i="9"/>
  <c r="L71" i="9"/>
  <c r="J71" i="9"/>
  <c r="H71" i="9"/>
  <c r="G71" i="9"/>
  <c r="F71" i="9"/>
  <c r="D71" i="9"/>
  <c r="C71" i="9"/>
  <c r="AA70" i="9"/>
  <c r="X70" i="9"/>
  <c r="T70" i="9"/>
  <c r="U70" i="9" s="1"/>
  <c r="Q70" i="9"/>
  <c r="N70" i="9"/>
  <c r="K70" i="9"/>
  <c r="I70" i="9"/>
  <c r="E70" i="9"/>
  <c r="W68" i="9"/>
  <c r="W71" i="9" s="1"/>
  <c r="T68" i="9"/>
  <c r="U68" i="9" s="1"/>
  <c r="Q68" i="9"/>
  <c r="N68" i="9"/>
  <c r="K68" i="9"/>
  <c r="I68" i="9"/>
  <c r="E68" i="9"/>
  <c r="Y67" i="9"/>
  <c r="W67" i="9"/>
  <c r="V67" i="9"/>
  <c r="S67" i="9"/>
  <c r="P67" i="9"/>
  <c r="M67" i="9"/>
  <c r="J67" i="9"/>
  <c r="H67" i="9"/>
  <c r="G67" i="9"/>
  <c r="F67" i="9"/>
  <c r="D67" i="9"/>
  <c r="C67" i="9"/>
  <c r="AJ66" i="9"/>
  <c r="AG66" i="9"/>
  <c r="AD66" i="9"/>
  <c r="AA66" i="9"/>
  <c r="X66" i="9"/>
  <c r="U66" i="9"/>
  <c r="Q66" i="9"/>
  <c r="N66" i="9"/>
  <c r="K66" i="9"/>
  <c r="I66" i="9"/>
  <c r="E66" i="9"/>
  <c r="X65" i="9"/>
  <c r="T65" i="9"/>
  <c r="U65" i="9" s="1"/>
  <c r="Q65" i="9"/>
  <c r="N65" i="9"/>
  <c r="K65" i="9"/>
  <c r="I65" i="9"/>
  <c r="E65" i="9"/>
  <c r="T61" i="9"/>
  <c r="U61" i="9" s="1"/>
  <c r="Q61" i="9"/>
  <c r="O61" i="9"/>
  <c r="K61" i="9"/>
  <c r="I61" i="9"/>
  <c r="E61" i="9"/>
  <c r="W57" i="9"/>
  <c r="T57" i="9"/>
  <c r="U57" i="9" s="1"/>
  <c r="Q57" i="9"/>
  <c r="N57" i="9"/>
  <c r="K57" i="9"/>
  <c r="I57" i="9"/>
  <c r="E57" i="9"/>
  <c r="Y55" i="9"/>
  <c r="V55" i="9"/>
  <c r="S55" i="9"/>
  <c r="R55" i="9"/>
  <c r="P55" i="9"/>
  <c r="O55" i="9"/>
  <c r="M55" i="9"/>
  <c r="L55" i="9"/>
  <c r="J55" i="9"/>
  <c r="H55" i="9"/>
  <c r="G55" i="9"/>
  <c r="F55" i="9"/>
  <c r="D55" i="9"/>
  <c r="C55" i="9"/>
  <c r="AA54" i="9"/>
  <c r="X54" i="9"/>
  <c r="T54" i="9"/>
  <c r="Q54" i="9"/>
  <c r="N54" i="9"/>
  <c r="K54" i="9"/>
  <c r="I54" i="9"/>
  <c r="E54" i="9"/>
  <c r="W55" i="9"/>
  <c r="T52" i="9"/>
  <c r="Q52" i="9"/>
  <c r="N52" i="9"/>
  <c r="K52" i="9"/>
  <c r="I52" i="9"/>
  <c r="E52" i="9"/>
  <c r="Y51" i="9"/>
  <c r="Y390" i="9" s="1"/>
  <c r="W51" i="9"/>
  <c r="V51" i="9"/>
  <c r="S51" i="9"/>
  <c r="P51" i="9"/>
  <c r="M51" i="9"/>
  <c r="J51" i="9"/>
  <c r="H51" i="9"/>
  <c r="G51" i="9"/>
  <c r="F51" i="9"/>
  <c r="D51" i="9"/>
  <c r="C51" i="9"/>
  <c r="AM50" i="9"/>
  <c r="AJ50" i="9"/>
  <c r="AG50" i="9"/>
  <c r="AD50" i="9"/>
  <c r="AA50" i="9"/>
  <c r="AA51" i="9" s="1"/>
  <c r="X50" i="9"/>
  <c r="X51" i="9" s="1"/>
  <c r="U50" i="9"/>
  <c r="R50" i="9"/>
  <c r="N50" i="9"/>
  <c r="K50" i="9"/>
  <c r="I50" i="9"/>
  <c r="E50" i="9"/>
  <c r="X385" i="9"/>
  <c r="T49" i="9"/>
  <c r="T385" i="9" s="1"/>
  <c r="Q49" i="9"/>
  <c r="Q385" i="9" s="1"/>
  <c r="N49" i="9"/>
  <c r="N385" i="9" s="1"/>
  <c r="K49" i="9"/>
  <c r="K385" i="9" s="1"/>
  <c r="I49" i="9"/>
  <c r="I385" i="9" s="1"/>
  <c r="E49" i="9"/>
  <c r="E385" i="9" s="1"/>
  <c r="W41" i="9"/>
  <c r="W40" i="9" s="1"/>
  <c r="V41" i="9"/>
  <c r="S41" i="9"/>
  <c r="S40" i="9" s="1"/>
  <c r="P41" i="9"/>
  <c r="M41" i="9"/>
  <c r="L41" i="9"/>
  <c r="J41" i="9"/>
  <c r="H41" i="9"/>
  <c r="G41" i="9"/>
  <c r="G40" i="9" s="1"/>
  <c r="F41" i="9"/>
  <c r="D41" i="9"/>
  <c r="D40" i="9" s="1"/>
  <c r="C41" i="9"/>
  <c r="X39" i="9"/>
  <c r="U39" i="9"/>
  <c r="R39" i="9"/>
  <c r="M39" i="9"/>
  <c r="L39" i="9"/>
  <c r="L13" i="9" s="1"/>
  <c r="J39" i="9"/>
  <c r="J13" i="9" s="1"/>
  <c r="H39" i="9"/>
  <c r="I39" i="9" s="1"/>
  <c r="F39" i="9"/>
  <c r="Y37" i="9"/>
  <c r="V37" i="9"/>
  <c r="S37" i="9"/>
  <c r="P37" i="9"/>
  <c r="M37" i="9"/>
  <c r="L37" i="9"/>
  <c r="J37" i="9"/>
  <c r="H37" i="9"/>
  <c r="G37" i="9"/>
  <c r="F37" i="9"/>
  <c r="D37" i="9"/>
  <c r="C37" i="9"/>
  <c r="Z34" i="9"/>
  <c r="Y34" i="9"/>
  <c r="W34" i="9"/>
  <c r="V34" i="9"/>
  <c r="S34" i="9"/>
  <c r="P34" i="9"/>
  <c r="M34" i="9"/>
  <c r="L34" i="9"/>
  <c r="J34" i="9"/>
  <c r="H34" i="9"/>
  <c r="G34" i="9"/>
  <c r="F34" i="9"/>
  <c r="D34" i="9"/>
  <c r="C34" i="9"/>
  <c r="S32" i="9"/>
  <c r="S6" i="9" s="1"/>
  <c r="P32" i="9"/>
  <c r="P6" i="9" s="1"/>
  <c r="M32" i="9"/>
  <c r="M6" i="9" s="1"/>
  <c r="L32" i="9"/>
  <c r="L6" i="9" s="1"/>
  <c r="J32" i="9"/>
  <c r="J6" i="9" s="1"/>
  <c r="H32" i="9"/>
  <c r="G32" i="9"/>
  <c r="G6" i="9" s="1"/>
  <c r="F32" i="9"/>
  <c r="D32" i="9"/>
  <c r="D6" i="9" s="1"/>
  <c r="C32" i="9"/>
  <c r="Y30" i="9"/>
  <c r="V30" i="9"/>
  <c r="S30" i="9"/>
  <c r="P30" i="9"/>
  <c r="M30" i="9"/>
  <c r="L30" i="9"/>
  <c r="J30" i="9"/>
  <c r="H30" i="9"/>
  <c r="G30" i="9"/>
  <c r="F30" i="9"/>
  <c r="D30" i="9"/>
  <c r="C30" i="9"/>
  <c r="Y29" i="9"/>
  <c r="W29" i="9"/>
  <c r="V29" i="9"/>
  <c r="S29" i="9"/>
  <c r="P29" i="9"/>
  <c r="M29" i="9"/>
  <c r="L29" i="9"/>
  <c r="J29" i="9"/>
  <c r="H29" i="9"/>
  <c r="G29" i="9"/>
  <c r="F29" i="9"/>
  <c r="D29" i="9"/>
  <c r="C29" i="9"/>
  <c r="G13" i="9"/>
  <c r="G261" i="9" s="1"/>
  <c r="D13" i="9"/>
  <c r="D261" i="9" s="1"/>
  <c r="D253" i="9" s="1"/>
  <c r="C9" i="9"/>
  <c r="C5" i="9"/>
  <c r="M216" i="9" l="1"/>
  <c r="M218" i="9" s="1"/>
  <c r="V85" i="9"/>
  <c r="Q87" i="9"/>
  <c r="Q101" i="9"/>
  <c r="E87" i="9"/>
  <c r="G253" i="9"/>
  <c r="M56" i="9"/>
  <c r="M58" i="9" s="1"/>
  <c r="M62" i="9" s="1"/>
  <c r="M72" i="9"/>
  <c r="M74" i="9" s="1"/>
  <c r="M78" i="9" s="1"/>
  <c r="Z30" i="9"/>
  <c r="W72" i="9"/>
  <c r="W74" i="9" s="1"/>
  <c r="W78" i="9" s="1"/>
  <c r="O87" i="9"/>
  <c r="J216" i="9"/>
  <c r="J219" i="9" s="1"/>
  <c r="F184" i="9"/>
  <c r="F186" i="9" s="1"/>
  <c r="F190" i="9" s="1"/>
  <c r="T87" i="9"/>
  <c r="N147" i="9"/>
  <c r="O147" i="9" s="1"/>
  <c r="O152" i="9" s="1"/>
  <c r="O154" i="9" s="1"/>
  <c r="O158" i="9" s="1"/>
  <c r="R151" i="9"/>
  <c r="D184" i="9"/>
  <c r="D186" i="9" s="1"/>
  <c r="D201" i="9" s="1"/>
  <c r="K87" i="9"/>
  <c r="I151" i="9"/>
  <c r="F15" i="9"/>
  <c r="M161" i="9"/>
  <c r="M163" i="9" s="1"/>
  <c r="M165" i="9" s="1"/>
  <c r="N215" i="9"/>
  <c r="N214" i="9"/>
  <c r="O30" i="9"/>
  <c r="V32" i="9"/>
  <c r="V6" i="9" s="1"/>
  <c r="S256" i="9"/>
  <c r="Y225" i="9"/>
  <c r="I226" i="9"/>
  <c r="I173" i="9" s="1"/>
  <c r="I172" i="9" s="1"/>
  <c r="R162" i="9"/>
  <c r="O29" i="9"/>
  <c r="O37" i="9"/>
  <c r="C10" i="9"/>
  <c r="C12" i="9" s="1"/>
  <c r="C16" i="9" s="1"/>
  <c r="H13" i="9"/>
  <c r="S72" i="9"/>
  <c r="S74" i="9" s="1"/>
  <c r="S78" i="9" s="1"/>
  <c r="T269" i="9"/>
  <c r="N331" i="9"/>
  <c r="F13" i="9"/>
  <c r="F261" i="9" s="1"/>
  <c r="E261" i="9" s="1"/>
  <c r="E253" i="9" s="1"/>
  <c r="J161" i="9"/>
  <c r="J3" i="9" s="1"/>
  <c r="AA162" i="9"/>
  <c r="Z162" i="9" s="1"/>
  <c r="M4" i="9"/>
  <c r="V4" i="9"/>
  <c r="O32" i="9"/>
  <c r="O6" i="9" s="1"/>
  <c r="N6" i="9" s="1"/>
  <c r="Y32" i="9"/>
  <c r="Y35" i="9" s="1"/>
  <c r="K83" i="9"/>
  <c r="L83" i="9" s="1"/>
  <c r="L88" i="9" s="1"/>
  <c r="L90" i="9" s="1"/>
  <c r="L95" i="9" s="1"/>
  <c r="Q152" i="9"/>
  <c r="Q154" i="9" s="1"/>
  <c r="Q158" i="9" s="1"/>
  <c r="Y152" i="9"/>
  <c r="Y154" i="9" s="1"/>
  <c r="Y158" i="9" s="1"/>
  <c r="P162" i="9"/>
  <c r="P4" i="9" s="1"/>
  <c r="W30" i="9"/>
  <c r="W31" i="9" s="1"/>
  <c r="O34" i="9"/>
  <c r="U172" i="9"/>
  <c r="T172" i="9" s="1"/>
  <c r="K151" i="9"/>
  <c r="K30" i="9"/>
  <c r="K32" i="9"/>
  <c r="F152" i="9"/>
  <c r="F154" i="9" s="1"/>
  <c r="F158" i="9" s="1"/>
  <c r="X147" i="9"/>
  <c r="H161" i="9"/>
  <c r="H163" i="9" s="1"/>
  <c r="H165" i="9" s="1"/>
  <c r="U162" i="9"/>
  <c r="T162" i="9" s="1"/>
  <c r="P179" i="9"/>
  <c r="P184" i="9" s="1"/>
  <c r="P186" i="9" s="1"/>
  <c r="P190" i="9" s="1"/>
  <c r="K214" i="9"/>
  <c r="V347" i="9"/>
  <c r="V357" i="9" s="1"/>
  <c r="D370" i="9"/>
  <c r="D372" i="9" s="1"/>
  <c r="U54" i="9"/>
  <c r="K37" i="9"/>
  <c r="AP100" i="9"/>
  <c r="AS100" i="9" s="1"/>
  <c r="AV100" i="9" s="1"/>
  <c r="AY100" i="9" s="1"/>
  <c r="BB100" i="9" s="1"/>
  <c r="BE100" i="9" s="1"/>
  <c r="AP99" i="9"/>
  <c r="K215" i="9"/>
  <c r="R277" i="9"/>
  <c r="R32" i="9"/>
  <c r="R6" i="9" s="1"/>
  <c r="Q6" i="9" s="1"/>
  <c r="K101" i="9"/>
  <c r="K103" i="9" s="1"/>
  <c r="F367" i="9"/>
  <c r="E367" i="9" s="1"/>
  <c r="X161" i="9"/>
  <c r="W161" i="9" s="1"/>
  <c r="T147" i="9"/>
  <c r="E151" i="9"/>
  <c r="Q30" i="9"/>
  <c r="C152" i="9"/>
  <c r="C154" i="9" s="1"/>
  <c r="C158" i="9" s="1"/>
  <c r="H152" i="9"/>
  <c r="H154" i="9" s="1"/>
  <c r="H158" i="9" s="1"/>
  <c r="T30" i="9"/>
  <c r="L40" i="9"/>
  <c r="L14" i="9" s="1"/>
  <c r="L15" i="9" s="1"/>
  <c r="T29" i="9"/>
  <c r="U139" i="9"/>
  <c r="G3" i="9"/>
  <c r="I202" i="9"/>
  <c r="Q32" i="9"/>
  <c r="Q41" i="9"/>
  <c r="Q40" i="9" s="1"/>
  <c r="N30" i="9"/>
  <c r="Q34" i="9"/>
  <c r="R30" i="9"/>
  <c r="M171" i="9"/>
  <c r="M13" i="9" s="1"/>
  <c r="M261" i="9" s="1"/>
  <c r="M253" i="9" s="1"/>
  <c r="T347" i="9"/>
  <c r="V72" i="9"/>
  <c r="V74" i="9" s="1"/>
  <c r="V78" i="9" s="1"/>
  <c r="T185" i="9"/>
  <c r="N178" i="9"/>
  <c r="N333" i="9"/>
  <c r="E37" i="9"/>
  <c r="AK256" i="9"/>
  <c r="AK257" i="9"/>
  <c r="S251" i="9"/>
  <c r="S259" i="9" s="1"/>
  <c r="P336" i="9"/>
  <c r="P338" i="9" s="1"/>
  <c r="P339" i="9" s="1"/>
  <c r="N335" i="9"/>
  <c r="I351" i="9"/>
  <c r="X188" i="9"/>
  <c r="K6" i="9"/>
  <c r="K29" i="9"/>
  <c r="T34" i="9"/>
  <c r="M40" i="9"/>
  <c r="O40" i="9" s="1"/>
  <c r="T41" i="9"/>
  <c r="T40" i="9" s="1"/>
  <c r="U40" i="9" s="1"/>
  <c r="N34" i="9"/>
  <c r="I37" i="9"/>
  <c r="K41" i="9"/>
  <c r="Q29" i="9"/>
  <c r="K34" i="9"/>
  <c r="Q37" i="9"/>
  <c r="N29" i="9"/>
  <c r="C88" i="9"/>
  <c r="C90" i="9" s="1"/>
  <c r="C95" i="9" s="1"/>
  <c r="S88" i="9"/>
  <c r="S90" i="9" s="1"/>
  <c r="S95" i="9" s="1"/>
  <c r="Q102" i="9"/>
  <c r="Q107" i="9" s="1"/>
  <c r="R107" i="9" s="1"/>
  <c r="T37" i="9"/>
  <c r="P103" i="9"/>
  <c r="W56" i="9"/>
  <c r="W393" i="9" s="1"/>
  <c r="W390" i="9"/>
  <c r="S35" i="9"/>
  <c r="V392" i="9"/>
  <c r="E83" i="9"/>
  <c r="T101" i="9"/>
  <c r="T32" i="9"/>
  <c r="W37" i="9"/>
  <c r="S56" i="9"/>
  <c r="S58" i="9" s="1"/>
  <c r="S62" i="9" s="1"/>
  <c r="Y392" i="9"/>
  <c r="M152" i="9"/>
  <c r="M154" i="9" s="1"/>
  <c r="M158" i="9" s="1"/>
  <c r="G370" i="9"/>
  <c r="G372" i="9" s="1"/>
  <c r="W392" i="9"/>
  <c r="I30" i="9"/>
  <c r="U30" i="9"/>
  <c r="V56" i="9"/>
  <c r="V390" i="9"/>
  <c r="I32" i="9"/>
  <c r="I6" i="9" s="1"/>
  <c r="H6" i="9" s="1"/>
  <c r="X34" i="9"/>
  <c r="I41" i="9"/>
  <c r="I40" i="9" s="1"/>
  <c r="K107" i="9"/>
  <c r="L107" i="9" s="1"/>
  <c r="R103" i="9"/>
  <c r="X103" i="9"/>
  <c r="K299" i="9"/>
  <c r="R294" i="9"/>
  <c r="S295" i="9" s="1"/>
  <c r="X299" i="9"/>
  <c r="E299" i="9"/>
  <c r="Q299" i="9"/>
  <c r="F341" i="9"/>
  <c r="X386" i="9"/>
  <c r="X294" i="9"/>
  <c r="Y342" i="9" s="1"/>
  <c r="W172" i="9"/>
  <c r="W14" i="9" s="1"/>
  <c r="D31" i="9"/>
  <c r="D33" i="9" s="1"/>
  <c r="J31" i="9"/>
  <c r="J33" i="9" s="1"/>
  <c r="L31" i="9"/>
  <c r="L33" i="9" s="1"/>
  <c r="P31" i="9"/>
  <c r="P33" i="9" s="1"/>
  <c r="E30" i="9"/>
  <c r="C35" i="9"/>
  <c r="F35" i="9"/>
  <c r="H35" i="9"/>
  <c r="M35" i="9"/>
  <c r="F40" i="9"/>
  <c r="E40" i="9" s="1"/>
  <c r="K39" i="9"/>
  <c r="X41" i="9"/>
  <c r="U49" i="9"/>
  <c r="U385" i="9" s="1"/>
  <c r="C56" i="9"/>
  <c r="C58" i="9" s="1"/>
  <c r="C62" i="9" s="1"/>
  <c r="F56" i="9"/>
  <c r="F58" i="9" s="1"/>
  <c r="F62" i="9" s="1"/>
  <c r="H56" i="9"/>
  <c r="H58" i="9" s="1"/>
  <c r="H62" i="9" s="1"/>
  <c r="E55" i="9"/>
  <c r="K55" i="9"/>
  <c r="Q55" i="9"/>
  <c r="D72" i="9"/>
  <c r="D74" i="9" s="1"/>
  <c r="D78" i="9" s="1"/>
  <c r="G72" i="9"/>
  <c r="G74" i="9" s="1"/>
  <c r="G78" i="9" s="1"/>
  <c r="J72" i="9"/>
  <c r="J74" i="9" s="1"/>
  <c r="J78" i="9" s="1"/>
  <c r="P72" i="9"/>
  <c r="P74" i="9" s="1"/>
  <c r="P78" i="9" s="1"/>
  <c r="Y72" i="9"/>
  <c r="Y74" i="9" s="1"/>
  <c r="Y78" i="9" s="1"/>
  <c r="N71" i="9"/>
  <c r="Q83" i="9"/>
  <c r="G88" i="9"/>
  <c r="G90" i="9" s="1"/>
  <c r="G95" i="9" s="1"/>
  <c r="N37" i="9"/>
  <c r="X141" i="9"/>
  <c r="X139" i="9"/>
  <c r="E147" i="9"/>
  <c r="E149" i="9" s="1"/>
  <c r="K147" i="9"/>
  <c r="K149" i="9" s="1"/>
  <c r="AA145" i="9"/>
  <c r="AC145" i="9" s="1"/>
  <c r="AC29" i="9" s="1"/>
  <c r="D152" i="9"/>
  <c r="D154" i="9" s="1"/>
  <c r="D158" i="9" s="1"/>
  <c r="G152" i="9"/>
  <c r="G154" i="9" s="1"/>
  <c r="G158" i="9" s="1"/>
  <c r="R147" i="9"/>
  <c r="S152" i="9"/>
  <c r="S154" i="9" s="1"/>
  <c r="S158" i="9" s="1"/>
  <c r="W152" i="9"/>
  <c r="W154" i="9" s="1"/>
  <c r="W158" i="9" s="1"/>
  <c r="O172" i="9"/>
  <c r="Q185" i="9"/>
  <c r="X142" i="9"/>
  <c r="X140" i="9"/>
  <c r="Q207" i="9"/>
  <c r="I214" i="9"/>
  <c r="G240" i="9"/>
  <c r="G242" i="9"/>
  <c r="S250" i="9"/>
  <c r="S258" i="9" s="1"/>
  <c r="K261" i="9"/>
  <c r="K253" i="9" s="1"/>
  <c r="R275" i="9"/>
  <c r="H269" i="9"/>
  <c r="U294" i="9"/>
  <c r="V342" i="9" s="1"/>
  <c r="H298" i="9"/>
  <c r="H386" i="9" s="1"/>
  <c r="N326" i="9"/>
  <c r="N329" i="9"/>
  <c r="R329" i="9"/>
  <c r="N330" i="9"/>
  <c r="R330" i="9"/>
  <c r="R331" i="9"/>
  <c r="N332" i="9"/>
  <c r="R332" i="9"/>
  <c r="R333" i="9"/>
  <c r="N334" i="9"/>
  <c r="R334" i="9"/>
  <c r="R335" i="9"/>
  <c r="F351" i="9"/>
  <c r="D3" i="9"/>
  <c r="F6" i="9"/>
  <c r="E6" i="9" s="1"/>
  <c r="C31" i="9"/>
  <c r="C33" i="9" s="1"/>
  <c r="X278" i="9"/>
  <c r="Y270" i="9"/>
  <c r="Y31" i="9"/>
  <c r="D35" i="9"/>
  <c r="G35" i="9"/>
  <c r="J35" i="9"/>
  <c r="L35" i="9"/>
  <c r="P35" i="9"/>
  <c r="E34" i="9"/>
  <c r="P40" i="9"/>
  <c r="V40" i="9"/>
  <c r="X40" i="9" s="1"/>
  <c r="E41" i="9"/>
  <c r="O41" i="9"/>
  <c r="D56" i="9"/>
  <c r="D58" i="9" s="1"/>
  <c r="D62" i="9" s="1"/>
  <c r="G56" i="9"/>
  <c r="G58" i="9" s="1"/>
  <c r="G62" i="9" s="1"/>
  <c r="J56" i="9"/>
  <c r="J58" i="9" s="1"/>
  <c r="J62" i="9" s="1"/>
  <c r="P56" i="9"/>
  <c r="P58" i="9" s="1"/>
  <c r="P62" i="9" s="1"/>
  <c r="N55" i="9"/>
  <c r="T55" i="9"/>
  <c r="X37" i="9"/>
  <c r="C72" i="9"/>
  <c r="C74" i="9" s="1"/>
  <c r="C78" i="9" s="1"/>
  <c r="F72" i="9"/>
  <c r="F74" i="9" s="1"/>
  <c r="F78" i="9" s="1"/>
  <c r="H72" i="9"/>
  <c r="H74" i="9" s="1"/>
  <c r="H78" i="9" s="1"/>
  <c r="E71" i="9"/>
  <c r="K71" i="9"/>
  <c r="Q71" i="9"/>
  <c r="I34" i="9"/>
  <c r="M88" i="9"/>
  <c r="M90" i="9" s="1"/>
  <c r="M106" i="9" s="1"/>
  <c r="N84" i="9"/>
  <c r="N32" i="9" s="1"/>
  <c r="U84" i="9"/>
  <c r="U87" i="9" s="1"/>
  <c r="W84" i="9"/>
  <c r="W85" i="9" s="1"/>
  <c r="X85" i="9" s="1"/>
  <c r="N107" i="9"/>
  <c r="O107" i="9" s="1"/>
  <c r="E98" i="9"/>
  <c r="N101" i="9"/>
  <c r="N103" i="9" s="1"/>
  <c r="I107" i="9"/>
  <c r="E111" i="9"/>
  <c r="E375" i="9" s="1"/>
  <c r="X375" i="9"/>
  <c r="Y111" i="9"/>
  <c r="AA115" i="9"/>
  <c r="G149" i="9"/>
  <c r="Q149" i="9"/>
  <c r="W149" i="9"/>
  <c r="X151" i="9"/>
  <c r="Y4" i="9"/>
  <c r="D15" i="9"/>
  <c r="G14" i="9"/>
  <c r="G26" i="9" s="1"/>
  <c r="Q177" i="9"/>
  <c r="Q179" i="9" s="1"/>
  <c r="Q181" i="9" s="1"/>
  <c r="T207" i="9"/>
  <c r="Q208" i="9"/>
  <c r="T208" i="9"/>
  <c r="H216" i="9"/>
  <c r="H219" i="9" s="1"/>
  <c r="I215" i="9"/>
  <c r="I162" i="9" s="1"/>
  <c r="S14" i="9"/>
  <c r="S26" i="9" s="1"/>
  <c r="R237" i="9"/>
  <c r="R241" i="9" s="1"/>
  <c r="I240" i="9"/>
  <c r="P240" i="9"/>
  <c r="I242" i="9"/>
  <c r="P242" i="9"/>
  <c r="L277" i="9"/>
  <c r="X277" i="9"/>
  <c r="N269" i="9"/>
  <c r="Z342" i="9"/>
  <c r="Z295" i="9"/>
  <c r="E345" i="9"/>
  <c r="F345" i="9" s="1"/>
  <c r="G345" i="9" s="1"/>
  <c r="G347" i="9" s="1"/>
  <c r="Q346" i="9"/>
  <c r="U37" i="9"/>
  <c r="AA122" i="9"/>
  <c r="Y118" i="9"/>
  <c r="X129" i="9"/>
  <c r="Y125" i="9"/>
  <c r="AA129" i="9"/>
  <c r="AA146" i="9"/>
  <c r="AC146" i="9" s="1"/>
  <c r="AC30" i="9" s="1"/>
  <c r="Z147" i="9"/>
  <c r="AA147" i="9" s="1"/>
  <c r="C149" i="9"/>
  <c r="M149" i="9"/>
  <c r="S149" i="9"/>
  <c r="Y149" i="9"/>
  <c r="N151" i="9"/>
  <c r="T151" i="9"/>
  <c r="D4" i="9"/>
  <c r="M240" i="9"/>
  <c r="S240" i="9"/>
  <c r="M242" i="9"/>
  <c r="S242" i="9"/>
  <c r="L275" i="9"/>
  <c r="X275" i="9"/>
  <c r="N299" i="9"/>
  <c r="U299" i="9"/>
  <c r="F31" i="9"/>
  <c r="F33" i="9" s="1"/>
  <c r="H31" i="9"/>
  <c r="H33" i="9" s="1"/>
  <c r="V31" i="9"/>
  <c r="I71" i="9"/>
  <c r="U71" i="9"/>
  <c r="I29" i="9"/>
  <c r="E29" i="9"/>
  <c r="G31" i="9"/>
  <c r="G33" i="9" s="1"/>
  <c r="M31" i="9"/>
  <c r="M33" i="9" s="1"/>
  <c r="S31" i="9"/>
  <c r="S33" i="9" s="1"/>
  <c r="X29" i="9"/>
  <c r="I55" i="9"/>
  <c r="I87" i="9"/>
  <c r="J261" i="9"/>
  <c r="J253" i="9" s="1"/>
  <c r="P261" i="9"/>
  <c r="P253" i="9" s="1"/>
  <c r="F3" i="9"/>
  <c r="F4" i="9"/>
  <c r="S4" i="9"/>
  <c r="G4" i="9"/>
  <c r="J4" i="9"/>
  <c r="G15" i="9"/>
  <c r="F371" i="9"/>
  <c r="E371" i="9" s="1"/>
  <c r="C163" i="9"/>
  <c r="C165" i="9" s="1"/>
  <c r="F163" i="9"/>
  <c r="F165" i="9" s="1"/>
  <c r="Y163" i="9"/>
  <c r="Y165" i="9" s="1"/>
  <c r="K162" i="9"/>
  <c r="O162" i="9"/>
  <c r="Q173" i="9"/>
  <c r="Q172" i="9" s="1"/>
  <c r="D172" i="9"/>
  <c r="D14" i="9" s="1"/>
  <c r="D26" i="9" s="1"/>
  <c r="AA34" i="9"/>
  <c r="AB34" i="9"/>
  <c r="Y56" i="9"/>
  <c r="L163" i="9"/>
  <c r="L165" i="9" s="1"/>
  <c r="O161" i="9"/>
  <c r="V163" i="9"/>
  <c r="V165" i="9" s="1"/>
  <c r="F172" i="9"/>
  <c r="E179" i="9"/>
  <c r="E184" i="9" s="1"/>
  <c r="E186" i="9" s="1"/>
  <c r="E190" i="9" s="1"/>
  <c r="K179" i="9"/>
  <c r="K184" i="9" s="1"/>
  <c r="K186" i="9" s="1"/>
  <c r="S216" i="9"/>
  <c r="S218" i="9" s="1"/>
  <c r="F196" i="9"/>
  <c r="L3" i="9"/>
  <c r="V3" i="9"/>
  <c r="Y3" i="9"/>
  <c r="L4" i="9"/>
  <c r="F368" i="9"/>
  <c r="E368" i="9" s="1"/>
  <c r="F369" i="9"/>
  <c r="E369" i="9" s="1"/>
  <c r="D163" i="9"/>
  <c r="D165" i="9" s="1"/>
  <c r="G163" i="9"/>
  <c r="G165" i="9" s="1"/>
  <c r="S161" i="9"/>
  <c r="E162" i="9"/>
  <c r="N172" i="9"/>
  <c r="N14" i="9" s="1"/>
  <c r="N26" i="9" s="1"/>
  <c r="P172" i="9"/>
  <c r="X171" i="9"/>
  <c r="M173" i="9"/>
  <c r="T173" i="9"/>
  <c r="Z179" i="9"/>
  <c r="AA179" i="9" s="1"/>
  <c r="J184" i="9"/>
  <c r="J186" i="9" s="1"/>
  <c r="J201" i="9" s="1"/>
  <c r="E193" i="9"/>
  <c r="E202" i="9"/>
  <c r="E216" i="9"/>
  <c r="E218" i="9" s="1"/>
  <c r="T225" i="9"/>
  <c r="E173" i="9"/>
  <c r="T171" i="9"/>
  <c r="T13" i="9" s="1"/>
  <c r="U13" i="9" s="1"/>
  <c r="T214" i="9"/>
  <c r="T215" i="9"/>
  <c r="AA225" i="9"/>
  <c r="Y14" i="9"/>
  <c r="Y15" i="9" s="1"/>
  <c r="AD54" i="9"/>
  <c r="U386" i="9"/>
  <c r="I13" i="9"/>
  <c r="E39" i="9"/>
  <c r="O39" i="9"/>
  <c r="H40" i="9"/>
  <c r="J40" i="9"/>
  <c r="J14" i="9" s="1"/>
  <c r="J26" i="9" s="1"/>
  <c r="N51" i="9"/>
  <c r="O51" i="9" s="1"/>
  <c r="O56" i="9" s="1"/>
  <c r="O58" i="9" s="1"/>
  <c r="O62" i="9" s="1"/>
  <c r="T51" i="9"/>
  <c r="U51" i="9" s="1"/>
  <c r="U52" i="9"/>
  <c r="X52" i="9"/>
  <c r="D53" i="9"/>
  <c r="F53" i="9"/>
  <c r="H53" i="9"/>
  <c r="J53" i="9"/>
  <c r="P53" i="9"/>
  <c r="V53" i="9"/>
  <c r="E386" i="9"/>
  <c r="E67" i="9"/>
  <c r="K386" i="9"/>
  <c r="K67" i="9"/>
  <c r="L67" i="9" s="1"/>
  <c r="L72" i="9" s="1"/>
  <c r="L74" i="9" s="1"/>
  <c r="L78" i="9" s="1"/>
  <c r="Q386" i="9"/>
  <c r="Q67" i="9"/>
  <c r="R67" i="9" s="1"/>
  <c r="R72" i="9" s="1"/>
  <c r="R74" i="9" s="1"/>
  <c r="R78" i="9" s="1"/>
  <c r="AD70" i="9"/>
  <c r="N83" i="9"/>
  <c r="O83" i="9" s="1"/>
  <c r="AA97" i="9"/>
  <c r="I103" i="9"/>
  <c r="T103" i="9"/>
  <c r="C7" i="9"/>
  <c r="R13" i="9"/>
  <c r="V253" i="9"/>
  <c r="X13" i="9"/>
  <c r="E32" i="9"/>
  <c r="E51" i="9"/>
  <c r="I51" i="9"/>
  <c r="K51" i="9"/>
  <c r="Q51" i="9"/>
  <c r="C53" i="9"/>
  <c r="G53" i="9"/>
  <c r="M53" i="9"/>
  <c r="S53" i="9"/>
  <c r="W53" i="9"/>
  <c r="Y53" i="9"/>
  <c r="N386" i="9"/>
  <c r="N67" i="9"/>
  <c r="O67" i="9" s="1"/>
  <c r="O72" i="9" s="1"/>
  <c r="O74" i="9" s="1"/>
  <c r="O78" i="9" s="1"/>
  <c r="T67" i="9"/>
  <c r="U67" i="9" s="1"/>
  <c r="AB83" i="9"/>
  <c r="AD82" i="9"/>
  <c r="AB147" i="9"/>
  <c r="AA153" i="9"/>
  <c r="AD150" i="9"/>
  <c r="I67" i="9"/>
  <c r="C69" i="9"/>
  <c r="G69" i="9"/>
  <c r="M69" i="9"/>
  <c r="S69" i="9"/>
  <c r="W69" i="9"/>
  <c r="Y69" i="9"/>
  <c r="T71" i="9"/>
  <c r="AA81" i="9"/>
  <c r="X82" i="9"/>
  <c r="X30" i="9" s="1"/>
  <c r="AA82" i="9"/>
  <c r="T83" i="9"/>
  <c r="U83" i="9" s="1"/>
  <c r="X83" i="9"/>
  <c r="Z83" i="9"/>
  <c r="AA83" i="9" s="1"/>
  <c r="AA84" i="9"/>
  <c r="AA87" i="9" s="1"/>
  <c r="C85" i="9"/>
  <c r="G85" i="9"/>
  <c r="I85" i="9" s="1"/>
  <c r="M85" i="9"/>
  <c r="S85" i="9"/>
  <c r="Y85" i="9"/>
  <c r="Y87" i="9"/>
  <c r="Y88" i="9" s="1"/>
  <c r="Y90" i="9" s="1"/>
  <c r="D88" i="9"/>
  <c r="D90" i="9" s="1"/>
  <c r="F88" i="9"/>
  <c r="F90" i="9" s="1"/>
  <c r="H88" i="9"/>
  <c r="H90" i="9" s="1"/>
  <c r="J88" i="9"/>
  <c r="J90" i="9" s="1"/>
  <c r="P88" i="9"/>
  <c r="P90" i="9" s="1"/>
  <c r="V88" i="9"/>
  <c r="V90" i="9" s="1"/>
  <c r="E100" i="9"/>
  <c r="I101" i="9"/>
  <c r="X115" i="9"/>
  <c r="D116" i="9"/>
  <c r="V116" i="9"/>
  <c r="D376" i="9"/>
  <c r="D377" i="9" s="1"/>
  <c r="F118" i="9"/>
  <c r="D123" i="9"/>
  <c r="E125" i="9"/>
  <c r="R139" i="9"/>
  <c r="R140" i="9"/>
  <c r="U141" i="9"/>
  <c r="R142" i="9"/>
  <c r="U145" i="9"/>
  <c r="I147" i="9"/>
  <c r="AA148" i="9"/>
  <c r="D149" i="9"/>
  <c r="F149" i="9"/>
  <c r="H149" i="9"/>
  <c r="J149" i="9"/>
  <c r="P149" i="9"/>
  <c r="V149" i="9"/>
  <c r="U150" i="9"/>
  <c r="U151" i="9" s="1"/>
  <c r="J152" i="9"/>
  <c r="J154" i="9" s="1"/>
  <c r="J158" i="9" s="1"/>
  <c r="P152" i="9"/>
  <c r="P154" i="9" s="1"/>
  <c r="P158" i="9" s="1"/>
  <c r="V152" i="9"/>
  <c r="E161" i="9"/>
  <c r="R171" i="9"/>
  <c r="I198" i="9"/>
  <c r="L198" i="9"/>
  <c r="X67" i="9"/>
  <c r="X68" i="9"/>
  <c r="X71" i="9" s="1"/>
  <c r="D69" i="9"/>
  <c r="F69" i="9"/>
  <c r="H69" i="9"/>
  <c r="J69" i="9"/>
  <c r="P69" i="9"/>
  <c r="V69" i="9"/>
  <c r="I83" i="9"/>
  <c r="F101" i="9"/>
  <c r="X101" i="9"/>
  <c r="F107" i="9"/>
  <c r="E107" i="9" s="1"/>
  <c r="U115" i="9"/>
  <c r="U122" i="9"/>
  <c r="X122" i="9"/>
  <c r="E123" i="9"/>
  <c r="U129" i="9"/>
  <c r="D139" i="9"/>
  <c r="D140" i="9"/>
  <c r="U140" i="9"/>
  <c r="R141" i="9"/>
  <c r="U142" i="9"/>
  <c r="AB148" i="9"/>
  <c r="H184" i="9"/>
  <c r="H186" i="9" s="1"/>
  <c r="H181" i="9"/>
  <c r="I181" i="9" s="1"/>
  <c r="Q215" i="9"/>
  <c r="Z218" i="9"/>
  <c r="AA218" i="9" s="1"/>
  <c r="I177" i="9"/>
  <c r="N177" i="9"/>
  <c r="T177" i="9"/>
  <c r="AA177" i="9"/>
  <c r="T178" i="9"/>
  <c r="I179" i="9"/>
  <c r="I184" i="9" s="1"/>
  <c r="I186" i="9" s="1"/>
  <c r="S179" i="9"/>
  <c r="D181" i="9"/>
  <c r="F181" i="9"/>
  <c r="J181" i="9"/>
  <c r="V181" i="9"/>
  <c r="Q182" i="9"/>
  <c r="Q183" i="9" s="1"/>
  <c r="C184" i="9"/>
  <c r="C186" i="9" s="1"/>
  <c r="C190" i="9" s="1"/>
  <c r="G184" i="9"/>
  <c r="G186" i="9" s="1"/>
  <c r="M184" i="9"/>
  <c r="M186" i="9" s="1"/>
  <c r="L196" i="9"/>
  <c r="E197" i="9"/>
  <c r="P214" i="9"/>
  <c r="R214" i="9"/>
  <c r="AA214" i="9"/>
  <c r="G216" i="9"/>
  <c r="AA216" i="9"/>
  <c r="C219" i="9"/>
  <c r="K226" i="9"/>
  <c r="K173" i="9" s="1"/>
  <c r="K172" i="9" s="1"/>
  <c r="X226" i="9"/>
  <c r="X225" i="9" s="1"/>
  <c r="L245" i="9"/>
  <c r="L243" i="9"/>
  <c r="L244" i="9"/>
  <c r="L242" i="9"/>
  <c r="L240" i="9"/>
  <c r="K237" i="9"/>
  <c r="K245" i="9" s="1"/>
  <c r="O245" i="9"/>
  <c r="O243" i="9"/>
  <c r="O244" i="9"/>
  <c r="O242" i="9"/>
  <c r="O240" i="9"/>
  <c r="U245" i="9"/>
  <c r="U243" i="9"/>
  <c r="U244" i="9"/>
  <c r="U242" i="9"/>
  <c r="U240" i="9"/>
  <c r="O241" i="9"/>
  <c r="U241" i="9"/>
  <c r="N261" i="9"/>
  <c r="Q261" i="9"/>
  <c r="N182" i="9"/>
  <c r="N183" i="9" s="1"/>
  <c r="T182" i="9"/>
  <c r="T183" i="9" s="1"/>
  <c r="I196" i="9"/>
  <c r="E206" i="9"/>
  <c r="D219" i="9"/>
  <c r="F219" i="9"/>
  <c r="X216" i="9"/>
  <c r="C218" i="9"/>
  <c r="W218" i="9"/>
  <c r="X218" i="9" s="1"/>
  <c r="W256" i="9"/>
  <c r="W261" i="9" s="1"/>
  <c r="V237" i="9"/>
  <c r="F245" i="9"/>
  <c r="F243" i="9"/>
  <c r="F244" i="9"/>
  <c r="F242" i="9"/>
  <c r="F240" i="9"/>
  <c r="E237" i="9"/>
  <c r="H245" i="9"/>
  <c r="H243" i="9"/>
  <c r="H244" i="9"/>
  <c r="H242" i="9"/>
  <c r="H240" i="9"/>
  <c r="J245" i="9"/>
  <c r="J243" i="9"/>
  <c r="J244" i="9"/>
  <c r="J242" i="9"/>
  <c r="J240" i="9"/>
  <c r="H241" i="9"/>
  <c r="G241" i="9"/>
  <c r="I241" i="9"/>
  <c r="M241" i="9"/>
  <c r="P241" i="9"/>
  <c r="S241" i="9"/>
  <c r="G243" i="9"/>
  <c r="I243" i="9"/>
  <c r="M243" i="9"/>
  <c r="P243" i="9"/>
  <c r="S243" i="9"/>
  <c r="G245" i="9"/>
  <c r="I245" i="9"/>
  <c r="M245" i="9"/>
  <c r="P245" i="9"/>
  <c r="S245" i="9"/>
  <c r="E274" i="9"/>
  <c r="L274" i="9"/>
  <c r="R274" i="9"/>
  <c r="X274" i="9"/>
  <c r="E276" i="9"/>
  <c r="L276" i="9"/>
  <c r="R276" i="9"/>
  <c r="X276" i="9"/>
  <c r="G278" i="9"/>
  <c r="G276" i="9"/>
  <c r="G274" i="9"/>
  <c r="G277" i="9"/>
  <c r="G275" i="9"/>
  <c r="I268" i="9"/>
  <c r="L269" i="9" s="1"/>
  <c r="K278" i="9"/>
  <c r="K276" i="9"/>
  <c r="K274" i="9"/>
  <c r="K277" i="9"/>
  <c r="K275" i="9"/>
  <c r="M278" i="9"/>
  <c r="M276" i="9"/>
  <c r="M274" i="9"/>
  <c r="M277" i="9"/>
  <c r="M275" i="9"/>
  <c r="O268" i="9"/>
  <c r="O275" i="9" s="1"/>
  <c r="Q278" i="9"/>
  <c r="Q276" i="9"/>
  <c r="Q274" i="9"/>
  <c r="Q277" i="9"/>
  <c r="Q275" i="9"/>
  <c r="S278" i="9"/>
  <c r="S276" i="9"/>
  <c r="S274" i="9"/>
  <c r="S277" i="9"/>
  <c r="S275" i="9"/>
  <c r="U268" i="9"/>
  <c r="X269" i="9" s="1"/>
  <c r="W278" i="9"/>
  <c r="W276" i="9"/>
  <c r="W274" i="9"/>
  <c r="W277" i="9"/>
  <c r="W275" i="9"/>
  <c r="Y278" i="9"/>
  <c r="Y276" i="9"/>
  <c r="Y274" i="9"/>
  <c r="Y277" i="9"/>
  <c r="Y275" i="9"/>
  <c r="F385" i="9"/>
  <c r="I271" i="9"/>
  <c r="E275" i="9"/>
  <c r="C267" i="9"/>
  <c r="C277" i="9" s="1"/>
  <c r="E277" i="9"/>
  <c r="F277" i="9"/>
  <c r="F275" i="9"/>
  <c r="F278" i="9"/>
  <c r="F276" i="9"/>
  <c r="F274" i="9"/>
  <c r="H277" i="9"/>
  <c r="H275" i="9"/>
  <c r="H278" i="9"/>
  <c r="H276" i="9"/>
  <c r="H274" i="9"/>
  <c r="J277" i="9"/>
  <c r="J275" i="9"/>
  <c r="J278" i="9"/>
  <c r="J276" i="9"/>
  <c r="J274" i="9"/>
  <c r="N277" i="9"/>
  <c r="N275" i="9"/>
  <c r="N278" i="9"/>
  <c r="N276" i="9"/>
  <c r="N274" i="9"/>
  <c r="P277" i="9"/>
  <c r="P275" i="9"/>
  <c r="P278" i="9"/>
  <c r="P276" i="9"/>
  <c r="P274" i="9"/>
  <c r="T277" i="9"/>
  <c r="T275" i="9"/>
  <c r="T278" i="9"/>
  <c r="T276" i="9"/>
  <c r="T274" i="9"/>
  <c r="V277" i="9"/>
  <c r="V275" i="9"/>
  <c r="V278" i="9"/>
  <c r="V276" i="9"/>
  <c r="V274" i="9"/>
  <c r="G269" i="9"/>
  <c r="K269" i="9"/>
  <c r="M269" i="9"/>
  <c r="Q269" i="9"/>
  <c r="S269" i="9"/>
  <c r="W269" i="9"/>
  <c r="Y269" i="9"/>
  <c r="G339" i="9"/>
  <c r="F342" i="9"/>
  <c r="H342" i="9"/>
  <c r="N355" i="9"/>
  <c r="N342" i="9"/>
  <c r="P355" i="9"/>
  <c r="P342" i="9"/>
  <c r="T355" i="9"/>
  <c r="T342" i="9"/>
  <c r="V355" i="9"/>
  <c r="BG339" i="9"/>
  <c r="BG340" i="9" s="1"/>
  <c r="F295" i="9"/>
  <c r="H295" i="9"/>
  <c r="N295" i="9"/>
  <c r="P295" i="9"/>
  <c r="T295" i="9"/>
  <c r="T297" i="9"/>
  <c r="V297" i="9"/>
  <c r="F298" i="9"/>
  <c r="F386" i="9" s="1"/>
  <c r="T298" i="9"/>
  <c r="T299" i="9" s="1"/>
  <c r="P299" i="9"/>
  <c r="R299" i="9"/>
  <c r="H336" i="9"/>
  <c r="J336" i="9"/>
  <c r="M336" i="9"/>
  <c r="M338" i="9" s="1"/>
  <c r="O336" i="9"/>
  <c r="Q336" i="9"/>
  <c r="Q338" i="9" s="1"/>
  <c r="S336" i="9"/>
  <c r="W336" i="9"/>
  <c r="W338" i="9" s="1"/>
  <c r="W339" i="9" s="1"/>
  <c r="AA336" i="9"/>
  <c r="Z329" i="9"/>
  <c r="Z330" i="9"/>
  <c r="E294" i="9"/>
  <c r="G342" i="9"/>
  <c r="I294" i="9"/>
  <c r="K342" i="9"/>
  <c r="M342" i="9"/>
  <c r="O355" i="9"/>
  <c r="O342" i="9"/>
  <c r="Q355" i="9"/>
  <c r="Q342" i="9"/>
  <c r="S355" i="9"/>
  <c r="W355" i="9"/>
  <c r="W342" i="9"/>
  <c r="Y355" i="9"/>
  <c r="G295" i="9"/>
  <c r="K295" i="9"/>
  <c r="M295" i="9"/>
  <c r="O295" i="9"/>
  <c r="Q295" i="9"/>
  <c r="W295" i="9"/>
  <c r="I297" i="9"/>
  <c r="G298" i="9"/>
  <c r="M299" i="9"/>
  <c r="O299" i="9"/>
  <c r="S299" i="9"/>
  <c r="W299" i="9"/>
  <c r="Y299" i="9"/>
  <c r="I336" i="9"/>
  <c r="K336" i="9"/>
  <c r="R326" i="9"/>
  <c r="T336" i="9"/>
  <c r="Z332" i="9"/>
  <c r="Z334" i="9"/>
  <c r="Z335" i="9"/>
  <c r="Q347" i="9"/>
  <c r="R345" i="9"/>
  <c r="S346" i="9" s="1"/>
  <c r="W347" i="9"/>
  <c r="X345" i="9"/>
  <c r="P347" i="9"/>
  <c r="P346" i="9"/>
  <c r="T346" i="9"/>
  <c r="V346" i="9"/>
  <c r="L351" i="9"/>
  <c r="X78" i="9" l="1"/>
  <c r="U163" i="9"/>
  <c r="U165" i="9" s="1"/>
  <c r="N152" i="9"/>
  <c r="N154" i="9" s="1"/>
  <c r="N158" i="9" s="1"/>
  <c r="Q88" i="9"/>
  <c r="Q90" i="9" s="1"/>
  <c r="Q95" i="9" s="1"/>
  <c r="T250" i="9"/>
  <c r="T258" i="9" s="1"/>
  <c r="Q103" i="9"/>
  <c r="J299" i="9"/>
  <c r="E88" i="9"/>
  <c r="E90" i="9" s="1"/>
  <c r="E95" i="9" s="1"/>
  <c r="J218" i="9"/>
  <c r="O276" i="9"/>
  <c r="I274" i="9"/>
  <c r="R269" i="9"/>
  <c r="P20" i="9"/>
  <c r="O274" i="9"/>
  <c r="V20" i="9"/>
  <c r="E181" i="9"/>
  <c r="D190" i="9"/>
  <c r="D203" i="9" s="1"/>
  <c r="N149" i="9"/>
  <c r="O149" i="9" s="1"/>
  <c r="R243" i="9"/>
  <c r="O88" i="9"/>
  <c r="O90" i="9" s="1"/>
  <c r="O95" i="9" s="1"/>
  <c r="Y20" i="9"/>
  <c r="V5" i="9"/>
  <c r="V7" i="9" s="1"/>
  <c r="M3" i="9"/>
  <c r="M19" i="9" s="1"/>
  <c r="R152" i="9"/>
  <c r="R154" i="9" s="1"/>
  <c r="R158" i="9" s="1"/>
  <c r="O31" i="9"/>
  <c r="O33" i="9" s="1"/>
  <c r="J163" i="9"/>
  <c r="J165" i="9" s="1"/>
  <c r="K35" i="9"/>
  <c r="K161" i="9"/>
  <c r="K163" i="9" s="1"/>
  <c r="K165" i="9" s="1"/>
  <c r="R240" i="9"/>
  <c r="E15" i="9"/>
  <c r="F201" i="9"/>
  <c r="E201" i="9" s="1"/>
  <c r="X347" i="9"/>
  <c r="X357" i="9" s="1"/>
  <c r="I152" i="9"/>
  <c r="I154" i="9" s="1"/>
  <c r="I158" i="9" s="1"/>
  <c r="X3" i="9"/>
  <c r="W3" i="9" s="1"/>
  <c r="E85" i="9"/>
  <c r="V33" i="9"/>
  <c r="V35" i="9"/>
  <c r="V36" i="9" s="1"/>
  <c r="Q85" i="9"/>
  <c r="R85" i="9" s="1"/>
  <c r="E13" i="9"/>
  <c r="F355" i="9"/>
  <c r="F356" i="9" s="1"/>
  <c r="V348" i="9"/>
  <c r="K88" i="9"/>
  <c r="K90" i="9" s="1"/>
  <c r="K106" i="9" s="1"/>
  <c r="N216" i="9"/>
  <c r="N218" i="9" s="1"/>
  <c r="O218" i="9" s="1"/>
  <c r="M20" i="9"/>
  <c r="X149" i="9"/>
  <c r="T357" i="9"/>
  <c r="V358" i="9" s="1"/>
  <c r="Q31" i="9"/>
  <c r="Q33" i="9" s="1"/>
  <c r="R245" i="9"/>
  <c r="R242" i="9"/>
  <c r="K85" i="9"/>
  <c r="L85" i="9" s="1"/>
  <c r="Y6" i="9"/>
  <c r="T251" i="9"/>
  <c r="T259" i="9" s="1"/>
  <c r="R244" i="9"/>
  <c r="R149" i="9"/>
  <c r="X84" i="9"/>
  <c r="X87" i="9" s="1"/>
  <c r="X88" i="9" s="1"/>
  <c r="X90" i="9" s="1"/>
  <c r="R83" i="9"/>
  <c r="R88" i="9" s="1"/>
  <c r="R90" i="9" s="1"/>
  <c r="R95" i="9" s="1"/>
  <c r="AD145" i="9"/>
  <c r="G106" i="9"/>
  <c r="O3" i="9"/>
  <c r="O19" i="9" s="1"/>
  <c r="R35" i="9"/>
  <c r="U4" i="9"/>
  <c r="T4" i="9" s="1"/>
  <c r="N35" i="9"/>
  <c r="K31" i="9"/>
  <c r="K36" i="9" s="1"/>
  <c r="R4" i="9"/>
  <c r="Q4" i="9" s="1"/>
  <c r="Q162" i="9"/>
  <c r="E35" i="9"/>
  <c r="L36" i="9"/>
  <c r="L38" i="9" s="1"/>
  <c r="T35" i="9"/>
  <c r="K216" i="9"/>
  <c r="L216" i="9" s="1"/>
  <c r="R173" i="9"/>
  <c r="K40" i="9"/>
  <c r="E152" i="9"/>
  <c r="E154" i="9" s="1"/>
  <c r="E158" i="9" s="1"/>
  <c r="Y36" i="9"/>
  <c r="Y38" i="9" s="1"/>
  <c r="Y43" i="9" s="1"/>
  <c r="M172" i="9"/>
  <c r="M14" i="9" s="1"/>
  <c r="M15" i="9" s="1"/>
  <c r="E31" i="9"/>
  <c r="E33" i="9" s="1"/>
  <c r="N179" i="9"/>
  <c r="O179" i="9" s="1"/>
  <c r="O184" i="9" s="1"/>
  <c r="O186" i="9" s="1"/>
  <c r="O190" i="9" s="1"/>
  <c r="I149" i="9"/>
  <c r="U276" i="9"/>
  <c r="I161" i="9"/>
  <c r="I3" i="9" s="1"/>
  <c r="H218" i="9"/>
  <c r="R179" i="9"/>
  <c r="R184" i="9" s="1"/>
  <c r="R186" i="9" s="1"/>
  <c r="R190" i="9" s="1"/>
  <c r="O13" i="9"/>
  <c r="K13" i="9"/>
  <c r="J36" i="9"/>
  <c r="J38" i="9" s="1"/>
  <c r="J43" i="9" s="1"/>
  <c r="Q14" i="9"/>
  <c r="Q26" i="9" s="1"/>
  <c r="O35" i="9"/>
  <c r="P341" i="9"/>
  <c r="E116" i="9"/>
  <c r="P181" i="9"/>
  <c r="R181" i="9" s="1"/>
  <c r="Q184" i="9"/>
  <c r="Q186" i="9" s="1"/>
  <c r="Q190" i="9" s="1"/>
  <c r="F111" i="9"/>
  <c r="G111" i="9" s="1"/>
  <c r="K152" i="9"/>
  <c r="K154" i="9" s="1"/>
  <c r="K158" i="9" s="1"/>
  <c r="Y5" i="9"/>
  <c r="Y7" i="9" s="1"/>
  <c r="R40" i="9"/>
  <c r="Y33" i="9"/>
  <c r="R41" i="9"/>
  <c r="J338" i="9"/>
  <c r="J341" i="9" s="1"/>
  <c r="G36" i="9"/>
  <c r="G38" i="9" s="1"/>
  <c r="G43" i="9" s="1"/>
  <c r="T152" i="9"/>
  <c r="T154" i="9" s="1"/>
  <c r="T158" i="9" s="1"/>
  <c r="M95" i="9"/>
  <c r="M108" i="9" s="1"/>
  <c r="H36" i="9"/>
  <c r="H38" i="9" s="1"/>
  <c r="H43" i="9" s="1"/>
  <c r="D5" i="9"/>
  <c r="D7" i="9" s="1"/>
  <c r="P14" i="9"/>
  <c r="P26" i="9" s="1"/>
  <c r="Z152" i="9"/>
  <c r="Z154" i="9" s="1"/>
  <c r="Z158" i="9" s="1"/>
  <c r="AA158" i="9" s="1"/>
  <c r="W356" i="9"/>
  <c r="T14" i="9"/>
  <c r="T26" i="9" s="1"/>
  <c r="U147" i="9"/>
  <c r="U152" i="9" s="1"/>
  <c r="U154" i="9" s="1"/>
  <c r="U158" i="9" s="1"/>
  <c r="T149" i="9"/>
  <c r="U149" i="9" s="1"/>
  <c r="F36" i="9"/>
  <c r="F38" i="9" s="1"/>
  <c r="F43" i="9" s="1"/>
  <c r="S15" i="9"/>
  <c r="E3" i="9"/>
  <c r="R31" i="9"/>
  <c r="R33" i="9" s="1"/>
  <c r="S387" i="9"/>
  <c r="S391" i="9"/>
  <c r="I276" i="9"/>
  <c r="I53" i="9"/>
  <c r="V391" i="9"/>
  <c r="V387" i="9"/>
  <c r="AS99" i="9"/>
  <c r="AV99" i="9" s="1"/>
  <c r="AY99" i="9" s="1"/>
  <c r="BB99" i="9" s="1"/>
  <c r="BE99" i="9" s="1"/>
  <c r="W391" i="9"/>
  <c r="W387" i="9"/>
  <c r="W58" i="9"/>
  <c r="W62" i="9" s="1"/>
  <c r="M36" i="9"/>
  <c r="M38" i="9" s="1"/>
  <c r="M43" i="9" s="1"/>
  <c r="G19" i="9"/>
  <c r="J190" i="9"/>
  <c r="J203" i="9" s="1"/>
  <c r="U41" i="9"/>
  <c r="P36" i="9"/>
  <c r="N31" i="9"/>
  <c r="N36" i="9" s="1"/>
  <c r="Z149" i="9"/>
  <c r="AA149" i="9" s="1"/>
  <c r="T31" i="9"/>
  <c r="G20" i="9"/>
  <c r="S342" i="9"/>
  <c r="S261" i="9"/>
  <c r="S253" i="9" s="1"/>
  <c r="R295" i="9"/>
  <c r="U72" i="9"/>
  <c r="U74" i="9" s="1"/>
  <c r="U78" i="9" s="1"/>
  <c r="I31" i="9"/>
  <c r="I33" i="9" s="1"/>
  <c r="I88" i="9"/>
  <c r="I90" i="9" s="1"/>
  <c r="G5" i="9"/>
  <c r="G7" i="9" s="1"/>
  <c r="I4" i="9"/>
  <c r="I20" i="9" s="1"/>
  <c r="V295" i="9"/>
  <c r="X295" i="9"/>
  <c r="AE146" i="9"/>
  <c r="AF146" i="9" s="1"/>
  <c r="AH146" i="9" s="1"/>
  <c r="AC31" i="9"/>
  <c r="R261" i="9"/>
  <c r="U355" i="9"/>
  <c r="V356" i="9" s="1"/>
  <c r="AC147" i="9"/>
  <c r="AD147" i="9" s="1"/>
  <c r="R342" i="9"/>
  <c r="X172" i="9"/>
  <c r="AA30" i="9"/>
  <c r="AA4" i="9" s="1"/>
  <c r="Z4" i="9" s="1"/>
  <c r="I35" i="9"/>
  <c r="S338" i="9"/>
  <c r="S339" i="9" s="1"/>
  <c r="U29" i="9"/>
  <c r="U3" i="9" s="1"/>
  <c r="I56" i="9"/>
  <c r="I58" i="9" s="1"/>
  <c r="I62" i="9" s="1"/>
  <c r="E4" i="9"/>
  <c r="U274" i="9"/>
  <c r="Q35" i="9"/>
  <c r="U342" i="9"/>
  <c r="N336" i="9"/>
  <c r="N338" i="9" s="1"/>
  <c r="N339" i="9" s="1"/>
  <c r="K3" i="9"/>
  <c r="C36" i="9"/>
  <c r="C38" i="9" s="1"/>
  <c r="C43" i="9" s="1"/>
  <c r="Y387" i="9"/>
  <c r="Y391" i="9"/>
  <c r="AD397" i="9"/>
  <c r="X69" i="9"/>
  <c r="N87" i="9"/>
  <c r="N88" i="9" s="1"/>
  <c r="N90" i="9" s="1"/>
  <c r="Y58" i="9"/>
  <c r="Y62" i="9" s="1"/>
  <c r="Y393" i="9"/>
  <c r="V58" i="9"/>
  <c r="V62" i="9" s="1"/>
  <c r="V393" i="9"/>
  <c r="X55" i="9"/>
  <c r="X390" i="9"/>
  <c r="D36" i="9"/>
  <c r="D38" i="9" s="1"/>
  <c r="D43" i="9" s="1"/>
  <c r="L147" i="9"/>
  <c r="L152" i="9" s="1"/>
  <c r="L154" i="9" s="1"/>
  <c r="L158" i="9" s="1"/>
  <c r="L149" i="9"/>
  <c r="S36" i="9"/>
  <c r="S38" i="9" s="1"/>
  <c r="S43" i="9" s="1"/>
  <c r="J5" i="9"/>
  <c r="J7" i="9" s="1"/>
  <c r="V299" i="9"/>
  <c r="X342" i="9"/>
  <c r="AA342" i="9"/>
  <c r="Y338" i="9"/>
  <c r="Y341" i="9" s="1"/>
  <c r="V338" i="9"/>
  <c r="V341" i="9" s="1"/>
  <c r="U295" i="9"/>
  <c r="AA295" i="9"/>
  <c r="Y295" i="9"/>
  <c r="R336" i="9"/>
  <c r="Q356" i="9"/>
  <c r="W26" i="9"/>
  <c r="W15" i="9"/>
  <c r="Y141" i="9"/>
  <c r="Y139" i="9"/>
  <c r="Y142" i="9"/>
  <c r="Y140" i="9"/>
  <c r="U346" i="9"/>
  <c r="E172" i="9"/>
  <c r="O163" i="9"/>
  <c r="O165" i="9" s="1"/>
  <c r="R347" i="9"/>
  <c r="R357" i="9" s="1"/>
  <c r="Y95" i="9"/>
  <c r="Y106" i="9"/>
  <c r="Y108" i="9" s="1"/>
  <c r="J20" i="9"/>
  <c r="Z130" i="9"/>
  <c r="Y129" i="9"/>
  <c r="Y130" i="9"/>
  <c r="AB129" i="9"/>
  <c r="Y122" i="9"/>
  <c r="Z123" i="9"/>
  <c r="AB122" i="9"/>
  <c r="Y116" i="9"/>
  <c r="Z116" i="9"/>
  <c r="Y115" i="9"/>
  <c r="AB115" i="9"/>
  <c r="W87" i="9"/>
  <c r="W88" i="9" s="1"/>
  <c r="W90" i="9" s="1"/>
  <c r="W95" i="9" s="1"/>
  <c r="W32" i="9"/>
  <c r="Y385" i="9"/>
  <c r="Y271" i="9"/>
  <c r="K243" i="9"/>
  <c r="V172" i="9"/>
  <c r="V14" i="9" s="1"/>
  <c r="L261" i="9"/>
  <c r="K244" i="9"/>
  <c r="K241" i="9"/>
  <c r="I72" i="9"/>
  <c r="I74" i="9" s="1"/>
  <c r="I78" i="9" s="1"/>
  <c r="S20" i="9"/>
  <c r="F5" i="9"/>
  <c r="F7" i="9" s="1"/>
  <c r="X261" i="9"/>
  <c r="N253" i="9"/>
  <c r="U88" i="9"/>
  <c r="U90" i="9" s="1"/>
  <c r="U95" i="9" s="1"/>
  <c r="X72" i="9"/>
  <c r="X74" i="9" s="1"/>
  <c r="K4" i="9"/>
  <c r="J19" i="9"/>
  <c r="Y19" i="9"/>
  <c r="X53" i="9"/>
  <c r="Q253" i="9"/>
  <c r="AA151" i="9"/>
  <c r="AA152" i="9" s="1"/>
  <c r="AA154" i="9" s="1"/>
  <c r="AC148" i="9"/>
  <c r="R172" i="9"/>
  <c r="N162" i="9"/>
  <c r="O4" i="9"/>
  <c r="Z181" i="9"/>
  <c r="AA181" i="9" s="1"/>
  <c r="E163" i="9"/>
  <c r="E165" i="9" s="1"/>
  <c r="L179" i="9"/>
  <c r="L184" i="9" s="1"/>
  <c r="L186" i="9" s="1"/>
  <c r="L190" i="9" s="1"/>
  <c r="L203" i="9" s="1"/>
  <c r="E196" i="9"/>
  <c r="K181" i="9"/>
  <c r="L181" i="9" s="1"/>
  <c r="L26" i="9"/>
  <c r="F14" i="9"/>
  <c r="F26" i="9" s="1"/>
  <c r="I14" i="9"/>
  <c r="I26" i="9" s="1"/>
  <c r="F198" i="9"/>
  <c r="E198" i="9" s="1"/>
  <c r="F370" i="9"/>
  <c r="F372" i="9" s="1"/>
  <c r="E372" i="9" s="1"/>
  <c r="N161" i="9"/>
  <c r="T216" i="9"/>
  <c r="S163" i="9"/>
  <c r="S165" i="9" s="1"/>
  <c r="T161" i="9"/>
  <c r="T163" i="9" s="1"/>
  <c r="T165" i="9" s="1"/>
  <c r="S3" i="9"/>
  <c r="N15" i="9"/>
  <c r="L5" i="9"/>
  <c r="L7" i="9" s="1"/>
  <c r="Y26" i="9"/>
  <c r="Z14" i="9"/>
  <c r="Z336" i="9"/>
  <c r="Z338" i="9" s="1"/>
  <c r="Y347" i="9"/>
  <c r="X346" i="9"/>
  <c r="S347" i="9"/>
  <c r="R346" i="9"/>
  <c r="G346" i="9"/>
  <c r="H345" i="9"/>
  <c r="G386" i="9"/>
  <c r="G299" i="9"/>
  <c r="I298" i="9"/>
  <c r="Q339" i="9"/>
  <c r="R338" i="9"/>
  <c r="R339" i="9" s="1"/>
  <c r="K338" i="9"/>
  <c r="K339" i="9" s="1"/>
  <c r="E355" i="9"/>
  <c r="E342" i="9"/>
  <c r="E295" i="9"/>
  <c r="AB336" i="9"/>
  <c r="AB338" i="9" s="1"/>
  <c r="AB339" i="9" s="1"/>
  <c r="AG336" i="9"/>
  <c r="W341" i="9"/>
  <c r="Q341" i="9"/>
  <c r="M341" i="9"/>
  <c r="P356" i="9"/>
  <c r="H338" i="9"/>
  <c r="L295" i="9"/>
  <c r="X355" i="9"/>
  <c r="U278" i="9"/>
  <c r="U269" i="9"/>
  <c r="I278" i="9"/>
  <c r="I269" i="9"/>
  <c r="U277" i="9"/>
  <c r="I277" i="9"/>
  <c r="J269" i="9"/>
  <c r="V244" i="9"/>
  <c r="V245" i="9"/>
  <c r="X245" i="9" s="1"/>
  <c r="V243" i="9"/>
  <c r="V241" i="9"/>
  <c r="V242" i="9"/>
  <c r="E219" i="9"/>
  <c r="E220" i="9" s="1"/>
  <c r="E221" i="9" s="1"/>
  <c r="F220" i="9"/>
  <c r="F221" i="9" s="1"/>
  <c r="F166" i="9"/>
  <c r="D220" i="9"/>
  <c r="D221" i="9" s="1"/>
  <c r="D166" i="9"/>
  <c r="AB216" i="9"/>
  <c r="AD214" i="9"/>
  <c r="AB179" i="9"/>
  <c r="AB161" i="9"/>
  <c r="C220" i="9"/>
  <c r="C221" i="9" s="1"/>
  <c r="C166" i="9"/>
  <c r="C167" i="9" s="1"/>
  <c r="C168" i="9" s="1"/>
  <c r="G218" i="9"/>
  <c r="G219" i="9"/>
  <c r="I216" i="9"/>
  <c r="Q214" i="9"/>
  <c r="Q216" i="9" s="1"/>
  <c r="R161" i="9"/>
  <c r="M201" i="9"/>
  <c r="M190" i="9"/>
  <c r="M203" i="9" s="1"/>
  <c r="S181" i="9"/>
  <c r="S184" i="9"/>
  <c r="S186" i="9" s="1"/>
  <c r="S190" i="9" s="1"/>
  <c r="I201" i="9"/>
  <c r="I190" i="9"/>
  <c r="I203" i="9" s="1"/>
  <c r="T179" i="9"/>
  <c r="U179" i="9" s="1"/>
  <c r="U184" i="9" s="1"/>
  <c r="U186" i="9" s="1"/>
  <c r="U190" i="9" s="1"/>
  <c r="H220" i="9"/>
  <c r="H221" i="9" s="1"/>
  <c r="H166" i="9"/>
  <c r="H167" i="9" s="1"/>
  <c r="H168" i="9" s="1"/>
  <c r="H190" i="9"/>
  <c r="H203" i="9" s="1"/>
  <c r="H201" i="9"/>
  <c r="F103" i="9"/>
  <c r="E103" i="9" s="1"/>
  <c r="E101" i="9"/>
  <c r="V240" i="9"/>
  <c r="J220" i="9"/>
  <c r="J221" i="9" s="1"/>
  <c r="J166" i="9"/>
  <c r="K201" i="9"/>
  <c r="K190" i="9"/>
  <c r="K203" i="9" s="1"/>
  <c r="F125" i="9"/>
  <c r="F139" i="9" s="1"/>
  <c r="E130" i="9"/>
  <c r="P95" i="9"/>
  <c r="P108" i="9" s="1"/>
  <c r="P106" i="9"/>
  <c r="H95" i="9"/>
  <c r="H108" i="9" s="1"/>
  <c r="H106" i="9"/>
  <c r="D95" i="9"/>
  <c r="D108" i="9" s="1"/>
  <c r="D106" i="9"/>
  <c r="I69" i="9"/>
  <c r="AB149" i="9"/>
  <c r="AD86" i="9"/>
  <c r="AD34" i="9" s="1"/>
  <c r="G108" i="9"/>
  <c r="AD81" i="9"/>
  <c r="T386" i="9"/>
  <c r="AD146" i="9"/>
  <c r="AD30" i="9" s="1"/>
  <c r="E139" i="9"/>
  <c r="U32" i="9"/>
  <c r="U55" i="9"/>
  <c r="U56" i="9" s="1"/>
  <c r="U58" i="9" s="1"/>
  <c r="U62" i="9" s="1"/>
  <c r="T56" i="9"/>
  <c r="T58" i="9" s="1"/>
  <c r="T62" i="9" s="1"/>
  <c r="T53" i="9"/>
  <c r="N56" i="9"/>
  <c r="N58" i="9" s="1"/>
  <c r="N62" i="9" s="1"/>
  <c r="N53" i="9"/>
  <c r="O53" i="9" s="1"/>
  <c r="U34" i="9"/>
  <c r="P357" i="9"/>
  <c r="W357" i="9"/>
  <c r="W358" i="9" s="1"/>
  <c r="W348" i="9"/>
  <c r="Q357" i="9"/>
  <c r="Q348" i="9"/>
  <c r="Y346" i="9"/>
  <c r="G357" i="9"/>
  <c r="AI333" i="9"/>
  <c r="M339" i="9"/>
  <c r="I342" i="9"/>
  <c r="I295" i="9"/>
  <c r="G355" i="9"/>
  <c r="T338" i="9"/>
  <c r="T356" i="9"/>
  <c r="L342" i="9"/>
  <c r="H299" i="9"/>
  <c r="AP326" i="9"/>
  <c r="AN326" i="9" s="1"/>
  <c r="AI326" i="9"/>
  <c r="J295" i="9"/>
  <c r="J342" i="9"/>
  <c r="R355" i="9"/>
  <c r="R356" i="9" s="1"/>
  <c r="O278" i="9"/>
  <c r="O269" i="9"/>
  <c r="O277" i="9"/>
  <c r="U275" i="9"/>
  <c r="I275" i="9"/>
  <c r="V269" i="9"/>
  <c r="W253" i="9"/>
  <c r="E211" i="9"/>
  <c r="F206" i="9"/>
  <c r="P269" i="9"/>
  <c r="P216" i="9"/>
  <c r="P161" i="9"/>
  <c r="G201" i="9"/>
  <c r="G190" i="9"/>
  <c r="G203" i="9" s="1"/>
  <c r="AB162" i="9"/>
  <c r="AB4" i="9" s="1"/>
  <c r="AB20" i="9" s="1"/>
  <c r="AA161" i="9"/>
  <c r="AD215" i="9"/>
  <c r="AB151" i="9"/>
  <c r="AB152" i="9" s="1"/>
  <c r="E376" i="9"/>
  <c r="E377" i="9" s="1"/>
  <c r="AA88" i="9"/>
  <c r="K242" i="9"/>
  <c r="K240" i="9"/>
  <c r="V154" i="9"/>
  <c r="X152" i="9"/>
  <c r="E140" i="9"/>
  <c r="F122" i="9"/>
  <c r="G118" i="9"/>
  <c r="V106" i="9"/>
  <c r="V108" i="9" s="1"/>
  <c r="V95" i="9"/>
  <c r="J95" i="9"/>
  <c r="J108" i="9" s="1"/>
  <c r="J106" i="9"/>
  <c r="F95" i="9"/>
  <c r="F106" i="9"/>
  <c r="Z87" i="9"/>
  <c r="Z88" i="9" s="1"/>
  <c r="AB85" i="9"/>
  <c r="Z85" i="9"/>
  <c r="AA85" i="9" s="1"/>
  <c r="T85" i="9"/>
  <c r="U85" i="9" s="1"/>
  <c r="T88" i="9"/>
  <c r="T90" i="9" s="1"/>
  <c r="T95" i="9" s="1"/>
  <c r="AE145" i="9"/>
  <c r="AD83" i="9"/>
  <c r="T72" i="9"/>
  <c r="T74" i="9" s="1"/>
  <c r="T78" i="9" s="1"/>
  <c r="T69" i="9"/>
  <c r="U69" i="9" s="1"/>
  <c r="N72" i="9"/>
  <c r="N74" i="9" s="1"/>
  <c r="N78" i="9" s="1"/>
  <c r="N69" i="9"/>
  <c r="O69" i="9" s="1"/>
  <c r="Q56" i="9"/>
  <c r="Q58" i="9" s="1"/>
  <c r="Q62" i="9" s="1"/>
  <c r="Q53" i="9"/>
  <c r="R53" i="9" s="1"/>
  <c r="K56" i="9"/>
  <c r="K58" i="9" s="1"/>
  <c r="K62" i="9" s="1"/>
  <c r="K53" i="9"/>
  <c r="L53" i="9" s="1"/>
  <c r="E56" i="9"/>
  <c r="E58" i="9" s="1"/>
  <c r="E62" i="9" s="1"/>
  <c r="E53" i="9"/>
  <c r="AA375" i="9"/>
  <c r="AD97" i="9"/>
  <c r="N85" i="9"/>
  <c r="O85" i="9" s="1"/>
  <c r="Q72" i="9"/>
  <c r="Q74" i="9" s="1"/>
  <c r="Q78" i="9" s="1"/>
  <c r="Q69" i="9"/>
  <c r="R69" i="9" s="1"/>
  <c r="K72" i="9"/>
  <c r="K74" i="9" s="1"/>
  <c r="K78" i="9" s="1"/>
  <c r="K69" i="9"/>
  <c r="L69" i="9" s="1"/>
  <c r="E72" i="9"/>
  <c r="E74" i="9" s="1"/>
  <c r="E78" i="9" s="1"/>
  <c r="E69" i="9"/>
  <c r="R51" i="9"/>
  <c r="R56" i="9" s="1"/>
  <c r="R58" i="9" s="1"/>
  <c r="R62" i="9" s="1"/>
  <c r="L51" i="9"/>
  <c r="L56" i="9" s="1"/>
  <c r="L58" i="9" s="1"/>
  <c r="L62" i="9" s="1"/>
  <c r="O261" i="9"/>
  <c r="K14" i="9"/>
  <c r="I261" i="9"/>
  <c r="H261" i="9" s="1"/>
  <c r="H253" i="9" s="1"/>
  <c r="X31" i="9"/>
  <c r="J15" i="9"/>
  <c r="V250" i="9" l="1"/>
  <c r="Q106" i="9"/>
  <c r="R106" i="9" s="1"/>
  <c r="Q108" i="9"/>
  <c r="R108" i="9" s="1"/>
  <c r="I163" i="9"/>
  <c r="I165" i="9" s="1"/>
  <c r="J339" i="9"/>
  <c r="P15" i="9"/>
  <c r="O15" i="9"/>
  <c r="M26" i="9"/>
  <c r="F375" i="9"/>
  <c r="V251" i="9"/>
  <c r="N3" i="9"/>
  <c r="N19" i="9" s="1"/>
  <c r="K218" i="9"/>
  <c r="L218" i="9" s="1"/>
  <c r="M5" i="9"/>
  <c r="M7" i="9" s="1"/>
  <c r="J45" i="9"/>
  <c r="Q36" i="9"/>
  <c r="Q38" i="9" s="1"/>
  <c r="Q43" i="9" s="1"/>
  <c r="O36" i="9"/>
  <c r="O38" i="9" s="1"/>
  <c r="U14" i="9"/>
  <c r="U26" i="9" s="1"/>
  <c r="G45" i="9"/>
  <c r="K95" i="9"/>
  <c r="K108" i="9" s="1"/>
  <c r="L108" i="9" s="1"/>
  <c r="G356" i="9"/>
  <c r="K33" i="9"/>
  <c r="K219" i="9"/>
  <c r="N181" i="9"/>
  <c r="O181" i="9" s="1"/>
  <c r="O216" i="9"/>
  <c r="X32" i="9"/>
  <c r="X35" i="9" s="1"/>
  <c r="X36" i="9" s="1"/>
  <c r="K26" i="9"/>
  <c r="P45" i="9"/>
  <c r="O14" i="9"/>
  <c r="O26" i="9" s="1"/>
  <c r="T15" i="9"/>
  <c r="T36" i="9"/>
  <c r="U20" i="9"/>
  <c r="F46" i="9"/>
  <c r="I106" i="9"/>
  <c r="I218" i="9"/>
  <c r="K38" i="9"/>
  <c r="K43" i="9" s="1"/>
  <c r="L43" i="9" s="1"/>
  <c r="K45" i="9"/>
  <c r="F203" i="9"/>
  <c r="E203" i="9" s="1"/>
  <c r="E36" i="9"/>
  <c r="E38" i="9" s="1"/>
  <c r="E43" i="9" s="1"/>
  <c r="F376" i="9"/>
  <c r="F377" i="9" s="1"/>
  <c r="V45" i="9"/>
  <c r="S45" i="9"/>
  <c r="F45" i="9"/>
  <c r="M45" i="9"/>
  <c r="N184" i="9"/>
  <c r="N186" i="9" s="1"/>
  <c r="N190" i="9" s="1"/>
  <c r="L201" i="9"/>
  <c r="Y45" i="9"/>
  <c r="V38" i="9"/>
  <c r="V43" i="9" s="1"/>
  <c r="F115" i="9"/>
  <c r="F140" i="9"/>
  <c r="R36" i="9"/>
  <c r="R14" i="9"/>
  <c r="R26" i="9" s="1"/>
  <c r="P38" i="9"/>
  <c r="P43" i="9" s="1"/>
  <c r="Q15" i="9"/>
  <c r="E5" i="9"/>
  <c r="E7" i="9" s="1"/>
  <c r="F108" i="9"/>
  <c r="E108" i="9" s="1"/>
  <c r="X391" i="9"/>
  <c r="X387" i="9"/>
  <c r="U53" i="9"/>
  <c r="T387" i="9"/>
  <c r="T391" i="9"/>
  <c r="N33" i="9"/>
  <c r="N38" i="9"/>
  <c r="N43" i="9" s="1"/>
  <c r="O43" i="9" s="1"/>
  <c r="N45" i="9"/>
  <c r="T33" i="9"/>
  <c r="AC149" i="9"/>
  <c r="AD149" i="9" s="1"/>
  <c r="I36" i="9"/>
  <c r="L45" i="9" s="1"/>
  <c r="U31" i="9"/>
  <c r="U33" i="9" s="1"/>
  <c r="AD148" i="9"/>
  <c r="AD151" i="9" s="1"/>
  <c r="AD152" i="9" s="1"/>
  <c r="U106" i="9"/>
  <c r="T106" i="9" s="1"/>
  <c r="L20" i="9"/>
  <c r="X356" i="9"/>
  <c r="H4" i="9"/>
  <c r="H20" i="9" s="1"/>
  <c r="S341" i="9"/>
  <c r="Y339" i="9"/>
  <c r="T20" i="9"/>
  <c r="R341" i="9"/>
  <c r="X338" i="9"/>
  <c r="X341" i="9" s="1"/>
  <c r="V339" i="9"/>
  <c r="L106" i="9"/>
  <c r="H14" i="9"/>
  <c r="H15" i="9" s="1"/>
  <c r="X56" i="9"/>
  <c r="X392" i="9"/>
  <c r="I15" i="9"/>
  <c r="E106" i="9"/>
  <c r="I108" i="9"/>
  <c r="E370" i="9"/>
  <c r="N163" i="9"/>
  <c r="N165" i="9" s="1"/>
  <c r="I95" i="9"/>
  <c r="AA338" i="9"/>
  <c r="AA339" i="9" s="1"/>
  <c r="Z339" i="9"/>
  <c r="W35" i="9"/>
  <c r="W36" i="9" s="1"/>
  <c r="W33" i="9"/>
  <c r="X14" i="9"/>
  <c r="V26" i="9"/>
  <c r="V15" i="9"/>
  <c r="K5" i="9"/>
  <c r="K7" i="9" s="1"/>
  <c r="AC151" i="9"/>
  <c r="AC152" i="9" s="1"/>
  <c r="AC154" i="9" s="1"/>
  <c r="AC158" i="9" s="1"/>
  <c r="AC32" i="9"/>
  <c r="T261" i="9"/>
  <c r="U261" i="9" s="1"/>
  <c r="AO333" i="9"/>
  <c r="AS326" i="9"/>
  <c r="AV326" i="9" s="1"/>
  <c r="AY326" i="9" s="1"/>
  <c r="BB326" i="9" s="1"/>
  <c r="T190" i="9"/>
  <c r="N4" i="9"/>
  <c r="O20" i="9"/>
  <c r="R20" i="9"/>
  <c r="E14" i="9"/>
  <c r="E26" i="9" s="1"/>
  <c r="O5" i="9"/>
  <c r="O7" i="9" s="1"/>
  <c r="AC162" i="9"/>
  <c r="AC4" i="9" s="1"/>
  <c r="AC20" i="9" s="1"/>
  <c r="AD177" i="9"/>
  <c r="AD161" i="9" s="1"/>
  <c r="AC161" i="9"/>
  <c r="K15" i="9"/>
  <c r="S5" i="9"/>
  <c r="S7" i="9" s="1"/>
  <c r="V19" i="9"/>
  <c r="T218" i="9"/>
  <c r="U218" i="9" s="1"/>
  <c r="U216" i="9"/>
  <c r="AD178" i="9"/>
  <c r="AD162" i="9" s="1"/>
  <c r="AG70" i="9"/>
  <c r="Y356" i="9"/>
  <c r="AA89" i="9"/>
  <c r="AA90" i="9" s="1"/>
  <c r="AB154" i="9"/>
  <c r="AB158" i="9" s="1"/>
  <c r="I43" i="9"/>
  <c r="G46" i="9"/>
  <c r="AJ98" i="9"/>
  <c r="AG101" i="9"/>
  <c r="AG97" i="9"/>
  <c r="AG146" i="9"/>
  <c r="AG86" i="9"/>
  <c r="AE147" i="9"/>
  <c r="AF145" i="9"/>
  <c r="AH145" i="9" s="1"/>
  <c r="AH147" i="9" s="1"/>
  <c r="AB87" i="9"/>
  <c r="AB88" i="9" s="1"/>
  <c r="AD84" i="9"/>
  <c r="AD87" i="9" s="1"/>
  <c r="AD88" i="9" s="1"/>
  <c r="X154" i="9"/>
  <c r="V158" i="9"/>
  <c r="X158" i="9" s="1"/>
  <c r="AE148" i="9"/>
  <c r="AE162" i="9"/>
  <c r="R216" i="9"/>
  <c r="P218" i="9"/>
  <c r="U356" i="9"/>
  <c r="U338" i="9"/>
  <c r="T339" i="9"/>
  <c r="AP334" i="9"/>
  <c r="AN334" i="9" s="1"/>
  <c r="AN336" i="9" s="1"/>
  <c r="AI334" i="9"/>
  <c r="N341" i="9"/>
  <c r="AL333" i="9"/>
  <c r="Q358" i="9"/>
  <c r="AG82" i="9"/>
  <c r="AE30" i="9"/>
  <c r="AG150" i="9"/>
  <c r="X106" i="9"/>
  <c r="W106" i="9" s="1"/>
  <c r="W108" i="9" s="1"/>
  <c r="X95" i="9"/>
  <c r="G375" i="9"/>
  <c r="G115" i="9"/>
  <c r="G116" i="9"/>
  <c r="H111" i="9"/>
  <c r="F129" i="9"/>
  <c r="G125" i="9"/>
  <c r="G139" i="9" s="1"/>
  <c r="J167" i="9"/>
  <c r="J168" i="9" s="1"/>
  <c r="J8" i="9"/>
  <c r="J9" i="9" s="1"/>
  <c r="I19" i="9"/>
  <c r="I5" i="9"/>
  <c r="H3" i="9"/>
  <c r="L19" i="9"/>
  <c r="T184" i="9"/>
  <c r="T186" i="9" s="1"/>
  <c r="T181" i="9"/>
  <c r="U181" i="9" s="1"/>
  <c r="R163" i="9"/>
  <c r="Q161" i="9"/>
  <c r="Q163" i="9" s="1"/>
  <c r="R3" i="9"/>
  <c r="U19" i="9" s="1"/>
  <c r="AB163" i="9"/>
  <c r="D167" i="9"/>
  <c r="D168" i="9" s="1"/>
  <c r="D8" i="9"/>
  <c r="D9" i="9" s="1"/>
  <c r="F167" i="9"/>
  <c r="F168" i="9" s="1"/>
  <c r="E166" i="9"/>
  <c r="E167" i="9" s="1"/>
  <c r="E168" i="9" s="1"/>
  <c r="F8" i="9"/>
  <c r="I338" i="9"/>
  <c r="H339" i="9"/>
  <c r="H341" i="9"/>
  <c r="AF336" i="9"/>
  <c r="AF338" i="9" s="1"/>
  <c r="AF339" i="9" s="1"/>
  <c r="K341" i="9"/>
  <c r="U5" i="9"/>
  <c r="T3" i="9"/>
  <c r="X19" i="9"/>
  <c r="AE34" i="9"/>
  <c r="N95" i="9"/>
  <c r="N108" i="9" s="1"/>
  <c r="O108" i="9" s="1"/>
  <c r="N106" i="9"/>
  <c r="O106" i="9" s="1"/>
  <c r="AI146" i="9"/>
  <c r="AK146" i="9" s="1"/>
  <c r="G123" i="9"/>
  <c r="G122" i="9"/>
  <c r="H118" i="9"/>
  <c r="Z161" i="9"/>
  <c r="Z163" i="9" s="1"/>
  <c r="AA163" i="9"/>
  <c r="P163" i="9"/>
  <c r="P3" i="9"/>
  <c r="G206" i="9"/>
  <c r="F210" i="9"/>
  <c r="O338" i="9"/>
  <c r="S356" i="9"/>
  <c r="U35" i="9"/>
  <c r="U6" i="9"/>
  <c r="J222" i="9"/>
  <c r="J223" i="9" s="1"/>
  <c r="J227" i="9" s="1"/>
  <c r="H222" i="9"/>
  <c r="H169" i="9" s="1"/>
  <c r="H170" i="9" s="1"/>
  <c r="H174" i="9" s="1"/>
  <c r="Q218" i="9"/>
  <c r="G220" i="9"/>
  <c r="G221" i="9" s="1"/>
  <c r="I219" i="9"/>
  <c r="G166" i="9"/>
  <c r="C222" i="9"/>
  <c r="C169" i="9" s="1"/>
  <c r="C170" i="9" s="1"/>
  <c r="C174" i="9" s="1"/>
  <c r="AC179" i="9"/>
  <c r="AD179" i="9" s="1"/>
  <c r="AB181" i="9"/>
  <c r="AC216" i="9"/>
  <c r="AD216" i="9" s="1"/>
  <c r="AE161" i="9"/>
  <c r="AB218" i="9"/>
  <c r="D222" i="9"/>
  <c r="D169" i="9" s="1"/>
  <c r="D11" i="9" s="1"/>
  <c r="F222" i="9"/>
  <c r="F223" i="9" s="1"/>
  <c r="F227" i="9" s="1"/>
  <c r="I299" i="9"/>
  <c r="I386" i="9"/>
  <c r="L299" i="9"/>
  <c r="T341" i="9"/>
  <c r="AI332" i="9"/>
  <c r="H346" i="9"/>
  <c r="I345" i="9"/>
  <c r="H355" i="9"/>
  <c r="H356" i="9" s="1"/>
  <c r="H347" i="9"/>
  <c r="S357" i="9"/>
  <c r="S348" i="9"/>
  <c r="U347" i="9"/>
  <c r="T348" i="9"/>
  <c r="Y357" i="9"/>
  <c r="Y358" i="9" s="1"/>
  <c r="Y348" i="9"/>
  <c r="L338" i="9"/>
  <c r="O45" i="9" l="1"/>
  <c r="U15" i="9"/>
  <c r="Q45" i="9"/>
  <c r="R43" i="9"/>
  <c r="T45" i="9"/>
  <c r="X33" i="9"/>
  <c r="T38" i="9"/>
  <c r="T43" i="9" s="1"/>
  <c r="U43" i="9" s="1"/>
  <c r="X6" i="9"/>
  <c r="W6" i="9" s="1"/>
  <c r="L219" i="9"/>
  <c r="M219" i="9"/>
  <c r="K220" i="9"/>
  <c r="K221" i="9" s="1"/>
  <c r="K222" i="9" s="1"/>
  <c r="K223" i="9" s="1"/>
  <c r="K227" i="9" s="1"/>
  <c r="H45" i="9"/>
  <c r="H26" i="9"/>
  <c r="G376" i="9"/>
  <c r="G377" i="9" s="1"/>
  <c r="R15" i="9"/>
  <c r="R45" i="9"/>
  <c r="R38" i="9"/>
  <c r="U36" i="9"/>
  <c r="U38" i="9" s="1"/>
  <c r="AK147" i="9"/>
  <c r="AL146" i="9"/>
  <c r="U387" i="9"/>
  <c r="U391" i="9"/>
  <c r="AG411" i="9"/>
  <c r="BE326" i="9"/>
  <c r="AZ326" i="9"/>
  <c r="BA326" i="9" s="1"/>
  <c r="I45" i="9"/>
  <c r="I38" i="9"/>
  <c r="K20" i="9"/>
  <c r="X339" i="9"/>
  <c r="X393" i="9"/>
  <c r="X58" i="9"/>
  <c r="X62" i="9" s="1"/>
  <c r="AT333" i="9"/>
  <c r="AU333" i="9" s="1"/>
  <c r="AW326" i="9"/>
  <c r="AX326" i="9" s="1"/>
  <c r="AT326" i="9"/>
  <c r="AU326" i="9" s="1"/>
  <c r="AD158" i="9"/>
  <c r="X15" i="9"/>
  <c r="X26" i="9"/>
  <c r="W38" i="9"/>
  <c r="W43" i="9" s="1"/>
  <c r="X43" i="9" s="1"/>
  <c r="W45" i="9"/>
  <c r="T253" i="9"/>
  <c r="AE4" i="9"/>
  <c r="AE20" i="9" s="1"/>
  <c r="AC35" i="9"/>
  <c r="AC36" i="9" s="1"/>
  <c r="AC6" i="9"/>
  <c r="AC33" i="9"/>
  <c r="AA106" i="9"/>
  <c r="Z106" i="9" s="1"/>
  <c r="Z108" i="9" s="1"/>
  <c r="AA95" i="9"/>
  <c r="AS334" i="9"/>
  <c r="AV334" i="9" s="1"/>
  <c r="AY334" i="9" s="1"/>
  <c r="BB334" i="9" s="1"/>
  <c r="AO334" i="9"/>
  <c r="AQ333" i="9"/>
  <c r="AR333" i="9" s="1"/>
  <c r="AO332" i="9"/>
  <c r="AQ326" i="9"/>
  <c r="AR326" i="9" s="1"/>
  <c r="AO326" i="9"/>
  <c r="AJ146" i="9"/>
  <c r="AG30" i="9"/>
  <c r="Q20" i="9"/>
  <c r="N20" i="9"/>
  <c r="N5" i="9"/>
  <c r="N7" i="9" s="1"/>
  <c r="AC163" i="9"/>
  <c r="AC165" i="9" s="1"/>
  <c r="AC3" i="9"/>
  <c r="AJ86" i="9"/>
  <c r="C223" i="9"/>
  <c r="C227" i="9" s="1"/>
  <c r="AJ215" i="9"/>
  <c r="AD163" i="9"/>
  <c r="AD165" i="9" s="1"/>
  <c r="AD4" i="9"/>
  <c r="AG178" i="9"/>
  <c r="AG162" i="9" s="1"/>
  <c r="AD85" i="9"/>
  <c r="U357" i="9"/>
  <c r="U348" i="9"/>
  <c r="X348" i="9"/>
  <c r="S358" i="9"/>
  <c r="T358" i="9"/>
  <c r="L339" i="9"/>
  <c r="L341" i="9"/>
  <c r="H348" i="9"/>
  <c r="H357" i="9"/>
  <c r="H358" i="9" s="1"/>
  <c r="I347" i="9"/>
  <c r="I346" i="9"/>
  <c r="J345" i="9"/>
  <c r="I355" i="9"/>
  <c r="I356" i="9" s="1"/>
  <c r="D223" i="9"/>
  <c r="D227" i="9" s="1"/>
  <c r="AE216" i="9"/>
  <c r="AG214" i="9"/>
  <c r="AC181" i="9"/>
  <c r="AD181" i="9" s="1"/>
  <c r="I220" i="9"/>
  <c r="I221" i="9" s="1"/>
  <c r="I166" i="9"/>
  <c r="H223" i="9"/>
  <c r="H227" i="9" s="1"/>
  <c r="AJ150" i="9"/>
  <c r="P5" i="9"/>
  <c r="P19" i="9"/>
  <c r="S19" i="9"/>
  <c r="AA165" i="9"/>
  <c r="H123" i="9"/>
  <c r="H122" i="9"/>
  <c r="I118" i="9"/>
  <c r="U7" i="9"/>
  <c r="AH336" i="9"/>
  <c r="AI336" i="9"/>
  <c r="AJ336" i="9"/>
  <c r="AJ337" i="9" s="1"/>
  <c r="D21" i="9"/>
  <c r="D10" i="9"/>
  <c r="D12" i="9" s="1"/>
  <c r="D16" i="9" s="1"/>
  <c r="AB165" i="9"/>
  <c r="Q165" i="9"/>
  <c r="H5" i="9"/>
  <c r="H19" i="9"/>
  <c r="K19" i="9"/>
  <c r="J21" i="9"/>
  <c r="J10" i="9"/>
  <c r="G130" i="9"/>
  <c r="G129" i="9"/>
  <c r="H125" i="9"/>
  <c r="H140" i="9" s="1"/>
  <c r="H375" i="9"/>
  <c r="H116" i="9"/>
  <c r="I111" i="9"/>
  <c r="H115" i="9"/>
  <c r="G140" i="9"/>
  <c r="AJ70" i="9"/>
  <c r="R218" i="9"/>
  <c r="AF148" i="9"/>
  <c r="AH148" i="9" s="1"/>
  <c r="AH151" i="9" s="1"/>
  <c r="AH152" i="9" s="1"/>
  <c r="AH154" i="9" s="1"/>
  <c r="AH158" i="9" s="1"/>
  <c r="AE151" i="9"/>
  <c r="AE152" i="9" s="1"/>
  <c r="AF147" i="9"/>
  <c r="AG147" i="9" s="1"/>
  <c r="AG145" i="9"/>
  <c r="Z90" i="9"/>
  <c r="Z95" i="9" s="1"/>
  <c r="Z341" i="9"/>
  <c r="AA341" i="9"/>
  <c r="E222" i="9"/>
  <c r="E223" i="9" s="1"/>
  <c r="E227" i="9" s="1"/>
  <c r="F169" i="9"/>
  <c r="F170" i="9" s="1"/>
  <c r="F174" i="9" s="1"/>
  <c r="AC218" i="9"/>
  <c r="AD218" i="9" s="1"/>
  <c r="AG177" i="9"/>
  <c r="AE179" i="9"/>
  <c r="AE163" i="9"/>
  <c r="G167" i="9"/>
  <c r="G168" i="9" s="1"/>
  <c r="G8" i="9"/>
  <c r="G9" i="9" s="1"/>
  <c r="G222" i="9"/>
  <c r="G223" i="9" s="1"/>
  <c r="G227" i="9" s="1"/>
  <c r="J169" i="9"/>
  <c r="J11" i="9" s="1"/>
  <c r="T6" i="9"/>
  <c r="O339" i="9"/>
  <c r="O341" i="9"/>
  <c r="G211" i="9"/>
  <c r="G210" i="9"/>
  <c r="H206" i="9"/>
  <c r="P165" i="9"/>
  <c r="Z165" i="9"/>
  <c r="X38" i="9"/>
  <c r="AF34" i="9"/>
  <c r="AG54" i="9"/>
  <c r="T5" i="9"/>
  <c r="W19" i="9"/>
  <c r="I339" i="9"/>
  <c r="I341" i="9"/>
  <c r="E8" i="9"/>
  <c r="E9" i="9" s="1"/>
  <c r="F9" i="9"/>
  <c r="D170" i="9"/>
  <c r="D174" i="9" s="1"/>
  <c r="R5" i="9"/>
  <c r="Q3" i="9"/>
  <c r="R19" i="9"/>
  <c r="R165" i="9"/>
  <c r="I7" i="9"/>
  <c r="AF30" i="9"/>
  <c r="AL334" i="9"/>
  <c r="U339" i="9"/>
  <c r="U341" i="9"/>
  <c r="AB90" i="9"/>
  <c r="AE149" i="9"/>
  <c r="AJ101" i="9"/>
  <c r="AJ97" i="9"/>
  <c r="AM98" i="9"/>
  <c r="AP98" i="9" s="1"/>
  <c r="AD153" i="9"/>
  <c r="AD154" i="9" s="1"/>
  <c r="L222" i="9" l="1"/>
  <c r="L169" i="9" s="1"/>
  <c r="K169" i="9" s="1"/>
  <c r="M166" i="9"/>
  <c r="N219" i="9"/>
  <c r="M220" i="9"/>
  <c r="M221" i="9" s="1"/>
  <c r="M222" i="9" s="1"/>
  <c r="M223" i="9" s="1"/>
  <c r="M227" i="9" s="1"/>
  <c r="L220" i="9"/>
  <c r="L221" i="9" s="1"/>
  <c r="L166" i="9"/>
  <c r="X45" i="9"/>
  <c r="U45" i="9"/>
  <c r="BE334" i="9"/>
  <c r="AZ334" i="9"/>
  <c r="BA334" i="9" s="1"/>
  <c r="BC326" i="9"/>
  <c r="AN146" i="9"/>
  <c r="AN147" i="9" s="1"/>
  <c r="AL147" i="9"/>
  <c r="AM147" i="9" s="1"/>
  <c r="AM146" i="9"/>
  <c r="AP97" i="9"/>
  <c r="AP115" i="9" s="1"/>
  <c r="AP101" i="9"/>
  <c r="AP106" i="9" s="1"/>
  <c r="AM411" i="9"/>
  <c r="AJ411" i="9"/>
  <c r="J170" i="9"/>
  <c r="J174" i="9" s="1"/>
  <c r="AG148" i="9"/>
  <c r="AG151" i="9" s="1"/>
  <c r="AG152" i="9" s="1"/>
  <c r="AG34" i="9"/>
  <c r="AG397" i="9"/>
  <c r="AH338" i="9"/>
  <c r="AH341" i="9" s="1"/>
  <c r="AH337" i="9"/>
  <c r="AI337" i="9" s="1"/>
  <c r="AI338" i="9"/>
  <c r="AI341" i="9" s="1"/>
  <c r="AH149" i="9"/>
  <c r="AW334" i="9"/>
  <c r="AX334" i="9" s="1"/>
  <c r="AY336" i="9"/>
  <c r="AK162" i="9"/>
  <c r="AT334" i="9"/>
  <c r="AU334" i="9" s="1"/>
  <c r="AV336" i="9"/>
  <c r="AB95" i="9"/>
  <c r="AB106" i="9"/>
  <c r="AB108" i="9" s="1"/>
  <c r="AC38" i="9"/>
  <c r="AC43" i="9" s="1"/>
  <c r="AG4" i="9"/>
  <c r="AF4" i="9" s="1"/>
  <c r="AQ334" i="9"/>
  <c r="AR334" i="9" s="1"/>
  <c r="AM336" i="9"/>
  <c r="AM337" i="9" s="1"/>
  <c r="AS98" i="9"/>
  <c r="AV98" i="9" s="1"/>
  <c r="D25" i="9"/>
  <c r="AC5" i="9"/>
  <c r="AC7" i="9" s="1"/>
  <c r="AM215" i="9"/>
  <c r="AN215" i="9"/>
  <c r="AN411" i="9"/>
  <c r="AD20" i="9"/>
  <c r="AF162" i="9"/>
  <c r="AG161" i="9"/>
  <c r="J25" i="9"/>
  <c r="H376" i="9"/>
  <c r="H377" i="9" s="1"/>
  <c r="AM101" i="9"/>
  <c r="AM97" i="9"/>
  <c r="AH30" i="9"/>
  <c r="AE154" i="9"/>
  <c r="AE158" i="9" s="1"/>
  <c r="R7" i="9"/>
  <c r="E21" i="9"/>
  <c r="E10" i="9"/>
  <c r="T7" i="9"/>
  <c r="I206" i="9"/>
  <c r="H211" i="9"/>
  <c r="I222" i="9"/>
  <c r="I169" i="9" s="1"/>
  <c r="I11" i="9" s="1"/>
  <c r="G169" i="9"/>
  <c r="G11" i="9" s="1"/>
  <c r="AF179" i="9"/>
  <c r="AG179" i="9" s="1"/>
  <c r="E169" i="9"/>
  <c r="E170" i="9" s="1"/>
  <c r="E174" i="9" s="1"/>
  <c r="F11" i="9"/>
  <c r="AJ145" i="9"/>
  <c r="AF151" i="9"/>
  <c r="AF152" i="9" s="1"/>
  <c r="AJ178" i="9"/>
  <c r="AJ162" i="9" s="1"/>
  <c r="J12" i="9"/>
  <c r="J16" i="9" s="1"/>
  <c r="H7" i="9"/>
  <c r="AK336" i="9"/>
  <c r="AK337" i="9" s="1"/>
  <c r="I122" i="9"/>
  <c r="J118" i="9"/>
  <c r="AF216" i="9"/>
  <c r="AG216" i="9" s="1"/>
  <c r="J346" i="9"/>
  <c r="K345" i="9"/>
  <c r="J355" i="9"/>
  <c r="J356" i="9" s="1"/>
  <c r="J347" i="9"/>
  <c r="U358" i="9"/>
  <c r="X358" i="9"/>
  <c r="Q19" i="9"/>
  <c r="Q5" i="9"/>
  <c r="F21" i="9"/>
  <c r="F10" i="9"/>
  <c r="T19" i="9"/>
  <c r="AJ54" i="9"/>
  <c r="AH34" i="9"/>
  <c r="G22" i="9"/>
  <c r="G21" i="9"/>
  <c r="G10" i="9"/>
  <c r="AE165" i="9"/>
  <c r="AE181" i="9"/>
  <c r="AF149" i="9"/>
  <c r="AG149" i="9" s="1"/>
  <c r="I375" i="9"/>
  <c r="I115" i="9"/>
  <c r="J111" i="9"/>
  <c r="H130" i="9"/>
  <c r="H129" i="9"/>
  <c r="I125" i="9"/>
  <c r="I139" i="9" s="1"/>
  <c r="J22" i="9"/>
  <c r="H139" i="9"/>
  <c r="P7" i="9"/>
  <c r="I167" i="9"/>
  <c r="I168" i="9" s="1"/>
  <c r="I8" i="9"/>
  <c r="AE218" i="9"/>
  <c r="I357" i="9"/>
  <c r="I358" i="9" s="1"/>
  <c r="I348" i="9"/>
  <c r="M169" i="9" l="1"/>
  <c r="M11" i="9" s="1"/>
  <c r="L223" i="9"/>
  <c r="L227" i="9" s="1"/>
  <c r="L11" i="9"/>
  <c r="L8" i="9"/>
  <c r="L167" i="9"/>
  <c r="L168" i="9" s="1"/>
  <c r="L170" i="9" s="1"/>
  <c r="L174" i="9" s="1"/>
  <c r="K166" i="9"/>
  <c r="K167" i="9" s="1"/>
  <c r="K168" i="9" s="1"/>
  <c r="K170" i="9" s="1"/>
  <c r="K174" i="9" s="1"/>
  <c r="O219" i="9"/>
  <c r="P219" i="9"/>
  <c r="N220" i="9"/>
  <c r="N221" i="9" s="1"/>
  <c r="N222" i="9" s="1"/>
  <c r="N223" i="9" s="1"/>
  <c r="N227" i="9" s="1"/>
  <c r="M8" i="9"/>
  <c r="M9" i="9" s="1"/>
  <c r="M167" i="9"/>
  <c r="M168" i="9" s="1"/>
  <c r="BD326" i="9"/>
  <c r="BC334" i="9"/>
  <c r="BC336" i="9" s="1"/>
  <c r="AO146" i="9"/>
  <c r="AQ146" i="9" s="1"/>
  <c r="AR146" i="9" s="1"/>
  <c r="AT146" i="9" s="1"/>
  <c r="AU146" i="9" s="1"/>
  <c r="BE336" i="9"/>
  <c r="BB336" i="9"/>
  <c r="I170" i="9"/>
  <c r="I174" i="9" s="1"/>
  <c r="AH339" i="9"/>
  <c r="AW336" i="9"/>
  <c r="AJ34" i="9"/>
  <c r="AJ397" i="9"/>
  <c r="AV101" i="9"/>
  <c r="AY98" i="9"/>
  <c r="BB98" i="9" s="1"/>
  <c r="AV97" i="9"/>
  <c r="AV115" i="9" s="1"/>
  <c r="AJ338" i="9"/>
  <c r="AI339" i="9"/>
  <c r="AX336" i="9"/>
  <c r="AH4" i="9"/>
  <c r="AH20" i="9" s="1"/>
  <c r="AF161" i="9"/>
  <c r="AF163" i="9" s="1"/>
  <c r="AF165" i="9" s="1"/>
  <c r="AI162" i="9"/>
  <c r="AT336" i="9"/>
  <c r="AU336" i="9"/>
  <c r="AL336" i="9"/>
  <c r="AL337" i="9" s="1"/>
  <c r="AG20" i="9"/>
  <c r="AP336" i="9"/>
  <c r="AS101" i="9"/>
  <c r="AS97" i="9"/>
  <c r="AS115" i="9" s="1"/>
  <c r="AQ86" i="9"/>
  <c r="AG163" i="9"/>
  <c r="AG165" i="9" s="1"/>
  <c r="AO215" i="9"/>
  <c r="AQ215" i="9" s="1"/>
  <c r="AM178" i="9"/>
  <c r="AM162" i="9" s="1"/>
  <c r="AL162" i="9" s="1"/>
  <c r="AN178" i="9"/>
  <c r="G170" i="9"/>
  <c r="G174" i="9" s="1"/>
  <c r="AO150" i="9"/>
  <c r="AJ82" i="9"/>
  <c r="AJ30" i="9" s="1"/>
  <c r="AJ4" i="9" s="1"/>
  <c r="AF20" i="9"/>
  <c r="F12" i="9"/>
  <c r="F16" i="9" s="1"/>
  <c r="I223" i="9"/>
  <c r="I227" i="9" s="1"/>
  <c r="AD89" i="9"/>
  <c r="AD90" i="9" s="1"/>
  <c r="AD106" i="9" s="1"/>
  <c r="J375" i="9"/>
  <c r="K111" i="9"/>
  <c r="J116" i="9"/>
  <c r="J115" i="9"/>
  <c r="AF154" i="9"/>
  <c r="AF158" i="9" s="1"/>
  <c r="G23" i="9"/>
  <c r="G12" i="9"/>
  <c r="G16" i="9" s="1"/>
  <c r="G24" i="9" s="1"/>
  <c r="AG85" i="9"/>
  <c r="J348" i="9"/>
  <c r="J357" i="9"/>
  <c r="J358" i="9" s="1"/>
  <c r="K346" i="9"/>
  <c r="L345" i="9"/>
  <c r="K355" i="9"/>
  <c r="K356" i="9" s="1"/>
  <c r="K347" i="9"/>
  <c r="L347" i="9" s="1"/>
  <c r="AF218" i="9"/>
  <c r="AG218" i="9" s="1"/>
  <c r="J122" i="9"/>
  <c r="K118" i="9"/>
  <c r="J123" i="9"/>
  <c r="AI147" i="9"/>
  <c r="AJ147" i="9" s="1"/>
  <c r="AB341" i="9"/>
  <c r="AF181" i="9"/>
  <c r="AG181" i="9" s="1"/>
  <c r="G25" i="9"/>
  <c r="K11" i="9"/>
  <c r="H8" i="9"/>
  <c r="H9" i="9" s="1"/>
  <c r="I9" i="9"/>
  <c r="I129" i="9"/>
  <c r="J125" i="9"/>
  <c r="J140" i="9" s="1"/>
  <c r="I140" i="9"/>
  <c r="AE90" i="9"/>
  <c r="AE95" i="9" s="1"/>
  <c r="Z298" i="9"/>
  <c r="Z297" i="9"/>
  <c r="AK397" i="9"/>
  <c r="Q7" i="9"/>
  <c r="M170" i="9"/>
  <c r="M174" i="9" s="1"/>
  <c r="AH216" i="9"/>
  <c r="I376" i="9"/>
  <c r="J23" i="9"/>
  <c r="AI148" i="9"/>
  <c r="E11" i="9"/>
  <c r="E25" i="9" s="1"/>
  <c r="F25" i="9"/>
  <c r="AJ177" i="9"/>
  <c r="AH161" i="9"/>
  <c r="H11" i="9"/>
  <c r="I378" i="9"/>
  <c r="I210" i="9"/>
  <c r="J206" i="9"/>
  <c r="AI30" i="9"/>
  <c r="Y526" i="1"/>
  <c r="Z526" i="1"/>
  <c r="AA526" i="1"/>
  <c r="AB526" i="1"/>
  <c r="O222" i="9" l="1"/>
  <c r="O169" i="9" s="1"/>
  <c r="N169" i="9" s="1"/>
  <c r="P220" i="9"/>
  <c r="P221" i="9" s="1"/>
  <c r="P222" i="9" s="1"/>
  <c r="Q219" i="9"/>
  <c r="R219" i="9" s="1"/>
  <c r="P166" i="9"/>
  <c r="M22" i="9"/>
  <c r="M21" i="9"/>
  <c r="M10" i="9"/>
  <c r="O220" i="9"/>
  <c r="O221" i="9" s="1"/>
  <c r="O166" i="9"/>
  <c r="L9" i="9"/>
  <c r="L22" i="9" s="1"/>
  <c r="K8" i="9"/>
  <c r="K9" i="9" s="1"/>
  <c r="K22" i="9" s="1"/>
  <c r="AP146" i="9"/>
  <c r="BD334" i="9"/>
  <c r="BD336" i="9" s="1"/>
  <c r="BE98" i="9"/>
  <c r="BB101" i="9"/>
  <c r="BB97" i="9"/>
  <c r="BB115" i="9" s="1"/>
  <c r="BA336" i="9"/>
  <c r="AZ336" i="9"/>
  <c r="AQ70" i="9"/>
  <c r="AQ411" i="9" s="1"/>
  <c r="AO411" i="9"/>
  <c r="AJ148" i="9"/>
  <c r="AJ151" i="9" s="1"/>
  <c r="AJ152" i="9" s="1"/>
  <c r="AK148" i="9"/>
  <c r="AJ339" i="9"/>
  <c r="AJ341" i="9"/>
  <c r="AY101" i="9"/>
  <c r="AY97" i="9"/>
  <c r="AY115" i="9" s="1"/>
  <c r="E12" i="9"/>
  <c r="E16" i="9" s="1"/>
  <c r="AV146" i="9"/>
  <c r="AW146" i="9"/>
  <c r="AX146" i="9" s="1"/>
  <c r="AI4" i="9"/>
  <c r="AI20" i="9" s="1"/>
  <c r="AH163" i="9"/>
  <c r="AH165" i="9" s="1"/>
  <c r="AP215" i="9"/>
  <c r="AO336" i="9"/>
  <c r="AQ336" i="9"/>
  <c r="AS336" i="9"/>
  <c r="AS146" i="9"/>
  <c r="AP150" i="9"/>
  <c r="AQ150" i="9"/>
  <c r="AR86" i="9"/>
  <c r="AT86" i="9" s="1"/>
  <c r="AN162" i="9"/>
  <c r="AO178" i="9"/>
  <c r="AQ178" i="9" s="1"/>
  <c r="AR215" i="9"/>
  <c r="AP411" i="9"/>
  <c r="AG153" i="9"/>
  <c r="AG154" i="9" s="1"/>
  <c r="AJ20" i="9"/>
  <c r="J378" i="9"/>
  <c r="J211" i="9"/>
  <c r="J210" i="9"/>
  <c r="K206" i="9"/>
  <c r="AI216" i="9"/>
  <c r="AJ216" i="9" s="1"/>
  <c r="AH218" i="9"/>
  <c r="AK34" i="9"/>
  <c r="AL397" i="9"/>
  <c r="AA297" i="9"/>
  <c r="I22" i="9"/>
  <c r="I21" i="9"/>
  <c r="I10" i="9"/>
  <c r="P169" i="9"/>
  <c r="P11" i="9" s="1"/>
  <c r="J376" i="9"/>
  <c r="L348" i="9"/>
  <c r="L357" i="9"/>
  <c r="L358" i="9" s="1"/>
  <c r="AK30" i="9"/>
  <c r="AK4" i="9" s="1"/>
  <c r="AK20" i="9" s="1"/>
  <c r="AI179" i="9"/>
  <c r="AI151" i="9"/>
  <c r="AI152" i="9" s="1"/>
  <c r="I377" i="9"/>
  <c r="AJ214" i="9"/>
  <c r="AJ161" i="9" s="1"/>
  <c r="Z299" i="9"/>
  <c r="AA298" i="9"/>
  <c r="AG89" i="9"/>
  <c r="J130" i="9"/>
  <c r="J129" i="9"/>
  <c r="K125" i="9"/>
  <c r="K139" i="9" s="1"/>
  <c r="H21" i="9"/>
  <c r="H22" i="9"/>
  <c r="H10" i="9"/>
  <c r="P223" i="9"/>
  <c r="P227" i="9" s="1"/>
  <c r="AB342" i="9"/>
  <c r="AI149" i="9"/>
  <c r="AJ149" i="9" s="1"/>
  <c r="J24" i="9"/>
  <c r="K123" i="9"/>
  <c r="K122" i="9"/>
  <c r="L118" i="9"/>
  <c r="J139" i="9"/>
  <c r="K357" i="9"/>
  <c r="K358" i="9" s="1"/>
  <c r="K348" i="9"/>
  <c r="L346" i="9"/>
  <c r="L355" i="9"/>
  <c r="O346" i="9"/>
  <c r="M352" i="9"/>
  <c r="M345" i="9" s="1"/>
  <c r="K375" i="9"/>
  <c r="K116" i="9"/>
  <c r="K115" i="9"/>
  <c r="L111" i="9"/>
  <c r="Z414" i="1"/>
  <c r="AA414" i="1"/>
  <c r="AA141" i="1"/>
  <c r="AB141" i="1"/>
  <c r="AB115" i="1"/>
  <c r="AB52" i="1"/>
  <c r="AB56" i="1"/>
  <c r="AB57" i="1"/>
  <c r="AB59" i="1"/>
  <c r="AB48" i="1" s="1"/>
  <c r="AB713" i="1"/>
  <c r="AB704" i="1"/>
  <c r="AA704" i="1"/>
  <c r="AA680" i="1"/>
  <c r="AB680" i="1"/>
  <c r="AB665" i="1"/>
  <c r="AB677" i="1" s="1"/>
  <c r="AB663" i="1"/>
  <c r="AA663" i="1"/>
  <c r="AB661" i="1"/>
  <c r="AA661" i="1"/>
  <c r="AB524" i="1"/>
  <c r="Z509" i="1"/>
  <c r="AA509" i="1"/>
  <c r="AB509" i="1"/>
  <c r="AB506" i="1"/>
  <c r="AA506" i="1"/>
  <c r="Z506" i="1"/>
  <c r="AA479" i="1"/>
  <c r="AB479" i="1"/>
  <c r="AB468" i="1"/>
  <c r="AB469" i="1" s="1"/>
  <c r="AA470" i="1"/>
  <c r="AA450" i="1"/>
  <c r="AB450" i="1"/>
  <c r="AB414" i="1"/>
  <c r="AB416" i="1"/>
  <c r="AA388" i="1"/>
  <c r="AB388" i="1"/>
  <c r="AA381" i="1"/>
  <c r="AB254" i="1"/>
  <c r="AB249" i="1"/>
  <c r="AA254" i="1"/>
  <c r="AA249" i="1"/>
  <c r="AB244" i="1"/>
  <c r="AA244" i="1"/>
  <c r="AB209" i="1"/>
  <c r="AA209" i="1"/>
  <c r="AA205" i="1"/>
  <c r="AB205" i="1"/>
  <c r="AB197" i="1"/>
  <c r="AA197" i="1"/>
  <c r="AB196" i="1"/>
  <c r="AB191" i="1"/>
  <c r="AA191" i="1"/>
  <c r="AB190" i="1"/>
  <c r="AA190" i="1"/>
  <c r="AA185" i="1"/>
  <c r="AB184" i="1"/>
  <c r="AA171" i="1"/>
  <c r="AB171" i="1"/>
  <c r="AA165" i="1"/>
  <c r="AB165" i="1"/>
  <c r="AC223" i="1" s="1"/>
  <c r="Z158" i="1"/>
  <c r="AA158" i="1"/>
  <c r="Z125" i="1"/>
  <c r="AA125" i="1"/>
  <c r="AB125" i="1"/>
  <c r="AB610" i="1"/>
  <c r="AB611" i="1" s="1"/>
  <c r="AB612" i="1" s="1"/>
  <c r="AC626" i="1"/>
  <c r="AB571" i="1"/>
  <c r="AC627" i="1" s="1"/>
  <c r="O11" i="9" l="1"/>
  <c r="N11" i="9" s="1"/>
  <c r="AR70" i="9"/>
  <c r="AR411" i="9" s="1"/>
  <c r="O223" i="9"/>
  <c r="O227" i="9" s="1"/>
  <c r="R220" i="9"/>
  <c r="R221" i="9" s="1"/>
  <c r="R166" i="9"/>
  <c r="Q166" i="9" s="1"/>
  <c r="Q167" i="9" s="1"/>
  <c r="Q168" i="9" s="1"/>
  <c r="P167" i="9"/>
  <c r="P168" i="9" s="1"/>
  <c r="P170" i="9" s="1"/>
  <c r="P174" i="9" s="1"/>
  <c r="P8" i="9"/>
  <c r="P9" i="9" s="1"/>
  <c r="O8" i="9"/>
  <c r="N166" i="9"/>
  <c r="N167" i="9" s="1"/>
  <c r="N168" i="9" s="1"/>
  <c r="N170" i="9" s="1"/>
  <c r="N174" i="9" s="1"/>
  <c r="O167" i="9"/>
  <c r="O168" i="9" s="1"/>
  <c r="O170" i="9" s="1"/>
  <c r="O174" i="9" s="1"/>
  <c r="M25" i="9"/>
  <c r="M23" i="9"/>
  <c r="M12" i="9"/>
  <c r="M16" i="9" s="1"/>
  <c r="M24" i="9" s="1"/>
  <c r="Q220" i="9"/>
  <c r="Q221" i="9" s="1"/>
  <c r="Q222" i="9" s="1"/>
  <c r="Q223" i="9" s="1"/>
  <c r="Q227" i="9" s="1"/>
  <c r="S219" i="9"/>
  <c r="L21" i="9"/>
  <c r="L10" i="9"/>
  <c r="L23" i="9" s="1"/>
  <c r="K21" i="9"/>
  <c r="K10" i="9"/>
  <c r="K23" i="9" s="1"/>
  <c r="AL148" i="9"/>
  <c r="BE97" i="9"/>
  <c r="BE115" i="9" s="1"/>
  <c r="BE101" i="9"/>
  <c r="AC228" i="1"/>
  <c r="AB60" i="1"/>
  <c r="AB49" i="1" s="1"/>
  <c r="AC60" i="1"/>
  <c r="AY146" i="9"/>
  <c r="AZ146" i="9"/>
  <c r="AK151" i="9"/>
  <c r="AK152" i="9" s="1"/>
  <c r="AK154" i="9" s="1"/>
  <c r="AK158" i="9" s="1"/>
  <c r="AK149" i="9"/>
  <c r="K140" i="9"/>
  <c r="AS215" i="9"/>
  <c r="AT215" i="9"/>
  <c r="AU215" i="9" s="1"/>
  <c r="AU86" i="9"/>
  <c r="AW86" i="9" s="1"/>
  <c r="AA299" i="9"/>
  <c r="AC299" i="9"/>
  <c r="AR336" i="9"/>
  <c r="AR150" i="9"/>
  <c r="AT150" i="9" s="1"/>
  <c r="AS86" i="9"/>
  <c r="AQ162" i="9"/>
  <c r="AR178" i="9"/>
  <c r="AP178" i="9"/>
  <c r="AP162" i="9" s="1"/>
  <c r="AO162" i="9" s="1"/>
  <c r="AB507" i="1"/>
  <c r="AL34" i="9"/>
  <c r="AN397" i="9"/>
  <c r="AL30" i="9"/>
  <c r="AC266" i="1"/>
  <c r="AB208" i="1"/>
  <c r="AB152" i="1" s="1"/>
  <c r="AC64" i="1"/>
  <c r="AC216" i="1"/>
  <c r="J377" i="9"/>
  <c r="AM30" i="9"/>
  <c r="AM4" i="9" s="1"/>
  <c r="AL4" i="9" s="1"/>
  <c r="AL20" i="9" s="1"/>
  <c r="AA208" i="1"/>
  <c r="AB266" i="1"/>
  <c r="AB584" i="1"/>
  <c r="AB54" i="1"/>
  <c r="AB202" i="1"/>
  <c r="AB415" i="1"/>
  <c r="AA159" i="1"/>
  <c r="AB159" i="1"/>
  <c r="AB192" i="1"/>
  <c r="AA192" i="1"/>
  <c r="AB198" i="1"/>
  <c r="AJ163" i="9"/>
  <c r="AI161" i="9"/>
  <c r="AI163" i="9" s="1"/>
  <c r="N347" i="9"/>
  <c r="N346" i="9"/>
  <c r="M346" i="9"/>
  <c r="M355" i="9"/>
  <c r="M347" i="9"/>
  <c r="L375" i="9"/>
  <c r="M111" i="9"/>
  <c r="L115" i="9"/>
  <c r="L356" i="9"/>
  <c r="O356" i="9"/>
  <c r="AI154" i="9"/>
  <c r="AI158" i="9" s="1"/>
  <c r="AD338" i="9"/>
  <c r="AD341" i="9" s="1"/>
  <c r="H23" i="9"/>
  <c r="H12" i="9"/>
  <c r="H16" i="9" s="1"/>
  <c r="H24" i="9" s="1"/>
  <c r="AI181" i="9"/>
  <c r="AJ181" i="9" s="1"/>
  <c r="AM54" i="9"/>
  <c r="AM214" i="9"/>
  <c r="K378" i="9"/>
  <c r="K211" i="9"/>
  <c r="L206" i="9"/>
  <c r="L122" i="9"/>
  <c r="M118" i="9"/>
  <c r="K376" i="9"/>
  <c r="AB298" i="9"/>
  <c r="K129" i="9"/>
  <c r="L125" i="9"/>
  <c r="K130" i="9"/>
  <c r="AJ179" i="9"/>
  <c r="AM177" i="9"/>
  <c r="AK161" i="9"/>
  <c r="AK163" i="9" s="1"/>
  <c r="I23" i="9"/>
  <c r="I12" i="9"/>
  <c r="I16" i="9" s="1"/>
  <c r="I24" i="9" s="1"/>
  <c r="I25" i="9"/>
  <c r="AI218" i="9"/>
  <c r="AJ218" i="9" s="1"/>
  <c r="H25" i="9"/>
  <c r="AA203" i="1"/>
  <c r="AB116" i="1"/>
  <c r="AB64" i="1"/>
  <c r="AT70" i="9" l="1"/>
  <c r="AT411" i="9" s="1"/>
  <c r="AS70" i="9"/>
  <c r="AS411" i="9" s="1"/>
  <c r="R8" i="9"/>
  <c r="R9" i="9" s="1"/>
  <c r="R167" i="9"/>
  <c r="R168" i="9" s="1"/>
  <c r="R222" i="9"/>
  <c r="R169" i="9" s="1"/>
  <c r="Q169" i="9" s="1"/>
  <c r="Q11" i="9" s="1"/>
  <c r="S220" i="9"/>
  <c r="S221" i="9" s="1"/>
  <c r="S222" i="9" s="1"/>
  <c r="S169" i="9" s="1"/>
  <c r="S11" i="9" s="1"/>
  <c r="T219" i="9"/>
  <c r="S166" i="9"/>
  <c r="K12" i="9"/>
  <c r="K16" i="9" s="1"/>
  <c r="K24" i="9" s="1"/>
  <c r="K25" i="9"/>
  <c r="P22" i="9"/>
  <c r="P10" i="9"/>
  <c r="P21" i="9"/>
  <c r="O9" i="9"/>
  <c r="N8" i="9"/>
  <c r="N9" i="9" s="1"/>
  <c r="L25" i="9"/>
  <c r="L12" i="9"/>
  <c r="L16" i="9" s="1"/>
  <c r="L24" i="9" s="1"/>
  <c r="AN148" i="9"/>
  <c r="AL151" i="9"/>
  <c r="AL152" i="9" s="1"/>
  <c r="AL154" i="9" s="1"/>
  <c r="AL158" i="9" s="1"/>
  <c r="AL149" i="9"/>
  <c r="AM149" i="9" s="1"/>
  <c r="AM148" i="9"/>
  <c r="AM151" i="9" s="1"/>
  <c r="AM152" i="9" s="1"/>
  <c r="AM154" i="9" s="1"/>
  <c r="BA146" i="9"/>
  <c r="BB146" i="9" s="1"/>
  <c r="BB30" i="9" s="1"/>
  <c r="AZ30" i="9"/>
  <c r="AB63" i="1"/>
  <c r="AM34" i="9"/>
  <c r="AM397" i="9"/>
  <c r="AV215" i="9"/>
  <c r="AW215" i="9"/>
  <c r="AX86" i="9"/>
  <c r="AZ86" i="9" s="1"/>
  <c r="AS178" i="9"/>
  <c r="AS162" i="9" s="1"/>
  <c r="AR162" i="9" s="1"/>
  <c r="AT178" i="9"/>
  <c r="AU150" i="9"/>
  <c r="AW150" i="9" s="1"/>
  <c r="AV86" i="9"/>
  <c r="AU70" i="9"/>
  <c r="AC217" i="1"/>
  <c r="AB300" i="9"/>
  <c r="AC300" i="9"/>
  <c r="AS150" i="9"/>
  <c r="AN177" i="9"/>
  <c r="AL216" i="9"/>
  <c r="AL218" i="9" s="1"/>
  <c r="AN214" i="9"/>
  <c r="AO145" i="9"/>
  <c r="AP145" i="9" s="1"/>
  <c r="AJ153" i="9"/>
  <c r="AJ154" i="9" s="1"/>
  <c r="AO397" i="9"/>
  <c r="AN34" i="9"/>
  <c r="AM20" i="9"/>
  <c r="AN30" i="9"/>
  <c r="AM161" i="9"/>
  <c r="AL161" i="9" s="1"/>
  <c r="AL163" i="9" s="1"/>
  <c r="AB61" i="1"/>
  <c r="AC252" i="1"/>
  <c r="AB58" i="1"/>
  <c r="AC247" i="1"/>
  <c r="AC248" i="1"/>
  <c r="AC265" i="1"/>
  <c r="AC267" i="1" s="1"/>
  <c r="AC63" i="1"/>
  <c r="AC253" i="1"/>
  <c r="AC53" i="1"/>
  <c r="K377" i="9"/>
  <c r="AB247" i="1"/>
  <c r="AB248" i="1"/>
  <c r="AB53" i="1"/>
  <c r="L129" i="9"/>
  <c r="M125" i="9"/>
  <c r="M142" i="9" s="1"/>
  <c r="L141" i="9"/>
  <c r="L376" i="9"/>
  <c r="Z29" i="9"/>
  <c r="Z31" i="9" s="1"/>
  <c r="Z51" i="9"/>
  <c r="Z390" i="9" s="1"/>
  <c r="M115" i="9"/>
  <c r="M116" i="9"/>
  <c r="N111" i="9"/>
  <c r="L142" i="9"/>
  <c r="M357" i="9"/>
  <c r="M358" i="9" s="1"/>
  <c r="M348" i="9"/>
  <c r="O347" i="9"/>
  <c r="N348" i="9"/>
  <c r="N357" i="9"/>
  <c r="P348" i="9"/>
  <c r="AJ165" i="9"/>
  <c r="AK165" i="9"/>
  <c r="AB299" i="9"/>
  <c r="M123" i="9"/>
  <c r="N118" i="9"/>
  <c r="L139" i="9"/>
  <c r="L378" i="9"/>
  <c r="M206" i="9"/>
  <c r="L210" i="9"/>
  <c r="O209" i="9"/>
  <c r="N209" i="9" s="1"/>
  <c r="Z386" i="9"/>
  <c r="Z67" i="9"/>
  <c r="AA65" i="9"/>
  <c r="AA386" i="9" s="1"/>
  <c r="AD342" i="9"/>
  <c r="AD295" i="9"/>
  <c r="L140" i="9"/>
  <c r="M356" i="9"/>
  <c r="N356" i="9"/>
  <c r="AI165" i="9"/>
  <c r="Q8" i="9" l="1"/>
  <c r="Q9" i="9" s="1"/>
  <c r="R223" i="9"/>
  <c r="R227" i="9" s="1"/>
  <c r="Q170" i="9"/>
  <c r="Q174" i="9" s="1"/>
  <c r="R174" i="9" s="1"/>
  <c r="R170" i="9"/>
  <c r="R11" i="9"/>
  <c r="O21" i="9"/>
  <c r="O10" i="9"/>
  <c r="O22" i="9"/>
  <c r="P12" i="9"/>
  <c r="P16" i="9" s="1"/>
  <c r="P24" i="9" s="1"/>
  <c r="P23" i="9"/>
  <c r="P25" i="9"/>
  <c r="S167" i="9"/>
  <c r="S168" i="9" s="1"/>
  <c r="S8" i="9"/>
  <c r="S9" i="9" s="1"/>
  <c r="N21" i="9"/>
  <c r="N22" i="9"/>
  <c r="N10" i="9"/>
  <c r="S223" i="9"/>
  <c r="S227" i="9" s="1"/>
  <c r="U219" i="9"/>
  <c r="V219" i="9"/>
  <c r="T220" i="9"/>
  <c r="T221" i="9" s="1"/>
  <c r="T222" i="9" s="1"/>
  <c r="T223" i="9" s="1"/>
  <c r="T227" i="9" s="1"/>
  <c r="M141" i="9"/>
  <c r="AM216" i="9"/>
  <c r="BA30" i="9"/>
  <c r="BC146" i="9"/>
  <c r="AN151" i="9"/>
  <c r="AN152" i="9" s="1"/>
  <c r="AN154" i="9" s="1"/>
  <c r="AN158" i="9" s="1"/>
  <c r="AN149" i="9"/>
  <c r="BA86" i="9"/>
  <c r="BC86" i="9" s="1"/>
  <c r="BD86" i="9" s="1"/>
  <c r="BE86" i="9" s="1"/>
  <c r="AM163" i="9"/>
  <c r="AM165" i="9" s="1"/>
  <c r="AW70" i="9"/>
  <c r="AU411" i="9"/>
  <c r="AX215" i="9"/>
  <c r="AX150" i="9"/>
  <c r="AZ150" i="9" s="1"/>
  <c r="AY86" i="9"/>
  <c r="AM179" i="9"/>
  <c r="AU178" i="9"/>
  <c r="AT162" i="9"/>
  <c r="AV150" i="9"/>
  <c r="AV70" i="9"/>
  <c r="AV411" i="9" s="1"/>
  <c r="AP30" i="9"/>
  <c r="AP4" i="9" s="1"/>
  <c r="AO147" i="9"/>
  <c r="AP147" i="9" s="1"/>
  <c r="AQ145" i="9"/>
  <c r="AO34" i="9"/>
  <c r="AQ54" i="9"/>
  <c r="AQ397" i="9" s="1"/>
  <c r="AN216" i="9"/>
  <c r="AN218" i="9" s="1"/>
  <c r="AO214" i="9"/>
  <c r="AN179" i="9"/>
  <c r="AO177" i="9"/>
  <c r="AP177" i="9" s="1"/>
  <c r="AN161" i="9"/>
  <c r="AN163" i="9" s="1"/>
  <c r="AN165" i="9" s="1"/>
  <c r="AO148" i="9"/>
  <c r="AP54" i="9"/>
  <c r="AO30" i="9"/>
  <c r="AN4" i="9"/>
  <c r="AM181" i="9"/>
  <c r="S170" i="9"/>
  <c r="S174" i="9" s="1"/>
  <c r="AM218" i="9"/>
  <c r="AB29" i="9"/>
  <c r="AB51" i="9"/>
  <c r="AB390" i="9" s="1"/>
  <c r="AB386" i="9"/>
  <c r="AB67" i="9"/>
  <c r="AA67" i="9"/>
  <c r="N123" i="9"/>
  <c r="O118" i="9"/>
  <c r="N358" i="9"/>
  <c r="P358" i="9"/>
  <c r="O357" i="9"/>
  <c r="O348" i="9"/>
  <c r="R348" i="9"/>
  <c r="N116" i="9"/>
  <c r="Q115" i="9"/>
  <c r="O111" i="9"/>
  <c r="N115" i="9"/>
  <c r="Q22" i="9"/>
  <c r="Q21" i="9"/>
  <c r="Q10" i="9"/>
  <c r="L377" i="9"/>
  <c r="M130" i="9"/>
  <c r="M129" i="9"/>
  <c r="N125" i="9"/>
  <c r="P129" i="9"/>
  <c r="AE341" i="9"/>
  <c r="M211" i="9"/>
  <c r="M210" i="9"/>
  <c r="N206" i="9"/>
  <c r="AD296" i="9"/>
  <c r="AA29" i="9"/>
  <c r="R21" i="9"/>
  <c r="R22" i="9"/>
  <c r="R10" i="9"/>
  <c r="AL165" i="9"/>
  <c r="AB101" i="1"/>
  <c r="U222" i="9" l="1"/>
  <c r="U169" i="9" s="1"/>
  <c r="W219" i="9"/>
  <c r="V220" i="9"/>
  <c r="V221" i="9" s="1"/>
  <c r="V222" i="9" s="1"/>
  <c r="S10" i="9"/>
  <c r="S22" i="9"/>
  <c r="S21" i="9"/>
  <c r="O25" i="9"/>
  <c r="O12" i="9"/>
  <c r="O16" i="9" s="1"/>
  <c r="O24" i="9" s="1"/>
  <c r="O23" i="9"/>
  <c r="N23" i="9"/>
  <c r="N12" i="9"/>
  <c r="N16" i="9" s="1"/>
  <c r="N24" i="9" s="1"/>
  <c r="N25" i="9"/>
  <c r="U220" i="9"/>
  <c r="U221" i="9" s="1"/>
  <c r="U223" i="9" s="1"/>
  <c r="U227" i="9" s="1"/>
  <c r="U166" i="9"/>
  <c r="BD146" i="9"/>
  <c r="BD30" i="9" s="1"/>
  <c r="BC30" i="9"/>
  <c r="AY215" i="9"/>
  <c r="AZ215" i="9"/>
  <c r="BA150" i="9"/>
  <c r="BC150" i="9" s="1"/>
  <c r="BB86" i="9"/>
  <c r="AX70" i="9"/>
  <c r="AZ70" i="9" s="1"/>
  <c r="AW411" i="9"/>
  <c r="AO149" i="9"/>
  <c r="AP149" i="9" s="1"/>
  <c r="AP34" i="9"/>
  <c r="AP397" i="9"/>
  <c r="AV178" i="9"/>
  <c r="AV162" i="9" s="1"/>
  <c r="AU162" i="9" s="1"/>
  <c r="AW178" i="9"/>
  <c r="AY150" i="9"/>
  <c r="CR92" i="1"/>
  <c r="AP148" i="9"/>
  <c r="AP151" i="9" s="1"/>
  <c r="AP152" i="9" s="1"/>
  <c r="AQ30" i="9"/>
  <c r="AQ4" i="9" s="1"/>
  <c r="AQ20" i="9" s="1"/>
  <c r="AO151" i="9"/>
  <c r="AO152" i="9" s="1"/>
  <c r="AO153" i="9" s="1"/>
  <c r="AO154" i="9" s="1"/>
  <c r="AQ148" i="9"/>
  <c r="AQ147" i="9"/>
  <c r="AR145" i="9"/>
  <c r="AR54" i="9"/>
  <c r="AR397" i="9" s="1"/>
  <c r="AQ34" i="9"/>
  <c r="AN181" i="9"/>
  <c r="AO216" i="9"/>
  <c r="AQ214" i="9"/>
  <c r="AO179" i="9"/>
  <c r="AO181" i="9" s="1"/>
  <c r="AQ177" i="9"/>
  <c r="AP214" i="9"/>
  <c r="AP161" i="9" s="1"/>
  <c r="AN20" i="9"/>
  <c r="AP20" i="9"/>
  <c r="AO4" i="9"/>
  <c r="CT123" i="1"/>
  <c r="AD297" i="9"/>
  <c r="AD298" i="9"/>
  <c r="AD299" i="9" s="1"/>
  <c r="R122" i="9"/>
  <c r="P123" i="9"/>
  <c r="O122" i="9"/>
  <c r="R23" i="9"/>
  <c r="R12" i="9"/>
  <c r="R16" i="9" s="1"/>
  <c r="R24" i="9" s="1"/>
  <c r="R25" i="9"/>
  <c r="AA3" i="9"/>
  <c r="AA31" i="9"/>
  <c r="O206" i="9"/>
  <c r="N211" i="9"/>
  <c r="AE342" i="9"/>
  <c r="AE295" i="9"/>
  <c r="AG338" i="9"/>
  <c r="AG339" i="9" s="1"/>
  <c r="O358" i="9"/>
  <c r="R358" i="9"/>
  <c r="V223" i="9"/>
  <c r="V227" i="9" s="1"/>
  <c r="Q129" i="9"/>
  <c r="N130" i="9"/>
  <c r="N129" i="9"/>
  <c r="O125" i="9"/>
  <c r="O142" i="9" s="1"/>
  <c r="Q23" i="9"/>
  <c r="Q12" i="9"/>
  <c r="Q16" i="9" s="1"/>
  <c r="Q25" i="9"/>
  <c r="Z55" i="9"/>
  <c r="AA52" i="9"/>
  <c r="AA390" i="9" s="1"/>
  <c r="Z32" i="9"/>
  <c r="Z53" i="9"/>
  <c r="O375" i="9"/>
  <c r="O115" i="9"/>
  <c r="R115" i="9"/>
  <c r="P111" i="9"/>
  <c r="AA68" i="9"/>
  <c r="AA71" i="9" s="1"/>
  <c r="AA72" i="9" s="1"/>
  <c r="Z71" i="9"/>
  <c r="Z72" i="9" s="1"/>
  <c r="Z69" i="9"/>
  <c r="AA69" i="9" s="1"/>
  <c r="AB31" i="9"/>
  <c r="AB3" i="9"/>
  <c r="AB19" i="9" s="1"/>
  <c r="AB102" i="1"/>
  <c r="S23" i="9" l="1"/>
  <c r="S12" i="9"/>
  <c r="S16" i="9" s="1"/>
  <c r="S24" i="9" s="1"/>
  <c r="S25" i="9"/>
  <c r="Q24" i="9"/>
  <c r="T166" i="9"/>
  <c r="T167" i="9" s="1"/>
  <c r="T168" i="9" s="1"/>
  <c r="U8" i="9"/>
  <c r="U167" i="9"/>
  <c r="U168" i="9" s="1"/>
  <c r="U170" i="9" s="1"/>
  <c r="U174" i="9" s="1"/>
  <c r="T174" i="9" s="1"/>
  <c r="X219" i="9"/>
  <c r="X220" i="9" s="1"/>
  <c r="X221" i="9" s="1"/>
  <c r="W220" i="9"/>
  <c r="W221" i="9" s="1"/>
  <c r="W222" i="9" s="1"/>
  <c r="X222" i="9" s="1"/>
  <c r="Y219" i="9"/>
  <c r="BE146" i="9"/>
  <c r="BE30" i="9" s="1"/>
  <c r="BD150" i="9"/>
  <c r="BE150" i="9" s="1"/>
  <c r="BA215" i="9"/>
  <c r="BB215" i="9" s="1"/>
  <c r="BB150" i="9"/>
  <c r="BA70" i="9"/>
  <c r="BC70" i="9" s="1"/>
  <c r="AZ411" i="9"/>
  <c r="AY70" i="9"/>
  <c r="AY411" i="9" s="1"/>
  <c r="AX411" i="9"/>
  <c r="Z56" i="9"/>
  <c r="Z58" i="9" s="1"/>
  <c r="Z392" i="9"/>
  <c r="AC398" i="9"/>
  <c r="Z391" i="9"/>
  <c r="AC396" i="9"/>
  <c r="AX178" i="9"/>
  <c r="AW162" i="9"/>
  <c r="AR147" i="9"/>
  <c r="AS147" i="9" s="1"/>
  <c r="AT145" i="9"/>
  <c r="O376" i="9"/>
  <c r="AR30" i="9"/>
  <c r="AR34" i="9"/>
  <c r="AT54" i="9"/>
  <c r="AT397" i="9" s="1"/>
  <c r="CS92" i="1"/>
  <c r="AP153" i="9"/>
  <c r="AP154" i="9" s="1"/>
  <c r="AA53" i="9"/>
  <c r="AA55" i="9"/>
  <c r="AA392" i="9" s="1"/>
  <c r="AS30" i="9"/>
  <c r="AS4" i="9" s="1"/>
  <c r="AR148" i="9"/>
  <c r="AT148" i="9" s="1"/>
  <c r="AQ151" i="9"/>
  <c r="AQ152" i="9" s="1"/>
  <c r="AQ153" i="9" s="1"/>
  <c r="AQ154" i="9" s="1"/>
  <c r="AS145" i="9"/>
  <c r="AQ149" i="9"/>
  <c r="AS54" i="9"/>
  <c r="AP179" i="9"/>
  <c r="AQ179" i="9"/>
  <c r="AQ161" i="9"/>
  <c r="AR177" i="9"/>
  <c r="AP163" i="9"/>
  <c r="AP165" i="9" s="1"/>
  <c r="AO161" i="9"/>
  <c r="AO163" i="9" s="1"/>
  <c r="AO165" i="9" s="1"/>
  <c r="AQ216" i="9"/>
  <c r="AR214" i="9"/>
  <c r="AP216" i="9"/>
  <c r="AO218" i="9"/>
  <c r="AP218" i="9" s="1"/>
  <c r="AP181" i="9"/>
  <c r="AB69" i="9"/>
  <c r="AE410" i="9" s="1"/>
  <c r="AO20" i="9"/>
  <c r="CU123" i="1"/>
  <c r="AB5" i="9"/>
  <c r="AB71" i="9"/>
  <c r="P375" i="9"/>
  <c r="Q116" i="9"/>
  <c r="S115" i="9"/>
  <c r="P142" i="9"/>
  <c r="P140" i="9"/>
  <c r="P116" i="9"/>
  <c r="P115" i="9"/>
  <c r="Z35" i="9"/>
  <c r="Z36" i="9" s="1"/>
  <c r="AC45" i="9" s="1"/>
  <c r="Z33" i="9"/>
  <c r="AB55" i="9"/>
  <c r="AB32" i="9"/>
  <c r="AE298" i="9"/>
  <c r="AE297" i="9"/>
  <c r="O378" i="9"/>
  <c r="O210" i="9"/>
  <c r="P209" i="9"/>
  <c r="P206" i="9" s="1"/>
  <c r="R209" i="9"/>
  <c r="R206" i="9" s="1"/>
  <c r="AA19" i="9"/>
  <c r="AA5" i="9"/>
  <c r="Z3" i="9"/>
  <c r="AC19" i="9" s="1"/>
  <c r="AB53" i="9"/>
  <c r="O141" i="9"/>
  <c r="O377" i="9" s="1"/>
  <c r="AA73" i="9"/>
  <c r="AA74" i="9" s="1"/>
  <c r="AA32" i="9"/>
  <c r="AA33" i="9" s="1"/>
  <c r="P130" i="9"/>
  <c r="O129" i="9"/>
  <c r="R129" i="9"/>
  <c r="T169" i="9"/>
  <c r="U11" i="9"/>
  <c r="AF341" i="9"/>
  <c r="AG341" i="9"/>
  <c r="X223" i="9" l="1"/>
  <c r="X227" i="9" s="1"/>
  <c r="Y220" i="9"/>
  <c r="Y221" i="9" s="1"/>
  <c r="Y222" i="9" s="1"/>
  <c r="Z219" i="9"/>
  <c r="W223" i="9"/>
  <c r="W227" i="9" s="1"/>
  <c r="T8" i="9"/>
  <c r="T9" i="9" s="1"/>
  <c r="U9" i="9"/>
  <c r="AA56" i="9"/>
  <c r="AA393" i="9" s="1"/>
  <c r="AB72" i="9"/>
  <c r="AB74" i="9" s="1"/>
  <c r="AB78" i="9" s="1"/>
  <c r="AE412" i="9"/>
  <c r="AY178" i="9"/>
  <c r="AY162" i="9" s="1"/>
  <c r="AX162" i="9" s="1"/>
  <c r="AZ178" i="9"/>
  <c r="BC215" i="9"/>
  <c r="BB70" i="9"/>
  <c r="BB411" i="9" s="1"/>
  <c r="BC411" i="9"/>
  <c r="BD70" i="9"/>
  <c r="BD411" i="9" s="1"/>
  <c r="BA411" i="9"/>
  <c r="AB391" i="9"/>
  <c r="AB396" i="9"/>
  <c r="AE396" i="9"/>
  <c r="AA391" i="9"/>
  <c r="Z62" i="9"/>
  <c r="AC401" i="9" s="1"/>
  <c r="AC400" i="9"/>
  <c r="AB56" i="9"/>
  <c r="AB58" i="9" s="1"/>
  <c r="AB398" i="9"/>
  <c r="AB392" i="9"/>
  <c r="AE398" i="9"/>
  <c r="AC399" i="9"/>
  <c r="Z393" i="9"/>
  <c r="AS34" i="9"/>
  <c r="AS397" i="9"/>
  <c r="AT147" i="9"/>
  <c r="AU145" i="9"/>
  <c r="AV145" i="9" s="1"/>
  <c r="AU148" i="9"/>
  <c r="AV148" i="9" s="1"/>
  <c r="AV151" i="9" s="1"/>
  <c r="AT151" i="9"/>
  <c r="AR216" i="9"/>
  <c r="AR218" i="9" s="1"/>
  <c r="AT214" i="9"/>
  <c r="AR179" i="9"/>
  <c r="AR181" i="9" s="1"/>
  <c r="AT177" i="9"/>
  <c r="AT30" i="9"/>
  <c r="AT4" i="9" s="1"/>
  <c r="AT20" i="9" s="1"/>
  <c r="AT34" i="9"/>
  <c r="AU54" i="9"/>
  <c r="AU397" i="9" s="1"/>
  <c r="CT92" i="1"/>
  <c r="AB6" i="9"/>
  <c r="AB7" i="9" s="1"/>
  <c r="AB35" i="9"/>
  <c r="AB36" i="9" s="1"/>
  <c r="AR4" i="9"/>
  <c r="AR20" i="9" s="1"/>
  <c r="AS20" i="9"/>
  <c r="AS148" i="9"/>
  <c r="AS151" i="9" s="1"/>
  <c r="AS152" i="9" s="1"/>
  <c r="AR151" i="9"/>
  <c r="AR152" i="9" s="1"/>
  <c r="AR149" i="9"/>
  <c r="AS149" i="9" s="1"/>
  <c r="AQ163" i="9"/>
  <c r="AQ165" i="9" s="1"/>
  <c r="AS214" i="9"/>
  <c r="AQ218" i="9"/>
  <c r="AS177" i="9"/>
  <c r="AQ181" i="9"/>
  <c r="Z74" i="9"/>
  <c r="Z78" i="9" s="1"/>
  <c r="AA78" i="9" s="1"/>
  <c r="CV123" i="1"/>
  <c r="P376" i="9"/>
  <c r="P378" i="9"/>
  <c r="P211" i="9"/>
  <c r="P210" i="9"/>
  <c r="AF342" i="9"/>
  <c r="AF295" i="9"/>
  <c r="AC386" i="9"/>
  <c r="AD65" i="9"/>
  <c r="AD386" i="9" s="1"/>
  <c r="AG342" i="9"/>
  <c r="AG295" i="9"/>
  <c r="T11" i="9"/>
  <c r="T170" i="9"/>
  <c r="Z37" i="9"/>
  <c r="Z38" i="9" s="1"/>
  <c r="Z43" i="9" s="1"/>
  <c r="AA37" i="9"/>
  <c r="AA35" i="9"/>
  <c r="AA36" i="9" s="1"/>
  <c r="AA6" i="9"/>
  <c r="AA7" i="9" s="1"/>
  <c r="Q209" i="9"/>
  <c r="AE299" i="9"/>
  <c r="AD49" i="9"/>
  <c r="AD394" i="9" s="1"/>
  <c r="Z5" i="9"/>
  <c r="Z19" i="9"/>
  <c r="S206" i="9"/>
  <c r="Q206" i="9"/>
  <c r="R210" i="9"/>
  <c r="R376" i="9"/>
  <c r="U376" i="9" s="1"/>
  <c r="X376" i="9" s="1"/>
  <c r="AA376" i="9" s="1"/>
  <c r="AD376" i="9" s="1"/>
  <c r="AG376" i="9" s="1"/>
  <c r="AJ376" i="9" s="1"/>
  <c r="AM376" i="9" s="1"/>
  <c r="AP376" i="9" s="1"/>
  <c r="AS376" i="9" s="1"/>
  <c r="AV376" i="9" s="1"/>
  <c r="AY376" i="9" s="1"/>
  <c r="BB376" i="9" s="1"/>
  <c r="BE376" i="9" s="1"/>
  <c r="U209" i="9"/>
  <c r="T209" i="9" s="1"/>
  <c r="Z45" i="9"/>
  <c r="AB33" i="9"/>
  <c r="Y223" i="9" l="1"/>
  <c r="Y227" i="9" s="1"/>
  <c r="T21" i="9"/>
  <c r="T22" i="9"/>
  <c r="T10" i="9"/>
  <c r="T23" i="9" s="1"/>
  <c r="U10" i="9"/>
  <c r="U21" i="9"/>
  <c r="U22" i="9"/>
  <c r="AA219" i="9"/>
  <c r="AA220" i="9" s="1"/>
  <c r="AA221" i="9" s="1"/>
  <c r="AB219" i="9"/>
  <c r="Z220" i="9"/>
  <c r="Z221" i="9" s="1"/>
  <c r="Z222" i="9" s="1"/>
  <c r="AA222" i="9" s="1"/>
  <c r="BD215" i="9"/>
  <c r="BE215" i="9" s="1"/>
  <c r="AZ162" i="9"/>
  <c r="AZ4" i="9" s="1"/>
  <c r="BA178" i="9"/>
  <c r="BE70" i="9"/>
  <c r="BE411" i="9" s="1"/>
  <c r="AB62" i="9"/>
  <c r="AB401" i="9" s="1"/>
  <c r="AB400" i="9"/>
  <c r="AB399" i="9"/>
  <c r="AB393" i="9"/>
  <c r="AU151" i="9"/>
  <c r="AW148" i="9"/>
  <c r="AU147" i="9"/>
  <c r="AV147" i="9" s="1"/>
  <c r="AV152" i="9" s="1"/>
  <c r="AW145" i="9"/>
  <c r="AV30" i="9"/>
  <c r="AV4" i="9" s="1"/>
  <c r="AU4" i="9" s="1"/>
  <c r="AU20" i="9" s="1"/>
  <c r="AV54" i="9"/>
  <c r="AV397" i="9" s="1"/>
  <c r="AW54" i="9"/>
  <c r="AW397" i="9" s="1"/>
  <c r="AS216" i="9"/>
  <c r="AS181" i="9"/>
  <c r="AT152" i="9"/>
  <c r="AT153" i="9" s="1"/>
  <c r="AT154" i="9" s="1"/>
  <c r="AT149" i="9"/>
  <c r="AT216" i="9"/>
  <c r="AU214" i="9"/>
  <c r="AS179" i="9"/>
  <c r="AT179" i="9"/>
  <c r="AU177" i="9"/>
  <c r="AT161" i="9"/>
  <c r="AT163" i="9" s="1"/>
  <c r="AU30" i="9"/>
  <c r="AU34" i="9"/>
  <c r="CU92" i="1"/>
  <c r="U206" i="9"/>
  <c r="V206" i="9" s="1"/>
  <c r="AS218" i="9"/>
  <c r="AR153" i="9"/>
  <c r="AS153" i="9" s="1"/>
  <c r="AS154" i="9" s="1"/>
  <c r="AS161" i="9"/>
  <c r="AA58" i="9"/>
  <c r="AA62" i="9" s="1"/>
  <c r="CW123" i="1"/>
  <c r="Q378" i="9"/>
  <c r="Q376" i="9"/>
  <c r="Q211" i="9"/>
  <c r="AD29" i="9"/>
  <c r="AA38" i="9"/>
  <c r="AA43" i="9" s="1"/>
  <c r="AA45" i="9"/>
  <c r="AB37" i="9"/>
  <c r="AB38" i="9" s="1"/>
  <c r="AB43" i="9" s="1"/>
  <c r="S211" i="9"/>
  <c r="S210" i="9"/>
  <c r="AD51" i="9"/>
  <c r="AB45" i="9"/>
  <c r="Z6" i="9"/>
  <c r="AF298" i="9"/>
  <c r="AF297" i="9"/>
  <c r="AG296" i="9"/>
  <c r="AD67" i="9"/>
  <c r="AA223" i="9" l="1"/>
  <c r="AA227" i="9" s="1"/>
  <c r="T12" i="9"/>
  <c r="T16" i="9" s="1"/>
  <c r="T24" i="9" s="1"/>
  <c r="T25" i="9"/>
  <c r="Z223" i="9"/>
  <c r="Z227" i="9" s="1"/>
  <c r="AB220" i="9"/>
  <c r="AB221" i="9" s="1"/>
  <c r="AB222" i="9" s="1"/>
  <c r="AB223" i="9" s="1"/>
  <c r="AB227" i="9" s="1"/>
  <c r="AC219" i="9"/>
  <c r="U23" i="9"/>
  <c r="U25" i="9"/>
  <c r="U12" i="9"/>
  <c r="U16" i="9" s="1"/>
  <c r="U24" i="9" s="1"/>
  <c r="AU149" i="9"/>
  <c r="AV149" i="9" s="1"/>
  <c r="BB178" i="9"/>
  <c r="BB162" i="9" s="1"/>
  <c r="BC178" i="9"/>
  <c r="AU152" i="9"/>
  <c r="AU153" i="9" s="1"/>
  <c r="AU154" i="9" s="1"/>
  <c r="AV34" i="9"/>
  <c r="T206" i="9"/>
  <c r="T211" i="9" s="1"/>
  <c r="AX148" i="9"/>
  <c r="AW151" i="9"/>
  <c r="AU216" i="9"/>
  <c r="AU218" i="9" s="1"/>
  <c r="AW214" i="9"/>
  <c r="AU179" i="9"/>
  <c r="AU181" i="9" s="1"/>
  <c r="AW177" i="9"/>
  <c r="AV20" i="9"/>
  <c r="AW147" i="9"/>
  <c r="AX145" i="9"/>
  <c r="AW30" i="9"/>
  <c r="AW4" i="9" s="1"/>
  <c r="AX30" i="9"/>
  <c r="AW34" i="9"/>
  <c r="AX54" i="9"/>
  <c r="AV214" i="9"/>
  <c r="AT218" i="9"/>
  <c r="AT165" i="9"/>
  <c r="AV177" i="9"/>
  <c r="AT181" i="9"/>
  <c r="CV92" i="1"/>
  <c r="AR154" i="9"/>
  <c r="AE29" i="9"/>
  <c r="AE3" i="9" s="1"/>
  <c r="AE67" i="9"/>
  <c r="AE386" i="9"/>
  <c r="AR161" i="9"/>
  <c r="AR163" i="9" s="1"/>
  <c r="AR165" i="9" s="1"/>
  <c r="AS163" i="9"/>
  <c r="AS165" i="9" s="1"/>
  <c r="AE51" i="9"/>
  <c r="CX123" i="1"/>
  <c r="AD68" i="9"/>
  <c r="AD71" i="9" s="1"/>
  <c r="AD72" i="9" s="1"/>
  <c r="AG297" i="9"/>
  <c r="AF299" i="9"/>
  <c r="AG298" i="9"/>
  <c r="AG299" i="9" s="1"/>
  <c r="AD52" i="9"/>
  <c r="AD53" i="9"/>
  <c r="AD31" i="9"/>
  <c r="AD3" i="9"/>
  <c r="Z7" i="9"/>
  <c r="AD69" i="9"/>
  <c r="V211" i="9"/>
  <c r="V210" i="9"/>
  <c r="AC220" i="9" l="1"/>
  <c r="AC221" i="9" s="1"/>
  <c r="AC222" i="9" s="1"/>
  <c r="AD222" i="9" s="1"/>
  <c r="AE219" i="9"/>
  <c r="AD219" i="9"/>
  <c r="AD220" i="9" s="1"/>
  <c r="AD221" i="9" s="1"/>
  <c r="AE72" i="9"/>
  <c r="AE404" i="9"/>
  <c r="AE406" i="9"/>
  <c r="BD178" i="9"/>
  <c r="BE178" i="9" s="1"/>
  <c r="BE162" i="9" s="1"/>
  <c r="BC162" i="9"/>
  <c r="BC4" i="9" s="1"/>
  <c r="BC20" i="9" s="1"/>
  <c r="BA162" i="9"/>
  <c r="BB4" i="9"/>
  <c r="BA4" i="9" s="1"/>
  <c r="AX147" i="9"/>
  <c r="AY147" i="9" s="1"/>
  <c r="AZ145" i="9"/>
  <c r="AX151" i="9"/>
  <c r="AZ148" i="9"/>
  <c r="AY54" i="9"/>
  <c r="AY34" i="9" s="1"/>
  <c r="AZ54" i="9"/>
  <c r="AW20" i="9"/>
  <c r="AZ20" i="9"/>
  <c r="AV179" i="9"/>
  <c r="AV181" i="9"/>
  <c r="AV153" i="9"/>
  <c r="AV154" i="9" s="1"/>
  <c r="AD396" i="9"/>
  <c r="AD391" i="9"/>
  <c r="AE390" i="9"/>
  <c r="AE392" i="9"/>
  <c r="AD395" i="9"/>
  <c r="AD390" i="9"/>
  <c r="AY148" i="9"/>
  <c r="AY151" i="9" s="1"/>
  <c r="AX34" i="9"/>
  <c r="AX397" i="9"/>
  <c r="AY145" i="9"/>
  <c r="AV216" i="9"/>
  <c r="AX214" i="9"/>
  <c r="AW216" i="9"/>
  <c r="AW179" i="9"/>
  <c r="AW161" i="9"/>
  <c r="AW163" i="9" s="1"/>
  <c r="AW165" i="9" s="1"/>
  <c r="AX177" i="9"/>
  <c r="AW149" i="9"/>
  <c r="AW152" i="9"/>
  <c r="AW153" i="9" s="1"/>
  <c r="AW154" i="9" s="1"/>
  <c r="AY30" i="9"/>
  <c r="AY4" i="9" s="1"/>
  <c r="AV218" i="9"/>
  <c r="AV161" i="9"/>
  <c r="AU161" i="9" s="1"/>
  <c r="AU163" i="9" s="1"/>
  <c r="CX92" i="1"/>
  <c r="CW92" i="1"/>
  <c r="AE31" i="9"/>
  <c r="AE5" i="9"/>
  <c r="AE56" i="9"/>
  <c r="CY123" i="1"/>
  <c r="AC223" i="9"/>
  <c r="AC227" i="9" s="1"/>
  <c r="AE32" i="9"/>
  <c r="AD5" i="9"/>
  <c r="AD19" i="9"/>
  <c r="AD55" i="9"/>
  <c r="AD32" i="9"/>
  <c r="AD73" i="9"/>
  <c r="AD74" i="9" s="1"/>
  <c r="AD223" i="9" l="1"/>
  <c r="AD227" i="9" s="1"/>
  <c r="AE220" i="9"/>
  <c r="AE221" i="9" s="1"/>
  <c r="AE222" i="9" s="1"/>
  <c r="AE223" i="9" s="1"/>
  <c r="AE227" i="9" s="1"/>
  <c r="AF219" i="9"/>
  <c r="AX149" i="9"/>
  <c r="AY149" i="9" s="1"/>
  <c r="AX152" i="9"/>
  <c r="AX153" i="9" s="1"/>
  <c r="AY153" i="9" s="1"/>
  <c r="BD162" i="9"/>
  <c r="BE4" i="9"/>
  <c r="AX179" i="9"/>
  <c r="AX181" i="9" s="1"/>
  <c r="AZ177" i="9"/>
  <c r="AY397" i="9"/>
  <c r="AX216" i="9"/>
  <c r="AY216" i="9" s="1"/>
  <c r="AZ214" i="9"/>
  <c r="BB20" i="9"/>
  <c r="AE74" i="9"/>
  <c r="AE413" i="9"/>
  <c r="AE407" i="9"/>
  <c r="AH413" i="9"/>
  <c r="BA148" i="9"/>
  <c r="BB148" i="9" s="1"/>
  <c r="BB151" i="9" s="1"/>
  <c r="AZ151" i="9"/>
  <c r="AZ147" i="9"/>
  <c r="BA145" i="9"/>
  <c r="BB145" i="9" s="1"/>
  <c r="BA54" i="9"/>
  <c r="BC54" i="9" s="1"/>
  <c r="AZ397" i="9"/>
  <c r="AZ34" i="9"/>
  <c r="AE393" i="9"/>
  <c r="AE399" i="9"/>
  <c r="AD56" i="9"/>
  <c r="AD399" i="9" s="1"/>
  <c r="AD398" i="9"/>
  <c r="AD392" i="9"/>
  <c r="AY152" i="9"/>
  <c r="AY177" i="9"/>
  <c r="AW218" i="9"/>
  <c r="AY214" i="9"/>
  <c r="AV163" i="9"/>
  <c r="AV165" i="9" s="1"/>
  <c r="AW181" i="9"/>
  <c r="AY20" i="9"/>
  <c r="AX4" i="9"/>
  <c r="CY92" i="1"/>
  <c r="AU165" i="9"/>
  <c r="CZ123" i="1"/>
  <c r="BA123" i="1"/>
  <c r="AE19" i="9"/>
  <c r="AE33" i="9"/>
  <c r="AE6" i="9"/>
  <c r="AE7" i="9" s="1"/>
  <c r="AD57" i="9"/>
  <c r="AD35" i="9"/>
  <c r="AD36" i="9" s="1"/>
  <c r="AD6" i="9"/>
  <c r="AD7" i="9" s="1"/>
  <c r="AE35" i="9"/>
  <c r="AE36" i="9" s="1"/>
  <c r="AD33" i="9"/>
  <c r="AG219" i="9" l="1"/>
  <c r="AG220" i="9" s="1"/>
  <c r="AG221" i="9" s="1"/>
  <c r="AF220" i="9"/>
  <c r="AF221" i="9" s="1"/>
  <c r="AF222" i="9" s="1"/>
  <c r="AG222" i="9" s="1"/>
  <c r="AH219" i="9"/>
  <c r="AY161" i="9"/>
  <c r="AY163" i="9" s="1"/>
  <c r="AY165" i="9" s="1"/>
  <c r="AX218" i="9"/>
  <c r="AY218" i="9" s="1"/>
  <c r="BA177" i="9"/>
  <c r="BB177" i="9" s="1"/>
  <c r="AZ179" i="9"/>
  <c r="AZ161" i="9"/>
  <c r="AZ163" i="9" s="1"/>
  <c r="AZ165" i="9" s="1"/>
  <c r="BA214" i="9"/>
  <c r="AZ216" i="9"/>
  <c r="AY179" i="9"/>
  <c r="BA147" i="9"/>
  <c r="BA149" i="9" s="1"/>
  <c r="BC145" i="9"/>
  <c r="BA151" i="9"/>
  <c r="BC148" i="9"/>
  <c r="AE78" i="9"/>
  <c r="AE414" i="9"/>
  <c r="AH414" i="9"/>
  <c r="BD4" i="9"/>
  <c r="BD20" i="9" s="1"/>
  <c r="BE20" i="9"/>
  <c r="AY181" i="9"/>
  <c r="BB54" i="9"/>
  <c r="BB397" i="9" s="1"/>
  <c r="BC34" i="9"/>
  <c r="BC397" i="9"/>
  <c r="BD54" i="9"/>
  <c r="BE54" i="9" s="1"/>
  <c r="AZ149" i="9"/>
  <c r="AZ152" i="9"/>
  <c r="BA397" i="9"/>
  <c r="BA34" i="9"/>
  <c r="AX20" i="9"/>
  <c r="BA20" i="9"/>
  <c r="AY154" i="9"/>
  <c r="AD37" i="9"/>
  <c r="AD38" i="9" s="1"/>
  <c r="AD43" i="9" s="1"/>
  <c r="AD393" i="9"/>
  <c r="AX154" i="9"/>
  <c r="DA123" i="1"/>
  <c r="BB123" i="1"/>
  <c r="BC123" i="1" s="1"/>
  <c r="AE58" i="9"/>
  <c r="AE45" i="9"/>
  <c r="AD58" i="9"/>
  <c r="AE37" i="9"/>
  <c r="AE38" i="9" s="1"/>
  <c r="AE43" i="9" s="1"/>
  <c r="AD45" i="9"/>
  <c r="AA467" i="1"/>
  <c r="AA468" i="1" s="1"/>
  <c r="AA469" i="1" s="1"/>
  <c r="AF223" i="9" l="1"/>
  <c r="AF227" i="9" s="1"/>
  <c r="AG223" i="9"/>
  <c r="AG227" i="9" s="1"/>
  <c r="AH220" i="9"/>
  <c r="AH221" i="9" s="1"/>
  <c r="AH222" i="9" s="1"/>
  <c r="AH223" i="9" s="1"/>
  <c r="AH227" i="9" s="1"/>
  <c r="AI219" i="9"/>
  <c r="AX161" i="9"/>
  <c r="AX163" i="9" s="1"/>
  <c r="AX165" i="9" s="1"/>
  <c r="BB149" i="9"/>
  <c r="BB147" i="9"/>
  <c r="BB152" i="9" s="1"/>
  <c r="BB34" i="9"/>
  <c r="BA152" i="9"/>
  <c r="BA153" i="9" s="1"/>
  <c r="BA154" i="9" s="1"/>
  <c r="AD400" i="9"/>
  <c r="AD62" i="9"/>
  <c r="AD401" i="9" s="1"/>
  <c r="AZ218" i="9"/>
  <c r="AZ181" i="9"/>
  <c r="BC151" i="9"/>
  <c r="BD148" i="9"/>
  <c r="BD145" i="9"/>
  <c r="BD147" i="9" s="1"/>
  <c r="BC147" i="9"/>
  <c r="BB214" i="9"/>
  <c r="BB161" i="9" s="1"/>
  <c r="BC214" i="9"/>
  <c r="BA216" i="9"/>
  <c r="BC177" i="9"/>
  <c r="BA179" i="9"/>
  <c r="BA181" i="9" s="1"/>
  <c r="BE397" i="9"/>
  <c r="BE34" i="9"/>
  <c r="BD397" i="9"/>
  <c r="BD34" i="9"/>
  <c r="AZ153" i="9"/>
  <c r="DB123" i="1"/>
  <c r="BD123" i="1"/>
  <c r="BE123" i="1" s="1"/>
  <c r="AE62" i="9"/>
  <c r="AE401" i="9" s="1"/>
  <c r="AE400" i="9"/>
  <c r="CZ92" i="1"/>
  <c r="AG69" i="9"/>
  <c r="AG53" i="9"/>
  <c r="AB19" i="17"/>
  <c r="AK219" i="9" l="1"/>
  <c r="AJ219" i="9"/>
  <c r="AJ220" i="9" s="1"/>
  <c r="AJ221" i="9" s="1"/>
  <c r="AI220" i="9"/>
  <c r="AI221" i="9" s="1"/>
  <c r="AI222" i="9" s="1"/>
  <c r="AI223" i="9" s="1"/>
  <c r="AI227" i="9" s="1"/>
  <c r="BB153" i="9"/>
  <c r="BB154" i="9" s="1"/>
  <c r="AZ154" i="9"/>
  <c r="BD149" i="9"/>
  <c r="BB179" i="9"/>
  <c r="BA161" i="9"/>
  <c r="BA163" i="9" s="1"/>
  <c r="BA165" i="9" s="1"/>
  <c r="BB163" i="9"/>
  <c r="BB165" i="9" s="1"/>
  <c r="BA218" i="9"/>
  <c r="BB218" i="9" s="1"/>
  <c r="BB216" i="9"/>
  <c r="BB181" i="9"/>
  <c r="AG410" i="9"/>
  <c r="AG405" i="9"/>
  <c r="BD214" i="9"/>
  <c r="BD216" i="9" s="1"/>
  <c r="BC216" i="9"/>
  <c r="BE145" i="9"/>
  <c r="BE148" i="9"/>
  <c r="BE151" i="9" s="1"/>
  <c r="BD151" i="9"/>
  <c r="BD152" i="9" s="1"/>
  <c r="BC179" i="9"/>
  <c r="BC161" i="9"/>
  <c r="BC163" i="9" s="1"/>
  <c r="BC165" i="9" s="1"/>
  <c r="BD177" i="9"/>
  <c r="BD179" i="9" s="1"/>
  <c r="BD181" i="9" s="1"/>
  <c r="BC152" i="9"/>
  <c r="BC149" i="9"/>
  <c r="BE147" i="9"/>
  <c r="DC123" i="1"/>
  <c r="BF123" i="1"/>
  <c r="BG123" i="1" s="1"/>
  <c r="AG396" i="9"/>
  <c r="AG391" i="9"/>
  <c r="AG73" i="9"/>
  <c r="AJ222" i="9" l="1"/>
  <c r="AJ223" i="9" s="1"/>
  <c r="AJ227" i="9" s="1"/>
  <c r="AK220" i="9"/>
  <c r="AK221" i="9" s="1"/>
  <c r="AK222" i="9" s="1"/>
  <c r="AK223" i="9" s="1"/>
  <c r="AK227" i="9" s="1"/>
  <c r="AL219" i="9"/>
  <c r="BE152" i="9"/>
  <c r="BE214" i="9"/>
  <c r="BE149" i="9"/>
  <c r="BE177" i="9"/>
  <c r="DD123" i="1"/>
  <c r="BH123" i="1"/>
  <c r="BI123" i="1" s="1"/>
  <c r="BC153" i="9"/>
  <c r="BC154" i="9" s="1"/>
  <c r="BC181" i="9"/>
  <c r="BE181" i="9" s="1"/>
  <c r="BE179" i="9"/>
  <c r="BD153" i="9"/>
  <c r="BD154" i="9" s="1"/>
  <c r="BD218" i="9"/>
  <c r="BE216" i="9"/>
  <c r="BC218" i="9"/>
  <c r="AF37" i="9"/>
  <c r="AG57" i="9"/>
  <c r="O72" i="7"/>
  <c r="AA14" i="17"/>
  <c r="A14" i="17"/>
  <c r="AL220" i="9" l="1"/>
  <c r="AL221" i="9" s="1"/>
  <c r="AL222" i="9" s="1"/>
  <c r="AN219" i="9"/>
  <c r="AM219" i="9"/>
  <c r="AM220" i="9" s="1"/>
  <c r="AM221" i="9" s="1"/>
  <c r="DE123" i="1"/>
  <c r="BJ123" i="1"/>
  <c r="BE161" i="9"/>
  <c r="BE163" i="9" s="1"/>
  <c r="BE165" i="9" s="1"/>
  <c r="BE218" i="9"/>
  <c r="BE153" i="9"/>
  <c r="BE154" i="9" s="1"/>
  <c r="AG37" i="9"/>
  <c r="AA143" i="1"/>
  <c r="AB143" i="1" s="1"/>
  <c r="AA115" i="1"/>
  <c r="AA52" i="1"/>
  <c r="AA54" i="1"/>
  <c r="AA713" i="1"/>
  <c r="AA665" i="1"/>
  <c r="AA677" i="1" s="1"/>
  <c r="Z663" i="1"/>
  <c r="AA614" i="1"/>
  <c r="AA610" i="1"/>
  <c r="AA611" i="1" s="1"/>
  <c r="AA612" i="1" s="1"/>
  <c r="AA571" i="1"/>
  <c r="AA152" i="1"/>
  <c r="AA524" i="1"/>
  <c r="Z507" i="1"/>
  <c r="AA507" i="1"/>
  <c r="Z479" i="1"/>
  <c r="Z450" i="1"/>
  <c r="AA415" i="1"/>
  <c r="Z415" i="1"/>
  <c r="Z381" i="1"/>
  <c r="Z318" i="1"/>
  <c r="AA318" i="1"/>
  <c r="Z388" i="1"/>
  <c r="CN190" i="1"/>
  <c r="CM262" i="1"/>
  <c r="CN262" i="1"/>
  <c r="CN254" i="1"/>
  <c r="CN249" i="1"/>
  <c r="CN244" i="1"/>
  <c r="CM254" i="1"/>
  <c r="CM249" i="1"/>
  <c r="CM244" i="1"/>
  <c r="CM234" i="1"/>
  <c r="CM237" i="1" s="1"/>
  <c r="CM238" i="1" s="1"/>
  <c r="CN234" i="1"/>
  <c r="CN237" i="1" s="1"/>
  <c r="CN238" i="1" s="1"/>
  <c r="Z254" i="1"/>
  <c r="Z249" i="1"/>
  <c r="Z244" i="1"/>
  <c r="Z209" i="1"/>
  <c r="Z208" i="1" s="1"/>
  <c r="Z205" i="1"/>
  <c r="Z197" i="1"/>
  <c r="AA196" i="1"/>
  <c r="AA58" i="1"/>
  <c r="Z191" i="1"/>
  <c r="Z185" i="1"/>
  <c r="AA184" i="1"/>
  <c r="Z171" i="1"/>
  <c r="Z165" i="1"/>
  <c r="Z159" i="1"/>
  <c r="Y125" i="1"/>
  <c r="AA103" i="1"/>
  <c r="AO219" i="9" l="1"/>
  <c r="AN220" i="9"/>
  <c r="AN221" i="9" s="1"/>
  <c r="AN222" i="9" s="1"/>
  <c r="AL223" i="9"/>
  <c r="AL227" i="9" s="1"/>
  <c r="AM222" i="9"/>
  <c r="AM223" i="9" s="1"/>
  <c r="AM227" i="9" s="1"/>
  <c r="BD161" i="9"/>
  <c r="BD163" i="9" s="1"/>
  <c r="BD165" i="9" s="1"/>
  <c r="BK123" i="1"/>
  <c r="AA60" i="1"/>
  <c r="CM259" i="1"/>
  <c r="CM260" i="1" s="1"/>
  <c r="CM261" i="1" s="1"/>
  <c r="CN259" i="1"/>
  <c r="CN260" i="1" s="1"/>
  <c r="AA202" i="1"/>
  <c r="AA204" i="1" s="1"/>
  <c r="AA670" i="1" s="1"/>
  <c r="AA186" i="1"/>
  <c r="AA55" i="1" s="1"/>
  <c r="AA198" i="1"/>
  <c r="AB252" i="1" s="1"/>
  <c r="CN184" i="1"/>
  <c r="CN196" i="1"/>
  <c r="AA584" i="1"/>
  <c r="Z203" i="1"/>
  <c r="CN197" i="1"/>
  <c r="CN185" i="1"/>
  <c r="CN191" i="1"/>
  <c r="AA116" i="1"/>
  <c r="AA53" i="1"/>
  <c r="AN223" i="9" l="1"/>
  <c r="AN227" i="9" s="1"/>
  <c r="AP219" i="9"/>
  <c r="AP220" i="9" s="1"/>
  <c r="AP221" i="9" s="1"/>
  <c r="AO220" i="9"/>
  <c r="AO221" i="9" s="1"/>
  <c r="AO222" i="9" s="1"/>
  <c r="AP222" i="9" s="1"/>
  <c r="AQ219" i="9"/>
  <c r="DF123" i="1"/>
  <c r="BL123" i="1"/>
  <c r="BM123" i="1" s="1"/>
  <c r="CN261" i="1"/>
  <c r="AB253" i="1"/>
  <c r="AA61" i="1"/>
  <c r="CS602" i="1"/>
  <c r="CS556" i="1"/>
  <c r="CS554" i="1"/>
  <c r="CS553" i="1"/>
  <c r="CS528" i="1"/>
  <c r="CS524" i="1"/>
  <c r="CS508" i="1"/>
  <c r="CS505" i="1"/>
  <c r="CS492" i="1"/>
  <c r="CS479" i="1"/>
  <c r="CS477" i="1"/>
  <c r="CS476" i="1"/>
  <c r="CS448" i="1"/>
  <c r="CS447" i="1"/>
  <c r="CS446" i="1"/>
  <c r="CS442" i="1"/>
  <c r="AO27" i="24" s="1"/>
  <c r="CS435" i="1"/>
  <c r="CS413" i="1"/>
  <c r="CS411" i="1"/>
  <c r="CS410" i="1"/>
  <c r="CS407" i="1"/>
  <c r="AO16" i="24" s="1"/>
  <c r="CS388" i="1"/>
  <c r="CS386" i="1"/>
  <c r="CS385" i="1"/>
  <c r="CS384" i="1"/>
  <c r="CS383" i="1"/>
  <c r="CS382" i="1"/>
  <c r="CS420" i="1" s="1"/>
  <c r="CS149" i="1"/>
  <c r="CS105" i="1"/>
  <c r="CS104" i="1"/>
  <c r="DG123" i="1" l="1"/>
  <c r="BN123" i="1"/>
  <c r="BO123" i="1" s="1"/>
  <c r="AO223" i="9"/>
  <c r="AO227" i="9" s="1"/>
  <c r="AP223" i="9"/>
  <c r="AP227" i="9" s="1"/>
  <c r="AQ220" i="9"/>
  <c r="AQ221" i="9" s="1"/>
  <c r="AR219" i="9"/>
  <c r="AS219" i="9" s="1"/>
  <c r="AS220" i="9" s="1"/>
  <c r="AS221" i="9" s="1"/>
  <c r="CS423" i="1"/>
  <c r="CS458" i="1" s="1"/>
  <c r="CS487" i="1" s="1"/>
  <c r="CS422" i="1"/>
  <c r="CS457" i="1" s="1"/>
  <c r="CS425" i="1"/>
  <c r="CS460" i="1" s="1"/>
  <c r="CS489" i="1" s="1"/>
  <c r="DH123" i="1" l="1"/>
  <c r="BP123" i="1"/>
  <c r="BQ123" i="1" s="1"/>
  <c r="DI123" i="1" s="1"/>
  <c r="AT219" i="9"/>
  <c r="AR220" i="9"/>
  <c r="AR221" i="9" s="1"/>
  <c r="AR222" i="9" s="1"/>
  <c r="AR223" i="9" s="1"/>
  <c r="AR227" i="9" s="1"/>
  <c r="AQ222" i="9"/>
  <c r="AQ223" i="9" s="1"/>
  <c r="AQ227" i="9" s="1"/>
  <c r="CS503" i="1"/>
  <c r="CS520" i="1"/>
  <c r="CS504" i="1"/>
  <c r="CS519" i="1"/>
  <c r="CS518" i="1"/>
  <c r="CS517" i="1"/>
  <c r="CS501" i="1"/>
  <c r="CS516" i="1"/>
  <c r="CS409" i="1"/>
  <c r="CS421" i="1" s="1"/>
  <c r="CS444" i="1"/>
  <c r="CS455" i="1" s="1"/>
  <c r="CS445" i="1"/>
  <c r="CS473" i="1"/>
  <c r="CS474" i="1"/>
  <c r="CS475" i="1"/>
  <c r="CS486" i="1" s="1"/>
  <c r="AS222" i="9" l="1"/>
  <c r="AS223" i="9" s="1"/>
  <c r="AS227" i="9" s="1"/>
  <c r="AT220" i="9"/>
  <c r="AT221" i="9" s="1"/>
  <c r="AU219" i="9"/>
  <c r="CS484" i="1"/>
  <c r="CS456" i="1"/>
  <c r="CS485" i="1" s="1"/>
  <c r="AU220" i="9" l="1"/>
  <c r="AU221" i="9" s="1"/>
  <c r="AW219" i="9"/>
  <c r="AV219" i="9"/>
  <c r="AV220" i="9" s="1"/>
  <c r="AV221" i="9" s="1"/>
  <c r="AT222" i="9"/>
  <c r="AT223" i="9" s="1"/>
  <c r="AT227" i="9" s="1"/>
  <c r="M566" i="1"/>
  <c r="AX219" i="9" l="1"/>
  <c r="AW220" i="9"/>
  <c r="AW221" i="9" s="1"/>
  <c r="AW222" i="9" s="1"/>
  <c r="AU222" i="9"/>
  <c r="AV222" i="9" s="1"/>
  <c r="AV223" i="9" s="1"/>
  <c r="AV227" i="9" s="1"/>
  <c r="AU223" i="9" l="1"/>
  <c r="AU227" i="9" s="1"/>
  <c r="AW223" i="9"/>
  <c r="AW227" i="9" s="1"/>
  <c r="AX220" i="9"/>
  <c r="AX221" i="9" s="1"/>
  <c r="AX222" i="9" s="1"/>
  <c r="AX223" i="9" s="1"/>
  <c r="AX227" i="9" s="1"/>
  <c r="AY219" i="9"/>
  <c r="AY220" i="9" s="1"/>
  <c r="AY221" i="9" s="1"/>
  <c r="AZ219" i="9"/>
  <c r="F3" i="14"/>
  <c r="F2" i="14"/>
  <c r="BA219" i="9" l="1"/>
  <c r="AZ220" i="9"/>
  <c r="AZ221" i="9" s="1"/>
  <c r="AZ222" i="9" s="1"/>
  <c r="AZ223" i="9" s="1"/>
  <c r="AZ227" i="9" s="1"/>
  <c r="AY222" i="9"/>
  <c r="AY223" i="9" s="1"/>
  <c r="AY227" i="9" s="1"/>
  <c r="CM593" i="1"/>
  <c r="CL593" i="1"/>
  <c r="CK593" i="1"/>
  <c r="CJ593" i="1"/>
  <c r="CI593" i="1"/>
  <c r="CH593" i="1"/>
  <c r="CG593" i="1"/>
  <c r="CF593" i="1"/>
  <c r="CE593" i="1"/>
  <c r="CD593" i="1"/>
  <c r="CC593" i="1"/>
  <c r="CM592" i="1"/>
  <c r="CL592" i="1"/>
  <c r="CK592" i="1"/>
  <c r="CJ592" i="1"/>
  <c r="CI592" i="1"/>
  <c r="CH592" i="1"/>
  <c r="CG592" i="1"/>
  <c r="CF592" i="1"/>
  <c r="CE592" i="1"/>
  <c r="CD592" i="1"/>
  <c r="CC592" i="1"/>
  <c r="CM591" i="1"/>
  <c r="CL591" i="1"/>
  <c r="CK591" i="1"/>
  <c r="CJ591" i="1"/>
  <c r="CI591" i="1"/>
  <c r="CH591" i="1"/>
  <c r="CG591" i="1"/>
  <c r="CF591" i="1"/>
  <c r="CE591" i="1"/>
  <c r="CD591" i="1"/>
  <c r="CC591" i="1"/>
  <c r="BC219" i="9" l="1"/>
  <c r="BA220" i="9"/>
  <c r="BA221" i="9" s="1"/>
  <c r="BA222" i="9" s="1"/>
  <c r="BB222" i="9" s="1"/>
  <c r="BB219" i="9"/>
  <c r="BB220" i="9" s="1"/>
  <c r="BB221" i="9" s="1"/>
  <c r="P9" i="17"/>
  <c r="Q9" i="17" s="1"/>
  <c r="R9" i="17" s="1"/>
  <c r="S9" i="17" s="1"/>
  <c r="T9" i="17" s="1"/>
  <c r="U9" i="17" s="1"/>
  <c r="V9" i="17" s="1"/>
  <c r="W9" i="17" s="1"/>
  <c r="X9" i="17" s="1"/>
  <c r="Y9" i="17" s="1"/>
  <c r="Z9" i="17" s="1"/>
  <c r="AA9" i="17" s="1"/>
  <c r="P7" i="17"/>
  <c r="P8" i="17"/>
  <c r="Q8" i="17" s="1"/>
  <c r="R8" i="17" s="1"/>
  <c r="S8" i="17" s="1"/>
  <c r="T8" i="17" s="1"/>
  <c r="U8" i="17" s="1"/>
  <c r="V8" i="17" s="1"/>
  <c r="W8" i="17" s="1"/>
  <c r="X8" i="17" s="1"/>
  <c r="Y8" i="17" s="1"/>
  <c r="Z8" i="17" s="1"/>
  <c r="AA8" i="17" s="1"/>
  <c r="BA223" i="9" l="1"/>
  <c r="BA227" i="9" s="1"/>
  <c r="BB223" i="9"/>
  <c r="BB227" i="9" s="1"/>
  <c r="BD219" i="9"/>
  <c r="BC220" i="9"/>
  <c r="BC221" i="9" s="1"/>
  <c r="BC222" i="9" s="1"/>
  <c r="BC223" i="9" s="1"/>
  <c r="BC227" i="9" s="1"/>
  <c r="Q7" i="17"/>
  <c r="P10" i="17"/>
  <c r="CG701" i="1"/>
  <c r="CH701" i="1"/>
  <c r="CI701" i="1"/>
  <c r="CJ701" i="1"/>
  <c r="CK701" i="1"/>
  <c r="CL701" i="1"/>
  <c r="CM701" i="1"/>
  <c r="CJ700" i="1"/>
  <c r="CL262" i="1"/>
  <c r="CJ197" i="1"/>
  <c r="CI197" i="1"/>
  <c r="CH197" i="1"/>
  <c r="CG197" i="1"/>
  <c r="CF197" i="1"/>
  <c r="CJ196" i="1"/>
  <c r="CI196" i="1"/>
  <c r="CH196" i="1"/>
  <c r="CG196" i="1"/>
  <c r="CF196" i="1"/>
  <c r="CG249" i="1"/>
  <c r="CG244" i="1"/>
  <c r="CH249" i="1"/>
  <c r="CH244" i="1"/>
  <c r="CI249" i="1"/>
  <c r="CI244" i="1"/>
  <c r="CJ249" i="1"/>
  <c r="CJ244" i="1"/>
  <c r="CK254" i="1"/>
  <c r="CK249" i="1"/>
  <c r="CK244" i="1"/>
  <c r="CL254" i="1"/>
  <c r="CL249" i="1"/>
  <c r="CL244" i="1"/>
  <c r="CG239" i="1"/>
  <c r="CG262" i="1" s="1"/>
  <c r="CG219" i="1"/>
  <c r="CG224" i="1"/>
  <c r="CH239" i="1"/>
  <c r="CH262" i="1" s="1"/>
  <c r="CH219" i="1"/>
  <c r="CH224" i="1"/>
  <c r="CI239" i="1"/>
  <c r="CI262" i="1" s="1"/>
  <c r="CI219" i="1"/>
  <c r="CI224" i="1"/>
  <c r="CJ239" i="1"/>
  <c r="CJ262" i="1" s="1"/>
  <c r="CJ219" i="1"/>
  <c r="CJ224" i="1"/>
  <c r="CK219" i="1"/>
  <c r="CK229" i="1"/>
  <c r="CK224" i="1"/>
  <c r="CK239" i="1"/>
  <c r="CK262" i="1" s="1"/>
  <c r="BD220" i="9" l="1"/>
  <c r="BD221" i="9" s="1"/>
  <c r="BD222" i="9" s="1"/>
  <c r="BD223" i="9" s="1"/>
  <c r="BD227" i="9" s="1"/>
  <c r="BE219" i="9"/>
  <c r="BE220" i="9" s="1"/>
  <c r="BE221" i="9" s="1"/>
  <c r="CK234" i="1"/>
  <c r="CK259" i="1"/>
  <c r="CK260" i="1" s="1"/>
  <c r="Q10" i="17"/>
  <c r="R7" i="17"/>
  <c r="CL259" i="1"/>
  <c r="CL260" i="1" s="1"/>
  <c r="CL261" i="1" s="1"/>
  <c r="CL234" i="1"/>
  <c r="CL237" i="1" s="1"/>
  <c r="BE222" i="9" l="1"/>
  <c r="BE223" i="9" s="1"/>
  <c r="BE227" i="9" s="1"/>
  <c r="CK261" i="1"/>
  <c r="CL238" i="1"/>
  <c r="S7" i="17"/>
  <c r="R10" i="17"/>
  <c r="T7" i="17" l="1"/>
  <c r="S10" i="17"/>
  <c r="CM707" i="1"/>
  <c r="CL707" i="1"/>
  <c r="CK707" i="1"/>
  <c r="CJ707" i="1"/>
  <c r="CI707" i="1"/>
  <c r="CH707" i="1"/>
  <c r="CG707" i="1"/>
  <c r="CM705" i="1"/>
  <c r="CL705" i="1"/>
  <c r="CK705" i="1"/>
  <c r="CJ705" i="1"/>
  <c r="CI705" i="1"/>
  <c r="CH705" i="1"/>
  <c r="CG705" i="1"/>
  <c r="CF681" i="1"/>
  <c r="CE681" i="1"/>
  <c r="CD681" i="1"/>
  <c r="CC681" i="1"/>
  <c r="CF680" i="1"/>
  <c r="CE680" i="1"/>
  <c r="CD680" i="1"/>
  <c r="CC680" i="1"/>
  <c r="CF679" i="1"/>
  <c r="CE679" i="1"/>
  <c r="CD679" i="1"/>
  <c r="CC679" i="1"/>
  <c r="CF678" i="1"/>
  <c r="CE678" i="1"/>
  <c r="CD678" i="1"/>
  <c r="CC678" i="1"/>
  <c r="CF677" i="1"/>
  <c r="CE677" i="1"/>
  <c r="CD677" i="1"/>
  <c r="CC677" i="1"/>
  <c r="AA707" i="1"/>
  <c r="CN707" i="1" s="1"/>
  <c r="T10" i="17" l="1"/>
  <c r="U7" i="17"/>
  <c r="AB707" i="1"/>
  <c r="Z827" i="1"/>
  <c r="Y827" i="1"/>
  <c r="X827" i="1"/>
  <c r="W827" i="1"/>
  <c r="V827" i="1"/>
  <c r="U827" i="1"/>
  <c r="T827" i="1"/>
  <c r="S827" i="1"/>
  <c r="R827" i="1"/>
  <c r="Q827" i="1"/>
  <c r="P827" i="1"/>
  <c r="O827" i="1"/>
  <c r="N827" i="1"/>
  <c r="M827" i="1"/>
  <c r="Z824" i="1"/>
  <c r="Y824" i="1"/>
  <c r="X824" i="1"/>
  <c r="W824" i="1"/>
  <c r="V824" i="1"/>
  <c r="U824" i="1"/>
  <c r="T824" i="1"/>
  <c r="S824" i="1"/>
  <c r="R824" i="1"/>
  <c r="Q824" i="1"/>
  <c r="P824" i="1"/>
  <c r="O824" i="1"/>
  <c r="N824" i="1"/>
  <c r="M824" i="1"/>
  <c r="Z821" i="1"/>
  <c r="Y821" i="1"/>
  <c r="X821" i="1"/>
  <c r="W821" i="1"/>
  <c r="V821" i="1"/>
  <c r="U821" i="1"/>
  <c r="T821" i="1"/>
  <c r="S821" i="1"/>
  <c r="R821" i="1"/>
  <c r="Q821" i="1"/>
  <c r="P821" i="1"/>
  <c r="O821" i="1"/>
  <c r="N821" i="1"/>
  <c r="M821" i="1"/>
  <c r="CC123" i="1"/>
  <c r="CD123" i="1"/>
  <c r="CE123" i="1"/>
  <c r="CF123" i="1"/>
  <c r="CG123" i="1"/>
  <c r="CH123" i="1"/>
  <c r="CI123" i="1"/>
  <c r="CJ123" i="1"/>
  <c r="CK123" i="1"/>
  <c r="CL123" i="1"/>
  <c r="CM123" i="1"/>
  <c r="CN123" i="1"/>
  <c r="Z584" i="1"/>
  <c r="Z602" i="1" s="1"/>
  <c r="V7" i="17" l="1"/>
  <c r="U10" i="17"/>
  <c r="AC707" i="1"/>
  <c r="AD707" i="1" s="1"/>
  <c r="AE707" i="1" s="1"/>
  <c r="AF707" i="1" s="1"/>
  <c r="AG707" i="1" s="1"/>
  <c r="O75" i="7"/>
  <c r="O70" i="7"/>
  <c r="P74" i="7"/>
  <c r="O74" i="7"/>
  <c r="P73" i="7"/>
  <c r="O73" i="7"/>
  <c r="G6" i="7"/>
  <c r="G7" i="7" s="1"/>
  <c r="AH707" i="1" l="1"/>
  <c r="G8" i="7"/>
  <c r="V10" i="17"/>
  <c r="W7" i="17"/>
  <c r="CO707" i="1"/>
  <c r="AI707" i="1" l="1"/>
  <c r="AJ707" i="1" s="1"/>
  <c r="AK707" i="1" s="1"/>
  <c r="AL707" i="1" s="1"/>
  <c r="AM707" i="1" s="1"/>
  <c r="AN707" i="1" s="1"/>
  <c r="AO707" i="1" s="1"/>
  <c r="AP707" i="1" s="1"/>
  <c r="AQ707" i="1" s="1"/>
  <c r="AR707" i="1" s="1"/>
  <c r="AS707" i="1" s="1"/>
  <c r="AT707" i="1" s="1"/>
  <c r="AU707" i="1" s="1"/>
  <c r="AV707" i="1" s="1"/>
  <c r="AW707" i="1" s="1"/>
  <c r="AX707" i="1" s="1"/>
  <c r="CR707" i="1"/>
  <c r="CO123" i="1"/>
  <c r="X7" i="17"/>
  <c r="W10" i="17"/>
  <c r="CP707" i="1"/>
  <c r="CP123" i="1"/>
  <c r="CS707" i="1" l="1"/>
  <c r="Y7" i="17"/>
  <c r="X10" i="17"/>
  <c r="CQ707" i="1"/>
  <c r="CQ123" i="1"/>
  <c r="Z7" i="17" l="1"/>
  <c r="Y10" i="17"/>
  <c r="CR123" i="1"/>
  <c r="CS123" i="1"/>
  <c r="O71" i="7"/>
  <c r="M661" i="1"/>
  <c r="N661" i="1"/>
  <c r="O661" i="1"/>
  <c r="P661" i="1"/>
  <c r="Q661" i="1"/>
  <c r="R661" i="1"/>
  <c r="S661" i="1"/>
  <c r="T661" i="1"/>
  <c r="U661" i="1"/>
  <c r="V661" i="1"/>
  <c r="W661" i="1"/>
  <c r="X661" i="1"/>
  <c r="Y661" i="1"/>
  <c r="Z661" i="1"/>
  <c r="AA702" i="1" s="1"/>
  <c r="M451" i="1"/>
  <c r="M139" i="1"/>
  <c r="AA7" i="17" l="1"/>
  <c r="AA10" i="17" s="1"/>
  <c r="AB10" i="17" s="1"/>
  <c r="AB30" i="17" s="1"/>
  <c r="Z10" i="17"/>
  <c r="R523" i="1" l="1"/>
  <c r="R506" i="1"/>
  <c r="R414" i="1"/>
  <c r="M701" i="1"/>
  <c r="O701" i="1"/>
  <c r="P701" i="1"/>
  <c r="Q701" i="1"/>
  <c r="R701" i="1"/>
  <c r="S701" i="1"/>
  <c r="T701" i="1"/>
  <c r="U701" i="1"/>
  <c r="V701" i="1"/>
  <c r="W701" i="1"/>
  <c r="X701" i="1"/>
  <c r="Y701" i="1"/>
  <c r="P467" i="1"/>
  <c r="Q467" i="1"/>
  <c r="P610" i="1"/>
  <c r="M606" i="1"/>
  <c r="M562" i="1"/>
  <c r="M598" i="1"/>
  <c r="M665" i="1"/>
  <c r="M663" i="1"/>
  <c r="N697" i="1"/>
  <c r="N701" i="1" s="1"/>
  <c r="N665" i="1"/>
  <c r="N663" i="1"/>
  <c r="O665" i="1"/>
  <c r="O663" i="1"/>
  <c r="P665" i="1"/>
  <c r="Q665" i="1"/>
  <c r="P663" i="1"/>
  <c r="Q663" i="1"/>
  <c r="M576" i="1"/>
  <c r="M571" i="1"/>
  <c r="O606" i="1"/>
  <c r="N606" i="1"/>
  <c r="N598" i="1"/>
  <c r="CH579" i="1"/>
  <c r="N78" i="7" l="1"/>
  <c r="N80" i="7"/>
  <c r="N79" i="7"/>
  <c r="N81" i="7"/>
  <c r="O598" i="1"/>
  <c r="N584" i="1"/>
  <c r="P584" i="1"/>
  <c r="P602" i="1" s="1"/>
  <c r="O584" i="1"/>
  <c r="N553" i="1"/>
  <c r="O553" i="1"/>
  <c r="Q610" i="1"/>
  <c r="Q611" i="1" s="1"/>
  <c r="P611" i="1"/>
  <c r="P612" i="1" s="1"/>
  <c r="P553" i="1"/>
  <c r="Q553" i="1"/>
  <c r="M537" i="1"/>
  <c r="M535" i="1"/>
  <c r="N537" i="1"/>
  <c r="O537" i="1"/>
  <c r="N535" i="1"/>
  <c r="O535" i="1"/>
  <c r="M526" i="1"/>
  <c r="N526" i="1"/>
  <c r="O526" i="1"/>
  <c r="M509" i="1"/>
  <c r="M524" i="1"/>
  <c r="M506" i="1"/>
  <c r="N451" i="1"/>
  <c r="N506" i="1"/>
  <c r="O506" i="1"/>
  <c r="N524" i="1"/>
  <c r="O524" i="1"/>
  <c r="N509" i="1"/>
  <c r="O509" i="1"/>
  <c r="P526" i="1"/>
  <c r="Q526" i="1"/>
  <c r="Q523" i="1"/>
  <c r="P524" i="1"/>
  <c r="Q524" i="1"/>
  <c r="P509" i="1"/>
  <c r="P497" i="1"/>
  <c r="P506" i="1"/>
  <c r="Q506" i="1"/>
  <c r="Q509" i="1"/>
  <c r="M470" i="1"/>
  <c r="N470" i="1"/>
  <c r="O470" i="1"/>
  <c r="P470" i="1"/>
  <c r="P468" i="1" s="1"/>
  <c r="Q470" i="1"/>
  <c r="Q468" i="1" s="1"/>
  <c r="CT707" i="1" l="1"/>
  <c r="P826" i="1"/>
  <c r="P820" i="1"/>
  <c r="P823" i="1"/>
  <c r="M433" i="1"/>
  <c r="N433" i="1"/>
  <c r="O451" i="1"/>
  <c r="O433" i="1"/>
  <c r="P433" i="1"/>
  <c r="CU707" i="1" l="1"/>
  <c r="Q433" i="1"/>
  <c r="P432" i="1"/>
  <c r="R433" i="1"/>
  <c r="CV707" i="1" l="1"/>
  <c r="M400" i="1"/>
  <c r="M414" i="1"/>
  <c r="N414" i="1"/>
  <c r="M416" i="1"/>
  <c r="N416" i="1"/>
  <c r="O416" i="1"/>
  <c r="O414" i="1"/>
  <c r="P414" i="1"/>
  <c r="P416" i="1"/>
  <c r="Q416" i="1"/>
  <c r="R416" i="1"/>
  <c r="Q414" i="1"/>
  <c r="CW707" i="1" l="1"/>
  <c r="P537" i="1"/>
  <c r="Q537" i="1"/>
  <c r="P535" i="1"/>
  <c r="Q535" i="1"/>
  <c r="CX707" i="1" l="1"/>
  <c r="CF191" i="1"/>
  <c r="CF190" i="1"/>
  <c r="CF185" i="1"/>
  <c r="CF184" i="1"/>
  <c r="M249" i="1"/>
  <c r="M244" i="1"/>
  <c r="M239" i="1"/>
  <c r="M219" i="1"/>
  <c r="M224" i="1"/>
  <c r="N249" i="1"/>
  <c r="N244" i="1"/>
  <c r="O244" i="1"/>
  <c r="N239" i="1"/>
  <c r="N219" i="1"/>
  <c r="N224" i="1"/>
  <c r="O249" i="1"/>
  <c r="P249" i="1"/>
  <c r="P244" i="1"/>
  <c r="O239" i="1"/>
  <c r="O219" i="1"/>
  <c r="P219" i="1"/>
  <c r="Q249" i="1"/>
  <c r="P239" i="1"/>
  <c r="P224" i="1"/>
  <c r="Q244" i="1" l="1"/>
  <c r="Q239" i="1"/>
  <c r="Q224" i="1"/>
  <c r="Q219" i="1"/>
  <c r="M210" i="1"/>
  <c r="N209" i="1"/>
  <c r="O209" i="1"/>
  <c r="P209" i="1"/>
  <c r="Q209" i="1"/>
  <c r="R209" i="1"/>
  <c r="M191" i="1"/>
  <c r="CG191" i="1" s="1"/>
  <c r="M185" i="1"/>
  <c r="CG185" i="1" s="1"/>
  <c r="N191" i="1"/>
  <c r="M190" i="1"/>
  <c r="CG190" i="1" s="1"/>
  <c r="M184" i="1"/>
  <c r="CG184" i="1" s="1"/>
  <c r="O191" i="1"/>
  <c r="CH191" i="1" s="1"/>
  <c r="N190" i="1"/>
  <c r="O185" i="1"/>
  <c r="CH185" i="1" s="1"/>
  <c r="N187" i="1"/>
  <c r="N185" i="1" s="1"/>
  <c r="N184" i="1"/>
  <c r="P191" i="1"/>
  <c r="O190" i="1"/>
  <c r="CH190" i="1" s="1"/>
  <c r="P185" i="1"/>
  <c r="O184" i="1"/>
  <c r="CH184" i="1" s="1"/>
  <c r="Q191" i="1"/>
  <c r="CI191" i="1" s="1"/>
  <c r="P190" i="1"/>
  <c r="Q185" i="1"/>
  <c r="CI185" i="1" s="1"/>
  <c r="P184" i="1"/>
  <c r="Q190" i="1"/>
  <c r="CI190" i="1" s="1"/>
  <c r="R191" i="1"/>
  <c r="Q184" i="1"/>
  <c r="CI184" i="1" s="1"/>
  <c r="CY707" i="1" l="1"/>
  <c r="AY707" i="1" l="1"/>
  <c r="AZ707" i="1" s="1"/>
  <c r="M125" i="1"/>
  <c r="CG125" i="1" s="1"/>
  <c r="N125" i="1"/>
  <c r="N814" i="1" s="1"/>
  <c r="O125" i="1"/>
  <c r="CH125" i="1" s="1"/>
  <c r="P125" i="1"/>
  <c r="P814" i="1" s="1"/>
  <c r="Q125" i="1"/>
  <c r="Q814" i="1" s="1"/>
  <c r="CC508" i="1"/>
  <c r="Z215" i="1"/>
  <c r="Y215" i="1"/>
  <c r="S665" i="1"/>
  <c r="CJ665" i="1" s="1"/>
  <c r="R665" i="1"/>
  <c r="S663" i="1"/>
  <c r="CJ663" i="1" s="1"/>
  <c r="R663" i="1"/>
  <c r="R610" i="1"/>
  <c r="R611" i="1" s="1"/>
  <c r="R612" i="1" s="1"/>
  <c r="S610" i="1"/>
  <c r="S611" i="1" s="1"/>
  <c r="S612" i="1" s="1"/>
  <c r="CJ612" i="1" s="1"/>
  <c r="S584" i="1"/>
  <c r="R537" i="1"/>
  <c r="S537" i="1"/>
  <c r="S634" i="1" s="1"/>
  <c r="R535" i="1"/>
  <c r="S535" i="1"/>
  <c r="S633" i="1" s="1"/>
  <c r="R526" i="1"/>
  <c r="R621" i="1" s="1"/>
  <c r="S526" i="1"/>
  <c r="S621" i="1" s="1"/>
  <c r="S416" i="1"/>
  <c r="R524" i="1"/>
  <c r="R627" i="1" s="1"/>
  <c r="S524" i="1"/>
  <c r="S523" i="1"/>
  <c r="CJ523" i="1" s="1"/>
  <c r="T524" i="1"/>
  <c r="T627" i="1" s="1"/>
  <c r="S506" i="1"/>
  <c r="CJ506" i="1" s="1"/>
  <c r="R509" i="1"/>
  <c r="R507" i="1" s="1"/>
  <c r="S509" i="1"/>
  <c r="R470" i="1"/>
  <c r="R468" i="1" s="1"/>
  <c r="R469" i="1" s="1"/>
  <c r="S470" i="1"/>
  <c r="S467" i="1"/>
  <c r="CJ467" i="1" s="1"/>
  <c r="S433" i="1"/>
  <c r="CJ433" i="1" s="1"/>
  <c r="S414" i="1"/>
  <c r="CJ414" i="1" s="1"/>
  <c r="R267" i="1"/>
  <c r="Q266" i="1"/>
  <c r="P266" i="1"/>
  <c r="O266" i="1"/>
  <c r="N266" i="1"/>
  <c r="M266" i="1"/>
  <c r="R249" i="1"/>
  <c r="R244" i="1"/>
  <c r="S249" i="1"/>
  <c r="S244" i="1"/>
  <c r="T244" i="1"/>
  <c r="T249" i="1"/>
  <c r="R239" i="1"/>
  <c r="R696" i="1" s="1"/>
  <c r="R219" i="1"/>
  <c r="R215" i="1" s="1"/>
  <c r="S239" i="1"/>
  <c r="S696" i="1" s="1"/>
  <c r="S219" i="1"/>
  <c r="S215" i="1" s="1"/>
  <c r="S224" i="1"/>
  <c r="S222" i="1" s="1"/>
  <c r="R224" i="1"/>
  <c r="R222" i="1" s="1"/>
  <c r="S209" i="1"/>
  <c r="CJ209" i="1" s="1"/>
  <c r="S191" i="1"/>
  <c r="CJ191" i="1" s="1"/>
  <c r="R190" i="1"/>
  <c r="S190" i="1"/>
  <c r="CJ190" i="1" s="1"/>
  <c r="S185" i="1"/>
  <c r="R185" i="1"/>
  <c r="S184" i="1"/>
  <c r="R184" i="1"/>
  <c r="X158" i="1"/>
  <c r="Y158" i="1"/>
  <c r="R125" i="1"/>
  <c r="R814" i="1" s="1"/>
  <c r="S125" i="1"/>
  <c r="CJ125" i="1" s="1"/>
  <c r="S103" i="1"/>
  <c r="S434" i="1" s="1"/>
  <c r="S104" i="1"/>
  <c r="CJ104" i="1" s="1"/>
  <c r="U665" i="1"/>
  <c r="CK665" i="1" s="1"/>
  <c r="T665" i="1"/>
  <c r="U663" i="1"/>
  <c r="CK663" i="1" s="1"/>
  <c r="T663" i="1"/>
  <c r="U610" i="1"/>
  <c r="U611" i="1" s="1"/>
  <c r="T610" i="1"/>
  <c r="T611" i="1" s="1"/>
  <c r="T612" i="1" s="1"/>
  <c r="T817" i="1" s="1"/>
  <c r="T584" i="1"/>
  <c r="T602" i="1" s="1"/>
  <c r="CK583" i="1"/>
  <c r="U537" i="1"/>
  <c r="U634" i="1" s="1"/>
  <c r="T537" i="1"/>
  <c r="T634" i="1" s="1"/>
  <c r="T535" i="1"/>
  <c r="T633" i="1" s="1"/>
  <c r="U535" i="1"/>
  <c r="U633" i="1" s="1"/>
  <c r="T526" i="1"/>
  <c r="T621" i="1" s="1"/>
  <c r="U526" i="1"/>
  <c r="T523" i="1"/>
  <c r="CK523" i="1" s="1"/>
  <c r="U524" i="1"/>
  <c r="T509" i="1"/>
  <c r="U509" i="1"/>
  <c r="T506" i="1"/>
  <c r="U506" i="1"/>
  <c r="T470" i="1"/>
  <c r="T468" i="1" s="1"/>
  <c r="T469" i="1" s="1"/>
  <c r="U470" i="1"/>
  <c r="U468" i="1" s="1"/>
  <c r="U469" i="1" s="1"/>
  <c r="T433" i="1"/>
  <c r="U433" i="1"/>
  <c r="T416" i="1"/>
  <c r="U416" i="1"/>
  <c r="T414" i="1"/>
  <c r="U414" i="1"/>
  <c r="U254" i="1"/>
  <c r="U249" i="1"/>
  <c r="U244" i="1"/>
  <c r="T254" i="1"/>
  <c r="U239" i="1"/>
  <c r="U262" i="1" s="1"/>
  <c r="T239" i="1"/>
  <c r="T696" i="1" s="1"/>
  <c r="U219" i="1"/>
  <c r="U234" i="1" s="1"/>
  <c r="U237" i="1" s="1"/>
  <c r="T219" i="1"/>
  <c r="T215" i="1" s="1"/>
  <c r="U209" i="1"/>
  <c r="T209" i="1"/>
  <c r="T208" i="1" s="1"/>
  <c r="T152" i="1" s="1"/>
  <c r="U197" i="1"/>
  <c r="CK197" i="1" s="1"/>
  <c r="T197" i="1"/>
  <c r="U196" i="1"/>
  <c r="CK196" i="1" s="1"/>
  <c r="T196" i="1"/>
  <c r="U191" i="1"/>
  <c r="T191" i="1"/>
  <c r="U190" i="1"/>
  <c r="CK190" i="1" s="1"/>
  <c r="T190" i="1"/>
  <c r="U185" i="1"/>
  <c r="T185" i="1"/>
  <c r="U184" i="1"/>
  <c r="CK184" i="1" s="1"/>
  <c r="T184" i="1"/>
  <c r="U125" i="1"/>
  <c r="CK125" i="1" s="1"/>
  <c r="T125" i="1"/>
  <c r="T814" i="1" s="1"/>
  <c r="T103" i="1"/>
  <c r="U105" i="1"/>
  <c r="T105" i="1"/>
  <c r="U103" i="1"/>
  <c r="W665" i="1"/>
  <c r="CL665" i="1" s="1"/>
  <c r="V665" i="1"/>
  <c r="W663" i="1"/>
  <c r="CL663" i="1" s="1"/>
  <c r="V663" i="1"/>
  <c r="W610" i="1"/>
  <c r="W611" i="1" s="1"/>
  <c r="CL611" i="1" s="1"/>
  <c r="V610" i="1"/>
  <c r="V611" i="1" s="1"/>
  <c r="V612" i="1" s="1"/>
  <c r="V584" i="1"/>
  <c r="V602" i="1" s="1"/>
  <c r="V626" i="1"/>
  <c r="W537" i="1"/>
  <c r="CL537" i="1" s="1"/>
  <c r="W535" i="1"/>
  <c r="CL535" i="1" s="1"/>
  <c r="X526" i="1"/>
  <c r="CM526" i="1" s="1"/>
  <c r="W526" i="1"/>
  <c r="W621" i="1" s="1"/>
  <c r="V526" i="1"/>
  <c r="V621" i="1" s="1"/>
  <c r="V416" i="1"/>
  <c r="V209" i="1"/>
  <c r="V208" i="1" s="1"/>
  <c r="V197" i="1"/>
  <c r="V196" i="1"/>
  <c r="V191" i="1"/>
  <c r="V190" i="1"/>
  <c r="V185" i="1"/>
  <c r="V184" i="1"/>
  <c r="V125" i="1"/>
  <c r="V814" i="1" s="1"/>
  <c r="V105" i="1"/>
  <c r="W105" i="1"/>
  <c r="V103" i="1"/>
  <c r="V524" i="1"/>
  <c r="W524" i="1"/>
  <c r="W627" i="1" s="1"/>
  <c r="V509" i="1"/>
  <c r="W509" i="1"/>
  <c r="V506" i="1"/>
  <c r="W506" i="1"/>
  <c r="V470" i="1"/>
  <c r="W470" i="1"/>
  <c r="W467" i="1"/>
  <c r="CL467" i="1" s="1"/>
  <c r="V433" i="1"/>
  <c r="W433" i="1" s="1"/>
  <c r="W432" i="1"/>
  <c r="CL432" i="1" s="1"/>
  <c r="W400" i="1"/>
  <c r="CL400" i="1" s="1"/>
  <c r="W399" i="1"/>
  <c r="CL399" i="1" s="1"/>
  <c r="W398" i="1"/>
  <c r="CL398" i="1" s="1"/>
  <c r="W397" i="1"/>
  <c r="CL397" i="1" s="1"/>
  <c r="W396" i="1"/>
  <c r="CL396" i="1" s="1"/>
  <c r="W389" i="1"/>
  <c r="W388" i="1" s="1"/>
  <c r="V387" i="1"/>
  <c r="V414" i="1" s="1"/>
  <c r="W244" i="1"/>
  <c r="W254" i="1"/>
  <c r="W249" i="1"/>
  <c r="W209" i="1"/>
  <c r="W208" i="1" s="1"/>
  <c r="W196" i="1"/>
  <c r="CL196" i="1" s="1"/>
  <c r="W197" i="1"/>
  <c r="CL197" i="1" s="1"/>
  <c r="W190" i="1"/>
  <c r="CL190" i="1" s="1"/>
  <c r="W191" i="1"/>
  <c r="CL191" i="1" s="1"/>
  <c r="W185" i="1"/>
  <c r="CL185" i="1" s="1"/>
  <c r="W184" i="1"/>
  <c r="W125" i="1"/>
  <c r="W814" i="1" s="1"/>
  <c r="Y663" i="1"/>
  <c r="CM663" i="1" s="1"/>
  <c r="X663" i="1"/>
  <c r="Z665" i="1"/>
  <c r="Y665" i="1"/>
  <c r="X665" i="1"/>
  <c r="Y141" i="1"/>
  <c r="Y143" i="1" s="1"/>
  <c r="Z141" i="1"/>
  <c r="Z143" i="1" s="1"/>
  <c r="Y139" i="1"/>
  <c r="Z139" i="1"/>
  <c r="CN139" i="1" s="1"/>
  <c r="Y735" i="1"/>
  <c r="Y762" i="1" s="1"/>
  <c r="Z735" i="1"/>
  <c r="Z762" i="1" s="1"/>
  <c r="Y737" i="1"/>
  <c r="Y763" i="1" s="1"/>
  <c r="Z737" i="1"/>
  <c r="Z763" i="1" s="1"/>
  <c r="Y815" i="1"/>
  <c r="Z815" i="1"/>
  <c r="Y818" i="1"/>
  <c r="Z818" i="1"/>
  <c r="Y839" i="1"/>
  <c r="Y633" i="1"/>
  <c r="Z633" i="1"/>
  <c r="Y634" i="1"/>
  <c r="Z634" i="1"/>
  <c r="Z610" i="1"/>
  <c r="Z611" i="1" s="1"/>
  <c r="Z612" i="1" s="1"/>
  <c r="Y610" i="1"/>
  <c r="Y611" i="1" s="1"/>
  <c r="X610" i="1"/>
  <c r="X611" i="1" s="1"/>
  <c r="Y599" i="1"/>
  <c r="CM599" i="1" s="1"/>
  <c r="Z599" i="1"/>
  <c r="Z603" i="1" s="1"/>
  <c r="CM583" i="1"/>
  <c r="X584" i="1"/>
  <c r="Y588" i="1"/>
  <c r="CM588" i="1" s="1"/>
  <c r="Z588" i="1"/>
  <c r="Y589" i="1"/>
  <c r="CM589" i="1" s="1"/>
  <c r="Z589" i="1"/>
  <c r="X537" i="1"/>
  <c r="CM537" i="1" s="1"/>
  <c r="X535" i="1"/>
  <c r="CM535" i="1" s="1"/>
  <c r="Z621" i="1"/>
  <c r="Y621" i="1"/>
  <c r="Z524" i="1"/>
  <c r="CN524" i="1" s="1"/>
  <c r="Y524" i="1"/>
  <c r="Y627" i="1" s="1"/>
  <c r="X523" i="1"/>
  <c r="CM523" i="1" s="1"/>
  <c r="X524" i="1"/>
  <c r="Y509" i="1"/>
  <c r="Y506" i="1"/>
  <c r="X506" i="1"/>
  <c r="X509" i="1"/>
  <c r="Y501" i="1"/>
  <c r="Z501" i="1"/>
  <c r="Y502" i="1"/>
  <c r="Z502" i="1"/>
  <c r="Y503" i="1"/>
  <c r="Z503" i="1"/>
  <c r="Y504" i="1"/>
  <c r="Z504" i="1"/>
  <c r="Y516" i="1"/>
  <c r="Z516" i="1"/>
  <c r="Y517" i="1"/>
  <c r="Z517" i="1"/>
  <c r="Y518" i="1"/>
  <c r="Z518" i="1"/>
  <c r="Y519" i="1"/>
  <c r="Z519" i="1"/>
  <c r="Y522" i="1"/>
  <c r="Y536" i="1" s="1"/>
  <c r="Z522" i="1"/>
  <c r="Z536" i="1" s="1"/>
  <c r="Y52" i="1"/>
  <c r="Z52" i="1"/>
  <c r="Y56" i="1"/>
  <c r="Z56" i="1"/>
  <c r="Y57" i="1"/>
  <c r="Z57" i="1"/>
  <c r="Y59" i="1"/>
  <c r="Y48" i="1" s="1"/>
  <c r="Z59" i="1"/>
  <c r="Z48" i="1" s="1"/>
  <c r="Y101" i="1"/>
  <c r="Z101" i="1"/>
  <c r="Y115" i="1"/>
  <c r="Z115" i="1"/>
  <c r="Y473" i="1"/>
  <c r="Z473" i="1"/>
  <c r="Y474" i="1"/>
  <c r="Z474" i="1"/>
  <c r="Y475" i="1"/>
  <c r="Z475" i="1"/>
  <c r="CM477" i="1"/>
  <c r="Y479" i="1"/>
  <c r="CN479" i="1"/>
  <c r="Z470" i="1"/>
  <c r="Z468" i="1" s="1"/>
  <c r="Z469" i="1" s="1"/>
  <c r="Y470" i="1"/>
  <c r="X470" i="1"/>
  <c r="Q469" i="1"/>
  <c r="P469" i="1"/>
  <c r="N469" i="1"/>
  <c r="M469" i="1"/>
  <c r="Y467" i="1"/>
  <c r="CM467" i="1" s="1"/>
  <c r="Y444" i="1"/>
  <c r="Z444" i="1"/>
  <c r="Y445" i="1"/>
  <c r="Z445" i="1"/>
  <c r="Y450" i="1"/>
  <c r="Y420" i="1"/>
  <c r="Z420" i="1"/>
  <c r="Y422" i="1"/>
  <c r="Y457" i="1" s="1"/>
  <c r="Z422" i="1"/>
  <c r="Z457" i="1" s="1"/>
  <c r="Y423" i="1"/>
  <c r="Y458" i="1" s="1"/>
  <c r="Y487" i="1" s="1"/>
  <c r="Z423" i="1"/>
  <c r="Z458" i="1" s="1"/>
  <c r="Z487" i="1" s="1"/>
  <c r="Y424" i="1"/>
  <c r="Y459" i="1" s="1"/>
  <c r="Y488" i="1" s="1"/>
  <c r="Z424" i="1"/>
  <c r="Z459" i="1" s="1"/>
  <c r="Y425" i="1"/>
  <c r="Y460" i="1" s="1"/>
  <c r="Y489" i="1" s="1"/>
  <c r="Z425" i="1"/>
  <c r="Z460" i="1" s="1"/>
  <c r="Z489" i="1" s="1"/>
  <c r="Y416" i="1"/>
  <c r="Y414" i="1"/>
  <c r="X414" i="1"/>
  <c r="Y409" i="1"/>
  <c r="Y421" i="1" s="1"/>
  <c r="Z409" i="1"/>
  <c r="Y388" i="1"/>
  <c r="Y381" i="1"/>
  <c r="Y327" i="1" s="1"/>
  <c r="X389" i="1"/>
  <c r="Y318" i="1"/>
  <c r="Y262" i="1"/>
  <c r="Z262" i="1"/>
  <c r="Y254" i="1"/>
  <c r="Y249" i="1"/>
  <c r="Y244" i="1"/>
  <c r="X254" i="1"/>
  <c r="X249" i="1"/>
  <c r="X244" i="1"/>
  <c r="Y234" i="1"/>
  <c r="Y237" i="1" s="1"/>
  <c r="Y238" i="1" s="1"/>
  <c r="Z234" i="1"/>
  <c r="Y227" i="1"/>
  <c r="Y222" i="1"/>
  <c r="Z222" i="1"/>
  <c r="Y209" i="1"/>
  <c r="Z266" i="1" s="1"/>
  <c r="X209" i="1"/>
  <c r="X208" i="1" s="1"/>
  <c r="X152" i="1" s="1"/>
  <c r="W205" i="1"/>
  <c r="CL205" i="1" s="1"/>
  <c r="V205" i="1"/>
  <c r="U205" i="1"/>
  <c r="CK205" i="1" s="1"/>
  <c r="T205" i="1"/>
  <c r="S205" i="1"/>
  <c r="CJ205" i="1" s="1"/>
  <c r="R205" i="1"/>
  <c r="Q205" i="1"/>
  <c r="CI205" i="1" s="1"/>
  <c r="P205" i="1"/>
  <c r="O205" i="1"/>
  <c r="CH205" i="1" s="1"/>
  <c r="N205" i="1"/>
  <c r="M205" i="1"/>
  <c r="CG205" i="1" s="1"/>
  <c r="CF205" i="1"/>
  <c r="CE205" i="1"/>
  <c r="CD205" i="1"/>
  <c r="CC205" i="1"/>
  <c r="Q203" i="1"/>
  <c r="CI203" i="1" s="1"/>
  <c r="P203" i="1"/>
  <c r="O203" i="1"/>
  <c r="CH203" i="1" s="1"/>
  <c r="N203" i="1"/>
  <c r="M203" i="1"/>
  <c r="CG203" i="1" s="1"/>
  <c r="CF203" i="1"/>
  <c r="CE203" i="1"/>
  <c r="CD203" i="1"/>
  <c r="CC203" i="1"/>
  <c r="Q202" i="1"/>
  <c r="P202" i="1"/>
  <c r="O202" i="1"/>
  <c r="N202" i="1"/>
  <c r="M202" i="1"/>
  <c r="CF204" i="1"/>
  <c r="CD202" i="1"/>
  <c r="Y205" i="1"/>
  <c r="CM205" i="1" s="1"/>
  <c r="X205" i="1"/>
  <c r="Y197" i="1"/>
  <c r="X197" i="1"/>
  <c r="Z196" i="1"/>
  <c r="Z198" i="1" s="1"/>
  <c r="Y196" i="1"/>
  <c r="CM196" i="1" s="1"/>
  <c r="X196" i="1"/>
  <c r="S198" i="1"/>
  <c r="CJ198" i="1" s="1"/>
  <c r="R198" i="1"/>
  <c r="R61" i="1" s="1"/>
  <c r="Q198" i="1"/>
  <c r="CI198" i="1" s="1"/>
  <c r="P198" i="1"/>
  <c r="P61" i="1" s="1"/>
  <c r="O198" i="1"/>
  <c r="CH198" i="1" s="1"/>
  <c r="N198" i="1"/>
  <c r="N61" i="1" s="1"/>
  <c r="M198" i="1"/>
  <c r="CG198" i="1" s="1"/>
  <c r="CF198" i="1"/>
  <c r="CE198" i="1"/>
  <c r="CD198" i="1"/>
  <c r="CC198" i="1"/>
  <c r="Q192" i="1"/>
  <c r="Q58" i="1" s="1"/>
  <c r="P192" i="1"/>
  <c r="O192" i="1"/>
  <c r="CH192" i="1" s="1"/>
  <c r="N192" i="1"/>
  <c r="M192" i="1"/>
  <c r="CG192" i="1" s="1"/>
  <c r="CC192" i="1"/>
  <c r="Q186" i="1"/>
  <c r="P186" i="1"/>
  <c r="P55" i="1" s="1"/>
  <c r="O186" i="1"/>
  <c r="N186" i="1"/>
  <c r="N55" i="1" s="1"/>
  <c r="M186" i="1"/>
  <c r="Y191" i="1"/>
  <c r="X191" i="1"/>
  <c r="Z190" i="1"/>
  <c r="Z192" i="1" s="1"/>
  <c r="Z58" i="1" s="1"/>
  <c r="Y190" i="1"/>
  <c r="CM190" i="1" s="1"/>
  <c r="X190" i="1"/>
  <c r="Y185" i="1"/>
  <c r="X185" i="1"/>
  <c r="Z184" i="1"/>
  <c r="Y184" i="1"/>
  <c r="CM184" i="1" s="1"/>
  <c r="X184" i="1"/>
  <c r="Y176" i="1"/>
  <c r="CM176" i="1" s="1"/>
  <c r="Z176" i="1"/>
  <c r="Z145" i="1" s="1"/>
  <c r="Y178" i="1"/>
  <c r="Y181" i="1" s="1"/>
  <c r="CM181" i="1" s="1"/>
  <c r="CM154" i="1" s="1"/>
  <c r="Z178" i="1"/>
  <c r="Y171" i="1"/>
  <c r="Z54" i="1"/>
  <c r="Z814" i="1"/>
  <c r="X125" i="1"/>
  <c r="X814" i="1" s="1"/>
  <c r="Z122" i="1"/>
  <c r="W101" i="1"/>
  <c r="V101" i="1"/>
  <c r="U101" i="1"/>
  <c r="T101" i="1"/>
  <c r="S101" i="1"/>
  <c r="R101" i="1"/>
  <c r="R102" i="1" s="1"/>
  <c r="Q101" i="1"/>
  <c r="Q102" i="1" s="1"/>
  <c r="P101" i="1"/>
  <c r="P102" i="1" s="1"/>
  <c r="O101" i="1"/>
  <c r="N101" i="1"/>
  <c r="N102" i="1" s="1"/>
  <c r="M101" i="1"/>
  <c r="M102" i="1" s="1"/>
  <c r="Z105" i="1"/>
  <c r="CN105" i="1" s="1"/>
  <c r="Y105" i="1"/>
  <c r="X105" i="1"/>
  <c r="X104" i="1"/>
  <c r="X103" i="1" s="1"/>
  <c r="Y104" i="1"/>
  <c r="Z104" i="1"/>
  <c r="Z103" i="1" s="1"/>
  <c r="Z434" i="1" s="1"/>
  <c r="C4" i="2"/>
  <c r="C3" i="2"/>
  <c r="CC17" i="1"/>
  <c r="CD17" i="1"/>
  <c r="CE17" i="1"/>
  <c r="CF17" i="1"/>
  <c r="CG17" i="1"/>
  <c r="CH17" i="1"/>
  <c r="CI17" i="1"/>
  <c r="CJ17" i="1"/>
  <c r="CK17" i="1"/>
  <c r="CL17" i="1"/>
  <c r="CM17" i="1"/>
  <c r="CC18" i="1"/>
  <c r="CD18" i="1"/>
  <c r="CE18" i="1"/>
  <c r="CF18" i="1"/>
  <c r="CG18" i="1"/>
  <c r="CH18" i="1"/>
  <c r="CI18" i="1"/>
  <c r="CJ18" i="1"/>
  <c r="CK18" i="1"/>
  <c r="CL18" i="1"/>
  <c r="CM18" i="1"/>
  <c r="CC19" i="1"/>
  <c r="CD19" i="1"/>
  <c r="CE19" i="1"/>
  <c r="CF19" i="1"/>
  <c r="CG19" i="1"/>
  <c r="CH19" i="1"/>
  <c r="CI19" i="1"/>
  <c r="CJ19" i="1"/>
  <c r="CK19" i="1"/>
  <c r="CL19" i="1"/>
  <c r="CM19" i="1"/>
  <c r="CC20" i="1"/>
  <c r="CD20" i="1"/>
  <c r="CE20" i="1"/>
  <c r="CF20" i="1"/>
  <c r="CG20" i="1"/>
  <c r="CH20" i="1"/>
  <c r="CI20" i="1"/>
  <c r="CJ20" i="1"/>
  <c r="CK20" i="1"/>
  <c r="CL20" i="1"/>
  <c r="CM20" i="1"/>
  <c r="CC34" i="1"/>
  <c r="CD34" i="1"/>
  <c r="CE34" i="1"/>
  <c r="CF34" i="1"/>
  <c r="CG34" i="1"/>
  <c r="CH34" i="1"/>
  <c r="CI34" i="1"/>
  <c r="CJ34" i="1"/>
  <c r="CK34" i="1"/>
  <c r="CL34" i="1"/>
  <c r="CM34" i="1"/>
  <c r="CC35" i="1"/>
  <c r="CD35" i="1"/>
  <c r="CE35" i="1"/>
  <c r="CF35" i="1"/>
  <c r="CG35" i="1"/>
  <c r="CH35" i="1"/>
  <c r="CI35" i="1"/>
  <c r="CJ35" i="1"/>
  <c r="CK35" i="1"/>
  <c r="CL35" i="1"/>
  <c r="CM35" i="1"/>
  <c r="M52" i="1"/>
  <c r="N52" i="1"/>
  <c r="O52" i="1"/>
  <c r="P52" i="1"/>
  <c r="Q52" i="1"/>
  <c r="R52" i="1"/>
  <c r="S52" i="1"/>
  <c r="T52" i="1"/>
  <c r="U52" i="1"/>
  <c r="V52" i="1"/>
  <c r="W52" i="1"/>
  <c r="X52" i="1"/>
  <c r="M54" i="1"/>
  <c r="N54" i="1"/>
  <c r="O54" i="1"/>
  <c r="P54" i="1"/>
  <c r="Q54" i="1"/>
  <c r="R54" i="1"/>
  <c r="M56" i="1"/>
  <c r="N56" i="1"/>
  <c r="O56" i="1"/>
  <c r="P56" i="1"/>
  <c r="Q56" i="1"/>
  <c r="R56" i="1"/>
  <c r="S56" i="1"/>
  <c r="T56" i="1"/>
  <c r="U56" i="1"/>
  <c r="V56" i="1"/>
  <c r="W56" i="1"/>
  <c r="X56" i="1"/>
  <c r="M57" i="1"/>
  <c r="N57" i="1"/>
  <c r="O57" i="1"/>
  <c r="P57" i="1"/>
  <c r="Q57" i="1"/>
  <c r="R57" i="1"/>
  <c r="S57" i="1"/>
  <c r="T57" i="1"/>
  <c r="U57" i="1"/>
  <c r="V57" i="1"/>
  <c r="W57" i="1"/>
  <c r="X57" i="1"/>
  <c r="M59" i="1"/>
  <c r="M48" i="1" s="1"/>
  <c r="N59" i="1"/>
  <c r="N48" i="1" s="1"/>
  <c r="O59" i="1"/>
  <c r="O48" i="1" s="1"/>
  <c r="P59" i="1"/>
  <c r="P48" i="1" s="1"/>
  <c r="Q59" i="1"/>
  <c r="Q48" i="1" s="1"/>
  <c r="R59" i="1"/>
  <c r="R48" i="1" s="1"/>
  <c r="S59" i="1"/>
  <c r="S48" i="1" s="1"/>
  <c r="T59" i="1"/>
  <c r="T48" i="1" s="1"/>
  <c r="U59" i="1"/>
  <c r="U48" i="1" s="1"/>
  <c r="V59" i="1"/>
  <c r="V48" i="1" s="1"/>
  <c r="W59" i="1"/>
  <c r="W48" i="1" s="1"/>
  <c r="X59" i="1"/>
  <c r="X48" i="1" s="1"/>
  <c r="M60" i="1"/>
  <c r="M49" i="1" s="1"/>
  <c r="N60" i="1"/>
  <c r="N49" i="1" s="1"/>
  <c r="O60" i="1"/>
  <c r="O49" i="1" s="1"/>
  <c r="P60" i="1"/>
  <c r="P49" i="1" s="1"/>
  <c r="Q60" i="1"/>
  <c r="Q49" i="1" s="1"/>
  <c r="R60" i="1"/>
  <c r="R49" i="1" s="1"/>
  <c r="S60" i="1"/>
  <c r="S49" i="1" s="1"/>
  <c r="T60" i="1"/>
  <c r="T49" i="1" s="1"/>
  <c r="M64" i="1"/>
  <c r="N64" i="1"/>
  <c r="O64" i="1"/>
  <c r="P64" i="1"/>
  <c r="Q64" i="1"/>
  <c r="R64" i="1"/>
  <c r="CC92" i="1"/>
  <c r="CD92" i="1"/>
  <c r="CE92" i="1"/>
  <c r="CF92" i="1"/>
  <c r="CG92" i="1"/>
  <c r="CH92" i="1"/>
  <c r="CI92" i="1"/>
  <c r="CJ92" i="1"/>
  <c r="CK92" i="1"/>
  <c r="CL92" i="1"/>
  <c r="CM92" i="1"/>
  <c r="X101" i="1"/>
  <c r="CC103" i="1"/>
  <c r="CD103" i="1"/>
  <c r="CE103" i="1"/>
  <c r="CF103" i="1"/>
  <c r="CG103" i="1"/>
  <c r="CH103" i="1"/>
  <c r="CI103" i="1"/>
  <c r="CC104" i="1"/>
  <c r="CD104" i="1"/>
  <c r="CE104" i="1"/>
  <c r="CF104" i="1"/>
  <c r="CG104" i="1"/>
  <c r="CH104" i="1"/>
  <c r="CI104" i="1"/>
  <c r="CK104" i="1"/>
  <c r="CL104" i="1"/>
  <c r="CO104" i="1"/>
  <c r="CP104" i="1"/>
  <c r="CQ104" i="1"/>
  <c r="CR104" i="1"/>
  <c r="CJ105" i="1"/>
  <c r="CC105" i="1"/>
  <c r="CD105" i="1"/>
  <c r="CE105" i="1"/>
  <c r="CF105" i="1"/>
  <c r="CG105" i="1"/>
  <c r="CH105" i="1"/>
  <c r="CI105" i="1"/>
  <c r="CO105" i="1"/>
  <c r="CP105" i="1"/>
  <c r="CQ105" i="1"/>
  <c r="CR105" i="1"/>
  <c r="CC106" i="1"/>
  <c r="CD106" i="1"/>
  <c r="CE106" i="1"/>
  <c r="CF106" i="1"/>
  <c r="CG106" i="1"/>
  <c r="CH106" i="1"/>
  <c r="CI106" i="1"/>
  <c r="CJ106" i="1"/>
  <c r="CK106" i="1"/>
  <c r="CL106" i="1"/>
  <c r="CM106" i="1"/>
  <c r="CN101" i="1" s="1"/>
  <c r="M115" i="1"/>
  <c r="N115" i="1"/>
  <c r="O115" i="1"/>
  <c r="P115" i="1"/>
  <c r="Q115" i="1"/>
  <c r="R115" i="1"/>
  <c r="S115" i="1"/>
  <c r="T115" i="1"/>
  <c r="U115" i="1"/>
  <c r="V115" i="1"/>
  <c r="W115" i="1"/>
  <c r="X115" i="1"/>
  <c r="CC120" i="1"/>
  <c r="CD120" i="1"/>
  <c r="CE120" i="1"/>
  <c r="CF120" i="1"/>
  <c r="CG120" i="1"/>
  <c r="CH120" i="1"/>
  <c r="CI120" i="1"/>
  <c r="CJ120" i="1"/>
  <c r="CK120" i="1"/>
  <c r="CL120" i="1"/>
  <c r="CM120" i="1"/>
  <c r="CC121" i="1"/>
  <c r="CD121" i="1"/>
  <c r="CE121" i="1"/>
  <c r="CF121" i="1"/>
  <c r="CG121" i="1"/>
  <c r="CH121" i="1"/>
  <c r="CI121" i="1"/>
  <c r="CJ121" i="1"/>
  <c r="CK121" i="1"/>
  <c r="CL121" i="1"/>
  <c r="CM121" i="1"/>
  <c r="M122" i="1"/>
  <c r="N122" i="1"/>
  <c r="O122" i="1"/>
  <c r="P122" i="1"/>
  <c r="Q122" i="1"/>
  <c r="R122" i="1"/>
  <c r="S122" i="1"/>
  <c r="T122" i="1"/>
  <c r="U122" i="1"/>
  <c r="V122" i="1"/>
  <c r="W122" i="1"/>
  <c r="X122" i="1"/>
  <c r="Y122" i="1"/>
  <c r="CC124" i="1"/>
  <c r="CD124" i="1"/>
  <c r="CE124" i="1"/>
  <c r="CF124" i="1"/>
  <c r="CG124" i="1"/>
  <c r="CH124" i="1"/>
  <c r="CI124" i="1"/>
  <c r="CJ124" i="1"/>
  <c r="CK124" i="1"/>
  <c r="CL124" i="1"/>
  <c r="CM124" i="1"/>
  <c r="CC125" i="1"/>
  <c r="CD125" i="1"/>
  <c r="CE125" i="1"/>
  <c r="CF125" i="1"/>
  <c r="CM125" i="1"/>
  <c r="CN135" i="1"/>
  <c r="CN735" i="1" s="1"/>
  <c r="CO138" i="1"/>
  <c r="CC135" i="1"/>
  <c r="CC735" i="1" s="1"/>
  <c r="CD135" i="1"/>
  <c r="CD735" i="1" s="1"/>
  <c r="CE135" i="1"/>
  <c r="CE735" i="1" s="1"/>
  <c r="CF135" i="1"/>
  <c r="CF735" i="1" s="1"/>
  <c r="CG135" i="1"/>
  <c r="CG735" i="1" s="1"/>
  <c r="CH135" i="1"/>
  <c r="CH735" i="1" s="1"/>
  <c r="CI135" i="1"/>
  <c r="CI735" i="1" s="1"/>
  <c r="CJ135" i="1"/>
  <c r="CJ735" i="1" s="1"/>
  <c r="CK135" i="1"/>
  <c r="CK735" i="1" s="1"/>
  <c r="CL135" i="1"/>
  <c r="CL735" i="1" s="1"/>
  <c r="CM135" i="1"/>
  <c r="CM735" i="1" s="1"/>
  <c r="CO135" i="1"/>
  <c r="CO735" i="1" s="1"/>
  <c r="CC137" i="1"/>
  <c r="CC839" i="1" s="1"/>
  <c r="CD137" i="1"/>
  <c r="CD839" i="1" s="1"/>
  <c r="CE137" i="1"/>
  <c r="CE839" i="1" s="1"/>
  <c r="CF137" i="1"/>
  <c r="CF839" i="1" s="1"/>
  <c r="CG137" i="1"/>
  <c r="CG839" i="1" s="1"/>
  <c r="CH137" i="1"/>
  <c r="CH839" i="1" s="1"/>
  <c r="CI137" i="1"/>
  <c r="CI839" i="1" s="1"/>
  <c r="CJ137" i="1"/>
  <c r="CJ839" i="1" s="1"/>
  <c r="CK137" i="1"/>
  <c r="CK839" i="1" s="1"/>
  <c r="CL137" i="1"/>
  <c r="CL839" i="1" s="1"/>
  <c r="CM137" i="1"/>
  <c r="CC138" i="1"/>
  <c r="CD138" i="1"/>
  <c r="CE138" i="1"/>
  <c r="CF138" i="1"/>
  <c r="CG138" i="1"/>
  <c r="CH138" i="1"/>
  <c r="CI138" i="1"/>
  <c r="CJ138" i="1"/>
  <c r="CK138" i="1"/>
  <c r="CL138" i="1"/>
  <c r="CM138" i="1"/>
  <c r="N139" i="1"/>
  <c r="O139" i="1"/>
  <c r="P139" i="1"/>
  <c r="Q139" i="1"/>
  <c r="R139" i="1"/>
  <c r="S139" i="1"/>
  <c r="T139" i="1"/>
  <c r="U139" i="1"/>
  <c r="V139" i="1"/>
  <c r="W139" i="1"/>
  <c r="X139" i="1"/>
  <c r="M141" i="1"/>
  <c r="M143" i="1" s="1"/>
  <c r="N141" i="1"/>
  <c r="N143" i="1" s="1"/>
  <c r="O141" i="1"/>
  <c r="O143" i="1" s="1"/>
  <c r="P141" i="1"/>
  <c r="P143" i="1" s="1"/>
  <c r="Q141" i="1"/>
  <c r="Q143" i="1" s="1"/>
  <c r="R141" i="1"/>
  <c r="S141" i="1"/>
  <c r="T141" i="1"/>
  <c r="U141" i="1"/>
  <c r="V141" i="1"/>
  <c r="V143" i="1" s="1"/>
  <c r="W141" i="1"/>
  <c r="X141" i="1"/>
  <c r="CC142" i="1"/>
  <c r="CD142" i="1"/>
  <c r="CE142" i="1"/>
  <c r="CF142" i="1"/>
  <c r="CG142" i="1"/>
  <c r="CH142" i="1"/>
  <c r="CI142" i="1"/>
  <c r="CJ142" i="1"/>
  <c r="CK142" i="1"/>
  <c r="CL142" i="1"/>
  <c r="CM142" i="1"/>
  <c r="CC149" i="1"/>
  <c r="CD149" i="1"/>
  <c r="CE149" i="1"/>
  <c r="CF149" i="1"/>
  <c r="CG149" i="1"/>
  <c r="CH149" i="1"/>
  <c r="CI149" i="1"/>
  <c r="CJ149" i="1"/>
  <c r="CK149" i="1"/>
  <c r="CL149" i="1"/>
  <c r="CM149" i="1"/>
  <c r="CN149" i="1"/>
  <c r="CO149" i="1"/>
  <c r="CP149" i="1"/>
  <c r="CQ149" i="1"/>
  <c r="CR149" i="1"/>
  <c r="CC151" i="1"/>
  <c r="CD151" i="1"/>
  <c r="CE151" i="1"/>
  <c r="CF151" i="1"/>
  <c r="CG151" i="1"/>
  <c r="CH151" i="1"/>
  <c r="CI151" i="1"/>
  <c r="CJ151" i="1"/>
  <c r="CK151" i="1"/>
  <c r="CC157" i="1"/>
  <c r="CD157" i="1"/>
  <c r="CE157" i="1"/>
  <c r="CF157" i="1"/>
  <c r="CG157" i="1"/>
  <c r="CH157" i="1"/>
  <c r="CI157" i="1"/>
  <c r="CJ157" i="1"/>
  <c r="CK157" i="1"/>
  <c r="CL157" i="1"/>
  <c r="CM157" i="1"/>
  <c r="V54" i="1"/>
  <c r="CC160" i="1"/>
  <c r="CD160" i="1"/>
  <c r="CE160" i="1"/>
  <c r="CF160" i="1"/>
  <c r="CG160" i="1"/>
  <c r="CH160" i="1"/>
  <c r="CI160" i="1"/>
  <c r="CJ160" i="1"/>
  <c r="CK160" i="1"/>
  <c r="CL160" i="1"/>
  <c r="CD161" i="1"/>
  <c r="CE161" i="1"/>
  <c r="CF161" i="1"/>
  <c r="CG161" i="1"/>
  <c r="CH161" i="1"/>
  <c r="CI161" i="1"/>
  <c r="CJ161" i="1"/>
  <c r="CK161" i="1"/>
  <c r="CL161" i="1"/>
  <c r="CM161" i="1"/>
  <c r="CC164" i="1"/>
  <c r="CD164" i="1"/>
  <c r="CE164" i="1"/>
  <c r="CF164" i="1"/>
  <c r="CG164" i="1"/>
  <c r="CH164" i="1"/>
  <c r="CI164" i="1"/>
  <c r="CJ164" i="1"/>
  <c r="CK164" i="1"/>
  <c r="CL164" i="1"/>
  <c r="CM164" i="1"/>
  <c r="M165" i="1"/>
  <c r="N165" i="1"/>
  <c r="O165" i="1"/>
  <c r="CH165" i="1" s="1"/>
  <c r="P165" i="1"/>
  <c r="Q165" i="1"/>
  <c r="R165" i="1"/>
  <c r="S165" i="1"/>
  <c r="CJ165" i="1" s="1"/>
  <c r="T165" i="1"/>
  <c r="U165" i="1"/>
  <c r="CK165" i="1" s="1"/>
  <c r="V165" i="1"/>
  <c r="W165" i="1"/>
  <c r="X165" i="1"/>
  <c r="Y165" i="1"/>
  <c r="CM165" i="1" s="1"/>
  <c r="CD165" i="1"/>
  <c r="CC166" i="1"/>
  <c r="CD166" i="1"/>
  <c r="CE166" i="1"/>
  <c r="CF166" i="1"/>
  <c r="CG166" i="1"/>
  <c r="CH166" i="1"/>
  <c r="CI166" i="1"/>
  <c r="CJ166" i="1"/>
  <c r="CK166" i="1"/>
  <c r="CL166" i="1"/>
  <c r="CM166" i="1"/>
  <c r="CC167" i="1"/>
  <c r="CD167" i="1"/>
  <c r="CE167" i="1"/>
  <c r="CF167" i="1"/>
  <c r="CG167" i="1"/>
  <c r="CH167" i="1"/>
  <c r="CI167" i="1"/>
  <c r="CJ167" i="1"/>
  <c r="CK167" i="1"/>
  <c r="CL167" i="1"/>
  <c r="CM167" i="1"/>
  <c r="CC170" i="1"/>
  <c r="CD170" i="1"/>
  <c r="CE170" i="1"/>
  <c r="CF170" i="1"/>
  <c r="CG170" i="1"/>
  <c r="CH170" i="1"/>
  <c r="CI170" i="1"/>
  <c r="CJ170" i="1"/>
  <c r="CK170" i="1"/>
  <c r="CL170" i="1"/>
  <c r="CM170" i="1"/>
  <c r="CC171" i="1"/>
  <c r="CD171" i="1"/>
  <c r="CE171" i="1"/>
  <c r="CF171" i="1"/>
  <c r="M171" i="1"/>
  <c r="CG171" i="1" s="1"/>
  <c r="N171" i="1"/>
  <c r="O171" i="1"/>
  <c r="CH171" i="1" s="1"/>
  <c r="P171" i="1"/>
  <c r="Q171" i="1"/>
  <c r="CI171" i="1" s="1"/>
  <c r="R171" i="1"/>
  <c r="S171" i="1"/>
  <c r="T171" i="1"/>
  <c r="U171" i="1"/>
  <c r="V171" i="1"/>
  <c r="W171" i="1"/>
  <c r="X171" i="1"/>
  <c r="CC172" i="1"/>
  <c r="CD172" i="1"/>
  <c r="CE172" i="1"/>
  <c r="CF172" i="1"/>
  <c r="CG172" i="1"/>
  <c r="CH172" i="1"/>
  <c r="CI172" i="1"/>
  <c r="CJ172" i="1"/>
  <c r="CK172" i="1"/>
  <c r="CL172" i="1"/>
  <c r="CM172" i="1"/>
  <c r="CC173" i="1"/>
  <c r="CD173" i="1"/>
  <c r="CE173" i="1"/>
  <c r="CF173" i="1"/>
  <c r="CG173" i="1"/>
  <c r="CH173" i="1"/>
  <c r="CI173" i="1"/>
  <c r="CJ173" i="1"/>
  <c r="CK173" i="1"/>
  <c r="CL173" i="1"/>
  <c r="CM173" i="1"/>
  <c r="M176" i="1"/>
  <c r="N176" i="1"/>
  <c r="N610" i="1" s="1"/>
  <c r="N611" i="1" s="1"/>
  <c r="O176" i="1"/>
  <c r="P176" i="1"/>
  <c r="Q176" i="1"/>
  <c r="R176" i="1"/>
  <c r="S176" i="1"/>
  <c r="CJ176" i="1" s="1"/>
  <c r="T176" i="1"/>
  <c r="U176" i="1"/>
  <c r="V176" i="1"/>
  <c r="W176" i="1"/>
  <c r="X176" i="1"/>
  <c r="M178" i="1"/>
  <c r="M181" i="1" s="1"/>
  <c r="N178" i="1"/>
  <c r="O178" i="1"/>
  <c r="P178" i="1"/>
  <c r="Q178" i="1"/>
  <c r="Q667" i="1" s="1"/>
  <c r="CI667" i="1" s="1"/>
  <c r="R178" i="1"/>
  <c r="S178" i="1"/>
  <c r="T178" i="1"/>
  <c r="T179" i="1" s="1"/>
  <c r="U178" i="1"/>
  <c r="V178" i="1"/>
  <c r="W178" i="1"/>
  <c r="W179" i="1" s="1"/>
  <c r="X178" i="1"/>
  <c r="CC179" i="1"/>
  <c r="CD179" i="1"/>
  <c r="CE179" i="1"/>
  <c r="CF179" i="1"/>
  <c r="CG179" i="1"/>
  <c r="CH179" i="1"/>
  <c r="CI179" i="1"/>
  <c r="CJ179" i="1"/>
  <c r="CM179" i="1"/>
  <c r="CC180" i="1"/>
  <c r="CD180" i="1"/>
  <c r="CE180" i="1"/>
  <c r="CF180" i="1"/>
  <c r="CG180" i="1"/>
  <c r="CH180" i="1"/>
  <c r="CI180" i="1"/>
  <c r="CJ180" i="1"/>
  <c r="CK180" i="1"/>
  <c r="CL180" i="1"/>
  <c r="CM180" i="1"/>
  <c r="CC187" i="1"/>
  <c r="CD187" i="1"/>
  <c r="CE187" i="1"/>
  <c r="CF187" i="1"/>
  <c r="CG187" i="1"/>
  <c r="CH187" i="1"/>
  <c r="CI187" i="1"/>
  <c r="CJ187" i="1"/>
  <c r="CK187" i="1"/>
  <c r="CL187" i="1"/>
  <c r="CM187" i="1"/>
  <c r="B190" i="1"/>
  <c r="C247" i="1" s="1"/>
  <c r="B191" i="1"/>
  <c r="C248" i="1" s="1"/>
  <c r="C258" i="1" s="1"/>
  <c r="CC193" i="1"/>
  <c r="CD193" i="1"/>
  <c r="CE193" i="1"/>
  <c r="CF193" i="1"/>
  <c r="CG193" i="1"/>
  <c r="CH193" i="1"/>
  <c r="CI193" i="1"/>
  <c r="CJ193" i="1"/>
  <c r="CK193" i="1"/>
  <c r="CL193" i="1"/>
  <c r="CM193" i="1"/>
  <c r="B196" i="1"/>
  <c r="B197" i="1"/>
  <c r="CC199" i="1"/>
  <c r="CD199" i="1"/>
  <c r="CE199" i="1"/>
  <c r="CF199" i="1"/>
  <c r="CG199" i="1"/>
  <c r="CH199" i="1"/>
  <c r="CI199" i="1"/>
  <c r="CJ199" i="1"/>
  <c r="CK199" i="1"/>
  <c r="CL199" i="1"/>
  <c r="CM199" i="1"/>
  <c r="B202" i="1"/>
  <c r="B203" i="1"/>
  <c r="M208" i="1"/>
  <c r="M152" i="1" s="1"/>
  <c r="N208" i="1"/>
  <c r="N152" i="1" s="1"/>
  <c r="O208" i="1"/>
  <c r="P208" i="1"/>
  <c r="Q208" i="1"/>
  <c r="CI208" i="1" s="1"/>
  <c r="R208" i="1"/>
  <c r="R152" i="1" s="1"/>
  <c r="CC209" i="1"/>
  <c r="CD209" i="1"/>
  <c r="CE209" i="1"/>
  <c r="CF209" i="1"/>
  <c r="CG209" i="1"/>
  <c r="CH209" i="1"/>
  <c r="CI209" i="1"/>
  <c r="CC210" i="1"/>
  <c r="CD210" i="1"/>
  <c r="CE210" i="1"/>
  <c r="CF210" i="1"/>
  <c r="CG210" i="1"/>
  <c r="CH210" i="1"/>
  <c r="CI210" i="1"/>
  <c r="CJ210" i="1"/>
  <c r="CK210" i="1"/>
  <c r="CL210" i="1"/>
  <c r="CM210" i="1"/>
  <c r="M212" i="1"/>
  <c r="N212" i="1"/>
  <c r="O212" i="1"/>
  <c r="P212" i="1"/>
  <c r="Q212" i="1"/>
  <c r="X212" i="1"/>
  <c r="Y212" i="1"/>
  <c r="M215" i="1"/>
  <c r="N215" i="1"/>
  <c r="O215" i="1"/>
  <c r="P215" i="1"/>
  <c r="Q215" i="1"/>
  <c r="M218" i="1"/>
  <c r="N218" i="1"/>
  <c r="O218" i="1"/>
  <c r="P218" i="1"/>
  <c r="Q218" i="1"/>
  <c r="R218" i="1"/>
  <c r="M222" i="1"/>
  <c r="N222" i="1"/>
  <c r="O222" i="1"/>
  <c r="P222" i="1"/>
  <c r="Q222" i="1"/>
  <c r="T222" i="1"/>
  <c r="U222" i="1"/>
  <c r="X222" i="1"/>
  <c r="T227" i="1"/>
  <c r="U227" i="1"/>
  <c r="X227" i="1"/>
  <c r="M234" i="1"/>
  <c r="M237" i="1" s="1"/>
  <c r="M238" i="1" s="1"/>
  <c r="N234" i="1"/>
  <c r="N237" i="1" s="1"/>
  <c r="N238" i="1" s="1"/>
  <c r="O234" i="1"/>
  <c r="O237" i="1" s="1"/>
  <c r="O238" i="1" s="1"/>
  <c r="P234" i="1"/>
  <c r="P237" i="1" s="1"/>
  <c r="P238" i="1" s="1"/>
  <c r="Q234" i="1"/>
  <c r="Q237" i="1" s="1"/>
  <c r="Q238" i="1" s="1"/>
  <c r="X234" i="1"/>
  <c r="X237" i="1" s="1"/>
  <c r="X238" i="1" s="1"/>
  <c r="B257" i="1"/>
  <c r="B258" i="1"/>
  <c r="M262" i="1"/>
  <c r="N262" i="1"/>
  <c r="O262" i="1"/>
  <c r="P262" i="1"/>
  <c r="Q262" i="1"/>
  <c r="X262" i="1"/>
  <c r="M267" i="1"/>
  <c r="N267" i="1"/>
  <c r="O267" i="1"/>
  <c r="P267" i="1"/>
  <c r="Q267" i="1"/>
  <c r="S267" i="1"/>
  <c r="B314" i="1"/>
  <c r="B315" i="1"/>
  <c r="M318" i="1"/>
  <c r="N318" i="1"/>
  <c r="O318" i="1"/>
  <c r="P318" i="1"/>
  <c r="Q318" i="1"/>
  <c r="R318" i="1"/>
  <c r="S318" i="1"/>
  <c r="T318" i="1"/>
  <c r="U318" i="1"/>
  <c r="V318" i="1"/>
  <c r="W318" i="1"/>
  <c r="X318" i="1"/>
  <c r="B372" i="1"/>
  <c r="B373" i="1"/>
  <c r="M381" i="1"/>
  <c r="M327" i="1" s="1"/>
  <c r="N381" i="1"/>
  <c r="N327" i="1" s="1"/>
  <c r="O381" i="1"/>
  <c r="O327" i="1" s="1"/>
  <c r="P381" i="1"/>
  <c r="P327" i="1" s="1"/>
  <c r="Q381" i="1"/>
  <c r="Q327" i="1" s="1"/>
  <c r="R381" i="1"/>
  <c r="S381" i="1"/>
  <c r="S327" i="1" s="1"/>
  <c r="W381" i="1"/>
  <c r="W327" i="1" s="1"/>
  <c r="X381" i="1"/>
  <c r="X327" i="1" s="1"/>
  <c r="CC382" i="1"/>
  <c r="CC420" i="1" s="1"/>
  <c r="CD382" i="1"/>
  <c r="CD420" i="1" s="1"/>
  <c r="CE382" i="1"/>
  <c r="CE420" i="1" s="1"/>
  <c r="CF382" i="1"/>
  <c r="CF420" i="1" s="1"/>
  <c r="CG382" i="1"/>
  <c r="CG420" i="1" s="1"/>
  <c r="CH382" i="1"/>
  <c r="CH420" i="1" s="1"/>
  <c r="CI382" i="1"/>
  <c r="CI420" i="1" s="1"/>
  <c r="CJ382" i="1"/>
  <c r="CJ420" i="1" s="1"/>
  <c r="CK382" i="1"/>
  <c r="CK420" i="1" s="1"/>
  <c r="CL382" i="1"/>
  <c r="CL420" i="1" s="1"/>
  <c r="CM382" i="1"/>
  <c r="CM420" i="1" s="1"/>
  <c r="CN382" i="1"/>
  <c r="CN420" i="1" s="1"/>
  <c r="CO420" i="1"/>
  <c r="CP382" i="1"/>
  <c r="CP420" i="1" s="1"/>
  <c r="CQ382" i="1"/>
  <c r="CQ420" i="1" s="1"/>
  <c r="CR382" i="1"/>
  <c r="CR420" i="1" s="1"/>
  <c r="CC383" i="1"/>
  <c r="CD383" i="1"/>
  <c r="CE383" i="1"/>
  <c r="CF383" i="1"/>
  <c r="CG383" i="1"/>
  <c r="CH383" i="1"/>
  <c r="CI383" i="1"/>
  <c r="CJ383" i="1"/>
  <c r="CK383" i="1"/>
  <c r="CL383" i="1"/>
  <c r="CM383" i="1"/>
  <c r="CN383" i="1"/>
  <c r="CO383" i="1"/>
  <c r="CP383" i="1"/>
  <c r="CQ383" i="1"/>
  <c r="CR383" i="1"/>
  <c r="CC384" i="1"/>
  <c r="CD384" i="1"/>
  <c r="CE384" i="1"/>
  <c r="CF384" i="1"/>
  <c r="CG384" i="1"/>
  <c r="CH384" i="1"/>
  <c r="CI384" i="1"/>
  <c r="CJ384" i="1"/>
  <c r="CK384" i="1"/>
  <c r="CL384" i="1"/>
  <c r="CM384" i="1"/>
  <c r="CN384" i="1"/>
  <c r="CO384" i="1"/>
  <c r="CP384" i="1"/>
  <c r="CQ384" i="1"/>
  <c r="CR384" i="1"/>
  <c r="CC385" i="1"/>
  <c r="CD385" i="1"/>
  <c r="CE385" i="1"/>
  <c r="CF385" i="1"/>
  <c r="CG385" i="1"/>
  <c r="CH385" i="1"/>
  <c r="CI385" i="1"/>
  <c r="CJ385" i="1"/>
  <c r="CK385" i="1"/>
  <c r="CL385" i="1"/>
  <c r="CM385" i="1"/>
  <c r="CN385" i="1"/>
  <c r="CO385" i="1"/>
  <c r="CP385" i="1"/>
  <c r="CQ385" i="1"/>
  <c r="CR385" i="1"/>
  <c r="T381" i="1"/>
  <c r="T327" i="1" s="1"/>
  <c r="U381" i="1"/>
  <c r="CC386" i="1"/>
  <c r="CD386" i="1"/>
  <c r="CE386" i="1"/>
  <c r="CF386" i="1"/>
  <c r="CG386" i="1"/>
  <c r="CH386" i="1"/>
  <c r="CI386" i="1"/>
  <c r="CJ386" i="1"/>
  <c r="CL386" i="1"/>
  <c r="CM386" i="1"/>
  <c r="CN386" i="1"/>
  <c r="CO386" i="1"/>
  <c r="CP386" i="1"/>
  <c r="CQ386" i="1"/>
  <c r="CR386" i="1"/>
  <c r="CC387" i="1"/>
  <c r="CD387" i="1"/>
  <c r="CE387" i="1"/>
  <c r="CF387" i="1"/>
  <c r="CG387" i="1"/>
  <c r="CH387" i="1"/>
  <c r="CI387" i="1"/>
  <c r="CJ387" i="1"/>
  <c r="CK387" i="1"/>
  <c r="CM387" i="1"/>
  <c r="M388" i="1"/>
  <c r="N388" i="1"/>
  <c r="O388" i="1"/>
  <c r="P388" i="1"/>
  <c r="Q388" i="1"/>
  <c r="R388" i="1"/>
  <c r="S388" i="1"/>
  <c r="T388" i="1"/>
  <c r="U388" i="1"/>
  <c r="CN388" i="1"/>
  <c r="CO388" i="1"/>
  <c r="CQ388" i="1"/>
  <c r="CR388" i="1"/>
  <c r="CC389" i="1"/>
  <c r="CD389" i="1"/>
  <c r="CE389" i="1"/>
  <c r="CF389" i="1"/>
  <c r="CG389" i="1"/>
  <c r="CH389" i="1"/>
  <c r="CI389" i="1"/>
  <c r="CJ389" i="1"/>
  <c r="CC395" i="1"/>
  <c r="CD395" i="1"/>
  <c r="CE395" i="1"/>
  <c r="CF395" i="1"/>
  <c r="CG395" i="1"/>
  <c r="CH395" i="1"/>
  <c r="CI395" i="1"/>
  <c r="CJ395" i="1"/>
  <c r="CK395" i="1"/>
  <c r="CM395" i="1"/>
  <c r="CC396" i="1"/>
  <c r="CD396" i="1"/>
  <c r="CE396" i="1"/>
  <c r="CF396" i="1"/>
  <c r="CG396" i="1"/>
  <c r="CH396" i="1"/>
  <c r="CI396" i="1"/>
  <c r="CJ396" i="1"/>
  <c r="CK396" i="1"/>
  <c r="CM396" i="1"/>
  <c r="CC397" i="1"/>
  <c r="CD397" i="1"/>
  <c r="CE397" i="1"/>
  <c r="CF397" i="1"/>
  <c r="CG397" i="1"/>
  <c r="CH397" i="1"/>
  <c r="CI397" i="1"/>
  <c r="CJ397" i="1"/>
  <c r="CK397" i="1"/>
  <c r="CM397" i="1"/>
  <c r="CC398" i="1"/>
  <c r="CD398" i="1"/>
  <c r="CE398" i="1"/>
  <c r="CF398" i="1"/>
  <c r="CG398" i="1"/>
  <c r="CH398" i="1"/>
  <c r="CI398" i="1"/>
  <c r="CJ398" i="1"/>
  <c r="CK398" i="1"/>
  <c r="CC399" i="1"/>
  <c r="CD399" i="1"/>
  <c r="CE399" i="1"/>
  <c r="CF399" i="1"/>
  <c r="CG399" i="1"/>
  <c r="CH399" i="1"/>
  <c r="CI399" i="1"/>
  <c r="CJ399" i="1"/>
  <c r="CK399" i="1"/>
  <c r="CC400" i="1"/>
  <c r="CD400" i="1"/>
  <c r="CE400" i="1"/>
  <c r="CF400" i="1"/>
  <c r="CG400" i="1"/>
  <c r="CH400" i="1"/>
  <c r="CI400" i="1"/>
  <c r="CJ400" i="1"/>
  <c r="CK400" i="1"/>
  <c r="CC407" i="1"/>
  <c r="CD407" i="1"/>
  <c r="CE407" i="1"/>
  <c r="CF407" i="1"/>
  <c r="CG407" i="1"/>
  <c r="CH407" i="1"/>
  <c r="CI407" i="1"/>
  <c r="CJ407" i="1"/>
  <c r="CK407" i="1"/>
  <c r="CL407" i="1"/>
  <c r="CM407" i="1"/>
  <c r="CN407" i="1"/>
  <c r="CO407" i="1"/>
  <c r="CP407" i="1"/>
  <c r="CQ407" i="1"/>
  <c r="CR407" i="1"/>
  <c r="AN16" i="24" s="1"/>
  <c r="M409" i="1"/>
  <c r="N409" i="1"/>
  <c r="O409" i="1"/>
  <c r="O408" i="1" s="1"/>
  <c r="O393" i="1" s="1"/>
  <c r="P409" i="1"/>
  <c r="P408" i="1" s="1"/>
  <c r="Q409" i="1"/>
  <c r="Q408" i="1" s="1"/>
  <c r="R409" i="1"/>
  <c r="S409" i="1"/>
  <c r="S421" i="1" s="1"/>
  <c r="T409" i="1"/>
  <c r="U409" i="1"/>
  <c r="V409" i="1"/>
  <c r="V421" i="1" s="1"/>
  <c r="W409" i="1"/>
  <c r="W421" i="1" s="1"/>
  <c r="X409" i="1"/>
  <c r="AA409" i="1"/>
  <c r="AA408" i="1" s="1"/>
  <c r="AA406" i="1" s="1"/>
  <c r="AA405" i="1" s="1"/>
  <c r="AB409" i="1"/>
  <c r="AB421" i="1" s="1"/>
  <c r="AC421" i="1"/>
  <c r="AD421" i="1"/>
  <c r="AG421" i="1"/>
  <c r="AG456" i="1" s="1"/>
  <c r="CC410" i="1"/>
  <c r="CD410" i="1"/>
  <c r="CE410" i="1"/>
  <c r="CF410" i="1"/>
  <c r="CG410" i="1"/>
  <c r="CH410" i="1"/>
  <c r="CI410" i="1"/>
  <c r="CJ410" i="1"/>
  <c r="CK410" i="1"/>
  <c r="CL410" i="1"/>
  <c r="CM410" i="1"/>
  <c r="CN410" i="1"/>
  <c r="CO410" i="1"/>
  <c r="CP410" i="1"/>
  <c r="CQ410" i="1"/>
  <c r="CR410" i="1"/>
  <c r="CK411" i="1"/>
  <c r="CC411" i="1"/>
  <c r="CD411" i="1"/>
  <c r="CE411" i="1"/>
  <c r="CF411" i="1"/>
  <c r="CG411" i="1"/>
  <c r="CH411" i="1"/>
  <c r="CI411" i="1"/>
  <c r="CJ411" i="1"/>
  <c r="CL411" i="1"/>
  <c r="CM411" i="1"/>
  <c r="CN411" i="1"/>
  <c r="CO411" i="1"/>
  <c r="CP411" i="1"/>
  <c r="CQ411" i="1"/>
  <c r="CR411" i="1"/>
  <c r="CC412" i="1"/>
  <c r="CD412" i="1"/>
  <c r="CE412" i="1"/>
  <c r="CF412" i="1"/>
  <c r="CG412" i="1"/>
  <c r="CH412" i="1"/>
  <c r="CI412" i="1"/>
  <c r="CJ412" i="1"/>
  <c r="CK412" i="1"/>
  <c r="CL412" i="1"/>
  <c r="CM412" i="1"/>
  <c r="CK413" i="1"/>
  <c r="CM413" i="1"/>
  <c r="CC413" i="1"/>
  <c r="CD413" i="1"/>
  <c r="CE413" i="1"/>
  <c r="CF413" i="1"/>
  <c r="CG413" i="1"/>
  <c r="CH413" i="1"/>
  <c r="CI413" i="1"/>
  <c r="CJ413" i="1"/>
  <c r="CL413" i="1"/>
  <c r="CN413" i="1"/>
  <c r="CO413" i="1"/>
  <c r="CP413" i="1"/>
  <c r="CQ413" i="1"/>
  <c r="CR413" i="1"/>
  <c r="CC414" i="1"/>
  <c r="CD414" i="1"/>
  <c r="CE414" i="1"/>
  <c r="CF414" i="1"/>
  <c r="CG414" i="1"/>
  <c r="CH414" i="1"/>
  <c r="CI414" i="1"/>
  <c r="M415" i="1"/>
  <c r="N415" i="1"/>
  <c r="O415" i="1"/>
  <c r="P415" i="1"/>
  <c r="Q415" i="1"/>
  <c r="R415" i="1"/>
  <c r="CO415" i="1"/>
  <c r="CQ415" i="1"/>
  <c r="CR415" i="1"/>
  <c r="CC416" i="1"/>
  <c r="CD416" i="1"/>
  <c r="CE416" i="1"/>
  <c r="CF416" i="1"/>
  <c r="CG416" i="1"/>
  <c r="CH416" i="1"/>
  <c r="CI416" i="1"/>
  <c r="M420" i="1"/>
  <c r="N420" i="1"/>
  <c r="O420" i="1"/>
  <c r="P420" i="1"/>
  <c r="Q420" i="1"/>
  <c r="R420" i="1"/>
  <c r="S420" i="1"/>
  <c r="T420" i="1"/>
  <c r="U420" i="1"/>
  <c r="V420" i="1"/>
  <c r="W420" i="1"/>
  <c r="X420" i="1"/>
  <c r="AA420" i="1"/>
  <c r="AB420" i="1"/>
  <c r="AC420" i="1"/>
  <c r="AD420" i="1"/>
  <c r="AG420" i="1"/>
  <c r="AG455" i="1" s="1"/>
  <c r="M422" i="1"/>
  <c r="M457" i="1" s="1"/>
  <c r="N422" i="1"/>
  <c r="N457" i="1" s="1"/>
  <c r="O422" i="1"/>
  <c r="O457" i="1" s="1"/>
  <c r="P422" i="1"/>
  <c r="P457" i="1" s="1"/>
  <c r="Q422" i="1"/>
  <c r="Q457" i="1" s="1"/>
  <c r="R422" i="1"/>
  <c r="R457" i="1" s="1"/>
  <c r="S422" i="1"/>
  <c r="S457" i="1" s="1"/>
  <c r="T422" i="1"/>
  <c r="T457" i="1" s="1"/>
  <c r="U422" i="1"/>
  <c r="U457" i="1" s="1"/>
  <c r="V422" i="1"/>
  <c r="V457" i="1" s="1"/>
  <c r="W422" i="1"/>
  <c r="W457" i="1" s="1"/>
  <c r="X422" i="1"/>
  <c r="X457" i="1" s="1"/>
  <c r="AA422" i="1"/>
  <c r="AA457" i="1" s="1"/>
  <c r="AB422" i="1"/>
  <c r="AB457" i="1" s="1"/>
  <c r="AC422" i="1"/>
  <c r="AC457" i="1" s="1"/>
  <c r="AD422" i="1"/>
  <c r="AD457" i="1" s="1"/>
  <c r="AG422" i="1"/>
  <c r="AG457" i="1" s="1"/>
  <c r="M423" i="1"/>
  <c r="M458" i="1" s="1"/>
  <c r="M487" i="1" s="1"/>
  <c r="N423" i="1"/>
  <c r="N458" i="1" s="1"/>
  <c r="N487" i="1" s="1"/>
  <c r="O423" i="1"/>
  <c r="O458" i="1" s="1"/>
  <c r="O487" i="1" s="1"/>
  <c r="P423" i="1"/>
  <c r="P458" i="1" s="1"/>
  <c r="P487" i="1" s="1"/>
  <c r="Q423" i="1"/>
  <c r="Q458" i="1" s="1"/>
  <c r="Q487" i="1" s="1"/>
  <c r="R423" i="1"/>
  <c r="R458" i="1" s="1"/>
  <c r="R487" i="1" s="1"/>
  <c r="S423" i="1"/>
  <c r="S458" i="1" s="1"/>
  <c r="S487" i="1" s="1"/>
  <c r="T423" i="1"/>
  <c r="T458" i="1" s="1"/>
  <c r="T487" i="1" s="1"/>
  <c r="U423" i="1"/>
  <c r="U458" i="1" s="1"/>
  <c r="U487" i="1" s="1"/>
  <c r="V423" i="1"/>
  <c r="V458" i="1" s="1"/>
  <c r="V487" i="1" s="1"/>
  <c r="W423" i="1"/>
  <c r="W458" i="1" s="1"/>
  <c r="W487" i="1" s="1"/>
  <c r="X423" i="1"/>
  <c r="X458" i="1" s="1"/>
  <c r="X487" i="1" s="1"/>
  <c r="AA423" i="1"/>
  <c r="AA458" i="1" s="1"/>
  <c r="AA487" i="1" s="1"/>
  <c r="AB423" i="1"/>
  <c r="AB458" i="1" s="1"/>
  <c r="AB487" i="1" s="1"/>
  <c r="AC423" i="1"/>
  <c r="AC458" i="1" s="1"/>
  <c r="AC487" i="1" s="1"/>
  <c r="AD423" i="1"/>
  <c r="AD458" i="1" s="1"/>
  <c r="AD487" i="1" s="1"/>
  <c r="AG423" i="1"/>
  <c r="M424" i="1"/>
  <c r="M459" i="1" s="1"/>
  <c r="M488" i="1" s="1"/>
  <c r="N424" i="1"/>
  <c r="N459" i="1" s="1"/>
  <c r="N488" i="1" s="1"/>
  <c r="O424" i="1"/>
  <c r="O459" i="1" s="1"/>
  <c r="O488" i="1" s="1"/>
  <c r="P424" i="1"/>
  <c r="P459" i="1" s="1"/>
  <c r="P488" i="1" s="1"/>
  <c r="Q424" i="1"/>
  <c r="Q459" i="1" s="1"/>
  <c r="Q488" i="1" s="1"/>
  <c r="R424" i="1"/>
  <c r="R459" i="1" s="1"/>
  <c r="R488" i="1" s="1"/>
  <c r="S424" i="1"/>
  <c r="S459" i="1" s="1"/>
  <c r="S488" i="1" s="1"/>
  <c r="T424" i="1"/>
  <c r="T459" i="1" s="1"/>
  <c r="T488" i="1" s="1"/>
  <c r="U424" i="1"/>
  <c r="U459" i="1" s="1"/>
  <c r="U488" i="1" s="1"/>
  <c r="V424" i="1"/>
  <c r="V459" i="1" s="1"/>
  <c r="V488" i="1" s="1"/>
  <c r="W424" i="1"/>
  <c r="W459" i="1" s="1"/>
  <c r="W488" i="1" s="1"/>
  <c r="X424" i="1"/>
  <c r="X459" i="1" s="1"/>
  <c r="X488" i="1" s="1"/>
  <c r="M425" i="1"/>
  <c r="M460" i="1" s="1"/>
  <c r="M489" i="1" s="1"/>
  <c r="N425" i="1"/>
  <c r="N460" i="1" s="1"/>
  <c r="N489" i="1" s="1"/>
  <c r="O425" i="1"/>
  <c r="O460" i="1" s="1"/>
  <c r="O489" i="1" s="1"/>
  <c r="P425" i="1"/>
  <c r="P460" i="1" s="1"/>
  <c r="P489" i="1" s="1"/>
  <c r="Q425" i="1"/>
  <c r="Q460" i="1" s="1"/>
  <c r="Q489" i="1" s="1"/>
  <c r="R425" i="1"/>
  <c r="R460" i="1" s="1"/>
  <c r="R489" i="1" s="1"/>
  <c r="S425" i="1"/>
  <c r="S460" i="1" s="1"/>
  <c r="S489" i="1" s="1"/>
  <c r="T425" i="1"/>
  <c r="T460" i="1" s="1"/>
  <c r="T489" i="1" s="1"/>
  <c r="U425" i="1"/>
  <c r="U460" i="1" s="1"/>
  <c r="U489" i="1" s="1"/>
  <c r="V425" i="1"/>
  <c r="V460" i="1" s="1"/>
  <c r="V489" i="1" s="1"/>
  <c r="W425" i="1"/>
  <c r="W460" i="1" s="1"/>
  <c r="W489" i="1" s="1"/>
  <c r="X425" i="1"/>
  <c r="X460" i="1" s="1"/>
  <c r="X489" i="1" s="1"/>
  <c r="AA425" i="1"/>
  <c r="AA460" i="1" s="1"/>
  <c r="AA489" i="1" s="1"/>
  <c r="AB425" i="1"/>
  <c r="AB460" i="1" s="1"/>
  <c r="AB489" i="1" s="1"/>
  <c r="AC425" i="1"/>
  <c r="AC460" i="1" s="1"/>
  <c r="AC489" i="1" s="1"/>
  <c r="AD425" i="1"/>
  <c r="AD460" i="1" s="1"/>
  <c r="AD489" i="1" s="1"/>
  <c r="AG425" i="1"/>
  <c r="AA427" i="1"/>
  <c r="AA462" i="1" s="1"/>
  <c r="AA491" i="1" s="1"/>
  <c r="AB427" i="1"/>
  <c r="AB462" i="1" s="1"/>
  <c r="AB491" i="1" s="1"/>
  <c r="AC427" i="1"/>
  <c r="AC462" i="1" s="1"/>
  <c r="AC491" i="1" s="1"/>
  <c r="AG427" i="1"/>
  <c r="CC432" i="1"/>
  <c r="CD432" i="1"/>
  <c r="CE432" i="1"/>
  <c r="CF432" i="1"/>
  <c r="CG432" i="1"/>
  <c r="CH432" i="1"/>
  <c r="CI432" i="1"/>
  <c r="CJ432" i="1"/>
  <c r="CM432" i="1"/>
  <c r="CC433" i="1"/>
  <c r="CD433" i="1"/>
  <c r="CE433" i="1"/>
  <c r="CF433" i="1"/>
  <c r="CG433" i="1"/>
  <c r="CH433" i="1"/>
  <c r="CI433" i="1"/>
  <c r="M434" i="1"/>
  <c r="N434" i="1"/>
  <c r="O434" i="1"/>
  <c r="P434" i="1"/>
  <c r="Q434" i="1"/>
  <c r="R434" i="1"/>
  <c r="CC435" i="1"/>
  <c r="CD435" i="1"/>
  <c r="CE435" i="1"/>
  <c r="CF435" i="1"/>
  <c r="CG435" i="1"/>
  <c r="CH435" i="1"/>
  <c r="CI435" i="1"/>
  <c r="CJ435" i="1"/>
  <c r="CK435" i="1"/>
  <c r="CL435" i="1"/>
  <c r="CM435" i="1"/>
  <c r="CN435" i="1"/>
  <c r="CO435" i="1"/>
  <c r="CP435" i="1"/>
  <c r="CQ435" i="1"/>
  <c r="CR435" i="1"/>
  <c r="CC442" i="1"/>
  <c r="CD442" i="1"/>
  <c r="CE442" i="1"/>
  <c r="CF442" i="1"/>
  <c r="CG442" i="1"/>
  <c r="CH442" i="1"/>
  <c r="CI442" i="1"/>
  <c r="CJ442" i="1"/>
  <c r="CK442" i="1"/>
  <c r="CL442" i="1"/>
  <c r="CM442" i="1"/>
  <c r="CN442" i="1"/>
  <c r="CO442" i="1"/>
  <c r="CP442" i="1"/>
  <c r="CQ442" i="1"/>
  <c r="CR442" i="1"/>
  <c r="AN27" i="24" s="1"/>
  <c r="M444" i="1"/>
  <c r="N444" i="1"/>
  <c r="O444" i="1"/>
  <c r="P444" i="1"/>
  <c r="Q444" i="1"/>
  <c r="R444" i="1"/>
  <c r="S444" i="1"/>
  <c r="T444" i="1"/>
  <c r="U444" i="1"/>
  <c r="V444" i="1"/>
  <c r="W444" i="1"/>
  <c r="X444" i="1"/>
  <c r="AA444" i="1"/>
  <c r="AB444" i="1"/>
  <c r="M445" i="1"/>
  <c r="N445" i="1"/>
  <c r="O445" i="1"/>
  <c r="P445" i="1"/>
  <c r="Q445" i="1"/>
  <c r="R445" i="1"/>
  <c r="S445" i="1"/>
  <c r="T445" i="1"/>
  <c r="U445" i="1"/>
  <c r="V445" i="1"/>
  <c r="W445" i="1"/>
  <c r="X445" i="1"/>
  <c r="AA445" i="1"/>
  <c r="AB445" i="1"/>
  <c r="CC446" i="1"/>
  <c r="CD446" i="1"/>
  <c r="CE446" i="1"/>
  <c r="CF446" i="1"/>
  <c r="CG446" i="1"/>
  <c r="CH446" i="1"/>
  <c r="CI446" i="1"/>
  <c r="CJ446" i="1"/>
  <c r="CK446" i="1"/>
  <c r="CL446" i="1"/>
  <c r="CM446" i="1"/>
  <c r="CN446" i="1"/>
  <c r="CO446" i="1"/>
  <c r="CP446" i="1"/>
  <c r="CQ446" i="1"/>
  <c r="CR446" i="1"/>
  <c r="CC447" i="1"/>
  <c r="CD447" i="1"/>
  <c r="CE447" i="1"/>
  <c r="CF447" i="1"/>
  <c r="CG447" i="1"/>
  <c r="CH447" i="1"/>
  <c r="CI447" i="1"/>
  <c r="CJ447" i="1"/>
  <c r="CK447" i="1"/>
  <c r="CL447" i="1"/>
  <c r="CM447" i="1"/>
  <c r="CN447" i="1"/>
  <c r="CO447" i="1"/>
  <c r="CP447" i="1"/>
  <c r="CQ447" i="1"/>
  <c r="CR447" i="1"/>
  <c r="CK448" i="1"/>
  <c r="CM448" i="1"/>
  <c r="CC448" i="1"/>
  <c r="CD448" i="1"/>
  <c r="CE448" i="1"/>
  <c r="CF448" i="1"/>
  <c r="CG448" i="1"/>
  <c r="CH448" i="1"/>
  <c r="CI448" i="1"/>
  <c r="CJ448" i="1"/>
  <c r="CL448" i="1"/>
  <c r="CN448" i="1"/>
  <c r="CO448" i="1"/>
  <c r="CP448" i="1"/>
  <c r="CQ448" i="1"/>
  <c r="CR448" i="1"/>
  <c r="CC449" i="1"/>
  <c r="CD449" i="1"/>
  <c r="CE449" i="1"/>
  <c r="CF449" i="1"/>
  <c r="CG449" i="1"/>
  <c r="CH449" i="1"/>
  <c r="CI449" i="1"/>
  <c r="CJ449" i="1"/>
  <c r="CK449" i="1"/>
  <c r="CL449" i="1"/>
  <c r="CM449" i="1"/>
  <c r="M450" i="1"/>
  <c r="N450" i="1"/>
  <c r="O450" i="1"/>
  <c r="P450" i="1"/>
  <c r="Q450" i="1"/>
  <c r="R450" i="1"/>
  <c r="S450" i="1"/>
  <c r="T450" i="1"/>
  <c r="U450" i="1"/>
  <c r="V450" i="1"/>
  <c r="W450" i="1"/>
  <c r="X450" i="1"/>
  <c r="CN450" i="1"/>
  <c r="CO450" i="1"/>
  <c r="CP450" i="1"/>
  <c r="CQ450" i="1"/>
  <c r="CR450" i="1"/>
  <c r="CC451" i="1"/>
  <c r="CD451" i="1"/>
  <c r="CE451" i="1"/>
  <c r="CF451" i="1"/>
  <c r="CG451" i="1"/>
  <c r="CH451" i="1"/>
  <c r="CI451" i="1"/>
  <c r="CI467" i="1"/>
  <c r="CK467" i="1"/>
  <c r="CI468" i="1"/>
  <c r="CC470" i="1"/>
  <c r="CD470" i="1"/>
  <c r="CE470" i="1"/>
  <c r="CF470" i="1"/>
  <c r="CG470" i="1"/>
  <c r="CH470" i="1"/>
  <c r="CI470" i="1"/>
  <c r="M473" i="1"/>
  <c r="N473" i="1"/>
  <c r="O473" i="1"/>
  <c r="P473" i="1"/>
  <c r="Q473" i="1"/>
  <c r="R473" i="1"/>
  <c r="S473" i="1"/>
  <c r="T473" i="1"/>
  <c r="U473" i="1"/>
  <c r="V473" i="1"/>
  <c r="W473" i="1"/>
  <c r="X473" i="1"/>
  <c r="AA473" i="1"/>
  <c r="AB473" i="1"/>
  <c r="M474" i="1"/>
  <c r="N474" i="1"/>
  <c r="O474" i="1"/>
  <c r="P474" i="1"/>
  <c r="Q474" i="1"/>
  <c r="R474" i="1"/>
  <c r="S474" i="1"/>
  <c r="T474" i="1"/>
  <c r="U474" i="1"/>
  <c r="V474" i="1"/>
  <c r="W474" i="1"/>
  <c r="X474" i="1"/>
  <c r="AA474" i="1"/>
  <c r="AB474" i="1"/>
  <c r="M475" i="1"/>
  <c r="N475" i="1"/>
  <c r="O475" i="1"/>
  <c r="P475" i="1"/>
  <c r="Q475" i="1"/>
  <c r="R475" i="1"/>
  <c r="S475" i="1"/>
  <c r="T475" i="1"/>
  <c r="U475" i="1"/>
  <c r="V475" i="1"/>
  <c r="W475" i="1"/>
  <c r="X475" i="1"/>
  <c r="AA475" i="1"/>
  <c r="AB475" i="1"/>
  <c r="CC476" i="1"/>
  <c r="CD476" i="1"/>
  <c r="CE476" i="1"/>
  <c r="CF476" i="1"/>
  <c r="CG476" i="1"/>
  <c r="CH476" i="1"/>
  <c r="CI476" i="1"/>
  <c r="CJ476" i="1"/>
  <c r="CK476" i="1"/>
  <c r="CL476" i="1"/>
  <c r="CM476" i="1"/>
  <c r="CN476" i="1"/>
  <c r="CO476" i="1"/>
  <c r="CP476" i="1"/>
  <c r="CQ476" i="1"/>
  <c r="CR476" i="1"/>
  <c r="CC477" i="1"/>
  <c r="CD477" i="1"/>
  <c r="CE477" i="1"/>
  <c r="CF477" i="1"/>
  <c r="CG477" i="1"/>
  <c r="CH477" i="1"/>
  <c r="CI477" i="1"/>
  <c r="CJ477" i="1"/>
  <c r="CK477" i="1"/>
  <c r="CL477" i="1"/>
  <c r="CN477" i="1"/>
  <c r="CO477" i="1"/>
  <c r="CP477" i="1"/>
  <c r="CQ477" i="1"/>
  <c r="CR477" i="1"/>
  <c r="CC478" i="1"/>
  <c r="CD478" i="1"/>
  <c r="CE478" i="1"/>
  <c r="CF478" i="1"/>
  <c r="CG478" i="1"/>
  <c r="CH478" i="1"/>
  <c r="CI478" i="1"/>
  <c r="CJ478" i="1"/>
  <c r="CK478" i="1"/>
  <c r="CL478" i="1"/>
  <c r="CM478" i="1"/>
  <c r="M479" i="1"/>
  <c r="N479" i="1"/>
  <c r="O479" i="1"/>
  <c r="P479" i="1"/>
  <c r="Q479" i="1"/>
  <c r="R479" i="1"/>
  <c r="S479" i="1"/>
  <c r="T479" i="1"/>
  <c r="U479" i="1"/>
  <c r="V479" i="1"/>
  <c r="W479" i="1"/>
  <c r="X479" i="1"/>
  <c r="CO479" i="1"/>
  <c r="CP479" i="1"/>
  <c r="CQ479" i="1"/>
  <c r="CR479" i="1"/>
  <c r="CC480" i="1"/>
  <c r="CD480" i="1"/>
  <c r="CE480" i="1"/>
  <c r="CF480" i="1"/>
  <c r="CG480" i="1"/>
  <c r="CH480" i="1"/>
  <c r="CI480" i="1"/>
  <c r="CC492" i="1"/>
  <c r="CD492" i="1"/>
  <c r="CE492" i="1"/>
  <c r="CF492" i="1"/>
  <c r="CG492" i="1"/>
  <c r="CH492" i="1"/>
  <c r="CI492" i="1"/>
  <c r="CJ492" i="1"/>
  <c r="CK492" i="1"/>
  <c r="CL492" i="1"/>
  <c r="CM492" i="1"/>
  <c r="CN492" i="1"/>
  <c r="CO492" i="1"/>
  <c r="CP492" i="1"/>
  <c r="CQ492" i="1"/>
  <c r="CR492" i="1"/>
  <c r="CC497" i="1"/>
  <c r="CD497" i="1"/>
  <c r="CE497" i="1"/>
  <c r="CF497" i="1"/>
  <c r="CG497" i="1"/>
  <c r="CH497" i="1"/>
  <c r="CI497" i="1"/>
  <c r="CJ497" i="1"/>
  <c r="AB522" i="1"/>
  <c r="CC499" i="1"/>
  <c r="CD499" i="1"/>
  <c r="CE499" i="1"/>
  <c r="CF499" i="1"/>
  <c r="CG499" i="1"/>
  <c r="CH499" i="1"/>
  <c r="CI499" i="1"/>
  <c r="CJ499" i="1"/>
  <c r="CK499" i="1"/>
  <c r="CL499" i="1"/>
  <c r="CM499" i="1"/>
  <c r="M501" i="1"/>
  <c r="N501" i="1"/>
  <c r="O501" i="1"/>
  <c r="P501" i="1"/>
  <c r="Q501" i="1"/>
  <c r="R501" i="1"/>
  <c r="S501" i="1"/>
  <c r="T501" i="1"/>
  <c r="U501" i="1"/>
  <c r="V501" i="1"/>
  <c r="W501" i="1"/>
  <c r="X501" i="1"/>
  <c r="AA501" i="1"/>
  <c r="AB501" i="1"/>
  <c r="M502" i="1"/>
  <c r="M130" i="1" s="1"/>
  <c r="N502" i="1"/>
  <c r="O502" i="1"/>
  <c r="O130" i="1" s="1"/>
  <c r="P502" i="1"/>
  <c r="Q502" i="1"/>
  <c r="Q130" i="1" s="1"/>
  <c r="R502" i="1"/>
  <c r="S502" i="1"/>
  <c r="T502" i="1"/>
  <c r="U502" i="1"/>
  <c r="V502" i="1"/>
  <c r="W502" i="1"/>
  <c r="X502" i="1"/>
  <c r="M503" i="1"/>
  <c r="N503" i="1"/>
  <c r="O503" i="1"/>
  <c r="P503" i="1"/>
  <c r="Q503" i="1"/>
  <c r="R503" i="1"/>
  <c r="S503" i="1"/>
  <c r="T503" i="1"/>
  <c r="U503" i="1"/>
  <c r="V503" i="1"/>
  <c r="W503" i="1"/>
  <c r="X503" i="1"/>
  <c r="AA503" i="1"/>
  <c r="AB503" i="1"/>
  <c r="M504" i="1"/>
  <c r="N504" i="1"/>
  <c r="O504" i="1"/>
  <c r="P504" i="1"/>
  <c r="Q504" i="1"/>
  <c r="R504" i="1"/>
  <c r="S504" i="1"/>
  <c r="T504" i="1"/>
  <c r="U504" i="1"/>
  <c r="V504" i="1"/>
  <c r="W504" i="1"/>
  <c r="X504" i="1"/>
  <c r="AA504" i="1"/>
  <c r="AB504" i="1"/>
  <c r="CC505" i="1"/>
  <c r="CD505" i="1"/>
  <c r="CE505" i="1"/>
  <c r="CF505" i="1"/>
  <c r="CG505" i="1"/>
  <c r="CH505" i="1"/>
  <c r="CI505" i="1"/>
  <c r="CJ505" i="1"/>
  <c r="CO505" i="1"/>
  <c r="CP505" i="1"/>
  <c r="CQ505" i="1"/>
  <c r="CR505" i="1"/>
  <c r="U520" i="1"/>
  <c r="W520" i="1"/>
  <c r="CC506" i="1"/>
  <c r="CD506" i="1"/>
  <c r="CE506" i="1"/>
  <c r="CF506" i="1"/>
  <c r="CG506" i="1"/>
  <c r="CH506" i="1"/>
  <c r="CI506" i="1"/>
  <c r="M507" i="1"/>
  <c r="N507" i="1"/>
  <c r="O507" i="1"/>
  <c r="P507" i="1"/>
  <c r="Q507" i="1"/>
  <c r="CD508" i="1"/>
  <c r="CE508" i="1"/>
  <c r="CF508" i="1"/>
  <c r="CG508" i="1"/>
  <c r="CH508" i="1"/>
  <c r="CI508" i="1"/>
  <c r="CJ508" i="1"/>
  <c r="CK508" i="1"/>
  <c r="CL508" i="1"/>
  <c r="CM508" i="1"/>
  <c r="CN508" i="1"/>
  <c r="CO508" i="1"/>
  <c r="CP508" i="1"/>
  <c r="CQ508" i="1"/>
  <c r="CR508" i="1"/>
  <c r="CC509" i="1"/>
  <c r="CD509" i="1"/>
  <c r="CE509" i="1"/>
  <c r="CF509" i="1"/>
  <c r="CG509" i="1"/>
  <c r="CH509" i="1"/>
  <c r="CI509" i="1"/>
  <c r="M516" i="1"/>
  <c r="N516" i="1"/>
  <c r="O516" i="1"/>
  <c r="P516" i="1"/>
  <c r="Q516" i="1"/>
  <c r="R516" i="1"/>
  <c r="S516" i="1"/>
  <c r="T516" i="1"/>
  <c r="U516" i="1"/>
  <c r="V516" i="1"/>
  <c r="W516" i="1"/>
  <c r="X516" i="1"/>
  <c r="AA516" i="1"/>
  <c r="AB516" i="1"/>
  <c r="AC516" i="1"/>
  <c r="AD516" i="1"/>
  <c r="M517" i="1"/>
  <c r="N517" i="1"/>
  <c r="O517" i="1"/>
  <c r="P517" i="1"/>
  <c r="Q517" i="1"/>
  <c r="R517" i="1"/>
  <c r="S517" i="1"/>
  <c r="T517" i="1"/>
  <c r="U517" i="1"/>
  <c r="V517" i="1"/>
  <c r="W517" i="1"/>
  <c r="X517" i="1"/>
  <c r="AA517" i="1"/>
  <c r="AB517" i="1"/>
  <c r="AC517" i="1"/>
  <c r="AD517" i="1"/>
  <c r="M518" i="1"/>
  <c r="N518" i="1"/>
  <c r="O518" i="1"/>
  <c r="P518" i="1"/>
  <c r="Q518" i="1"/>
  <c r="R518" i="1"/>
  <c r="S518" i="1"/>
  <c r="T518" i="1"/>
  <c r="U518" i="1"/>
  <c r="V518" i="1"/>
  <c r="W518" i="1"/>
  <c r="X518" i="1"/>
  <c r="AA518" i="1"/>
  <c r="AB518" i="1"/>
  <c r="AC518" i="1"/>
  <c r="AD518" i="1"/>
  <c r="M519" i="1"/>
  <c r="N519" i="1"/>
  <c r="O519" i="1"/>
  <c r="P519" i="1"/>
  <c r="Q519" i="1"/>
  <c r="R519" i="1"/>
  <c r="S519" i="1"/>
  <c r="T519" i="1"/>
  <c r="U519" i="1"/>
  <c r="V519" i="1"/>
  <c r="W519" i="1"/>
  <c r="X519" i="1"/>
  <c r="AA519" i="1"/>
  <c r="AB519" i="1"/>
  <c r="AC519" i="1"/>
  <c r="AD519" i="1"/>
  <c r="M520" i="1"/>
  <c r="N520" i="1"/>
  <c r="O520" i="1"/>
  <c r="P520" i="1"/>
  <c r="Q520" i="1"/>
  <c r="R520" i="1"/>
  <c r="S520" i="1"/>
  <c r="AA520" i="1"/>
  <c r="AB520" i="1"/>
  <c r="AC520" i="1"/>
  <c r="AD520" i="1"/>
  <c r="B522" i="1"/>
  <c r="M522" i="1"/>
  <c r="M536" i="1" s="1"/>
  <c r="N522" i="1"/>
  <c r="N536" i="1" s="1"/>
  <c r="O522" i="1"/>
  <c r="O536" i="1" s="1"/>
  <c r="P522" i="1"/>
  <c r="P536" i="1" s="1"/>
  <c r="P623" i="1" s="1"/>
  <c r="Q522" i="1"/>
  <c r="Q536" i="1" s="1"/>
  <c r="R522" i="1"/>
  <c r="R536" i="1" s="1"/>
  <c r="R623" i="1" s="1"/>
  <c r="S522" i="1"/>
  <c r="S536" i="1" s="1"/>
  <c r="T522" i="1"/>
  <c r="T536" i="1" s="1"/>
  <c r="U522" i="1"/>
  <c r="V522" i="1"/>
  <c r="V536" i="1" s="1"/>
  <c r="W522" i="1"/>
  <c r="X522" i="1"/>
  <c r="CL523" i="1"/>
  <c r="CC523" i="1"/>
  <c r="CD523" i="1"/>
  <c r="CE523" i="1"/>
  <c r="CF523" i="1"/>
  <c r="CG523" i="1"/>
  <c r="CH523" i="1"/>
  <c r="CI523" i="1"/>
  <c r="CN523" i="1"/>
  <c r="CO523" i="1"/>
  <c r="CP523" i="1"/>
  <c r="CQ523" i="1"/>
  <c r="CR523" i="1"/>
  <c r="CC524" i="1"/>
  <c r="CD524" i="1"/>
  <c r="CE524" i="1"/>
  <c r="CF524" i="1"/>
  <c r="CG524" i="1"/>
  <c r="CH524" i="1"/>
  <c r="CI524" i="1"/>
  <c r="CO524" i="1"/>
  <c r="CP524" i="1"/>
  <c r="CQ524" i="1"/>
  <c r="CR524" i="1"/>
  <c r="CC526" i="1"/>
  <c r="CD526" i="1"/>
  <c r="CE526" i="1"/>
  <c r="CF526" i="1"/>
  <c r="CG526" i="1"/>
  <c r="CH526" i="1"/>
  <c r="CI526" i="1"/>
  <c r="CC528" i="1"/>
  <c r="CD528" i="1"/>
  <c r="CE528" i="1"/>
  <c r="CF528" i="1"/>
  <c r="CG528" i="1"/>
  <c r="CH528" i="1"/>
  <c r="CI528" i="1"/>
  <c r="CJ528" i="1"/>
  <c r="CK528" i="1"/>
  <c r="CL528" i="1"/>
  <c r="CM528" i="1"/>
  <c r="CN528" i="1"/>
  <c r="CO528" i="1"/>
  <c r="CP528" i="1"/>
  <c r="CQ528" i="1"/>
  <c r="CR528" i="1"/>
  <c r="CC535" i="1"/>
  <c r="CD535" i="1"/>
  <c r="CE535" i="1"/>
  <c r="CF535" i="1"/>
  <c r="CG535" i="1"/>
  <c r="CH535" i="1"/>
  <c r="CI535" i="1"/>
  <c r="B536" i="1"/>
  <c r="CC537" i="1"/>
  <c r="CD537" i="1"/>
  <c r="CE537" i="1"/>
  <c r="CF537" i="1"/>
  <c r="CG537" i="1"/>
  <c r="CH537" i="1"/>
  <c r="CI537" i="1"/>
  <c r="CC539" i="1"/>
  <c r="CD539" i="1"/>
  <c r="CE539" i="1"/>
  <c r="CF539" i="1"/>
  <c r="CG539" i="1"/>
  <c r="CH539" i="1"/>
  <c r="CI539" i="1"/>
  <c r="CJ539" i="1"/>
  <c r="CK539" i="1"/>
  <c r="CL539" i="1"/>
  <c r="CM539" i="1"/>
  <c r="CC540" i="1"/>
  <c r="CD540" i="1"/>
  <c r="CE540" i="1"/>
  <c r="CF540" i="1"/>
  <c r="CG540" i="1"/>
  <c r="CH540" i="1"/>
  <c r="CI540" i="1"/>
  <c r="CJ540" i="1"/>
  <c r="CK540" i="1"/>
  <c r="CL540" i="1"/>
  <c r="CM540" i="1"/>
  <c r="CC543" i="1"/>
  <c r="CC141" i="1" s="1"/>
  <c r="CD543" i="1"/>
  <c r="CD652" i="1" s="1"/>
  <c r="CE543" i="1"/>
  <c r="CE652" i="1" s="1"/>
  <c r="CF543" i="1"/>
  <c r="CG543" i="1"/>
  <c r="CH543" i="1"/>
  <c r="CH652" i="1" s="1"/>
  <c r="CI543" i="1"/>
  <c r="CI652" i="1" s="1"/>
  <c r="CJ543" i="1"/>
  <c r="CK543" i="1"/>
  <c r="CK652" i="1" s="1"/>
  <c r="CL543" i="1"/>
  <c r="CL652" i="1" s="1"/>
  <c r="CM543" i="1"/>
  <c r="CM652" i="1" s="1"/>
  <c r="CL546" i="1"/>
  <c r="CC546" i="1"/>
  <c r="CD546" i="1"/>
  <c r="CE546" i="1"/>
  <c r="CF546" i="1"/>
  <c r="CG546" i="1"/>
  <c r="CH546" i="1"/>
  <c r="CI546" i="1"/>
  <c r="CJ546" i="1"/>
  <c r="CK546" i="1"/>
  <c r="CM546" i="1"/>
  <c r="CC553" i="1"/>
  <c r="CD553" i="1"/>
  <c r="CE553" i="1"/>
  <c r="CF553" i="1"/>
  <c r="CG553" i="1"/>
  <c r="CH553" i="1"/>
  <c r="CI553" i="1"/>
  <c r="CJ553" i="1"/>
  <c r="CK553" i="1"/>
  <c r="CL553" i="1"/>
  <c r="CM553" i="1"/>
  <c r="CC554" i="1"/>
  <c r="CD554" i="1"/>
  <c r="CE554" i="1"/>
  <c r="CF554" i="1"/>
  <c r="CG554" i="1"/>
  <c r="CH554" i="1"/>
  <c r="CI554" i="1"/>
  <c r="CJ554" i="1"/>
  <c r="CK554" i="1"/>
  <c r="CL554" i="1"/>
  <c r="CM554" i="1"/>
  <c r="CC555" i="1"/>
  <c r="CD555" i="1"/>
  <c r="CE555" i="1"/>
  <c r="CF555" i="1"/>
  <c r="CG555" i="1"/>
  <c r="CH555" i="1"/>
  <c r="CI555" i="1"/>
  <c r="CJ555" i="1"/>
  <c r="CK555" i="1"/>
  <c r="CL555" i="1"/>
  <c r="CM555" i="1"/>
  <c r="CC556" i="1"/>
  <c r="CD556" i="1"/>
  <c r="CE556" i="1"/>
  <c r="CF556" i="1"/>
  <c r="CG556" i="1"/>
  <c r="CH556" i="1"/>
  <c r="CI556" i="1"/>
  <c r="CJ556" i="1"/>
  <c r="CK556" i="1"/>
  <c r="CL556" i="1"/>
  <c r="CM556" i="1"/>
  <c r="CC561" i="1"/>
  <c r="M561" i="1"/>
  <c r="CG561" i="1" s="1"/>
  <c r="CD561" i="1"/>
  <c r="CN565" i="1"/>
  <c r="CC565" i="1"/>
  <c r="CD565" i="1"/>
  <c r="CE565" i="1"/>
  <c r="CF565" i="1"/>
  <c r="CG565" i="1"/>
  <c r="CH565" i="1"/>
  <c r="CI565" i="1"/>
  <c r="CJ565" i="1"/>
  <c r="CK565" i="1"/>
  <c r="CL565" i="1"/>
  <c r="CM565" i="1"/>
  <c r="CN566" i="1"/>
  <c r="CC566" i="1"/>
  <c r="CD566" i="1"/>
  <c r="CE566" i="1"/>
  <c r="CF566" i="1"/>
  <c r="CG566" i="1"/>
  <c r="CH566" i="1"/>
  <c r="CI566" i="1"/>
  <c r="CJ566" i="1"/>
  <c r="CK566" i="1"/>
  <c r="CL566" i="1"/>
  <c r="CM566" i="1"/>
  <c r="CC567" i="1"/>
  <c r="CD567" i="1"/>
  <c r="CE567" i="1"/>
  <c r="CF567" i="1"/>
  <c r="CG567" i="1"/>
  <c r="CH567" i="1"/>
  <c r="CI567" i="1"/>
  <c r="CJ567" i="1"/>
  <c r="CK567" i="1"/>
  <c r="CL567" i="1"/>
  <c r="CM567" i="1"/>
  <c r="CC571" i="1"/>
  <c r="CD571" i="1"/>
  <c r="CE571" i="1"/>
  <c r="CF571" i="1"/>
  <c r="CG571" i="1"/>
  <c r="CH571" i="1"/>
  <c r="CI571" i="1"/>
  <c r="CJ571" i="1"/>
  <c r="CK571" i="1"/>
  <c r="CL571" i="1"/>
  <c r="CM571" i="1"/>
  <c r="CC572" i="1"/>
  <c r="CD572" i="1"/>
  <c r="CE572" i="1"/>
  <c r="CF572" i="1"/>
  <c r="CG572" i="1"/>
  <c r="CH572" i="1"/>
  <c r="CI572" i="1"/>
  <c r="CJ572" i="1"/>
  <c r="CK572" i="1"/>
  <c r="CL572" i="1"/>
  <c r="CM572" i="1"/>
  <c r="CC573" i="1"/>
  <c r="CD573" i="1"/>
  <c r="CE573" i="1"/>
  <c r="CF573" i="1"/>
  <c r="CG573" i="1"/>
  <c r="CH573" i="1"/>
  <c r="CI573" i="1"/>
  <c r="CJ573" i="1"/>
  <c r="CK573" i="1"/>
  <c r="CL573" i="1"/>
  <c r="CM573" i="1"/>
  <c r="CO574" i="1"/>
  <c r="CC574" i="1"/>
  <c r="CD574" i="1"/>
  <c r="CE574" i="1"/>
  <c r="CF574" i="1"/>
  <c r="CG574" i="1"/>
  <c r="CH574" i="1"/>
  <c r="CI574" i="1"/>
  <c r="CJ574" i="1"/>
  <c r="CK574" i="1"/>
  <c r="CL574" i="1"/>
  <c r="CM574" i="1"/>
  <c r="CC575" i="1"/>
  <c r="CD575" i="1"/>
  <c r="CE575" i="1"/>
  <c r="CF575" i="1"/>
  <c r="CG575" i="1"/>
  <c r="CH575" i="1"/>
  <c r="CI575" i="1"/>
  <c r="CJ575" i="1"/>
  <c r="CK575" i="1"/>
  <c r="CL575" i="1"/>
  <c r="CM575" i="1"/>
  <c r="CC576" i="1"/>
  <c r="CD576" i="1"/>
  <c r="CE576" i="1"/>
  <c r="CF576" i="1"/>
  <c r="CG576" i="1"/>
  <c r="CH576" i="1"/>
  <c r="CI576" i="1"/>
  <c r="CJ576" i="1"/>
  <c r="CK576" i="1"/>
  <c r="CL576" i="1"/>
  <c r="CM576" i="1"/>
  <c r="CC577" i="1"/>
  <c r="CD577" i="1"/>
  <c r="CE577" i="1"/>
  <c r="CF577" i="1"/>
  <c r="CG577" i="1"/>
  <c r="CH577" i="1"/>
  <c r="CI577" i="1"/>
  <c r="CJ577" i="1"/>
  <c r="CK577" i="1"/>
  <c r="CL577" i="1"/>
  <c r="CM577" i="1"/>
  <c r="CC578" i="1"/>
  <c r="CD578" i="1"/>
  <c r="CE578" i="1"/>
  <c r="CF578" i="1"/>
  <c r="CG578" i="1"/>
  <c r="CH578" i="1"/>
  <c r="CI578" i="1"/>
  <c r="CJ578" i="1"/>
  <c r="CK578" i="1"/>
  <c r="CL578" i="1"/>
  <c r="CM578" i="1"/>
  <c r="CN583" i="1"/>
  <c r="CC583" i="1"/>
  <c r="CD583" i="1"/>
  <c r="CE583" i="1"/>
  <c r="CF583" i="1"/>
  <c r="CG583" i="1"/>
  <c r="CH583" i="1"/>
  <c r="CI583" i="1"/>
  <c r="Q584" i="1"/>
  <c r="R584" i="1"/>
  <c r="R602" i="1" s="1"/>
  <c r="CH584" i="1"/>
  <c r="B587" i="1"/>
  <c r="CC588" i="1"/>
  <c r="CD588" i="1"/>
  <c r="CE588" i="1"/>
  <c r="M588" i="1"/>
  <c r="CG588" i="1" s="1"/>
  <c r="N588" i="1"/>
  <c r="O588" i="1"/>
  <c r="CH588" i="1" s="1"/>
  <c r="P588" i="1"/>
  <c r="Q588" i="1"/>
  <c r="CI588" i="1" s="1"/>
  <c r="R588" i="1"/>
  <c r="S588" i="1"/>
  <c r="CJ588" i="1" s="1"/>
  <c r="T588" i="1"/>
  <c r="U588" i="1"/>
  <c r="CK588" i="1" s="1"/>
  <c r="V588" i="1"/>
  <c r="W588" i="1"/>
  <c r="CL588" i="1" s="1"/>
  <c r="X588" i="1"/>
  <c r="CF588" i="1"/>
  <c r="CC589" i="1"/>
  <c r="CE589" i="1"/>
  <c r="CF589" i="1"/>
  <c r="M589" i="1"/>
  <c r="CG589" i="1" s="1"/>
  <c r="N589" i="1"/>
  <c r="O589" i="1"/>
  <c r="CH589" i="1" s="1"/>
  <c r="P589" i="1"/>
  <c r="Q589" i="1"/>
  <c r="CI589" i="1" s="1"/>
  <c r="R589" i="1"/>
  <c r="S589" i="1"/>
  <c r="CJ589" i="1" s="1"/>
  <c r="T589" i="1"/>
  <c r="U589" i="1"/>
  <c r="CK589" i="1" s="1"/>
  <c r="V589" i="1"/>
  <c r="W589" i="1"/>
  <c r="CL589" i="1" s="1"/>
  <c r="X589" i="1"/>
  <c r="CD589" i="1"/>
  <c r="CC598" i="1"/>
  <c r="CD598" i="1"/>
  <c r="CE598" i="1"/>
  <c r="CF598" i="1"/>
  <c r="CG598" i="1"/>
  <c r="CH598" i="1"/>
  <c r="CI598" i="1"/>
  <c r="CJ598" i="1"/>
  <c r="CK598" i="1"/>
  <c r="CL598" i="1"/>
  <c r="CM598" i="1"/>
  <c r="P599" i="1"/>
  <c r="P603" i="1" s="1"/>
  <c r="Q599" i="1"/>
  <c r="CI599" i="1" s="1"/>
  <c r="R599" i="1"/>
  <c r="S599" i="1"/>
  <c r="CJ599" i="1" s="1"/>
  <c r="T599" i="1"/>
  <c r="U599" i="1"/>
  <c r="CK599" i="1" s="1"/>
  <c r="V599" i="1"/>
  <c r="W599" i="1"/>
  <c r="CL599" i="1" s="1"/>
  <c r="X599" i="1"/>
  <c r="CC599" i="1"/>
  <c r="CD599" i="1"/>
  <c r="CE599" i="1"/>
  <c r="CF599" i="1"/>
  <c r="CG599" i="1"/>
  <c r="CH599" i="1"/>
  <c r="CC600" i="1"/>
  <c r="CD600" i="1"/>
  <c r="CE600" i="1"/>
  <c r="CF600" i="1"/>
  <c r="CG600" i="1"/>
  <c r="CH600" i="1"/>
  <c r="CI600" i="1"/>
  <c r="CJ600" i="1"/>
  <c r="CK600" i="1"/>
  <c r="CL600" i="1"/>
  <c r="CM600" i="1"/>
  <c r="CC601" i="1"/>
  <c r="CD601" i="1"/>
  <c r="CE601" i="1"/>
  <c r="CF601" i="1"/>
  <c r="CG601" i="1"/>
  <c r="CH601" i="1"/>
  <c r="CI601" i="1"/>
  <c r="CJ601" i="1"/>
  <c r="CK601" i="1"/>
  <c r="CL601" i="1"/>
  <c r="CM601" i="1"/>
  <c r="CC602" i="1"/>
  <c r="CD602" i="1"/>
  <c r="CE602" i="1"/>
  <c r="CF602" i="1"/>
  <c r="CG602" i="1"/>
  <c r="CH602" i="1"/>
  <c r="CC603" i="1"/>
  <c r="CD603" i="1"/>
  <c r="CE603" i="1"/>
  <c r="CF603" i="1"/>
  <c r="M603" i="1"/>
  <c r="CG603" i="1" s="1"/>
  <c r="N603" i="1"/>
  <c r="O603" i="1"/>
  <c r="CH603" i="1" s="1"/>
  <c r="CC606" i="1"/>
  <c r="CD606" i="1"/>
  <c r="CE606" i="1"/>
  <c r="CF606" i="1"/>
  <c r="CG606" i="1"/>
  <c r="CH606" i="1"/>
  <c r="CI606" i="1"/>
  <c r="CJ606" i="1"/>
  <c r="CK606" i="1"/>
  <c r="CL606" i="1"/>
  <c r="CM606" i="1"/>
  <c r="CI610" i="1"/>
  <c r="CJ610" i="1"/>
  <c r="CI611" i="1"/>
  <c r="P116" i="1"/>
  <c r="Q612" i="1"/>
  <c r="CI612" i="1" s="1"/>
  <c r="CC612" i="1"/>
  <c r="CD612" i="1"/>
  <c r="CE612" i="1"/>
  <c r="CF612" i="1"/>
  <c r="B621" i="1"/>
  <c r="M621" i="1"/>
  <c r="N621" i="1"/>
  <c r="O621" i="1"/>
  <c r="P621" i="1"/>
  <c r="Q621" i="1"/>
  <c r="X621" i="1"/>
  <c r="B622" i="1"/>
  <c r="B623" i="1"/>
  <c r="M625" i="1"/>
  <c r="N625" i="1"/>
  <c r="O625" i="1"/>
  <c r="P625" i="1"/>
  <c r="Q625" i="1"/>
  <c r="R625" i="1"/>
  <c r="S625" i="1"/>
  <c r="T625" i="1"/>
  <c r="U625" i="1"/>
  <c r="V625" i="1"/>
  <c r="M626" i="1"/>
  <c r="N626" i="1"/>
  <c r="O626" i="1"/>
  <c r="P626" i="1"/>
  <c r="Q626" i="1"/>
  <c r="R626" i="1"/>
  <c r="S626" i="1"/>
  <c r="T626" i="1"/>
  <c r="U626" i="1"/>
  <c r="W626" i="1"/>
  <c r="X626" i="1"/>
  <c r="M627" i="1"/>
  <c r="N627" i="1"/>
  <c r="O627" i="1"/>
  <c r="P627" i="1"/>
  <c r="Q627" i="1"/>
  <c r="S627" i="1"/>
  <c r="X627" i="1"/>
  <c r="M633" i="1"/>
  <c r="N633" i="1"/>
  <c r="O633" i="1"/>
  <c r="P633" i="1"/>
  <c r="Q633" i="1"/>
  <c r="R633" i="1"/>
  <c r="V633" i="1"/>
  <c r="W633" i="1"/>
  <c r="X633" i="1"/>
  <c r="B634" i="1"/>
  <c r="M634" i="1"/>
  <c r="N634" i="1"/>
  <c r="O634" i="1"/>
  <c r="P634" i="1"/>
  <c r="Q634" i="1"/>
  <c r="V634" i="1"/>
  <c r="B635" i="1"/>
  <c r="B637" i="1" s="1"/>
  <c r="B652" i="1"/>
  <c r="CC660" i="1"/>
  <c r="CD660" i="1"/>
  <c r="CE660" i="1"/>
  <c r="CF660" i="1"/>
  <c r="CG660" i="1"/>
  <c r="CH660" i="1"/>
  <c r="CI660" i="1"/>
  <c r="CJ660" i="1"/>
  <c r="CK660" i="1"/>
  <c r="CL660" i="1"/>
  <c r="CM660" i="1"/>
  <c r="CC661" i="1"/>
  <c r="CD661" i="1"/>
  <c r="CE661" i="1"/>
  <c r="CF661" i="1"/>
  <c r="CG661" i="1"/>
  <c r="CH661" i="1"/>
  <c r="CI661" i="1"/>
  <c r="CJ661" i="1"/>
  <c r="CL661" i="1"/>
  <c r="CM661" i="1"/>
  <c r="CC662" i="1"/>
  <c r="CD662" i="1"/>
  <c r="CE662" i="1"/>
  <c r="CF662" i="1"/>
  <c r="CG662" i="1"/>
  <c r="CH662" i="1"/>
  <c r="CI662" i="1"/>
  <c r="CJ662" i="1"/>
  <c r="CK662" i="1"/>
  <c r="CL662" i="1"/>
  <c r="CM662" i="1"/>
  <c r="CC663" i="1"/>
  <c r="CD663" i="1"/>
  <c r="CE663" i="1"/>
  <c r="CF663" i="1"/>
  <c r="CG663" i="1"/>
  <c r="CH663" i="1"/>
  <c r="CI663" i="1"/>
  <c r="CC664" i="1"/>
  <c r="CD664" i="1"/>
  <c r="CE664" i="1"/>
  <c r="CF664" i="1"/>
  <c r="CG664" i="1"/>
  <c r="CH664" i="1"/>
  <c r="CI664" i="1"/>
  <c r="CJ664" i="1"/>
  <c r="CK664" i="1"/>
  <c r="CL664" i="1"/>
  <c r="CM664" i="1"/>
  <c r="CM665" i="1"/>
  <c r="CC665" i="1"/>
  <c r="CD665" i="1"/>
  <c r="CE665" i="1"/>
  <c r="CF665" i="1"/>
  <c r="CG665" i="1"/>
  <c r="CH665" i="1"/>
  <c r="CI665" i="1"/>
  <c r="CC666" i="1"/>
  <c r="CD666" i="1"/>
  <c r="CE666" i="1"/>
  <c r="CF666" i="1"/>
  <c r="CG666" i="1"/>
  <c r="CH666" i="1"/>
  <c r="CI666" i="1"/>
  <c r="CJ666" i="1"/>
  <c r="CK666" i="1"/>
  <c r="CL666" i="1"/>
  <c r="CM666" i="1"/>
  <c r="CC668" i="1"/>
  <c r="CD668" i="1"/>
  <c r="CE668" i="1"/>
  <c r="CF668" i="1"/>
  <c r="CG668" i="1"/>
  <c r="CH668" i="1"/>
  <c r="CI668" i="1"/>
  <c r="CJ668" i="1"/>
  <c r="CK668" i="1"/>
  <c r="CL668" i="1"/>
  <c r="CM668" i="1"/>
  <c r="CC669" i="1"/>
  <c r="CD669" i="1"/>
  <c r="CE669" i="1"/>
  <c r="CF669" i="1"/>
  <c r="CG669" i="1"/>
  <c r="CH669" i="1"/>
  <c r="CI669" i="1"/>
  <c r="CJ669" i="1"/>
  <c r="CK669" i="1"/>
  <c r="CL669" i="1"/>
  <c r="CM669" i="1"/>
  <c r="CC670" i="1"/>
  <c r="CD670" i="1"/>
  <c r="CE670" i="1"/>
  <c r="CF670" i="1"/>
  <c r="CC671" i="1"/>
  <c r="CD671" i="1"/>
  <c r="CE671" i="1"/>
  <c r="CF671" i="1"/>
  <c r="CG671" i="1"/>
  <c r="CH671" i="1"/>
  <c r="CI671" i="1"/>
  <c r="CJ671" i="1"/>
  <c r="CK671" i="1"/>
  <c r="CL671" i="1"/>
  <c r="CM671" i="1"/>
  <c r="CC672" i="1"/>
  <c r="CD672" i="1"/>
  <c r="CE672" i="1"/>
  <c r="CF672" i="1"/>
  <c r="CG672" i="1"/>
  <c r="CH672" i="1"/>
  <c r="CI672" i="1"/>
  <c r="CJ672" i="1"/>
  <c r="CK672" i="1"/>
  <c r="CL672" i="1"/>
  <c r="CM672" i="1"/>
  <c r="CC673" i="1"/>
  <c r="CD673" i="1"/>
  <c r="CE673" i="1"/>
  <c r="CF673" i="1"/>
  <c r="CG673" i="1"/>
  <c r="CH673" i="1"/>
  <c r="CI673" i="1"/>
  <c r="CJ673" i="1"/>
  <c r="CK673" i="1"/>
  <c r="CL673" i="1"/>
  <c r="CM673" i="1"/>
  <c r="CC675" i="1"/>
  <c r="CD675" i="1"/>
  <c r="CE675" i="1"/>
  <c r="CF675" i="1"/>
  <c r="CG675" i="1"/>
  <c r="CH675" i="1"/>
  <c r="CI675" i="1"/>
  <c r="CJ675" i="1"/>
  <c r="CK675" i="1"/>
  <c r="CL675" i="1"/>
  <c r="CM675" i="1"/>
  <c r="CC676" i="1"/>
  <c r="CD676" i="1"/>
  <c r="CE676" i="1"/>
  <c r="CF676" i="1"/>
  <c r="CG676" i="1"/>
  <c r="CH676" i="1"/>
  <c r="CI676" i="1"/>
  <c r="CJ676" i="1"/>
  <c r="CK676" i="1"/>
  <c r="CL676" i="1"/>
  <c r="CM676" i="1"/>
  <c r="M696" i="1"/>
  <c r="N696" i="1"/>
  <c r="O696" i="1"/>
  <c r="P696" i="1"/>
  <c r="Q696" i="1"/>
  <c r="X696" i="1"/>
  <c r="Y696" i="1"/>
  <c r="M698" i="1"/>
  <c r="N698" i="1"/>
  <c r="O698" i="1"/>
  <c r="P698" i="1"/>
  <c r="Q698" i="1"/>
  <c r="R698" i="1"/>
  <c r="S698" i="1"/>
  <c r="T698" i="1"/>
  <c r="X698" i="1"/>
  <c r="Y698" i="1"/>
  <c r="X702" i="1"/>
  <c r="M702" i="1"/>
  <c r="N702" i="1"/>
  <c r="O702" i="1"/>
  <c r="P702" i="1"/>
  <c r="Q702" i="1"/>
  <c r="R702" i="1"/>
  <c r="S702" i="1"/>
  <c r="T702" i="1"/>
  <c r="Y702" i="1"/>
  <c r="M703" i="1"/>
  <c r="N703" i="1"/>
  <c r="O703" i="1"/>
  <c r="P703" i="1"/>
  <c r="Q703" i="1"/>
  <c r="R703" i="1"/>
  <c r="S703" i="1"/>
  <c r="T703" i="1"/>
  <c r="U703" i="1"/>
  <c r="V703" i="1"/>
  <c r="W703" i="1"/>
  <c r="X703" i="1"/>
  <c r="Y703" i="1"/>
  <c r="M735" i="1"/>
  <c r="M762" i="1" s="1"/>
  <c r="N735" i="1"/>
  <c r="N762" i="1" s="1"/>
  <c r="O735" i="1"/>
  <c r="O762" i="1" s="1"/>
  <c r="P735" i="1"/>
  <c r="P762" i="1" s="1"/>
  <c r="Q735" i="1"/>
  <c r="Q762" i="1" s="1"/>
  <c r="R735" i="1"/>
  <c r="R762" i="1" s="1"/>
  <c r="S735" i="1"/>
  <c r="S762" i="1" s="1"/>
  <c r="T735" i="1"/>
  <c r="T762" i="1" s="1"/>
  <c r="U735" i="1"/>
  <c r="U762" i="1" s="1"/>
  <c r="V735" i="1"/>
  <c r="V762" i="1" s="1"/>
  <c r="W735" i="1"/>
  <c r="W762" i="1" s="1"/>
  <c r="X735" i="1"/>
  <c r="X762" i="1" s="1"/>
  <c r="AA735" i="1"/>
  <c r="M737" i="1"/>
  <c r="M763" i="1" s="1"/>
  <c r="N737" i="1"/>
  <c r="N763" i="1" s="1"/>
  <c r="O737" i="1"/>
  <c r="O763" i="1" s="1"/>
  <c r="P737" i="1"/>
  <c r="P763" i="1" s="1"/>
  <c r="Q737" i="1"/>
  <c r="Q763" i="1" s="1"/>
  <c r="R737" i="1"/>
  <c r="R763" i="1" s="1"/>
  <c r="S737" i="1"/>
  <c r="S763" i="1" s="1"/>
  <c r="T737" i="1"/>
  <c r="T763" i="1" s="1"/>
  <c r="U737" i="1"/>
  <c r="U763" i="1" s="1"/>
  <c r="V737" i="1"/>
  <c r="V763" i="1" s="1"/>
  <c r="W737" i="1"/>
  <c r="W763" i="1" s="1"/>
  <c r="X737" i="1"/>
  <c r="X763" i="1" s="1"/>
  <c r="M814" i="1"/>
  <c r="M815" i="1"/>
  <c r="N815" i="1"/>
  <c r="O815" i="1"/>
  <c r="P815" i="1"/>
  <c r="Q815" i="1"/>
  <c r="R815" i="1"/>
  <c r="S815" i="1"/>
  <c r="T815" i="1"/>
  <c r="U815" i="1"/>
  <c r="V815" i="1"/>
  <c r="W815" i="1"/>
  <c r="X815" i="1"/>
  <c r="P817" i="1"/>
  <c r="M818" i="1"/>
  <c r="N818" i="1"/>
  <c r="O818" i="1"/>
  <c r="P818" i="1"/>
  <c r="Q818" i="1"/>
  <c r="R818" i="1"/>
  <c r="S818" i="1"/>
  <c r="T818" i="1"/>
  <c r="U818" i="1"/>
  <c r="V818" i="1"/>
  <c r="W818" i="1"/>
  <c r="X818" i="1"/>
  <c r="M839" i="1"/>
  <c r="N839" i="1"/>
  <c r="O839" i="1"/>
  <c r="P839" i="1"/>
  <c r="Q839" i="1"/>
  <c r="R839" i="1"/>
  <c r="S839" i="1"/>
  <c r="U839" i="1"/>
  <c r="W839" i="1"/>
  <c r="CL497" i="1"/>
  <c r="CK497" i="1"/>
  <c r="CM398" i="1"/>
  <c r="V507" i="1"/>
  <c r="CK432" i="1"/>
  <c r="CM400" i="1"/>
  <c r="CK386" i="1"/>
  <c r="W54" i="1"/>
  <c r="CN138" i="1"/>
  <c r="T520" i="1"/>
  <c r="CK505" i="1"/>
  <c r="X520" i="1"/>
  <c r="CL505" i="1"/>
  <c r="V520" i="1"/>
  <c r="CM399" i="1"/>
  <c r="CN576" i="1"/>
  <c r="CN92" i="1"/>
  <c r="AA101" i="1"/>
  <c r="AA102" i="1" s="1"/>
  <c r="Y54" i="1"/>
  <c r="CO577" i="1"/>
  <c r="CN577" i="1"/>
  <c r="Y814" i="1"/>
  <c r="Y626" i="1"/>
  <c r="Z626" i="1"/>
  <c r="CP135" i="1"/>
  <c r="CP735" i="1" s="1"/>
  <c r="AB735" i="1"/>
  <c r="CM497" i="1"/>
  <c r="Y520" i="1"/>
  <c r="CM505" i="1"/>
  <c r="Z520" i="1"/>
  <c r="CN505" i="1"/>
  <c r="V839" i="1"/>
  <c r="X839" i="1"/>
  <c r="CK661" i="1"/>
  <c r="U702" i="1"/>
  <c r="U698" i="1"/>
  <c r="W698" i="1"/>
  <c r="W702" i="1"/>
  <c r="V698" i="1"/>
  <c r="V702" i="1"/>
  <c r="Z227" i="1"/>
  <c r="Z703" i="1"/>
  <c r="Z212" i="1"/>
  <c r="Z327" i="1"/>
  <c r="Z839" i="1"/>
  <c r="Z702" i="1"/>
  <c r="Z698" i="1"/>
  <c r="Z696" i="1"/>
  <c r="W222" i="1"/>
  <c r="W227" i="1"/>
  <c r="W234" i="1"/>
  <c r="W237" i="1" s="1"/>
  <c r="W238" i="1" s="1"/>
  <c r="W696" i="1"/>
  <c r="W212" i="1"/>
  <c r="W262" i="1"/>
  <c r="U54" i="1"/>
  <c r="T839" i="1"/>
  <c r="M78" i="1"/>
  <c r="M77" i="1"/>
  <c r="N77" i="1"/>
  <c r="O78" i="1"/>
  <c r="O77" i="1"/>
  <c r="N78" i="1"/>
  <c r="Q78" i="1"/>
  <c r="P78" i="1"/>
  <c r="P77" i="1"/>
  <c r="Q77" i="1"/>
  <c r="S78" i="1"/>
  <c r="S77" i="1"/>
  <c r="R78" i="1"/>
  <c r="R77" i="1"/>
  <c r="R266" i="1"/>
  <c r="J6" i="23" l="1"/>
  <c r="O24" i="23" s="1"/>
  <c r="J8" i="23"/>
  <c r="M816" i="1"/>
  <c r="CK524" i="1"/>
  <c r="T623" i="1"/>
  <c r="CM524" i="1"/>
  <c r="X507" i="1"/>
  <c r="U627" i="1"/>
  <c r="CK627" i="1" s="1"/>
  <c r="S814" i="1"/>
  <c r="CD450" i="1"/>
  <c r="T202" i="1"/>
  <c r="U814" i="1"/>
  <c r="CM506" i="1"/>
  <c r="CI125" i="1"/>
  <c r="CF450" i="1"/>
  <c r="S262" i="1"/>
  <c r="R234" i="1"/>
  <c r="R237" i="1" s="1"/>
  <c r="R238" i="1" s="1"/>
  <c r="U215" i="1"/>
  <c r="U232" i="1" s="1"/>
  <c r="U233" i="1" s="1"/>
  <c r="CL125" i="1"/>
  <c r="T507" i="1"/>
  <c r="C10" i="22"/>
  <c r="C11" i="22" s="1"/>
  <c r="W507" i="1"/>
  <c r="CL507" i="1" s="1"/>
  <c r="CK470" i="1"/>
  <c r="S507" i="1"/>
  <c r="CJ507" i="1" s="1"/>
  <c r="CJ509" i="1" s="1"/>
  <c r="U202" i="1"/>
  <c r="CK202" i="1" s="1"/>
  <c r="CJ526" i="1"/>
  <c r="O814" i="1"/>
  <c r="CL610" i="1"/>
  <c r="U212" i="1"/>
  <c r="T203" i="1"/>
  <c r="V202" i="1"/>
  <c r="AB45" i="17"/>
  <c r="G9" i="7"/>
  <c r="G10" i="7"/>
  <c r="X60" i="1"/>
  <c r="X49" i="1" s="1"/>
  <c r="V60" i="1"/>
  <c r="V49" i="1" s="1"/>
  <c r="Y507" i="1"/>
  <c r="CL171" i="1"/>
  <c r="W60" i="1"/>
  <c r="W49" i="1" s="1"/>
  <c r="CM171" i="1"/>
  <c r="Y60" i="1"/>
  <c r="Y49" i="1" s="1"/>
  <c r="Z60" i="1"/>
  <c r="Z49" i="1" s="1"/>
  <c r="CK171" i="1"/>
  <c r="U60" i="1"/>
  <c r="U49" i="1" s="1"/>
  <c r="Q61" i="1"/>
  <c r="Z177" i="1"/>
  <c r="Z114" i="1" s="1"/>
  <c r="P204" i="1"/>
  <c r="P670" i="1" s="1"/>
  <c r="Y635" i="1"/>
  <c r="Y738" i="1" s="1"/>
  <c r="Y764" i="1" s="1"/>
  <c r="U238" i="1"/>
  <c r="CK535" i="1"/>
  <c r="Q204" i="1"/>
  <c r="Q670" i="1" s="1"/>
  <c r="CI670" i="1" s="1"/>
  <c r="CM470" i="1"/>
  <c r="Z443" i="1"/>
  <c r="Z430" i="1" s="1"/>
  <c r="T192" i="1"/>
  <c r="T58" i="1" s="1"/>
  <c r="T198" i="1"/>
  <c r="T61" i="1" s="1"/>
  <c r="O204" i="1"/>
  <c r="CH204" i="1" s="1"/>
  <c r="V203" i="1"/>
  <c r="N204" i="1"/>
  <c r="N670" i="1" s="1"/>
  <c r="Y408" i="1"/>
  <c r="Y406" i="1" s="1"/>
  <c r="Y405" i="1" s="1"/>
  <c r="Z627" i="1"/>
  <c r="U696" i="1"/>
  <c r="X634" i="1"/>
  <c r="CM634" i="1" s="1"/>
  <c r="CM610" i="1"/>
  <c r="CM145" i="1" s="1"/>
  <c r="CK610" i="1"/>
  <c r="S212" i="1"/>
  <c r="W143" i="1"/>
  <c r="U143" i="1"/>
  <c r="S143" i="1"/>
  <c r="AG462" i="1"/>
  <c r="AG491" i="1" s="1"/>
  <c r="AG460" i="1"/>
  <c r="AG489" i="1" s="1"/>
  <c r="AG458" i="1"/>
  <c r="AG487" i="1" s="1"/>
  <c r="CZ707" i="1"/>
  <c r="V177" i="1"/>
  <c r="V179" i="1"/>
  <c r="CK178" i="1"/>
  <c r="U179" i="1"/>
  <c r="CK506" i="1"/>
  <c r="CK537" i="1"/>
  <c r="CR425" i="1"/>
  <c r="CR460" i="1" s="1"/>
  <c r="CR489" i="1" s="1"/>
  <c r="CN425" i="1"/>
  <c r="CN460" i="1" s="1"/>
  <c r="CN489" i="1" s="1"/>
  <c r="T667" i="1"/>
  <c r="T145" i="1"/>
  <c r="O58" i="1"/>
  <c r="S635" i="1"/>
  <c r="S738" i="1" s="1"/>
  <c r="S764" i="1" s="1"/>
  <c r="CJ524" i="1"/>
  <c r="CJ535" i="1"/>
  <c r="CJ537" i="1"/>
  <c r="S202" i="1"/>
  <c r="CJ202" i="1" s="1"/>
  <c r="CP425" i="1"/>
  <c r="CP460" i="1" s="1"/>
  <c r="CP489" i="1" s="1"/>
  <c r="C257" i="1"/>
  <c r="C304" i="1"/>
  <c r="CG450" i="1"/>
  <c r="CM839" i="1"/>
  <c r="Y415" i="1"/>
  <c r="Y427" i="1" s="1"/>
  <c r="Y462" i="1" s="1"/>
  <c r="Y491" i="1" s="1"/>
  <c r="T54" i="1"/>
  <c r="CM105" i="1"/>
  <c r="AA247" i="1"/>
  <c r="AA248" i="1"/>
  <c r="AA252" i="1"/>
  <c r="AA253" i="1"/>
  <c r="Z102" i="1"/>
  <c r="CL506" i="1"/>
  <c r="CL526" i="1"/>
  <c r="CK433" i="1"/>
  <c r="CK526" i="1"/>
  <c r="X202" i="1"/>
  <c r="Z202" i="1"/>
  <c r="Z204" i="1" s="1"/>
  <c r="Z670" i="1" s="1"/>
  <c r="Z186" i="1"/>
  <c r="Z55" i="1" s="1"/>
  <c r="X198" i="1"/>
  <c r="X61" i="1" s="1"/>
  <c r="Z228" i="1"/>
  <c r="Y145" i="1"/>
  <c r="CN519" i="1"/>
  <c r="CN504" i="1"/>
  <c r="CM479" i="1"/>
  <c r="CM480" i="1" s="1"/>
  <c r="M61" i="1"/>
  <c r="CM522" i="1"/>
  <c r="CE762" i="1"/>
  <c r="AB443" i="1"/>
  <c r="AD98" i="1" s="1"/>
  <c r="CD409" i="1"/>
  <c r="CD421" i="1" s="1"/>
  <c r="R232" i="1"/>
  <c r="U177" i="1"/>
  <c r="CK177" i="1" s="1"/>
  <c r="AA443" i="1"/>
  <c r="AA441" i="1" s="1"/>
  <c r="AA472" i="1"/>
  <c r="AA471" i="1" s="1"/>
  <c r="AD486" i="1"/>
  <c r="CJ423" i="1"/>
  <c r="CJ458" i="1" s="1"/>
  <c r="CJ487" i="1" s="1"/>
  <c r="CH423" i="1"/>
  <c r="CH458" i="1" s="1"/>
  <c r="CH487" i="1" s="1"/>
  <c r="CF423" i="1"/>
  <c r="CF458" i="1" s="1"/>
  <c r="CF487" i="1" s="1"/>
  <c r="CD423" i="1"/>
  <c r="CD458" i="1" s="1"/>
  <c r="CD487" i="1" s="1"/>
  <c r="CM60" i="1"/>
  <c r="CM49" i="1" s="1"/>
  <c r="CK122" i="1"/>
  <c r="CN517" i="1"/>
  <c r="O61" i="1"/>
  <c r="S61" i="1"/>
  <c r="CJ583" i="1"/>
  <c r="AC456" i="1"/>
  <c r="AC485" i="1" s="1"/>
  <c r="CI423" i="1"/>
  <c r="CI458" i="1" s="1"/>
  <c r="CI487" i="1" s="1"/>
  <c r="CE423" i="1"/>
  <c r="CE458" i="1" s="1"/>
  <c r="CE487" i="1" s="1"/>
  <c r="CM122" i="1"/>
  <c r="CL122" i="1"/>
  <c r="W414" i="1"/>
  <c r="W408" i="1" s="1"/>
  <c r="CO573" i="1"/>
  <c r="Y228" i="1"/>
  <c r="CM627" i="1"/>
  <c r="V130" i="1"/>
  <c r="T408" i="1"/>
  <c r="T419" i="1" s="1"/>
  <c r="V381" i="1"/>
  <c r="V395" i="1" s="1"/>
  <c r="W395" i="1" s="1"/>
  <c r="CL395" i="1" s="1"/>
  <c r="CI192" i="1"/>
  <c r="CI248" i="1" s="1"/>
  <c r="CE450" i="1"/>
  <c r="CC652" i="1"/>
  <c r="CI101" i="1"/>
  <c r="CI97" i="1" s="1"/>
  <c r="CM101" i="1"/>
  <c r="CK101" i="1"/>
  <c r="X434" i="1"/>
  <c r="CL101" i="1"/>
  <c r="CJ101" i="1"/>
  <c r="T434" i="1"/>
  <c r="CJ103" i="1"/>
  <c r="CQ473" i="1"/>
  <c r="U102" i="1"/>
  <c r="X536" i="1"/>
  <c r="X623" i="1" s="1"/>
  <c r="P421" i="1"/>
  <c r="P456" i="1" s="1"/>
  <c r="P485" i="1" s="1"/>
  <c r="CM93" i="1"/>
  <c r="CE93" i="1"/>
  <c r="CM227" i="1"/>
  <c r="CM222" i="1"/>
  <c r="CM215" i="1"/>
  <c r="CM191" i="1"/>
  <c r="CM197" i="1"/>
  <c r="Z237" i="1"/>
  <c r="N623" i="1"/>
  <c r="CM185" i="1"/>
  <c r="CN445" i="1"/>
  <c r="Z455" i="1"/>
  <c r="Z484" i="1" s="1"/>
  <c r="Z472" i="1"/>
  <c r="Z471" i="1" s="1"/>
  <c r="Z500" i="1"/>
  <c r="Z498" i="1" s="1"/>
  <c r="CN501" i="1"/>
  <c r="CP409" i="1"/>
  <c r="CP421" i="1" s="1"/>
  <c r="CM409" i="1"/>
  <c r="CM421" i="1" s="1"/>
  <c r="Z421" i="1"/>
  <c r="Z456" i="1" s="1"/>
  <c r="Z485" i="1" s="1"/>
  <c r="Z408" i="1"/>
  <c r="Z406" i="1" s="1"/>
  <c r="Z405" i="1" s="1"/>
  <c r="CH415" i="1"/>
  <c r="Y443" i="1"/>
  <c r="Y430" i="1" s="1"/>
  <c r="Y472" i="1"/>
  <c r="Y465" i="1" s="1"/>
  <c r="CL520" i="1"/>
  <c r="CD634" i="1"/>
  <c r="CJ627" i="1"/>
  <c r="CG520" i="1"/>
  <c r="CD473" i="1"/>
  <c r="R486" i="1"/>
  <c r="P486" i="1"/>
  <c r="AD456" i="1"/>
  <c r="AD485" i="1" s="1"/>
  <c r="CH409" i="1"/>
  <c r="CH421" i="1" s="1"/>
  <c r="CF409" i="1"/>
  <c r="CF421" i="1" s="1"/>
  <c r="Q63" i="1"/>
  <c r="S145" i="1"/>
  <c r="X143" i="1"/>
  <c r="Y667" i="1"/>
  <c r="CM667" i="1" s="1"/>
  <c r="CL626" i="1"/>
  <c r="N242" i="1"/>
  <c r="Q116" i="1"/>
  <c r="X421" i="1"/>
  <c r="X456" i="1" s="1"/>
  <c r="X485" i="1" s="1"/>
  <c r="CD192" i="1"/>
  <c r="CD58" i="1" s="1"/>
  <c r="W443" i="1"/>
  <c r="W430" i="1" s="1"/>
  <c r="S443" i="1"/>
  <c r="S441" i="1" s="1"/>
  <c r="S440" i="1" s="1"/>
  <c r="AD455" i="1"/>
  <c r="AD484" i="1" s="1"/>
  <c r="AB455" i="1"/>
  <c r="AB484" i="1" s="1"/>
  <c r="V443" i="1"/>
  <c r="V430" i="1" s="1"/>
  <c r="Q455" i="1"/>
  <c r="Q484" i="1" s="1"/>
  <c r="R427" i="1"/>
  <c r="R462" i="1" s="1"/>
  <c r="R491" i="1" s="1"/>
  <c r="P427" i="1"/>
  <c r="P462" i="1" s="1"/>
  <c r="P491" i="1" s="1"/>
  <c r="N427" i="1"/>
  <c r="N462" i="1" s="1"/>
  <c r="N491" i="1" s="1"/>
  <c r="CC381" i="1"/>
  <c r="CC327" i="1" s="1"/>
  <c r="CE64" i="1"/>
  <c r="CD64" i="1"/>
  <c r="CF192" i="1"/>
  <c r="CG248" i="1" s="1"/>
  <c r="CE59" i="1"/>
  <c r="CE48" i="1" s="1"/>
  <c r="CG58" i="1"/>
  <c r="CC58" i="1"/>
  <c r="CL115" i="1"/>
  <c r="CH815" i="1"/>
  <c r="CC102" i="1"/>
  <c r="CE102" i="1"/>
  <c r="CF102" i="1"/>
  <c r="CG102" i="1"/>
  <c r="X192" i="1"/>
  <c r="X58" i="1" s="1"/>
  <c r="M243" i="1"/>
  <c r="Q243" i="1"/>
  <c r="P247" i="1"/>
  <c r="W192" i="1"/>
  <c r="CL192" i="1" s="1"/>
  <c r="CL58" i="1" s="1"/>
  <c r="U198" i="1"/>
  <c r="CK198" i="1" s="1"/>
  <c r="CK61" i="1" s="1"/>
  <c r="CK103" i="1"/>
  <c r="U130" i="1"/>
  <c r="S232" i="1"/>
  <c r="U434" i="1"/>
  <c r="Q421" i="1"/>
  <c r="Q456" i="1" s="1"/>
  <c r="Q485" i="1" s="1"/>
  <c r="Y64" i="1"/>
  <c r="CC1" i="1"/>
  <c r="CC725" i="1"/>
  <c r="CN546" i="1"/>
  <c r="Q817" i="1"/>
  <c r="CH122" i="1"/>
  <c r="CL445" i="1"/>
  <c r="X265" i="1"/>
  <c r="CP565" i="1"/>
  <c r="CC625" i="1"/>
  <c r="CN601" i="1"/>
  <c r="CN555" i="1"/>
  <c r="U584" i="1"/>
  <c r="S456" i="1"/>
  <c r="S485" i="1" s="1"/>
  <c r="CH633" i="1"/>
  <c r="CC444" i="1"/>
  <c r="CC455" i="1" s="1"/>
  <c r="CK517" i="1"/>
  <c r="CL516" i="1"/>
  <c r="CR504" i="1"/>
  <c r="CJ501" i="1"/>
  <c r="CG501" i="1"/>
  <c r="CO475" i="1"/>
  <c r="CG141" i="1"/>
  <c r="CG143" i="1" s="1"/>
  <c r="AB486" i="1"/>
  <c r="X486" i="1"/>
  <c r="T486" i="1"/>
  <c r="AA455" i="1"/>
  <c r="AA484" i="1" s="1"/>
  <c r="U455" i="1"/>
  <c r="U484" i="1" s="1"/>
  <c r="M455" i="1"/>
  <c r="M484" i="1" s="1"/>
  <c r="W228" i="1"/>
  <c r="Y223" i="1"/>
  <c r="W223" i="1"/>
  <c r="CL56" i="1"/>
  <c r="CF54" i="1"/>
  <c r="CM52" i="1"/>
  <c r="CE52" i="1"/>
  <c r="CC762" i="1"/>
  <c r="Z130" i="1"/>
  <c r="CC501" i="1"/>
  <c r="CL479" i="1"/>
  <c r="CL480" i="1" s="1"/>
  <c r="CQ474" i="1"/>
  <c r="X472" i="1"/>
  <c r="X465" i="1" s="1"/>
  <c r="CL474" i="1"/>
  <c r="CC474" i="1"/>
  <c r="CL473" i="1"/>
  <c r="CJ473" i="1"/>
  <c r="CF473" i="1"/>
  <c r="CG445" i="1"/>
  <c r="Z667" i="1"/>
  <c r="W63" i="1"/>
  <c r="V667" i="1"/>
  <c r="U408" i="1"/>
  <c r="U393" i="1" s="1"/>
  <c r="U507" i="1"/>
  <c r="X159" i="1"/>
  <c r="N130" i="1"/>
  <c r="CH502" i="1"/>
  <c r="CH130" i="1" s="1"/>
  <c r="CG502" i="1"/>
  <c r="CG130" i="1" s="1"/>
  <c r="U500" i="1"/>
  <c r="U495" i="1" s="1"/>
  <c r="Q500" i="1"/>
  <c r="T472" i="1"/>
  <c r="T465" i="1" s="1"/>
  <c r="CK474" i="1"/>
  <c r="CG474" i="1"/>
  <c r="W667" i="1"/>
  <c r="CL667" i="1" s="1"/>
  <c r="CL178" i="1"/>
  <c r="S181" i="1"/>
  <c r="S154" i="1" s="1"/>
  <c r="CJ178" i="1"/>
  <c r="O181" i="1"/>
  <c r="O812" i="1" s="1"/>
  <c r="O177" i="1"/>
  <c r="O114" i="1" s="1"/>
  <c r="CF178" i="1"/>
  <c r="CF795" i="1" s="1"/>
  <c r="CF177" i="1"/>
  <c r="CF114" i="1" s="1"/>
  <c r="CE667" i="1"/>
  <c r="CE178" i="1"/>
  <c r="CD667" i="1"/>
  <c r="CD177" i="1"/>
  <c r="CD114" i="1" s="1"/>
  <c r="CC52" i="1"/>
  <c r="CD52" i="1"/>
  <c r="Y103" i="1"/>
  <c r="CM104" i="1"/>
  <c r="CD102" i="1"/>
  <c r="CD101" i="1"/>
  <c r="CD790" i="1" s="1"/>
  <c r="O102" i="1"/>
  <c r="CH101" i="1"/>
  <c r="CH790" i="1" s="1"/>
  <c r="Y186" i="1"/>
  <c r="CC186" i="1"/>
  <c r="CC55" i="1" s="1"/>
  <c r="P242" i="1"/>
  <c r="O243" i="1"/>
  <c r="O242" i="1"/>
  <c r="P58" i="1"/>
  <c r="P248" i="1"/>
  <c r="Q247" i="1"/>
  <c r="CC204" i="1"/>
  <c r="CC202" i="1"/>
  <c r="V468" i="1"/>
  <c r="V469" i="1" s="1"/>
  <c r="CL470" i="1"/>
  <c r="CL524" i="1"/>
  <c r="V627" i="1"/>
  <c r="CL627" i="1" s="1"/>
  <c r="S667" i="1"/>
  <c r="CJ667" i="1" s="1"/>
  <c r="CD178" i="1"/>
  <c r="Z181" i="1"/>
  <c r="Z812" i="1" s="1"/>
  <c r="U667" i="1"/>
  <c r="CK667" i="1" s="1"/>
  <c r="V472" i="1"/>
  <c r="V471" i="1" s="1"/>
  <c r="M247" i="1"/>
  <c r="L304" i="1" s="1"/>
  <c r="Z61" i="1"/>
  <c r="W177" i="1"/>
  <c r="CL177" i="1" s="1"/>
  <c r="CD522" i="1"/>
  <c r="CF522" i="1"/>
  <c r="CH522" i="1"/>
  <c r="CJ522" i="1"/>
  <c r="U635" i="1"/>
  <c r="U738" i="1" s="1"/>
  <c r="U764" i="1" s="1"/>
  <c r="X203" i="1"/>
  <c r="V152" i="1"/>
  <c r="CI178" i="1"/>
  <c r="Q181" i="1"/>
  <c r="Q154" i="1" s="1"/>
  <c r="CN571" i="1"/>
  <c r="CF667" i="1"/>
  <c r="W634" i="1"/>
  <c r="CL634" i="1" s="1"/>
  <c r="CK633" i="1"/>
  <c r="Q602" i="1"/>
  <c r="CI602" i="1" s="1"/>
  <c r="CI584" i="1"/>
  <c r="CI585" i="1" s="1"/>
  <c r="CF561" i="1"/>
  <c r="CF562" i="1" s="1"/>
  <c r="CD562" i="1"/>
  <c r="CI202" i="1"/>
  <c r="CF101" i="1"/>
  <c r="T232" i="1"/>
  <c r="T212" i="1"/>
  <c r="T262" i="1"/>
  <c r="CJ185" i="1"/>
  <c r="S203" i="1"/>
  <c r="R212" i="1"/>
  <c r="R262" i="1"/>
  <c r="CJ470" i="1"/>
  <c r="T218" i="1"/>
  <c r="S116" i="1"/>
  <c r="R634" i="1"/>
  <c r="R635" i="1" s="1"/>
  <c r="P635" i="1"/>
  <c r="P738" i="1" s="1"/>
  <c r="P764" i="1" s="1"/>
  <c r="CF633" i="1"/>
  <c r="CI627" i="1"/>
  <c r="U621" i="1"/>
  <c r="CK621" i="1" s="1"/>
  <c r="CL450" i="1"/>
  <c r="CL451" i="1" s="1"/>
  <c r="U218" i="1"/>
  <c r="X102" i="1"/>
  <c r="S64" i="1"/>
  <c r="CN444" i="1"/>
  <c r="CN455" i="1" s="1"/>
  <c r="S408" i="1"/>
  <c r="S406" i="1" s="1"/>
  <c r="S405" i="1" s="1"/>
  <c r="CC388" i="1"/>
  <c r="CK381" i="1"/>
  <c r="CK327" i="1" s="1"/>
  <c r="CF381" i="1"/>
  <c r="CF327" i="1" s="1"/>
  <c r="X667" i="1"/>
  <c r="R667" i="1"/>
  <c r="X145" i="1"/>
  <c r="V145" i="1"/>
  <c r="CD60" i="1"/>
  <c r="CD49" i="1" s="1"/>
  <c r="CJ59" i="1"/>
  <c r="CJ48" i="1" s="1"/>
  <c r="CF59" i="1"/>
  <c r="CF48" i="1" s="1"/>
  <c r="CK57" i="1"/>
  <c r="CJ56" i="1"/>
  <c r="CH56" i="1"/>
  <c r="CF56" i="1"/>
  <c r="CD56" i="1"/>
  <c r="CL54" i="1"/>
  <c r="CJ54" i="1"/>
  <c r="CH54" i="1"/>
  <c r="CI52" i="1"/>
  <c r="T143" i="1"/>
  <c r="R143" i="1"/>
  <c r="CC737" i="1"/>
  <c r="CC763" i="1" s="1"/>
  <c r="CK115" i="1"/>
  <c r="CC815" i="1"/>
  <c r="CI122" i="1"/>
  <c r="CE122" i="1"/>
  <c r="CL815" i="1"/>
  <c r="CJ115" i="1"/>
  <c r="CH115" i="1"/>
  <c r="CF115" i="1"/>
  <c r="CL60" i="1"/>
  <c r="CL49" i="1" s="1"/>
  <c r="CH58" i="1"/>
  <c r="CD61" i="1"/>
  <c r="CF61" i="1"/>
  <c r="CH61" i="1"/>
  <c r="Y266" i="1"/>
  <c r="CM414" i="1"/>
  <c r="Y455" i="1"/>
  <c r="Y484" i="1" s="1"/>
  <c r="CI469" i="1"/>
  <c r="Y500" i="1"/>
  <c r="Y495" i="1" s="1"/>
  <c r="CL105" i="1"/>
  <c r="CD445" i="1"/>
  <c r="CG522" i="1"/>
  <c r="CJ122" i="1"/>
  <c r="CJ145" i="1"/>
  <c r="R181" i="1"/>
  <c r="R816" i="1" s="1"/>
  <c r="R265" i="1"/>
  <c r="M443" i="1"/>
  <c r="M441" i="1" s="1"/>
  <c r="M440" i="1" s="1"/>
  <c r="CP574" i="1"/>
  <c r="Z232" i="1"/>
  <c r="Z233" i="1" s="1"/>
  <c r="CF536" i="1"/>
  <c r="W472" i="1"/>
  <c r="W465" i="1" s="1"/>
  <c r="U327" i="1"/>
  <c r="Y584" i="1"/>
  <c r="O247" i="1"/>
  <c r="Q242" i="1"/>
  <c r="M242" i="1"/>
  <c r="L299" i="1" s="1"/>
  <c r="Z623" i="1"/>
  <c r="N247" i="1"/>
  <c r="X228" i="1"/>
  <c r="CR409" i="1"/>
  <c r="CR421" i="1" s="1"/>
  <c r="CD633" i="1"/>
  <c r="CG634" i="1"/>
  <c r="X63" i="1"/>
  <c r="CD536" i="1"/>
  <c r="S817" i="1"/>
  <c r="N248" i="1"/>
  <c r="CC115" i="1"/>
  <c r="CO444" i="1"/>
  <c r="CO455" i="1" s="1"/>
  <c r="O421" i="1"/>
  <c r="O456" i="1" s="1"/>
  <c r="O485" i="1" s="1"/>
  <c r="CI409" i="1"/>
  <c r="CI421" i="1" s="1"/>
  <c r="CD141" i="1"/>
  <c r="CD143" i="1" s="1"/>
  <c r="CJ611" i="1"/>
  <c r="CJ613" i="1" s="1"/>
  <c r="CN474" i="1"/>
  <c r="CC450" i="1"/>
  <c r="W266" i="1"/>
  <c r="CE192" i="1"/>
  <c r="CE58" i="1" s="1"/>
  <c r="CC57" i="1"/>
  <c r="CC56" i="1"/>
  <c r="CG101" i="1"/>
  <c r="CG790" i="1" s="1"/>
  <c r="CE101" i="1"/>
  <c r="CE97" i="1" s="1"/>
  <c r="CC101" i="1"/>
  <c r="CC790" i="1" s="1"/>
  <c r="M58" i="1"/>
  <c r="CI102" i="1"/>
  <c r="T186" i="1"/>
  <c r="T55" i="1" s="1"/>
  <c r="O248" i="1"/>
  <c r="CO575" i="1"/>
  <c r="CN574" i="1"/>
  <c r="CC604" i="1"/>
  <c r="CN540" i="1"/>
  <c r="AA522" i="1"/>
  <c r="CN539" i="1"/>
  <c r="CN499" i="1"/>
  <c r="CN573" i="1"/>
  <c r="CQ427" i="1"/>
  <c r="CQ462" i="1" s="1"/>
  <c r="CQ491" i="1" s="1"/>
  <c r="CG425" i="1"/>
  <c r="CG460" i="1" s="1"/>
  <c r="CG489" i="1" s="1"/>
  <c r="CL424" i="1"/>
  <c r="CL459" i="1" s="1"/>
  <c r="CL488" i="1" s="1"/>
  <c r="CH424" i="1"/>
  <c r="CH459" i="1" s="1"/>
  <c r="CH488" i="1" s="1"/>
  <c r="CD424" i="1"/>
  <c r="CD459" i="1" s="1"/>
  <c r="CD488" i="1" s="1"/>
  <c r="CF415" i="1"/>
  <c r="CD415" i="1"/>
  <c r="CN661" i="1"/>
  <c r="CN535" i="1"/>
  <c r="CM141" i="1"/>
  <c r="CM143" i="1" s="1"/>
  <c r="CL141" i="1"/>
  <c r="CL143" i="1" s="1"/>
  <c r="CH141" i="1"/>
  <c r="CH143" i="1" s="1"/>
  <c r="CC143" i="1"/>
  <c r="CO474" i="1"/>
  <c r="CI474" i="1"/>
  <c r="CE474" i="1"/>
  <c r="CO473" i="1"/>
  <c r="CK388" i="1"/>
  <c r="CK389" i="1" s="1"/>
  <c r="CK52" i="1"/>
  <c r="CG52" i="1"/>
  <c r="CJ815" i="1"/>
  <c r="CF815" i="1"/>
  <c r="CD815" i="1"/>
  <c r="CK625" i="1"/>
  <c r="CH434" i="1"/>
  <c r="U612" i="1"/>
  <c r="CK612" i="1" s="1"/>
  <c r="CK611" i="1"/>
  <c r="CH444" i="1"/>
  <c r="CH455" i="1" s="1"/>
  <c r="AB456" i="1"/>
  <c r="AB485" i="1" s="1"/>
  <c r="V456" i="1"/>
  <c r="V485" i="1" s="1"/>
  <c r="CD425" i="1"/>
  <c r="CD460" i="1" s="1"/>
  <c r="CD489" i="1" s="1"/>
  <c r="CQ422" i="1"/>
  <c r="CQ457" i="1" s="1"/>
  <c r="T177" i="1"/>
  <c r="R177" i="1"/>
  <c r="R146" i="1" s="1"/>
  <c r="CM473" i="1"/>
  <c r="CM519" i="1"/>
  <c r="Y130" i="1"/>
  <c r="W202" i="1"/>
  <c r="CL202" i="1" s="1"/>
  <c r="CL184" i="1"/>
  <c r="V198" i="1"/>
  <c r="V61" i="1" s="1"/>
  <c r="Y232" i="1"/>
  <c r="Y233" i="1" s="1"/>
  <c r="T635" i="1"/>
  <c r="T738" i="1" s="1"/>
  <c r="T764" i="1" s="1"/>
  <c r="CF634" i="1"/>
  <c r="CJ633" i="1"/>
  <c r="O635" i="1"/>
  <c r="O738" i="1" s="1"/>
  <c r="O764" i="1" s="1"/>
  <c r="CF604" i="1"/>
  <c r="CG519" i="1"/>
  <c r="CE516" i="1"/>
  <c r="W455" i="1"/>
  <c r="W484" i="1" s="1"/>
  <c r="S455" i="1"/>
  <c r="S484" i="1" s="1"/>
  <c r="O455" i="1"/>
  <c r="O484" i="1" s="1"/>
  <c r="CF762" i="1"/>
  <c r="CG122" i="1"/>
  <c r="CE815" i="1"/>
  <c r="CC122" i="1"/>
  <c r="Y202" i="1"/>
  <c r="CM202" i="1" s="1"/>
  <c r="Y192" i="1"/>
  <c r="S54" i="1"/>
  <c r="S186" i="1"/>
  <c r="CJ186" i="1" s="1"/>
  <c r="CJ55" i="1" s="1"/>
  <c r="CJ184" i="1"/>
  <c r="R202" i="1"/>
  <c r="AA762" i="1"/>
  <c r="AG735" i="1"/>
  <c r="CJ584" i="1"/>
  <c r="S602" i="1"/>
  <c r="CJ602" i="1" s="1"/>
  <c r="R817" i="1"/>
  <c r="R116" i="1"/>
  <c r="V635" i="1"/>
  <c r="CL633" i="1"/>
  <c r="Q635" i="1"/>
  <c r="CE633" i="1"/>
  <c r="R408" i="1"/>
  <c r="R406" i="1" s="1"/>
  <c r="R421" i="1"/>
  <c r="R456" i="1" s="1"/>
  <c r="R485" i="1" s="1"/>
  <c r="N408" i="1"/>
  <c r="CH408" i="1" s="1"/>
  <c r="N421" i="1"/>
  <c r="N456" i="1" s="1"/>
  <c r="N485" i="1" s="1"/>
  <c r="CE409" i="1"/>
  <c r="CE421" i="1" s="1"/>
  <c r="CH208" i="1"/>
  <c r="CI63" i="1" s="1"/>
  <c r="O63" i="1"/>
  <c r="CG208" i="1"/>
  <c r="CG152" i="1" s="1"/>
  <c r="M63" i="1"/>
  <c r="CF208" i="1"/>
  <c r="CF152" i="1" s="1"/>
  <c r="CE208" i="1"/>
  <c r="CD208" i="1"/>
  <c r="CC208" i="1"/>
  <c r="CC63" i="1" s="1"/>
  <c r="CL165" i="1"/>
  <c r="CL223" i="1" s="1"/>
  <c r="X223" i="1"/>
  <c r="CF165" i="1"/>
  <c r="CD54" i="1"/>
  <c r="CC54" i="1"/>
  <c r="W64" i="1"/>
  <c r="X64" i="1"/>
  <c r="W103" i="1"/>
  <c r="W102" i="1" s="1"/>
  <c r="V434" i="1"/>
  <c r="CL583" i="1"/>
  <c r="W584" i="1"/>
  <c r="CK185" i="1"/>
  <c r="U203" i="1"/>
  <c r="CK203" i="1" s="1"/>
  <c r="U186" i="1"/>
  <c r="CK191" i="1"/>
  <c r="U192" i="1"/>
  <c r="CK209" i="1"/>
  <c r="U208" i="1"/>
  <c r="U152" i="1" s="1"/>
  <c r="CM158" i="1"/>
  <c r="Y159" i="1"/>
  <c r="Z217" i="1" s="1"/>
  <c r="R203" i="1"/>
  <c r="R186" i="1"/>
  <c r="R243" i="1" s="1"/>
  <c r="CN606" i="1"/>
  <c r="U536" i="1"/>
  <c r="CK536" i="1" s="1"/>
  <c r="CK522" i="1"/>
  <c r="X455" i="1"/>
  <c r="X484" i="1" s="1"/>
  <c r="X443" i="1"/>
  <c r="X441" i="1" s="1"/>
  <c r="V455" i="1"/>
  <c r="V484" i="1" s="1"/>
  <c r="CL444" i="1"/>
  <c r="CL455" i="1" s="1"/>
  <c r="M667" i="1"/>
  <c r="CG667" i="1" s="1"/>
  <c r="CG178" i="1"/>
  <c r="CC667" i="1"/>
  <c r="CC178" i="1"/>
  <c r="CM178" i="1"/>
  <c r="CE204" i="1"/>
  <c r="CE202" i="1"/>
  <c r="CM209" i="1"/>
  <c r="Y208" i="1"/>
  <c r="Y265" i="1" s="1"/>
  <c r="T415" i="1"/>
  <c r="T427" i="1" s="1"/>
  <c r="T462" i="1" s="1"/>
  <c r="T491" i="1" s="1"/>
  <c r="N265" i="1"/>
  <c r="R63" i="1"/>
  <c r="Q152" i="1"/>
  <c r="Z223" i="1"/>
  <c r="CK468" i="1"/>
  <c r="X177" i="1"/>
  <c r="X114" i="1" s="1"/>
  <c r="W152" i="1"/>
  <c r="AA588" i="1"/>
  <c r="CN588" i="1" s="1"/>
  <c r="CM633" i="1"/>
  <c r="CP138" i="1"/>
  <c r="Y623" i="1"/>
  <c r="CJ409" i="1"/>
  <c r="CJ421" i="1" s="1"/>
  <c r="CK141" i="1"/>
  <c r="M635" i="1"/>
  <c r="CG652" i="1"/>
  <c r="CC634" i="1"/>
  <c r="CK634" i="1"/>
  <c r="CG381" i="1"/>
  <c r="CG327" i="1" s="1"/>
  <c r="CO409" i="1"/>
  <c r="CO421" i="1" s="1"/>
  <c r="CQ409" i="1"/>
  <c r="CQ421" i="1" s="1"/>
  <c r="N177" i="1"/>
  <c r="N114" i="1" s="1"/>
  <c r="O152" i="1"/>
  <c r="V64" i="1"/>
  <c r="P63" i="1"/>
  <c r="T421" i="1"/>
  <c r="T456" i="1" s="1"/>
  <c r="T485" i="1" s="1"/>
  <c r="CC61" i="1"/>
  <c r="CE61" i="1"/>
  <c r="CG61" i="1"/>
  <c r="CI61" i="1"/>
  <c r="W612" i="1"/>
  <c r="W826" i="1" s="1"/>
  <c r="CM516" i="1"/>
  <c r="CM475" i="1"/>
  <c r="P472" i="1"/>
  <c r="P465" i="1" s="1"/>
  <c r="P223" i="1"/>
  <c r="CL209" i="1"/>
  <c r="CG57" i="1"/>
  <c r="CK59" i="1"/>
  <c r="CK48" i="1" s="1"/>
  <c r="CH60" i="1"/>
  <c r="CH49" i="1" s="1"/>
  <c r="S102" i="1"/>
  <c r="T102" i="1"/>
  <c r="V186" i="1"/>
  <c r="V55" i="1" s="1"/>
  <c r="S192" i="1"/>
  <c r="W198" i="1"/>
  <c r="CK425" i="1"/>
  <c r="CK460" i="1" s="1"/>
  <c r="CK489" i="1" s="1"/>
  <c r="CJ762" i="1"/>
  <c r="CG627" i="1"/>
  <c r="CF627" i="1"/>
  <c r="CE627" i="1"/>
  <c r="CC627" i="1"/>
  <c r="CJ626" i="1"/>
  <c r="CH626" i="1"/>
  <c r="CG626" i="1"/>
  <c r="CF626" i="1"/>
  <c r="CE626" i="1"/>
  <c r="CD626" i="1"/>
  <c r="CJ625" i="1"/>
  <c r="CD625" i="1"/>
  <c r="CL621" i="1"/>
  <c r="CJ621" i="1"/>
  <c r="CI621" i="1"/>
  <c r="CM517" i="1"/>
  <c r="CM501" i="1"/>
  <c r="CQ475" i="1"/>
  <c r="S472" i="1"/>
  <c r="S465" i="1" s="1"/>
  <c r="CM474" i="1"/>
  <c r="CJ93" i="1"/>
  <c r="CH93" i="1"/>
  <c r="CF93" i="1"/>
  <c r="CJ425" i="1"/>
  <c r="CJ460" i="1" s="1"/>
  <c r="CJ489" i="1" s="1"/>
  <c r="CM424" i="1"/>
  <c r="CM459" i="1" s="1"/>
  <c r="CM488" i="1" s="1"/>
  <c r="CK424" i="1"/>
  <c r="CK459" i="1" s="1"/>
  <c r="CK488" i="1" s="1"/>
  <c r="CI424" i="1"/>
  <c r="CI459" i="1" s="1"/>
  <c r="CI488" i="1" s="1"/>
  <c r="CG424" i="1"/>
  <c r="CG459" i="1" s="1"/>
  <c r="CG488" i="1" s="1"/>
  <c r="CE424" i="1"/>
  <c r="CE459" i="1" s="1"/>
  <c r="CE488" i="1" s="1"/>
  <c r="CC424" i="1"/>
  <c r="CC459" i="1" s="1"/>
  <c r="CC488" i="1" s="1"/>
  <c r="CO423" i="1"/>
  <c r="CO458" i="1" s="1"/>
  <c r="CO487" i="1" s="1"/>
  <c r="CK423" i="1"/>
  <c r="CK458" i="1" s="1"/>
  <c r="CK487" i="1" s="1"/>
  <c r="CO422" i="1"/>
  <c r="CO457" i="1" s="1"/>
  <c r="CK422" i="1"/>
  <c r="CK457" i="1" s="1"/>
  <c r="CI422" i="1"/>
  <c r="CI457" i="1" s="1"/>
  <c r="CG422" i="1"/>
  <c r="CG457" i="1" s="1"/>
  <c r="CC422" i="1"/>
  <c r="CC457" i="1" s="1"/>
  <c r="CK414" i="1"/>
  <c r="Z486" i="1"/>
  <c r="CI64" i="1"/>
  <c r="CR445" i="1"/>
  <c r="CP445" i="1"/>
  <c r="CJ445" i="1"/>
  <c r="CC445" i="1"/>
  <c r="CO546" i="1"/>
  <c r="CM520" i="1"/>
  <c r="CQ135" i="1"/>
  <c r="CQ735" i="1" s="1"/>
  <c r="W265" i="1"/>
  <c r="CL208" i="1"/>
  <c r="CL152" i="1" s="1"/>
  <c r="CG181" i="1"/>
  <c r="CG154" i="1" s="1"/>
  <c r="CH621" i="1"/>
  <c r="CF444" i="1"/>
  <c r="CF455" i="1" s="1"/>
  <c r="CD444" i="1"/>
  <c r="CD455" i="1" s="1"/>
  <c r="CI434" i="1"/>
  <c r="CG434" i="1"/>
  <c r="CE434" i="1"/>
  <c r="CL59" i="1"/>
  <c r="CL48" i="1" s="1"/>
  <c r="CH59" i="1"/>
  <c r="CH48" i="1" s="1"/>
  <c r="CG59" i="1"/>
  <c r="CG48" i="1" s="1"/>
  <c r="CM57" i="1"/>
  <c r="CI57" i="1"/>
  <c r="CE57" i="1"/>
  <c r="CQ520" i="1"/>
  <c r="CO520" i="1"/>
  <c r="CI520" i="1"/>
  <c r="CE520" i="1"/>
  <c r="CC520" i="1"/>
  <c r="CL519" i="1"/>
  <c r="CJ519" i="1"/>
  <c r="CD519" i="1"/>
  <c r="CP517" i="1"/>
  <c r="CF517" i="1"/>
  <c r="CR516" i="1"/>
  <c r="CP516" i="1"/>
  <c r="CK516" i="1"/>
  <c r="CI516" i="1"/>
  <c r="CG516" i="1"/>
  <c r="CC516" i="1"/>
  <c r="CI503" i="1"/>
  <c r="CQ501" i="1"/>
  <c r="CO501" i="1"/>
  <c r="CK501" i="1"/>
  <c r="CE501" i="1"/>
  <c r="CJ424" i="1"/>
  <c r="CJ459" i="1" s="1"/>
  <c r="CJ488" i="1" s="1"/>
  <c r="CF424" i="1"/>
  <c r="CF459" i="1" s="1"/>
  <c r="CF488" i="1" s="1"/>
  <c r="CM762" i="1"/>
  <c r="CK762" i="1"/>
  <c r="CI762" i="1"/>
  <c r="CM815" i="1"/>
  <c r="CK815" i="1"/>
  <c r="CI815" i="1"/>
  <c r="CI93" i="1"/>
  <c r="M623" i="1"/>
  <c r="CG536" i="1"/>
  <c r="AB536" i="1"/>
  <c r="AB623" i="1" s="1"/>
  <c r="U443" i="1"/>
  <c r="U430" i="1" s="1"/>
  <c r="CK445" i="1"/>
  <c r="O443" i="1"/>
  <c r="O99" i="1" s="1"/>
  <c r="CH445" i="1"/>
  <c r="CQ444" i="1"/>
  <c r="CQ455" i="1" s="1"/>
  <c r="T455" i="1"/>
  <c r="T484" i="1" s="1"/>
  <c r="T443" i="1"/>
  <c r="R455" i="1"/>
  <c r="R484" i="1" s="1"/>
  <c r="CJ444" i="1"/>
  <c r="CJ455" i="1" s="1"/>
  <c r="P455" i="1"/>
  <c r="P484" i="1" s="1"/>
  <c r="P443" i="1"/>
  <c r="P99" i="1" s="1"/>
  <c r="CJ171" i="1"/>
  <c r="T228" i="1"/>
  <c r="CD502" i="1"/>
  <c r="CD130" i="1" s="1"/>
  <c r="Y812" i="1"/>
  <c r="Y813" i="1"/>
  <c r="Y154" i="1"/>
  <c r="Y816" i="1"/>
  <c r="AB588" i="1"/>
  <c r="CS138" i="1"/>
  <c r="CQ138" i="1"/>
  <c r="X602" i="1"/>
  <c r="X603" i="1" s="1"/>
  <c r="N612" i="1"/>
  <c r="N823" i="1" s="1"/>
  <c r="W536" i="1"/>
  <c r="CL522" i="1"/>
  <c r="CC522" i="1"/>
  <c r="CM502" i="1"/>
  <c r="X130" i="1"/>
  <c r="T130" i="1"/>
  <c r="CK502" i="1"/>
  <c r="R130" i="1"/>
  <c r="CJ502" i="1"/>
  <c r="CJ130" i="1" s="1"/>
  <c r="CF502" i="1"/>
  <c r="CF130" i="1" s="1"/>
  <c r="CC502" i="1"/>
  <c r="CC130" i="1" s="1"/>
  <c r="CG604" i="1"/>
  <c r="CE604" i="1"/>
  <c r="P500" i="1"/>
  <c r="P495" i="1" s="1"/>
  <c r="M500" i="1"/>
  <c r="M498" i="1" s="1"/>
  <c r="M131" i="1" s="1"/>
  <c r="CJ61" i="1"/>
  <c r="CJ652" i="1"/>
  <c r="CJ141" i="1"/>
  <c r="CF652" i="1"/>
  <c r="CF141" i="1"/>
  <c r="CF143" i="1" s="1"/>
  <c r="CN409" i="1"/>
  <c r="CN421" i="1" s="1"/>
  <c r="AA421" i="1"/>
  <c r="AA456" i="1" s="1"/>
  <c r="AA485" i="1" s="1"/>
  <c r="U421" i="1"/>
  <c r="U456" i="1" s="1"/>
  <c r="CK409" i="1"/>
  <c r="CK421" i="1" s="1"/>
  <c r="M408" i="1"/>
  <c r="CG409" i="1"/>
  <c r="CG421" i="1" s="1"/>
  <c r="CC409" i="1"/>
  <c r="CC421" i="1" s="1"/>
  <c r="R327" i="1"/>
  <c r="CJ381" i="1"/>
  <c r="CJ327" i="1" s="1"/>
  <c r="CD381" i="1"/>
  <c r="P265" i="1"/>
  <c r="P152" i="1"/>
  <c r="P181" i="1"/>
  <c r="P154" i="1" s="1"/>
  <c r="P667" i="1"/>
  <c r="CL176" i="1"/>
  <c r="W145" i="1"/>
  <c r="CK176" i="1"/>
  <c r="U145" i="1"/>
  <c r="Q145" i="1"/>
  <c r="CI176" i="1"/>
  <c r="CI145" i="1" s="1"/>
  <c r="CH176" i="1"/>
  <c r="O610" i="1"/>
  <c r="CH610" i="1" s="1"/>
  <c r="CG176" i="1"/>
  <c r="M610" i="1"/>
  <c r="M611" i="1" s="1"/>
  <c r="M612" i="1" s="1"/>
  <c r="M823" i="1" s="1"/>
  <c r="CF176" i="1"/>
  <c r="CE176" i="1"/>
  <c r="CD176" i="1"/>
  <c r="CC176" i="1"/>
  <c r="CI165" i="1"/>
  <c r="CI223" i="1" s="1"/>
  <c r="R223" i="1"/>
  <c r="CG165" i="1"/>
  <c r="CH223" i="1" s="1"/>
  <c r="N223" i="1"/>
  <c r="CE165" i="1"/>
  <c r="CC165" i="1"/>
  <c r="CJ60" i="1"/>
  <c r="CJ49" i="1" s="1"/>
  <c r="CI59" i="1"/>
  <c r="CI48" i="1" s="1"/>
  <c r="CE186" i="1"/>
  <c r="CE55" i="1" s="1"/>
  <c r="CF186" i="1"/>
  <c r="M55" i="1"/>
  <c r="CG186" i="1"/>
  <c r="P243" i="1"/>
  <c r="CH186" i="1"/>
  <c r="CH55" i="1" s="1"/>
  <c r="O55" i="1"/>
  <c r="CI186" i="1"/>
  <c r="Q55" i="1"/>
  <c r="M204" i="1"/>
  <c r="M670" i="1" s="1"/>
  <c r="CG670" i="1" s="1"/>
  <c r="CG202" i="1"/>
  <c r="X416" i="1"/>
  <c r="X415" i="1" s="1"/>
  <c r="X388" i="1"/>
  <c r="CM388" i="1" s="1"/>
  <c r="CM389" i="1" s="1"/>
  <c r="T64" i="1"/>
  <c r="U266" i="1"/>
  <c r="S266" i="1"/>
  <c r="S208" i="1"/>
  <c r="CN520" i="1"/>
  <c r="CM626" i="1"/>
  <c r="CK520" i="1"/>
  <c r="CL762" i="1"/>
  <c r="CH762" i="1"/>
  <c r="CM59" i="1"/>
  <c r="CM48" i="1" s="1"/>
  <c r="CF60" i="1"/>
  <c r="CF49" i="1" s="1"/>
  <c r="U415" i="1"/>
  <c r="S415" i="1"/>
  <c r="CH247" i="1"/>
  <c r="CH248" i="1"/>
  <c r="CK93" i="1"/>
  <c r="CD762" i="1"/>
  <c r="CM621" i="1"/>
  <c r="CN516" i="1"/>
  <c r="S130" i="1"/>
  <c r="CN475" i="1"/>
  <c r="CN473" i="1"/>
  <c r="CC93" i="1"/>
  <c r="CR427" i="1"/>
  <c r="CR462" i="1" s="1"/>
  <c r="CR491" i="1" s="1"/>
  <c r="Q427" i="1"/>
  <c r="Q462" i="1" s="1"/>
  <c r="Q491" i="1" s="1"/>
  <c r="O427" i="1"/>
  <c r="O462" i="1" s="1"/>
  <c r="O491" i="1" s="1"/>
  <c r="M427" i="1"/>
  <c r="M462" i="1" s="1"/>
  <c r="M491" i="1" s="1"/>
  <c r="CL425" i="1"/>
  <c r="CL460" i="1" s="1"/>
  <c r="CL489" i="1" s="1"/>
  <c r="CI425" i="1"/>
  <c r="CI460" i="1" s="1"/>
  <c r="CI489" i="1" s="1"/>
  <c r="CE425" i="1"/>
  <c r="CE460" i="1" s="1"/>
  <c r="CE489" i="1" s="1"/>
  <c r="CC425" i="1"/>
  <c r="CC460" i="1" s="1"/>
  <c r="CC489" i="1" s="1"/>
  <c r="CR423" i="1"/>
  <c r="CR458" i="1" s="1"/>
  <c r="CR487" i="1" s="1"/>
  <c r="CP423" i="1"/>
  <c r="CP458" i="1" s="1"/>
  <c r="CP487" i="1" s="1"/>
  <c r="CN423" i="1"/>
  <c r="CN458" i="1" s="1"/>
  <c r="CN487" i="1" s="1"/>
  <c r="CL423" i="1"/>
  <c r="CL458" i="1" s="1"/>
  <c r="CL487" i="1" s="1"/>
  <c r="CR422" i="1"/>
  <c r="CR457" i="1" s="1"/>
  <c r="CP422" i="1"/>
  <c r="CP457" i="1" s="1"/>
  <c r="CN422" i="1"/>
  <c r="CN457" i="1" s="1"/>
  <c r="CL422" i="1"/>
  <c r="CL457" i="1" s="1"/>
  <c r="CJ422" i="1"/>
  <c r="CJ457" i="1" s="1"/>
  <c r="CH422" i="1"/>
  <c r="CH457" i="1" s="1"/>
  <c r="CF422" i="1"/>
  <c r="CF457" i="1" s="1"/>
  <c r="CD422" i="1"/>
  <c r="CD457" i="1" s="1"/>
  <c r="CC64" i="1"/>
  <c r="CC59" i="1"/>
  <c r="CC48" i="1" s="1"/>
  <c r="S468" i="1"/>
  <c r="CE634" i="1"/>
  <c r="CL227" i="1"/>
  <c r="CL222" i="1"/>
  <c r="CJ222" i="1"/>
  <c r="CH222" i="1"/>
  <c r="CK218" i="1"/>
  <c r="CI218" i="1"/>
  <c r="CG218" i="1"/>
  <c r="CK215" i="1"/>
  <c r="CI215" i="1"/>
  <c r="CG215" i="1"/>
  <c r="CM816" i="1"/>
  <c r="CK227" i="1"/>
  <c r="CK223" i="1"/>
  <c r="CK222" i="1"/>
  <c r="CI222" i="1"/>
  <c r="CG222" i="1"/>
  <c r="CL218" i="1"/>
  <c r="CJ218" i="1"/>
  <c r="CH218" i="1"/>
  <c r="CL215" i="1"/>
  <c r="CJ215" i="1"/>
  <c r="CH215" i="1"/>
  <c r="CJ536" i="1"/>
  <c r="S623" i="1"/>
  <c r="CM813" i="1"/>
  <c r="CE507" i="1"/>
  <c r="CQ504" i="1"/>
  <c r="U472" i="1"/>
  <c r="U471" i="1" s="1"/>
  <c r="Q472" i="1"/>
  <c r="Q471" i="1" s="1"/>
  <c r="O472" i="1"/>
  <c r="O471" i="1" s="1"/>
  <c r="CF474" i="1"/>
  <c r="CC473" i="1"/>
  <c r="CJ52" i="1"/>
  <c r="CM812" i="1"/>
  <c r="V266" i="1"/>
  <c r="U64" i="1"/>
  <c r="Y216" i="1"/>
  <c r="CI60" i="1"/>
  <c r="CI49" i="1" s="1"/>
  <c r="CE60" i="1"/>
  <c r="CE49" i="1" s="1"/>
  <c r="CD57" i="1"/>
  <c r="CE625" i="1"/>
  <c r="CD59" i="1"/>
  <c r="CD48" i="1" s="1"/>
  <c r="CL57" i="1"/>
  <c r="CF57" i="1"/>
  <c r="CL52" i="1"/>
  <c r="Z826" i="1"/>
  <c r="T116" i="1"/>
  <c r="T826" i="1"/>
  <c r="T820" i="1"/>
  <c r="T823" i="1"/>
  <c r="R826" i="1"/>
  <c r="R820" i="1"/>
  <c r="R823" i="1"/>
  <c r="CM822" i="1"/>
  <c r="CM825" i="1"/>
  <c r="CM819" i="1"/>
  <c r="Z64" i="1"/>
  <c r="CF621" i="1"/>
  <c r="U223" i="1"/>
  <c r="Q223" i="1"/>
  <c r="O223" i="1"/>
  <c r="M223" i="1"/>
  <c r="CM56" i="1"/>
  <c r="CE56" i="1"/>
  <c r="Y825" i="1"/>
  <c r="Y819" i="1"/>
  <c r="Y822" i="1"/>
  <c r="CE181" i="1"/>
  <c r="M154" i="1"/>
  <c r="M825" i="1"/>
  <c r="M819" i="1"/>
  <c r="M822" i="1"/>
  <c r="S823" i="1"/>
  <c r="S826" i="1"/>
  <c r="S820" i="1"/>
  <c r="Q823" i="1"/>
  <c r="Q826" i="1"/>
  <c r="Q820" i="1"/>
  <c r="V826" i="1"/>
  <c r="V820" i="1"/>
  <c r="V823" i="1"/>
  <c r="CR519" i="1"/>
  <c r="CP519" i="1"/>
  <c r="CH504" i="1"/>
  <c r="CI415" i="1"/>
  <c r="CG415" i="1"/>
  <c r="CE415" i="1"/>
  <c r="CC415" i="1"/>
  <c r="CH388" i="1"/>
  <c r="CF388" i="1"/>
  <c r="CD388" i="1"/>
  <c r="CJ64" i="1"/>
  <c r="CF64" i="1"/>
  <c r="N82" i="7"/>
  <c r="CD115" i="1"/>
  <c r="CM611" i="1"/>
  <c r="Y612" i="1"/>
  <c r="X612" i="1"/>
  <c r="X817" i="1" s="1"/>
  <c r="V116" i="1"/>
  <c r="V817" i="1"/>
  <c r="CG621" i="1"/>
  <c r="CL139" i="1"/>
  <c r="CJ139" i="1"/>
  <c r="CH139" i="1"/>
  <c r="CE141" i="1"/>
  <c r="CE143" i="1" s="1"/>
  <c r="CI522" i="1"/>
  <c r="CQ517" i="1"/>
  <c r="CL517" i="1"/>
  <c r="CJ517" i="1"/>
  <c r="CI517" i="1"/>
  <c r="CH517" i="1"/>
  <c r="CG517" i="1"/>
  <c r="CD517" i="1"/>
  <c r="CC517" i="1"/>
  <c r="CF516" i="1"/>
  <c r="CC507" i="1"/>
  <c r="CP504" i="1"/>
  <c r="CL504" i="1"/>
  <c r="CK504" i="1"/>
  <c r="CJ504" i="1"/>
  <c r="CI504" i="1"/>
  <c r="CH479" i="1"/>
  <c r="CF479" i="1"/>
  <c r="CD479" i="1"/>
  <c r="CK479" i="1"/>
  <c r="CK480" i="1" s="1"/>
  <c r="CJ479" i="1"/>
  <c r="CJ480" i="1" s="1"/>
  <c r="R472" i="1"/>
  <c r="R465" i="1" s="1"/>
  <c r="CC434" i="1"/>
  <c r="CD122" i="1"/>
  <c r="W416" i="1"/>
  <c r="CK105" i="1"/>
  <c r="V486" i="1"/>
  <c r="Y218" i="1"/>
  <c r="S218" i="1"/>
  <c r="CP575" i="1"/>
  <c r="CP546" i="1"/>
  <c r="V623" i="1"/>
  <c r="CO540" i="1"/>
  <c r="Q177" i="1"/>
  <c r="CD627" i="1"/>
  <c r="CD621" i="1"/>
  <c r="CC621" i="1"/>
  <c r="T603" i="1"/>
  <c r="CI519" i="1"/>
  <c r="CD504" i="1"/>
  <c r="CP503" i="1"/>
  <c r="CE503" i="1"/>
  <c r="CR501" i="1"/>
  <c r="CF501" i="1"/>
  <c r="CD501" i="1"/>
  <c r="CD475" i="1"/>
  <c r="CR474" i="1"/>
  <c r="CJ474" i="1"/>
  <c r="CH474" i="1"/>
  <c r="CD474" i="1"/>
  <c r="CP473" i="1"/>
  <c r="CE388" i="1"/>
  <c r="CJ388" i="1"/>
  <c r="CE381" i="1"/>
  <c r="CM115" i="1"/>
  <c r="CK469" i="1"/>
  <c r="X266" i="1"/>
  <c r="V415" i="1"/>
  <c r="W468" i="1"/>
  <c r="V192" i="1"/>
  <c r="T181" i="1"/>
  <c r="P177" i="1"/>
  <c r="P114" i="1" s="1"/>
  <c r="Y177" i="1"/>
  <c r="CI625" i="1"/>
  <c r="R603" i="1"/>
  <c r="CJ434" i="1"/>
  <c r="CF434" i="1"/>
  <c r="CD434" i="1"/>
  <c r="CO425" i="1"/>
  <c r="CO460" i="1" s="1"/>
  <c r="CO489" i="1" s="1"/>
  <c r="X181" i="1"/>
  <c r="U228" i="1"/>
  <c r="CE54" i="1"/>
  <c r="CF52" i="1"/>
  <c r="CH57" i="1"/>
  <c r="CK60" i="1"/>
  <c r="CK49" i="1" s="1"/>
  <c r="CG60" i="1"/>
  <c r="CG49" i="1" s="1"/>
  <c r="CC60" i="1"/>
  <c r="CC49" i="1" s="1"/>
  <c r="CI626" i="1"/>
  <c r="CK626" i="1"/>
  <c r="CO555" i="1"/>
  <c r="CP573" i="1"/>
  <c r="CC181" i="1"/>
  <c r="CC147" i="1" s="1"/>
  <c r="CM139" i="1"/>
  <c r="CK139" i="1"/>
  <c r="CI139" i="1"/>
  <c r="X500" i="1"/>
  <c r="X498" i="1" s="1"/>
  <c r="V500" i="1"/>
  <c r="V498" i="1" s="1"/>
  <c r="T500" i="1"/>
  <c r="T498" i="1" s="1"/>
  <c r="R500" i="1"/>
  <c r="R495" i="1" s="1"/>
  <c r="W456" i="1"/>
  <c r="W485" i="1" s="1"/>
  <c r="CN600" i="1"/>
  <c r="CE522" i="1"/>
  <c r="P130" i="1"/>
  <c r="CI502" i="1"/>
  <c r="CI130" i="1" s="1"/>
  <c r="CH178" i="1"/>
  <c r="O667" i="1"/>
  <c r="CH667" i="1" s="1"/>
  <c r="CI634" i="1"/>
  <c r="CH634" i="1"/>
  <c r="CC626" i="1"/>
  <c r="CG625" i="1"/>
  <c r="CD604" i="1"/>
  <c r="CG562" i="1"/>
  <c r="CG139" i="1"/>
  <c r="CR520" i="1"/>
  <c r="CP520" i="1"/>
  <c r="CJ520" i="1"/>
  <c r="CH520" i="1"/>
  <c r="CF520" i="1"/>
  <c r="CO519" i="1"/>
  <c r="CK519" i="1"/>
  <c r="CH519" i="1"/>
  <c r="CF519" i="1"/>
  <c r="CC519" i="1"/>
  <c r="CR517" i="1"/>
  <c r="CO516" i="1"/>
  <c r="CD516" i="1"/>
  <c r="CF507" i="1"/>
  <c r="CD507" i="1"/>
  <c r="CF504" i="1"/>
  <c r="CE504" i="1"/>
  <c r="CP501" i="1"/>
  <c r="CG479" i="1"/>
  <c r="CE479" i="1"/>
  <c r="CC479" i="1"/>
  <c r="CR475" i="1"/>
  <c r="AG486" i="1"/>
  <c r="CP475" i="1"/>
  <c r="CL475" i="1"/>
  <c r="CJ475" i="1"/>
  <c r="CF475" i="1"/>
  <c r="CE475" i="1"/>
  <c r="CC475" i="1"/>
  <c r="CR473" i="1"/>
  <c r="CK473" i="1"/>
  <c r="CI473" i="1"/>
  <c r="CG473" i="1"/>
  <c r="CE473" i="1"/>
  <c r="CJ450" i="1"/>
  <c r="CJ451" i="1" s="1"/>
  <c r="CM445" i="1"/>
  <c r="R443" i="1"/>
  <c r="CI445" i="1"/>
  <c r="CE445" i="1"/>
  <c r="AG484" i="1"/>
  <c r="AC455" i="1"/>
  <c r="AC484" i="1" s="1"/>
  <c r="CM444" i="1"/>
  <c r="CM455" i="1" s="1"/>
  <c r="CK444" i="1"/>
  <c r="CK455" i="1" s="1"/>
  <c r="CG444" i="1"/>
  <c r="CG455" i="1" s="1"/>
  <c r="CE444" i="1"/>
  <c r="CE455" i="1" s="1"/>
  <c r="CL433" i="1"/>
  <c r="CL93" i="1"/>
  <c r="CG93" i="1"/>
  <c r="CD93" i="1"/>
  <c r="M421" i="1"/>
  <c r="CO427" i="1"/>
  <c r="CO462" i="1" s="1"/>
  <c r="CO491" i="1" s="1"/>
  <c r="CQ425" i="1"/>
  <c r="CQ460" i="1" s="1"/>
  <c r="CQ489" i="1" s="1"/>
  <c r="CH425" i="1"/>
  <c r="CH460" i="1" s="1"/>
  <c r="CH489" i="1" s="1"/>
  <c r="CF425" i="1"/>
  <c r="CF460" i="1" s="1"/>
  <c r="CF489" i="1" s="1"/>
  <c r="CM425" i="1"/>
  <c r="CM460" i="1" s="1"/>
  <c r="CM489" i="1" s="1"/>
  <c r="CC423" i="1"/>
  <c r="CC458" i="1" s="1"/>
  <c r="CC487" i="1" s="1"/>
  <c r="CE422" i="1"/>
  <c r="CE457" i="1" s="1"/>
  <c r="X408" i="1"/>
  <c r="X393" i="1" s="1"/>
  <c r="V408" i="1"/>
  <c r="V388" i="1"/>
  <c r="CL388" i="1" s="1"/>
  <c r="CL387" i="1"/>
  <c r="CM381" i="1"/>
  <c r="CM327" i="1" s="1"/>
  <c r="T266" i="1"/>
  <c r="Q265" i="1"/>
  <c r="M265" i="1"/>
  <c r="T234" i="1"/>
  <c r="T237" i="1" s="1"/>
  <c r="T238" i="1" s="1"/>
  <c r="S234" i="1"/>
  <c r="S237" i="1" s="1"/>
  <c r="S238" i="1" s="1"/>
  <c r="Q232" i="1"/>
  <c r="Q233" i="1" s="1"/>
  <c r="O232" i="1"/>
  <c r="O233" i="1" s="1"/>
  <c r="M232" i="1"/>
  <c r="M233" i="1" s="1"/>
  <c r="CG64" i="1"/>
  <c r="CH202" i="1"/>
  <c r="CF202" i="1"/>
  <c r="CD186" i="1"/>
  <c r="CD55" i="1" s="1"/>
  <c r="S177" i="1"/>
  <c r="R145" i="1"/>
  <c r="CJ57" i="1"/>
  <c r="S223" i="1"/>
  <c r="CK56" i="1"/>
  <c r="CI56" i="1"/>
  <c r="CG56" i="1"/>
  <c r="CK54" i="1"/>
  <c r="CG54" i="1"/>
  <c r="X54" i="1"/>
  <c r="CI115" i="1"/>
  <c r="CG115" i="1"/>
  <c r="CE115" i="1"/>
  <c r="CN104" i="1"/>
  <c r="N58" i="1"/>
  <c r="V102" i="1"/>
  <c r="Z218" i="1"/>
  <c r="X186" i="1"/>
  <c r="Y203" i="1"/>
  <c r="CM203" i="1" s="1"/>
  <c r="N243" i="1"/>
  <c r="W186" i="1"/>
  <c r="CL186" i="1" s="1"/>
  <c r="M248" i="1"/>
  <c r="R192" i="1"/>
  <c r="Y198" i="1"/>
  <c r="Z252" i="1" s="1"/>
  <c r="CD204" i="1"/>
  <c r="Y456" i="1"/>
  <c r="Y485" i="1" s="1"/>
  <c r="Y468" i="1"/>
  <c r="Y469" i="1" s="1"/>
  <c r="Z635" i="1"/>
  <c r="W203" i="1"/>
  <c r="Z216" i="1"/>
  <c r="N181" i="1"/>
  <c r="N667" i="1"/>
  <c r="X468" i="1"/>
  <c r="CF122" i="1"/>
  <c r="S486" i="1"/>
  <c r="CK450" i="1"/>
  <c r="CK451" i="1" s="1"/>
  <c r="CN518" i="1"/>
  <c r="CI518" i="1"/>
  <c r="CN503" i="1"/>
  <c r="CM450" i="1"/>
  <c r="CM451" i="1" s="1"/>
  <c r="CR518" i="1"/>
  <c r="CP518" i="1"/>
  <c r="CO518" i="1"/>
  <c r="CL518" i="1"/>
  <c r="CJ518" i="1"/>
  <c r="CR503" i="1"/>
  <c r="CQ503" i="1"/>
  <c r="CJ503" i="1"/>
  <c r="CK475" i="1"/>
  <c r="CE518" i="1"/>
  <c r="CF503" i="1"/>
  <c r="CC503" i="1"/>
  <c r="CG518" i="1"/>
  <c r="CF518" i="1"/>
  <c r="CC518" i="1"/>
  <c r="CL503" i="1"/>
  <c r="CK503" i="1"/>
  <c r="CG503" i="1"/>
  <c r="CH475" i="1"/>
  <c r="CG475" i="1"/>
  <c r="U486" i="1"/>
  <c r="W486" i="1"/>
  <c r="W500" i="1"/>
  <c r="CQ519" i="1"/>
  <c r="CE519" i="1"/>
  <c r="CO504" i="1"/>
  <c r="CM504" i="1"/>
  <c r="CG504" i="1"/>
  <c r="CC504" i="1"/>
  <c r="N500" i="1"/>
  <c r="N498" i="1" s="1"/>
  <c r="N131" i="1" s="1"/>
  <c r="M472" i="1"/>
  <c r="CQ518" i="1"/>
  <c r="CM518" i="1"/>
  <c r="CK518" i="1"/>
  <c r="CH518" i="1"/>
  <c r="CD518" i="1"/>
  <c r="CO503" i="1"/>
  <c r="CM503" i="1"/>
  <c r="CH503" i="1"/>
  <c r="CD503" i="1"/>
  <c r="AC486" i="1"/>
  <c r="AA486" i="1"/>
  <c r="Y486" i="1"/>
  <c r="Z488" i="1"/>
  <c r="CO517" i="1"/>
  <c r="CL502" i="1"/>
  <c r="S500" i="1"/>
  <c r="CP474" i="1"/>
  <c r="CQ445" i="1"/>
  <c r="CO445" i="1"/>
  <c r="AG485" i="1"/>
  <c r="CE517" i="1"/>
  <c r="CQ423" i="1"/>
  <c r="CQ458" i="1" s="1"/>
  <c r="CQ487" i="1" s="1"/>
  <c r="CM423" i="1"/>
  <c r="CM458" i="1" s="1"/>
  <c r="CM487" i="1" s="1"/>
  <c r="CM422" i="1"/>
  <c r="CM457" i="1" s="1"/>
  <c r="P419" i="1"/>
  <c r="CI408" i="1"/>
  <c r="CI393" i="1" s="1"/>
  <c r="P393" i="1"/>
  <c r="P406" i="1"/>
  <c r="Q393" i="1"/>
  <c r="Q419" i="1"/>
  <c r="Q406" i="1"/>
  <c r="Q405" i="1" s="1"/>
  <c r="CQ516" i="1"/>
  <c r="CJ516" i="1"/>
  <c r="CL501" i="1"/>
  <c r="CI501" i="1"/>
  <c r="CD520" i="1"/>
  <c r="CC562" i="1"/>
  <c r="CH627" i="1"/>
  <c r="CH625" i="1"/>
  <c r="CH604" i="1"/>
  <c r="CH585" i="1"/>
  <c r="CI613" i="1"/>
  <c r="CI141" i="1"/>
  <c r="CI143" i="1" s="1"/>
  <c r="N635" i="1"/>
  <c r="N738" i="1" s="1"/>
  <c r="N764" i="1" s="1"/>
  <c r="CG507" i="1"/>
  <c r="CH507" i="1"/>
  <c r="CH536" i="1"/>
  <c r="O623" i="1"/>
  <c r="CI507" i="1"/>
  <c r="Q623" i="1"/>
  <c r="CI536" i="1"/>
  <c r="CI479" i="1"/>
  <c r="M486" i="1"/>
  <c r="CH450" i="1"/>
  <c r="N486" i="1"/>
  <c r="O486" i="1"/>
  <c r="CI475" i="1"/>
  <c r="CI450" i="1"/>
  <c r="Q486" i="1"/>
  <c r="CG423" i="1"/>
  <c r="O500" i="1"/>
  <c r="O498" i="1" s="1"/>
  <c r="N472" i="1"/>
  <c r="N443" i="1"/>
  <c r="CG388" i="1"/>
  <c r="N455" i="1"/>
  <c r="N484" i="1" s="1"/>
  <c r="CH473" i="1"/>
  <c r="O419" i="1"/>
  <c r="O406" i="1"/>
  <c r="CH381" i="1"/>
  <c r="CH516" i="1"/>
  <c r="CH501" i="1"/>
  <c r="CI444" i="1"/>
  <c r="CI455" i="1" s="1"/>
  <c r="CI388" i="1"/>
  <c r="CI381" i="1"/>
  <c r="CI152" i="1"/>
  <c r="Q248" i="1"/>
  <c r="M177" i="1"/>
  <c r="M114" i="1" s="1"/>
  <c r="CH52" i="1"/>
  <c r="N232" i="1"/>
  <c r="N233" i="1" s="1"/>
  <c r="CI54" i="1"/>
  <c r="P232" i="1"/>
  <c r="P233" i="1" s="1"/>
  <c r="CG762" i="1"/>
  <c r="CO92" i="1"/>
  <c r="CE561" i="1"/>
  <c r="CE562" i="1" s="1"/>
  <c r="M813" i="1"/>
  <c r="M812" i="1"/>
  <c r="CI633" i="1"/>
  <c r="CG633" i="1"/>
  <c r="CF625" i="1"/>
  <c r="CE621" i="1"/>
  <c r="V603" i="1"/>
  <c r="CN575" i="1"/>
  <c r="CC633" i="1"/>
  <c r="CE502" i="1"/>
  <c r="CE130" i="1" s="1"/>
  <c r="Q443" i="1"/>
  <c r="CF445" i="1"/>
  <c r="CR444" i="1"/>
  <c r="CR455" i="1" s="1"/>
  <c r="CP444" i="1"/>
  <c r="CP455" i="1" s="1"/>
  <c r="CL409" i="1"/>
  <c r="CL421" i="1" s="1"/>
  <c r="O265" i="1"/>
  <c r="CH64" i="1"/>
  <c r="N63" i="1"/>
  <c r="T223" i="1"/>
  <c r="CM160" i="1"/>
  <c r="CG815" i="1"/>
  <c r="CJ814" i="1" l="1"/>
  <c r="CM507" i="1"/>
  <c r="CM509" i="1" s="1"/>
  <c r="T204" i="1"/>
  <c r="T670" i="1" s="1"/>
  <c r="R233" i="1"/>
  <c r="CK145" i="1"/>
  <c r="CK507" i="1"/>
  <c r="CK509" i="1" s="1"/>
  <c r="Q795" i="1"/>
  <c r="CI204" i="1"/>
  <c r="CI795" i="1" s="1"/>
  <c r="P795" i="1"/>
  <c r="N795" i="1"/>
  <c r="CJ143" i="1"/>
  <c r="V204" i="1"/>
  <c r="V670" i="1" s="1"/>
  <c r="CL145" i="1"/>
  <c r="X635" i="1"/>
  <c r="X738" i="1" s="1"/>
  <c r="X764" i="1" s="1"/>
  <c r="CM228" i="1"/>
  <c r="G11" i="7"/>
  <c r="Z146" i="1"/>
  <c r="CL228" i="1"/>
  <c r="CK228" i="1"/>
  <c r="T253" i="1"/>
  <c r="T252" i="1"/>
  <c r="O670" i="1"/>
  <c r="CH670" i="1" s="1"/>
  <c r="O795" i="1"/>
  <c r="U248" i="1"/>
  <c r="Z441" i="1"/>
  <c r="Y393" i="1"/>
  <c r="Y419" i="1"/>
  <c r="Y426" i="1" s="1"/>
  <c r="Y428" i="1" s="1"/>
  <c r="CF58" i="1"/>
  <c r="U146" i="1"/>
  <c r="CL509" i="1"/>
  <c r="Z242" i="1"/>
  <c r="BA707" i="1"/>
  <c r="Q258" i="1"/>
  <c r="N257" i="1"/>
  <c r="CL414" i="1"/>
  <c r="CL130" i="1" s="1"/>
  <c r="T131" i="1"/>
  <c r="X131" i="1"/>
  <c r="Z131" i="1"/>
  <c r="CK143" i="1"/>
  <c r="CD456" i="1"/>
  <c r="CD485" i="1" s="1"/>
  <c r="N299" i="1"/>
  <c r="N72" i="1" s="1"/>
  <c r="C314" i="1"/>
  <c r="R812" i="1"/>
  <c r="R813" i="1"/>
  <c r="Q825" i="1"/>
  <c r="CM635" i="1"/>
  <c r="X204" i="1"/>
  <c r="X670" i="1" s="1"/>
  <c r="C362" i="1"/>
  <c r="C363" i="1" s="1"/>
  <c r="C305" i="1" s="1"/>
  <c r="C315" i="1" s="1"/>
  <c r="C373" i="1" s="1"/>
  <c r="C259" i="1"/>
  <c r="L314" i="1"/>
  <c r="L72" i="1"/>
  <c r="CQ540" i="1"/>
  <c r="X253" i="1"/>
  <c r="AA242" i="1"/>
  <c r="AA243" i="1"/>
  <c r="AB98" i="1"/>
  <c r="AB441" i="1"/>
  <c r="CK253" i="1"/>
  <c r="CI247" i="1"/>
  <c r="CI58" i="1"/>
  <c r="CD484" i="1"/>
  <c r="CJ585" i="1"/>
  <c r="R822" i="1"/>
  <c r="U61" i="1"/>
  <c r="X471" i="1"/>
  <c r="W130" i="1"/>
  <c r="CH443" i="1"/>
  <c r="CH791" i="1" s="1"/>
  <c r="O299" i="1"/>
  <c r="O72" i="1" s="1"/>
  <c r="P257" i="1"/>
  <c r="CK790" i="1"/>
  <c r="U465" i="1"/>
  <c r="CJ97" i="1"/>
  <c r="T406" i="1"/>
  <c r="T405" i="1" s="1"/>
  <c r="M258" i="1"/>
  <c r="CM456" i="1"/>
  <c r="CM485" i="1" s="1"/>
  <c r="CK252" i="1"/>
  <c r="U253" i="1"/>
  <c r="O257" i="1"/>
  <c r="O611" i="1"/>
  <c r="O146" i="1" s="1"/>
  <c r="U817" i="1"/>
  <c r="CD635" i="1"/>
  <c r="CC635" i="1"/>
  <c r="CF635" i="1"/>
  <c r="Y471" i="1"/>
  <c r="R114" i="1"/>
  <c r="CG63" i="1"/>
  <c r="W823" i="1"/>
  <c r="U820" i="1"/>
  <c r="R819" i="1"/>
  <c r="CN456" i="1"/>
  <c r="CN485" i="1" s="1"/>
  <c r="CL381" i="1"/>
  <c r="CL327" i="1" s="1"/>
  <c r="V327" i="1"/>
  <c r="T393" i="1"/>
  <c r="T792" i="1" s="1"/>
  <c r="Y441" i="1"/>
  <c r="CM441" i="1" s="1"/>
  <c r="CL443" i="1"/>
  <c r="CL430" i="1" s="1"/>
  <c r="W415" i="1"/>
  <c r="CL415" i="1" s="1"/>
  <c r="CL427" i="1" s="1"/>
  <c r="CL462" i="1" s="1"/>
  <c r="CL491" i="1" s="1"/>
  <c r="T99" i="1"/>
  <c r="CQ484" i="1"/>
  <c r="CK97" i="1"/>
  <c r="CI790" i="1"/>
  <c r="CQ574" i="1"/>
  <c r="CO606" i="1"/>
  <c r="U823" i="1"/>
  <c r="S603" i="1"/>
  <c r="CJ603" i="1" s="1"/>
  <c r="CJ604" i="1" s="1"/>
  <c r="CK434" i="1"/>
  <c r="N826" i="1"/>
  <c r="N146" i="1"/>
  <c r="CG610" i="1"/>
  <c r="CG145" i="1" s="1"/>
  <c r="P471" i="1"/>
  <c r="CI471" i="1" s="1"/>
  <c r="U99" i="1"/>
  <c r="CG204" i="1"/>
  <c r="CG795" i="1" s="1"/>
  <c r="Z154" i="1"/>
  <c r="CC610" i="1"/>
  <c r="CC145" i="1" s="1"/>
  <c r="O819" i="1"/>
  <c r="P258" i="1"/>
  <c r="CL484" i="1"/>
  <c r="M304" i="1"/>
  <c r="M430" i="1"/>
  <c r="X430" i="1"/>
  <c r="X98" i="1"/>
  <c r="N304" i="1"/>
  <c r="CH97" i="1"/>
  <c r="CQ565" i="1"/>
  <c r="CJ116" i="1"/>
  <c r="CG247" i="1"/>
  <c r="CM159" i="1"/>
  <c r="CH177" i="1"/>
  <c r="CH114" i="1" s="1"/>
  <c r="W267" i="1"/>
  <c r="CM536" i="1"/>
  <c r="CM623" i="1" s="1"/>
  <c r="W635" i="1"/>
  <c r="W738" i="1" s="1"/>
  <c r="W764" i="1" s="1"/>
  <c r="W58" i="1"/>
  <c r="U252" i="1"/>
  <c r="Q304" i="1"/>
  <c r="W441" i="1"/>
  <c r="P822" i="1"/>
  <c r="U63" i="1"/>
  <c r="CJ790" i="1"/>
  <c r="CK102" i="1"/>
  <c r="CH102" i="1"/>
  <c r="CJ102" i="1"/>
  <c r="W820" i="1"/>
  <c r="M826" i="1"/>
  <c r="CO601" i="1"/>
  <c r="P71" i="7"/>
  <c r="P72" i="7"/>
  <c r="CP601" i="1"/>
  <c r="CQ601" i="1"/>
  <c r="CM232" i="1"/>
  <c r="CM233" i="1" s="1"/>
  <c r="CM54" i="1"/>
  <c r="CM192" i="1"/>
  <c r="Z247" i="1"/>
  <c r="Z304" i="1" s="1"/>
  <c r="M299" i="1"/>
  <c r="M72" i="1" s="1"/>
  <c r="Z243" i="1"/>
  <c r="Z238" i="1"/>
  <c r="Z253" i="1"/>
  <c r="Z248" i="1"/>
  <c r="CM218" i="1"/>
  <c r="CM223" i="1"/>
  <c r="CF498" i="1"/>
  <c r="CI486" i="1"/>
  <c r="Y99" i="1"/>
  <c r="Q426" i="1"/>
  <c r="Q428" i="1" s="1"/>
  <c r="Y515" i="1"/>
  <c r="W98" i="1"/>
  <c r="CP486" i="1"/>
  <c r="CH427" i="1"/>
  <c r="CH462" i="1" s="1"/>
  <c r="CH491" i="1" s="1"/>
  <c r="CG443" i="1"/>
  <c r="CG430" i="1" s="1"/>
  <c r="CH456" i="1"/>
  <c r="CH485" i="1" s="1"/>
  <c r="CP456" i="1"/>
  <c r="CP485" i="1" s="1"/>
  <c r="V441" i="1"/>
  <c r="Z495" i="1"/>
  <c r="Z465" i="1"/>
  <c r="X406" i="1"/>
  <c r="X405" i="1" s="1"/>
  <c r="CM405" i="1" s="1"/>
  <c r="V495" i="1"/>
  <c r="CI472" i="1"/>
  <c r="CI465" i="1" s="1"/>
  <c r="CL500" i="1"/>
  <c r="CL495" i="1" s="1"/>
  <c r="S471" i="1"/>
  <c r="CF456" i="1"/>
  <c r="CF485" i="1" s="1"/>
  <c r="S99" i="1"/>
  <c r="R393" i="1"/>
  <c r="Q465" i="1"/>
  <c r="W471" i="1"/>
  <c r="CL471" i="1" s="1"/>
  <c r="M495" i="1"/>
  <c r="S430" i="1"/>
  <c r="Z53" i="1"/>
  <c r="CE795" i="1"/>
  <c r="Y217" i="1"/>
  <c r="T96" i="1"/>
  <c r="CS135" i="1"/>
  <c r="CS735" i="1" s="1"/>
  <c r="U265" i="1"/>
  <c r="U267" i="1" s="1"/>
  <c r="S419" i="1"/>
  <c r="S454" i="1" s="1"/>
  <c r="CJ408" i="1"/>
  <c r="CJ419" i="1" s="1"/>
  <c r="CK408" i="1"/>
  <c r="CK393" i="1" s="1"/>
  <c r="CG440" i="1"/>
  <c r="CK500" i="1"/>
  <c r="CK495" i="1" s="1"/>
  <c r="O465" i="1"/>
  <c r="Y498" i="1"/>
  <c r="R498" i="1"/>
  <c r="R131" i="1" s="1"/>
  <c r="CK443" i="1"/>
  <c r="CK430" i="1" s="1"/>
  <c r="CC97" i="1"/>
  <c r="CI456" i="1"/>
  <c r="CI485" i="1" s="1"/>
  <c r="CH635" i="1"/>
  <c r="V63" i="1"/>
  <c r="CO565" i="1"/>
  <c r="X267" i="1"/>
  <c r="CF63" i="1"/>
  <c r="U826" i="1"/>
  <c r="U116" i="1"/>
  <c r="S819" i="1"/>
  <c r="Z822" i="1"/>
  <c r="V738" i="1"/>
  <c r="V764" i="1" s="1"/>
  <c r="M795" i="1"/>
  <c r="X247" i="1"/>
  <c r="U498" i="1"/>
  <c r="Q812" i="1"/>
  <c r="X248" i="1"/>
  <c r="Z98" i="1"/>
  <c r="CI181" i="1"/>
  <c r="CI154" i="1" s="1"/>
  <c r="CG97" i="1"/>
  <c r="U406" i="1"/>
  <c r="U405" i="1" s="1"/>
  <c r="CE635" i="1"/>
  <c r="Q299" i="1"/>
  <c r="Q72" i="1" s="1"/>
  <c r="Y98" i="1"/>
  <c r="P825" i="1"/>
  <c r="P819" i="1"/>
  <c r="P813" i="1"/>
  <c r="Z817" i="1"/>
  <c r="Z820" i="1"/>
  <c r="Z116" i="1"/>
  <c r="CM186" i="1"/>
  <c r="CM242" i="1" s="1"/>
  <c r="U602" i="1"/>
  <c r="CC3" i="1"/>
  <c r="CC2" i="1"/>
  <c r="CD725" i="1" s="1"/>
  <c r="CP555" i="1"/>
  <c r="X99" i="1"/>
  <c r="X419" i="1"/>
  <c r="M515" i="1"/>
  <c r="M136" i="1" s="1"/>
  <c r="R515" i="1"/>
  <c r="R136" i="1" s="1"/>
  <c r="CM472" i="1"/>
  <c r="CM465" i="1" s="1"/>
  <c r="T471" i="1"/>
  <c r="CK471" i="1" s="1"/>
  <c r="CD795" i="1"/>
  <c r="Z147" i="1"/>
  <c r="U623" i="1"/>
  <c r="CJ821" i="1"/>
  <c r="Z823" i="1"/>
  <c r="CJ223" i="1"/>
  <c r="CI500" i="1"/>
  <c r="CI495" i="1" s="1"/>
  <c r="CC536" i="1"/>
  <c r="CC623" i="1" s="1"/>
  <c r="W623" i="1"/>
  <c r="CL536" i="1"/>
  <c r="CL623" i="1" s="1"/>
  <c r="N817" i="1"/>
  <c r="N116" i="1"/>
  <c r="N820" i="1"/>
  <c r="CJ484" i="1"/>
  <c r="AC522" i="1"/>
  <c r="Y55" i="1"/>
  <c r="CO566" i="1"/>
  <c r="W602" i="1"/>
  <c r="W603" i="1" s="1"/>
  <c r="CL603" i="1" s="1"/>
  <c r="CD97" i="1"/>
  <c r="CK584" i="1"/>
  <c r="CK585" i="1" s="1"/>
  <c r="M257" i="1"/>
  <c r="CM584" i="1"/>
  <c r="CM585" i="1" s="1"/>
  <c r="Y602" i="1"/>
  <c r="Y603" i="1" s="1"/>
  <c r="CM603" i="1" s="1"/>
  <c r="CD1" i="1"/>
  <c r="CE1" i="1" s="1"/>
  <c r="CC427" i="1"/>
  <c r="CC462" i="1" s="1"/>
  <c r="CC491" i="1" s="1"/>
  <c r="CJ623" i="1"/>
  <c r="CG456" i="1"/>
  <c r="CG485" i="1" s="1"/>
  <c r="CO486" i="1"/>
  <c r="CK635" i="1"/>
  <c r="CC795" i="1"/>
  <c r="CL635" i="1"/>
  <c r="CF623" i="1"/>
  <c r="CD623" i="1"/>
  <c r="CR138" i="1"/>
  <c r="V265" i="1"/>
  <c r="V267" i="1" s="1"/>
  <c r="Z813" i="1"/>
  <c r="U114" i="1"/>
  <c r="R147" i="1"/>
  <c r="Q603" i="1"/>
  <c r="CI603" i="1" s="1"/>
  <c r="CI604" i="1" s="1"/>
  <c r="P146" i="1"/>
  <c r="CH472" i="1"/>
  <c r="CH465" i="1" s="1"/>
  <c r="O98" i="1"/>
  <c r="P515" i="1"/>
  <c r="P136" i="1" s="1"/>
  <c r="S393" i="1"/>
  <c r="R419" i="1"/>
  <c r="R426" i="1" s="1"/>
  <c r="R428" i="1" s="1"/>
  <c r="T515" i="1"/>
  <c r="CM408" i="1"/>
  <c r="CM419" i="1" s="1"/>
  <c r="S515" i="1"/>
  <c r="Z515" i="1"/>
  <c r="V465" i="1"/>
  <c r="T495" i="1"/>
  <c r="CM443" i="1"/>
  <c r="CM430" i="1" s="1"/>
  <c r="CK472" i="1"/>
  <c r="CK465" i="1" s="1"/>
  <c r="P304" i="1"/>
  <c r="R98" i="1"/>
  <c r="S55" i="1"/>
  <c r="Z816" i="1"/>
  <c r="R154" i="1"/>
  <c r="CJ472" i="1"/>
  <c r="CJ465" i="1" s="1"/>
  <c r="CJ826" i="1"/>
  <c r="Q822" i="1"/>
  <c r="M820" i="1"/>
  <c r="Z819" i="1"/>
  <c r="R825" i="1"/>
  <c r="CJ817" i="1"/>
  <c r="M99" i="1"/>
  <c r="Y247" i="1"/>
  <c r="CK208" i="1"/>
  <c r="CK152" i="1" s="1"/>
  <c r="Y53" i="1"/>
  <c r="CF484" i="1"/>
  <c r="M98" i="1"/>
  <c r="Q147" i="1"/>
  <c r="Y58" i="1"/>
  <c r="R204" i="1"/>
  <c r="Q257" i="1"/>
  <c r="U419" i="1"/>
  <c r="U454" i="1" s="1"/>
  <c r="U483" i="1" s="1"/>
  <c r="U129" i="1" s="1"/>
  <c r="CM64" i="1"/>
  <c r="T114" i="1"/>
  <c r="O304" i="1"/>
  <c r="CG623" i="1"/>
  <c r="R738" i="1"/>
  <c r="R764" i="1" s="1"/>
  <c r="CF790" i="1"/>
  <c r="CF97" i="1"/>
  <c r="CM103" i="1"/>
  <c r="Y434" i="1"/>
  <c r="CM434" i="1" s="1"/>
  <c r="CF181" i="1"/>
  <c r="O154" i="1"/>
  <c r="CH181" i="1"/>
  <c r="CH816" i="1" s="1"/>
  <c r="O816" i="1"/>
  <c r="CJ181" i="1"/>
  <c r="S816" i="1"/>
  <c r="S812" i="1"/>
  <c r="S813" i="1"/>
  <c r="CG635" i="1"/>
  <c r="CH623" i="1"/>
  <c r="Z393" i="1"/>
  <c r="CL472" i="1"/>
  <c r="CL465" i="1" s="1"/>
  <c r="R471" i="1"/>
  <c r="P498" i="1"/>
  <c r="P131" i="1" s="1"/>
  <c r="CR135" i="1"/>
  <c r="CR735" i="1" s="1"/>
  <c r="U515" i="1"/>
  <c r="X495" i="1"/>
  <c r="CC96" i="1"/>
  <c r="Z99" i="1"/>
  <c r="P299" i="1"/>
  <c r="P72" i="1" s="1"/>
  <c r="CH795" i="1"/>
  <c r="T243" i="1"/>
  <c r="CL584" i="1"/>
  <c r="CL585" i="1" s="1"/>
  <c r="Z419" i="1"/>
  <c r="Z793" i="1" s="1"/>
  <c r="X146" i="1"/>
  <c r="P812" i="1"/>
  <c r="P816" i="1"/>
  <c r="CJ820" i="1"/>
  <c r="CJ824" i="1"/>
  <c r="CJ823" i="1"/>
  <c r="CJ827" i="1"/>
  <c r="Q819" i="1"/>
  <c r="S822" i="1"/>
  <c r="S825" i="1"/>
  <c r="O822" i="1"/>
  <c r="O825" i="1"/>
  <c r="Z825" i="1"/>
  <c r="U204" i="1"/>
  <c r="Q816" i="1"/>
  <c r="CJ818" i="1"/>
  <c r="CG223" i="1"/>
  <c r="CJ634" i="1"/>
  <c r="CJ635" i="1" s="1"/>
  <c r="CE790" i="1"/>
  <c r="CM130" i="1"/>
  <c r="Y267" i="1"/>
  <c r="CR456" i="1"/>
  <c r="CR485" i="1" s="1"/>
  <c r="U243" i="1"/>
  <c r="Q813" i="1"/>
  <c r="Y102" i="1"/>
  <c r="O258" i="1"/>
  <c r="S147" i="1"/>
  <c r="O813" i="1"/>
  <c r="CJ203" i="1"/>
  <c r="S204" i="1"/>
  <c r="CD181" i="1"/>
  <c r="CD819" i="1" s="1"/>
  <c r="Q495" i="1"/>
  <c r="Q498" i="1"/>
  <c r="V515" i="1"/>
  <c r="CP577" i="1"/>
  <c r="CE816" i="1"/>
  <c r="CG484" i="1"/>
  <c r="CD486" i="1"/>
  <c r="CI427" i="1"/>
  <c r="CI462" i="1" s="1"/>
  <c r="CI491" i="1" s="1"/>
  <c r="CH486" i="1"/>
  <c r="CC486" i="1"/>
  <c r="CL486" i="1"/>
  <c r="CE427" i="1"/>
  <c r="CE462" i="1" s="1"/>
  <c r="CE491" i="1" s="1"/>
  <c r="CK130" i="1"/>
  <c r="CE812" i="1"/>
  <c r="CK456" i="1"/>
  <c r="CK485" i="1" s="1"/>
  <c r="CC456" i="1"/>
  <c r="CC485" i="1" s="1"/>
  <c r="CQ486" i="1"/>
  <c r="CO583" i="1"/>
  <c r="CN142" i="1"/>
  <c r="CN762" i="1" s="1"/>
  <c r="CM486" i="1"/>
  <c r="CQ456" i="1"/>
  <c r="CQ485" i="1" s="1"/>
  <c r="CG486" i="1"/>
  <c r="CE822" i="1"/>
  <c r="CE456" i="1"/>
  <c r="CE485" i="1" s="1"/>
  <c r="CE813" i="1"/>
  <c r="CE147" i="1"/>
  <c r="CE154" i="1"/>
  <c r="CF427" i="1"/>
  <c r="CF462" i="1" s="1"/>
  <c r="CF491" i="1" s="1"/>
  <c r="CO484" i="1"/>
  <c r="CN507" i="1"/>
  <c r="AA536" i="1"/>
  <c r="CN522" i="1"/>
  <c r="CE486" i="1"/>
  <c r="CE484" i="1"/>
  <c r="CN484" i="1"/>
  <c r="CP540" i="1"/>
  <c r="CR484" i="1"/>
  <c r="CC812" i="1"/>
  <c r="CG812" i="1"/>
  <c r="CH484" i="1"/>
  <c r="CG427" i="1"/>
  <c r="CG462" i="1" s="1"/>
  <c r="CG491" i="1" s="1"/>
  <c r="CI623" i="1"/>
  <c r="CM484" i="1"/>
  <c r="CF486" i="1"/>
  <c r="CG825" i="1"/>
  <c r="CO499" i="1"/>
  <c r="CK486" i="1"/>
  <c r="CJ456" i="1"/>
  <c r="CJ485" i="1" s="1"/>
  <c r="CC484" i="1"/>
  <c r="CG813" i="1"/>
  <c r="Y204" i="1"/>
  <c r="Y795" i="1" s="1"/>
  <c r="CP484" i="1"/>
  <c r="CG816" i="1"/>
  <c r="CO456" i="1"/>
  <c r="CO485" i="1" s="1"/>
  <c r="CJ486" i="1"/>
  <c r="CR486" i="1"/>
  <c r="CK623" i="1"/>
  <c r="CD427" i="1"/>
  <c r="CD462" i="1" s="1"/>
  <c r="CD491" i="1" s="1"/>
  <c r="CG819" i="1"/>
  <c r="CG822" i="1"/>
  <c r="CJ243" i="1"/>
  <c r="N495" i="1"/>
  <c r="Y248" i="1"/>
  <c r="T242" i="1"/>
  <c r="CK613" i="1"/>
  <c r="CL232" i="1"/>
  <c r="CL233" i="1" s="1"/>
  <c r="CL198" i="1"/>
  <c r="W61" i="1"/>
  <c r="X252" i="1"/>
  <c r="W253" i="1"/>
  <c r="W116" i="1"/>
  <c r="W817" i="1"/>
  <c r="CL612" i="1"/>
  <c r="CL613" i="1" s="1"/>
  <c r="CM208" i="1"/>
  <c r="Y63" i="1"/>
  <c r="Y152" i="1"/>
  <c r="R55" i="1"/>
  <c r="S242" i="1"/>
  <c r="S243" i="1"/>
  <c r="R242" i="1"/>
  <c r="U58" i="1"/>
  <c r="CK192" i="1"/>
  <c r="U247" i="1"/>
  <c r="CK186" i="1"/>
  <c r="CL242" i="1" s="1"/>
  <c r="U55" i="1"/>
  <c r="U242" i="1"/>
  <c r="W434" i="1"/>
  <c r="CL103" i="1"/>
  <c r="CE63" i="1"/>
  <c r="CE152" i="1"/>
  <c r="CD408" i="1"/>
  <c r="CF408" i="1"/>
  <c r="N393" i="1"/>
  <c r="N406" i="1"/>
  <c r="N405" i="1" s="1"/>
  <c r="N419" i="1"/>
  <c r="N426" i="1" s="1"/>
  <c r="N428" i="1" s="1"/>
  <c r="CD63" i="1"/>
  <c r="CH63" i="1"/>
  <c r="CC152" i="1"/>
  <c r="CH152" i="1"/>
  <c r="CJ192" i="1"/>
  <c r="S58" i="1"/>
  <c r="T247" i="1"/>
  <c r="M738" i="1"/>
  <c r="M764" i="1" s="1"/>
  <c r="CL64" i="1"/>
  <c r="CK64" i="1"/>
  <c r="Q738" i="1"/>
  <c r="Q764" i="1" s="1"/>
  <c r="T248" i="1"/>
  <c r="W252" i="1"/>
  <c r="CD152" i="1"/>
  <c r="CJ500" i="1"/>
  <c r="CJ495" i="1" s="1"/>
  <c r="T146" i="1"/>
  <c r="V99" i="1"/>
  <c r="CF443" i="1"/>
  <c r="CF791" i="1" s="1"/>
  <c r="T98" i="1"/>
  <c r="CD443" i="1"/>
  <c r="Z265" i="1"/>
  <c r="Z267" i="1" s="1"/>
  <c r="Z63" i="1"/>
  <c r="Z152" i="1"/>
  <c r="CJ468" i="1"/>
  <c r="S469" i="1"/>
  <c r="CJ469" i="1" s="1"/>
  <c r="CK415" i="1"/>
  <c r="U427" i="1"/>
  <c r="U462" i="1" s="1"/>
  <c r="U491" i="1" s="1"/>
  <c r="S152" i="1"/>
  <c r="S265" i="1"/>
  <c r="S63" i="1"/>
  <c r="CJ208" i="1"/>
  <c r="T265" i="1"/>
  <c r="T267" i="1" s="1"/>
  <c r="CI242" i="1"/>
  <c r="CI243" i="1"/>
  <c r="CH242" i="1"/>
  <c r="CH243" i="1"/>
  <c r="CG55" i="1"/>
  <c r="CG242" i="1"/>
  <c r="CG243" i="1"/>
  <c r="CF55" i="1"/>
  <c r="CD610" i="1"/>
  <c r="CE610" i="1"/>
  <c r="CE145" i="1" s="1"/>
  <c r="CF610" i="1"/>
  <c r="CO588" i="1"/>
  <c r="CO539" i="1"/>
  <c r="P441" i="1"/>
  <c r="P440" i="1" s="1"/>
  <c r="Q96" i="1" s="1"/>
  <c r="P430" i="1"/>
  <c r="P793" i="1" s="1"/>
  <c r="T441" i="1"/>
  <c r="T430" i="1"/>
  <c r="T793" i="1" s="1"/>
  <c r="V98" i="1"/>
  <c r="CH145" i="1"/>
  <c r="S427" i="1"/>
  <c r="S462" i="1" s="1"/>
  <c r="S491" i="1" s="1"/>
  <c r="CJ415" i="1"/>
  <c r="X427" i="1"/>
  <c r="X462" i="1" s="1"/>
  <c r="X491" i="1" s="1"/>
  <c r="CM415" i="1"/>
  <c r="CJ242" i="1"/>
  <c r="CI55" i="1"/>
  <c r="CD327" i="1"/>
  <c r="CC408" i="1"/>
  <c r="CE408" i="1"/>
  <c r="M393" i="1"/>
  <c r="CG408" i="1"/>
  <c r="M419" i="1"/>
  <c r="M406" i="1"/>
  <c r="O430" i="1"/>
  <c r="O441" i="1"/>
  <c r="O440" i="1" s="1"/>
  <c r="P96" i="1" s="1"/>
  <c r="U441" i="1"/>
  <c r="U440" i="1" s="1"/>
  <c r="V96" i="1" s="1"/>
  <c r="U98" i="1"/>
  <c r="CM468" i="1"/>
  <c r="CN486" i="1"/>
  <c r="T63" i="1"/>
  <c r="CG500" i="1"/>
  <c r="CG495" i="1" s="1"/>
  <c r="N258" i="1"/>
  <c r="CK232" i="1"/>
  <c r="CG177" i="1"/>
  <c r="CG114" i="1" s="1"/>
  <c r="CI635" i="1"/>
  <c r="CI484" i="1"/>
  <c r="X515" i="1"/>
  <c r="CM500" i="1"/>
  <c r="CM495" i="1" s="1"/>
  <c r="CF500" i="1"/>
  <c r="CF495" i="1" s="1"/>
  <c r="N822" i="1"/>
  <c r="N825" i="1"/>
  <c r="N819" i="1"/>
  <c r="X822" i="1"/>
  <c r="X825" i="1"/>
  <c r="X819" i="1"/>
  <c r="T822" i="1"/>
  <c r="T825" i="1"/>
  <c r="T819" i="1"/>
  <c r="Y823" i="1"/>
  <c r="Y826" i="1"/>
  <c r="Y820" i="1"/>
  <c r="CI826" i="1"/>
  <c r="CI827" i="1"/>
  <c r="CI823" i="1"/>
  <c r="CI824" i="1"/>
  <c r="CI820" i="1"/>
  <c r="CI821" i="1"/>
  <c r="CC825" i="1"/>
  <c r="CC822" i="1"/>
  <c r="CC819" i="1"/>
  <c r="X826" i="1"/>
  <c r="X820" i="1"/>
  <c r="X823" i="1"/>
  <c r="CE825" i="1"/>
  <c r="CE819" i="1"/>
  <c r="CO571" i="1"/>
  <c r="Y116" i="1"/>
  <c r="Y147" i="1"/>
  <c r="Y817" i="1"/>
  <c r="CM612" i="1"/>
  <c r="CM147" i="1" s="1"/>
  <c r="CQ577" i="1"/>
  <c r="N471" i="1"/>
  <c r="CH471" i="1" s="1"/>
  <c r="P792" i="1"/>
  <c r="X469" i="1"/>
  <c r="CM469" i="1" s="1"/>
  <c r="CL389" i="1"/>
  <c r="CK484" i="1"/>
  <c r="X116" i="1"/>
  <c r="V181" i="1"/>
  <c r="V114" i="1"/>
  <c r="W215" i="1"/>
  <c r="W232" i="1" s="1"/>
  <c r="W233" i="1" s="1"/>
  <c r="W218" i="1"/>
  <c r="X154" i="1"/>
  <c r="X812" i="1"/>
  <c r="X813" i="1"/>
  <c r="X816" i="1"/>
  <c r="X147" i="1"/>
  <c r="Y114" i="1"/>
  <c r="CM177" i="1"/>
  <c r="Y146" i="1"/>
  <c r="T816" i="1"/>
  <c r="T154" i="1"/>
  <c r="T813" i="1"/>
  <c r="T147" i="1"/>
  <c r="T812" i="1"/>
  <c r="W469" i="1"/>
  <c r="CL469" i="1" s="1"/>
  <c r="CL468" i="1"/>
  <c r="CE327" i="1"/>
  <c r="CK179" i="1"/>
  <c r="U181" i="1"/>
  <c r="CL179" i="1"/>
  <c r="W181" i="1"/>
  <c r="W146" i="1"/>
  <c r="X218" i="1"/>
  <c r="X215" i="1"/>
  <c r="X232" i="1" s="1"/>
  <c r="X233" i="1" s="1"/>
  <c r="W114" i="1"/>
  <c r="W158" i="1"/>
  <c r="V58" i="1"/>
  <c r="W247" i="1"/>
  <c r="W248" i="1"/>
  <c r="CC177" i="1"/>
  <c r="CC114" i="1" s="1"/>
  <c r="CE177" i="1"/>
  <c r="Q146" i="1"/>
  <c r="Q114" i="1"/>
  <c r="CI177" i="1"/>
  <c r="CQ575" i="1"/>
  <c r="Z795" i="1"/>
  <c r="V146" i="1"/>
  <c r="CD500" i="1"/>
  <c r="CD495" i="1" s="1"/>
  <c r="CF471" i="1"/>
  <c r="N154" i="1"/>
  <c r="N812" i="1"/>
  <c r="N813" i="1"/>
  <c r="N816" i="1"/>
  <c r="CL203" i="1"/>
  <c r="W204" i="1"/>
  <c r="W795" i="1" s="1"/>
  <c r="S248" i="1"/>
  <c r="R58" i="1"/>
  <c r="R248" i="1"/>
  <c r="R258" i="1" s="1"/>
  <c r="S247" i="1"/>
  <c r="R247" i="1"/>
  <c r="X55" i="1"/>
  <c r="Y242" i="1"/>
  <c r="Y243" i="1"/>
  <c r="M456" i="1"/>
  <c r="CE536" i="1"/>
  <c r="CE623" i="1" s="1"/>
  <c r="CO600" i="1"/>
  <c r="CC611" i="1"/>
  <c r="V427" i="1"/>
  <c r="V462" i="1" s="1"/>
  <c r="V491" i="1" s="1"/>
  <c r="CL102" i="1"/>
  <c r="CN415" i="1"/>
  <c r="CN427" i="1" s="1"/>
  <c r="CN462" i="1" s="1"/>
  <c r="CN491" i="1" s="1"/>
  <c r="Z427" i="1"/>
  <c r="Z738" i="1"/>
  <c r="Z764" i="1" s="1"/>
  <c r="Y61" i="1"/>
  <c r="CM198" i="1"/>
  <c r="Y253" i="1"/>
  <c r="Y252" i="1"/>
  <c r="CL55" i="1"/>
  <c r="X242" i="1"/>
  <c r="W243" i="1"/>
  <c r="W55" i="1"/>
  <c r="X243" i="1"/>
  <c r="W242" i="1"/>
  <c r="S114" i="1"/>
  <c r="S146" i="1"/>
  <c r="CJ177" i="1"/>
  <c r="V393" i="1"/>
  <c r="V406" i="1"/>
  <c r="V405" i="1" s="1"/>
  <c r="V419" i="1"/>
  <c r="R99" i="1"/>
  <c r="R430" i="1"/>
  <c r="R441" i="1"/>
  <c r="CJ443" i="1"/>
  <c r="CC816" i="1"/>
  <c r="CC154" i="1"/>
  <c r="CC813" i="1"/>
  <c r="CQ573" i="1"/>
  <c r="Q792" i="1"/>
  <c r="CD472" i="1"/>
  <c r="T233" i="1"/>
  <c r="S233" i="1"/>
  <c r="W495" i="1"/>
  <c r="CF472" i="1"/>
  <c r="W498" i="1"/>
  <c r="P98" i="1"/>
  <c r="S495" i="1"/>
  <c r="N465" i="1"/>
  <c r="S498" i="1"/>
  <c r="CC498" i="1"/>
  <c r="CC131" i="1" s="1"/>
  <c r="CC500" i="1"/>
  <c r="CC495" i="1" s="1"/>
  <c r="CE500" i="1"/>
  <c r="CE495" i="1" s="1"/>
  <c r="CC471" i="1"/>
  <c r="CC472" i="1"/>
  <c r="CE472" i="1"/>
  <c r="V131" i="1"/>
  <c r="M465" i="1"/>
  <c r="M471" i="1"/>
  <c r="CG472" i="1"/>
  <c r="O515" i="1"/>
  <c r="CH500" i="1"/>
  <c r="CH495" i="1" s="1"/>
  <c r="CC443" i="1"/>
  <c r="P405" i="1"/>
  <c r="CI405" i="1" s="1"/>
  <c r="CI406" i="1"/>
  <c r="P454" i="1"/>
  <c r="P426" i="1"/>
  <c r="P428" i="1" s="1"/>
  <c r="N441" i="1"/>
  <c r="N440" i="1" s="1"/>
  <c r="N98" i="1"/>
  <c r="U485" i="1"/>
  <c r="R405" i="1"/>
  <c r="CJ405" i="1" s="1"/>
  <c r="CJ406" i="1"/>
  <c r="T426" i="1"/>
  <c r="T428" i="1" s="1"/>
  <c r="T454" i="1"/>
  <c r="W393" i="1"/>
  <c r="W99" i="1"/>
  <c r="W515" i="1"/>
  <c r="W406" i="1"/>
  <c r="CL408" i="1"/>
  <c r="W419" i="1"/>
  <c r="CH498" i="1"/>
  <c r="O131" i="1"/>
  <c r="CI116" i="1"/>
  <c r="CI818" i="1"/>
  <c r="CI817" i="1"/>
  <c r="CI814" i="1"/>
  <c r="N515" i="1"/>
  <c r="CG458" i="1"/>
  <c r="CG487" i="1" s="1"/>
  <c r="O495" i="1"/>
  <c r="N99" i="1"/>
  <c r="N430" i="1"/>
  <c r="CH327" i="1"/>
  <c r="O405" i="1"/>
  <c r="CH419" i="1"/>
  <c r="CH393" i="1"/>
  <c r="O792" i="1"/>
  <c r="O454" i="1"/>
  <c r="O426" i="1"/>
  <c r="O428" i="1" s="1"/>
  <c r="CI327" i="1"/>
  <c r="CI419" i="1"/>
  <c r="CL456" i="1"/>
  <c r="CE443" i="1"/>
  <c r="CP606" i="1"/>
  <c r="CP583" i="1"/>
  <c r="CQ555" i="1"/>
  <c r="Q99" i="1"/>
  <c r="Q441" i="1"/>
  <c r="S98" i="1"/>
  <c r="Q98" i="1"/>
  <c r="Q515" i="1"/>
  <c r="Q136" i="1" s="1"/>
  <c r="Q430" i="1"/>
  <c r="CI443" i="1"/>
  <c r="Q454" i="1"/>
  <c r="AO56" i="24" l="1"/>
  <c r="AN56" i="24"/>
  <c r="T795" i="1"/>
  <c r="AA299" i="1"/>
  <c r="V795" i="1"/>
  <c r="X795" i="1"/>
  <c r="AA304" i="1"/>
  <c r="AA309" i="1"/>
  <c r="CH99" i="1"/>
  <c r="Y454" i="1"/>
  <c r="Y461" i="1" s="1"/>
  <c r="Y463" i="1" s="1"/>
  <c r="Y792" i="1"/>
  <c r="Y793" i="1"/>
  <c r="R299" i="1"/>
  <c r="R72" i="1" s="1"/>
  <c r="C372" i="1"/>
  <c r="DA707" i="1"/>
  <c r="BB707" i="1"/>
  <c r="N259" i="1"/>
  <c r="N260" i="1" s="1"/>
  <c r="Z299" i="1"/>
  <c r="S131" i="1"/>
  <c r="X730" i="1"/>
  <c r="X840" i="1" s="1"/>
  <c r="S741" i="1"/>
  <c r="S767" i="1" s="1"/>
  <c r="T730" i="1"/>
  <c r="T759" i="1" s="1"/>
  <c r="U131" i="1"/>
  <c r="Y136" i="1"/>
  <c r="W131" i="1"/>
  <c r="W136" i="1"/>
  <c r="V730" i="1"/>
  <c r="V759" i="1" s="1"/>
  <c r="U740" i="1"/>
  <c r="U766" i="1" s="1"/>
  <c r="Z620" i="1"/>
  <c r="CM498" i="1"/>
  <c r="N314" i="1"/>
  <c r="C85" i="1"/>
  <c r="C89" i="1"/>
  <c r="C260" i="1"/>
  <c r="C261" i="1" s="1"/>
  <c r="C376" i="1" s="1"/>
  <c r="C316" i="1"/>
  <c r="AC536" i="1"/>
  <c r="AC623" i="1" s="1"/>
  <c r="AD522" i="1"/>
  <c r="CC132" i="1"/>
  <c r="O612" i="1"/>
  <c r="O826" i="1" s="1"/>
  <c r="O259" i="1"/>
  <c r="O260" i="1" s="1"/>
  <c r="O699" i="1" s="1"/>
  <c r="CI147" i="1"/>
  <c r="CI812" i="1"/>
  <c r="P259" i="1"/>
  <c r="P260" i="1" s="1"/>
  <c r="P699" i="1" s="1"/>
  <c r="CM471" i="1"/>
  <c r="CH430" i="1"/>
  <c r="CH793" i="1" s="1"/>
  <c r="Z794" i="1"/>
  <c r="CR565" i="1"/>
  <c r="CM602" i="1"/>
  <c r="CM604" i="1" s="1"/>
  <c r="U258" i="1"/>
  <c r="X299" i="1"/>
  <c r="CH611" i="1"/>
  <c r="CH146" i="1" s="1"/>
  <c r="O314" i="1"/>
  <c r="M259" i="1"/>
  <c r="M260" i="1" s="1"/>
  <c r="CH98" i="1"/>
  <c r="T521" i="1"/>
  <c r="S426" i="1"/>
  <c r="S428" i="1" s="1"/>
  <c r="CL98" i="1"/>
  <c r="W427" i="1"/>
  <c r="W462" i="1" s="1"/>
  <c r="W491" i="1" s="1"/>
  <c r="CI825" i="1"/>
  <c r="CO507" i="1"/>
  <c r="CO522" i="1"/>
  <c r="M741" i="1"/>
  <c r="M767" i="1" s="1"/>
  <c r="CK419" i="1"/>
  <c r="CK454" i="1" s="1"/>
  <c r="M620" i="1"/>
  <c r="CM393" i="1"/>
  <c r="CM792" i="1" s="1"/>
  <c r="CG471" i="1"/>
  <c r="Y730" i="1"/>
  <c r="Y840" i="1" s="1"/>
  <c r="X793" i="1"/>
  <c r="N454" i="1"/>
  <c r="N734" i="1" s="1"/>
  <c r="N761" i="1" s="1"/>
  <c r="CM406" i="1"/>
  <c r="S525" i="1"/>
  <c r="S728" i="1" s="1"/>
  <c r="S757" i="1" s="1"/>
  <c r="M314" i="1"/>
  <c r="M521" i="1"/>
  <c r="M513" i="1"/>
  <c r="Z521" i="1"/>
  <c r="CE471" i="1"/>
  <c r="CD471" i="1"/>
  <c r="CJ471" i="1"/>
  <c r="CJ393" i="1"/>
  <c r="CJ792" i="1" s="1"/>
  <c r="Y131" i="1"/>
  <c r="Y620" i="1"/>
  <c r="CH96" i="1"/>
  <c r="CM102" i="1"/>
  <c r="CD812" i="1"/>
  <c r="Z258" i="1"/>
  <c r="Z309" i="1"/>
  <c r="Y299" i="1"/>
  <c r="S793" i="1"/>
  <c r="CF1" i="1"/>
  <c r="CE2" i="1"/>
  <c r="CF725" i="1" s="1"/>
  <c r="CH405" i="1"/>
  <c r="X620" i="1"/>
  <c r="CK99" i="1"/>
  <c r="U461" i="1"/>
  <c r="U463" i="1" s="1"/>
  <c r="Y794" i="1"/>
  <c r="T740" i="1"/>
  <c r="T766" i="1" s="1"/>
  <c r="CK405" i="1"/>
  <c r="S730" i="1"/>
  <c r="S838" i="1" s="1"/>
  <c r="Z513" i="1"/>
  <c r="R521" i="1"/>
  <c r="Y513" i="1"/>
  <c r="CM98" i="1"/>
  <c r="U734" i="1"/>
  <c r="U761" i="1" s="1"/>
  <c r="CD441" i="1"/>
  <c r="T741" i="1"/>
  <c r="T767" i="1" s="1"/>
  <c r="T794" i="1"/>
  <c r="CD816" i="1"/>
  <c r="CM791" i="1"/>
  <c r="CL602" i="1"/>
  <c r="CL604" i="1" s="1"/>
  <c r="CD822" i="1"/>
  <c r="P314" i="1"/>
  <c r="R792" i="1"/>
  <c r="R454" i="1"/>
  <c r="R734" i="1" s="1"/>
  <c r="R761" i="1" s="1"/>
  <c r="P521" i="1"/>
  <c r="CJ129" i="1"/>
  <c r="S794" i="1"/>
  <c r="CE3" i="1"/>
  <c r="CG498" i="1"/>
  <c r="CM252" i="1"/>
  <c r="CM253" i="1"/>
  <c r="CG791" i="1"/>
  <c r="CM58" i="1"/>
  <c r="CQ566" i="1"/>
  <c r="CM55" i="1"/>
  <c r="CM243" i="1"/>
  <c r="CM247" i="1"/>
  <c r="CM248" i="1"/>
  <c r="V525" i="1"/>
  <c r="V729" i="1" s="1"/>
  <c r="V758" i="1" s="1"/>
  <c r="R741" i="1"/>
  <c r="R767" i="1" s="1"/>
  <c r="P620" i="1"/>
  <c r="CH129" i="1"/>
  <c r="M740" i="1"/>
  <c r="M766" i="1" s="1"/>
  <c r="M732" i="1"/>
  <c r="M760" i="1" s="1"/>
  <c r="M525" i="1"/>
  <c r="M728" i="1" s="1"/>
  <c r="M757" i="1" s="1"/>
  <c r="M730" i="1"/>
  <c r="M759" i="1" s="1"/>
  <c r="X513" i="1"/>
  <c r="X525" i="1"/>
  <c r="X729" i="1" s="1"/>
  <c r="X758" i="1" s="1"/>
  <c r="S740" i="1"/>
  <c r="S766" i="1" s="1"/>
  <c r="Y732" i="1"/>
  <c r="Y760" i="1" s="1"/>
  <c r="Y525" i="1"/>
  <c r="Y728" i="1" s="1"/>
  <c r="Y757" i="1" s="1"/>
  <c r="Y521" i="1"/>
  <c r="CL441" i="1"/>
  <c r="V440" i="1"/>
  <c r="W96" i="1" s="1"/>
  <c r="CG136" i="1"/>
  <c r="CK515" i="1"/>
  <c r="CK620" i="1" s="1"/>
  <c r="CH440" i="1"/>
  <c r="CI96" i="1" s="1"/>
  <c r="X426" i="1"/>
  <c r="X428" i="1" s="1"/>
  <c r="CK406" i="1"/>
  <c r="V740" i="1"/>
  <c r="V766" i="1" s="1"/>
  <c r="R620" i="1"/>
  <c r="CD440" i="1"/>
  <c r="CE96" i="1" s="1"/>
  <c r="U620" i="1"/>
  <c r="P740" i="1"/>
  <c r="P766" i="1" s="1"/>
  <c r="U730" i="1"/>
  <c r="U838" i="1" s="1"/>
  <c r="P741" i="1"/>
  <c r="P767" i="1" s="1"/>
  <c r="R525" i="1"/>
  <c r="R729" i="1" s="1"/>
  <c r="R758" i="1" s="1"/>
  <c r="S792" i="1"/>
  <c r="P794" i="1"/>
  <c r="CK136" i="1"/>
  <c r="U521" i="1"/>
  <c r="U136" i="1"/>
  <c r="CM129" i="1"/>
  <c r="CR601" i="1"/>
  <c r="CR573" i="1"/>
  <c r="CR577" i="1"/>
  <c r="CK791" i="1"/>
  <c r="CR555" i="1"/>
  <c r="O793" i="1"/>
  <c r="X794" i="1"/>
  <c r="X732" i="1"/>
  <c r="X760" i="1" s="1"/>
  <c r="X521" i="1"/>
  <c r="CK129" i="1"/>
  <c r="U794" i="1"/>
  <c r="R793" i="1"/>
  <c r="U490" i="1"/>
  <c r="U493" i="1" s="1"/>
  <c r="X454" i="1"/>
  <c r="X483" i="1" s="1"/>
  <c r="CM99" i="1"/>
  <c r="V521" i="1"/>
  <c r="R513" i="1"/>
  <c r="U525" i="1"/>
  <c r="U729" i="1" s="1"/>
  <c r="U758" i="1" s="1"/>
  <c r="U513" i="1"/>
  <c r="P513" i="1"/>
  <c r="Z257" i="1"/>
  <c r="CD498" i="1"/>
  <c r="CR575" i="1"/>
  <c r="U732" i="1"/>
  <c r="U760" i="1" s="1"/>
  <c r="P730" i="1"/>
  <c r="P838" i="1" s="1"/>
  <c r="CK498" i="1"/>
  <c r="R730" i="1"/>
  <c r="P525" i="1"/>
  <c r="P729" i="1" s="1"/>
  <c r="P758" i="1" s="1"/>
  <c r="U741" i="1"/>
  <c r="U767" i="1" s="1"/>
  <c r="P732" i="1"/>
  <c r="P760" i="1" s="1"/>
  <c r="X792" i="1"/>
  <c r="T258" i="1"/>
  <c r="CI816" i="1"/>
  <c r="CI822" i="1"/>
  <c r="CI813" i="1"/>
  <c r="CI819" i="1"/>
  <c r="CG441" i="1"/>
  <c r="CD3" i="1"/>
  <c r="CD2" i="1"/>
  <c r="CE725" i="1" s="1"/>
  <c r="R732" i="1"/>
  <c r="R760" i="1" s="1"/>
  <c r="R740" i="1"/>
  <c r="R766" i="1" s="1"/>
  <c r="U603" i="1"/>
  <c r="CK603" i="1" s="1"/>
  <c r="CK602" i="1"/>
  <c r="S258" i="1"/>
  <c r="CK63" i="1"/>
  <c r="CD825" i="1"/>
  <c r="CH819" i="1"/>
  <c r="M794" i="1"/>
  <c r="M454" i="1"/>
  <c r="M461" i="1" s="1"/>
  <c r="M463" i="1" s="1"/>
  <c r="M426" i="1"/>
  <c r="M428" i="1" s="1"/>
  <c r="M793" i="1"/>
  <c r="CE393" i="1"/>
  <c r="CE419" i="1"/>
  <c r="CE426" i="1" s="1"/>
  <c r="CE428" i="1" s="1"/>
  <c r="CL243" i="1"/>
  <c r="CH822" i="1"/>
  <c r="CC261" i="1"/>
  <c r="Q131" i="1"/>
  <c r="CI498" i="1"/>
  <c r="CE611" i="1"/>
  <c r="CE613" i="1" s="1"/>
  <c r="CD393" i="1"/>
  <c r="CD419" i="1"/>
  <c r="CD454" i="1" s="1"/>
  <c r="CD461" i="1" s="1"/>
  <c r="CD463" i="1" s="1"/>
  <c r="V136" i="1"/>
  <c r="V620" i="1"/>
  <c r="V741" i="1"/>
  <c r="V767" i="1" s="1"/>
  <c r="V513" i="1"/>
  <c r="V732" i="1"/>
  <c r="V760" i="1" s="1"/>
  <c r="CH825" i="1"/>
  <c r="CH812" i="1"/>
  <c r="CF822" i="1"/>
  <c r="CF812" i="1"/>
  <c r="Q314" i="1"/>
  <c r="Q259" i="1"/>
  <c r="R670" i="1"/>
  <c r="R795" i="1"/>
  <c r="Z136" i="1"/>
  <c r="Z732" i="1"/>
  <c r="Z525" i="1"/>
  <c r="Z728" i="1" s="1"/>
  <c r="Z757" i="1" s="1"/>
  <c r="Z730" i="1"/>
  <c r="Z759" i="1" s="1"/>
  <c r="S136" i="1"/>
  <c r="CJ136" i="1"/>
  <c r="S513" i="1"/>
  <c r="S521" i="1"/>
  <c r="S620" i="1"/>
  <c r="S732" i="1"/>
  <c r="S760" i="1" s="1"/>
  <c r="T136" i="1"/>
  <c r="T513" i="1"/>
  <c r="T525" i="1"/>
  <c r="T729" i="1" s="1"/>
  <c r="T758" i="1" s="1"/>
  <c r="T620" i="1"/>
  <c r="T732" i="1"/>
  <c r="O794" i="1"/>
  <c r="U793" i="1"/>
  <c r="CL63" i="1"/>
  <c r="U426" i="1"/>
  <c r="U428" i="1" s="1"/>
  <c r="U792" i="1"/>
  <c r="CC232" i="1"/>
  <c r="S670" i="1"/>
  <c r="CJ670" i="1" s="1"/>
  <c r="CJ204" i="1"/>
  <c r="CJ795" i="1" s="1"/>
  <c r="S795" i="1"/>
  <c r="CJ822" i="1"/>
  <c r="CJ154" i="1"/>
  <c r="CJ819" i="1"/>
  <c r="CJ812" i="1"/>
  <c r="CJ813" i="1"/>
  <c r="CJ147" i="1"/>
  <c r="CJ825" i="1"/>
  <c r="CJ816" i="1"/>
  <c r="CH154" i="1"/>
  <c r="CH813" i="1"/>
  <c r="CF147" i="1"/>
  <c r="CF154" i="1"/>
  <c r="CF816" i="1"/>
  <c r="CF813" i="1"/>
  <c r="CF825" i="1"/>
  <c r="CF819" i="1"/>
  <c r="CD147" i="1"/>
  <c r="CD813" i="1"/>
  <c r="CD154" i="1"/>
  <c r="CK204" i="1"/>
  <c r="CK795" i="1" s="1"/>
  <c r="U670" i="1"/>
  <c r="CK670" i="1" s="1"/>
  <c r="U795" i="1"/>
  <c r="Z426" i="1"/>
  <c r="Z428" i="1" s="1"/>
  <c r="Z454" i="1"/>
  <c r="Z792" i="1"/>
  <c r="CM790" i="1"/>
  <c r="CM97" i="1"/>
  <c r="CN536" i="1"/>
  <c r="CN623" i="1" s="1"/>
  <c r="AA623" i="1"/>
  <c r="CM204" i="1"/>
  <c r="CF99" i="1"/>
  <c r="Y670" i="1"/>
  <c r="CM670" i="1" s="1"/>
  <c r="CH406" i="1"/>
  <c r="CE498" i="1"/>
  <c r="CF430" i="1"/>
  <c r="CJ515" i="1"/>
  <c r="CJ513" i="1" s="1"/>
  <c r="CG98" i="1"/>
  <c r="N513" i="1"/>
  <c r="N136" i="1"/>
  <c r="CH136" i="1"/>
  <c r="CI136" i="1"/>
  <c r="CL136" i="1"/>
  <c r="CE136" i="1"/>
  <c r="O620" i="1"/>
  <c r="O136" i="1"/>
  <c r="CC136" i="1"/>
  <c r="CM136" i="1"/>
  <c r="X136" i="1"/>
  <c r="CF136" i="1"/>
  <c r="CD136" i="1"/>
  <c r="CK814" i="1"/>
  <c r="CK818" i="1"/>
  <c r="CK817" i="1"/>
  <c r="CK826" i="1"/>
  <c r="CK820" i="1"/>
  <c r="CK823" i="1"/>
  <c r="CK116" i="1"/>
  <c r="CK824" i="1"/>
  <c r="CK827" i="1"/>
  <c r="CK821" i="1"/>
  <c r="CF393" i="1"/>
  <c r="CF419" i="1"/>
  <c r="CD405" i="1"/>
  <c r="CD406" i="1"/>
  <c r="CL434" i="1"/>
  <c r="CL791" i="1" s="1"/>
  <c r="W440" i="1"/>
  <c r="CL817" i="1"/>
  <c r="CL116" i="1"/>
  <c r="CL814" i="1"/>
  <c r="CL823" i="1"/>
  <c r="CL826" i="1"/>
  <c r="CL820" i="1"/>
  <c r="CL827" i="1"/>
  <c r="CL821" i="1"/>
  <c r="CL824" i="1"/>
  <c r="CL818" i="1"/>
  <c r="CL252" i="1"/>
  <c r="CL253" i="1"/>
  <c r="CL61" i="1"/>
  <c r="U304" i="1"/>
  <c r="T309" i="1"/>
  <c r="T257" i="1"/>
  <c r="T304" i="1"/>
  <c r="U309" i="1"/>
  <c r="CJ58" i="1"/>
  <c r="CJ248" i="1"/>
  <c r="CJ247" i="1"/>
  <c r="CK247" i="1"/>
  <c r="CK248" i="1"/>
  <c r="CF406" i="1"/>
  <c r="CF405" i="1"/>
  <c r="CL790" i="1"/>
  <c r="CL97" i="1"/>
  <c r="T299" i="1"/>
  <c r="U257" i="1"/>
  <c r="U299" i="1"/>
  <c r="CK243" i="1"/>
  <c r="CK55" i="1"/>
  <c r="CK242" i="1"/>
  <c r="CK58" i="1"/>
  <c r="CL247" i="1"/>
  <c r="CL248" i="1"/>
  <c r="CM63" i="1"/>
  <c r="CM152" i="1"/>
  <c r="N792" i="1"/>
  <c r="S299" i="1"/>
  <c r="S72" i="1" s="1"/>
  <c r="N620" i="1"/>
  <c r="CD791" i="1"/>
  <c r="CD430" i="1"/>
  <c r="CD99" i="1"/>
  <c r="M405" i="1"/>
  <c r="CG405" i="1" s="1"/>
  <c r="CG406" i="1"/>
  <c r="CG393" i="1"/>
  <c r="CG419" i="1"/>
  <c r="CG99" i="1"/>
  <c r="CE405" i="1"/>
  <c r="CE406" i="1"/>
  <c r="CC405" i="1"/>
  <c r="CC406" i="1"/>
  <c r="CF145" i="1"/>
  <c r="CD145" i="1"/>
  <c r="CK416" i="1"/>
  <c r="CK427" i="1"/>
  <c r="CK462" i="1" s="1"/>
  <c r="CK491" i="1" s="1"/>
  <c r="W258" i="1"/>
  <c r="CC146" i="1"/>
  <c r="CM61" i="1"/>
  <c r="CC393" i="1"/>
  <c r="CC419" i="1"/>
  <c r="CC454" i="1" s="1"/>
  <c r="CM416" i="1"/>
  <c r="CM427" i="1"/>
  <c r="CM462" i="1" s="1"/>
  <c r="CM491" i="1" s="1"/>
  <c r="CJ416" i="1"/>
  <c r="CJ427" i="1"/>
  <c r="CJ462" i="1" s="1"/>
  <c r="CJ491" i="1" s="1"/>
  <c r="T440" i="1"/>
  <c r="CK441" i="1"/>
  <c r="CF611" i="1"/>
  <c r="CF146" i="1" s="1"/>
  <c r="CD611" i="1"/>
  <c r="CD146" i="1" s="1"/>
  <c r="CJ152" i="1"/>
  <c r="CJ63" i="1"/>
  <c r="M792" i="1"/>
  <c r="X258" i="1"/>
  <c r="O732" i="1"/>
  <c r="O760" i="1" s="1"/>
  <c r="CC265" i="1"/>
  <c r="CC88" i="1" s="1"/>
  <c r="W257" i="1"/>
  <c r="CC704" i="1"/>
  <c r="CL416" i="1"/>
  <c r="CM515" i="1"/>
  <c r="CG713" i="1"/>
  <c r="CG710" i="1"/>
  <c r="CG708" i="1"/>
  <c r="CG709" i="1"/>
  <c r="CG706" i="1"/>
  <c r="V822" i="1"/>
  <c r="V825" i="1"/>
  <c r="V819" i="1"/>
  <c r="CM613" i="1"/>
  <c r="CM814" i="1" s="1"/>
  <c r="W825" i="1"/>
  <c r="W819" i="1"/>
  <c r="W822" i="1"/>
  <c r="U825" i="1"/>
  <c r="U819" i="1"/>
  <c r="U822" i="1"/>
  <c r="AB762" i="1"/>
  <c r="CH441" i="1"/>
  <c r="O730" i="1"/>
  <c r="O838" i="1" s="1"/>
  <c r="CJ498" i="1"/>
  <c r="CD465" i="1"/>
  <c r="CI146" i="1"/>
  <c r="CI114" i="1"/>
  <c r="CC234" i="1"/>
  <c r="CC697" i="1"/>
  <c r="CC698" i="1" s="1"/>
  <c r="CC224" i="1"/>
  <c r="CC219" i="1"/>
  <c r="CC222" i="1"/>
  <c r="CC238" i="1"/>
  <c r="CC247" i="1"/>
  <c r="CC357" i="1"/>
  <c r="CC266" i="1"/>
  <c r="CC236" i="1"/>
  <c r="CC262" i="1"/>
  <c r="CC23" i="1"/>
  <c r="CC228" i="1"/>
  <c r="CC249" i="1"/>
  <c r="CC227" i="1"/>
  <c r="CC215" i="1"/>
  <c r="CC248" i="1"/>
  <c r="CC700" i="1"/>
  <c r="CC257" i="1"/>
  <c r="CC223" i="1"/>
  <c r="CC243" i="1"/>
  <c r="CC701" i="1"/>
  <c r="CC702" i="1" s="1"/>
  <c r="CC545" i="1"/>
  <c r="CC237" i="1"/>
  <c r="CC117" i="1" s="1"/>
  <c r="CC696" i="1"/>
  <c r="CC26" i="1"/>
  <c r="CC24" i="1"/>
  <c r="CC253" i="1"/>
  <c r="CC258" i="1"/>
  <c r="CC362" i="1"/>
  <c r="CC252" i="1"/>
  <c r="CC254" i="1"/>
  <c r="CC229" i="1"/>
  <c r="CC244" i="1"/>
  <c r="CC267" i="1"/>
  <c r="CC87" i="1" s="1"/>
  <c r="CC242" i="1"/>
  <c r="CC544" i="1"/>
  <c r="CC738" i="1" s="1"/>
  <c r="CC764" i="1" s="1"/>
  <c r="CC235" i="1"/>
  <c r="CC260" i="1"/>
  <c r="CC703" i="1"/>
  <c r="CC239" i="1"/>
  <c r="CC212" i="1" s="1"/>
  <c r="CC259" i="1"/>
  <c r="CC85" i="1" s="1"/>
  <c r="W159" i="1"/>
  <c r="X216" i="1"/>
  <c r="CL158" i="1"/>
  <c r="W812" i="1"/>
  <c r="W147" i="1"/>
  <c r="CL181" i="1"/>
  <c r="W154" i="1"/>
  <c r="W813" i="1"/>
  <c r="W816" i="1"/>
  <c r="CK181" i="1"/>
  <c r="U154" i="1"/>
  <c r="U813" i="1"/>
  <c r="U147" i="1"/>
  <c r="U812" i="1"/>
  <c r="U816" i="1"/>
  <c r="V812" i="1"/>
  <c r="V813" i="1"/>
  <c r="V154" i="1"/>
  <c r="V816" i="1"/>
  <c r="V147" i="1"/>
  <c r="O740" i="1"/>
  <c r="O766" i="1" s="1"/>
  <c r="O525" i="1"/>
  <c r="O728" i="1" s="1"/>
  <c r="O757" i="1" s="1"/>
  <c r="CL498" i="1"/>
  <c r="CD515" i="1"/>
  <c r="CD513" i="1" s="1"/>
  <c r="CC613" i="1"/>
  <c r="V158" i="1"/>
  <c r="CE114" i="1"/>
  <c r="CL146" i="1"/>
  <c r="CL114" i="1"/>
  <c r="CK146" i="1"/>
  <c r="CK114" i="1"/>
  <c r="CM146" i="1"/>
  <c r="CM114" i="1"/>
  <c r="R440" i="1"/>
  <c r="CJ441" i="1"/>
  <c r="Z462" i="1"/>
  <c r="CC233" i="1"/>
  <c r="CC810" i="1" s="1"/>
  <c r="Y257" i="1"/>
  <c r="R304" i="1"/>
  <c r="R257" i="1"/>
  <c r="R259" i="1" s="1"/>
  <c r="X257" i="1"/>
  <c r="CD129" i="1"/>
  <c r="CJ430" i="1"/>
  <c r="CJ793" i="1" s="1"/>
  <c r="CK98" i="1"/>
  <c r="CJ791" i="1"/>
  <c r="CJ99" i="1"/>
  <c r="CF440" i="1"/>
  <c r="CG96" i="1" s="1"/>
  <c r="CF441" i="1"/>
  <c r="V426" i="1"/>
  <c r="V428" i="1" s="1"/>
  <c r="V454" i="1"/>
  <c r="V793" i="1"/>
  <c r="V794" i="1"/>
  <c r="CJ146" i="1"/>
  <c r="CJ114" i="1"/>
  <c r="Y309" i="1"/>
  <c r="X309" i="1"/>
  <c r="X304" i="1"/>
  <c r="Y304" i="1"/>
  <c r="CP600" i="1"/>
  <c r="M485" i="1"/>
  <c r="S304" i="1"/>
  <c r="S257" i="1"/>
  <c r="W670" i="1"/>
  <c r="CL670" i="1" s="1"/>
  <c r="CL204" i="1"/>
  <c r="CH515" i="1"/>
  <c r="CH620" i="1" s="1"/>
  <c r="V792" i="1"/>
  <c r="Y258" i="1"/>
  <c r="CF465" i="1"/>
  <c r="CF129" i="1"/>
  <c r="CF515" i="1"/>
  <c r="O741" i="1"/>
  <c r="O767" i="1" s="1"/>
  <c r="O513" i="1"/>
  <c r="O521" i="1"/>
  <c r="N525" i="1"/>
  <c r="N729" i="1" s="1"/>
  <c r="N758" i="1" s="1"/>
  <c r="N741" i="1"/>
  <c r="N767" i="1" s="1"/>
  <c r="CG465" i="1"/>
  <c r="CG515" i="1"/>
  <c r="CG129" i="1"/>
  <c r="CE465" i="1"/>
  <c r="CC465" i="1"/>
  <c r="CC430" i="1"/>
  <c r="CC98" i="1"/>
  <c r="CC129" i="1"/>
  <c r="CD98" i="1"/>
  <c r="CC515" i="1"/>
  <c r="CC791" i="1"/>
  <c r="CC99" i="1"/>
  <c r="N732" i="1"/>
  <c r="N760" i="1" s="1"/>
  <c r="N730" i="1"/>
  <c r="N521" i="1"/>
  <c r="CC440" i="1"/>
  <c r="CD96" i="1" s="1"/>
  <c r="CC441" i="1"/>
  <c r="CL515" i="1"/>
  <c r="CL419" i="1"/>
  <c r="CM794" i="1" s="1"/>
  <c r="CL393" i="1"/>
  <c r="CL99" i="1"/>
  <c r="CL129" i="1"/>
  <c r="W525" i="1"/>
  <c r="W513" i="1"/>
  <c r="W521" i="1"/>
  <c r="W620" i="1"/>
  <c r="W730" i="1"/>
  <c r="W732" i="1"/>
  <c r="W792" i="1"/>
  <c r="W426" i="1"/>
  <c r="W454" i="1"/>
  <c r="W794" i="1"/>
  <c r="W793" i="1"/>
  <c r="CL406" i="1"/>
  <c r="W405" i="1"/>
  <c r="CL405" i="1" s="1"/>
  <c r="T483" i="1"/>
  <c r="T734" i="1"/>
  <c r="T761" i="1" s="1"/>
  <c r="T461" i="1"/>
  <c r="T463" i="1" s="1"/>
  <c r="CM426" i="1"/>
  <c r="CM454" i="1"/>
  <c r="CM793" i="1"/>
  <c r="CJ426" i="1"/>
  <c r="CJ454" i="1"/>
  <c r="P734" i="1"/>
  <c r="P761" i="1" s="1"/>
  <c r="P483" i="1"/>
  <c r="P461" i="1"/>
  <c r="P463" i="1" s="1"/>
  <c r="S734" i="1"/>
  <c r="S761" i="1" s="1"/>
  <c r="S461" i="1"/>
  <c r="S463" i="1" s="1"/>
  <c r="S483" i="1"/>
  <c r="N740" i="1"/>
  <c r="N766" i="1" s="1"/>
  <c r="N793" i="1"/>
  <c r="N794" i="1"/>
  <c r="O734" i="1"/>
  <c r="O761" i="1" s="1"/>
  <c r="O461" i="1"/>
  <c r="O463" i="1" s="1"/>
  <c r="O483" i="1"/>
  <c r="CH792" i="1"/>
  <c r="CH426" i="1"/>
  <c r="CH428" i="1" s="1"/>
  <c r="CH454" i="1"/>
  <c r="CI792" i="1"/>
  <c r="CI426" i="1"/>
  <c r="CI428" i="1" s="1"/>
  <c r="CI430" i="1"/>
  <c r="CI129" i="1"/>
  <c r="CI515" i="1"/>
  <c r="CI99" i="1"/>
  <c r="CI98" i="1"/>
  <c r="CI454" i="1"/>
  <c r="CI791" i="1"/>
  <c r="CJ98" i="1"/>
  <c r="Q620" i="1"/>
  <c r="Q732" i="1"/>
  <c r="Q513" i="1"/>
  <c r="Q525" i="1"/>
  <c r="Q740" i="1"/>
  <c r="Q766" i="1" s="1"/>
  <c r="Q741" i="1"/>
  <c r="Q767" i="1" s="1"/>
  <c r="Q730" i="1"/>
  <c r="Q521" i="1"/>
  <c r="CQ583" i="1"/>
  <c r="CF98" i="1"/>
  <c r="CE430" i="1"/>
  <c r="CE791" i="1"/>
  <c r="CE129" i="1"/>
  <c r="CE98" i="1"/>
  <c r="CE99" i="1"/>
  <c r="CE515" i="1"/>
  <c r="Q483" i="1"/>
  <c r="Q734" i="1"/>
  <c r="Q761" i="1" s="1"/>
  <c r="Q461" i="1"/>
  <c r="Q463" i="1" s="1"/>
  <c r="Q793" i="1"/>
  <c r="Q794" i="1"/>
  <c r="R794" i="1"/>
  <c r="CI441" i="1"/>
  <c r="Q440" i="1"/>
  <c r="CQ606" i="1"/>
  <c r="CE440" i="1"/>
  <c r="CF96" i="1" s="1"/>
  <c r="CE441" i="1"/>
  <c r="CL485" i="1"/>
  <c r="CC818" i="1" l="1"/>
  <c r="CE116" i="1"/>
  <c r="CL795" i="1"/>
  <c r="CM795" i="1"/>
  <c r="N699" i="1"/>
  <c r="Y734" i="1"/>
  <c r="Y761" i="1" s="1"/>
  <c r="Y483" i="1"/>
  <c r="Y490" i="1" s="1"/>
  <c r="Y493" i="1" s="1"/>
  <c r="Y510" i="1" s="1"/>
  <c r="N261" i="1"/>
  <c r="O820" i="1"/>
  <c r="O116" i="1"/>
  <c r="V840" i="1"/>
  <c r="BC707" i="1"/>
  <c r="CR540" i="1"/>
  <c r="X838" i="1"/>
  <c r="T838" i="1"/>
  <c r="CM216" i="1"/>
  <c r="X759" i="1"/>
  <c r="T840" i="1"/>
  <c r="V838" i="1"/>
  <c r="CO536" i="1"/>
  <c r="CO623" i="1" s="1"/>
  <c r="C699" i="1"/>
  <c r="C725" i="1" s="1"/>
  <c r="AD536" i="1"/>
  <c r="AD623" i="1" s="1"/>
  <c r="CK792" i="1"/>
  <c r="C317" i="1"/>
  <c r="C79" i="1" s="1"/>
  <c r="CC785" i="1"/>
  <c r="C374" i="1"/>
  <c r="O817" i="1"/>
  <c r="O823" i="1"/>
  <c r="CH794" i="1"/>
  <c r="AC762" i="1"/>
  <c r="AC764" i="1"/>
  <c r="CH612" i="1"/>
  <c r="CH147" i="1" s="1"/>
  <c r="CC372" i="1"/>
  <c r="CC314" i="1" s="1"/>
  <c r="P261" i="1"/>
  <c r="CC636" i="1"/>
  <c r="CC637" i="1" s="1"/>
  <c r="CC739" i="1" s="1"/>
  <c r="CC765" i="1" s="1"/>
  <c r="CS577" i="1"/>
  <c r="CS573" i="1"/>
  <c r="CS574" i="1"/>
  <c r="CS575" i="1"/>
  <c r="U259" i="1"/>
  <c r="U260" i="1" s="1"/>
  <c r="U261" i="1" s="1"/>
  <c r="M261" i="1"/>
  <c r="M699" i="1"/>
  <c r="W428" i="1"/>
  <c r="X734" i="1"/>
  <c r="X761" i="1" s="1"/>
  <c r="N461" i="1"/>
  <c r="N463" i="1" s="1"/>
  <c r="CR574" i="1"/>
  <c r="CK426" i="1"/>
  <c r="CK428" i="1" s="1"/>
  <c r="CR566" i="1"/>
  <c r="CK521" i="1"/>
  <c r="CC25" i="1"/>
  <c r="CM817" i="1"/>
  <c r="CK793" i="1"/>
  <c r="Y759" i="1"/>
  <c r="N483" i="1"/>
  <c r="N129" i="1" s="1"/>
  <c r="R483" i="1"/>
  <c r="R129" i="1" s="1"/>
  <c r="M729" i="1"/>
  <c r="M758" i="1" s="1"/>
  <c r="CD793" i="1"/>
  <c r="Y731" i="1"/>
  <c r="S729" i="1"/>
  <c r="S758" i="1" s="1"/>
  <c r="Y838" i="1"/>
  <c r="O729" i="1"/>
  <c r="O758" i="1" s="1"/>
  <c r="U759" i="1"/>
  <c r="X461" i="1"/>
  <c r="X463" i="1" s="1"/>
  <c r="R461" i="1"/>
  <c r="R463" i="1" s="1"/>
  <c r="CG521" i="1"/>
  <c r="Y729" i="1"/>
  <c r="Y758" i="1" s="1"/>
  <c r="V728" i="1"/>
  <c r="V757" i="1" s="1"/>
  <c r="CE521" i="1"/>
  <c r="M838" i="1"/>
  <c r="CK525" i="1"/>
  <c r="U731" i="1"/>
  <c r="X728" i="1"/>
  <c r="X757" i="1" s="1"/>
  <c r="CL521" i="1"/>
  <c r="S840" i="1"/>
  <c r="U728" i="1"/>
  <c r="U757" i="1" s="1"/>
  <c r="CP522" i="1"/>
  <c r="CM257" i="1"/>
  <c r="CJ521" i="1"/>
  <c r="CE454" i="1"/>
  <c r="CE461" i="1" s="1"/>
  <c r="CE463" i="1" s="1"/>
  <c r="CF521" i="1"/>
  <c r="CD792" i="1"/>
  <c r="CE792" i="1"/>
  <c r="CD521" i="1"/>
  <c r="CP92" i="1"/>
  <c r="CP566" i="1"/>
  <c r="U733" i="1"/>
  <c r="Z314" i="1"/>
  <c r="CI521" i="1"/>
  <c r="M840" i="1"/>
  <c r="T731" i="1"/>
  <c r="CM525" i="1"/>
  <c r="S759" i="1"/>
  <c r="S259" i="1"/>
  <c r="S260" i="1" s="1"/>
  <c r="S699" i="1" s="1"/>
  <c r="CC817" i="1"/>
  <c r="CC376" i="1"/>
  <c r="CC318" i="1" s="1"/>
  <c r="CC80" i="1" s="1"/>
  <c r="CP499" i="1"/>
  <c r="CG1" i="1"/>
  <c r="CF2" i="1"/>
  <c r="CG725" i="1" s="1"/>
  <c r="CF3" i="1"/>
  <c r="M733" i="1"/>
  <c r="Z259" i="1"/>
  <c r="Z260" i="1" s="1"/>
  <c r="Z699" i="1" s="1"/>
  <c r="CM258" i="1"/>
  <c r="M731" i="1"/>
  <c r="T728" i="1"/>
  <c r="T757" i="1" s="1"/>
  <c r="T760" i="1"/>
  <c r="Y733" i="1"/>
  <c r="Z733" i="1"/>
  <c r="CM521" i="1"/>
  <c r="Z731" i="1"/>
  <c r="P731" i="1"/>
  <c r="CK513" i="1"/>
  <c r="P759" i="1"/>
  <c r="Z729" i="1"/>
  <c r="Z758" i="1" s="1"/>
  <c r="CJ525" i="1"/>
  <c r="Z760" i="1"/>
  <c r="Z840" i="1"/>
  <c r="O733" i="1"/>
  <c r="O840" i="1"/>
  <c r="CG525" i="1"/>
  <c r="CJ428" i="1"/>
  <c r="CC521" i="1"/>
  <c r="S733" i="1"/>
  <c r="U840" i="1"/>
  <c r="P840" i="1"/>
  <c r="R728" i="1"/>
  <c r="R757" i="1" s="1"/>
  <c r="V731" i="1"/>
  <c r="P728" i="1"/>
  <c r="P757" i="1" s="1"/>
  <c r="CR606" i="1"/>
  <c r="CR583" i="1"/>
  <c r="P733" i="1"/>
  <c r="O759" i="1"/>
  <c r="T733" i="1"/>
  <c r="Z838" i="1"/>
  <c r="V733" i="1"/>
  <c r="CD525" i="1"/>
  <c r="CE146" i="1"/>
  <c r="CD483" i="1"/>
  <c r="CD490" i="1" s="1"/>
  <c r="CD493" i="1" s="1"/>
  <c r="W259" i="1"/>
  <c r="W260" i="1" s="1"/>
  <c r="W699" i="1" s="1"/>
  <c r="CD426" i="1"/>
  <c r="CD428" i="1" s="1"/>
  <c r="T259" i="1"/>
  <c r="T260" i="1" s="1"/>
  <c r="T699" i="1" s="1"/>
  <c r="U510" i="1"/>
  <c r="R759" i="1"/>
  <c r="R840" i="1"/>
  <c r="R838" i="1"/>
  <c r="S731" i="1"/>
  <c r="CK604" i="1"/>
  <c r="CE820" i="1"/>
  <c r="Q260" i="1"/>
  <c r="Q261" i="1" s="1"/>
  <c r="O261" i="1"/>
  <c r="M734" i="1"/>
  <c r="M761" i="1" s="1"/>
  <c r="M483" i="1"/>
  <c r="Z461" i="1"/>
  <c r="Z463" i="1" s="1"/>
  <c r="Z483" i="1"/>
  <c r="Z734" i="1"/>
  <c r="Z761" i="1" s="1"/>
  <c r="CE821" i="1"/>
  <c r="CE814" i="1"/>
  <c r="CE818" i="1"/>
  <c r="CE824" i="1"/>
  <c r="CJ620" i="1"/>
  <c r="CK794" i="1"/>
  <c r="X259" i="1"/>
  <c r="X260" i="1" s="1"/>
  <c r="X699" i="1" s="1"/>
  <c r="CC118" i="1"/>
  <c r="CE823" i="1"/>
  <c r="CE826" i="1"/>
  <c r="CE817" i="1"/>
  <c r="CE827" i="1"/>
  <c r="CF793" i="1"/>
  <c r="CD620" i="1"/>
  <c r="CM428" i="1"/>
  <c r="CM818" i="1"/>
  <c r="CG794" i="1"/>
  <c r="CF792" i="1"/>
  <c r="CM116" i="1"/>
  <c r="X96" i="1"/>
  <c r="CL440" i="1"/>
  <c r="CM96" i="1" s="1"/>
  <c r="CF426" i="1"/>
  <c r="CF428" i="1" s="1"/>
  <c r="CF454" i="1"/>
  <c r="U72" i="1"/>
  <c r="U314" i="1"/>
  <c r="T72" i="1"/>
  <c r="T314" i="1"/>
  <c r="CC116" i="1"/>
  <c r="AB626" i="1"/>
  <c r="CN556" i="1"/>
  <c r="AA626" i="1"/>
  <c r="CN626" i="1" s="1"/>
  <c r="CC792" i="1"/>
  <c r="CC426" i="1"/>
  <c r="CC428" i="1" s="1"/>
  <c r="CH513" i="1"/>
  <c r="CC814" i="1"/>
  <c r="CD613" i="1"/>
  <c r="CF613" i="1"/>
  <c r="CG792" i="1"/>
  <c r="CP588" i="1"/>
  <c r="CP539" i="1"/>
  <c r="U96" i="1"/>
  <c r="CK440" i="1"/>
  <c r="CL96" i="1" s="1"/>
  <c r="CG426" i="1"/>
  <c r="CG428" i="1" s="1"/>
  <c r="CG454" i="1"/>
  <c r="CG793" i="1"/>
  <c r="CC811" i="1"/>
  <c r="N733" i="1"/>
  <c r="CM620" i="1"/>
  <c r="CM513" i="1"/>
  <c r="N728" i="1"/>
  <c r="N757" i="1" s="1"/>
  <c r="O731" i="1"/>
  <c r="CM826" i="1"/>
  <c r="CM827" i="1"/>
  <c r="CM823" i="1"/>
  <c r="CM824" i="1"/>
  <c r="CM820" i="1"/>
  <c r="CM821" i="1"/>
  <c r="CG712" i="1"/>
  <c r="N838" i="1"/>
  <c r="CG678" i="1"/>
  <c r="CG680" i="1"/>
  <c r="CG677" i="1"/>
  <c r="M711" i="1"/>
  <c r="CG681" i="1"/>
  <c r="CG679" i="1"/>
  <c r="CC824" i="1"/>
  <c r="CC820" i="1"/>
  <c r="CC821" i="1"/>
  <c r="CC826" i="1"/>
  <c r="CC827" i="1"/>
  <c r="CC823" i="1"/>
  <c r="CK825" i="1"/>
  <c r="CK822" i="1"/>
  <c r="CK819" i="1"/>
  <c r="CL825" i="1"/>
  <c r="CL822" i="1"/>
  <c r="CL819" i="1"/>
  <c r="CO142" i="1"/>
  <c r="CO762" i="1" s="1"/>
  <c r="CP571" i="1"/>
  <c r="N759" i="1"/>
  <c r="CC304" i="1"/>
  <c r="U158" i="1"/>
  <c r="W216" i="1"/>
  <c r="V159" i="1"/>
  <c r="W217" i="1" s="1"/>
  <c r="CL816" i="1"/>
  <c r="CL154" i="1"/>
  <c r="CL812" i="1"/>
  <c r="CL813" i="1"/>
  <c r="CL147" i="1"/>
  <c r="X53" i="1"/>
  <c r="X217" i="1"/>
  <c r="CL159" i="1"/>
  <c r="CM217" i="1" s="1"/>
  <c r="CC809" i="1"/>
  <c r="CC112" i="1"/>
  <c r="CC89" i="1"/>
  <c r="CC111" i="1"/>
  <c r="CC109" i="1"/>
  <c r="CC367" i="1"/>
  <c r="CC309" i="1" s="1"/>
  <c r="CC699" i="1"/>
  <c r="CC299" i="1"/>
  <c r="CC72" i="1" s="1"/>
  <c r="CK812" i="1"/>
  <c r="CK816" i="1"/>
  <c r="CK147" i="1"/>
  <c r="CK154" i="1"/>
  <c r="CK813" i="1"/>
  <c r="CC369" i="1"/>
  <c r="CC311" i="1" s="1"/>
  <c r="CC78" i="1" s="1"/>
  <c r="CC339" i="1"/>
  <c r="CC281" i="1" s="1"/>
  <c r="CC75" i="1" s="1"/>
  <c r="CH521" i="1"/>
  <c r="R314" i="1"/>
  <c r="CC350" i="1"/>
  <c r="CC351" i="1"/>
  <c r="CC344" i="1"/>
  <c r="CC286" i="1" s="1"/>
  <c r="CC77" i="1" s="1"/>
  <c r="CQ600" i="1"/>
  <c r="V483" i="1"/>
  <c r="V461" i="1"/>
  <c r="V463" i="1" s="1"/>
  <c r="V734" i="1"/>
  <c r="V761" i="1" s="1"/>
  <c r="R260" i="1"/>
  <c r="R261" i="1" s="1"/>
  <c r="CC86" i="1"/>
  <c r="CC84" i="1"/>
  <c r="CC113" i="1"/>
  <c r="CC808" i="1"/>
  <c r="S96" i="1"/>
  <c r="CJ440" i="1"/>
  <c r="CK96" i="1" s="1"/>
  <c r="CH525" i="1"/>
  <c r="N840" i="1"/>
  <c r="N731" i="1"/>
  <c r="S314" i="1"/>
  <c r="Y259" i="1"/>
  <c r="X72" i="1"/>
  <c r="X314" i="1"/>
  <c r="CF525" i="1"/>
  <c r="Y72" i="1"/>
  <c r="Y314" i="1"/>
  <c r="Z491" i="1"/>
  <c r="CF620" i="1"/>
  <c r="CF513" i="1"/>
  <c r="CG513" i="1"/>
  <c r="CG620" i="1"/>
  <c r="CC513" i="1"/>
  <c r="CC788" i="1"/>
  <c r="CC732" i="1"/>
  <c r="CC741" i="1"/>
  <c r="CC767" i="1" s="1"/>
  <c r="CC620" i="1"/>
  <c r="CC783" i="1"/>
  <c r="CC740" i="1"/>
  <c r="CC766" i="1" s="1"/>
  <c r="CC730" i="1"/>
  <c r="CC789" i="1"/>
  <c r="CC787" i="1"/>
  <c r="CC525" i="1"/>
  <c r="CC483" i="1"/>
  <c r="CC490" i="1" s="1"/>
  <c r="CC493" i="1" s="1"/>
  <c r="CC734" i="1"/>
  <c r="CC761" i="1" s="1"/>
  <c r="CC461" i="1"/>
  <c r="CC463" i="1" s="1"/>
  <c r="CD794" i="1"/>
  <c r="CC793" i="1"/>
  <c r="CC794" i="1"/>
  <c r="S129" i="1"/>
  <c r="S490" i="1"/>
  <c r="S493" i="1" s="1"/>
  <c r="S510" i="1" s="1"/>
  <c r="P129" i="1"/>
  <c r="P490" i="1"/>
  <c r="P493" i="1" s="1"/>
  <c r="P510" i="1" s="1"/>
  <c r="CJ483" i="1"/>
  <c r="CJ461" i="1"/>
  <c r="CJ463" i="1" s="1"/>
  <c r="X129" i="1"/>
  <c r="X490" i="1"/>
  <c r="X493" i="1" s="1"/>
  <c r="X510" i="1" s="1"/>
  <c r="W733" i="1"/>
  <c r="X733" i="1"/>
  <c r="W760" i="1"/>
  <c r="CL620" i="1"/>
  <c r="CL513" i="1"/>
  <c r="CL792" i="1"/>
  <c r="CM483" i="1"/>
  <c r="CM461" i="1"/>
  <c r="CM463" i="1" s="1"/>
  <c r="T129" i="1"/>
  <c r="T490" i="1"/>
  <c r="T493" i="1" s="1"/>
  <c r="T510" i="1" s="1"/>
  <c r="CK461" i="1"/>
  <c r="CK463" i="1" s="1"/>
  <c r="CK483" i="1"/>
  <c r="W734" i="1"/>
  <c r="W761" i="1" s="1"/>
  <c r="W461" i="1"/>
  <c r="W463" i="1" s="1"/>
  <c r="W483" i="1"/>
  <c r="W731" i="1"/>
  <c r="W759" i="1"/>
  <c r="X731" i="1"/>
  <c r="W840" i="1"/>
  <c r="W838" i="1"/>
  <c r="W729" i="1"/>
  <c r="W758" i="1" s="1"/>
  <c r="W728" i="1"/>
  <c r="W757" i="1" s="1"/>
  <c r="CL525" i="1"/>
  <c r="CL793" i="1"/>
  <c r="CL454" i="1"/>
  <c r="CL794" i="1"/>
  <c r="CL426" i="1"/>
  <c r="CL428" i="1" s="1"/>
  <c r="O129" i="1"/>
  <c r="O490" i="1"/>
  <c r="O493" i="1" s="1"/>
  <c r="O510" i="1" s="1"/>
  <c r="CH461" i="1"/>
  <c r="CH463" i="1" s="1"/>
  <c r="CH483" i="1"/>
  <c r="Q129" i="1"/>
  <c r="Q490" i="1"/>
  <c r="Q493" i="1" s="1"/>
  <c r="Q510" i="1" s="1"/>
  <c r="Q759" i="1"/>
  <c r="Q840" i="1"/>
  <c r="Q838" i="1"/>
  <c r="Q731" i="1"/>
  <c r="R731" i="1"/>
  <c r="CI525" i="1"/>
  <c r="Q729" i="1"/>
  <c r="Q758" i="1" s="1"/>
  <c r="Q728" i="1"/>
  <c r="Q757" i="1" s="1"/>
  <c r="Q760" i="1"/>
  <c r="Q733" i="1"/>
  <c r="R733" i="1"/>
  <c r="CI461" i="1"/>
  <c r="CI463" i="1" s="1"/>
  <c r="CI483" i="1"/>
  <c r="CI440" i="1"/>
  <c r="CJ96" i="1" s="1"/>
  <c r="R96" i="1"/>
  <c r="CE525" i="1"/>
  <c r="CE513" i="1"/>
  <c r="CE620" i="1"/>
  <c r="CE793" i="1"/>
  <c r="CF794" i="1"/>
  <c r="CE794" i="1"/>
  <c r="CI620" i="1"/>
  <c r="CI513" i="1"/>
  <c r="CI793" i="1"/>
  <c r="CI794" i="1"/>
  <c r="CJ794" i="1"/>
  <c r="Y129" i="1" l="1"/>
  <c r="DB707" i="1"/>
  <c r="BD707" i="1"/>
  <c r="CP536" i="1"/>
  <c r="CP623" i="1" s="1"/>
  <c r="C375" i="1"/>
  <c r="C377" i="1" s="1"/>
  <c r="C391" i="1" s="1"/>
  <c r="C380" i="1"/>
  <c r="CH613" i="1"/>
  <c r="CD636" i="1"/>
  <c r="CD637" i="1" s="1"/>
  <c r="CD132" i="1"/>
  <c r="CT575" i="1"/>
  <c r="CT574" i="1"/>
  <c r="CT573" i="1"/>
  <c r="CT577" i="1"/>
  <c r="CT555" i="1"/>
  <c r="CS565" i="1"/>
  <c r="CS583" i="1"/>
  <c r="CS606" i="1"/>
  <c r="CS601" i="1"/>
  <c r="U699" i="1"/>
  <c r="N490" i="1"/>
  <c r="N493" i="1" s="1"/>
  <c r="N510" i="1" s="1"/>
  <c r="CD510" i="1"/>
  <c r="R490" i="1"/>
  <c r="R493" i="1" s="1"/>
  <c r="R510" i="1" s="1"/>
  <c r="CE483" i="1"/>
  <c r="CE490" i="1" s="1"/>
  <c r="CE493" i="1" s="1"/>
  <c r="CE510" i="1" s="1"/>
  <c r="Z261" i="1"/>
  <c r="CD259" i="1"/>
  <c r="CD85" i="1" s="1"/>
  <c r="W261" i="1"/>
  <c r="T261" i="1"/>
  <c r="CG3" i="1"/>
  <c r="CG2" i="1"/>
  <c r="CH725" i="1" s="1"/>
  <c r="CH1" i="1"/>
  <c r="CS555" i="1"/>
  <c r="CR600" i="1"/>
  <c r="Q699" i="1"/>
  <c r="M129" i="1"/>
  <c r="M490" i="1"/>
  <c r="M493" i="1" s="1"/>
  <c r="M510" i="1" s="1"/>
  <c r="Z129" i="1"/>
  <c r="Z490" i="1"/>
  <c r="Z493" i="1" s="1"/>
  <c r="Z510" i="1" s="1"/>
  <c r="CC510" i="1"/>
  <c r="CF461" i="1"/>
  <c r="CF463" i="1" s="1"/>
  <c r="CF483" i="1"/>
  <c r="CF490" i="1" s="1"/>
  <c r="CF493" i="1" s="1"/>
  <c r="CF510" i="1" s="1"/>
  <c r="CD704" i="1"/>
  <c r="CD701" i="1"/>
  <c r="CD238" i="1"/>
  <c r="CD253" i="1"/>
  <c r="CD237" i="1"/>
  <c r="CD229" i="1"/>
  <c r="CD267" i="1"/>
  <c r="CD87" i="1" s="1"/>
  <c r="CD218" i="1"/>
  <c r="CD344" i="1"/>
  <c r="CD357" i="1"/>
  <c r="CD700" i="1"/>
  <c r="CD215" i="1"/>
  <c r="CD696" i="1"/>
  <c r="CD544" i="1"/>
  <c r="CD260" i="1"/>
  <c r="CD222" i="1"/>
  <c r="CD235" i="1"/>
  <c r="CD224" i="1"/>
  <c r="CD244" i="1"/>
  <c r="CD257" i="1"/>
  <c r="CD232" i="1"/>
  <c r="CD228" i="1"/>
  <c r="CD239" i="1"/>
  <c r="CD212" i="1" s="1"/>
  <c r="CD703" i="1"/>
  <c r="CD787" i="1" s="1"/>
  <c r="CD242" i="1"/>
  <c r="CD362" i="1"/>
  <c r="CD249" i="1"/>
  <c r="CD266" i="1"/>
  <c r="CD252" i="1"/>
  <c r="CD236" i="1"/>
  <c r="CD545" i="1"/>
  <c r="CD227" i="1"/>
  <c r="CD697" i="1"/>
  <c r="CD234" i="1"/>
  <c r="CD128" i="1"/>
  <c r="CD247" i="1"/>
  <c r="CD351" i="1"/>
  <c r="CD248" i="1"/>
  <c r="CD254" i="1"/>
  <c r="CD262" i="1"/>
  <c r="CD223" i="1"/>
  <c r="CD219" i="1"/>
  <c r="CD265" i="1"/>
  <c r="CD88" i="1" s="1"/>
  <c r="CD243" i="1"/>
  <c r="CD23" i="1"/>
  <c r="CD233" i="1"/>
  <c r="CD258" i="1"/>
  <c r="CG461" i="1"/>
  <c r="CG463" i="1" s="1"/>
  <c r="CG483" i="1"/>
  <c r="CG490" i="1" s="1"/>
  <c r="CG493" i="1" s="1"/>
  <c r="CG510" i="1" s="1"/>
  <c r="CF821" i="1"/>
  <c r="CF826" i="1"/>
  <c r="CF116" i="1"/>
  <c r="CF814" i="1"/>
  <c r="CF827" i="1"/>
  <c r="CF823" i="1"/>
  <c r="CF824" i="1"/>
  <c r="CF820" i="1"/>
  <c r="CF818" i="1"/>
  <c r="CF817" i="1"/>
  <c r="CG711" i="1"/>
  <c r="CD818" i="1"/>
  <c r="CD814" i="1"/>
  <c r="CD116" i="1"/>
  <c r="CD821" i="1"/>
  <c r="CD827" i="1"/>
  <c r="CD824" i="1"/>
  <c r="CD826" i="1"/>
  <c r="CD823" i="1"/>
  <c r="CD820" i="1"/>
  <c r="CD817" i="1"/>
  <c r="W53" i="1"/>
  <c r="CM53" i="1"/>
  <c r="CC368" i="1"/>
  <c r="CC310" i="1" s="1"/>
  <c r="CH713" i="1"/>
  <c r="CH708" i="1"/>
  <c r="CH710" i="1"/>
  <c r="CH709" i="1"/>
  <c r="CH706" i="1"/>
  <c r="AA634" i="1"/>
  <c r="CN634" i="1" s="1"/>
  <c r="CN537" i="1"/>
  <c r="CN543" i="1"/>
  <c r="CQ571" i="1"/>
  <c r="S261" i="1"/>
  <c r="R699" i="1"/>
  <c r="CC467" i="1"/>
  <c r="U159" i="1"/>
  <c r="CK158" i="1"/>
  <c r="T158" i="1"/>
  <c r="CC349" i="1"/>
  <c r="CC334" i="1"/>
  <c r="CC276" i="1" s="1"/>
  <c r="CC364" i="1"/>
  <c r="CC306" i="1" s="1"/>
  <c r="CC76" i="1" s="1"/>
  <c r="CC469" i="1"/>
  <c r="CC379" i="1"/>
  <c r="CC374" i="1"/>
  <c r="CC316" i="1" s="1"/>
  <c r="CC359" i="1"/>
  <c r="CC301" i="1" s="1"/>
  <c r="CC74" i="1" s="1"/>
  <c r="V129" i="1"/>
  <c r="V490" i="1"/>
  <c r="V493" i="1" s="1"/>
  <c r="V510" i="1" s="1"/>
  <c r="X261" i="1"/>
  <c r="CD376" i="1"/>
  <c r="CD261" i="1"/>
  <c r="Y260" i="1"/>
  <c r="CK490" i="1"/>
  <c r="CK493" i="1" s="1"/>
  <c r="CK510" i="1" s="1"/>
  <c r="CI490" i="1"/>
  <c r="CI493" i="1" s="1"/>
  <c r="CI510" i="1" s="1"/>
  <c r="CH490" i="1"/>
  <c r="CH493" i="1" s="1"/>
  <c r="CH510" i="1" s="1"/>
  <c r="CM490" i="1"/>
  <c r="CM493" i="1" s="1"/>
  <c r="CM510" i="1" s="1"/>
  <c r="CJ490" i="1"/>
  <c r="CJ493" i="1" s="1"/>
  <c r="CJ510" i="1" s="1"/>
  <c r="CC838" i="1"/>
  <c r="CC841" i="1" s="1"/>
  <c r="CC731" i="1"/>
  <c r="CC759" i="1"/>
  <c r="CC840" i="1"/>
  <c r="CC782" i="1"/>
  <c r="CC728" i="1"/>
  <c r="CC757" i="1" s="1"/>
  <c r="CC729" i="1"/>
  <c r="CC758" i="1" s="1"/>
  <c r="CC760" i="1"/>
  <c r="CC733" i="1"/>
  <c r="W490" i="1"/>
  <c r="W493" i="1" s="1"/>
  <c r="W510" i="1" s="1"/>
  <c r="W129" i="1"/>
  <c r="CL483" i="1"/>
  <c r="CL461" i="1"/>
  <c r="CL463" i="1" s="1"/>
  <c r="CH826" i="1" l="1"/>
  <c r="BE707" i="1"/>
  <c r="CH116" i="1"/>
  <c r="CH821" i="1"/>
  <c r="CL216" i="1"/>
  <c r="CH824" i="1"/>
  <c r="CH814" i="1"/>
  <c r="CH827" i="1"/>
  <c r="CH818" i="1"/>
  <c r="CH817" i="1"/>
  <c r="CH820" i="1"/>
  <c r="CH823" i="1"/>
  <c r="CD286" i="1"/>
  <c r="CD77" i="1" s="1"/>
  <c r="CT601" i="1"/>
  <c r="CT606" i="1"/>
  <c r="CT583" i="1"/>
  <c r="CU577" i="1"/>
  <c r="CU573" i="1"/>
  <c r="CU574" i="1"/>
  <c r="CU575" i="1"/>
  <c r="CS600" i="1"/>
  <c r="CT565" i="1"/>
  <c r="CT540" i="1"/>
  <c r="CS566" i="1"/>
  <c r="CD89" i="1"/>
  <c r="CD367" i="1"/>
  <c r="CD309" i="1" s="1"/>
  <c r="CD350" i="1"/>
  <c r="CD699" i="1"/>
  <c r="CI1" i="1"/>
  <c r="CH3" i="1"/>
  <c r="CH2" i="1"/>
  <c r="CI725" i="1" s="1"/>
  <c r="CQ499" i="1"/>
  <c r="CD26" i="1"/>
  <c r="CD741" i="1"/>
  <c r="CD767" i="1" s="1"/>
  <c r="CD24" i="1"/>
  <c r="CD25" i="1"/>
  <c r="CD372" i="1"/>
  <c r="CD314" i="1" s="1"/>
  <c r="CD304" i="1"/>
  <c r="CD118" i="1"/>
  <c r="CD113" i="1"/>
  <c r="CD84" i="1"/>
  <c r="CD810" i="1"/>
  <c r="CD808" i="1"/>
  <c r="CD86" i="1"/>
  <c r="CD109" i="1"/>
  <c r="CD111" i="1"/>
  <c r="CD732" i="1"/>
  <c r="CD729" i="1"/>
  <c r="CD758" i="1" s="1"/>
  <c r="CD117" i="1"/>
  <c r="CD809" i="1"/>
  <c r="CD811" i="1"/>
  <c r="CD112" i="1"/>
  <c r="CD702" i="1"/>
  <c r="CD785" i="1" s="1"/>
  <c r="CD782" i="1"/>
  <c r="CD783" i="1"/>
  <c r="CD737" i="1"/>
  <c r="CD763" i="1" s="1"/>
  <c r="CD131" i="1"/>
  <c r="CD698" i="1"/>
  <c r="CD789" i="1" s="1"/>
  <c r="CD788" i="1"/>
  <c r="CD369" i="1"/>
  <c r="CD311" i="1" s="1"/>
  <c r="CD78" i="1" s="1"/>
  <c r="CD738" i="1"/>
  <c r="CD734" i="1"/>
  <c r="CD761" i="1" s="1"/>
  <c r="CD739" i="1"/>
  <c r="CD765" i="1" s="1"/>
  <c r="CD730" i="1"/>
  <c r="CD740" i="1"/>
  <c r="CD766" i="1" s="1"/>
  <c r="CD728" i="1"/>
  <c r="CD757" i="1" s="1"/>
  <c r="CD339" i="1"/>
  <c r="CD281" i="1" s="1"/>
  <c r="CD75" i="1" s="1"/>
  <c r="CD299" i="1"/>
  <c r="CD72" i="1" s="1"/>
  <c r="CO556" i="1"/>
  <c r="CQ588" i="1"/>
  <c r="CQ539" i="1"/>
  <c r="CH681" i="1"/>
  <c r="Y699" i="1"/>
  <c r="Y261" i="1"/>
  <c r="CH678" i="1"/>
  <c r="CH680" i="1"/>
  <c r="CH677" i="1"/>
  <c r="O711" i="1"/>
  <c r="CH679" i="1"/>
  <c r="CH712" i="1"/>
  <c r="N711" i="1"/>
  <c r="CD318" i="1"/>
  <c r="CN141" i="1"/>
  <c r="CN143" i="1" s="1"/>
  <c r="CN652" i="1"/>
  <c r="CN553" i="1"/>
  <c r="AA633" i="1"/>
  <c r="CP142" i="1"/>
  <c r="CP762" i="1" s="1"/>
  <c r="CC358" i="1"/>
  <c r="CC300" i="1" s="1"/>
  <c r="CC73" i="1" s="1"/>
  <c r="CC363" i="1"/>
  <c r="CC305" i="1" s="1"/>
  <c r="CC353" i="1"/>
  <c r="CC468" i="1"/>
  <c r="CC110" i="1" s="1"/>
  <c r="CC71" i="1"/>
  <c r="CC291" i="1"/>
  <c r="CC294" i="1" s="1"/>
  <c r="S158" i="1"/>
  <c r="U216" i="1"/>
  <c r="T159" i="1"/>
  <c r="U217" i="1" s="1"/>
  <c r="CK159" i="1"/>
  <c r="V53" i="1"/>
  <c r="CG212" i="1"/>
  <c r="CL490" i="1"/>
  <c r="CL493" i="1" s="1"/>
  <c r="CL510" i="1" s="1"/>
  <c r="DC707" i="1" l="1"/>
  <c r="BF707" i="1"/>
  <c r="AF763" i="1"/>
  <c r="AF762" i="1"/>
  <c r="AF764" i="1"/>
  <c r="CE636" i="1"/>
  <c r="CE637" i="1" s="1"/>
  <c r="CE132" i="1"/>
  <c r="CT566" i="1"/>
  <c r="CV575" i="1"/>
  <c r="CV574" i="1"/>
  <c r="CV573" i="1"/>
  <c r="CV577" i="1"/>
  <c r="CT600" i="1"/>
  <c r="CU583" i="1"/>
  <c r="CU606" i="1"/>
  <c r="CU601" i="1"/>
  <c r="CU555" i="1"/>
  <c r="CD368" i="1"/>
  <c r="CD310" i="1" s="1"/>
  <c r="CR499" i="1"/>
  <c r="CQ507" i="1"/>
  <c r="CQ522" i="1"/>
  <c r="CI3" i="1"/>
  <c r="CJ1" i="1"/>
  <c r="CI2" i="1"/>
  <c r="CJ725" i="1" s="1"/>
  <c r="CR571" i="1"/>
  <c r="CD364" i="1"/>
  <c r="CD306" i="1" s="1"/>
  <c r="CD76" i="1" s="1"/>
  <c r="CD359" i="1"/>
  <c r="CD301" i="1" s="1"/>
  <c r="CD74" i="1" s="1"/>
  <c r="CD334" i="1"/>
  <c r="CD276" i="1" s="1"/>
  <c r="CD469" i="1"/>
  <c r="CE704" i="1"/>
  <c r="CE265" i="1"/>
  <c r="CE88" i="1" s="1"/>
  <c r="CE218" i="1"/>
  <c r="CE254" i="1"/>
  <c r="CE249" i="1"/>
  <c r="CE223" i="1"/>
  <c r="CE235" i="1"/>
  <c r="CE266" i="1"/>
  <c r="CE248" i="1"/>
  <c r="CE357" i="1"/>
  <c r="CE224" i="1"/>
  <c r="CE236" i="1"/>
  <c r="CE701" i="1"/>
  <c r="CE234" i="1"/>
  <c r="CE247" i="1"/>
  <c r="CE253" i="1"/>
  <c r="CE258" i="1"/>
  <c r="CE252" i="1"/>
  <c r="CE244" i="1"/>
  <c r="CE267" i="1"/>
  <c r="CE87" i="1" s="1"/>
  <c r="CE700" i="1"/>
  <c r="CE703" i="1"/>
  <c r="CE787" i="1" s="1"/>
  <c r="CE242" i="1"/>
  <c r="CE696" i="1"/>
  <c r="CE233" i="1"/>
  <c r="CE232" i="1"/>
  <c r="CE237" i="1"/>
  <c r="CE128" i="1"/>
  <c r="CE219" i="1"/>
  <c r="CE362" i="1"/>
  <c r="CE227" i="1"/>
  <c r="CE229" i="1"/>
  <c r="CE238" i="1"/>
  <c r="CE239" i="1"/>
  <c r="CE212" i="1" s="1"/>
  <c r="CE243" i="1"/>
  <c r="CE545" i="1"/>
  <c r="CE544" i="1"/>
  <c r="CE351" i="1"/>
  <c r="CE257" i="1"/>
  <c r="CE259" i="1"/>
  <c r="CE85" i="1" s="1"/>
  <c r="CE228" i="1"/>
  <c r="CE262" i="1"/>
  <c r="CE697" i="1"/>
  <c r="CE222" i="1"/>
  <c r="CE260" i="1"/>
  <c r="CE215" i="1"/>
  <c r="CE376" i="1"/>
  <c r="CE261" i="1"/>
  <c r="CD374" i="1"/>
  <c r="CD316" i="1" s="1"/>
  <c r="CD759" i="1"/>
  <c r="CD838" i="1"/>
  <c r="CD841" i="1" s="1"/>
  <c r="CD731" i="1"/>
  <c r="CD764" i="1"/>
  <c r="CD840" i="1"/>
  <c r="CD379" i="1"/>
  <c r="CD349" i="1"/>
  <c r="CD760" i="1"/>
  <c r="CD733" i="1"/>
  <c r="CD467" i="1"/>
  <c r="CL53" i="1"/>
  <c r="CL217" i="1"/>
  <c r="CI708" i="1"/>
  <c r="CH711" i="1"/>
  <c r="CI713" i="1"/>
  <c r="CI710" i="1"/>
  <c r="CI709" i="1"/>
  <c r="CI706" i="1"/>
  <c r="CD80" i="1"/>
  <c r="CN554" i="1"/>
  <c r="AA635" i="1"/>
  <c r="AA738" i="1" s="1"/>
  <c r="AA764" i="1" s="1"/>
  <c r="CN633" i="1"/>
  <c r="CN635" i="1" s="1"/>
  <c r="CG729" i="1"/>
  <c r="CG758" i="1" s="1"/>
  <c r="CG732" i="1"/>
  <c r="CG738" i="1"/>
  <c r="CG734" i="1"/>
  <c r="CG761" i="1" s="1"/>
  <c r="CG728" i="1"/>
  <c r="CG757" i="1" s="1"/>
  <c r="CG730" i="1"/>
  <c r="CC380" i="1"/>
  <c r="U53" i="1"/>
  <c r="CG698" i="1"/>
  <c r="CG789" i="1" s="1"/>
  <c r="CG788" i="1"/>
  <c r="CG702" i="1"/>
  <c r="CG785" i="1" s="1"/>
  <c r="CG783" i="1"/>
  <c r="CG782" i="1"/>
  <c r="T216" i="1"/>
  <c r="S159" i="1"/>
  <c r="R158" i="1"/>
  <c r="CJ158" i="1"/>
  <c r="CC352" i="1"/>
  <c r="CC354" i="1"/>
  <c r="CC296" i="1" s="1"/>
  <c r="CC373" i="1"/>
  <c r="CC315" i="1" s="1"/>
  <c r="BG707" i="1" l="1"/>
  <c r="BH707" i="1" s="1"/>
  <c r="AG623" i="1"/>
  <c r="CK216" i="1"/>
  <c r="CE26" i="1"/>
  <c r="CW577" i="1"/>
  <c r="CW573" i="1"/>
  <c r="CW574" i="1"/>
  <c r="CW575" i="1"/>
  <c r="CV601" i="1"/>
  <c r="CV606" i="1"/>
  <c r="CV583" i="1"/>
  <c r="CU600" i="1"/>
  <c r="CU566" i="1"/>
  <c r="CU565" i="1"/>
  <c r="CU540" i="1"/>
  <c r="CE367" i="1"/>
  <c r="CE309" i="1" s="1"/>
  <c r="CE350" i="1"/>
  <c r="CE344" i="1"/>
  <c r="CE286" i="1" s="1"/>
  <c r="CE77" i="1" s="1"/>
  <c r="CQ536" i="1"/>
  <c r="CQ623" i="1" s="1"/>
  <c r="CJ2" i="1"/>
  <c r="CK725" i="1" s="1"/>
  <c r="CJ3" i="1"/>
  <c r="CK1" i="1"/>
  <c r="CE304" i="1"/>
  <c r="CE372" i="1"/>
  <c r="CE314" i="1" s="1"/>
  <c r="CE369" i="1"/>
  <c r="CE311" i="1" s="1"/>
  <c r="CE78" i="1" s="1"/>
  <c r="CE368" i="1"/>
  <c r="CE310" i="1" s="1"/>
  <c r="CE732" i="1"/>
  <c r="CE729" i="1"/>
  <c r="CE758" i="1" s="1"/>
  <c r="CE737" i="1"/>
  <c r="CE763" i="1" s="1"/>
  <c r="CE131" i="1"/>
  <c r="CE117" i="1"/>
  <c r="CE811" i="1"/>
  <c r="CE809" i="1"/>
  <c r="CE112" i="1"/>
  <c r="CE89" i="1"/>
  <c r="CE118" i="1"/>
  <c r="CE810" i="1"/>
  <c r="CE84" i="1"/>
  <c r="CE808" i="1"/>
  <c r="CE113" i="1"/>
  <c r="CE86" i="1"/>
  <c r="CE702" i="1"/>
  <c r="CE785" i="1" s="1"/>
  <c r="CE783" i="1"/>
  <c r="CE782" i="1"/>
  <c r="CD358" i="1"/>
  <c r="CD300" i="1" s="1"/>
  <c r="CD73" i="1" s="1"/>
  <c r="CD363" i="1"/>
  <c r="CD305" i="1" s="1"/>
  <c r="CE318" i="1"/>
  <c r="CE80" i="1" s="1"/>
  <c r="CE699" i="1"/>
  <c r="CE24" i="1"/>
  <c r="CE23" i="1"/>
  <c r="CD353" i="1"/>
  <c r="CE339" i="1"/>
  <c r="CE281" i="1" s="1"/>
  <c r="CE75" i="1" s="1"/>
  <c r="CE698" i="1"/>
  <c r="CE789" i="1" s="1"/>
  <c r="CE788" i="1"/>
  <c r="CE739" i="1"/>
  <c r="CE765" i="1" s="1"/>
  <c r="CE730" i="1"/>
  <c r="CE738" i="1"/>
  <c r="CE734" i="1"/>
  <c r="CE761" i="1" s="1"/>
  <c r="CE741" i="1"/>
  <c r="CE767" i="1" s="1"/>
  <c r="CE740" i="1"/>
  <c r="CE766" i="1" s="1"/>
  <c r="CE728" i="1"/>
  <c r="CE757" i="1" s="1"/>
  <c r="CE109" i="1"/>
  <c r="CE111" i="1"/>
  <c r="CD291" i="1"/>
  <c r="CD294" i="1" s="1"/>
  <c r="CD71" i="1"/>
  <c r="M725" i="1"/>
  <c r="M1" i="1"/>
  <c r="CE25" i="1"/>
  <c r="CE299" i="1"/>
  <c r="CE72" i="1" s="1"/>
  <c r="CD468" i="1"/>
  <c r="CD110" i="1" s="1"/>
  <c r="CP556" i="1"/>
  <c r="CR539" i="1"/>
  <c r="CR588" i="1"/>
  <c r="CI677" i="1"/>
  <c r="CI678" i="1"/>
  <c r="CI680" i="1"/>
  <c r="Q711" i="1"/>
  <c r="CI681" i="1"/>
  <c r="CI679" i="1"/>
  <c r="CI712" i="1"/>
  <c r="P711" i="1"/>
  <c r="AG762" i="1"/>
  <c r="CQ142" i="1"/>
  <c r="CQ762" i="1" s="1"/>
  <c r="CH212" i="1"/>
  <c r="T217" i="1"/>
  <c r="CJ159" i="1"/>
  <c r="T53" i="1"/>
  <c r="CC321" i="1"/>
  <c r="CC295" i="1"/>
  <c r="Q158" i="1"/>
  <c r="S216" i="1"/>
  <c r="R159" i="1"/>
  <c r="S217" i="1" s="1"/>
  <c r="CC375" i="1"/>
  <c r="CC317" i="1" s="1"/>
  <c r="CC79" i="1" s="1"/>
  <c r="CG838" i="1"/>
  <c r="CG841" i="1" s="1"/>
  <c r="CG759" i="1"/>
  <c r="CG840" i="1"/>
  <c r="CG764" i="1"/>
  <c r="CG760" i="1"/>
  <c r="CC533" i="1"/>
  <c r="DD707" i="1" l="1"/>
  <c r="BI707" i="1"/>
  <c r="CI711" i="1"/>
  <c r="CX575" i="1"/>
  <c r="CX574" i="1"/>
  <c r="CX573" i="1"/>
  <c r="CX577" i="1"/>
  <c r="CF132" i="1"/>
  <c r="CF636" i="1"/>
  <c r="CF637" i="1" s="1"/>
  <c r="CV566" i="1"/>
  <c r="CV600" i="1"/>
  <c r="CW583" i="1"/>
  <c r="CW606" i="1"/>
  <c r="CW601" i="1"/>
  <c r="CT539" i="1"/>
  <c r="CS571" i="1"/>
  <c r="CV555" i="1"/>
  <c r="AB634" i="1"/>
  <c r="CR507" i="1"/>
  <c r="CL1" i="1"/>
  <c r="CK2" i="1"/>
  <c r="CL725" i="1" s="1"/>
  <c r="CK3" i="1"/>
  <c r="CS499" i="1"/>
  <c r="CR522" i="1"/>
  <c r="CS588" i="1"/>
  <c r="CE467" i="1"/>
  <c r="CE334" i="1"/>
  <c r="CE276" i="1" s="1"/>
  <c r="CE764" i="1"/>
  <c r="CE840" i="1"/>
  <c r="CE359" i="1"/>
  <c r="CE301" i="1" s="1"/>
  <c r="CE74" i="1" s="1"/>
  <c r="CD373" i="1"/>
  <c r="CD315" i="1" s="1"/>
  <c r="CE364" i="1"/>
  <c r="CE306" i="1" s="1"/>
  <c r="CE76" i="1" s="1"/>
  <c r="CD380" i="1"/>
  <c r="S53" i="1"/>
  <c r="M3" i="1"/>
  <c r="M2" i="1"/>
  <c r="N725" i="1" s="1"/>
  <c r="N1" i="1"/>
  <c r="CE379" i="1"/>
  <c r="CE469" i="1"/>
  <c r="CE349" i="1"/>
  <c r="CE759" i="1"/>
  <c r="CE731" i="1"/>
  <c r="CE838" i="1"/>
  <c r="CE841" i="1" s="1"/>
  <c r="CE374" i="1"/>
  <c r="CE316" i="1" s="1"/>
  <c r="CD354" i="1"/>
  <c r="CD296" i="1" s="1"/>
  <c r="CD352" i="1"/>
  <c r="CF704" i="1"/>
  <c r="CF259" i="1"/>
  <c r="CF85" i="1" s="1"/>
  <c r="CF261" i="1"/>
  <c r="CF350" i="1"/>
  <c r="CF234" i="1"/>
  <c r="CF222" i="1"/>
  <c r="CF696" i="1"/>
  <c r="CF697" i="1"/>
  <c r="CF249" i="1"/>
  <c r="CF247" i="1"/>
  <c r="CF229" i="1"/>
  <c r="CF257" i="1"/>
  <c r="CF703" i="1"/>
  <c r="CF787" i="1" s="1"/>
  <c r="CF344" i="1"/>
  <c r="CF232" i="1"/>
  <c r="CF243" i="1"/>
  <c r="CF236" i="1"/>
  <c r="CF260" i="1"/>
  <c r="CF219" i="1"/>
  <c r="CF258" i="1"/>
  <c r="CF253" i="1"/>
  <c r="CF357" i="1"/>
  <c r="CF545" i="1"/>
  <c r="CF224" i="1"/>
  <c r="CF239" i="1"/>
  <c r="CF212" i="1" s="1"/>
  <c r="CF376" i="1"/>
  <c r="CF128" i="1"/>
  <c r="CF544" i="1"/>
  <c r="CF242" i="1"/>
  <c r="CF227" i="1"/>
  <c r="CF367" i="1"/>
  <c r="CF215" i="1"/>
  <c r="CF235" i="1"/>
  <c r="CF237" i="1"/>
  <c r="CF223" i="1"/>
  <c r="CF218" i="1"/>
  <c r="CF700" i="1"/>
  <c r="CF238" i="1"/>
  <c r="CF265" i="1"/>
  <c r="CF88" i="1" s="1"/>
  <c r="CF254" i="1"/>
  <c r="CF266" i="1"/>
  <c r="CF701" i="1"/>
  <c r="CF262" i="1"/>
  <c r="CF248" i="1"/>
  <c r="CF244" i="1"/>
  <c r="CF228" i="1"/>
  <c r="CF351" i="1"/>
  <c r="CF362" i="1"/>
  <c r="CF267" i="1"/>
  <c r="CF87" i="1" s="1"/>
  <c r="CF252" i="1"/>
  <c r="CF233" i="1"/>
  <c r="CF24" i="1"/>
  <c r="CE733" i="1"/>
  <c r="CE760" i="1"/>
  <c r="CK53" i="1"/>
  <c r="CK217" i="1"/>
  <c r="CJ713" i="1"/>
  <c r="CJ708" i="1"/>
  <c r="CJ710" i="1"/>
  <c r="CJ709" i="1"/>
  <c r="CJ706" i="1"/>
  <c r="CO139" i="1"/>
  <c r="CC377" i="1"/>
  <c r="P158" i="1"/>
  <c r="Q159" i="1"/>
  <c r="CI158" i="1"/>
  <c r="R216" i="1"/>
  <c r="CH732" i="1"/>
  <c r="CH729" i="1"/>
  <c r="CH758" i="1" s="1"/>
  <c r="CH728" i="1"/>
  <c r="CH757" i="1" s="1"/>
  <c r="CH740" i="1"/>
  <c r="CH766" i="1" s="1"/>
  <c r="CH734" i="1"/>
  <c r="CH761" i="1" s="1"/>
  <c r="CH730" i="1"/>
  <c r="CH738" i="1"/>
  <c r="CH782" i="1"/>
  <c r="CH783" i="1"/>
  <c r="CH702" i="1"/>
  <c r="CH785" i="1" s="1"/>
  <c r="CH788" i="1"/>
  <c r="CH698" i="1"/>
  <c r="CH789" i="1" s="1"/>
  <c r="BJ707" i="1" l="1"/>
  <c r="DE707" i="1"/>
  <c r="CJ216" i="1"/>
  <c r="CY577" i="1"/>
  <c r="CY573" i="1"/>
  <c r="CY574" i="1"/>
  <c r="CY575" i="1"/>
  <c r="L5" i="1"/>
  <c r="CX601" i="1"/>
  <c r="CX606" i="1"/>
  <c r="CX583" i="1"/>
  <c r="CW600" i="1"/>
  <c r="CW566" i="1"/>
  <c r="CT571" i="1"/>
  <c r="CV540" i="1"/>
  <c r="CV565" i="1"/>
  <c r="CT588" i="1"/>
  <c r="M5" i="1"/>
  <c r="M811" i="1" s="1"/>
  <c r="CR536" i="1"/>
  <c r="CR623" i="1" s="1"/>
  <c r="CL2" i="1"/>
  <c r="CM725" i="1" s="1"/>
  <c r="CM1" i="1"/>
  <c r="CL3" i="1"/>
  <c r="CF304" i="1"/>
  <c r="CF318" i="1"/>
  <c r="CF80" i="1" s="1"/>
  <c r="CF23" i="1"/>
  <c r="CF25" i="1"/>
  <c r="CF26" i="1"/>
  <c r="CF299" i="1"/>
  <c r="CF72" i="1" s="1"/>
  <c r="CF118" i="1"/>
  <c r="CF810" i="1"/>
  <c r="CF86" i="1"/>
  <c r="CF84" i="1"/>
  <c r="CF113" i="1"/>
  <c r="CF808" i="1"/>
  <c r="CF702" i="1"/>
  <c r="CF785" i="1" s="1"/>
  <c r="CF783" i="1"/>
  <c r="CF782" i="1"/>
  <c r="CF734" i="1"/>
  <c r="CF761" i="1" s="1"/>
  <c r="CF738" i="1"/>
  <c r="CF740" i="1"/>
  <c r="CF766" i="1" s="1"/>
  <c r="CF741" i="1"/>
  <c r="CF767" i="1" s="1"/>
  <c r="CF739" i="1"/>
  <c r="CF765" i="1" s="1"/>
  <c r="CF730" i="1"/>
  <c r="CF728" i="1"/>
  <c r="CF757" i="1" s="1"/>
  <c r="CF339" i="1"/>
  <c r="CF281" i="1" s="1"/>
  <c r="CF75" i="1" s="1"/>
  <c r="CF732" i="1"/>
  <c r="CF729" i="1"/>
  <c r="CF758" i="1" s="1"/>
  <c r="CF109" i="1"/>
  <c r="CF111" i="1"/>
  <c r="CE353" i="1"/>
  <c r="CE363" i="1"/>
  <c r="CE305" i="1" s="1"/>
  <c r="CE291" i="1"/>
  <c r="CE294" i="1" s="1"/>
  <c r="CE71" i="1"/>
  <c r="CF372" i="1"/>
  <c r="CF314" i="1" s="1"/>
  <c r="CF699" i="1"/>
  <c r="CF309" i="1"/>
  <c r="CF286" i="1"/>
  <c r="CF77" i="1" s="1"/>
  <c r="CE468" i="1"/>
  <c r="CE110" i="1" s="1"/>
  <c r="CF369" i="1"/>
  <c r="CF311" i="1" s="1"/>
  <c r="CF78" i="1" s="1"/>
  <c r="CF368" i="1"/>
  <c r="CF310" i="1" s="1"/>
  <c r="CF117" i="1"/>
  <c r="CF809" i="1"/>
  <c r="CF811" i="1"/>
  <c r="CF112" i="1"/>
  <c r="CF89" i="1"/>
  <c r="CF737" i="1"/>
  <c r="CF763" i="1" s="1"/>
  <c r="CF131" i="1"/>
  <c r="CF698" i="1"/>
  <c r="CF789" i="1" s="1"/>
  <c r="CF788" i="1"/>
  <c r="CD295" i="1"/>
  <c r="CD321" i="1"/>
  <c r="N3" i="1"/>
  <c r="N2" i="1"/>
  <c r="O725" i="1" s="1"/>
  <c r="O1" i="1"/>
  <c r="CD375" i="1"/>
  <c r="CD317" i="1" s="1"/>
  <c r="CD79" i="1" s="1"/>
  <c r="CE358" i="1"/>
  <c r="CE300" i="1" s="1"/>
  <c r="CE73" i="1" s="1"/>
  <c r="CO535" i="1"/>
  <c r="CQ556" i="1"/>
  <c r="CJ712" i="1"/>
  <c r="R711" i="1"/>
  <c r="CJ678" i="1"/>
  <c r="CJ680" i="1"/>
  <c r="CJ677" i="1"/>
  <c r="S711" i="1"/>
  <c r="CJ681" i="1"/>
  <c r="CJ679" i="1"/>
  <c r="CR142" i="1"/>
  <c r="CR762" i="1" s="1"/>
  <c r="AB633" i="1"/>
  <c r="AB635" i="1" s="1"/>
  <c r="AB738" i="1" s="1"/>
  <c r="AB764" i="1" s="1"/>
  <c r="CH764" i="1"/>
  <c r="CH840" i="1"/>
  <c r="CH731" i="1"/>
  <c r="CH759" i="1"/>
  <c r="CH838" i="1"/>
  <c r="CH841" i="1" s="1"/>
  <c r="CI159" i="1"/>
  <c r="CJ217" i="1" s="1"/>
  <c r="R217" i="1"/>
  <c r="R53" i="1"/>
  <c r="CC391" i="1"/>
  <c r="CC319" i="1"/>
  <c r="CC322" i="1" s="1"/>
  <c r="CC323" i="1" s="1"/>
  <c r="CI212" i="1"/>
  <c r="CH760" i="1"/>
  <c r="CH733" i="1"/>
  <c r="P159" i="1"/>
  <c r="O158" i="1"/>
  <c r="Q216" i="1"/>
  <c r="BK707" i="1" l="1"/>
  <c r="AK764" i="1"/>
  <c r="AK762" i="1"/>
  <c r="CZ575" i="1"/>
  <c r="BA575" i="1"/>
  <c r="CZ573" i="1"/>
  <c r="BA573" i="1"/>
  <c r="CZ577" i="1"/>
  <c r="BA577" i="1"/>
  <c r="CY583" i="1"/>
  <c r="CY606" i="1"/>
  <c r="AY606" i="1"/>
  <c r="AZ606" i="1" s="1"/>
  <c r="CY601" i="1"/>
  <c r="L790" i="1"/>
  <c r="L369" i="1"/>
  <c r="L367" i="1"/>
  <c r="L351" i="1"/>
  <c r="L350" i="1"/>
  <c r="L344" i="1"/>
  <c r="L306" i="1"/>
  <c r="L301" i="1"/>
  <c r="L296" i="1"/>
  <c r="L281" i="1"/>
  <c r="L276" i="1"/>
  <c r="L93" i="1"/>
  <c r="L89" i="1"/>
  <c r="L88" i="1"/>
  <c r="L788" i="1"/>
  <c r="L787" i="1"/>
  <c r="L783" i="1"/>
  <c r="L809" i="1"/>
  <c r="L112" i="1"/>
  <c r="L811" i="1"/>
  <c r="L110" i="1"/>
  <c r="L789" i="1"/>
  <c r="L785" i="1"/>
  <c r="L841" i="1" s="1"/>
  <c r="L782" i="1"/>
  <c r="L117" i="1"/>
  <c r="L87" i="1"/>
  <c r="L810" i="1"/>
  <c r="L808" i="1"/>
  <c r="L86" i="1"/>
  <c r="L118" i="1"/>
  <c r="L84" i="1"/>
  <c r="L113" i="1"/>
  <c r="L85" i="1"/>
  <c r="L376" i="1"/>
  <c r="L26" i="1"/>
  <c r="L24" i="1"/>
  <c r="L25" i="1"/>
  <c r="L23" i="1"/>
  <c r="L357" i="1"/>
  <c r="L362" i="1"/>
  <c r="CX566" i="1"/>
  <c r="CX600" i="1"/>
  <c r="CS522" i="1"/>
  <c r="CS142" i="1"/>
  <c r="CS762" i="1" s="1"/>
  <c r="CT499" i="1"/>
  <c r="CU539" i="1"/>
  <c r="CW555" i="1"/>
  <c r="M111" i="1"/>
  <c r="M84" i="1"/>
  <c r="M350" i="1"/>
  <c r="M808" i="1"/>
  <c r="M88" i="1"/>
  <c r="M89" i="1"/>
  <c r="M357" i="1"/>
  <c r="M788" i="1"/>
  <c r="M790" i="1"/>
  <c r="M110" i="1"/>
  <c r="M296" i="1"/>
  <c r="M321" i="1" s="1"/>
  <c r="M85" i="1"/>
  <c r="M112" i="1"/>
  <c r="M281" i="1"/>
  <c r="M75" i="1" s="1"/>
  <c r="M787" i="1"/>
  <c r="M367" i="1"/>
  <c r="M87" i="1"/>
  <c r="M117" i="1"/>
  <c r="M276" i="1"/>
  <c r="M71" i="1" s="1"/>
  <c r="M809" i="1"/>
  <c r="M118" i="1"/>
  <c r="M344" i="1"/>
  <c r="M301" i="1"/>
  <c r="M359" i="1" s="1"/>
  <c r="M109" i="1"/>
  <c r="M93" i="1"/>
  <c r="M362" i="1"/>
  <c r="M86" i="1"/>
  <c r="M351" i="1"/>
  <c r="M306" i="1"/>
  <c r="M76" i="1" s="1"/>
  <c r="M376" i="1"/>
  <c r="M789" i="1"/>
  <c r="M810" i="1"/>
  <c r="M783" i="1"/>
  <c r="M782" i="1"/>
  <c r="M785" i="1"/>
  <c r="M841" i="1" s="1"/>
  <c r="M113" i="1"/>
  <c r="M369" i="1"/>
  <c r="CN1" i="1"/>
  <c r="CO1" i="1" s="1"/>
  <c r="CP1" i="1" s="1"/>
  <c r="CQ1" i="1" s="1"/>
  <c r="CM2" i="1"/>
  <c r="CN725" i="1" s="1"/>
  <c r="CM3" i="1"/>
  <c r="CJ53" i="1"/>
  <c r="CE373" i="1"/>
  <c r="CE315" i="1" s="1"/>
  <c r="CD377" i="1"/>
  <c r="O2" i="1"/>
  <c r="P725" i="1" s="1"/>
  <c r="P1" i="1"/>
  <c r="O3" i="1"/>
  <c r="CE380" i="1"/>
  <c r="CF374" i="1"/>
  <c r="CF316" i="1" s="1"/>
  <c r="CE352" i="1"/>
  <c r="CE354" i="1"/>
  <c r="CE296" i="1" s="1"/>
  <c r="CF467" i="1"/>
  <c r="CF760" i="1"/>
  <c r="CF733" i="1"/>
  <c r="CG733" i="1"/>
  <c r="CF759" i="1"/>
  <c r="CF838" i="1"/>
  <c r="CF841" i="1" s="1"/>
  <c r="CF731" i="1"/>
  <c r="CG731" i="1"/>
  <c r="CF764" i="1"/>
  <c r="CF840" i="1"/>
  <c r="CF349" i="1"/>
  <c r="CG704" i="1"/>
  <c r="CG265" i="1"/>
  <c r="CG88" i="1" s="1"/>
  <c r="CG254" i="1"/>
  <c r="CG259" i="1" s="1"/>
  <c r="CG128" i="1"/>
  <c r="M24" i="1"/>
  <c r="CG252" i="1"/>
  <c r="CG257" i="1" s="1"/>
  <c r="CG267" i="1"/>
  <c r="CG87" i="1" s="1"/>
  <c r="CG228" i="1"/>
  <c r="CG236" i="1"/>
  <c r="CG238" i="1"/>
  <c r="M26" i="1"/>
  <c r="M25" i="1"/>
  <c r="CG266" i="1"/>
  <c r="CG696" i="1"/>
  <c r="CG703" i="1"/>
  <c r="CG787" i="1" s="1"/>
  <c r="CG227" i="1"/>
  <c r="CG232" i="1" s="1"/>
  <c r="CG253" i="1"/>
  <c r="CG258" i="1" s="1"/>
  <c r="CG235" i="1"/>
  <c r="CG229" i="1"/>
  <c r="CG234" i="1" s="1"/>
  <c r="M23" i="1"/>
  <c r="CF359" i="1"/>
  <c r="CF301" i="1" s="1"/>
  <c r="CF74" i="1" s="1"/>
  <c r="CF469" i="1"/>
  <c r="CF364" i="1"/>
  <c r="CF306" i="1" s="1"/>
  <c r="CF76" i="1" s="1"/>
  <c r="CF379" i="1"/>
  <c r="CF334" i="1"/>
  <c r="CF276" i="1" s="1"/>
  <c r="CR556" i="1"/>
  <c r="CK708" i="1"/>
  <c r="CJ711" i="1"/>
  <c r="CK713" i="1"/>
  <c r="CK710" i="1"/>
  <c r="CK709" i="1"/>
  <c r="CK706" i="1"/>
  <c r="Q217" i="1"/>
  <c r="Q53" i="1"/>
  <c r="CI729" i="1"/>
  <c r="CI758" i="1" s="1"/>
  <c r="CI732" i="1"/>
  <c r="CI734" i="1"/>
  <c r="CI761" i="1" s="1"/>
  <c r="CI740" i="1"/>
  <c r="CI766" i="1" s="1"/>
  <c r="CI730" i="1"/>
  <c r="CI738" i="1"/>
  <c r="CI728" i="1"/>
  <c r="CI757" i="1" s="1"/>
  <c r="CI788" i="1"/>
  <c r="CI698" i="1"/>
  <c r="CI789" i="1" s="1"/>
  <c r="P216" i="1"/>
  <c r="O159" i="1"/>
  <c r="N158" i="1"/>
  <c r="CH158" i="1"/>
  <c r="CI702" i="1"/>
  <c r="CI785" i="1" s="1"/>
  <c r="CI782" i="1"/>
  <c r="CI783" i="1"/>
  <c r="CC269" i="1"/>
  <c r="CC81" i="1"/>
  <c r="CC325" i="1"/>
  <c r="DF707" i="1" l="1"/>
  <c r="BL707" i="1"/>
  <c r="M368" i="1"/>
  <c r="CQ2" i="1"/>
  <c r="CQ3" i="1"/>
  <c r="CR1" i="1"/>
  <c r="DA577" i="1"/>
  <c r="BB577" i="1"/>
  <c r="BC577" i="1" s="1"/>
  <c r="DA573" i="1"/>
  <c r="BB573" i="1"/>
  <c r="BC573" i="1" s="1"/>
  <c r="DA575" i="1"/>
  <c r="BB575" i="1"/>
  <c r="BC575" i="1" s="1"/>
  <c r="CZ601" i="1"/>
  <c r="CZ606" i="1"/>
  <c r="BA606" i="1"/>
  <c r="CZ583" i="1"/>
  <c r="BA583" i="1"/>
  <c r="CZ574" i="1"/>
  <c r="BA574" i="1"/>
  <c r="CI216" i="1"/>
  <c r="CG367" i="1"/>
  <c r="CY600" i="1"/>
  <c r="CY566" i="1"/>
  <c r="L372" i="1"/>
  <c r="L75" i="1"/>
  <c r="L339" i="1"/>
  <c r="L316" i="1"/>
  <c r="L74" i="1"/>
  <c r="L359" i="1"/>
  <c r="L358" i="1" s="1"/>
  <c r="L300" i="1" s="1"/>
  <c r="L368" i="1"/>
  <c r="L291" i="1"/>
  <c r="L71" i="1"/>
  <c r="L334" i="1"/>
  <c r="L379" i="1"/>
  <c r="L319" i="1" s="1"/>
  <c r="L321" i="1"/>
  <c r="L76" i="1"/>
  <c r="L364" i="1"/>
  <c r="L363" i="1" s="1"/>
  <c r="L305" i="1" s="1"/>
  <c r="CG233" i="1"/>
  <c r="CG113" i="1" s="1"/>
  <c r="CW540" i="1"/>
  <c r="CW565" i="1"/>
  <c r="CU588" i="1"/>
  <c r="CT522" i="1"/>
  <c r="CU571" i="1"/>
  <c r="M358" i="1"/>
  <c r="M300" i="1" s="1"/>
  <c r="M73" i="1" s="1"/>
  <c r="M364" i="1"/>
  <c r="M363" i="1" s="1"/>
  <c r="M305" i="1" s="1"/>
  <c r="M316" i="1"/>
  <c r="M74" i="1"/>
  <c r="M334" i="1"/>
  <c r="M339" i="1"/>
  <c r="M291" i="1"/>
  <c r="M294" i="1" s="1"/>
  <c r="CG350" i="1"/>
  <c r="CG376" i="1"/>
  <c r="CG344" i="1"/>
  <c r="CG357" i="1"/>
  <c r="CG299" i="1" s="1"/>
  <c r="CG72" i="1" s="1"/>
  <c r="M379" i="1"/>
  <c r="M319" i="1" s="1"/>
  <c r="M322" i="1" s="1"/>
  <c r="M323" i="1" s="1"/>
  <c r="M372" i="1"/>
  <c r="CG351" i="1"/>
  <c r="CG362" i="1"/>
  <c r="CG304" i="1" s="1"/>
  <c r="O5" i="1"/>
  <c r="O350" i="1" s="1"/>
  <c r="CN3" i="1"/>
  <c r="CN2" i="1"/>
  <c r="CG24" i="1"/>
  <c r="CG23" i="1"/>
  <c r="CG26" i="1"/>
  <c r="CG25" i="1"/>
  <c r="CF363" i="1"/>
  <c r="CF305" i="1" s="1"/>
  <c r="CG85" i="1"/>
  <c r="CG260" i="1"/>
  <c r="CG261" i="1" s="1"/>
  <c r="CE295" i="1"/>
  <c r="CE321" i="1"/>
  <c r="N5" i="1"/>
  <c r="CF291" i="1"/>
  <c r="CF294" i="1" s="1"/>
  <c r="CF71" i="1"/>
  <c r="CF358" i="1"/>
  <c r="CF300" i="1" s="1"/>
  <c r="CF73" i="1" s="1"/>
  <c r="CG369" i="1"/>
  <c r="CG78" i="1" s="1"/>
  <c r="CG737" i="1"/>
  <c r="CG763" i="1" s="1"/>
  <c r="CG131" i="1"/>
  <c r="CG237" i="1"/>
  <c r="CG109" i="1"/>
  <c r="CG111" i="1"/>
  <c r="CF353" i="1"/>
  <c r="CE375" i="1"/>
  <c r="CE317" i="1" s="1"/>
  <c r="CE79" i="1" s="1"/>
  <c r="P2" i="1"/>
  <c r="Q725" i="1" s="1"/>
  <c r="P3" i="1"/>
  <c r="Q1" i="1"/>
  <c r="CD319" i="1"/>
  <c r="CD322" i="1" s="1"/>
  <c r="CD323" i="1" s="1"/>
  <c r="CD391" i="1"/>
  <c r="CG77" i="1"/>
  <c r="CF468" i="1"/>
  <c r="CF110" i="1" s="1"/>
  <c r="U711" i="1"/>
  <c r="CK680" i="1"/>
  <c r="CK679" i="1"/>
  <c r="CK678" i="1"/>
  <c r="CK677" i="1"/>
  <c r="CK681" i="1"/>
  <c r="CK712" i="1"/>
  <c r="T711" i="1"/>
  <c r="CO543" i="1"/>
  <c r="CO634" i="1"/>
  <c r="CO537" i="1"/>
  <c r="N159" i="1"/>
  <c r="O217" i="1" s="1"/>
  <c r="M158" i="1"/>
  <c r="L158" i="1" s="1"/>
  <c r="O216" i="1"/>
  <c r="CI760" i="1"/>
  <c r="CI733" i="1"/>
  <c r="P217" i="1"/>
  <c r="CH159" i="1"/>
  <c r="CI217" i="1" s="1"/>
  <c r="P53" i="1"/>
  <c r="CJ212" i="1"/>
  <c r="CI840" i="1"/>
  <c r="CI764" i="1"/>
  <c r="CI838" i="1"/>
  <c r="CI841" i="1" s="1"/>
  <c r="CI731" i="1"/>
  <c r="CI759" i="1"/>
  <c r="CS1" i="1" l="1"/>
  <c r="AN2" i="24"/>
  <c r="BM707" i="1"/>
  <c r="CG368" i="1"/>
  <c r="DB577" i="1"/>
  <c r="BD577" i="1"/>
  <c r="BE577" i="1" s="1"/>
  <c r="DB575" i="1"/>
  <c r="BD575" i="1"/>
  <c r="BE575" i="1" s="1"/>
  <c r="DB573" i="1"/>
  <c r="BD573" i="1"/>
  <c r="BE573" i="1" s="1"/>
  <c r="CR2" i="1"/>
  <c r="CR3" i="1"/>
  <c r="DA574" i="1"/>
  <c r="BB574" i="1"/>
  <c r="BC574" i="1" s="1"/>
  <c r="DA583" i="1"/>
  <c r="BB583" i="1"/>
  <c r="BC583" i="1" s="1"/>
  <c r="DA606" i="1"/>
  <c r="BB606" i="1"/>
  <c r="BC606" i="1" s="1"/>
  <c r="DA601" i="1"/>
  <c r="DB601" i="1"/>
  <c r="CZ566" i="1"/>
  <c r="CZ600" i="1"/>
  <c r="BA600" i="1"/>
  <c r="O810" i="1"/>
  <c r="K158" i="1"/>
  <c r="L317" i="1"/>
  <c r="L380" i="1" s="1"/>
  <c r="L322" i="1"/>
  <c r="L323" i="1" s="1"/>
  <c r="L294" i="1"/>
  <c r="L349" i="1"/>
  <c r="L315" i="1"/>
  <c r="L373" i="1" s="1"/>
  <c r="L73" i="1"/>
  <c r="L374" i="1"/>
  <c r="CG86" i="1"/>
  <c r="CG118" i="1"/>
  <c r="CG84" i="1"/>
  <c r="O87" i="1"/>
  <c r="CT142" i="1"/>
  <c r="CU499" i="1"/>
  <c r="CV539" i="1"/>
  <c r="CG318" i="1"/>
  <c r="CG80" i="1" s="1"/>
  <c r="O296" i="1"/>
  <c r="O379" i="1" s="1"/>
  <c r="O319" i="1" s="1"/>
  <c r="O351" i="1"/>
  <c r="O808" i="1"/>
  <c r="M315" i="1"/>
  <c r="M373" i="1" s="1"/>
  <c r="M374" i="1"/>
  <c r="CG339" i="1"/>
  <c r="CG281" i="1" s="1"/>
  <c r="CG75" i="1" s="1"/>
  <c r="O369" i="1"/>
  <c r="O367" i="1"/>
  <c r="O783" i="1"/>
  <c r="O376" i="1"/>
  <c r="CG334" i="1"/>
  <c r="CG276" i="1" s="1"/>
  <c r="CG71" i="1" s="1"/>
  <c r="CG372" i="1"/>
  <c r="CG314" i="1" s="1"/>
  <c r="M317" i="1"/>
  <c r="M79" i="1" s="1"/>
  <c r="M349" i="1"/>
  <c r="M352" i="1" s="1"/>
  <c r="O89" i="1"/>
  <c r="O84" i="1"/>
  <c r="O113" i="1"/>
  <c r="O93" i="1"/>
  <c r="O301" i="1"/>
  <c r="O359" i="1" s="1"/>
  <c r="O788" i="1"/>
  <c r="O344" i="1"/>
  <c r="O790" i="1"/>
  <c r="O276" i="1"/>
  <c r="O71" i="1" s="1"/>
  <c r="O306" i="1"/>
  <c r="O76" i="1" s="1"/>
  <c r="O782" i="1"/>
  <c r="O787" i="1"/>
  <c r="O785" i="1"/>
  <c r="O841" i="1" s="1"/>
  <c r="O88" i="1"/>
  <c r="O809" i="1"/>
  <c r="O117" i="1"/>
  <c r="O362" i="1"/>
  <c r="O281" i="1"/>
  <c r="O339" i="1" s="1"/>
  <c r="O118" i="1"/>
  <c r="O789" i="1"/>
  <c r="O357" i="1"/>
  <c r="O811" i="1"/>
  <c r="O86" i="1"/>
  <c r="O112" i="1"/>
  <c r="O85" i="1"/>
  <c r="CO3" i="1"/>
  <c r="CO2" i="1"/>
  <c r="CI53" i="1"/>
  <c r="CK711" i="1"/>
  <c r="CG699" i="1"/>
  <c r="M325" i="1"/>
  <c r="M81" i="1"/>
  <c r="M269" i="1"/>
  <c r="CD81" i="1"/>
  <c r="CD325" i="1"/>
  <c r="CD269" i="1"/>
  <c r="R1" i="1"/>
  <c r="Q2" i="1"/>
  <c r="R725" i="1" s="1"/>
  <c r="Q3" i="1"/>
  <c r="CF352" i="1"/>
  <c r="CF354" i="1"/>
  <c r="CF296" i="1" s="1"/>
  <c r="CG467" i="1"/>
  <c r="CG364" i="1"/>
  <c r="CG306" i="1" s="1"/>
  <c r="CG76" i="1" s="1"/>
  <c r="CG359" i="1"/>
  <c r="CG301" i="1" s="1"/>
  <c r="CG74" i="1" s="1"/>
  <c r="CH704" i="1"/>
  <c r="N281" i="1"/>
  <c r="N350" i="1"/>
  <c r="CH350" i="1" s="1"/>
  <c r="N785" i="1"/>
  <c r="N841" i="1" s="1"/>
  <c r="N788" i="1"/>
  <c r="N810" i="1"/>
  <c r="N809" i="1"/>
  <c r="N87" i="1"/>
  <c r="N376" i="1"/>
  <c r="N113" i="1"/>
  <c r="CH128" i="1"/>
  <c r="CH265" i="1"/>
  <c r="CH88" i="1" s="1"/>
  <c r="CH253" i="1"/>
  <c r="CH258" i="1" s="1"/>
  <c r="CH254" i="1"/>
  <c r="CH259" i="1" s="1"/>
  <c r="N306" i="1"/>
  <c r="N811" i="1"/>
  <c r="N85" i="1"/>
  <c r="N351" i="1"/>
  <c r="N362" i="1"/>
  <c r="N88" i="1"/>
  <c r="CH267" i="1"/>
  <c r="CH87" i="1" s="1"/>
  <c r="CH266" i="1"/>
  <c r="CH703" i="1"/>
  <c r="CH787" i="1" s="1"/>
  <c r="N783" i="1"/>
  <c r="N118" i="1"/>
  <c r="N782" i="1"/>
  <c r="CH696" i="1"/>
  <c r="O25" i="1"/>
  <c r="N301" i="1"/>
  <c r="N276" i="1"/>
  <c r="N357" i="1"/>
  <c r="N117" i="1"/>
  <c r="N344" i="1"/>
  <c r="N93" i="1"/>
  <c r="N89" i="1"/>
  <c r="N789" i="1"/>
  <c r="N808" i="1"/>
  <c r="N84" i="1"/>
  <c r="O23" i="1"/>
  <c r="O24" i="1"/>
  <c r="CH229" i="1"/>
  <c r="CH234" i="1" s="1"/>
  <c r="N296" i="1"/>
  <c r="N787" i="1"/>
  <c r="N110" i="1"/>
  <c r="N112" i="1"/>
  <c r="N369" i="1"/>
  <c r="O26" i="1"/>
  <c r="CH228" i="1"/>
  <c r="N790" i="1"/>
  <c r="N367" i="1"/>
  <c r="N86" i="1"/>
  <c r="CH227" i="1"/>
  <c r="CH232" i="1" s="1"/>
  <c r="CH252" i="1"/>
  <c r="CH257" i="1" s="1"/>
  <c r="N25" i="1"/>
  <c r="N26" i="1"/>
  <c r="N23" i="1"/>
  <c r="N24" i="1"/>
  <c r="CE377" i="1"/>
  <c r="CG469" i="1"/>
  <c r="CG811" i="1"/>
  <c r="CG89" i="1"/>
  <c r="CG112" i="1"/>
  <c r="CG808" i="1"/>
  <c r="CG809" i="1"/>
  <c r="CG117" i="1"/>
  <c r="CG810" i="1"/>
  <c r="CF373" i="1"/>
  <c r="CF315" i="1" s="1"/>
  <c r="CG379" i="1"/>
  <c r="CF380" i="1"/>
  <c r="M295" i="1"/>
  <c r="M353" i="1" s="1"/>
  <c r="CL709" i="1"/>
  <c r="CL713" i="1"/>
  <c r="CL708" i="1"/>
  <c r="CL710" i="1"/>
  <c r="CL706" i="1"/>
  <c r="CO553" i="1"/>
  <c r="CO141" i="1"/>
  <c r="CO143" i="1" s="1"/>
  <c r="CO652" i="1"/>
  <c r="CJ698" i="1"/>
  <c r="CJ789" i="1" s="1"/>
  <c r="CJ788" i="1"/>
  <c r="CJ783" i="1"/>
  <c r="CJ782" i="1"/>
  <c r="CJ702" i="1"/>
  <c r="CJ785" i="1" s="1"/>
  <c r="N216" i="1"/>
  <c r="CG158" i="1"/>
  <c r="M159" i="1"/>
  <c r="O53" i="1"/>
  <c r="CJ732" i="1"/>
  <c r="CJ729" i="1"/>
  <c r="CJ758" i="1" s="1"/>
  <c r="CJ730" i="1"/>
  <c r="CJ740" i="1"/>
  <c r="CJ766" i="1" s="1"/>
  <c r="CJ734" i="1"/>
  <c r="CJ761" i="1" s="1"/>
  <c r="CJ728" i="1"/>
  <c r="CJ757" i="1" s="1"/>
  <c r="CJ738" i="1"/>
  <c r="AN3" i="24" l="1"/>
  <c r="CT1" i="1"/>
  <c r="AO2" i="24"/>
  <c r="DG707" i="1"/>
  <c r="BN707" i="1"/>
  <c r="CH367" i="1"/>
  <c r="DC575" i="1"/>
  <c r="BF575" i="1"/>
  <c r="BG575" i="1" s="1"/>
  <c r="DC573" i="1"/>
  <c r="BF573" i="1"/>
  <c r="BG573" i="1" s="1"/>
  <c r="DC577" i="1"/>
  <c r="BF577" i="1"/>
  <c r="BG577" i="1" s="1"/>
  <c r="DB583" i="1"/>
  <c r="BD583" i="1"/>
  <c r="BE583" i="1" s="1"/>
  <c r="DB574" i="1"/>
  <c r="BD574" i="1"/>
  <c r="BE574" i="1" s="1"/>
  <c r="DB606" i="1"/>
  <c r="BD606" i="1"/>
  <c r="BE606" i="1" s="1"/>
  <c r="DA600" i="1"/>
  <c r="BB600" i="1"/>
  <c r="BC600" i="1" s="1"/>
  <c r="DA566" i="1"/>
  <c r="DB566" i="1"/>
  <c r="O372" i="1"/>
  <c r="CH376" i="1"/>
  <c r="CG374" i="1"/>
  <c r="CG316" i="1" s="1"/>
  <c r="CH23" i="1"/>
  <c r="N53" i="1"/>
  <c r="L159" i="1"/>
  <c r="L352" i="1"/>
  <c r="L295" i="1"/>
  <c r="L353" i="1" s="1"/>
  <c r="CG353" i="1" s="1"/>
  <c r="L325" i="1"/>
  <c r="L269" i="1"/>
  <c r="L81" i="1"/>
  <c r="J158" i="1"/>
  <c r="K159" i="1"/>
  <c r="L216" i="1"/>
  <c r="CF158" i="1"/>
  <c r="CG216" i="1" s="1"/>
  <c r="L79" i="1"/>
  <c r="L375" i="1"/>
  <c r="L377" i="1" s="1"/>
  <c r="CH344" i="1"/>
  <c r="CX555" i="1"/>
  <c r="CT536" i="1"/>
  <c r="CT762" i="1"/>
  <c r="CV588" i="1"/>
  <c r="CU522" i="1"/>
  <c r="CU142" i="1"/>
  <c r="CV571" i="1"/>
  <c r="O364" i="1"/>
  <c r="O363" i="1" s="1"/>
  <c r="O305" i="1" s="1"/>
  <c r="O321" i="1"/>
  <c r="CH351" i="1"/>
  <c r="CG349" i="1"/>
  <c r="CG291" i="1"/>
  <c r="CG294" i="1" s="1"/>
  <c r="O316" i="1"/>
  <c r="M375" i="1"/>
  <c r="M377" i="1" s="1"/>
  <c r="M380" i="1"/>
  <c r="O74" i="1"/>
  <c r="O368" i="1"/>
  <c r="O75" i="1"/>
  <c r="O334" i="1"/>
  <c r="O358" i="1"/>
  <c r="O300" i="1" s="1"/>
  <c r="O73" i="1" s="1"/>
  <c r="CH362" i="1"/>
  <c r="CH304" i="1" s="1"/>
  <c r="CH357" i="1"/>
  <c r="CH299" i="1" s="1"/>
  <c r="CH72" i="1" s="1"/>
  <c r="O291" i="1"/>
  <c r="O294" i="1" s="1"/>
  <c r="CP3" i="1"/>
  <c r="CP2" i="1"/>
  <c r="CH26" i="1"/>
  <c r="CH25" i="1"/>
  <c r="CH24" i="1"/>
  <c r="N372" i="1"/>
  <c r="CE319" i="1"/>
  <c r="CE322" i="1" s="1"/>
  <c r="CE323" i="1" s="1"/>
  <c r="CE391" i="1"/>
  <c r="N359" i="1"/>
  <c r="N316" i="1"/>
  <c r="N74" i="1"/>
  <c r="CH85" i="1"/>
  <c r="CH260" i="1"/>
  <c r="CH261" i="1" s="1"/>
  <c r="N339" i="1"/>
  <c r="CH339" i="1" s="1"/>
  <c r="CH281" i="1" s="1"/>
  <c r="CH75" i="1" s="1"/>
  <c r="N75" i="1"/>
  <c r="CG363" i="1"/>
  <c r="CG305" i="1" s="1"/>
  <c r="CF321" i="1"/>
  <c r="CF295" i="1"/>
  <c r="P5" i="1"/>
  <c r="R3" i="1"/>
  <c r="R2" i="1"/>
  <c r="S725" i="1" s="1"/>
  <c r="S1" i="1"/>
  <c r="M354" i="1"/>
  <c r="CH77" i="1"/>
  <c r="CF375" i="1"/>
  <c r="CF317" i="1" s="1"/>
  <c r="CF79" i="1" s="1"/>
  <c r="O322" i="1"/>
  <c r="CH369" i="1"/>
  <c r="CH78" i="1" s="1"/>
  <c r="N368" i="1"/>
  <c r="N321" i="1"/>
  <c r="N379" i="1"/>
  <c r="N334" i="1"/>
  <c r="N291" i="1"/>
  <c r="N71" i="1"/>
  <c r="CH237" i="1"/>
  <c r="CH233" i="1"/>
  <c r="CH111" i="1"/>
  <c r="CH109" i="1"/>
  <c r="N76" i="1"/>
  <c r="N364" i="1"/>
  <c r="CH741" i="1"/>
  <c r="CH767" i="1" s="1"/>
  <c r="CH737" i="1"/>
  <c r="CH763" i="1" s="1"/>
  <c r="CH131" i="1"/>
  <c r="CG358" i="1"/>
  <c r="CG300" i="1" s="1"/>
  <c r="CG73" i="1" s="1"/>
  <c r="CG468" i="1"/>
  <c r="CG110" i="1" s="1"/>
  <c r="Q5" i="1"/>
  <c r="CH216" i="1"/>
  <c r="CL677" i="1"/>
  <c r="CL678" i="1"/>
  <c r="CL680" i="1"/>
  <c r="W711" i="1"/>
  <c r="CL681" i="1"/>
  <c r="CL679" i="1"/>
  <c r="CL712" i="1"/>
  <c r="V711" i="1"/>
  <c r="CO633" i="1"/>
  <c r="CO635" i="1" s="1"/>
  <c r="CO554" i="1"/>
  <c r="CK257" i="1"/>
  <c r="CK212" i="1"/>
  <c r="CK109" i="1"/>
  <c r="CK258" i="1"/>
  <c r="CK85" i="1"/>
  <c r="M216" i="1"/>
  <c r="CJ840" i="1"/>
  <c r="CJ764" i="1"/>
  <c r="CJ838" i="1"/>
  <c r="CJ841" i="1" s="1"/>
  <c r="CJ759" i="1"/>
  <c r="CJ731" i="1"/>
  <c r="CJ733" i="1"/>
  <c r="CJ760" i="1"/>
  <c r="CG159" i="1"/>
  <c r="N217" i="1"/>
  <c r="CU1" i="1" l="1"/>
  <c r="AP2" i="24"/>
  <c r="CT3" i="1"/>
  <c r="CT2" i="1"/>
  <c r="BO707" i="1"/>
  <c r="BP707" i="1" s="1"/>
  <c r="DD573" i="1"/>
  <c r="BH573" i="1"/>
  <c r="BI573" i="1" s="1"/>
  <c r="DD577" i="1"/>
  <c r="BH577" i="1"/>
  <c r="BI577" i="1" s="1"/>
  <c r="DD575" i="1"/>
  <c r="BH575" i="1"/>
  <c r="BI575" i="1" s="1"/>
  <c r="DC606" i="1"/>
  <c r="BF606" i="1"/>
  <c r="BG606" i="1" s="1"/>
  <c r="DC583" i="1"/>
  <c r="BF583" i="1"/>
  <c r="BG583" i="1" s="1"/>
  <c r="DC574" i="1"/>
  <c r="BF574" i="1"/>
  <c r="BG574" i="1" s="1"/>
  <c r="DB600" i="1"/>
  <c r="BD600" i="1"/>
  <c r="BE600" i="1" s="1"/>
  <c r="M391" i="1"/>
  <c r="CH318" i="1"/>
  <c r="CH80" i="1" s="1"/>
  <c r="CH372" i="1"/>
  <c r="CH314" i="1" s="1"/>
  <c r="CL711" i="1"/>
  <c r="O315" i="1"/>
  <c r="O373" i="1" s="1"/>
  <c r="L217" i="1"/>
  <c r="CF159" i="1"/>
  <c r="CG53" i="1" s="1"/>
  <c r="L354" i="1"/>
  <c r="L391" i="1" s="1"/>
  <c r="J159" i="1"/>
  <c r="K216" i="1"/>
  <c r="I158" i="1"/>
  <c r="L53" i="1"/>
  <c r="CX540" i="1"/>
  <c r="CX565" i="1"/>
  <c r="CY555" i="1"/>
  <c r="O374" i="1"/>
  <c r="O323" i="1"/>
  <c r="O269" i="1" s="1"/>
  <c r="CV499" i="1"/>
  <c r="CW539" i="1"/>
  <c r="O317" i="1"/>
  <c r="O79" i="1" s="1"/>
  <c r="CH368" i="1"/>
  <c r="CH334" i="1"/>
  <c r="CH276" i="1" s="1"/>
  <c r="CH71" i="1" s="1"/>
  <c r="O349" i="1"/>
  <c r="O352" i="1" s="1"/>
  <c r="CG373" i="1"/>
  <c r="CG315" i="1" s="1"/>
  <c r="N363" i="1"/>
  <c r="CH364" i="1"/>
  <c r="CH306" i="1" s="1"/>
  <c r="CH76" i="1" s="1"/>
  <c r="CH467" i="1"/>
  <c r="N109" i="1"/>
  <c r="CH118" i="1"/>
  <c r="CH86" i="1"/>
  <c r="CH113" i="1"/>
  <c r="CH84" i="1"/>
  <c r="CG352" i="1"/>
  <c r="CG380" i="1"/>
  <c r="CF377" i="1"/>
  <c r="S2" i="1"/>
  <c r="T725" i="1" s="1"/>
  <c r="T1" i="1"/>
  <c r="S3" i="1"/>
  <c r="O295" i="1"/>
  <c r="O353" i="1" s="1"/>
  <c r="CH359" i="1"/>
  <c r="CH301" i="1" s="1"/>
  <c r="CH74" i="1" s="1"/>
  <c r="N358" i="1"/>
  <c r="CE325" i="1"/>
  <c r="CE269" i="1"/>
  <c r="CE81" i="1"/>
  <c r="CH699" i="1"/>
  <c r="Q281" i="1"/>
  <c r="Q88" i="1"/>
  <c r="Q89" i="1"/>
  <c r="Q97" i="1"/>
  <c r="Q110" i="1"/>
  <c r="Q808" i="1"/>
  <c r="Q351" i="1"/>
  <c r="Q86" i="1"/>
  <c r="Q791" i="1"/>
  <c r="Q785" i="1"/>
  <c r="Q841" i="1" s="1"/>
  <c r="Q306" i="1"/>
  <c r="Q296" i="1"/>
  <c r="Q357" i="1"/>
  <c r="Q809" i="1"/>
  <c r="Q344" i="1"/>
  <c r="Q93" i="1"/>
  <c r="Q87" i="1"/>
  <c r="Q84" i="1"/>
  <c r="Q376" i="1"/>
  <c r="Q789" i="1"/>
  <c r="Q301" i="1"/>
  <c r="Q810" i="1"/>
  <c r="Q85" i="1"/>
  <c r="Q787" i="1"/>
  <c r="Q782" i="1"/>
  <c r="Q117" i="1"/>
  <c r="Q111" i="1"/>
  <c r="Q109" i="1"/>
  <c r="Q112" i="1"/>
  <c r="Q367" i="1"/>
  <c r="Q783" i="1"/>
  <c r="Q788" i="1"/>
  <c r="Q811" i="1"/>
  <c r="Q350" i="1"/>
  <c r="Q369" i="1"/>
  <c r="Q362" i="1"/>
  <c r="Q118" i="1"/>
  <c r="Q276" i="1"/>
  <c r="Q790" i="1"/>
  <c r="Q113" i="1"/>
  <c r="CH469" i="1"/>
  <c r="N111" i="1"/>
  <c r="CH238" i="1"/>
  <c r="CH808" i="1"/>
  <c r="CH810" i="1"/>
  <c r="CH112" i="1"/>
  <c r="CH811" i="1"/>
  <c r="CH809" i="1"/>
  <c r="CH117" i="1"/>
  <c r="CH89" i="1"/>
  <c r="N294" i="1"/>
  <c r="N349" i="1"/>
  <c r="CH379" i="1"/>
  <c r="N319" i="1"/>
  <c r="CI704" i="1"/>
  <c r="P306" i="1"/>
  <c r="P296" i="1"/>
  <c r="CI266" i="1"/>
  <c r="P787" i="1"/>
  <c r="CI696" i="1"/>
  <c r="P112" i="1"/>
  <c r="P109" i="1"/>
  <c r="CI229" i="1"/>
  <c r="CI234" i="1" s="1"/>
  <c r="P808" i="1"/>
  <c r="CI228" i="1"/>
  <c r="P281" i="1"/>
  <c r="Q25" i="1"/>
  <c r="P791" i="1"/>
  <c r="P88" i="1"/>
  <c r="P782" i="1"/>
  <c r="P344" i="1"/>
  <c r="P110" i="1"/>
  <c r="Q24" i="1"/>
  <c r="P97" i="1"/>
  <c r="P785" i="1"/>
  <c r="P841" i="1" s="1"/>
  <c r="P87" i="1"/>
  <c r="P788" i="1"/>
  <c r="P84" i="1"/>
  <c r="P85" i="1"/>
  <c r="Q26" i="1"/>
  <c r="P367" i="1"/>
  <c r="CI254" i="1"/>
  <c r="CI259" i="1" s="1"/>
  <c r="P118" i="1"/>
  <c r="P89" i="1"/>
  <c r="Q23" i="1"/>
  <c r="CI227" i="1"/>
  <c r="CI232" i="1" s="1"/>
  <c r="CI109" i="1" s="1"/>
  <c r="CI253" i="1"/>
  <c r="CI258" i="1" s="1"/>
  <c r="P111" i="1"/>
  <c r="P357" i="1"/>
  <c r="CI267" i="1"/>
  <c r="CI87" i="1" s="1"/>
  <c r="CI703" i="1"/>
  <c r="CI787" i="1" s="1"/>
  <c r="P350" i="1"/>
  <c r="P86" i="1"/>
  <c r="P811" i="1"/>
  <c r="P789" i="1"/>
  <c r="P93" i="1"/>
  <c r="P113" i="1"/>
  <c r="P362" i="1"/>
  <c r="CI252" i="1"/>
  <c r="CI257" i="1" s="1"/>
  <c r="P369" i="1"/>
  <c r="P376" i="1"/>
  <c r="P301" i="1"/>
  <c r="P809" i="1"/>
  <c r="P790" i="1"/>
  <c r="P276" i="1"/>
  <c r="P351" i="1"/>
  <c r="P810" i="1"/>
  <c r="CI128" i="1"/>
  <c r="P783" i="1"/>
  <c r="P117" i="1"/>
  <c r="CI265" i="1"/>
  <c r="CI88" i="1" s="1"/>
  <c r="P23" i="1"/>
  <c r="P26" i="1"/>
  <c r="P25" i="1"/>
  <c r="P24" i="1"/>
  <c r="N374" i="1"/>
  <c r="CH217" i="1"/>
  <c r="CM713" i="1"/>
  <c r="CM708" i="1"/>
  <c r="CM710" i="1"/>
  <c r="CM709" i="1"/>
  <c r="CM706" i="1"/>
  <c r="CK702" i="1"/>
  <c r="CK785" i="1" s="1"/>
  <c r="CK783" i="1"/>
  <c r="CK782" i="1"/>
  <c r="CK698" i="1"/>
  <c r="CK789" i="1" s="1"/>
  <c r="CK788" i="1"/>
  <c r="CH53" i="1"/>
  <c r="CK699" i="1"/>
  <c r="M217" i="1"/>
  <c r="M53" i="1"/>
  <c r="CK738" i="1"/>
  <c r="CK728" i="1"/>
  <c r="CK757" i="1" s="1"/>
  <c r="CK734" i="1"/>
  <c r="CK761" i="1" s="1"/>
  <c r="CK740" i="1"/>
  <c r="CK766" i="1" s="1"/>
  <c r="CK730" i="1"/>
  <c r="CK729" i="1"/>
  <c r="CK758" i="1" s="1"/>
  <c r="CK732" i="1"/>
  <c r="AP3" i="24" l="1"/>
  <c r="CV1" i="1"/>
  <c r="AQ2" i="24"/>
  <c r="BQ707" i="1"/>
  <c r="DI707" i="1" s="1"/>
  <c r="DH707" i="1"/>
  <c r="DE577" i="1"/>
  <c r="BJ577" i="1"/>
  <c r="DE575" i="1"/>
  <c r="BJ575" i="1"/>
  <c r="DE573" i="1"/>
  <c r="BJ573" i="1"/>
  <c r="CU536" i="1"/>
  <c r="CU623" i="1" s="1"/>
  <c r="DD606" i="1"/>
  <c r="BH606" i="1"/>
  <c r="BI606" i="1" s="1"/>
  <c r="DD583" i="1"/>
  <c r="BH583" i="1"/>
  <c r="BI583" i="1" s="1"/>
  <c r="DD574" i="1"/>
  <c r="BH574" i="1"/>
  <c r="BI574" i="1" s="1"/>
  <c r="DC600" i="1"/>
  <c r="BF600" i="1"/>
  <c r="BG600" i="1" s="1"/>
  <c r="CG217" i="1"/>
  <c r="O380" i="1"/>
  <c r="CZ555" i="1"/>
  <c r="O375" i="1"/>
  <c r="O377" i="1" s="1"/>
  <c r="CY540" i="1"/>
  <c r="AY540" i="1"/>
  <c r="CH374" i="1"/>
  <c r="CH316" i="1" s="1"/>
  <c r="CG354" i="1"/>
  <c r="CG296" i="1" s="1"/>
  <c r="CG295" i="1" s="1"/>
  <c r="H158" i="1"/>
  <c r="I159" i="1"/>
  <c r="J53" i="1" s="1"/>
  <c r="J216" i="1"/>
  <c r="CE158" i="1"/>
  <c r="K217" i="1"/>
  <c r="K53" i="1"/>
  <c r="O81" i="1"/>
  <c r="CI26" i="1"/>
  <c r="CI367" i="1"/>
  <c r="O325" i="1"/>
  <c r="CV522" i="1"/>
  <c r="CW588" i="1"/>
  <c r="CW571" i="1"/>
  <c r="CH291" i="1"/>
  <c r="CH294" i="1" s="1"/>
  <c r="CH349" i="1"/>
  <c r="S5" i="1"/>
  <c r="S306" i="1" s="1"/>
  <c r="CI362" i="1"/>
  <c r="CI304" i="1" s="1"/>
  <c r="CI25" i="1"/>
  <c r="CI357" i="1"/>
  <c r="CI299" i="1" s="1"/>
  <c r="CI72" i="1" s="1"/>
  <c r="CI344" i="1"/>
  <c r="CI77" i="1" s="1"/>
  <c r="Q372" i="1"/>
  <c r="CI24" i="1"/>
  <c r="CI351" i="1"/>
  <c r="CI376" i="1"/>
  <c r="CI350" i="1"/>
  <c r="P372" i="1"/>
  <c r="Q368" i="1"/>
  <c r="CI741" i="1"/>
  <c r="CI767" i="1" s="1"/>
  <c r="CI737" i="1"/>
  <c r="CI763" i="1" s="1"/>
  <c r="CI131" i="1"/>
  <c r="P339" i="1"/>
  <c r="P75" i="1"/>
  <c r="P76" i="1"/>
  <c r="P364" i="1"/>
  <c r="N322" i="1"/>
  <c r="N323" i="1" s="1"/>
  <c r="N317" i="1"/>
  <c r="Q316" i="1"/>
  <c r="Q359" i="1"/>
  <c r="Q358" i="1" s="1"/>
  <c r="Q300" i="1" s="1"/>
  <c r="Q74" i="1"/>
  <c r="Q76" i="1"/>
  <c r="Q364" i="1"/>
  <c r="Q363" i="1" s="1"/>
  <c r="Q305" i="1" s="1"/>
  <c r="Q75" i="1"/>
  <c r="Q339" i="1"/>
  <c r="CH358" i="1"/>
  <c r="CH300" i="1" s="1"/>
  <c r="CH73" i="1" s="1"/>
  <c r="N300" i="1"/>
  <c r="P71" i="1"/>
  <c r="P334" i="1"/>
  <c r="P291" i="1"/>
  <c r="CI111" i="1"/>
  <c r="CI233" i="1"/>
  <c r="CI237" i="1"/>
  <c r="P316" i="1"/>
  <c r="P74" i="1"/>
  <c r="P359" i="1"/>
  <c r="CI369" i="1"/>
  <c r="CI78" i="1" s="1"/>
  <c r="P368" i="1"/>
  <c r="CI260" i="1"/>
  <c r="CI261" i="1" s="1"/>
  <c r="CI85" i="1"/>
  <c r="P321" i="1"/>
  <c r="P379" i="1"/>
  <c r="N352" i="1"/>
  <c r="N295" i="1"/>
  <c r="N353" i="1" s="1"/>
  <c r="CH353" i="1" s="1"/>
  <c r="Q291" i="1"/>
  <c r="Q71" i="1"/>
  <c r="Q334" i="1"/>
  <c r="Q379" i="1"/>
  <c r="Q319" i="1" s="1"/>
  <c r="Q321" i="1"/>
  <c r="T2" i="1"/>
  <c r="U725" i="1" s="1"/>
  <c r="U1" i="1"/>
  <c r="T3" i="1"/>
  <c r="CG375" i="1"/>
  <c r="CG317" i="1" s="1"/>
  <c r="CG79" i="1" s="1"/>
  <c r="CH363" i="1"/>
  <c r="CH305" i="1" s="1"/>
  <c r="N305" i="1"/>
  <c r="CI23" i="1"/>
  <c r="O354" i="1"/>
  <c r="CH468" i="1"/>
  <c r="CH110" i="1" s="1"/>
  <c r="R5" i="1"/>
  <c r="CF319" i="1"/>
  <c r="CF322" i="1" s="1"/>
  <c r="CF323" i="1" s="1"/>
  <c r="CF391" i="1"/>
  <c r="CM681" i="1"/>
  <c r="CM677" i="1"/>
  <c r="CM678" i="1"/>
  <c r="CM680" i="1"/>
  <c r="Y711" i="1"/>
  <c r="CM679" i="1"/>
  <c r="CM712" i="1"/>
  <c r="X711" i="1"/>
  <c r="CK764" i="1"/>
  <c r="CK840" i="1"/>
  <c r="CK733" i="1"/>
  <c r="CK760" i="1"/>
  <c r="CK731" i="1"/>
  <c r="CK838" i="1"/>
  <c r="CK841" i="1" s="1"/>
  <c r="CK759" i="1"/>
  <c r="CW1" i="1" l="1"/>
  <c r="AR2" i="24"/>
  <c r="CV2" i="1"/>
  <c r="CV3" i="1"/>
  <c r="BK575" i="1"/>
  <c r="DE583" i="1"/>
  <c r="BJ583" i="1"/>
  <c r="BK573" i="1"/>
  <c r="BK577" i="1"/>
  <c r="DE574" i="1"/>
  <c r="BJ574" i="1"/>
  <c r="DE606" i="1"/>
  <c r="BJ606" i="1"/>
  <c r="DD600" i="1"/>
  <c r="BH600" i="1"/>
  <c r="BI600" i="1" s="1"/>
  <c r="CS2" i="1"/>
  <c r="CS3" i="1"/>
  <c r="BA555" i="1"/>
  <c r="CZ540" i="1"/>
  <c r="BA540" i="1"/>
  <c r="O391" i="1"/>
  <c r="CG321" i="1"/>
  <c r="CF216" i="1"/>
  <c r="J217" i="1"/>
  <c r="CF217" i="1" s="1"/>
  <c r="CE159" i="1"/>
  <c r="H159" i="1"/>
  <c r="I217" i="1" s="1"/>
  <c r="I216" i="1"/>
  <c r="G158" i="1"/>
  <c r="CY565" i="1"/>
  <c r="CV142" i="1"/>
  <c r="S350" i="1"/>
  <c r="CV536" i="1"/>
  <c r="CV623" i="1" s="1"/>
  <c r="CW499" i="1"/>
  <c r="S785" i="1"/>
  <c r="S841" i="1" s="1"/>
  <c r="S109" i="1"/>
  <c r="S296" i="1"/>
  <c r="S321" i="1" s="1"/>
  <c r="S808" i="1"/>
  <c r="CI368" i="1"/>
  <c r="S811" i="1"/>
  <c r="S118" i="1"/>
  <c r="S87" i="1"/>
  <c r="S84" i="1"/>
  <c r="S351" i="1"/>
  <c r="S789" i="1"/>
  <c r="S810" i="1"/>
  <c r="S281" i="1"/>
  <c r="S75" i="1" s="1"/>
  <c r="S112" i="1"/>
  <c r="S89" i="1"/>
  <c r="S357" i="1"/>
  <c r="S88" i="1"/>
  <c r="S369" i="1"/>
  <c r="S788" i="1"/>
  <c r="S113" i="1"/>
  <c r="S117" i="1"/>
  <c r="S791" i="1"/>
  <c r="S787" i="1"/>
  <c r="S93" i="1"/>
  <c r="S376" i="1"/>
  <c r="S783" i="1"/>
  <c r="S344" i="1"/>
  <c r="S85" i="1"/>
  <c r="S367" i="1"/>
  <c r="S276" i="1"/>
  <c r="S71" i="1" s="1"/>
  <c r="S782" i="1"/>
  <c r="S97" i="1"/>
  <c r="S86" i="1"/>
  <c r="S809" i="1"/>
  <c r="S362" i="1"/>
  <c r="S111" i="1"/>
  <c r="S790" i="1"/>
  <c r="S301" i="1"/>
  <c r="S74" i="1" s="1"/>
  <c r="S110" i="1"/>
  <c r="CI699" i="1"/>
  <c r="CI318" i="1"/>
  <c r="CI80" i="1" s="1"/>
  <c r="CI372" i="1"/>
  <c r="CI314" i="1" s="1"/>
  <c r="CI339" i="1"/>
  <c r="CI281" i="1" s="1"/>
  <c r="CI75" i="1" s="1"/>
  <c r="CF269" i="1"/>
  <c r="CF81" i="1"/>
  <c r="CF325" i="1"/>
  <c r="Q322" i="1"/>
  <c r="Q323" i="1" s="1"/>
  <c r="Q317" i="1"/>
  <c r="Q380" i="1" s="1"/>
  <c r="CI379" i="1"/>
  <c r="P319" i="1"/>
  <c r="P358" i="1"/>
  <c r="CI359" i="1"/>
  <c r="CI301" i="1" s="1"/>
  <c r="CI74" i="1" s="1"/>
  <c r="P374" i="1"/>
  <c r="CI86" i="1"/>
  <c r="CI84" i="1"/>
  <c r="CI113" i="1"/>
  <c r="CI118" i="1"/>
  <c r="P294" i="1"/>
  <c r="P349" i="1"/>
  <c r="Q73" i="1"/>
  <c r="Q315" i="1"/>
  <c r="Q373" i="1" s="1"/>
  <c r="N81" i="1"/>
  <c r="N325" i="1"/>
  <c r="N269" i="1"/>
  <c r="S364" i="1"/>
  <c r="S76" i="1"/>
  <c r="R351" i="1"/>
  <c r="R811" i="1"/>
  <c r="R88" i="1"/>
  <c r="R785" i="1"/>
  <c r="R841" i="1" s="1"/>
  <c r="R97" i="1"/>
  <c r="R344" i="1"/>
  <c r="R296" i="1"/>
  <c r="CJ229" i="1"/>
  <c r="CJ234" i="1" s="1"/>
  <c r="CJ228" i="1"/>
  <c r="CJ266" i="1"/>
  <c r="CJ252" i="1"/>
  <c r="CJ257" i="1" s="1"/>
  <c r="R788" i="1"/>
  <c r="R789" i="1"/>
  <c r="R112" i="1"/>
  <c r="R369" i="1"/>
  <c r="R110" i="1"/>
  <c r="R89" i="1"/>
  <c r="R117" i="1"/>
  <c r="R111" i="1"/>
  <c r="R281" i="1"/>
  <c r="S24" i="1"/>
  <c r="CJ703" i="1"/>
  <c r="CJ787" i="1" s="1"/>
  <c r="R357" i="1"/>
  <c r="S25" i="1"/>
  <c r="R362" i="1"/>
  <c r="R84" i="1"/>
  <c r="R783" i="1"/>
  <c r="CJ704" i="1"/>
  <c r="R276" i="1"/>
  <c r="R87" i="1"/>
  <c r="R791" i="1"/>
  <c r="R118" i="1"/>
  <c r="R809" i="1"/>
  <c r="R350" i="1"/>
  <c r="R109" i="1"/>
  <c r="S26" i="1"/>
  <c r="CJ254" i="1"/>
  <c r="CJ259" i="1" s="1"/>
  <c r="R301" i="1"/>
  <c r="CJ128" i="1"/>
  <c r="S23" i="1"/>
  <c r="R86" i="1"/>
  <c r="R376" i="1"/>
  <c r="R782" i="1"/>
  <c r="R93" i="1"/>
  <c r="R810" i="1"/>
  <c r="R113" i="1"/>
  <c r="R790" i="1"/>
  <c r="R367" i="1"/>
  <c r="R808" i="1"/>
  <c r="R306" i="1"/>
  <c r="CJ696" i="1"/>
  <c r="CJ253" i="1"/>
  <c r="CJ258" i="1" s="1"/>
  <c r="CJ265" i="1"/>
  <c r="CJ88" i="1" s="1"/>
  <c r="CJ267" i="1"/>
  <c r="CJ87" i="1" s="1"/>
  <c r="CJ227" i="1"/>
  <c r="CJ232" i="1" s="1"/>
  <c r="CJ109" i="1" s="1"/>
  <c r="R85" i="1"/>
  <c r="R787" i="1"/>
  <c r="R26" i="1"/>
  <c r="R23" i="1"/>
  <c r="R25" i="1"/>
  <c r="R24" i="1"/>
  <c r="CG377" i="1"/>
  <c r="U3" i="1"/>
  <c r="U2" i="1"/>
  <c r="V725" i="1" s="1"/>
  <c r="V1" i="1"/>
  <c r="Q294" i="1"/>
  <c r="Q349" i="1"/>
  <c r="CH352" i="1"/>
  <c r="N354" i="1"/>
  <c r="CH354" i="1" s="1"/>
  <c r="CH296" i="1" s="1"/>
  <c r="CI238" i="1"/>
  <c r="CI808" i="1"/>
  <c r="CI810" i="1"/>
  <c r="CI110" i="1"/>
  <c r="CI89" i="1"/>
  <c r="CI809" i="1"/>
  <c r="CI811" i="1"/>
  <c r="CI112" i="1"/>
  <c r="CI117" i="1"/>
  <c r="CI334" i="1"/>
  <c r="CI276" i="1" s="1"/>
  <c r="N315" i="1"/>
  <c r="N373" i="1" s="1"/>
  <c r="CH373" i="1" s="1"/>
  <c r="CH315" i="1" s="1"/>
  <c r="N73" i="1"/>
  <c r="Q374" i="1"/>
  <c r="N79" i="1"/>
  <c r="N375" i="1"/>
  <c r="N380" i="1"/>
  <c r="CH380" i="1" s="1"/>
  <c r="P363" i="1"/>
  <c r="CI364" i="1"/>
  <c r="CI306" i="1" s="1"/>
  <c r="CI76" i="1" s="1"/>
  <c r="CP535" i="1"/>
  <c r="CM711" i="1"/>
  <c r="Z711" i="1"/>
  <c r="CL738" i="1"/>
  <c r="CL730" i="1"/>
  <c r="CL728" i="1"/>
  <c r="CL757" i="1" s="1"/>
  <c r="CL734" i="1"/>
  <c r="CL761" i="1" s="1"/>
  <c r="CL783" i="1"/>
  <c r="CL702" i="1"/>
  <c r="CL785" i="1" s="1"/>
  <c r="CL782" i="1"/>
  <c r="CL212" i="1"/>
  <c r="CL788" i="1"/>
  <c r="CL698" i="1"/>
  <c r="CL789" i="1" s="1"/>
  <c r="CL732" i="1"/>
  <c r="CL729" i="1"/>
  <c r="CL758" i="1" s="1"/>
  <c r="AO3" i="24" l="1"/>
  <c r="AR3" i="24"/>
  <c r="CX1" i="1"/>
  <c r="AS2" i="24"/>
  <c r="CW2" i="1"/>
  <c r="CW3" i="1"/>
  <c r="DF573" i="1"/>
  <c r="BL573" i="1"/>
  <c r="BM573" i="1" s="1"/>
  <c r="DF577" i="1"/>
  <c r="BL577" i="1"/>
  <c r="BM577" i="1" s="1"/>
  <c r="DF575" i="1"/>
  <c r="BL575" i="1"/>
  <c r="BM575" i="1" s="1"/>
  <c r="CJ25" i="1"/>
  <c r="BK606" i="1"/>
  <c r="BK583" i="1"/>
  <c r="DE600" i="1"/>
  <c r="BJ600" i="1"/>
  <c r="BK574" i="1"/>
  <c r="BL574" i="1" s="1"/>
  <c r="BM574" i="1" s="1"/>
  <c r="CJ26" i="1"/>
  <c r="S316" i="1"/>
  <c r="DA540" i="1"/>
  <c r="BB540" i="1"/>
  <c r="DA555" i="1"/>
  <c r="BB555" i="1"/>
  <c r="CZ565" i="1"/>
  <c r="I53" i="1"/>
  <c r="F158" i="1"/>
  <c r="G159" i="1"/>
  <c r="H53" i="1" s="1"/>
  <c r="H216" i="1"/>
  <c r="CD158" i="1"/>
  <c r="CF53" i="1"/>
  <c r="BA682" i="1"/>
  <c r="BB682" i="1" s="1"/>
  <c r="BC682" i="1" s="1"/>
  <c r="BD682" i="1" s="1"/>
  <c r="BE682" i="1" s="1"/>
  <c r="BF682" i="1" s="1"/>
  <c r="BG682" i="1" s="1"/>
  <c r="BH682" i="1" s="1"/>
  <c r="BI682" i="1" s="1"/>
  <c r="BJ682" i="1" s="1"/>
  <c r="BK682" i="1" s="1"/>
  <c r="BL682" i="1" s="1"/>
  <c r="BM682" i="1" s="1"/>
  <c r="BN682" i="1" s="1"/>
  <c r="BO682" i="1" s="1"/>
  <c r="BP682" i="1" s="1"/>
  <c r="BQ682" i="1" s="1"/>
  <c r="S379" i="1"/>
  <c r="S319" i="1" s="1"/>
  <c r="CJ350" i="1"/>
  <c r="CU3" i="1"/>
  <c r="CU2" i="1"/>
  <c r="CX588" i="1"/>
  <c r="CX539" i="1"/>
  <c r="CW522" i="1"/>
  <c r="CJ351" i="1"/>
  <c r="S368" i="1"/>
  <c r="CJ357" i="1"/>
  <c r="CJ299" i="1" s="1"/>
  <c r="CJ72" i="1" s="1"/>
  <c r="S339" i="1"/>
  <c r="CJ367" i="1"/>
  <c r="CJ376" i="1"/>
  <c r="CJ344" i="1"/>
  <c r="CJ77" i="1" s="1"/>
  <c r="S372" i="1"/>
  <c r="S359" i="1"/>
  <c r="S358" i="1" s="1"/>
  <c r="S300" i="1" s="1"/>
  <c r="S73" i="1" s="1"/>
  <c r="S334" i="1"/>
  <c r="CJ362" i="1"/>
  <c r="CJ304" i="1" s="1"/>
  <c r="S363" i="1"/>
  <c r="S305" i="1" s="1"/>
  <c r="S291" i="1"/>
  <c r="S294" i="1" s="1"/>
  <c r="U5" i="1"/>
  <c r="U362" i="1" s="1"/>
  <c r="CJ24" i="1"/>
  <c r="CJ23" i="1"/>
  <c r="CI363" i="1"/>
  <c r="CI305" i="1" s="1"/>
  <c r="P305" i="1"/>
  <c r="CH375" i="1"/>
  <c r="CH317" i="1" s="1"/>
  <c r="CH79" i="1" s="1"/>
  <c r="N377" i="1"/>
  <c r="CI291" i="1"/>
  <c r="CI294" i="1" s="1"/>
  <c r="CI71" i="1"/>
  <c r="Q352" i="1"/>
  <c r="Q295" i="1"/>
  <c r="Q353" i="1" s="1"/>
  <c r="CG391" i="1"/>
  <c r="CG319" i="1"/>
  <c r="CG322" i="1" s="1"/>
  <c r="CG323" i="1" s="1"/>
  <c r="R76" i="1"/>
  <c r="R364" i="1"/>
  <c r="R74" i="1"/>
  <c r="R316" i="1"/>
  <c r="R359" i="1"/>
  <c r="CJ369" i="1"/>
  <c r="CJ78" i="1" s="1"/>
  <c r="R368" i="1"/>
  <c r="P352" i="1"/>
  <c r="P295" i="1"/>
  <c r="P353" i="1" s="1"/>
  <c r="CI358" i="1"/>
  <c r="CI300" i="1" s="1"/>
  <c r="CI73" i="1" s="1"/>
  <c r="P300" i="1"/>
  <c r="Q269" i="1"/>
  <c r="Q325" i="1"/>
  <c r="Q81" i="1"/>
  <c r="R372" i="1"/>
  <c r="CI374" i="1"/>
  <c r="CI316" i="1" s="1"/>
  <c r="CH321" i="1"/>
  <c r="CH295" i="1"/>
  <c r="W1" i="1"/>
  <c r="V3" i="1"/>
  <c r="V2" i="1"/>
  <c r="W725" i="1" s="1"/>
  <c r="T5" i="1"/>
  <c r="CJ737" i="1"/>
  <c r="CJ763" i="1" s="1"/>
  <c r="CJ741" i="1"/>
  <c r="CJ767" i="1" s="1"/>
  <c r="CJ131" i="1"/>
  <c r="CJ85" i="1"/>
  <c r="CJ260" i="1"/>
  <c r="CJ261" i="1" s="1"/>
  <c r="R71" i="1"/>
  <c r="R334" i="1"/>
  <c r="R291" i="1"/>
  <c r="CJ233" i="1"/>
  <c r="CJ111" i="1"/>
  <c r="CJ237" i="1"/>
  <c r="R75" i="1"/>
  <c r="R339" i="1"/>
  <c r="R321" i="1"/>
  <c r="R379" i="1"/>
  <c r="P317" i="1"/>
  <c r="P322" i="1"/>
  <c r="P323" i="1" s="1"/>
  <c r="Q375" i="1"/>
  <c r="Q377" i="1" s="1"/>
  <c r="Q79" i="1"/>
  <c r="CI349" i="1"/>
  <c r="CL258" i="1"/>
  <c r="CN677" i="1"/>
  <c r="CN681" i="1"/>
  <c r="CN678" i="1"/>
  <c r="CN680" i="1"/>
  <c r="CL257" i="1"/>
  <c r="CL111" i="1"/>
  <c r="CL764" i="1"/>
  <c r="CL840" i="1"/>
  <c r="CM85" i="1"/>
  <c r="CM212" i="1"/>
  <c r="CL760" i="1"/>
  <c r="CL733" i="1"/>
  <c r="CL759" i="1"/>
  <c r="CL731" i="1"/>
  <c r="CL838" i="1"/>
  <c r="CL841" i="1" s="1"/>
  <c r="AQ3" i="24" l="1"/>
  <c r="AS3" i="24"/>
  <c r="CY1" i="1"/>
  <c r="AT2" i="24"/>
  <c r="CX3" i="1"/>
  <c r="CX2" i="1"/>
  <c r="DG577" i="1"/>
  <c r="BN577" i="1"/>
  <c r="BO577" i="1" s="1"/>
  <c r="DG575" i="1"/>
  <c r="BN575" i="1"/>
  <c r="BO575" i="1" s="1"/>
  <c r="DG574" i="1"/>
  <c r="BN574" i="1"/>
  <c r="BO574" i="1" s="1"/>
  <c r="DG573" i="1"/>
  <c r="BN573" i="1"/>
  <c r="BO573" i="1" s="1"/>
  <c r="DF606" i="1"/>
  <c r="BL606" i="1"/>
  <c r="BM606" i="1" s="1"/>
  <c r="DF583" i="1"/>
  <c r="BL583" i="1"/>
  <c r="BM583" i="1" s="1"/>
  <c r="BK600" i="1"/>
  <c r="DF574" i="1"/>
  <c r="S317" i="1"/>
  <c r="S380" i="1" s="1"/>
  <c r="BC555" i="1"/>
  <c r="BC540" i="1"/>
  <c r="BA565" i="1"/>
  <c r="S322" i="1"/>
  <c r="S323" i="1" s="1"/>
  <c r="S325" i="1" s="1"/>
  <c r="AY539" i="1"/>
  <c r="U811" i="1"/>
  <c r="U118" i="1"/>
  <c r="CE216" i="1"/>
  <c r="H217" i="1"/>
  <c r="CE217" i="1" s="1"/>
  <c r="CD159" i="1"/>
  <c r="CE53" i="1" s="1"/>
  <c r="F159" i="1"/>
  <c r="G217" i="1" s="1"/>
  <c r="G216" i="1"/>
  <c r="E158" i="1"/>
  <c r="CX571" i="1"/>
  <c r="CY588" i="1"/>
  <c r="CY539" i="1"/>
  <c r="U788" i="1"/>
  <c r="U86" i="1"/>
  <c r="U785" i="1"/>
  <c r="U841" i="1" s="1"/>
  <c r="CJ372" i="1"/>
  <c r="CJ314" i="1" s="1"/>
  <c r="U351" i="1"/>
  <c r="U85" i="1"/>
  <c r="U286" i="1"/>
  <c r="U344" i="1" s="1"/>
  <c r="U787" i="1"/>
  <c r="U810" i="1"/>
  <c r="CW142" i="1"/>
  <c r="CW536" i="1"/>
  <c r="CW623" i="1" s="1"/>
  <c r="S315" i="1"/>
  <c r="S373" i="1" s="1"/>
  <c r="CJ339" i="1"/>
  <c r="CJ281" i="1" s="1"/>
  <c r="CJ75" i="1" s="1"/>
  <c r="CJ318" i="1"/>
  <c r="CJ80" i="1" s="1"/>
  <c r="S374" i="1"/>
  <c r="CJ368" i="1"/>
  <c r="CI353" i="1"/>
  <c r="S349" i="1"/>
  <c r="S352" i="1" s="1"/>
  <c r="U376" i="1"/>
  <c r="U809" i="1"/>
  <c r="U350" i="1"/>
  <c r="U89" i="1"/>
  <c r="U281" i="1"/>
  <c r="U339" i="1" s="1"/>
  <c r="U87" i="1"/>
  <c r="U111" i="1"/>
  <c r="U783" i="1"/>
  <c r="U357" i="1"/>
  <c r="U93" i="1"/>
  <c r="U112" i="1"/>
  <c r="U84" i="1"/>
  <c r="U110" i="1"/>
  <c r="U808" i="1"/>
  <c r="U790" i="1"/>
  <c r="U296" i="1"/>
  <c r="U321" i="1" s="1"/>
  <c r="U117" i="1"/>
  <c r="U109" i="1"/>
  <c r="U789" i="1"/>
  <c r="U276" i="1"/>
  <c r="U334" i="1" s="1"/>
  <c r="U113" i="1"/>
  <c r="U367" i="1"/>
  <c r="U97" i="1"/>
  <c r="U782" i="1"/>
  <c r="U791" i="1"/>
  <c r="U88" i="1"/>
  <c r="U301" i="1"/>
  <c r="U359" i="1" s="1"/>
  <c r="U306" i="1"/>
  <c r="U76" i="1" s="1"/>
  <c r="U311" i="1"/>
  <c r="U369" i="1" s="1"/>
  <c r="CJ699" i="1"/>
  <c r="W2" i="1"/>
  <c r="X725" i="1" s="1"/>
  <c r="W3" i="1"/>
  <c r="X1" i="1"/>
  <c r="P315" i="1"/>
  <c r="P373" i="1" s="1"/>
  <c r="CI373" i="1" s="1"/>
  <c r="CI315" i="1" s="1"/>
  <c r="P73" i="1"/>
  <c r="R358" i="1"/>
  <c r="CJ359" i="1"/>
  <c r="CJ301" i="1" s="1"/>
  <c r="CJ74" i="1" s="1"/>
  <c r="Q354" i="1"/>
  <c r="Q391" i="1" s="1"/>
  <c r="P81" i="1"/>
  <c r="P269" i="1"/>
  <c r="P325" i="1"/>
  <c r="S295" i="1"/>
  <c r="S353" i="1" s="1"/>
  <c r="CJ379" i="1"/>
  <c r="R319" i="1"/>
  <c r="CJ238" i="1"/>
  <c r="CJ112" i="1"/>
  <c r="CJ117" i="1"/>
  <c r="CJ809" i="1"/>
  <c r="CJ810" i="1"/>
  <c r="CJ89" i="1"/>
  <c r="CJ811" i="1"/>
  <c r="CJ808" i="1"/>
  <c r="CJ110" i="1"/>
  <c r="CJ113" i="1"/>
  <c r="CJ84" i="1"/>
  <c r="CJ118" i="1"/>
  <c r="CJ86" i="1"/>
  <c r="CJ334" i="1"/>
  <c r="CJ276" i="1" s="1"/>
  <c r="CK704" i="1"/>
  <c r="T110" i="1"/>
  <c r="T789" i="1"/>
  <c r="T86" i="1"/>
  <c r="T810" i="1"/>
  <c r="U24" i="1"/>
  <c r="T117" i="1"/>
  <c r="T782" i="1"/>
  <c r="U23" i="1"/>
  <c r="T311" i="1"/>
  <c r="T783" i="1"/>
  <c r="T113" i="1"/>
  <c r="T109" i="1"/>
  <c r="U25" i="1"/>
  <c r="T281" i="1"/>
  <c r="T111" i="1"/>
  <c r="T350" i="1"/>
  <c r="T351" i="1"/>
  <c r="T788" i="1"/>
  <c r="CK266" i="1"/>
  <c r="T306" i="1"/>
  <c r="T787" i="1"/>
  <c r="T118" i="1"/>
  <c r="T87" i="1"/>
  <c r="T362" i="1"/>
  <c r="CK362" i="1" s="1"/>
  <c r="CK304" i="1" s="1"/>
  <c r="T791" i="1"/>
  <c r="T89" i="1"/>
  <c r="CK128" i="1"/>
  <c r="T811" i="1"/>
  <c r="T97" i="1"/>
  <c r="T808" i="1"/>
  <c r="CK267" i="1"/>
  <c r="CK87" i="1" s="1"/>
  <c r="T276" i="1"/>
  <c r="T367" i="1"/>
  <c r="T357" i="1"/>
  <c r="T296" i="1"/>
  <c r="CK703" i="1"/>
  <c r="CK787" i="1" s="1"/>
  <c r="CK696" i="1"/>
  <c r="CK265" i="1"/>
  <c r="CK88" i="1" s="1"/>
  <c r="T84" i="1"/>
  <c r="T809" i="1"/>
  <c r="T785" i="1"/>
  <c r="T841" i="1" s="1"/>
  <c r="T301" i="1"/>
  <c r="T376" i="1"/>
  <c r="T790" i="1"/>
  <c r="T112" i="1"/>
  <c r="U26" i="1"/>
  <c r="T286" i="1"/>
  <c r="T93" i="1"/>
  <c r="T88" i="1"/>
  <c r="T85" i="1"/>
  <c r="T24" i="1"/>
  <c r="T26" i="1"/>
  <c r="T23" i="1"/>
  <c r="T25" i="1"/>
  <c r="P375" i="1"/>
  <c r="P79" i="1"/>
  <c r="P380" i="1"/>
  <c r="CI380" i="1" s="1"/>
  <c r="R349" i="1"/>
  <c r="R294" i="1"/>
  <c r="CI352" i="1"/>
  <c r="P354" i="1"/>
  <c r="R374" i="1"/>
  <c r="R363" i="1"/>
  <c r="CJ364" i="1"/>
  <c r="CJ306" i="1" s="1"/>
  <c r="CJ76" i="1" s="1"/>
  <c r="CG325" i="1"/>
  <c r="CG81" i="1"/>
  <c r="CG269" i="1"/>
  <c r="CH377" i="1"/>
  <c r="N391" i="1"/>
  <c r="CN706" i="1"/>
  <c r="CO681" i="1"/>
  <c r="CO680" i="1"/>
  <c r="CO678" i="1"/>
  <c r="CM729" i="1"/>
  <c r="CM758" i="1" s="1"/>
  <c r="CM732" i="1"/>
  <c r="CM698" i="1"/>
  <c r="CM789" i="1" s="1"/>
  <c r="CM788" i="1"/>
  <c r="CM702" i="1"/>
  <c r="CM785" i="1" s="1"/>
  <c r="CM783" i="1"/>
  <c r="CM782" i="1"/>
  <c r="CM730" i="1"/>
  <c r="CM734" i="1"/>
  <c r="CM761" i="1" s="1"/>
  <c r="CM738" i="1"/>
  <c r="CM728" i="1"/>
  <c r="CM757" i="1" s="1"/>
  <c r="CL109" i="1"/>
  <c r="CM699" i="1"/>
  <c r="CZ1" i="1" l="1"/>
  <c r="AU2" i="24"/>
  <c r="CY3" i="1"/>
  <c r="CY2" i="1"/>
  <c r="AT3" i="24"/>
  <c r="DH574" i="1"/>
  <c r="BP574" i="1"/>
  <c r="BQ574" i="1" s="1"/>
  <c r="DI574" i="1" s="1"/>
  <c r="DH575" i="1"/>
  <c r="BP575" i="1"/>
  <c r="BQ575" i="1" s="1"/>
  <c r="DI575" i="1" s="1"/>
  <c r="DH573" i="1"/>
  <c r="BP573" i="1"/>
  <c r="BQ573" i="1" s="1"/>
  <c r="DI573" i="1" s="1"/>
  <c r="DH577" i="1"/>
  <c r="BP577" i="1"/>
  <c r="BQ577" i="1" s="1"/>
  <c r="DI577" i="1" s="1"/>
  <c r="DG583" i="1"/>
  <c r="BN583" i="1"/>
  <c r="BO583" i="1" s="1"/>
  <c r="DG606" i="1"/>
  <c r="BN606" i="1"/>
  <c r="BO606" i="1" s="1"/>
  <c r="DF600" i="1"/>
  <c r="BL600" i="1"/>
  <c r="BM600" i="1" s="1"/>
  <c r="S79" i="1"/>
  <c r="S375" i="1"/>
  <c r="S377" i="1" s="1"/>
  <c r="CJ374" i="1"/>
  <c r="CJ316" i="1" s="1"/>
  <c r="CJ349" i="1"/>
  <c r="U358" i="1"/>
  <c r="U300" i="1" s="1"/>
  <c r="U73" i="1" s="1"/>
  <c r="DB540" i="1"/>
  <c r="BD540" i="1"/>
  <c r="BE540" i="1" s="1"/>
  <c r="DB555" i="1"/>
  <c r="BD555" i="1"/>
  <c r="DA565" i="1"/>
  <c r="BB565" i="1"/>
  <c r="CZ539" i="1"/>
  <c r="S81" i="1"/>
  <c r="S269" i="1"/>
  <c r="AY588" i="1"/>
  <c r="CZ588" i="1" s="1"/>
  <c r="U77" i="1"/>
  <c r="U71" i="1"/>
  <c r="CK367" i="1"/>
  <c r="CK309" i="1" s="1"/>
  <c r="G53" i="1"/>
  <c r="E159" i="1"/>
  <c r="F216" i="1"/>
  <c r="CC158" i="1"/>
  <c r="CP681" i="1"/>
  <c r="CK351" i="1"/>
  <c r="CX499" i="1"/>
  <c r="W5" i="1"/>
  <c r="W84" i="1" s="1"/>
  <c r="U364" i="1"/>
  <c r="U363" i="1" s="1"/>
  <c r="U305" i="1" s="1"/>
  <c r="U379" i="1"/>
  <c r="U319" i="1" s="1"/>
  <c r="U322" i="1" s="1"/>
  <c r="U323" i="1" s="1"/>
  <c r="CK350" i="1"/>
  <c r="U74" i="1"/>
  <c r="CK357" i="1"/>
  <c r="CK299" i="1" s="1"/>
  <c r="CK72" i="1" s="1"/>
  <c r="U368" i="1"/>
  <c r="U310" i="1" s="1"/>
  <c r="U372" i="1"/>
  <c r="U291" i="1"/>
  <c r="U349" i="1" s="1"/>
  <c r="U78" i="1"/>
  <c r="U316" i="1"/>
  <c r="U75" i="1"/>
  <c r="CK376" i="1"/>
  <c r="CK318" i="1" s="1"/>
  <c r="CK80" i="1" s="1"/>
  <c r="CI354" i="1"/>
  <c r="CI296" i="1" s="1"/>
  <c r="CI321" i="1" s="1"/>
  <c r="CK23" i="1"/>
  <c r="CK25" i="1"/>
  <c r="CK26" i="1"/>
  <c r="T372" i="1"/>
  <c r="S354" i="1"/>
  <c r="T77" i="1"/>
  <c r="T344" i="1"/>
  <c r="CK344" i="1" s="1"/>
  <c r="CK286" i="1" s="1"/>
  <c r="CK77" i="1" s="1"/>
  <c r="T321" i="1"/>
  <c r="T379" i="1"/>
  <c r="CK131" i="1"/>
  <c r="CK737" i="1"/>
  <c r="CK763" i="1" s="1"/>
  <c r="CK741" i="1"/>
  <c r="CK767" i="1" s="1"/>
  <c r="T78" i="1"/>
  <c r="T369" i="1"/>
  <c r="R300" i="1"/>
  <c r="CJ358" i="1"/>
  <c r="CJ300" i="1" s="1"/>
  <c r="CJ73" i="1" s="1"/>
  <c r="X2" i="1"/>
  <c r="Y725" i="1" s="1"/>
  <c r="X3" i="1"/>
  <c r="Y1" i="1"/>
  <c r="CJ363" i="1"/>
  <c r="CJ305" i="1" s="1"/>
  <c r="R305" i="1"/>
  <c r="CH319" i="1"/>
  <c r="CH322" i="1" s="1"/>
  <c r="CH323" i="1" s="1"/>
  <c r="CH391" i="1"/>
  <c r="R352" i="1"/>
  <c r="R295" i="1"/>
  <c r="R353" i="1" s="1"/>
  <c r="CJ353" i="1" s="1"/>
  <c r="CI375" i="1"/>
  <c r="CI317" i="1" s="1"/>
  <c r="CI79" i="1" s="1"/>
  <c r="P377" i="1"/>
  <c r="T359" i="1"/>
  <c r="T316" i="1"/>
  <c r="T74" i="1"/>
  <c r="T291" i="1"/>
  <c r="T334" i="1"/>
  <c r="T71" i="1"/>
  <c r="T364" i="1"/>
  <c r="T76" i="1"/>
  <c r="T339" i="1"/>
  <c r="CK339" i="1" s="1"/>
  <c r="CK281" i="1" s="1"/>
  <c r="CK75" i="1" s="1"/>
  <c r="T75" i="1"/>
  <c r="CK237" i="1"/>
  <c r="CK111" i="1"/>
  <c r="CK233" i="1"/>
  <c r="CJ71" i="1"/>
  <c r="CJ291" i="1"/>
  <c r="CJ294" i="1" s="1"/>
  <c r="R317" i="1"/>
  <c r="R322" i="1"/>
  <c r="R323" i="1" s="1"/>
  <c r="V5" i="1"/>
  <c r="CK24" i="1"/>
  <c r="CO706" i="1"/>
  <c r="CP678" i="1"/>
  <c r="CM840" i="1"/>
  <c r="CM764" i="1"/>
  <c r="CM838" i="1"/>
  <c r="CM841" i="1" s="1"/>
  <c r="CM759" i="1"/>
  <c r="CM731" i="1"/>
  <c r="CL112" i="1"/>
  <c r="CL110" i="1"/>
  <c r="CL117" i="1"/>
  <c r="CL811" i="1"/>
  <c r="CL808" i="1"/>
  <c r="CL809" i="1"/>
  <c r="CL810" i="1"/>
  <c r="CM733" i="1"/>
  <c r="CM760" i="1"/>
  <c r="CL118" i="1"/>
  <c r="CL84" i="1"/>
  <c r="CL113" i="1"/>
  <c r="CL86" i="1"/>
  <c r="AU3" i="24" l="1"/>
  <c r="AV2" i="24"/>
  <c r="DH606" i="1"/>
  <c r="BP606" i="1"/>
  <c r="BQ606" i="1" s="1"/>
  <c r="DI606" i="1" s="1"/>
  <c r="DH583" i="1"/>
  <c r="BP583" i="1"/>
  <c r="BQ583" i="1" s="1"/>
  <c r="DI583" i="1" s="1"/>
  <c r="DG600" i="1"/>
  <c r="BN600" i="1"/>
  <c r="BO600" i="1" s="1"/>
  <c r="DC540" i="1"/>
  <c r="BF540" i="1"/>
  <c r="W811" i="1"/>
  <c r="CK372" i="1"/>
  <c r="CK314" i="1" s="1"/>
  <c r="BE555" i="1"/>
  <c r="S391" i="1"/>
  <c r="DA1" i="1"/>
  <c r="BC565" i="1"/>
  <c r="BA539" i="1"/>
  <c r="CZ3" i="1"/>
  <c r="CZ2" i="1"/>
  <c r="W276" i="1"/>
  <c r="W71" i="1" s="1"/>
  <c r="W809" i="1"/>
  <c r="CX522" i="1"/>
  <c r="U317" i="1"/>
  <c r="U380" i="1" s="1"/>
  <c r="F217" i="1"/>
  <c r="CD217" i="1" s="1"/>
  <c r="CC159" i="1"/>
  <c r="CC53" i="1" s="1"/>
  <c r="F53" i="1"/>
  <c r="CD216" i="1"/>
  <c r="CY571" i="1"/>
  <c r="W112" i="1"/>
  <c r="W301" i="1"/>
  <c r="W359" i="1" s="1"/>
  <c r="CX142" i="1"/>
  <c r="W296" i="1"/>
  <c r="W379" i="1" s="1"/>
  <c r="W319" i="1" s="1"/>
  <c r="W782" i="1"/>
  <c r="W783" i="1"/>
  <c r="W87" i="1"/>
  <c r="W89" i="1"/>
  <c r="W286" i="1"/>
  <c r="W77" i="1" s="1"/>
  <c r="W281" i="1"/>
  <c r="W339" i="1" s="1"/>
  <c r="W85" i="1"/>
  <c r="W306" i="1"/>
  <c r="W364" i="1" s="1"/>
  <c r="W808" i="1"/>
  <c r="W86" i="1"/>
  <c r="W88" i="1"/>
  <c r="W93" i="1"/>
  <c r="W810" i="1"/>
  <c r="W311" i="1"/>
  <c r="W369" i="1" s="1"/>
  <c r="W351" i="1"/>
  <c r="W790" i="1"/>
  <c r="W111" i="1"/>
  <c r="W118" i="1"/>
  <c r="W109" i="1"/>
  <c r="W117" i="1"/>
  <c r="W787" i="1"/>
  <c r="W376" i="1"/>
  <c r="W97" i="1"/>
  <c r="W791" i="1"/>
  <c r="W110" i="1"/>
  <c r="W350" i="1"/>
  <c r="W788" i="1"/>
  <c r="W785" i="1"/>
  <c r="W841" i="1" s="1"/>
  <c r="W113" i="1"/>
  <c r="W789" i="1"/>
  <c r="CX536" i="1"/>
  <c r="U294" i="1"/>
  <c r="U352" i="1" s="1"/>
  <c r="U315" i="1"/>
  <c r="U373" i="1" s="1"/>
  <c r="U374" i="1"/>
  <c r="CI295" i="1"/>
  <c r="R79" i="1"/>
  <c r="R375" i="1"/>
  <c r="R380" i="1"/>
  <c r="CJ380" i="1" s="1"/>
  <c r="T294" i="1"/>
  <c r="T349" i="1"/>
  <c r="CK349" i="1" s="1"/>
  <c r="T374" i="1"/>
  <c r="P391" i="1"/>
  <c r="CI377" i="1"/>
  <c r="CK369" i="1"/>
  <c r="CK311" i="1" s="1"/>
  <c r="CK78" i="1" s="1"/>
  <c r="T368" i="1"/>
  <c r="CL704" i="1"/>
  <c r="W25" i="1"/>
  <c r="CL265" i="1"/>
  <c r="CL88" i="1" s="1"/>
  <c r="V239" i="1"/>
  <c r="V296" i="1" s="1"/>
  <c r="V790" i="1"/>
  <c r="W23" i="1"/>
  <c r="V88" i="1"/>
  <c r="W26" i="1"/>
  <c r="CL266" i="1"/>
  <c r="V249" i="1"/>
  <c r="V306" i="1" s="1"/>
  <c r="V76" i="1" s="1"/>
  <c r="V219" i="1"/>
  <c r="V276" i="1" s="1"/>
  <c r="V350" i="1"/>
  <c r="V224" i="1"/>
  <c r="V281" i="1" s="1"/>
  <c r="V75" i="1" s="1"/>
  <c r="CL128" i="1"/>
  <c r="V229" i="1"/>
  <c r="V254" i="1"/>
  <c r="V311" i="1" s="1"/>
  <c r="V78" i="1" s="1"/>
  <c r="V787" i="1"/>
  <c r="V351" i="1"/>
  <c r="W24" i="1"/>
  <c r="V789" i="1"/>
  <c r="V87" i="1"/>
  <c r="CL267" i="1"/>
  <c r="CL87" i="1" s="1"/>
  <c r="V791" i="1"/>
  <c r="CL703" i="1"/>
  <c r="CL787" i="1" s="1"/>
  <c r="V785" i="1"/>
  <c r="V841" i="1" s="1"/>
  <c r="V783" i="1"/>
  <c r="V93" i="1"/>
  <c r="V97" i="1"/>
  <c r="V788" i="1"/>
  <c r="V244" i="1"/>
  <c r="V301" i="1" s="1"/>
  <c r="V782" i="1"/>
  <c r="V23" i="1"/>
  <c r="V26" i="1"/>
  <c r="V24" i="1"/>
  <c r="V25" i="1"/>
  <c r="R325" i="1"/>
  <c r="R269" i="1"/>
  <c r="R81" i="1"/>
  <c r="CK113" i="1"/>
  <c r="CK84" i="1"/>
  <c r="CK86" i="1"/>
  <c r="CK118" i="1"/>
  <c r="CK238" i="1"/>
  <c r="CK808" i="1"/>
  <c r="CK810" i="1"/>
  <c r="CK110" i="1"/>
  <c r="CK89" i="1"/>
  <c r="CK112" i="1"/>
  <c r="CK809" i="1"/>
  <c r="CK117" i="1"/>
  <c r="CK811" i="1"/>
  <c r="CK364" i="1"/>
  <c r="CK306" i="1" s="1"/>
  <c r="CK76" i="1" s="1"/>
  <c r="T363" i="1"/>
  <c r="CK334" i="1"/>
  <c r="CK276" i="1" s="1"/>
  <c r="CK359" i="1"/>
  <c r="CK301" i="1" s="1"/>
  <c r="CK74" i="1" s="1"/>
  <c r="T358" i="1"/>
  <c r="CJ352" i="1"/>
  <c r="R354" i="1"/>
  <c r="CJ354" i="1" s="1"/>
  <c r="CJ296" i="1" s="1"/>
  <c r="CH325" i="1"/>
  <c r="CH269" i="1"/>
  <c r="CH81" i="1"/>
  <c r="Z1" i="1"/>
  <c r="Y3" i="1"/>
  <c r="Y2" i="1"/>
  <c r="Z725" i="1" s="1"/>
  <c r="R315" i="1"/>
  <c r="R373" i="1" s="1"/>
  <c r="CJ373" i="1" s="1"/>
  <c r="CJ315" i="1" s="1"/>
  <c r="R73" i="1"/>
  <c r="U269" i="1"/>
  <c r="U325" i="1"/>
  <c r="U81" i="1"/>
  <c r="CK379" i="1"/>
  <c r="T319" i="1"/>
  <c r="CP706" i="1"/>
  <c r="CQ681" i="1"/>
  <c r="CQ678" i="1"/>
  <c r="CP553" i="1"/>
  <c r="CL89" i="1"/>
  <c r="CL85" i="1"/>
  <c r="CL699" i="1"/>
  <c r="DA3" i="1" l="1"/>
  <c r="AW2" i="24"/>
  <c r="AV3" i="24"/>
  <c r="DH600" i="1"/>
  <c r="BP600" i="1"/>
  <c r="BQ600" i="1" s="1"/>
  <c r="DI600" i="1" s="1"/>
  <c r="AA1" i="1"/>
  <c r="DC555" i="1"/>
  <c r="BF555" i="1"/>
  <c r="BG540" i="1"/>
  <c r="DB565" i="1"/>
  <c r="BD565" i="1"/>
  <c r="BE565" i="1" s="1"/>
  <c r="U79" i="1"/>
  <c r="W334" i="1"/>
  <c r="DA2" i="1"/>
  <c r="DB1" i="1"/>
  <c r="DA539" i="1"/>
  <c r="BB539" i="1"/>
  <c r="CL351" i="1"/>
  <c r="CZ571" i="1"/>
  <c r="BA588" i="1"/>
  <c r="DA588" i="1" s="1"/>
  <c r="U295" i="1"/>
  <c r="U353" i="1" s="1"/>
  <c r="U354" i="1" s="1"/>
  <c r="W344" i="1"/>
  <c r="W78" i="1"/>
  <c r="CL350" i="1"/>
  <c r="CX623" i="1"/>
  <c r="W321" i="1"/>
  <c r="CY522" i="1"/>
  <c r="W316" i="1"/>
  <c r="W374" i="1" s="1"/>
  <c r="U375" i="1"/>
  <c r="U377" i="1" s="1"/>
  <c r="W76" i="1"/>
  <c r="CD53" i="1"/>
  <c r="W291" i="1"/>
  <c r="W74" i="1"/>
  <c r="W75" i="1"/>
  <c r="CY499" i="1"/>
  <c r="C16" i="23" s="1"/>
  <c r="CK374" i="1"/>
  <c r="CK316" i="1" s="1"/>
  <c r="Y5" i="1"/>
  <c r="Y810" i="1" s="1"/>
  <c r="CL25" i="1"/>
  <c r="CL26" i="1"/>
  <c r="CR678" i="1"/>
  <c r="CR681" i="1"/>
  <c r="CL24" i="1"/>
  <c r="Z2" i="1"/>
  <c r="AA725" i="1" s="1"/>
  <c r="Z3" i="1"/>
  <c r="CJ295" i="1"/>
  <c r="CJ321" i="1"/>
  <c r="T300" i="1"/>
  <c r="CK358" i="1"/>
  <c r="CK300" i="1" s="1"/>
  <c r="CK73" i="1" s="1"/>
  <c r="CK291" i="1"/>
  <c r="CK294" i="1" s="1"/>
  <c r="CK71" i="1"/>
  <c r="T305" i="1"/>
  <c r="CK363" i="1"/>
  <c r="CK305" i="1" s="1"/>
  <c r="V74" i="1"/>
  <c r="V243" i="1"/>
  <c r="V242" i="1"/>
  <c r="V359" i="1"/>
  <c r="V286" i="1"/>
  <c r="V77" i="1" s="1"/>
  <c r="V228" i="1"/>
  <c r="V227" i="1"/>
  <c r="V222" i="1"/>
  <c r="V223" i="1"/>
  <c r="V339" i="1"/>
  <c r="CL339" i="1" s="1"/>
  <c r="CL281" i="1" s="1"/>
  <c r="CL75" i="1" s="1"/>
  <c r="V217" i="1"/>
  <c r="V215" i="1"/>
  <c r="V234" i="1"/>
  <c r="V218" i="1"/>
  <c r="V216" i="1"/>
  <c r="V334" i="1"/>
  <c r="CI391" i="1"/>
  <c r="CI319" i="1"/>
  <c r="CI322" i="1" s="1"/>
  <c r="CI323" i="1" s="1"/>
  <c r="CL23" i="1"/>
  <c r="T322" i="1"/>
  <c r="T323" i="1" s="1"/>
  <c r="T317" i="1"/>
  <c r="X5" i="1"/>
  <c r="V71" i="1"/>
  <c r="V379" i="1"/>
  <c r="V321" i="1"/>
  <c r="V253" i="1"/>
  <c r="V252" i="1"/>
  <c r="V369" i="1"/>
  <c r="CL131" i="1"/>
  <c r="CL737" i="1"/>
  <c r="CL763" i="1" s="1"/>
  <c r="V248" i="1"/>
  <c r="V247" i="1"/>
  <c r="V364" i="1"/>
  <c r="V696" i="1"/>
  <c r="CL696" i="1" s="1"/>
  <c r="V212" i="1"/>
  <c r="V262" i="1"/>
  <c r="T310" i="1"/>
  <c r="CK368" i="1"/>
  <c r="CK310" i="1" s="1"/>
  <c r="T352" i="1"/>
  <c r="T295" i="1"/>
  <c r="T353" i="1" s="1"/>
  <c r="CJ375" i="1"/>
  <c r="CJ317" i="1" s="1"/>
  <c r="CJ79" i="1" s="1"/>
  <c r="R377" i="1"/>
  <c r="W322" i="1"/>
  <c r="CQ706" i="1"/>
  <c r="CP633" i="1"/>
  <c r="CP554" i="1"/>
  <c r="DC1" i="1" l="1"/>
  <c r="DC2" i="1" s="1"/>
  <c r="AX2" i="24"/>
  <c r="AW3" i="24"/>
  <c r="AB1" i="1"/>
  <c r="DD540" i="1"/>
  <c r="BH540" i="1"/>
  <c r="DC565" i="1"/>
  <c r="BF565" i="1"/>
  <c r="BG555" i="1"/>
  <c r="DC3" i="1"/>
  <c r="DB2" i="1"/>
  <c r="DB3" i="1"/>
  <c r="BC539" i="1"/>
  <c r="BB588" i="1"/>
  <c r="CK353" i="1"/>
  <c r="W349" i="1"/>
  <c r="W323" i="1"/>
  <c r="W81" i="1" s="1"/>
  <c r="BA571" i="1"/>
  <c r="W317" i="1"/>
  <c r="W380" i="1" s="1"/>
  <c r="W294" i="1"/>
  <c r="W295" i="1" s="1"/>
  <c r="W353" i="1" s="1"/>
  <c r="Y113" i="1"/>
  <c r="U391" i="1"/>
  <c r="Y306" i="1"/>
  <c r="Y76" i="1" s="1"/>
  <c r="Y785" i="1"/>
  <c r="Y841" i="1" s="1"/>
  <c r="Y88" i="1"/>
  <c r="Y782" i="1"/>
  <c r="CS681" i="1"/>
  <c r="CS678" i="1"/>
  <c r="Y367" i="1"/>
  <c r="Y109" i="1"/>
  <c r="Y811" i="1"/>
  <c r="Y376" i="1"/>
  <c r="Y112" i="1"/>
  <c r="Y89" i="1"/>
  <c r="Y276" i="1"/>
  <c r="Y71" i="1" s="1"/>
  <c r="Y350" i="1"/>
  <c r="Y789" i="1"/>
  <c r="Y791" i="1"/>
  <c r="Y85" i="1"/>
  <c r="Y87" i="1"/>
  <c r="Y93" i="1"/>
  <c r="Y783" i="1"/>
  <c r="Y351" i="1"/>
  <c r="Y809" i="1"/>
  <c r="Y86" i="1"/>
  <c r="Y808" i="1"/>
  <c r="Y357" i="1"/>
  <c r="Y296" i="1"/>
  <c r="Y321" i="1" s="1"/>
  <c r="Y118" i="1"/>
  <c r="Y362" i="1"/>
  <c r="Y97" i="1"/>
  <c r="Y788" i="1"/>
  <c r="Y281" i="1"/>
  <c r="Y339" i="1" s="1"/>
  <c r="Y790" i="1"/>
  <c r="Y117" i="1"/>
  <c r="Y787" i="1"/>
  <c r="Y286" i="1"/>
  <c r="Y77" i="1" s="1"/>
  <c r="Y301" i="1"/>
  <c r="Y359" i="1" s="1"/>
  <c r="Y111" i="1"/>
  <c r="Y84" i="1"/>
  <c r="Y311" i="1"/>
  <c r="Y78" i="1" s="1"/>
  <c r="Y110" i="1"/>
  <c r="V299" i="1"/>
  <c r="V357" i="1" s="1"/>
  <c r="V358" i="1" s="1"/>
  <c r="W299" i="1"/>
  <c r="V291" i="1"/>
  <c r="T79" i="1"/>
  <c r="T375" i="1"/>
  <c r="T380" i="1"/>
  <c r="CK380" i="1" s="1"/>
  <c r="CI81" i="1"/>
  <c r="CI269" i="1"/>
  <c r="CI325" i="1"/>
  <c r="CL334" i="1"/>
  <c r="CL276" i="1" s="1"/>
  <c r="V232" i="1"/>
  <c r="V257" i="1"/>
  <c r="R391" i="1"/>
  <c r="CJ377" i="1"/>
  <c r="CL364" i="1"/>
  <c r="CL306" i="1" s="1"/>
  <c r="CL76" i="1" s="1"/>
  <c r="W309" i="1"/>
  <c r="W367" i="1" s="1"/>
  <c r="W368" i="1" s="1"/>
  <c r="W310" i="1" s="1"/>
  <c r="V309" i="1"/>
  <c r="V367" i="1" s="1"/>
  <c r="V368" i="1" s="1"/>
  <c r="V319" i="1"/>
  <c r="CL379" i="1"/>
  <c r="CK352" i="1"/>
  <c r="T354" i="1"/>
  <c r="CK354" i="1" s="1"/>
  <c r="CK296" i="1" s="1"/>
  <c r="V304" i="1"/>
  <c r="V362" i="1" s="1"/>
  <c r="W304" i="1"/>
  <c r="W362" i="1" s="1"/>
  <c r="W363" i="1" s="1"/>
  <c r="W305" i="1" s="1"/>
  <c r="CL369" i="1"/>
  <c r="CL311" i="1" s="1"/>
  <c r="CL78" i="1" s="1"/>
  <c r="CM704" i="1"/>
  <c r="X113" i="1"/>
  <c r="X311" i="1"/>
  <c r="X787" i="1"/>
  <c r="CM703" i="1"/>
  <c r="CM787" i="1" s="1"/>
  <c r="X790" i="1"/>
  <c r="X87" i="1"/>
  <c r="X362" i="1"/>
  <c r="X109" i="1"/>
  <c r="CM265" i="1"/>
  <c r="CM88" i="1" s="1"/>
  <c r="X117" i="1"/>
  <c r="X376" i="1"/>
  <c r="CM266" i="1"/>
  <c r="X86" i="1"/>
  <c r="X88" i="1"/>
  <c r="X281" i="1"/>
  <c r="X785" i="1"/>
  <c r="X841" i="1" s="1"/>
  <c r="X93" i="1"/>
  <c r="X811" i="1"/>
  <c r="Y24" i="1"/>
  <c r="X306" i="1"/>
  <c r="X809" i="1"/>
  <c r="X350" i="1"/>
  <c r="X367" i="1"/>
  <c r="X118" i="1"/>
  <c r="X791" i="1"/>
  <c r="X788" i="1"/>
  <c r="X351" i="1"/>
  <c r="X110" i="1"/>
  <c r="X808" i="1"/>
  <c r="CM128" i="1"/>
  <c r="X301" i="1"/>
  <c r="X85" i="1"/>
  <c r="Y26" i="1"/>
  <c r="X84" i="1"/>
  <c r="X97" i="1"/>
  <c r="X89" i="1"/>
  <c r="X782" i="1"/>
  <c r="Y25" i="1"/>
  <c r="Y433" i="1" s="1"/>
  <c r="X296" i="1"/>
  <c r="X810" i="1"/>
  <c r="X286" i="1"/>
  <c r="Y23" i="1"/>
  <c r="X112" i="1"/>
  <c r="CM267" i="1"/>
  <c r="CM87" i="1" s="1"/>
  <c r="X276" i="1"/>
  <c r="X357" i="1"/>
  <c r="X783" i="1"/>
  <c r="CM696" i="1"/>
  <c r="X789" i="1"/>
  <c r="X111" i="1"/>
  <c r="X25" i="1"/>
  <c r="X26" i="1"/>
  <c r="X23" i="1"/>
  <c r="X24" i="1"/>
  <c r="T269" i="1"/>
  <c r="T325" i="1"/>
  <c r="T81" i="1"/>
  <c r="V237" i="1"/>
  <c r="V111" i="1"/>
  <c r="CL359" i="1"/>
  <c r="CL301" i="1" s="1"/>
  <c r="CL74" i="1" s="1"/>
  <c r="T73" i="1"/>
  <c r="T315" i="1"/>
  <c r="T373" i="1" s="1"/>
  <c r="CK373" i="1" s="1"/>
  <c r="CK315" i="1" s="1"/>
  <c r="CN399" i="1"/>
  <c r="CN400" i="1"/>
  <c r="AA3" i="1"/>
  <c r="AA2" i="1"/>
  <c r="V344" i="1"/>
  <c r="CL344" i="1" s="1"/>
  <c r="CL286" i="1" s="1"/>
  <c r="CL77" i="1" s="1"/>
  <c r="V258" i="1"/>
  <c r="C10" i="2" l="1"/>
  <c r="AX3" i="24"/>
  <c r="AY3" i="24"/>
  <c r="DD1" i="1"/>
  <c r="AY2" i="24"/>
  <c r="AY143" i="1"/>
  <c r="AZ143" i="1" s="1"/>
  <c r="BA142" i="1"/>
  <c r="AC1" i="1"/>
  <c r="DD555" i="1"/>
  <c r="BH555" i="1"/>
  <c r="BI540" i="1"/>
  <c r="BF589" i="1"/>
  <c r="BG565" i="1"/>
  <c r="BH565" i="1" s="1"/>
  <c r="DB539" i="1"/>
  <c r="BD539" i="1"/>
  <c r="W269" i="1"/>
  <c r="W79" i="1"/>
  <c r="W325" i="1"/>
  <c r="W375" i="1"/>
  <c r="W377" i="1" s="1"/>
  <c r="BC588" i="1"/>
  <c r="DB588" i="1" s="1"/>
  <c r="DA571" i="1"/>
  <c r="BB571" i="1"/>
  <c r="W352" i="1"/>
  <c r="W354" i="1" s="1"/>
  <c r="CY536" i="1"/>
  <c r="CY623" i="1" s="1"/>
  <c r="AY522" i="1"/>
  <c r="CZ522" i="1" s="1"/>
  <c r="CZ499" i="1"/>
  <c r="D16" i="23" s="1"/>
  <c r="CZ142" i="1"/>
  <c r="Y74" i="1"/>
  <c r="Y364" i="1"/>
  <c r="Y363" i="1" s="1"/>
  <c r="Y305" i="1" s="1"/>
  <c r="CM350" i="1"/>
  <c r="CT678" i="1"/>
  <c r="CT681" i="1"/>
  <c r="CM367" i="1"/>
  <c r="CM309" i="1" s="1"/>
  <c r="Y334" i="1"/>
  <c r="CM351" i="1"/>
  <c r="CM376" i="1"/>
  <c r="CM318" i="1" s="1"/>
  <c r="CM80" i="1" s="1"/>
  <c r="Y369" i="1"/>
  <c r="Y368" i="1" s="1"/>
  <c r="Y310" i="1" s="1"/>
  <c r="Y344" i="1"/>
  <c r="Y75" i="1"/>
  <c r="Y372" i="1"/>
  <c r="Y291" i="1"/>
  <c r="CM357" i="1"/>
  <c r="CM299" i="1" s="1"/>
  <c r="CM72" i="1" s="1"/>
  <c r="Y358" i="1"/>
  <c r="Y300" i="1" s="1"/>
  <c r="Y73" i="1" s="1"/>
  <c r="Y379" i="1"/>
  <c r="Y319" i="1" s="1"/>
  <c r="Y322" i="1" s="1"/>
  <c r="Y323" i="1" s="1"/>
  <c r="CM362" i="1"/>
  <c r="CM304" i="1" s="1"/>
  <c r="Y316" i="1"/>
  <c r="V294" i="1"/>
  <c r="CM23" i="1"/>
  <c r="CM25" i="1"/>
  <c r="X433" i="1"/>
  <c r="CM433" i="1" s="1"/>
  <c r="CM24" i="1"/>
  <c r="Y440" i="1"/>
  <c r="CM26" i="1"/>
  <c r="X372" i="1"/>
  <c r="Z5" i="1"/>
  <c r="CN210" i="1"/>
  <c r="AA63" i="1"/>
  <c r="CN208" i="1"/>
  <c r="AA265" i="1"/>
  <c r="X334" i="1"/>
  <c r="X71" i="1"/>
  <c r="X291" i="1"/>
  <c r="X344" i="1"/>
  <c r="X77" i="1"/>
  <c r="X379" i="1"/>
  <c r="X321" i="1"/>
  <c r="X74" i="1"/>
  <c r="X359" i="1"/>
  <c r="X316" i="1"/>
  <c r="X339" i="1"/>
  <c r="CM339" i="1" s="1"/>
  <c r="CM281" i="1" s="1"/>
  <c r="CM75" i="1" s="1"/>
  <c r="X75" i="1"/>
  <c r="CL368" i="1"/>
  <c r="CL310" i="1" s="1"/>
  <c r="V310" i="1"/>
  <c r="CK321" i="1"/>
  <c r="CK295" i="1"/>
  <c r="V322" i="1"/>
  <c r="V323" i="1" s="1"/>
  <c r="V314" i="1"/>
  <c r="V372" i="1" s="1"/>
  <c r="V72" i="1"/>
  <c r="W72" i="1"/>
  <c r="W357" i="1"/>
  <c r="W358" i="1" s="1"/>
  <c r="W300" i="1" s="1"/>
  <c r="W314" i="1"/>
  <c r="V349" i="1"/>
  <c r="CL349" i="1" s="1"/>
  <c r="AB3" i="1"/>
  <c r="AB2" i="1"/>
  <c r="V300" i="1"/>
  <c r="V810" i="1"/>
  <c r="V112" i="1"/>
  <c r="V808" i="1"/>
  <c r="V117" i="1"/>
  <c r="V811" i="1"/>
  <c r="V809" i="1"/>
  <c r="V110" i="1"/>
  <c r="V238" i="1"/>
  <c r="CM131" i="1"/>
  <c r="CM737" i="1"/>
  <c r="CM763" i="1" s="1"/>
  <c r="X364" i="1"/>
  <c r="X76" i="1"/>
  <c r="X78" i="1"/>
  <c r="X369" i="1"/>
  <c r="CJ391" i="1"/>
  <c r="CJ319" i="1"/>
  <c r="CJ322" i="1" s="1"/>
  <c r="CJ323" i="1" s="1"/>
  <c r="V259" i="1"/>
  <c r="V233" i="1"/>
  <c r="V109" i="1"/>
  <c r="CL291" i="1"/>
  <c r="CL294" i="1" s="1"/>
  <c r="CL71" i="1"/>
  <c r="CK375" i="1"/>
  <c r="CK317" i="1" s="1"/>
  <c r="CK79" i="1" s="1"/>
  <c r="T377" i="1"/>
  <c r="AA5" i="1"/>
  <c r="CL362" i="1"/>
  <c r="CL304" i="1" s="1"/>
  <c r="CL367" i="1"/>
  <c r="CL309" i="1" s="1"/>
  <c r="V363" i="1"/>
  <c r="CN578" i="1"/>
  <c r="CN602" i="1"/>
  <c r="CN398" i="1"/>
  <c r="E14" i="2" l="1"/>
  <c r="D14" i="2" s="1"/>
  <c r="C14" i="2" s="1"/>
  <c r="C30" i="2" s="1"/>
  <c r="S2" i="17"/>
  <c r="DE1" i="1"/>
  <c r="AZ2" i="24"/>
  <c r="DD3" i="1"/>
  <c r="DD2" i="1"/>
  <c r="AZ762" i="1"/>
  <c r="AD1" i="1"/>
  <c r="DE540" i="1"/>
  <c r="BJ540" i="1"/>
  <c r="BH589" i="1"/>
  <c r="BI565" i="1"/>
  <c r="BJ565" i="1" s="1"/>
  <c r="BI555" i="1"/>
  <c r="BG589" i="1"/>
  <c r="DD589" i="1" s="1"/>
  <c r="DD565" i="1"/>
  <c r="BD588" i="1"/>
  <c r="BE539" i="1"/>
  <c r="BF539" i="1" s="1"/>
  <c r="W391" i="1"/>
  <c r="AY536" i="1"/>
  <c r="AY623" i="1" s="1"/>
  <c r="BC571" i="1"/>
  <c r="DA142" i="1"/>
  <c r="BB142" i="1"/>
  <c r="BA499" i="1"/>
  <c r="CM372" i="1"/>
  <c r="CM314" i="1" s="1"/>
  <c r="CU681" i="1"/>
  <c r="CU678" i="1"/>
  <c r="Y374" i="1"/>
  <c r="CM344" i="1"/>
  <c r="CM286" i="1" s="1"/>
  <c r="CM77" i="1" s="1"/>
  <c r="Y349" i="1"/>
  <c r="Y294" i="1"/>
  <c r="AA351" i="1"/>
  <c r="AA350" i="1"/>
  <c r="AA306" i="1"/>
  <c r="AA364" i="1" s="1"/>
  <c r="AA296" i="1"/>
  <c r="AA379" i="1" s="1"/>
  <c r="AA281" i="1"/>
  <c r="AA75" i="1" s="1"/>
  <c r="AA311" i="1"/>
  <c r="AA369" i="1" s="1"/>
  <c r="AA301" i="1"/>
  <c r="AA286" i="1"/>
  <c r="AA77" i="1" s="1"/>
  <c r="AA276" i="1"/>
  <c r="AA362" i="1"/>
  <c r="AA367" i="1"/>
  <c r="Y315" i="1"/>
  <c r="Y373" i="1" s="1"/>
  <c r="Y317" i="1"/>
  <c r="Y375" i="1" s="1"/>
  <c r="CL357" i="1"/>
  <c r="CL299" i="1" s="1"/>
  <c r="CL72" i="1" s="1"/>
  <c r="V295" i="1"/>
  <c r="V353" i="1" s="1"/>
  <c r="CL353" i="1" s="1"/>
  <c r="AB318" i="1"/>
  <c r="AA93" i="1"/>
  <c r="AA88" i="1"/>
  <c r="AA97" i="1"/>
  <c r="Z296" i="1"/>
  <c r="Z286" i="1"/>
  <c r="Z281" i="1"/>
  <c r="Z276" i="1"/>
  <c r="Z350" i="1"/>
  <c r="Z351" i="1"/>
  <c r="Z306" i="1"/>
  <c r="Z311" i="1"/>
  <c r="Z301" i="1"/>
  <c r="Z367" i="1"/>
  <c r="Z362" i="1"/>
  <c r="Z357" i="1"/>
  <c r="Z376" i="1"/>
  <c r="AA59" i="1"/>
  <c r="AA57" i="1"/>
  <c r="AA56" i="1"/>
  <c r="V352" i="1"/>
  <c r="X440" i="1"/>
  <c r="Y96" i="1" s="1"/>
  <c r="Z96" i="1"/>
  <c r="CL358" i="1"/>
  <c r="CL300" i="1" s="1"/>
  <c r="CL73" i="1" s="1"/>
  <c r="Y325" i="1"/>
  <c r="Y81" i="1"/>
  <c r="Y269" i="1"/>
  <c r="V86" i="1"/>
  <c r="V113" i="1"/>
  <c r="V84" i="1"/>
  <c r="V118" i="1"/>
  <c r="V89" i="1"/>
  <c r="V85" i="1"/>
  <c r="V260" i="1"/>
  <c r="V699" i="1" s="1"/>
  <c r="V316" i="1"/>
  <c r="CM111" i="1"/>
  <c r="V73" i="1"/>
  <c r="AC3" i="1"/>
  <c r="AC2" i="1"/>
  <c r="X374" i="1"/>
  <c r="X319" i="1"/>
  <c r="CM379" i="1"/>
  <c r="CN63" i="1"/>
  <c r="CN152" i="1"/>
  <c r="Z113" i="1"/>
  <c r="Z110" i="1"/>
  <c r="Z785" i="1"/>
  <c r="Z841" i="1" s="1"/>
  <c r="Z791" i="1"/>
  <c r="Z789" i="1"/>
  <c r="Z88" i="1"/>
  <c r="Z117" i="1"/>
  <c r="Z788" i="1"/>
  <c r="Z84" i="1"/>
  <c r="Z87" i="1"/>
  <c r="AA25" i="1"/>
  <c r="Z112" i="1"/>
  <c r="Z811" i="1"/>
  <c r="Z89" i="1"/>
  <c r="Z118" i="1"/>
  <c r="Z808" i="1"/>
  <c r="Z787" i="1"/>
  <c r="Z86" i="1"/>
  <c r="Z790" i="1"/>
  <c r="Z97" i="1"/>
  <c r="Z111" i="1"/>
  <c r="Z810" i="1"/>
  <c r="Z109" i="1"/>
  <c r="Z782" i="1"/>
  <c r="Z93" i="1"/>
  <c r="Z809" i="1"/>
  <c r="Z783" i="1"/>
  <c r="Z85" i="1"/>
  <c r="AA23" i="1"/>
  <c r="AA24" i="1"/>
  <c r="CN738" i="1"/>
  <c r="CN764" i="1" s="1"/>
  <c r="CN265" i="1"/>
  <c r="CN88" i="1" s="1"/>
  <c r="AA26" i="1"/>
  <c r="W208" i="9" s="1"/>
  <c r="CN128" i="1"/>
  <c r="CN737" i="1" s="1"/>
  <c r="CN763" i="1" s="1"/>
  <c r="Z25" i="1"/>
  <c r="V182" i="9" s="1"/>
  <c r="Z23" i="1"/>
  <c r="Z26" i="1"/>
  <c r="Z24" i="1"/>
  <c r="CN18" i="1"/>
  <c r="CN160" i="1"/>
  <c r="CN17" i="1"/>
  <c r="CN20" i="1"/>
  <c r="W372" i="1"/>
  <c r="CL372" i="1" s="1"/>
  <c r="CL314" i="1" s="1"/>
  <c r="CL363" i="1"/>
  <c r="CL305" i="1" s="1"/>
  <c r="V305" i="1"/>
  <c r="V315" i="1" s="1"/>
  <c r="V373" i="1" s="1"/>
  <c r="T391" i="1"/>
  <c r="CK377" i="1"/>
  <c r="CJ269" i="1"/>
  <c r="CJ81" i="1"/>
  <c r="CJ325" i="1"/>
  <c r="CM369" i="1"/>
  <c r="CM311" i="1" s="1"/>
  <c r="CM78" i="1" s="1"/>
  <c r="X368" i="1"/>
  <c r="CM109" i="1"/>
  <c r="CM364" i="1"/>
  <c r="CM306" i="1" s="1"/>
  <c r="CM76" i="1" s="1"/>
  <c r="X363" i="1"/>
  <c r="W73" i="1"/>
  <c r="W315" i="1"/>
  <c r="W373" i="1" s="1"/>
  <c r="V325" i="1"/>
  <c r="V81" i="1"/>
  <c r="V269" i="1"/>
  <c r="CM359" i="1"/>
  <c r="CM301" i="1" s="1"/>
  <c r="CM74" i="1" s="1"/>
  <c r="X358" i="1"/>
  <c r="X349" i="1"/>
  <c r="X294" i="1"/>
  <c r="CM334" i="1"/>
  <c r="CM276" i="1" s="1"/>
  <c r="AA64" i="1"/>
  <c r="AA266" i="1"/>
  <c r="AA267" i="1" s="1"/>
  <c r="AA87" i="1" s="1"/>
  <c r="CN209" i="1"/>
  <c r="CN64" i="1" s="1"/>
  <c r="CN19" i="1"/>
  <c r="AA737" i="1"/>
  <c r="AA763" i="1" s="1"/>
  <c r="CN412" i="1"/>
  <c r="CN424" i="1" s="1"/>
  <c r="CN459" i="1" s="1"/>
  <c r="CN488" i="1" s="1"/>
  <c r="AA502" i="1"/>
  <c r="AA500" i="1" s="1"/>
  <c r="AA498" i="1" s="1"/>
  <c r="AA424" i="1"/>
  <c r="AA459" i="1" s="1"/>
  <c r="AA488" i="1" s="1"/>
  <c r="E127" i="2" l="1"/>
  <c r="D79" i="2"/>
  <c r="E30" i="2"/>
  <c r="A14" i="2"/>
  <c r="C79" i="2"/>
  <c r="C127" i="2"/>
  <c r="F14" i="2"/>
  <c r="F127" i="2" s="1"/>
  <c r="C59" i="2"/>
  <c r="D127" i="2"/>
  <c r="E79" i="2"/>
  <c r="D59" i="2"/>
  <c r="D30" i="2"/>
  <c r="E59" i="2"/>
  <c r="AZ3" i="24"/>
  <c r="DF1" i="1"/>
  <c r="BA2" i="24"/>
  <c r="DE2" i="1"/>
  <c r="DE3" i="1"/>
  <c r="AE1" i="1"/>
  <c r="DE555" i="1"/>
  <c r="BJ555" i="1"/>
  <c r="BJ589" i="1" s="1"/>
  <c r="BK540" i="1"/>
  <c r="BK565" i="1"/>
  <c r="BL565" i="1" s="1"/>
  <c r="BI589" i="1"/>
  <c r="DE589" i="1" s="1"/>
  <c r="DE565" i="1"/>
  <c r="BF588" i="1"/>
  <c r="BG539" i="1"/>
  <c r="BH539" i="1" s="1"/>
  <c r="AB309" i="1"/>
  <c r="AB304" i="1"/>
  <c r="BE588" i="1"/>
  <c r="DC588" i="1" s="1"/>
  <c r="DC539" i="1"/>
  <c r="DB571" i="1"/>
  <c r="BD571" i="1"/>
  <c r="CZ536" i="1"/>
  <c r="CZ623" i="1" s="1"/>
  <c r="BC142" i="1"/>
  <c r="BB762" i="1"/>
  <c r="BA522" i="1"/>
  <c r="DA522" i="1" s="1"/>
  <c r="BB499" i="1"/>
  <c r="DA499" i="1"/>
  <c r="E16" i="23" s="1"/>
  <c r="CM349" i="1"/>
  <c r="CM374" i="1"/>
  <c r="CM316" i="1" s="1"/>
  <c r="AA76" i="1"/>
  <c r="CO17" i="1"/>
  <c r="Y377" i="1"/>
  <c r="CV678" i="1"/>
  <c r="CV681" i="1"/>
  <c r="W207" i="9"/>
  <c r="W206" i="9" s="1"/>
  <c r="X206" i="9" s="1"/>
  <c r="W182" i="9"/>
  <c r="W183" i="9" s="1"/>
  <c r="W178" i="9"/>
  <c r="V183" i="9"/>
  <c r="V184" i="9" s="1"/>
  <c r="V185" i="9" s="1"/>
  <c r="V166" i="9"/>
  <c r="Y352" i="1"/>
  <c r="Y295" i="1"/>
  <c r="Y353" i="1" s="1"/>
  <c r="Y380" i="1"/>
  <c r="Y79" i="1"/>
  <c r="AA78" i="1"/>
  <c r="AA368" i="1"/>
  <c r="AA334" i="1"/>
  <c r="AA359" i="1"/>
  <c r="AA363" i="1"/>
  <c r="V354" i="1"/>
  <c r="CL354" i="1" s="1"/>
  <c r="CL296" i="1" s="1"/>
  <c r="CL295" i="1" s="1"/>
  <c r="AC5" i="1"/>
  <c r="CL352" i="1"/>
  <c r="Z372" i="1"/>
  <c r="CN54" i="1"/>
  <c r="Z359" i="1"/>
  <c r="Z358" i="1" s="1"/>
  <c r="Z316" i="1"/>
  <c r="Z321" i="1"/>
  <c r="Z379" i="1"/>
  <c r="Z319" i="1" s="1"/>
  <c r="Z291" i="1"/>
  <c r="Z334" i="1"/>
  <c r="AA321" i="1"/>
  <c r="AA71" i="1"/>
  <c r="AA74" i="1"/>
  <c r="CN502" i="1"/>
  <c r="AA130" i="1"/>
  <c r="CM440" i="1"/>
  <c r="CN25" i="1"/>
  <c r="CN26" i="1"/>
  <c r="CL373" i="1"/>
  <c r="CL315" i="1" s="1"/>
  <c r="CN267" i="1"/>
  <c r="CN87" i="1" s="1"/>
  <c r="CN165" i="1"/>
  <c r="CN164" i="1"/>
  <c r="CN34" i="1"/>
  <c r="CM71" i="1"/>
  <c r="CM291" i="1"/>
  <c r="CM294" i="1" s="1"/>
  <c r="X305" i="1"/>
  <c r="CM363" i="1"/>
  <c r="CM305" i="1" s="1"/>
  <c r="CM368" i="1"/>
  <c r="CM310" i="1" s="1"/>
  <c r="X310" i="1"/>
  <c r="CN35" i="1"/>
  <c r="Z78" i="1"/>
  <c r="Z369" i="1"/>
  <c r="Z368" i="1" s="1"/>
  <c r="Z74" i="1"/>
  <c r="Z71" i="1"/>
  <c r="X317" i="1"/>
  <c r="X322" i="1"/>
  <c r="X323" i="1" s="1"/>
  <c r="AB5" i="1"/>
  <c r="AB93" i="1" s="1"/>
  <c r="CM809" i="1"/>
  <c r="CM808" i="1"/>
  <c r="CM117" i="1"/>
  <c r="CM811" i="1"/>
  <c r="CM110" i="1"/>
  <c r="CM810" i="1"/>
  <c r="CM112" i="1"/>
  <c r="CM89" i="1"/>
  <c r="CN266" i="1"/>
  <c r="CN24" i="1"/>
  <c r="CN350" i="1"/>
  <c r="CN351" i="1"/>
  <c r="V374" i="1"/>
  <c r="CN180" i="1"/>
  <c r="X352" i="1"/>
  <c r="X295" i="1"/>
  <c r="X353" i="1" s="1"/>
  <c r="X300" i="1"/>
  <c r="CM358" i="1"/>
  <c r="CM300" i="1" s="1"/>
  <c r="CM73" i="1" s="1"/>
  <c r="AB737" i="1"/>
  <c r="AB763" i="1" s="1"/>
  <c r="CM84" i="1"/>
  <c r="CM113" i="1"/>
  <c r="CM118" i="1"/>
  <c r="CM86" i="1"/>
  <c r="CK391" i="1"/>
  <c r="CK319" i="1"/>
  <c r="CK322" i="1" s="1"/>
  <c r="CK323" i="1" s="1"/>
  <c r="CN166" i="1"/>
  <c r="Z76" i="1"/>
  <c r="Z364" i="1"/>
  <c r="Z363" i="1" s="1"/>
  <c r="Z344" i="1"/>
  <c r="Z77" i="1"/>
  <c r="Z339" i="1"/>
  <c r="Z75" i="1"/>
  <c r="AD3" i="1"/>
  <c r="AD2" i="1"/>
  <c r="AE725" i="1" s="1"/>
  <c r="CO210" i="1"/>
  <c r="CO208" i="1"/>
  <c r="V261" i="1"/>
  <c r="V376" i="1" s="1"/>
  <c r="CL376" i="1" s="1"/>
  <c r="CL318" i="1" s="1"/>
  <c r="CL80" i="1" s="1"/>
  <c r="CN23" i="1"/>
  <c r="CO398" i="1"/>
  <c r="CO602" i="1"/>
  <c r="CN395" i="1"/>
  <c r="F59" i="2" l="1"/>
  <c r="G14" i="2"/>
  <c r="G79" i="2" s="1"/>
  <c r="F79" i="2"/>
  <c r="F30" i="2"/>
  <c r="H2" i="7"/>
  <c r="G2" i="7" s="1"/>
  <c r="F2" i="7" s="1"/>
  <c r="F1" i="7" s="1"/>
  <c r="BB2" i="24"/>
  <c r="DG1" i="1"/>
  <c r="DF3" i="1"/>
  <c r="DF2" i="1"/>
  <c r="BA3" i="24"/>
  <c r="DF540" i="1"/>
  <c r="BL540" i="1"/>
  <c r="BM540" i="1" s="1"/>
  <c r="BM565" i="1"/>
  <c r="BN565" i="1" s="1"/>
  <c r="AF1" i="1"/>
  <c r="BK555" i="1"/>
  <c r="BL555" i="1" s="1"/>
  <c r="BM555" i="1" s="1"/>
  <c r="DF565" i="1"/>
  <c r="BI539" i="1"/>
  <c r="BJ539" i="1" s="1"/>
  <c r="BH588" i="1"/>
  <c r="BG588" i="1"/>
  <c r="DD588" i="1" s="1"/>
  <c r="DD539" i="1"/>
  <c r="BA536" i="1"/>
  <c r="BA623" i="1" s="1"/>
  <c r="DB142" i="1"/>
  <c r="BD142" i="1"/>
  <c r="BE571" i="1"/>
  <c r="X182" i="9"/>
  <c r="X166" i="9" s="1"/>
  <c r="BC499" i="1"/>
  <c r="BB522" i="1"/>
  <c r="AZ623" i="1"/>
  <c r="AC86" i="1"/>
  <c r="AC93" i="1"/>
  <c r="AC88" i="1"/>
  <c r="AC109" i="1"/>
  <c r="AC113" i="1"/>
  <c r="AC84" i="1"/>
  <c r="AC112" i="1"/>
  <c r="AC87" i="1"/>
  <c r="AC808" i="1"/>
  <c r="AC809" i="1"/>
  <c r="AC350" i="1"/>
  <c r="AC351" i="1"/>
  <c r="AC318" i="1"/>
  <c r="AC737" i="1"/>
  <c r="AC763" i="1" s="1"/>
  <c r="CT706" i="1"/>
  <c r="CW681" i="1"/>
  <c r="CW678" i="1"/>
  <c r="V8" i="9"/>
  <c r="V9" i="9" s="1"/>
  <c r="V167" i="9"/>
  <c r="V168" i="9" s="1"/>
  <c r="V186" i="9"/>
  <c r="V190" i="9" s="1"/>
  <c r="V169" i="9"/>
  <c r="V11" i="9" s="1"/>
  <c r="X178" i="9"/>
  <c r="X162" i="9" s="1"/>
  <c r="W179" i="9"/>
  <c r="Y354" i="1"/>
  <c r="Y391" i="1" s="1"/>
  <c r="CM353" i="1"/>
  <c r="AB311" i="1"/>
  <c r="AB97" i="1"/>
  <c r="AB276" i="1"/>
  <c r="AB286" i="1"/>
  <c r="AB77" i="1" s="1"/>
  <c r="AB301" i="1"/>
  <c r="AB351" i="1"/>
  <c r="AB350" i="1"/>
  <c r="AB281" i="1"/>
  <c r="AB75" i="1" s="1"/>
  <c r="AB296" i="1"/>
  <c r="AB379" i="1" s="1"/>
  <c r="AB306" i="1"/>
  <c r="AC23" i="1"/>
  <c r="CN57" i="1"/>
  <c r="CN56" i="1"/>
  <c r="Z374" i="1"/>
  <c r="Z294" i="1"/>
  <c r="Z349" i="1"/>
  <c r="Z322" i="1"/>
  <c r="Z323" i="1" s="1"/>
  <c r="Z317" i="1"/>
  <c r="AC26" i="1"/>
  <c r="AB23" i="1"/>
  <c r="CO128" i="1"/>
  <c r="CO737" i="1" s="1"/>
  <c r="CO763" i="1" s="1"/>
  <c r="AC24" i="1"/>
  <c r="AB24" i="1"/>
  <c r="AC25" i="1"/>
  <c r="CO165" i="1"/>
  <c r="AB265" i="1"/>
  <c r="AB88" i="1" s="1"/>
  <c r="CO63" i="1"/>
  <c r="CO209" i="1"/>
  <c r="CO64" i="1" s="1"/>
  <c r="AE2" i="1"/>
  <c r="AF725" i="1" s="1"/>
  <c r="AE3" i="1"/>
  <c r="CN159" i="1"/>
  <c r="CK81" i="1"/>
  <c r="CK269" i="1"/>
  <c r="CK325" i="1"/>
  <c r="CL374" i="1"/>
  <c r="CL316" i="1" s="1"/>
  <c r="CO738" i="1"/>
  <c r="CO764" i="1" s="1"/>
  <c r="AB25" i="1"/>
  <c r="Y189" i="9" s="1"/>
  <c r="CO18" i="1"/>
  <c r="CO20" i="1"/>
  <c r="X269" i="1"/>
  <c r="X81" i="1"/>
  <c r="X325" i="1"/>
  <c r="CN432" i="1"/>
  <c r="CN93" i="1" s="1"/>
  <c r="AA705" i="1"/>
  <c r="CL321" i="1"/>
  <c r="AB26" i="1"/>
  <c r="Y208" i="9" s="1"/>
  <c r="CN158" i="1"/>
  <c r="CN179" i="1"/>
  <c r="X315" i="1"/>
  <c r="X373" i="1" s="1"/>
  <c r="CM373" i="1" s="1"/>
  <c r="CM315" i="1" s="1"/>
  <c r="X73" i="1"/>
  <c r="CM352" i="1"/>
  <c r="X354" i="1"/>
  <c r="AA176" i="1"/>
  <c r="AA145" i="1" s="1"/>
  <c r="CN157" i="1"/>
  <c r="CO19" i="1"/>
  <c r="X375" i="1"/>
  <c r="X79" i="1"/>
  <c r="X380" i="1"/>
  <c r="CM380" i="1" s="1"/>
  <c r="CN170" i="1"/>
  <c r="CN167" i="1"/>
  <c r="CN223" i="1" s="1"/>
  <c r="V317" i="1"/>
  <c r="G30" i="2" l="1"/>
  <c r="I2" i="7"/>
  <c r="J2" i="7" s="1"/>
  <c r="G59" i="2"/>
  <c r="G127" i="2"/>
  <c r="DH1" i="1"/>
  <c r="BC2" i="24"/>
  <c r="DG3" i="1"/>
  <c r="DG2" i="1"/>
  <c r="BB3" i="24"/>
  <c r="DG555" i="1"/>
  <c r="BN555" i="1"/>
  <c r="BN589" i="1" s="1"/>
  <c r="BO565" i="1"/>
  <c r="DG540" i="1"/>
  <c r="BN540" i="1"/>
  <c r="BL589" i="1"/>
  <c r="BM589" i="1"/>
  <c r="DG589" i="1" s="1"/>
  <c r="DG565" i="1"/>
  <c r="AF3" i="1"/>
  <c r="AG1" i="1"/>
  <c r="AF2" i="1"/>
  <c r="DF555" i="1"/>
  <c r="BK539" i="1"/>
  <c r="BL539" i="1" s="1"/>
  <c r="BJ588" i="1"/>
  <c r="BK589" i="1"/>
  <c r="DF589" i="1" s="1"/>
  <c r="AP737" i="1"/>
  <c r="AP763" i="1" s="1"/>
  <c r="AP318" i="1"/>
  <c r="BI588" i="1"/>
  <c r="DE588" i="1" s="1"/>
  <c r="DE539" i="1"/>
  <c r="DC571" i="1"/>
  <c r="BF571" i="1"/>
  <c r="DA536" i="1"/>
  <c r="DA623" i="1" s="1"/>
  <c r="AC309" i="1"/>
  <c r="AC304" i="1"/>
  <c r="X183" i="9"/>
  <c r="BC522" i="1"/>
  <c r="DB522" i="1" s="1"/>
  <c r="BD499" i="1"/>
  <c r="BE142" i="1"/>
  <c r="BD762" i="1"/>
  <c r="DB499" i="1"/>
  <c r="F16" i="23" s="1"/>
  <c r="BB536" i="1"/>
  <c r="AE5" i="1"/>
  <c r="AE318" i="1"/>
  <c r="Y188" i="9"/>
  <c r="Z182" i="9"/>
  <c r="Z189" i="9"/>
  <c r="Z188" i="9" s="1"/>
  <c r="AC306" i="1"/>
  <c r="AC301" i="1"/>
  <c r="AC74" i="1" s="1"/>
  <c r="AC311" i="1"/>
  <c r="AC286" i="1"/>
  <c r="AC281" i="1"/>
  <c r="AC276" i="1"/>
  <c r="AC71" i="1" s="1"/>
  <c r="AC296" i="1"/>
  <c r="CX678" i="1"/>
  <c r="CX681" i="1"/>
  <c r="CU706" i="1"/>
  <c r="CM354" i="1"/>
  <c r="CM296" i="1" s="1"/>
  <c r="CM321" i="1" s="1"/>
  <c r="CP208" i="1"/>
  <c r="CP63" i="1" s="1"/>
  <c r="V170" i="9"/>
  <c r="V174" i="9" s="1"/>
  <c r="Y207" i="9"/>
  <c r="Y206" i="9" s="1"/>
  <c r="Y182" i="9"/>
  <c r="W162" i="9"/>
  <c r="W163" i="9" s="1"/>
  <c r="W165" i="9" s="1"/>
  <c r="X163" i="9"/>
  <c r="X165" i="9" s="1"/>
  <c r="X4" i="9"/>
  <c r="X167" i="9"/>
  <c r="X8" i="9"/>
  <c r="W166" i="9"/>
  <c r="W167" i="9" s="1"/>
  <c r="X179" i="9"/>
  <c r="W184" i="9"/>
  <c r="W185" i="9" s="1"/>
  <c r="W181" i="9"/>
  <c r="X181" i="9" s="1"/>
  <c r="V21" i="9"/>
  <c r="V10" i="9"/>
  <c r="V22" i="9"/>
  <c r="AB364" i="1"/>
  <c r="AB76" i="1"/>
  <c r="AB369" i="1"/>
  <c r="AB78" i="1"/>
  <c r="AB359" i="1"/>
  <c r="AB74" i="1"/>
  <c r="AB334" i="1"/>
  <c r="AB71" i="1"/>
  <c r="CO351" i="1"/>
  <c r="CO23" i="1"/>
  <c r="CP398" i="1"/>
  <c r="CO180" i="1"/>
  <c r="CO26" i="1"/>
  <c r="CN52" i="1"/>
  <c r="CN222" i="1"/>
  <c r="CN59" i="1"/>
  <c r="CN48" i="1" s="1"/>
  <c r="Z352" i="1"/>
  <c r="Z295" i="1"/>
  <c r="Z353" i="1" s="1"/>
  <c r="Z375" i="1"/>
  <c r="Z377" i="1" s="1"/>
  <c r="Z380" i="1"/>
  <c r="CO24" i="1"/>
  <c r="CN53" i="1"/>
  <c r="CO25" i="1"/>
  <c r="CN102" i="1"/>
  <c r="CN397" i="1"/>
  <c r="CO160" i="1"/>
  <c r="CO164" i="1"/>
  <c r="CN161" i="1"/>
  <c r="CN218" i="1" s="1"/>
  <c r="CN171" i="1"/>
  <c r="CN708" i="1"/>
  <c r="AD5" i="1"/>
  <c r="CP210" i="1"/>
  <c r="Z81" i="1"/>
  <c r="Z325" i="1"/>
  <c r="Z269" i="1"/>
  <c r="V79" i="1"/>
  <c r="V380" i="1"/>
  <c r="CL380" i="1" s="1"/>
  <c r="V375" i="1"/>
  <c r="CN192" i="1"/>
  <c r="AA339" i="1"/>
  <c r="AA222" i="1"/>
  <c r="AA223" i="1"/>
  <c r="CM375" i="1"/>
  <c r="CM317" i="1" s="1"/>
  <c r="CM79" i="1" s="1"/>
  <c r="X377" i="1"/>
  <c r="AB176" i="1"/>
  <c r="AB145" i="1" s="1"/>
  <c r="CN176" i="1"/>
  <c r="CN610" i="1"/>
  <c r="CN172" i="1"/>
  <c r="Z79" i="1"/>
  <c r="CO265" i="1"/>
  <c r="CN705" i="1"/>
  <c r="CQ553" i="1"/>
  <c r="CP602" i="1"/>
  <c r="BC3" i="24" l="1"/>
  <c r="DI1" i="1"/>
  <c r="BD2" i="24"/>
  <c r="DH2" i="1"/>
  <c r="DH3" i="1"/>
  <c r="M5" i="7"/>
  <c r="M32" i="7" s="1"/>
  <c r="F38" i="7"/>
  <c r="F14" i="7"/>
  <c r="F47" i="7"/>
  <c r="G1" i="7"/>
  <c r="DH565" i="1"/>
  <c r="BP565" i="1"/>
  <c r="BO540" i="1"/>
  <c r="BO555" i="1"/>
  <c r="BM539" i="1"/>
  <c r="BN539" i="1" s="1"/>
  <c r="BL588" i="1"/>
  <c r="AH1" i="1"/>
  <c r="DF539" i="1"/>
  <c r="BK588" i="1"/>
  <c r="DF588" i="1" s="1"/>
  <c r="AP59" i="1"/>
  <c r="AP60" i="1"/>
  <c r="AP56" i="1"/>
  <c r="AP57" i="1"/>
  <c r="DC142" i="1"/>
  <c r="DC762" i="1" s="1"/>
  <c r="BF142" i="1"/>
  <c r="BG571" i="1"/>
  <c r="AE309" i="1"/>
  <c r="AE304" i="1"/>
  <c r="AE299" i="1"/>
  <c r="BC536" i="1"/>
  <c r="BC623" i="1" s="1"/>
  <c r="X184" i="9"/>
  <c r="BD522" i="1"/>
  <c r="BE499" i="1"/>
  <c r="BE762" i="1"/>
  <c r="X168" i="9"/>
  <c r="BB623" i="1"/>
  <c r="AE281" i="1"/>
  <c r="AE296" i="1"/>
  <c r="AE276" i="1"/>
  <c r="AE71" i="1" s="1"/>
  <c r="AE301" i="1"/>
  <c r="AE74" i="1" s="1"/>
  <c r="CO56" i="1"/>
  <c r="CN248" i="1"/>
  <c r="AE93" i="1"/>
  <c r="AD86" i="1"/>
  <c r="AE23" i="1"/>
  <c r="AE26" i="1"/>
  <c r="AE24" i="1"/>
  <c r="AE25" i="1"/>
  <c r="AC182" i="9" s="1"/>
  <c r="AE117" i="1"/>
  <c r="AE113" i="1"/>
  <c r="AE111" i="1"/>
  <c r="AE109" i="1"/>
  <c r="AE88" i="1"/>
  <c r="AE86" i="1"/>
  <c r="AE84" i="1"/>
  <c r="AE118" i="1"/>
  <c r="AE112" i="1"/>
  <c r="AE110" i="1"/>
  <c r="AE87" i="1"/>
  <c r="AE85" i="1"/>
  <c r="AE97" i="1"/>
  <c r="AE811" i="1"/>
  <c r="AE809" i="1"/>
  <c r="AE791" i="1"/>
  <c r="AE810" i="1"/>
  <c r="AE808" i="1"/>
  <c r="AE790" i="1"/>
  <c r="CM295" i="1"/>
  <c r="AE286" i="1"/>
  <c r="AE351" i="1"/>
  <c r="AE350" i="1"/>
  <c r="AE311" i="1"/>
  <c r="AE306" i="1"/>
  <c r="AE376" i="1"/>
  <c r="CY681" i="1"/>
  <c r="CY678" i="1"/>
  <c r="CO54" i="1"/>
  <c r="AD109" i="1"/>
  <c r="AD93" i="1"/>
  <c r="AD88" i="1"/>
  <c r="AD110" i="1"/>
  <c r="AD808" i="1"/>
  <c r="AD811" i="1"/>
  <c r="AD117" i="1"/>
  <c r="AD112" i="1"/>
  <c r="AD810" i="1"/>
  <c r="AD809" i="1"/>
  <c r="AD118" i="1"/>
  <c r="AD113" i="1"/>
  <c r="AD84" i="1"/>
  <c r="AD111" i="1"/>
  <c r="AD87" i="1"/>
  <c r="AD85" i="1"/>
  <c r="AD24" i="1"/>
  <c r="AD23" i="1"/>
  <c r="AD26" i="1"/>
  <c r="AD25" i="1"/>
  <c r="AB182" i="9" s="1"/>
  <c r="AD351" i="1"/>
  <c r="AD350" i="1"/>
  <c r="AA189" i="9"/>
  <c r="AA188" i="9" s="1"/>
  <c r="AC344" i="1"/>
  <c r="AC77" i="1"/>
  <c r="AC369" i="1"/>
  <c r="AC78" i="1"/>
  <c r="AC364" i="1"/>
  <c r="AC76" i="1"/>
  <c r="AC339" i="1"/>
  <c r="AC75" i="1"/>
  <c r="AC321" i="1"/>
  <c r="AC379" i="1"/>
  <c r="AC291" i="1"/>
  <c r="AC294" i="1" s="1"/>
  <c r="AC334" i="1"/>
  <c r="CV706" i="1"/>
  <c r="V12" i="9"/>
  <c r="V16" i="9" s="1"/>
  <c r="V24" i="9" s="1"/>
  <c r="V23" i="9"/>
  <c r="V25" i="9"/>
  <c r="W186" i="9"/>
  <c r="W190" i="9" s="1"/>
  <c r="X190" i="9" s="1"/>
  <c r="X185" i="9"/>
  <c r="X169" i="9" s="1"/>
  <c r="W168" i="9"/>
  <c r="Y183" i="9"/>
  <c r="Y184" i="9" s="1"/>
  <c r="Y185" i="9" s="1"/>
  <c r="Y166" i="9"/>
  <c r="X9" i="9"/>
  <c r="W8" i="9"/>
  <c r="W9" i="9" s="1"/>
  <c r="X20" i="9"/>
  <c r="AA20" i="9"/>
  <c r="W4" i="9"/>
  <c r="X5" i="9"/>
  <c r="Z433" i="1"/>
  <c r="CN339" i="1"/>
  <c r="CN281" i="1" s="1"/>
  <c r="CN75" i="1" s="1"/>
  <c r="CN96" i="1"/>
  <c r="CO166" i="1"/>
  <c r="Z354" i="1"/>
  <c r="Z391" i="1" s="1"/>
  <c r="CN58" i="1"/>
  <c r="CN247" i="1"/>
  <c r="CN217" i="1"/>
  <c r="CN215" i="1"/>
  <c r="CN60" i="1"/>
  <c r="CN49" i="1" s="1"/>
  <c r="CN216" i="1"/>
  <c r="CO432" i="1"/>
  <c r="AA178" i="1"/>
  <c r="CN173" i="1"/>
  <c r="CN227" i="1" s="1"/>
  <c r="CP128" i="1"/>
  <c r="CP737" i="1" s="1"/>
  <c r="CP763" i="1" s="1"/>
  <c r="CN103" i="1"/>
  <c r="AA434" i="1"/>
  <c r="CN709" i="1"/>
  <c r="CN145" i="1"/>
  <c r="AG2" i="1"/>
  <c r="AH725" i="1" s="1"/>
  <c r="AG3" i="1"/>
  <c r="CO172" i="1"/>
  <c r="CO60" i="1" s="1"/>
  <c r="CM377" i="1"/>
  <c r="X391" i="1"/>
  <c r="AB222" i="1"/>
  <c r="AB339" i="1"/>
  <c r="AB223" i="1"/>
  <c r="CL375" i="1"/>
  <c r="CL317" i="1" s="1"/>
  <c r="CL79" i="1" s="1"/>
  <c r="V377" i="1"/>
  <c r="CO179" i="1"/>
  <c r="CO171" i="1"/>
  <c r="CN186" i="1"/>
  <c r="AA344" i="1"/>
  <c r="CN344" i="1" s="1"/>
  <c r="AA228" i="1"/>
  <c r="AA227" i="1"/>
  <c r="CO192" i="1"/>
  <c r="CO167" i="1"/>
  <c r="CO222" i="1" s="1"/>
  <c r="CO157" i="1"/>
  <c r="CN193" i="1"/>
  <c r="CN364" i="1"/>
  <c r="CO159" i="1"/>
  <c r="CO158" i="1"/>
  <c r="AB267" i="1"/>
  <c r="AB87" i="1" s="1"/>
  <c r="CO266" i="1"/>
  <c r="CP209" i="1"/>
  <c r="CP64" i="1" s="1"/>
  <c r="AA216" i="1"/>
  <c r="AA218" i="1"/>
  <c r="AA215" i="1"/>
  <c r="AA217" i="1"/>
  <c r="AA234" i="1"/>
  <c r="CO170" i="1"/>
  <c r="CP265" i="1"/>
  <c r="CQ554" i="1"/>
  <c r="BE2" i="24" l="1"/>
  <c r="DI3" i="1"/>
  <c r="G3" i="2" s="1"/>
  <c r="DI2" i="1"/>
  <c r="C2" i="24"/>
  <c r="BD3" i="24"/>
  <c r="G47" i="7"/>
  <c r="N5" i="7"/>
  <c r="N32" i="7" s="1"/>
  <c r="G38" i="7"/>
  <c r="H1" i="7"/>
  <c r="O5" i="7" s="1"/>
  <c r="G14" i="7"/>
  <c r="DH555" i="1"/>
  <c r="BP555" i="1"/>
  <c r="BP589" i="1" s="1"/>
  <c r="DH540" i="1"/>
  <c r="BP540" i="1"/>
  <c r="BQ565" i="1"/>
  <c r="DI565" i="1" s="1"/>
  <c r="BO539" i="1"/>
  <c r="BP539" i="1" s="1"/>
  <c r="BN588" i="1"/>
  <c r="BO589" i="1"/>
  <c r="DH589" i="1" s="1"/>
  <c r="DB536" i="1"/>
  <c r="DB623" i="1" s="1"/>
  <c r="BM588" i="1"/>
  <c r="DG588" i="1" s="1"/>
  <c r="DG539" i="1"/>
  <c r="AI1" i="1"/>
  <c r="AH3" i="1"/>
  <c r="AH2" i="1"/>
  <c r="AI725" i="1" s="1"/>
  <c r="DD571" i="1"/>
  <c r="BH571" i="1"/>
  <c r="BE522" i="1"/>
  <c r="BE536" i="1" s="1"/>
  <c r="BE623" i="1" s="1"/>
  <c r="BF499" i="1"/>
  <c r="BG142" i="1"/>
  <c r="BF762" i="1"/>
  <c r="AC295" i="1"/>
  <c r="AC353" i="1" s="1"/>
  <c r="CO248" i="1"/>
  <c r="X170" i="9"/>
  <c r="X174" i="9" s="1"/>
  <c r="W174" i="9" s="1"/>
  <c r="DC499" i="1"/>
  <c r="G16" i="23" s="1"/>
  <c r="BD536" i="1"/>
  <c r="CQ234" i="1"/>
  <c r="CQ237" i="1" s="1"/>
  <c r="CQ262" i="1"/>
  <c r="CQ259" i="1"/>
  <c r="CQ260" i="1" s="1"/>
  <c r="AF5" i="1"/>
  <c r="AG5" i="1"/>
  <c r="CZ678" i="1"/>
  <c r="BA678" i="1"/>
  <c r="CZ681" i="1"/>
  <c r="BA681" i="1"/>
  <c r="CO57" i="1"/>
  <c r="CO223" i="1"/>
  <c r="CO52" i="1"/>
  <c r="CO59" i="1"/>
  <c r="CN243" i="1"/>
  <c r="CO247" i="1"/>
  <c r="AG318" i="1"/>
  <c r="AE364" i="1"/>
  <c r="AE76" i="1"/>
  <c r="AE369" i="1"/>
  <c r="AE78" i="1"/>
  <c r="AE339" i="1"/>
  <c r="AE75" i="1"/>
  <c r="AE344" i="1"/>
  <c r="AE77" i="1"/>
  <c r="AE359" i="1"/>
  <c r="AE316" i="1"/>
  <c r="AE379" i="1"/>
  <c r="AE321" i="1"/>
  <c r="AE291" i="1"/>
  <c r="AE294" i="1" s="1"/>
  <c r="AE334" i="1"/>
  <c r="CO53" i="1"/>
  <c r="X186" i="9"/>
  <c r="CW706" i="1"/>
  <c r="W20" i="9"/>
  <c r="W5" i="9"/>
  <c r="W21" i="9" s="1"/>
  <c r="Z20" i="9"/>
  <c r="X21" i="9"/>
  <c r="X22" i="9"/>
  <c r="Y8" i="9"/>
  <c r="Y9" i="9" s="1"/>
  <c r="Y167" i="9"/>
  <c r="Y168" i="9" s="1"/>
  <c r="Y186" i="9"/>
  <c r="Y190" i="9" s="1"/>
  <c r="Y169" i="9"/>
  <c r="Y11" i="9" s="1"/>
  <c r="X7" i="9"/>
  <c r="X10" i="9"/>
  <c r="W22" i="9"/>
  <c r="AA182" i="9"/>
  <c r="Z183" i="9"/>
  <c r="Z184" i="9" s="1"/>
  <c r="X11" i="9"/>
  <c r="W169" i="9"/>
  <c r="W11" i="9" s="1"/>
  <c r="Z440" i="1"/>
  <c r="AA96" i="1" s="1"/>
  <c r="CP351" i="1"/>
  <c r="CN434" i="1"/>
  <c r="AA181" i="1"/>
  <c r="CN181" i="1" s="1"/>
  <c r="CN154" i="1" s="1"/>
  <c r="AA667" i="1"/>
  <c r="AA237" i="1"/>
  <c r="AA238" i="1" s="1"/>
  <c r="AA291" i="1"/>
  <c r="AA349" i="1" s="1"/>
  <c r="CQ398" i="1"/>
  <c r="CO93" i="1"/>
  <c r="CN178" i="1"/>
  <c r="AA177" i="1"/>
  <c r="AA114" i="1" s="1"/>
  <c r="CN55" i="1"/>
  <c r="CN242" i="1"/>
  <c r="AA433" i="1"/>
  <c r="AA440" i="1" s="1"/>
  <c r="CN228" i="1"/>
  <c r="CN232" i="1"/>
  <c r="CN233" i="1" s="1"/>
  <c r="AA111" i="1"/>
  <c r="CO350" i="1"/>
  <c r="CN198" i="1"/>
  <c r="CN369" i="1"/>
  <c r="CN306" i="1"/>
  <c r="CN76" i="1" s="1"/>
  <c r="AA790" i="1"/>
  <c r="CN106" i="1"/>
  <c r="CP266" i="1"/>
  <c r="CO58" i="1"/>
  <c r="CO173" i="1"/>
  <c r="CO228" i="1" s="1"/>
  <c r="CO198" i="1"/>
  <c r="AA232" i="1"/>
  <c r="AA109" i="1" s="1"/>
  <c r="CO267" i="1"/>
  <c r="CO87" i="1" s="1"/>
  <c r="CN187" i="1"/>
  <c r="CN205" i="1"/>
  <c r="CO339" i="1"/>
  <c r="CO281" i="1" s="1"/>
  <c r="CN286" i="1"/>
  <c r="CN77" i="1" s="1"/>
  <c r="AB178" i="1"/>
  <c r="CO708" i="1"/>
  <c r="CP267" i="1"/>
  <c r="CP87" i="1" s="1"/>
  <c r="CN469" i="1"/>
  <c r="AB217" i="1"/>
  <c r="AB216" i="1"/>
  <c r="AB218" i="1"/>
  <c r="AB215" i="1"/>
  <c r="CO161" i="1"/>
  <c r="CO215" i="1" s="1"/>
  <c r="CO176" i="1"/>
  <c r="CN199" i="1"/>
  <c r="CN204" i="1"/>
  <c r="CL377" i="1"/>
  <c r="V391" i="1"/>
  <c r="CM319" i="1"/>
  <c r="CM322" i="1" s="1"/>
  <c r="CM323" i="1" s="1"/>
  <c r="CM391" i="1"/>
  <c r="CQ210" i="1"/>
  <c r="CQ602" i="1"/>
  <c r="DI647" i="1" l="1"/>
  <c r="D2" i="24"/>
  <c r="BE3" i="24"/>
  <c r="J7" i="7"/>
  <c r="U4" i="17"/>
  <c r="C3" i="24"/>
  <c r="DI643" i="1"/>
  <c r="I1" i="7"/>
  <c r="O32" i="7"/>
  <c r="H14" i="7"/>
  <c r="H47" i="7"/>
  <c r="H38" i="7"/>
  <c r="BQ540" i="1"/>
  <c r="DI540" i="1" s="1"/>
  <c r="BQ555" i="1"/>
  <c r="DI555" i="1" s="1"/>
  <c r="BQ539" i="1"/>
  <c r="BP588" i="1"/>
  <c r="BO588" i="1"/>
  <c r="DH588" i="1" s="1"/>
  <c r="DH539" i="1"/>
  <c r="DC522" i="1"/>
  <c r="AJ1" i="1"/>
  <c r="AI2" i="1"/>
  <c r="AI3" i="1"/>
  <c r="BI571" i="1"/>
  <c r="DD142" i="1"/>
  <c r="DD762" i="1" s="1"/>
  <c r="BH142" i="1"/>
  <c r="BG762" i="1"/>
  <c r="BF522" i="1"/>
  <c r="BG499" i="1"/>
  <c r="AG309" i="1"/>
  <c r="AG304" i="1"/>
  <c r="AG299" i="1"/>
  <c r="AG311" i="1"/>
  <c r="AG301" i="1"/>
  <c r="AG306" i="1"/>
  <c r="AF301" i="1"/>
  <c r="AF359" i="1" s="1"/>
  <c r="AF306" i="1"/>
  <c r="AF364" i="1" s="1"/>
  <c r="AF311" i="1"/>
  <c r="AF369" i="1" s="1"/>
  <c r="BD623" i="1"/>
  <c r="DC536" i="1"/>
  <c r="CR259" i="1"/>
  <c r="CR267" i="1"/>
  <c r="CR265" i="1"/>
  <c r="CR266" i="1"/>
  <c r="DA681" i="1"/>
  <c r="BB681" i="1"/>
  <c r="BC681" i="1" s="1"/>
  <c r="DA678" i="1"/>
  <c r="BB678" i="1"/>
  <c r="BC678" i="1" s="1"/>
  <c r="CQ261" i="1"/>
  <c r="CQ238" i="1"/>
  <c r="AG783" i="1"/>
  <c r="AF93" i="1"/>
  <c r="X25" i="9"/>
  <c r="AG110" i="1"/>
  <c r="AG112" i="1"/>
  <c r="AG117" i="1"/>
  <c r="AG84" i="1"/>
  <c r="AG86" i="1"/>
  <c r="AG88" i="1"/>
  <c r="AG350" i="1"/>
  <c r="AG296" i="1"/>
  <c r="AG281" i="1"/>
  <c r="AG109" i="1"/>
  <c r="AG111" i="1"/>
  <c r="AG113" i="1"/>
  <c r="AG118" i="1"/>
  <c r="AG93" i="1"/>
  <c r="AG85" i="1"/>
  <c r="AG87" i="1"/>
  <c r="AG89" i="1"/>
  <c r="AG351" i="1"/>
  <c r="AG286" i="1"/>
  <c r="AG276" i="1"/>
  <c r="AG376" i="1"/>
  <c r="CQ267" i="1"/>
  <c r="CQ265" i="1"/>
  <c r="AF276" i="1"/>
  <c r="CQ266" i="1"/>
  <c r="AF296" i="1"/>
  <c r="AF281" i="1"/>
  <c r="CO227" i="1"/>
  <c r="CO232" i="1" s="1"/>
  <c r="CO233" i="1" s="1"/>
  <c r="CO253" i="1"/>
  <c r="CO252" i="1"/>
  <c r="CN252" i="1"/>
  <c r="CN257" i="1" s="1"/>
  <c r="AF350" i="1"/>
  <c r="AF88" i="1"/>
  <c r="AF351" i="1"/>
  <c r="AF97" i="1"/>
  <c r="AF112" i="1"/>
  <c r="AF117" i="1"/>
  <c r="AF109" i="1"/>
  <c r="AF86" i="1"/>
  <c r="AF118" i="1"/>
  <c r="AF113" i="1"/>
  <c r="AF84" i="1"/>
  <c r="AF111" i="1"/>
  <c r="AF110" i="1"/>
  <c r="AF87" i="1"/>
  <c r="AF85" i="1"/>
  <c r="AF376" i="1"/>
  <c r="AF24" i="1"/>
  <c r="AF23" i="1"/>
  <c r="AF26" i="1"/>
  <c r="AF25" i="1"/>
  <c r="AE182" i="9" s="1"/>
  <c r="CQ546" i="1"/>
  <c r="CO216" i="1"/>
  <c r="CO218" i="1"/>
  <c r="CO217" i="1"/>
  <c r="AF286" i="1"/>
  <c r="AF809" i="1"/>
  <c r="AF811" i="1"/>
  <c r="AF810" i="1"/>
  <c r="AF808" i="1"/>
  <c r="AE295" i="1"/>
  <c r="AE353" i="1" s="1"/>
  <c r="AE374" i="1"/>
  <c r="AE349" i="1"/>
  <c r="AE352" i="1" s="1"/>
  <c r="AB667" i="1"/>
  <c r="AC111" i="1"/>
  <c r="AC110" i="1"/>
  <c r="AA154" i="1"/>
  <c r="CX706" i="1"/>
  <c r="CO610" i="1"/>
  <c r="CO145" i="1" s="1"/>
  <c r="Z185" i="9"/>
  <c r="AA185" i="9" s="1"/>
  <c r="AA169" i="9" s="1"/>
  <c r="X23" i="9"/>
  <c r="X12" i="9"/>
  <c r="X16" i="9" s="1"/>
  <c r="X24" i="9" s="1"/>
  <c r="W170" i="9"/>
  <c r="Y22" i="9"/>
  <c r="Y10" i="9"/>
  <c r="Y25" i="9" s="1"/>
  <c r="Y21" i="9"/>
  <c r="W7" i="9"/>
  <c r="W10" i="9"/>
  <c r="AB183" i="9"/>
  <c r="AB184" i="9" s="1"/>
  <c r="AB185" i="9" s="1"/>
  <c r="AB166" i="9"/>
  <c r="AA183" i="9"/>
  <c r="AA184" i="9" s="1"/>
  <c r="AA166" i="9"/>
  <c r="Y170" i="9"/>
  <c r="AB433" i="1"/>
  <c r="CN433" i="1"/>
  <c r="AA146" i="1"/>
  <c r="AA147" i="1"/>
  <c r="AA294" i="1"/>
  <c r="AA295" i="1" s="1"/>
  <c r="AA353" i="1" s="1"/>
  <c r="CN177" i="1"/>
  <c r="CP432" i="1"/>
  <c r="CO75" i="1"/>
  <c r="CQ128" i="1"/>
  <c r="CQ737" i="1" s="1"/>
  <c r="CQ763" i="1" s="1"/>
  <c r="AB227" i="1"/>
  <c r="AB232" i="1" s="1"/>
  <c r="AB109" i="1" s="1"/>
  <c r="AA233" i="1"/>
  <c r="AA112" i="1"/>
  <c r="AA110" i="1"/>
  <c r="CN84" i="1"/>
  <c r="CN86" i="1"/>
  <c r="AB234" i="1"/>
  <c r="AB344" i="1"/>
  <c r="CN61" i="1"/>
  <c r="CN253" i="1"/>
  <c r="CN258" i="1" s="1"/>
  <c r="AB228" i="1"/>
  <c r="CO193" i="1"/>
  <c r="CO101" i="1"/>
  <c r="CN790" i="1"/>
  <c r="CN97" i="1"/>
  <c r="CN572" i="1"/>
  <c r="AA627" i="1"/>
  <c r="CN627" i="1" s="1"/>
  <c r="CN111" i="1"/>
  <c r="CO578" i="1"/>
  <c r="AA258" i="1"/>
  <c r="CN202" i="1"/>
  <c r="CO178" i="1"/>
  <c r="CN679" i="1"/>
  <c r="CN124" i="1"/>
  <c r="AA812" i="1"/>
  <c r="AA813" i="1"/>
  <c r="CN611" i="1"/>
  <c r="CN468" i="1"/>
  <c r="CN795" i="1"/>
  <c r="CO61" i="1"/>
  <c r="AA795" i="1"/>
  <c r="AG737" i="1"/>
  <c r="AG763" i="1" s="1"/>
  <c r="CM269" i="1"/>
  <c r="CM325" i="1"/>
  <c r="CM81" i="1"/>
  <c r="CL391" i="1"/>
  <c r="CL319" i="1"/>
  <c r="CL322" i="1" s="1"/>
  <c r="CL323" i="1" s="1"/>
  <c r="AA257" i="1"/>
  <c r="CN203" i="1"/>
  <c r="CN670" i="1"/>
  <c r="Z305" i="1"/>
  <c r="AB177" i="1"/>
  <c r="AB181" i="1"/>
  <c r="CO364" i="1"/>
  <c r="CO306" i="1" s="1"/>
  <c r="CO76" i="1" s="1"/>
  <c r="CN612" i="1"/>
  <c r="CN660" i="1"/>
  <c r="CN311" i="1"/>
  <c r="CN78" i="1" s="1"/>
  <c r="T4" i="17" l="1"/>
  <c r="S4" i="17" s="1"/>
  <c r="R4" i="17" s="1"/>
  <c r="Q4" i="17" s="1"/>
  <c r="P4" i="17" s="1"/>
  <c r="O4" i="17" s="1"/>
  <c r="V4" i="17"/>
  <c r="W4" i="17" s="1"/>
  <c r="X4" i="17" s="1"/>
  <c r="Y4" i="17" s="1"/>
  <c r="Z4" i="17" s="1"/>
  <c r="AA4" i="17" s="1"/>
  <c r="CR260" i="1"/>
  <c r="E2" i="24"/>
  <c r="D3" i="24"/>
  <c r="I38" i="7"/>
  <c r="P5" i="7"/>
  <c r="P32" i="7" s="1"/>
  <c r="I14" i="7"/>
  <c r="J1" i="7"/>
  <c r="I47" i="7"/>
  <c r="BQ588" i="1"/>
  <c r="DI588" i="1" s="1"/>
  <c r="DI539" i="1"/>
  <c r="BQ589" i="1"/>
  <c r="DI589" i="1" s="1"/>
  <c r="DC623" i="1"/>
  <c r="AI5" i="1"/>
  <c r="D4" i="24" s="1"/>
  <c r="AH5" i="1"/>
  <c r="AK1" i="1"/>
  <c r="DE571" i="1"/>
  <c r="BJ571" i="1"/>
  <c r="BG522" i="1"/>
  <c r="BG536" i="1" s="1"/>
  <c r="BG623" i="1" s="1"/>
  <c r="BH499" i="1"/>
  <c r="BI142" i="1"/>
  <c r="BH762" i="1"/>
  <c r="DD499" i="1"/>
  <c r="BF536" i="1"/>
  <c r="BF623" i="1" s="1"/>
  <c r="DB678" i="1"/>
  <c r="BD678" i="1"/>
  <c r="BE678" i="1" s="1"/>
  <c r="DB681" i="1"/>
  <c r="BD681" i="1"/>
  <c r="BE681" i="1" s="1"/>
  <c r="AB291" i="1"/>
  <c r="AB349" i="1" s="1"/>
  <c r="CR699" i="1"/>
  <c r="CR261" i="1"/>
  <c r="AD4" i="17"/>
  <c r="N4" i="17"/>
  <c r="AF74" i="1"/>
  <c r="AG71" i="1"/>
  <c r="AG334" i="1"/>
  <c r="AG291" i="1"/>
  <c r="AG294" i="1" s="1"/>
  <c r="AG339" i="1"/>
  <c r="AG75" i="1"/>
  <c r="AG77" i="1"/>
  <c r="AG344" i="1"/>
  <c r="AG379" i="1"/>
  <c r="AG321" i="1"/>
  <c r="AF78" i="1"/>
  <c r="AF75" i="1"/>
  <c r="AF339" i="1"/>
  <c r="AF71" i="1"/>
  <c r="AF334" i="1"/>
  <c r="AF76" i="1"/>
  <c r="AF321" i="1"/>
  <c r="AF379" i="1"/>
  <c r="AF77" i="1"/>
  <c r="AF344" i="1"/>
  <c r="AF316" i="1"/>
  <c r="AF291" i="1"/>
  <c r="AD182" i="9"/>
  <c r="AD166" i="9" s="1"/>
  <c r="AC166" i="9"/>
  <c r="AC8" i="9" s="1"/>
  <c r="AE354" i="1"/>
  <c r="CQ351" i="1"/>
  <c r="AA186" i="9"/>
  <c r="Z186" i="9"/>
  <c r="Z190" i="9" s="1"/>
  <c r="AA190" i="9" s="1"/>
  <c r="AB186" i="9"/>
  <c r="AB169" i="9"/>
  <c r="AB11" i="9" s="1"/>
  <c r="W12" i="9"/>
  <c r="W16" i="9" s="1"/>
  <c r="W23" i="9"/>
  <c r="AA167" i="9"/>
  <c r="AA168" i="9" s="1"/>
  <c r="AA170" i="9" s="1"/>
  <c r="AA8" i="9"/>
  <c r="Z166" i="9"/>
  <c r="Z167" i="9" s="1"/>
  <c r="Z168" i="9" s="1"/>
  <c r="AB8" i="9"/>
  <c r="AB167" i="9"/>
  <c r="AB168" i="9" s="1"/>
  <c r="AC183" i="9"/>
  <c r="AC184" i="9" s="1"/>
  <c r="AC185" i="9" s="1"/>
  <c r="W25" i="9"/>
  <c r="Y23" i="9"/>
  <c r="Y12" i="9"/>
  <c r="Y16" i="9" s="1"/>
  <c r="Z169" i="9"/>
  <c r="Z11" i="9" s="1"/>
  <c r="AA11" i="9"/>
  <c r="AB147" i="1"/>
  <c r="AB111" i="1"/>
  <c r="AB114" i="1"/>
  <c r="AB146" i="1"/>
  <c r="AA352" i="1"/>
  <c r="AA354" i="1" s="1"/>
  <c r="AB237" i="1"/>
  <c r="AB233" i="1"/>
  <c r="CP93" i="1"/>
  <c r="AB367" i="1"/>
  <c r="AA113" i="1"/>
  <c r="AA84" i="1"/>
  <c r="AA86" i="1"/>
  <c r="CO344" i="1"/>
  <c r="CO286" i="1" s="1"/>
  <c r="CO77" i="1" s="1"/>
  <c r="AJ3" i="1"/>
  <c r="AJ2" i="1"/>
  <c r="CN110" i="1"/>
  <c r="CP708" i="1"/>
  <c r="CN665" i="1"/>
  <c r="CN666" i="1"/>
  <c r="CN663" i="1"/>
  <c r="Z300" i="1"/>
  <c r="Z72" i="1"/>
  <c r="CL325" i="1"/>
  <c r="CL269" i="1"/>
  <c r="CL81" i="1"/>
  <c r="AA262" i="1"/>
  <c r="AA319" i="1" s="1"/>
  <c r="AA212" i="1"/>
  <c r="CN353" i="1"/>
  <c r="CO469" i="1"/>
  <c r="CN125" i="1"/>
  <c r="CN813" i="1" s="1"/>
  <c r="CN120" i="1"/>
  <c r="AA815" i="1"/>
  <c r="CO181" i="1"/>
  <c r="AC154" i="1"/>
  <c r="CO177" i="1"/>
  <c r="CN147" i="1"/>
  <c r="CN669" i="1"/>
  <c r="CN664" i="1"/>
  <c r="CN668" i="1"/>
  <c r="CN662" i="1"/>
  <c r="Z310" i="1"/>
  <c r="AB154" i="1"/>
  <c r="AA259" i="1"/>
  <c r="CN467" i="1"/>
  <c r="CN109" i="1" s="1"/>
  <c r="CN146" i="1"/>
  <c r="CN613" i="1"/>
  <c r="CN114" i="1"/>
  <c r="CN812" i="1"/>
  <c r="CR602" i="1"/>
  <c r="AH86" i="1" l="1"/>
  <c r="C4" i="24"/>
  <c r="E3" i="24"/>
  <c r="F2" i="24"/>
  <c r="AK725" i="1"/>
  <c r="J47" i="7"/>
  <c r="J38" i="7"/>
  <c r="Q5" i="7"/>
  <c r="Q32" i="7" s="1"/>
  <c r="J14" i="7"/>
  <c r="DD522" i="1"/>
  <c r="AH311" i="1"/>
  <c r="AH369" i="1" s="1"/>
  <c r="CS266" i="1"/>
  <c r="AH306" i="1"/>
  <c r="AH364" i="1" s="1"/>
  <c r="CS265" i="1"/>
  <c r="AI24" i="1"/>
  <c r="CS267" i="1"/>
  <c r="CR704" i="1"/>
  <c r="AI23" i="1"/>
  <c r="AH301" i="1"/>
  <c r="AH359" i="1" s="1"/>
  <c r="CR696" i="1"/>
  <c r="AI26" i="1"/>
  <c r="CR703" i="1"/>
  <c r="AI25" i="1"/>
  <c r="AI182" i="9" s="1"/>
  <c r="AI286" i="1"/>
  <c r="AI811" i="1"/>
  <c r="AI810" i="1"/>
  <c r="AI809" i="1"/>
  <c r="AI281" i="1"/>
  <c r="AI376" i="1"/>
  <c r="AI785" i="1"/>
  <c r="AI841" i="1" s="1"/>
  <c r="AI791" i="1"/>
  <c r="AI790" i="1"/>
  <c r="AI276" i="1"/>
  <c r="AI88" i="1"/>
  <c r="AI787" i="1"/>
  <c r="AI789" i="1"/>
  <c r="AI296" i="1"/>
  <c r="AI351" i="1"/>
  <c r="AI350" i="1"/>
  <c r="AI84" i="1"/>
  <c r="AI87" i="1"/>
  <c r="AI783" i="1"/>
  <c r="D73" i="24" s="1"/>
  <c r="AI788" i="1"/>
  <c r="D72" i="24" s="1"/>
  <c r="AI86" i="1"/>
  <c r="AI97" i="1"/>
  <c r="AI808" i="1"/>
  <c r="AI85" i="1"/>
  <c r="AI89" i="1"/>
  <c r="AI782" i="1"/>
  <c r="AK3" i="1"/>
  <c r="AK2" i="1"/>
  <c r="AL725" i="1" s="1"/>
  <c r="AL1" i="1"/>
  <c r="BK571" i="1"/>
  <c r="BL571" i="1" s="1"/>
  <c r="BM571" i="1" s="1"/>
  <c r="DE142" i="1"/>
  <c r="DE762" i="1" s="1"/>
  <c r="BJ142" i="1"/>
  <c r="BI762" i="1"/>
  <c r="BI499" i="1"/>
  <c r="BH522" i="1"/>
  <c r="DD536" i="1"/>
  <c r="DC678" i="1"/>
  <c r="BF678" i="1"/>
  <c r="BG678" i="1" s="1"/>
  <c r="DC681" i="1"/>
  <c r="BF681" i="1"/>
  <c r="BG681" i="1" s="1"/>
  <c r="AG295" i="1"/>
  <c r="AG353" i="1" s="1"/>
  <c r="AF319" i="1"/>
  <c r="AF322" i="1" s="1"/>
  <c r="AF323" i="1" s="1"/>
  <c r="M4" i="17"/>
  <c r="AH87" i="1"/>
  <c r="AH85" i="1"/>
  <c r="AH97" i="1"/>
  <c r="AH93" i="1"/>
  <c r="AH118" i="1"/>
  <c r="AH112" i="1"/>
  <c r="AH110" i="1"/>
  <c r="AH810" i="1"/>
  <c r="AH808" i="1"/>
  <c r="AH88" i="1"/>
  <c r="AH84" i="1"/>
  <c r="AH117" i="1"/>
  <c r="AH113" i="1"/>
  <c r="AH111" i="1"/>
  <c r="AH109" i="1"/>
  <c r="AH811" i="1"/>
  <c r="AH809" i="1"/>
  <c r="AH790" i="1"/>
  <c r="AH351" i="1"/>
  <c r="AH350" i="1"/>
  <c r="AH791" i="1"/>
  <c r="AH281" i="1"/>
  <c r="AH276" i="1"/>
  <c r="AH296" i="1"/>
  <c r="AH376" i="1"/>
  <c r="AH286" i="1"/>
  <c r="AH26" i="1"/>
  <c r="AH25" i="1"/>
  <c r="AH182" i="9" s="1"/>
  <c r="AH183" i="9" s="1"/>
  <c r="AH184" i="9" s="1"/>
  <c r="AH24" i="1"/>
  <c r="AH23" i="1"/>
  <c r="AG349" i="1"/>
  <c r="AG352" i="1" s="1"/>
  <c r="AF374" i="1"/>
  <c r="AF349" i="1"/>
  <c r="AD183" i="9"/>
  <c r="AD184" i="9" s="1"/>
  <c r="AF294" i="1"/>
  <c r="AC167" i="9"/>
  <c r="AC168" i="9" s="1"/>
  <c r="AC9" i="9"/>
  <c r="AC186" i="9"/>
  <c r="AC169" i="9"/>
  <c r="AC11" i="9" s="1"/>
  <c r="CY706" i="1"/>
  <c r="AB9" i="9"/>
  <c r="AB170" i="9"/>
  <c r="Z170" i="9"/>
  <c r="W24" i="9"/>
  <c r="AD185" i="9"/>
  <c r="AD169" i="9" s="1"/>
  <c r="AD167" i="9"/>
  <c r="AD168" i="9" s="1"/>
  <c r="AD8" i="9"/>
  <c r="Y24" i="9"/>
  <c r="AE183" i="9"/>
  <c r="AE184" i="9" s="1"/>
  <c r="AE185" i="9" s="1"/>
  <c r="AE166" i="9"/>
  <c r="AE8" i="9" s="1"/>
  <c r="AE9" i="9" s="1"/>
  <c r="AE10" i="9" s="1"/>
  <c r="Z8" i="9"/>
  <c r="AC433" i="1" s="1"/>
  <c r="AA9" i="9"/>
  <c r="AB113" i="1"/>
  <c r="AB84" i="1"/>
  <c r="AB86" i="1"/>
  <c r="AB238" i="1"/>
  <c r="AB112" i="1"/>
  <c r="AB110" i="1"/>
  <c r="AB294" i="1"/>
  <c r="AA260" i="1"/>
  <c r="AA261" i="1" s="1"/>
  <c r="AA376" i="1" s="1"/>
  <c r="AA316" i="1"/>
  <c r="AB368" i="1"/>
  <c r="AB362" i="1"/>
  <c r="CO611" i="1"/>
  <c r="CQ432" i="1"/>
  <c r="CO111" i="1"/>
  <c r="CN362" i="1"/>
  <c r="CN304" i="1" s="1"/>
  <c r="CO369" i="1"/>
  <c r="CO311" i="1" s="1"/>
  <c r="CO78" i="1" s="1"/>
  <c r="Z315" i="1"/>
  <c r="Z373" i="1" s="1"/>
  <c r="AA85" i="1"/>
  <c r="CO199" i="1"/>
  <c r="CN614" i="1"/>
  <c r="CN814" i="1"/>
  <c r="AA808" i="1"/>
  <c r="AA809" i="1"/>
  <c r="CN470" i="1"/>
  <c r="CN815" i="1"/>
  <c r="CN115" i="1"/>
  <c r="CN212" i="1"/>
  <c r="CN696" i="1"/>
  <c r="AB812" i="1"/>
  <c r="AB813" i="1"/>
  <c r="AA703" i="1"/>
  <c r="CN703" i="1" s="1"/>
  <c r="AA814" i="1"/>
  <c r="CO154" i="1"/>
  <c r="Z73" i="1"/>
  <c r="CR128" i="1"/>
  <c r="CR737" i="1" s="1"/>
  <c r="CR763" i="1" s="1"/>
  <c r="CO467" i="1"/>
  <c r="G2" i="24" l="1"/>
  <c r="F3" i="24"/>
  <c r="D74" i="24"/>
  <c r="DD623" i="1"/>
  <c r="DG571" i="1"/>
  <c r="BN571" i="1"/>
  <c r="AK5" i="1"/>
  <c r="AI321" i="1"/>
  <c r="AI379" i="1"/>
  <c r="D6" i="24" s="1"/>
  <c r="AI334" i="1"/>
  <c r="AI291" i="1"/>
  <c r="AI71" i="1"/>
  <c r="AL2" i="1"/>
  <c r="AM725" i="1" s="1"/>
  <c r="AL3" i="1"/>
  <c r="AM1" i="1"/>
  <c r="AI75" i="1"/>
  <c r="AI339" i="1"/>
  <c r="AI77" i="1"/>
  <c r="AI344" i="1"/>
  <c r="BJ499" i="1"/>
  <c r="DF571" i="1"/>
  <c r="BK142" i="1"/>
  <c r="BL142" i="1" s="1"/>
  <c r="BM142" i="1" s="1"/>
  <c r="BN142" i="1" s="1"/>
  <c r="BJ762" i="1"/>
  <c r="BI522" i="1"/>
  <c r="DE522" i="1" s="1"/>
  <c r="DE499" i="1"/>
  <c r="DD678" i="1"/>
  <c r="BH678" i="1"/>
  <c r="BI678" i="1" s="1"/>
  <c r="BH536" i="1"/>
  <c r="DD681" i="1"/>
  <c r="BH681" i="1"/>
  <c r="BI681" i="1" s="1"/>
  <c r="AF295" i="1"/>
  <c r="AF353" i="1" s="1"/>
  <c r="AB352" i="1"/>
  <c r="AF317" i="1"/>
  <c r="AF380" i="1" s="1"/>
  <c r="AG354" i="1"/>
  <c r="AH185" i="9"/>
  <c r="AH186" i="9" s="1"/>
  <c r="L4" i="17"/>
  <c r="AH77" i="1"/>
  <c r="AH344" i="1"/>
  <c r="AH321" i="1"/>
  <c r="AH379" i="1"/>
  <c r="C6" i="24" s="1"/>
  <c r="AH316" i="1"/>
  <c r="AH74" i="1"/>
  <c r="AH76" i="1"/>
  <c r="AH291" i="1"/>
  <c r="AH294" i="1" s="1"/>
  <c r="AH334" i="1"/>
  <c r="AH71" i="1"/>
  <c r="AH339" i="1"/>
  <c r="AH75" i="1"/>
  <c r="AH78" i="1"/>
  <c r="AJ5" i="1"/>
  <c r="E4" i="24" s="1"/>
  <c r="AF352" i="1"/>
  <c r="AF325" i="1"/>
  <c r="AF81" i="1"/>
  <c r="AF269" i="1"/>
  <c r="AC170" i="9"/>
  <c r="AD170" i="9"/>
  <c r="AC10" i="9"/>
  <c r="AC21" i="9"/>
  <c r="CR351" i="1"/>
  <c r="AB21" i="9"/>
  <c r="AB22" i="9"/>
  <c r="AB10" i="9"/>
  <c r="AB12" i="9" s="1"/>
  <c r="AB16" i="9" s="1"/>
  <c r="AD433" i="1"/>
  <c r="AE433" i="1" s="1"/>
  <c r="AF433" i="1" s="1"/>
  <c r="AD186" i="9"/>
  <c r="CO660" i="1"/>
  <c r="AB295" i="1"/>
  <c r="AB353" i="1" s="1"/>
  <c r="AA22" i="9"/>
  <c r="AA10" i="9"/>
  <c r="AA21" i="9"/>
  <c r="AE186" i="9"/>
  <c r="AE169" i="9"/>
  <c r="AE11" i="9" s="1"/>
  <c r="AE12" i="9" s="1"/>
  <c r="AD11" i="9"/>
  <c r="Z9" i="9"/>
  <c r="AC22" i="9" s="1"/>
  <c r="AE167" i="9"/>
  <c r="AE168" i="9" s="1"/>
  <c r="AD9" i="9"/>
  <c r="Y253" i="9"/>
  <c r="AA374" i="1"/>
  <c r="AA317" i="1"/>
  <c r="AA375" i="1" s="1"/>
  <c r="AB363" i="1"/>
  <c r="AB310" i="1"/>
  <c r="CO669" i="1"/>
  <c r="CO468" i="1"/>
  <c r="CO110" i="1" s="1"/>
  <c r="CQ93" i="1"/>
  <c r="CO663" i="1"/>
  <c r="CO668" i="1"/>
  <c r="CO664" i="1"/>
  <c r="AB705" i="1"/>
  <c r="AA310" i="1"/>
  <c r="CN367" i="1"/>
  <c r="CN309" i="1" s="1"/>
  <c r="AB262" i="1"/>
  <c r="AB212" i="1"/>
  <c r="AB808" i="1"/>
  <c r="AB809" i="1"/>
  <c r="CO109" i="1"/>
  <c r="CN712" i="1"/>
  <c r="AA827" i="1"/>
  <c r="AA823" i="1"/>
  <c r="AA819" i="1"/>
  <c r="AA824" i="1"/>
  <c r="AA820" i="1"/>
  <c r="AA817" i="1"/>
  <c r="CN121" i="1"/>
  <c r="AA825" i="1"/>
  <c r="AA821" i="1"/>
  <c r="AA826" i="1"/>
  <c r="AA822" i="1"/>
  <c r="AA816" i="1"/>
  <c r="AA818" i="1"/>
  <c r="AA122" i="1"/>
  <c r="CN667" i="1"/>
  <c r="CN396" i="1"/>
  <c r="CQ708" i="1"/>
  <c r="AA698" i="1"/>
  <c r="CN713" i="1"/>
  <c r="CO146" i="1"/>
  <c r="AB815" i="1"/>
  <c r="CN113" i="1"/>
  <c r="CN809" i="1"/>
  <c r="CN112" i="1"/>
  <c r="CN808" i="1"/>
  <c r="G3" i="24" l="1"/>
  <c r="AK109" i="1"/>
  <c r="F4" i="24"/>
  <c r="H2" i="24"/>
  <c r="BO571" i="1"/>
  <c r="BO142" i="1"/>
  <c r="BN762" i="1"/>
  <c r="AB354" i="1"/>
  <c r="DG142" i="1"/>
  <c r="BL762" i="1"/>
  <c r="AF375" i="1"/>
  <c r="AF377" i="1" s="1"/>
  <c r="AM3" i="1"/>
  <c r="AM2" i="1"/>
  <c r="AN725" i="1" s="1"/>
  <c r="AN1" i="1"/>
  <c r="AI349" i="1"/>
  <c r="AI294" i="1"/>
  <c r="BI536" i="1"/>
  <c r="BI623" i="1" s="1"/>
  <c r="DE678" i="1"/>
  <c r="BJ678" i="1"/>
  <c r="DE681" i="1"/>
  <c r="BJ681" i="1"/>
  <c r="DF142" i="1"/>
  <c r="BK762" i="1"/>
  <c r="BK499" i="1"/>
  <c r="BJ522" i="1"/>
  <c r="BH623" i="1"/>
  <c r="AJ311" i="1"/>
  <c r="AJ306" i="1"/>
  <c r="AJ301" i="1"/>
  <c r="AJ74" i="1" s="1"/>
  <c r="AF79" i="1"/>
  <c r="AH295" i="1"/>
  <c r="AH353" i="1" s="1"/>
  <c r="AK26" i="1"/>
  <c r="AK24" i="1"/>
  <c r="AK25" i="1"/>
  <c r="AL182" i="9" s="1"/>
  <c r="AL183" i="9" s="1"/>
  <c r="AL184" i="9" s="1"/>
  <c r="AL185" i="9" s="1"/>
  <c r="AL186" i="9" s="1"/>
  <c r="AK23" i="1"/>
  <c r="AL318" i="1"/>
  <c r="AK93" i="1"/>
  <c r="AK88" i="1"/>
  <c r="AK97" i="1"/>
  <c r="AK110" i="1"/>
  <c r="AK117" i="1"/>
  <c r="AK84" i="1"/>
  <c r="AK112" i="1"/>
  <c r="AK113" i="1"/>
  <c r="AK111" i="1"/>
  <c r="AK86" i="1"/>
  <c r="AK118" i="1"/>
  <c r="AK87" i="1"/>
  <c r="AK85" i="1"/>
  <c r="AK89" i="1"/>
  <c r="CS696" i="1"/>
  <c r="CS703" i="1"/>
  <c r="CS704" i="1"/>
  <c r="AK737" i="1"/>
  <c r="AK763" i="1" s="1"/>
  <c r="AK808" i="1"/>
  <c r="AK351" i="1"/>
  <c r="AK811" i="1"/>
  <c r="AK350" i="1"/>
  <c r="AK810" i="1"/>
  <c r="AK809" i="1"/>
  <c r="AJ286" i="1"/>
  <c r="AJ296" i="1"/>
  <c r="AJ379" i="1" s="1"/>
  <c r="E6" i="24" s="1"/>
  <c r="AK318" i="1"/>
  <c r="AJ87" i="1"/>
  <c r="AJ790" i="1"/>
  <c r="AJ809" i="1"/>
  <c r="AJ791" i="1"/>
  <c r="AJ112" i="1"/>
  <c r="AJ117" i="1"/>
  <c r="AJ118" i="1"/>
  <c r="AJ86" i="1"/>
  <c r="AJ808" i="1"/>
  <c r="AJ810" i="1"/>
  <c r="AJ811" i="1"/>
  <c r="AJ113" i="1"/>
  <c r="AJ84" i="1"/>
  <c r="AJ109" i="1"/>
  <c r="AJ110" i="1"/>
  <c r="AJ111" i="1"/>
  <c r="AJ85" i="1"/>
  <c r="AJ88" i="1"/>
  <c r="AJ351" i="1"/>
  <c r="AJ281" i="1"/>
  <c r="AJ75" i="1" s="1"/>
  <c r="AJ350" i="1"/>
  <c r="AJ276" i="1"/>
  <c r="AJ376" i="1"/>
  <c r="AJ25" i="1"/>
  <c r="AK182" i="9" s="1"/>
  <c r="AJ26" i="1"/>
  <c r="AJ23" i="1"/>
  <c r="AJ24" i="1"/>
  <c r="K4" i="17"/>
  <c r="AH349" i="1"/>
  <c r="AH352" i="1" s="1"/>
  <c r="AH374" i="1"/>
  <c r="CZ706" i="1"/>
  <c r="CT546" i="1"/>
  <c r="AF354" i="1"/>
  <c r="AC12" i="9"/>
  <c r="AC16" i="9" s="1"/>
  <c r="AC25" i="9"/>
  <c r="AE440" i="1"/>
  <c r="AF96" i="1" s="1"/>
  <c r="AB23" i="9"/>
  <c r="AB25" i="9"/>
  <c r="AE170" i="9"/>
  <c r="AC705" i="1"/>
  <c r="CO353" i="1"/>
  <c r="AA23" i="9"/>
  <c r="AA12" i="9"/>
  <c r="AA25" i="9"/>
  <c r="AD21" i="9"/>
  <c r="AD10" i="9"/>
  <c r="AD22" i="9"/>
  <c r="AE25" i="9"/>
  <c r="AE22" i="9"/>
  <c r="AE21" i="9"/>
  <c r="Z21" i="9"/>
  <c r="Z10" i="9"/>
  <c r="AC23" i="9" s="1"/>
  <c r="Z22" i="9"/>
  <c r="CO666" i="1"/>
  <c r="AA377" i="1"/>
  <c r="AA380" i="1"/>
  <c r="CO677" i="1"/>
  <c r="AB305" i="1"/>
  <c r="CN363" i="1"/>
  <c r="CN305" i="1" s="1"/>
  <c r="AA305" i="1"/>
  <c r="CO665" i="1"/>
  <c r="CO662" i="1"/>
  <c r="CN368" i="1"/>
  <c r="CN310" i="1" s="1"/>
  <c r="CO397" i="1"/>
  <c r="CO86" i="1" s="1"/>
  <c r="CO470" i="1"/>
  <c r="CO679" i="1"/>
  <c r="CS128" i="1"/>
  <c r="CO395" i="1"/>
  <c r="AC212" i="1"/>
  <c r="CN598" i="1"/>
  <c r="CN116" i="1"/>
  <c r="CN817" i="1"/>
  <c r="CN824" i="1"/>
  <c r="CN820" i="1"/>
  <c r="CN825" i="1"/>
  <c r="CN821" i="1"/>
  <c r="CN818" i="1"/>
  <c r="CN816" i="1"/>
  <c r="CN826" i="1"/>
  <c r="CN822" i="1"/>
  <c r="CN827" i="1"/>
  <c r="CN823" i="1"/>
  <c r="CN819" i="1"/>
  <c r="CN122" i="1"/>
  <c r="CN698" i="1"/>
  <c r="AB698" i="1"/>
  <c r="CN85" i="1"/>
  <c r="H3" i="24" l="1"/>
  <c r="I2" i="24"/>
  <c r="DH142" i="1"/>
  <c r="DH762" i="1" s="1"/>
  <c r="BP142" i="1"/>
  <c r="DH571" i="1"/>
  <c r="BP571" i="1"/>
  <c r="BO762" i="1"/>
  <c r="AF391" i="1"/>
  <c r="AM5" i="1"/>
  <c r="DG762" i="1"/>
  <c r="BK522" i="1"/>
  <c r="DF522" i="1" s="1"/>
  <c r="BL499" i="1"/>
  <c r="BM762" i="1"/>
  <c r="DE536" i="1"/>
  <c r="DE623" i="1" s="1"/>
  <c r="AO1" i="1"/>
  <c r="AN2" i="1"/>
  <c r="AO725" i="1" s="1"/>
  <c r="AN3" i="1"/>
  <c r="AI352" i="1"/>
  <c r="AI295" i="1"/>
  <c r="AI353" i="1" s="1"/>
  <c r="AL5" i="1"/>
  <c r="BK681" i="1"/>
  <c r="BJ536" i="1"/>
  <c r="BJ623" i="1" s="1"/>
  <c r="BK678" i="1"/>
  <c r="DF499" i="1"/>
  <c r="DF762" i="1"/>
  <c r="AK296" i="1"/>
  <c r="AK276" i="1"/>
  <c r="AK286" i="1"/>
  <c r="AK344" i="1" s="1"/>
  <c r="AK376" i="1"/>
  <c r="AK281" i="1"/>
  <c r="AK75" i="1" s="1"/>
  <c r="AD705" i="1"/>
  <c r="AH354" i="1"/>
  <c r="AJ369" i="1"/>
  <c r="AJ78" i="1"/>
  <c r="AJ344" i="1"/>
  <c r="AJ77" i="1"/>
  <c r="AJ334" i="1"/>
  <c r="AJ71" i="1"/>
  <c r="AJ364" i="1"/>
  <c r="AJ76" i="1"/>
  <c r="AJ291" i="1"/>
  <c r="AJ294" i="1" s="1"/>
  <c r="AJ339" i="1"/>
  <c r="AJ316" i="1"/>
  <c r="AJ359" i="1"/>
  <c r="AJ321" i="1"/>
  <c r="J4" i="17"/>
  <c r="K20" i="17"/>
  <c r="K22" i="17" s="1"/>
  <c r="BA706" i="1"/>
  <c r="CS737" i="1"/>
  <c r="CS763" i="1" s="1"/>
  <c r="Z12" i="9"/>
  <c r="Z23" i="9"/>
  <c r="Z25" i="9"/>
  <c r="AE23" i="9"/>
  <c r="AD12" i="9"/>
  <c r="AD23" i="9"/>
  <c r="AD25" i="9"/>
  <c r="CO713" i="1"/>
  <c r="CO113" i="1"/>
  <c r="CO705" i="1"/>
  <c r="CO809" i="1"/>
  <c r="CO808" i="1"/>
  <c r="CO112" i="1"/>
  <c r="CO212" i="1"/>
  <c r="CO84" i="1"/>
  <c r="CO696" i="1"/>
  <c r="CR553" i="1"/>
  <c r="I3" i="24" l="1"/>
  <c r="AM791" i="1"/>
  <c r="H4" i="24"/>
  <c r="AL88" i="1"/>
  <c r="G4" i="24"/>
  <c r="J2" i="24"/>
  <c r="BQ571" i="1"/>
  <c r="DI571" i="1" s="1"/>
  <c r="BQ142" i="1"/>
  <c r="DI142" i="1" s="1"/>
  <c r="BP762" i="1"/>
  <c r="AM376" i="1"/>
  <c r="AM809" i="1"/>
  <c r="AM810" i="1"/>
  <c r="AM351" i="1"/>
  <c r="AM808" i="1"/>
  <c r="AM97" i="1"/>
  <c r="AM286" i="1"/>
  <c r="AM344" i="1" s="1"/>
  <c r="AM350" i="1"/>
  <c r="AM811" i="1"/>
  <c r="AM787" i="1"/>
  <c r="AM782" i="1"/>
  <c r="AM281" i="1"/>
  <c r="AM339" i="1" s="1"/>
  <c r="AM276" i="1"/>
  <c r="AM334" i="1" s="1"/>
  <c r="AM788" i="1"/>
  <c r="H72" i="24" s="1"/>
  <c r="AM785" i="1"/>
  <c r="AM841" i="1" s="1"/>
  <c r="AM783" i="1"/>
  <c r="H73" i="24" s="1"/>
  <c r="AM296" i="1"/>
  <c r="AM379" i="1" s="1"/>
  <c r="H6" i="24" s="1"/>
  <c r="AM790" i="1"/>
  <c r="AM789" i="1"/>
  <c r="BK536" i="1"/>
  <c r="BK623" i="1" s="1"/>
  <c r="DF678" i="1"/>
  <c r="BL678" i="1"/>
  <c r="BM678" i="1" s="1"/>
  <c r="DF681" i="1"/>
  <c r="BL681" i="1"/>
  <c r="BM681" i="1" s="1"/>
  <c r="BM499" i="1"/>
  <c r="BL522" i="1"/>
  <c r="AL25" i="1"/>
  <c r="AL351" i="1"/>
  <c r="AL790" i="1"/>
  <c r="AL306" i="1"/>
  <c r="AL76" i="1" s="1"/>
  <c r="AI354" i="1"/>
  <c r="AP1" i="1"/>
  <c r="AO3" i="1"/>
  <c r="AO2" i="1"/>
  <c r="AP725" i="1" s="1"/>
  <c r="AL87" i="1"/>
  <c r="AL112" i="1"/>
  <c r="AL350" i="1"/>
  <c r="AL24" i="1"/>
  <c r="AL809" i="1"/>
  <c r="AL301" i="1"/>
  <c r="AL359" i="1" s="1"/>
  <c r="AL85" i="1"/>
  <c r="AL113" i="1"/>
  <c r="AL810" i="1"/>
  <c r="AL110" i="1"/>
  <c r="AL296" i="1"/>
  <c r="AL276" i="1"/>
  <c r="AL71" i="1" s="1"/>
  <c r="AL311" i="1"/>
  <c r="AL23" i="1"/>
  <c r="AL118" i="1"/>
  <c r="AL811" i="1"/>
  <c r="AL84" i="1"/>
  <c r="AL93" i="1"/>
  <c r="AL376" i="1"/>
  <c r="AL26" i="1"/>
  <c r="AL117" i="1"/>
  <c r="AL808" i="1"/>
  <c r="AL111" i="1"/>
  <c r="AL109" i="1"/>
  <c r="AL86" i="1"/>
  <c r="AM23" i="1"/>
  <c r="AM26" i="1"/>
  <c r="AM25" i="1"/>
  <c r="AM24" i="1"/>
  <c r="AL97" i="1"/>
  <c r="AJ295" i="1"/>
  <c r="AJ353" i="1" s="1"/>
  <c r="AK77" i="1"/>
  <c r="AL281" i="1"/>
  <c r="AL286" i="1"/>
  <c r="AK334" i="1"/>
  <c r="AK71" i="1"/>
  <c r="AK291" i="1"/>
  <c r="AK294" i="1" s="1"/>
  <c r="AK339" i="1"/>
  <c r="AK321" i="1"/>
  <c r="AK379" i="1"/>
  <c r="F6" i="24" s="1"/>
  <c r="AE705" i="1"/>
  <c r="AJ374" i="1"/>
  <c r="AJ349" i="1"/>
  <c r="AJ352" i="1" s="1"/>
  <c r="J20" i="17"/>
  <c r="J22" i="17" s="1"/>
  <c r="I4" i="17"/>
  <c r="DA706" i="1"/>
  <c r="BB706" i="1"/>
  <c r="CV546" i="1"/>
  <c r="CT128" i="1"/>
  <c r="CS351" i="1"/>
  <c r="CO576" i="1"/>
  <c r="CO152" i="1" s="1"/>
  <c r="CO626" i="1"/>
  <c r="CR554" i="1"/>
  <c r="AM321" i="1" l="1"/>
  <c r="AP3" i="1"/>
  <c r="K2" i="24"/>
  <c r="J3" i="24"/>
  <c r="H74" i="24"/>
  <c r="AM291" i="1"/>
  <c r="AM349" i="1" s="1"/>
  <c r="DI762" i="1"/>
  <c r="BQ762" i="1"/>
  <c r="AL78" i="1"/>
  <c r="AL369" i="1"/>
  <c r="DG678" i="1"/>
  <c r="BN678" i="1"/>
  <c r="BO678" i="1" s="1"/>
  <c r="BM522" i="1"/>
  <c r="BM536" i="1" s="1"/>
  <c r="BM623" i="1" s="1"/>
  <c r="BN499" i="1"/>
  <c r="DG681" i="1"/>
  <c r="BN681" i="1"/>
  <c r="BO681" i="1" s="1"/>
  <c r="DF536" i="1"/>
  <c r="DF623" i="1" s="1"/>
  <c r="AO5" i="1"/>
  <c r="DG499" i="1"/>
  <c r="BL536" i="1"/>
  <c r="BL623" i="1" s="1"/>
  <c r="AL74" i="1"/>
  <c r="AQ1" i="1"/>
  <c r="AP2" i="1"/>
  <c r="AQ725" i="1" s="1"/>
  <c r="AN5" i="1"/>
  <c r="AK295" i="1"/>
  <c r="AK353" i="1" s="1"/>
  <c r="AL339" i="1"/>
  <c r="AL75" i="1"/>
  <c r="AL344" i="1"/>
  <c r="AL77" i="1"/>
  <c r="AL291" i="1"/>
  <c r="AL334" i="1"/>
  <c r="AL316" i="1"/>
  <c r="AL364" i="1"/>
  <c r="AL321" i="1"/>
  <c r="AL379" i="1"/>
  <c r="G6" i="24" s="1"/>
  <c r="AK349" i="1"/>
  <c r="AK352" i="1" s="1"/>
  <c r="AF705" i="1"/>
  <c r="AJ354" i="1"/>
  <c r="CT737" i="1"/>
  <c r="CT763" i="1" s="1"/>
  <c r="H4" i="17"/>
  <c r="I20" i="17"/>
  <c r="I22" i="17" s="1"/>
  <c r="BC706" i="1"/>
  <c r="CW546" i="1"/>
  <c r="CT351" i="1"/>
  <c r="AB256" i="9"/>
  <c r="AN296" i="1" l="1"/>
  <c r="I4" i="24"/>
  <c r="L20" i="17"/>
  <c r="L22" i="17" s="1"/>
  <c r="L2" i="24"/>
  <c r="AO809" i="1"/>
  <c r="J4" i="24"/>
  <c r="K3" i="24"/>
  <c r="AM294" i="1"/>
  <c r="AM295" i="1" s="1"/>
  <c r="AM353" i="1" s="1"/>
  <c r="DH681" i="1"/>
  <c r="BP681" i="1"/>
  <c r="BQ681" i="1" s="1"/>
  <c r="DI681" i="1" s="1"/>
  <c r="DH678" i="1"/>
  <c r="BP678" i="1"/>
  <c r="BQ678" i="1" s="1"/>
  <c r="DI678" i="1" s="1"/>
  <c r="DG522" i="1"/>
  <c r="AO791" i="1"/>
  <c r="AO783" i="1"/>
  <c r="J73" i="24" s="1"/>
  <c r="AO87" i="1"/>
  <c r="AO810" i="1"/>
  <c r="AO782" i="1"/>
  <c r="AO97" i="1"/>
  <c r="AO788" i="1"/>
  <c r="J72" i="24" s="1"/>
  <c r="AO790" i="1"/>
  <c r="AO296" i="1"/>
  <c r="AO376" i="1"/>
  <c r="AO789" i="1"/>
  <c r="AO351" i="1"/>
  <c r="AO286" i="1"/>
  <c r="AO344" i="1" s="1"/>
  <c r="AO89" i="1"/>
  <c r="AO811" i="1"/>
  <c r="AO785" i="1"/>
  <c r="AO841" i="1" s="1"/>
  <c r="AO276" i="1"/>
  <c r="AO334" i="1" s="1"/>
  <c r="AO281" i="1"/>
  <c r="AO339" i="1" s="1"/>
  <c r="AO350" i="1"/>
  <c r="AO787" i="1"/>
  <c r="BN522" i="1"/>
  <c r="BO499" i="1"/>
  <c r="BP499" i="1" s="1"/>
  <c r="AO808" i="1"/>
  <c r="DG536" i="1"/>
  <c r="AR1" i="1"/>
  <c r="AQ3" i="1"/>
  <c r="AQ2" i="1"/>
  <c r="AR725" i="1" s="1"/>
  <c r="AN86" i="1"/>
  <c r="AO26" i="1"/>
  <c r="AO25" i="1"/>
  <c r="AO24" i="1"/>
  <c r="AO23" i="1"/>
  <c r="AN97" i="1"/>
  <c r="AN286" i="1"/>
  <c r="AN344" i="1" s="1"/>
  <c r="AN351" i="1"/>
  <c r="AN281" i="1"/>
  <c r="AN339" i="1" s="1"/>
  <c r="AN350" i="1"/>
  <c r="AN276" i="1"/>
  <c r="AN809" i="1"/>
  <c r="AN306" i="1"/>
  <c r="AN364" i="1" s="1"/>
  <c r="AN311" i="1"/>
  <c r="AN369" i="1" s="1"/>
  <c r="AN301" i="1"/>
  <c r="AN790" i="1"/>
  <c r="AN117" i="1"/>
  <c r="AN791" i="1"/>
  <c r="AN811" i="1"/>
  <c r="AN810" i="1"/>
  <c r="AN808" i="1"/>
  <c r="AN376" i="1"/>
  <c r="AN24" i="1"/>
  <c r="AN23" i="1"/>
  <c r="AN25" i="1"/>
  <c r="AN26" i="1"/>
  <c r="AL374" i="1"/>
  <c r="AK354" i="1"/>
  <c r="AL294" i="1"/>
  <c r="AL349" i="1"/>
  <c r="DB706" i="1"/>
  <c r="BD706" i="1"/>
  <c r="AG705" i="1"/>
  <c r="H20" i="17"/>
  <c r="H22" i="17" s="1"/>
  <c r="G4" i="17"/>
  <c r="CU128" i="1"/>
  <c r="CX546" i="1"/>
  <c r="J74" i="24" l="1"/>
  <c r="L3" i="24"/>
  <c r="M2" i="24"/>
  <c r="AM352" i="1"/>
  <c r="AM354" i="1" s="1"/>
  <c r="BQ499" i="1"/>
  <c r="BQ522" i="1" s="1"/>
  <c r="BP522" i="1"/>
  <c r="DG623" i="1"/>
  <c r="BO522" i="1"/>
  <c r="DH522" i="1" s="1"/>
  <c r="DH499" i="1"/>
  <c r="BN536" i="1"/>
  <c r="AS1" i="1"/>
  <c r="AQ5" i="1"/>
  <c r="AP5" i="1"/>
  <c r="AR2" i="1"/>
  <c r="AS725" i="1" s="1"/>
  <c r="AR3" i="1"/>
  <c r="AN321" i="1"/>
  <c r="AN379" i="1"/>
  <c r="I6" i="24" s="1"/>
  <c r="AN359" i="1"/>
  <c r="AN316" i="1"/>
  <c r="AN334" i="1"/>
  <c r="AN291" i="1"/>
  <c r="AL295" i="1"/>
  <c r="AL353" i="1" s="1"/>
  <c r="AL352" i="1"/>
  <c r="BE706" i="1"/>
  <c r="AH705" i="1"/>
  <c r="F4" i="17"/>
  <c r="G20" i="17"/>
  <c r="G22" i="17" s="1"/>
  <c r="CZ546" i="1"/>
  <c r="CY546" i="1"/>
  <c r="CU351" i="1"/>
  <c r="N2" i="24" l="1"/>
  <c r="AP25" i="1"/>
  <c r="K4" i="24"/>
  <c r="M3" i="24"/>
  <c r="AQ788" i="1"/>
  <c r="L72" i="24" s="1"/>
  <c r="L4" i="24"/>
  <c r="AS3" i="1"/>
  <c r="AS5" i="1" s="1"/>
  <c r="M20" i="17"/>
  <c r="M22" i="17" s="1"/>
  <c r="DI522" i="1"/>
  <c r="BO536" i="1"/>
  <c r="BO623" i="1" s="1"/>
  <c r="DI499" i="1"/>
  <c r="BP536" i="1"/>
  <c r="BP623" i="1" s="1"/>
  <c r="BQ536" i="1"/>
  <c r="BQ623" i="1" s="1"/>
  <c r="AQ783" i="1"/>
  <c r="L73" i="24" s="1"/>
  <c r="AQ109" i="1"/>
  <c r="AQ86" i="1"/>
  <c r="AQ810" i="1"/>
  <c r="AQ112" i="1"/>
  <c r="AQ89" i="1"/>
  <c r="AP306" i="1"/>
  <c r="AP364" i="1" s="1"/>
  <c r="AQ117" i="1"/>
  <c r="AQ808" i="1"/>
  <c r="AQ787" i="1"/>
  <c r="BN623" i="1"/>
  <c r="AQ782" i="1"/>
  <c r="AS2" i="1"/>
  <c r="AT725" i="1" s="1"/>
  <c r="AQ791" i="1"/>
  <c r="AQ110" i="1"/>
  <c r="AQ811" i="1"/>
  <c r="AQ85" i="1"/>
  <c r="AQ789" i="1"/>
  <c r="AQ84" i="1"/>
  <c r="AQ809" i="1"/>
  <c r="AQ785" i="1"/>
  <c r="AQ841" i="1" s="1"/>
  <c r="AQ351" i="1"/>
  <c r="AQ93" i="1"/>
  <c r="AQ118" i="1"/>
  <c r="AQ87" i="1"/>
  <c r="AQ113" i="1"/>
  <c r="AQ111" i="1"/>
  <c r="AQ350" i="1"/>
  <c r="AQ97" i="1"/>
  <c r="AQ790" i="1"/>
  <c r="AT1" i="1"/>
  <c r="AP809" i="1"/>
  <c r="AP86" i="1"/>
  <c r="AP281" i="1"/>
  <c r="AP339" i="1" s="1"/>
  <c r="AP276" i="1"/>
  <c r="AP71" i="1" s="1"/>
  <c r="AP790" i="1"/>
  <c r="AP87" i="1"/>
  <c r="AP24" i="1"/>
  <c r="AP286" i="1"/>
  <c r="AP351" i="1"/>
  <c r="AP118" i="1"/>
  <c r="AP791" i="1"/>
  <c r="AP110" i="1"/>
  <c r="AP109" i="1"/>
  <c r="AP117" i="1"/>
  <c r="AP808" i="1"/>
  <c r="AP311" i="1"/>
  <c r="AP369" i="1" s="1"/>
  <c r="CV128" i="1"/>
  <c r="AP97" i="1"/>
  <c r="AP113" i="1"/>
  <c r="AP296" i="1"/>
  <c r="AP321" i="1" s="1"/>
  <c r="AP85" i="1"/>
  <c r="AP301" i="1"/>
  <c r="AP359" i="1" s="1"/>
  <c r="AP810" i="1"/>
  <c r="AP376" i="1"/>
  <c r="AP350" i="1"/>
  <c r="AP111" i="1"/>
  <c r="AP23" i="1"/>
  <c r="AP112" i="1"/>
  <c r="AP811" i="1"/>
  <c r="AP84" i="1"/>
  <c r="AP26" i="1"/>
  <c r="AP93" i="1"/>
  <c r="AO321" i="1"/>
  <c r="CU321" i="1" s="1"/>
  <c r="AO379" i="1"/>
  <c r="J6" i="24" s="1"/>
  <c r="AO291" i="1"/>
  <c r="AN374" i="1"/>
  <c r="AN294" i="1"/>
  <c r="AN295" i="1" s="1"/>
  <c r="AN353" i="1" s="1"/>
  <c r="AN349" i="1"/>
  <c r="DC706" i="1"/>
  <c r="BF706" i="1"/>
  <c r="AL354" i="1"/>
  <c r="CR705" i="1"/>
  <c r="AI705" i="1"/>
  <c r="CS705" i="1" s="1"/>
  <c r="E4" i="17"/>
  <c r="D4" i="17" s="1"/>
  <c r="AC4" i="17" s="1"/>
  <c r="F20" i="17"/>
  <c r="F22" i="17" s="1"/>
  <c r="BA546" i="1"/>
  <c r="L74" i="24" l="1"/>
  <c r="N3" i="24"/>
  <c r="AU1" i="1"/>
  <c r="AU2" i="1" s="1"/>
  <c r="AV725" i="1" s="1"/>
  <c r="O2" i="24"/>
  <c r="AS296" i="1"/>
  <c r="AS379" i="1" s="1"/>
  <c r="N4" i="24"/>
  <c r="DH536" i="1"/>
  <c r="DH623" i="1" s="1"/>
  <c r="N20" i="17"/>
  <c r="N22" i="17" s="1"/>
  <c r="DI536" i="1"/>
  <c r="DI623" i="1" s="1"/>
  <c r="AP334" i="1"/>
  <c r="AP75" i="1"/>
  <c r="AS809" i="1"/>
  <c r="AS789" i="1"/>
  <c r="AS811" i="1"/>
  <c r="AT3" i="1"/>
  <c r="AS782" i="1"/>
  <c r="AS111" i="1"/>
  <c r="AS87" i="1"/>
  <c r="AS89" i="1"/>
  <c r="AS810" i="1"/>
  <c r="AS790" i="1"/>
  <c r="AP291" i="1"/>
  <c r="AS110" i="1"/>
  <c r="AS788" i="1"/>
  <c r="N72" i="24" s="1"/>
  <c r="AS113" i="1"/>
  <c r="AS93" i="1"/>
  <c r="AS785" i="1"/>
  <c r="AS841" i="1" s="1"/>
  <c r="AS808" i="1"/>
  <c r="AS86" i="1"/>
  <c r="AS783" i="1"/>
  <c r="N73" i="24" s="1"/>
  <c r="AS117" i="1"/>
  <c r="AS791" i="1"/>
  <c r="AS109" i="1"/>
  <c r="AS787" i="1"/>
  <c r="AS85" i="1"/>
  <c r="AS112" i="1"/>
  <c r="AS118" i="1"/>
  <c r="AP344" i="1"/>
  <c r="AP77" i="1"/>
  <c r="AP379" i="1"/>
  <c r="AS84" i="1"/>
  <c r="AS97" i="1"/>
  <c r="AS56" i="1"/>
  <c r="AS57" i="1"/>
  <c r="AS77" i="1"/>
  <c r="AS59" i="1"/>
  <c r="AS60" i="1"/>
  <c r="AR5" i="1"/>
  <c r="AQ318" i="1"/>
  <c r="AO294" i="1"/>
  <c r="AO295" i="1" s="1"/>
  <c r="AO353" i="1" s="1"/>
  <c r="AO349" i="1"/>
  <c r="AN352" i="1"/>
  <c r="AN354" i="1" s="1"/>
  <c r="BG706" i="1"/>
  <c r="AT2" i="1"/>
  <c r="AU725" i="1" s="1"/>
  <c r="AJ705" i="1"/>
  <c r="DA546" i="1"/>
  <c r="BB546" i="1"/>
  <c r="CV351" i="1"/>
  <c r="N74" i="24" l="1"/>
  <c r="AS380" i="1"/>
  <c r="N7" i="24" s="1"/>
  <c r="N6" i="24"/>
  <c r="O3" i="24"/>
  <c r="AS354" i="1"/>
  <c r="AS377" i="1" s="1"/>
  <c r="AV1" i="1"/>
  <c r="P2" i="24"/>
  <c r="AR296" i="1"/>
  <c r="AR379" i="1" s="1"/>
  <c r="M4" i="24"/>
  <c r="AP319" i="1"/>
  <c r="AP322" i="1" s="1"/>
  <c r="AP323" i="1" s="1"/>
  <c r="AP81" i="1" s="1"/>
  <c r="K6" i="24"/>
  <c r="AU3" i="1"/>
  <c r="AU5" i="1" s="1"/>
  <c r="P4" i="24" s="1"/>
  <c r="AP349" i="1"/>
  <c r="AP294" i="1"/>
  <c r="AP295" i="1" s="1"/>
  <c r="AP353" i="1" s="1"/>
  <c r="AQ296" i="1"/>
  <c r="AQ276" i="1"/>
  <c r="AQ281" i="1"/>
  <c r="AS75" i="1"/>
  <c r="AS71" i="1"/>
  <c r="AR113" i="1"/>
  <c r="AR97" i="1"/>
  <c r="AR84" i="1"/>
  <c r="AR109" i="1"/>
  <c r="AR86" i="1"/>
  <c r="AR112" i="1"/>
  <c r="AR808" i="1"/>
  <c r="AR87" i="1"/>
  <c r="AR85" i="1"/>
  <c r="AR118" i="1"/>
  <c r="AR811" i="1"/>
  <c r="AR110" i="1"/>
  <c r="AR791" i="1"/>
  <c r="AR111" i="1"/>
  <c r="AR790" i="1"/>
  <c r="AR810" i="1"/>
  <c r="AR93" i="1"/>
  <c r="AR74" i="1"/>
  <c r="AR117" i="1"/>
  <c r="AR809" i="1"/>
  <c r="AR77" i="1"/>
  <c r="AR75" i="1"/>
  <c r="AQ286" i="1"/>
  <c r="AQ376" i="1"/>
  <c r="AO352" i="1"/>
  <c r="AO354" i="1" s="1"/>
  <c r="DD706" i="1"/>
  <c r="BH706" i="1"/>
  <c r="AK705" i="1"/>
  <c r="AL705" i="1" s="1"/>
  <c r="AM705" i="1" s="1"/>
  <c r="AN705" i="1" s="1"/>
  <c r="AO705" i="1" s="1"/>
  <c r="AP705" i="1" s="1"/>
  <c r="AQ705" i="1" s="1"/>
  <c r="AR705" i="1" s="1"/>
  <c r="AS705" i="1" s="1"/>
  <c r="AT705" i="1" s="1"/>
  <c r="AU705" i="1" s="1"/>
  <c r="AV705" i="1" s="1"/>
  <c r="AW705" i="1" s="1"/>
  <c r="AX705" i="1" s="1"/>
  <c r="CW128" i="1"/>
  <c r="BC546" i="1"/>
  <c r="AR354" i="1" l="1"/>
  <c r="AR377" i="1" s="1"/>
  <c r="AP325" i="1"/>
  <c r="AW1" i="1"/>
  <c r="Q2" i="24"/>
  <c r="AV2" i="1"/>
  <c r="AW725" i="1" s="1"/>
  <c r="AV3" i="1"/>
  <c r="AP269" i="1"/>
  <c r="K70" i="24"/>
  <c r="AR380" i="1"/>
  <c r="M7" i="24" s="1"/>
  <c r="M6" i="24"/>
  <c r="P3" i="24"/>
  <c r="AU89" i="1"/>
  <c r="AU296" i="1"/>
  <c r="AW75" i="1"/>
  <c r="AW77" i="1"/>
  <c r="AR78" i="1"/>
  <c r="AR76" i="1"/>
  <c r="AU790" i="1"/>
  <c r="AU791" i="1"/>
  <c r="AU811" i="1"/>
  <c r="AU809" i="1"/>
  <c r="AU97" i="1"/>
  <c r="AU810" i="1"/>
  <c r="AU808" i="1"/>
  <c r="AU783" i="1"/>
  <c r="P73" i="24" s="1"/>
  <c r="AU787" i="1"/>
  <c r="AU785" i="1"/>
  <c r="AU841" i="1" s="1"/>
  <c r="AU788" i="1"/>
  <c r="P72" i="24" s="1"/>
  <c r="AU789" i="1"/>
  <c r="AU782" i="1"/>
  <c r="AP352" i="1"/>
  <c r="AP354" i="1" s="1"/>
  <c r="AT5" i="1"/>
  <c r="AR71" i="1"/>
  <c r="AQ344" i="1"/>
  <c r="AQ77" i="1"/>
  <c r="AQ321" i="1"/>
  <c r="AQ379" i="1"/>
  <c r="AQ291" i="1"/>
  <c r="AQ334" i="1"/>
  <c r="AQ71" i="1"/>
  <c r="AQ75" i="1"/>
  <c r="AQ339" i="1"/>
  <c r="BI706" i="1"/>
  <c r="DB546" i="1"/>
  <c r="BD546" i="1"/>
  <c r="AR321" i="1" l="1"/>
  <c r="CV321" i="1"/>
  <c r="Q3" i="24"/>
  <c r="P74" i="24"/>
  <c r="AT296" i="1"/>
  <c r="O4" i="24"/>
  <c r="AQ319" i="1"/>
  <c r="AQ322" i="1" s="1"/>
  <c r="AQ323" i="1" s="1"/>
  <c r="L70" i="24" s="1"/>
  <c r="L6" i="24"/>
  <c r="R2" i="24"/>
  <c r="AX1" i="1"/>
  <c r="AW3" i="1"/>
  <c r="AW5" i="1" s="1"/>
  <c r="AU379" i="1"/>
  <c r="AU354" i="1"/>
  <c r="AU377" i="1" s="1"/>
  <c r="AS321" i="1"/>
  <c r="AT110" i="1"/>
  <c r="AT71" i="1"/>
  <c r="AT109" i="1"/>
  <c r="AT87" i="1"/>
  <c r="AT93" i="1"/>
  <c r="AT97" i="1"/>
  <c r="AT117" i="1"/>
  <c r="AT112" i="1"/>
  <c r="AT113" i="1"/>
  <c r="AT84" i="1"/>
  <c r="AT86" i="1"/>
  <c r="AT118" i="1"/>
  <c r="AT111" i="1"/>
  <c r="AT85" i="1"/>
  <c r="AT790" i="1"/>
  <c r="AT791" i="1"/>
  <c r="AT809" i="1"/>
  <c r="AT808" i="1"/>
  <c r="AT811" i="1"/>
  <c r="AT810" i="1"/>
  <c r="AQ294" i="1"/>
  <c r="AQ349" i="1"/>
  <c r="BJ706" i="1"/>
  <c r="DE706" i="1"/>
  <c r="AW2" i="1"/>
  <c r="AX725" i="1" s="1"/>
  <c r="CX128" i="1"/>
  <c r="BE546" i="1"/>
  <c r="AV5" i="1" l="1"/>
  <c r="AV296" i="1" s="1"/>
  <c r="AV354" i="1" s="1"/>
  <c r="AV377" i="1" s="1"/>
  <c r="AT354" i="1"/>
  <c r="AT377" i="1" s="1"/>
  <c r="AT379" i="1"/>
  <c r="AT380" i="1" s="1"/>
  <c r="O7" i="24" s="1"/>
  <c r="AY1" i="1"/>
  <c r="AZ1" i="1" s="1"/>
  <c r="S2" i="24"/>
  <c r="AX3" i="1"/>
  <c r="AX2" i="1"/>
  <c r="AU380" i="1"/>
  <c r="P7" i="24" s="1"/>
  <c r="P6" i="24"/>
  <c r="AW296" i="1"/>
  <c r="R4" i="24"/>
  <c r="AW790" i="1"/>
  <c r="AW783" i="1"/>
  <c r="R73" i="24" s="1"/>
  <c r="AW809" i="1"/>
  <c r="AW791" i="1"/>
  <c r="AW787" i="1"/>
  <c r="AW788" i="1"/>
  <c r="R72" i="24" s="1"/>
  <c r="AW808" i="1"/>
  <c r="AW785" i="1"/>
  <c r="AW841" i="1" s="1"/>
  <c r="AW811" i="1"/>
  <c r="AW789" i="1"/>
  <c r="AW782" i="1"/>
  <c r="AW810" i="1"/>
  <c r="AW97" i="1"/>
  <c r="O6" i="24"/>
  <c r="R3" i="24"/>
  <c r="AT321" i="1"/>
  <c r="AT78" i="1"/>
  <c r="AT75" i="1"/>
  <c r="AT77" i="1"/>
  <c r="AT76" i="1"/>
  <c r="AT74" i="1"/>
  <c r="AR79" i="1"/>
  <c r="AQ269" i="1"/>
  <c r="AQ81" i="1"/>
  <c r="AQ325" i="1"/>
  <c r="AQ352" i="1"/>
  <c r="AQ295" i="1"/>
  <c r="BK706" i="1"/>
  <c r="DC546" i="1"/>
  <c r="BF546" i="1"/>
  <c r="AV86" i="1" l="1"/>
  <c r="AV118" i="1"/>
  <c r="AV97" i="1"/>
  <c r="AV87" i="1"/>
  <c r="AV112" i="1"/>
  <c r="AV791" i="1"/>
  <c r="AV113" i="1"/>
  <c r="AV808" i="1"/>
  <c r="AV790" i="1"/>
  <c r="AV810" i="1"/>
  <c r="AV117" i="1"/>
  <c r="AV809" i="1"/>
  <c r="AV85" i="1"/>
  <c r="AV811" i="1"/>
  <c r="AV110" i="1"/>
  <c r="AV109" i="1"/>
  <c r="Q4" i="24"/>
  <c r="AV84" i="1"/>
  <c r="AV111" i="1"/>
  <c r="AV93" i="1"/>
  <c r="R74" i="24"/>
  <c r="S3" i="24"/>
  <c r="CW296" i="1"/>
  <c r="AW379" i="1"/>
  <c r="AW354" i="1"/>
  <c r="AW377" i="1" s="1"/>
  <c r="CX296" i="1"/>
  <c r="AV379" i="1"/>
  <c r="T2" i="24"/>
  <c r="AU321" i="1"/>
  <c r="AY3" i="1"/>
  <c r="AV76" i="1"/>
  <c r="AV78" i="1"/>
  <c r="AV75" i="1"/>
  <c r="AV74" i="1"/>
  <c r="AV71" i="1"/>
  <c r="AV77" i="1"/>
  <c r="AR391" i="1"/>
  <c r="AY2" i="1"/>
  <c r="DF706" i="1"/>
  <c r="BL706" i="1"/>
  <c r="AQ353" i="1"/>
  <c r="AQ354" i="1" s="1"/>
  <c r="CY128" i="1"/>
  <c r="BG546" i="1"/>
  <c r="AW380" i="1" l="1"/>
  <c r="R7" i="24" s="1"/>
  <c r="R6" i="24"/>
  <c r="AV380" i="1"/>
  <c r="Q7" i="24" s="1"/>
  <c r="Q6" i="24"/>
  <c r="AZ2" i="1"/>
  <c r="U2" i="24"/>
  <c r="AY5" i="1"/>
  <c r="AY296" i="1" s="1"/>
  <c r="T3" i="24"/>
  <c r="AY87" i="1"/>
  <c r="AV321" i="1"/>
  <c r="AX5" i="1"/>
  <c r="S4" i="24" s="1"/>
  <c r="BA1" i="1"/>
  <c r="AZ3" i="1"/>
  <c r="AZ132" i="1" s="1"/>
  <c r="AT79" i="1"/>
  <c r="BM706" i="1"/>
  <c r="DD546" i="1"/>
  <c r="BH546" i="1"/>
  <c r="T4" i="24" l="1"/>
  <c r="AY93" i="1"/>
  <c r="BA2" i="1"/>
  <c r="V2" i="24"/>
  <c r="U3" i="24"/>
  <c r="AW321" i="1"/>
  <c r="CW321" i="1"/>
  <c r="AX109" i="1"/>
  <c r="AX71" i="1"/>
  <c r="AX296" i="1"/>
  <c r="AX86" i="1"/>
  <c r="AX811" i="1"/>
  <c r="AX791" i="1"/>
  <c r="CZ236" i="1"/>
  <c r="AX85" i="1"/>
  <c r="AX112" i="1"/>
  <c r="AX808" i="1"/>
  <c r="AX84" i="1"/>
  <c r="AX111" i="1"/>
  <c r="AX97" i="1"/>
  <c r="AX110" i="1"/>
  <c r="AX809" i="1"/>
  <c r="AX118" i="1"/>
  <c r="AX790" i="1"/>
  <c r="AX93" i="1"/>
  <c r="AX113" i="1"/>
  <c r="AX810" i="1"/>
  <c r="AX117" i="1"/>
  <c r="AX87" i="1"/>
  <c r="BA3" i="1"/>
  <c r="BB1" i="1"/>
  <c r="AX77" i="1"/>
  <c r="AV79" i="1"/>
  <c r="DG706" i="1"/>
  <c r="BN706" i="1"/>
  <c r="AT391" i="1"/>
  <c r="BI546" i="1"/>
  <c r="BA5" i="1" l="1"/>
  <c r="BA93" i="1" s="1"/>
  <c r="V3" i="24"/>
  <c r="BB2" i="1"/>
  <c r="W2" i="24"/>
  <c r="AX379" i="1"/>
  <c r="AX354" i="1"/>
  <c r="AX377" i="1" s="1"/>
  <c r="CY296" i="1"/>
  <c r="AX321" i="1"/>
  <c r="CX321" i="1"/>
  <c r="AZ5" i="1"/>
  <c r="BB3" i="1"/>
  <c r="BC1" i="1"/>
  <c r="BO706" i="1"/>
  <c r="BP706" i="1" s="1"/>
  <c r="BJ546" i="1"/>
  <c r="DE546" i="1"/>
  <c r="AZ87" i="1" l="1"/>
  <c r="AZ296" i="1"/>
  <c r="V4" i="24"/>
  <c r="BD1" i="1"/>
  <c r="BD2" i="1" s="1"/>
  <c r="X2" i="24"/>
  <c r="DA236" i="1"/>
  <c r="U4" i="24"/>
  <c r="W3" i="24"/>
  <c r="AX380" i="1"/>
  <c r="S7" i="24" s="1"/>
  <c r="S6" i="24"/>
  <c r="CY321" i="1"/>
  <c r="BC3" i="1"/>
  <c r="BC2" i="1"/>
  <c r="BQ706" i="1"/>
  <c r="DI706" i="1" s="1"/>
  <c r="DH706" i="1"/>
  <c r="BK546" i="1"/>
  <c r="CN526" i="1"/>
  <c r="CN675" i="1"/>
  <c r="AA621" i="1"/>
  <c r="AZ379" i="1" l="1"/>
  <c r="AZ380" i="1" s="1"/>
  <c r="AZ354" i="1"/>
  <c r="AZ377" i="1" s="1"/>
  <c r="BE1" i="1"/>
  <c r="Z2" i="24" s="1"/>
  <c r="BD3" i="1"/>
  <c r="Y3" i="24" s="1"/>
  <c r="BB5" i="1"/>
  <c r="BB93" i="1" s="1"/>
  <c r="X3" i="24"/>
  <c r="Y2" i="24"/>
  <c r="BC5" i="1"/>
  <c r="BC93" i="1" s="1"/>
  <c r="DF546" i="1"/>
  <c r="BL546" i="1"/>
  <c r="BE3" i="1"/>
  <c r="BE2" i="1"/>
  <c r="CN621" i="1"/>
  <c r="W4" i="24" l="1"/>
  <c r="X4" i="24"/>
  <c r="DB236" i="1"/>
  <c r="BF1" i="1"/>
  <c r="BF2" i="1" s="1"/>
  <c r="Z3" i="24"/>
  <c r="BM546" i="1"/>
  <c r="BD5" i="1"/>
  <c r="BD93" i="1" s="1"/>
  <c r="BE5" i="1"/>
  <c r="BE93" i="1" s="1"/>
  <c r="CN376" i="1"/>
  <c r="Z4" i="24" l="1"/>
  <c r="Y4" i="24"/>
  <c r="AA2" i="24"/>
  <c r="BF3" i="1"/>
  <c r="BG1" i="1"/>
  <c r="DG546" i="1"/>
  <c r="BN546" i="1"/>
  <c r="DC236" i="1"/>
  <c r="CN318" i="1"/>
  <c r="CN151" i="1"/>
  <c r="AA3" i="24" l="1"/>
  <c r="BG2" i="1"/>
  <c r="BH1" i="1"/>
  <c r="BI1" i="1" s="1"/>
  <c r="BG3" i="1"/>
  <c r="AB2" i="24"/>
  <c r="BO546" i="1"/>
  <c r="BP546" i="1" s="1"/>
  <c r="CN80" i="1"/>
  <c r="AC2" i="24" l="1"/>
  <c r="BF5" i="1"/>
  <c r="BF93" i="1" s="1"/>
  <c r="BH2" i="1"/>
  <c r="BH3" i="1"/>
  <c r="BG5" i="1"/>
  <c r="BG93" i="1" s="1"/>
  <c r="AB3" i="24"/>
  <c r="AD2" i="24"/>
  <c r="BQ546" i="1"/>
  <c r="DI546" i="1" s="1"/>
  <c r="DH546" i="1"/>
  <c r="BI2" i="1"/>
  <c r="BJ1" i="1"/>
  <c r="BI3" i="1"/>
  <c r="CO151" i="1"/>
  <c r="AB4" i="24" l="1"/>
  <c r="AA4" i="24"/>
  <c r="DD236" i="1"/>
  <c r="AC3" i="24"/>
  <c r="BK1" i="1"/>
  <c r="BL1" i="1" s="1"/>
  <c r="AE2" i="24"/>
  <c r="AD3" i="24"/>
  <c r="BH5" i="1"/>
  <c r="BH93" i="1" s="1"/>
  <c r="BI5" i="1"/>
  <c r="BI93" i="1" s="1"/>
  <c r="BJ2" i="1"/>
  <c r="BJ3" i="1"/>
  <c r="BK2" i="1"/>
  <c r="O20" i="17"/>
  <c r="O22" i="17" s="1"/>
  <c r="CP151" i="1"/>
  <c r="BK3" i="1" l="1"/>
  <c r="AC4" i="24"/>
  <c r="AD4" i="24"/>
  <c r="AE3" i="24"/>
  <c r="AF3" i="24"/>
  <c r="AG2" i="24"/>
  <c r="AF2" i="24"/>
  <c r="DE236" i="1"/>
  <c r="DE265" i="1"/>
  <c r="BL2" i="1"/>
  <c r="BM1" i="1"/>
  <c r="BL3" i="1"/>
  <c r="BJ5" i="1"/>
  <c r="AE4" i="24" s="1"/>
  <c r="BK5" i="1"/>
  <c r="AF4" i="24" s="1"/>
  <c r="CQ151" i="1"/>
  <c r="AH2" i="24" l="1"/>
  <c r="AG3" i="24"/>
  <c r="BN1" i="1"/>
  <c r="BM3" i="1"/>
  <c r="BM2" i="1"/>
  <c r="DF265" i="1"/>
  <c r="DF236" i="1"/>
  <c r="DF235" i="1"/>
  <c r="CR151" i="1"/>
  <c r="AH3" i="24" l="1"/>
  <c r="BN3" i="1"/>
  <c r="AI2" i="24"/>
  <c r="BN2" i="1"/>
  <c r="BO1" i="1"/>
  <c r="BM5" i="1"/>
  <c r="AH4" i="24" s="1"/>
  <c r="BL5" i="1"/>
  <c r="AG4" i="24" s="1"/>
  <c r="CS151" i="1"/>
  <c r="CN137" i="1"/>
  <c r="AA839" i="1"/>
  <c r="AI3" i="24" l="1"/>
  <c r="AJ2" i="24"/>
  <c r="BP1" i="1"/>
  <c r="BO3" i="1"/>
  <c r="BO2" i="1"/>
  <c r="DG235" i="1"/>
  <c r="DG236" i="1"/>
  <c r="DG265" i="1"/>
  <c r="CU151" i="1"/>
  <c r="CT151" i="1"/>
  <c r="CN839" i="1"/>
  <c r="AJ3" i="24" l="1"/>
  <c r="AK2" i="24"/>
  <c r="BP2" i="1"/>
  <c r="BP3" i="1"/>
  <c r="BN5" i="1"/>
  <c r="AI4" i="24" s="1"/>
  <c r="BO5" i="1"/>
  <c r="AJ4" i="24" s="1"/>
  <c r="BQ1" i="1"/>
  <c r="CV151" i="1"/>
  <c r="AL2" i="24" l="1"/>
  <c r="AK3" i="24"/>
  <c r="BQ3" i="1"/>
  <c r="BQ2" i="1"/>
  <c r="DH236" i="1"/>
  <c r="DH235" i="1"/>
  <c r="DH265" i="1"/>
  <c r="C48" i="2"/>
  <c r="AA59" i="17"/>
  <c r="AR252" i="9"/>
  <c r="D13" i="17"/>
  <c r="F48" i="2"/>
  <c r="Q23" i="7"/>
  <c r="O23" i="7"/>
  <c r="M26" i="7"/>
  <c r="N26" i="7"/>
  <c r="M25" i="7"/>
  <c r="M23" i="7"/>
  <c r="N23" i="7"/>
  <c r="F36" i="7"/>
  <c r="Q26" i="7"/>
  <c r="Q25" i="7"/>
  <c r="P27" i="7"/>
  <c r="C51" i="2"/>
  <c r="E13" i="17"/>
  <c r="E59" i="17"/>
  <c r="E48" i="2"/>
  <c r="D20" i="17"/>
  <c r="O25" i="7"/>
  <c r="E20" i="17"/>
  <c r="E22" i="17" s="1"/>
  <c r="P23" i="7"/>
  <c r="D59" i="17"/>
  <c r="P25" i="7"/>
  <c r="Q27" i="7"/>
  <c r="O26" i="7"/>
  <c r="M59" i="7"/>
  <c r="N25" i="7"/>
  <c r="M57" i="7"/>
  <c r="C24" i="2"/>
  <c r="G48" i="2"/>
  <c r="D48" i="2"/>
  <c r="P26" i="7"/>
  <c r="AQ252" i="9"/>
  <c r="CW151" i="1"/>
  <c r="AB725" i="1"/>
  <c r="C9" i="2" l="1"/>
  <c r="L14" i="2" s="1"/>
  <c r="K14" i="2" s="1"/>
  <c r="K48" i="2" s="1"/>
  <c r="AL3" i="24"/>
  <c r="BP5" i="1"/>
  <c r="AK4" i="24" s="1"/>
  <c r="BQ5" i="1"/>
  <c r="AL4" i="24" s="1"/>
  <c r="S96" i="8"/>
  <c r="U96" i="8"/>
  <c r="R76" i="8"/>
  <c r="AS252" i="9"/>
  <c r="S218" i="8"/>
  <c r="V94" i="8"/>
  <c r="U104" i="8"/>
  <c r="R96" i="8"/>
  <c r="R218" i="8"/>
  <c r="E14" i="17"/>
  <c r="U388" i="8"/>
  <c r="W218" i="8"/>
  <c r="S389" i="8"/>
  <c r="Q94" i="8"/>
  <c r="R114" i="8"/>
  <c r="W96" i="8"/>
  <c r="S388" i="8"/>
  <c r="W94" i="8"/>
  <c r="U389" i="8"/>
  <c r="R87" i="8"/>
  <c r="T96" i="8"/>
  <c r="U114" i="8"/>
  <c r="U94" i="8"/>
  <c r="U225" i="8"/>
  <c r="R83" i="8"/>
  <c r="V114" i="8"/>
  <c r="T389" i="8"/>
  <c r="V113" i="8"/>
  <c r="V214" i="8"/>
  <c r="W214" i="8"/>
  <c r="S243" i="8"/>
  <c r="X243" i="8"/>
  <c r="S104" i="8"/>
  <c r="R94" i="8"/>
  <c r="T113" i="8"/>
  <c r="U243" i="8"/>
  <c r="U84" i="8"/>
  <c r="T214" i="8"/>
  <c r="Q84" i="8"/>
  <c r="Q389" i="8"/>
  <c r="V218" i="8"/>
  <c r="Q87" i="8"/>
  <c r="V106" i="8"/>
  <c r="S113" i="8"/>
  <c r="Q218" i="8"/>
  <c r="U214" i="8"/>
  <c r="T84" i="8"/>
  <c r="V84" i="8"/>
  <c r="R225" i="8"/>
  <c r="X225" i="8"/>
  <c r="V243" i="8"/>
  <c r="T218" i="8"/>
  <c r="S83" i="8"/>
  <c r="R84" i="8"/>
  <c r="S94" i="8"/>
  <c r="T106" i="8"/>
  <c r="T104" i="8"/>
  <c r="T94" i="8"/>
  <c r="W83" i="8"/>
  <c r="V389" i="8"/>
  <c r="W113" i="8"/>
  <c r="T95" i="8"/>
  <c r="Q95" i="8"/>
  <c r="V95" i="8"/>
  <c r="U76" i="8"/>
  <c r="V87" i="8"/>
  <c r="R95" i="8"/>
  <c r="R113" i="8"/>
  <c r="Q76" i="8"/>
  <c r="S102" i="8"/>
  <c r="S106" i="8"/>
  <c r="W389" i="8"/>
  <c r="R102" i="8"/>
  <c r="W104" i="8"/>
  <c r="W388" i="8"/>
  <c r="Q113" i="8"/>
  <c r="Q96" i="8"/>
  <c r="W84" i="8"/>
  <c r="W87" i="8"/>
  <c r="R389" i="8"/>
  <c r="X218" i="8"/>
  <c r="Q225" i="8"/>
  <c r="R214" i="8"/>
  <c r="S114" i="8"/>
  <c r="S87" i="8"/>
  <c r="W95" i="8"/>
  <c r="Q102" i="8"/>
  <c r="T102" i="8"/>
  <c r="V76" i="8"/>
  <c r="T76" i="8"/>
  <c r="V102" i="8"/>
  <c r="D22" i="17"/>
  <c r="U113" i="8"/>
  <c r="T225" i="8"/>
  <c r="T114" i="8"/>
  <c r="U106" i="8"/>
  <c r="U102" i="8"/>
  <c r="T243" i="8"/>
  <c r="S225" i="8"/>
  <c r="Q214" i="8"/>
  <c r="Y243" i="8"/>
  <c r="Q104" i="8"/>
  <c r="R106" i="8"/>
  <c r="Q243" i="8"/>
  <c r="R104" i="8"/>
  <c r="W106" i="8"/>
  <c r="V225" i="8"/>
  <c r="V83" i="8"/>
  <c r="T83" i="8"/>
  <c r="W225" i="8"/>
  <c r="W114" i="8"/>
  <c r="Q83" i="8"/>
  <c r="S76" i="8"/>
  <c r="S214" i="8"/>
  <c r="X214" i="8"/>
  <c r="W243" i="8"/>
  <c r="U87" i="8"/>
  <c r="Q388" i="8"/>
  <c r="S95" i="8"/>
  <c r="T87" i="8"/>
  <c r="R243" i="8"/>
  <c r="U95" i="8"/>
  <c r="V388" i="8"/>
  <c r="S84" i="8"/>
  <c r="Q106" i="8"/>
  <c r="V104" i="8"/>
  <c r="Q114" i="8"/>
  <c r="T388" i="8"/>
  <c r="U83" i="8"/>
  <c r="W76" i="8"/>
  <c r="U218" i="8"/>
  <c r="V96" i="8"/>
  <c r="W102" i="8"/>
  <c r="R388" i="8"/>
  <c r="CO725" i="1"/>
  <c r="L59" i="2" l="1"/>
  <c r="K30" i="2"/>
  <c r="K59" i="2"/>
  <c r="K79" i="2"/>
  <c r="L79" i="2"/>
  <c r="K22" i="2"/>
  <c r="L22" i="2"/>
  <c r="DI235" i="1"/>
  <c r="J14" i="2"/>
  <c r="J48" i="2" s="1"/>
  <c r="L48" i="2"/>
  <c r="L30" i="2"/>
  <c r="DI236" i="1"/>
  <c r="DI265" i="1"/>
  <c r="M817" i="1"/>
  <c r="M116" i="1"/>
  <c r="CG612" i="1"/>
  <c r="CG147" i="1" s="1"/>
  <c r="M146" i="1"/>
  <c r="J30" i="2" l="1"/>
  <c r="I14" i="2"/>
  <c r="I34" i="2" s="1"/>
  <c r="J59" i="2"/>
  <c r="J22" i="2"/>
  <c r="J79" i="2"/>
  <c r="CX151" i="1"/>
  <c r="CG611" i="1"/>
  <c r="I22" i="2" l="1"/>
  <c r="I69" i="2"/>
  <c r="H14" i="2"/>
  <c r="I68" i="2"/>
  <c r="I79" i="2"/>
  <c r="I35" i="2"/>
  <c r="I74" i="2"/>
  <c r="I59" i="2"/>
  <c r="I39" i="2"/>
  <c r="I46" i="2"/>
  <c r="I71" i="2"/>
  <c r="I62" i="2"/>
  <c r="I60" i="2"/>
  <c r="I48" i="2"/>
  <c r="I37" i="2"/>
  <c r="I36" i="2"/>
  <c r="I30" i="2"/>
  <c r="I66" i="2"/>
  <c r="CY151" i="1"/>
  <c r="CG613" i="1"/>
  <c r="CG146" i="1"/>
  <c r="I67" i="2" l="1"/>
  <c r="I70" i="2"/>
  <c r="D32" i="17"/>
  <c r="D33" i="17" s="1"/>
  <c r="CZ151" i="1"/>
  <c r="BA151" i="1"/>
  <c r="CG824" i="1"/>
  <c r="CG820" i="1"/>
  <c r="CG821" i="1"/>
  <c r="CG826" i="1"/>
  <c r="CG827" i="1"/>
  <c r="CG823" i="1"/>
  <c r="CG116" i="1"/>
  <c r="CG818" i="1"/>
  <c r="CG817" i="1"/>
  <c r="CG814" i="1"/>
  <c r="CG741" i="1"/>
  <c r="CG767" i="1" s="1"/>
  <c r="CG740" i="1"/>
  <c r="CG766" i="1" s="1"/>
  <c r="O110" i="1"/>
  <c r="O109" i="1"/>
  <c r="O469" i="1"/>
  <c r="O111" i="1" s="1"/>
  <c r="DA151" i="1" l="1"/>
  <c r="BB151" i="1"/>
  <c r="BC151" i="1" s="1"/>
  <c r="DB151" i="1" l="1"/>
  <c r="BD151" i="1"/>
  <c r="BE151" i="1" s="1"/>
  <c r="AA322" i="1"/>
  <c r="AA323" i="1" s="1"/>
  <c r="AA81" i="1" s="1"/>
  <c r="CN379" i="1"/>
  <c r="DC151" i="1" l="1"/>
  <c r="BF151" i="1"/>
  <c r="BG151" i="1" s="1"/>
  <c r="AA325" i="1"/>
  <c r="CN380" i="1"/>
  <c r="AA79" i="1"/>
  <c r="AA269" i="1"/>
  <c r="AA327" i="1"/>
  <c r="CN381" i="1"/>
  <c r="DD151" i="1" l="1"/>
  <c r="BH151" i="1"/>
  <c r="BI151" i="1" s="1"/>
  <c r="CN375" i="1"/>
  <c r="CN317" i="1" s="1"/>
  <c r="CN79" i="1" s="1"/>
  <c r="CN387" i="1"/>
  <c r="CN389" i="1" s="1"/>
  <c r="CN327" i="1"/>
  <c r="DE151" i="1" l="1"/>
  <c r="BJ151" i="1"/>
  <c r="X76" i="8"/>
  <c r="CN334" i="1"/>
  <c r="CN276" i="1" s="1"/>
  <c r="BK151" i="1" l="1"/>
  <c r="CN71" i="1"/>
  <c r="CN291" i="1"/>
  <c r="CN294" i="1" s="1"/>
  <c r="CN352" i="1"/>
  <c r="CN354" i="1"/>
  <c r="CN296" i="1" s="1"/>
  <c r="CN349" i="1"/>
  <c r="DF151" i="1" l="1"/>
  <c r="BL151" i="1"/>
  <c r="BM151" i="1" s="1"/>
  <c r="CN295" i="1"/>
  <c r="CN321" i="1"/>
  <c r="CN359" i="1"/>
  <c r="CN301" i="1" s="1"/>
  <c r="CN74" i="1" s="1"/>
  <c r="CN374" i="1"/>
  <c r="CN316" i="1" s="1"/>
  <c r="AA391" i="1"/>
  <c r="DG151" i="1" l="1"/>
  <c r="BN151" i="1"/>
  <c r="BO151" i="1" s="1"/>
  <c r="CN377" i="1"/>
  <c r="DH151" i="1" l="1"/>
  <c r="BP151" i="1"/>
  <c r="BQ151" i="1" s="1"/>
  <c r="DI151" i="1" s="1"/>
  <c r="CN391" i="1"/>
  <c r="CN319" i="1"/>
  <c r="CN322" i="1" s="1"/>
  <c r="CN323" i="1" s="1"/>
  <c r="CN269" i="1" l="1"/>
  <c r="CN325" i="1"/>
  <c r="CN81" i="1"/>
  <c r="CN414" i="1" l="1"/>
  <c r="CN416" i="1" s="1"/>
  <c r="AB321" i="1" l="1"/>
  <c r="AA393" i="1"/>
  <c r="AA419" i="1"/>
  <c r="CN408" i="1"/>
  <c r="AA792" i="1" l="1"/>
  <c r="AA426" i="1"/>
  <c r="AA428" i="1" s="1"/>
  <c r="CN393" i="1"/>
  <c r="CN419" i="1"/>
  <c r="CN406" i="1"/>
  <c r="AB96" i="1"/>
  <c r="CN405" i="1" l="1"/>
  <c r="AA89" i="1"/>
  <c r="CN792" i="1"/>
  <c r="CN440" i="1"/>
  <c r="CN426" i="1"/>
  <c r="CN428" i="1" s="1"/>
  <c r="X83" i="8" l="1"/>
  <c r="X84" i="8"/>
  <c r="CN89" i="1"/>
  <c r="CN441" i="1"/>
  <c r="CN710" i="1"/>
  <c r="AA99" i="1" l="1"/>
  <c r="AA98" i="1"/>
  <c r="AB434" i="1"/>
  <c r="AA791" i="1"/>
  <c r="AA430" i="1"/>
  <c r="CN443" i="1"/>
  <c r="AA454" i="1"/>
  <c r="AB440" i="1" l="1"/>
  <c r="AB790" i="1"/>
  <c r="AA734" i="1"/>
  <c r="AA761" i="1" s="1"/>
  <c r="AA461" i="1"/>
  <c r="AA463" i="1" s="1"/>
  <c r="CN99" i="1"/>
  <c r="CN98" i="1"/>
  <c r="CN791" i="1"/>
  <c r="CN430" i="1"/>
  <c r="CN454" i="1"/>
  <c r="AA793" i="1"/>
  <c r="AA794" i="1"/>
  <c r="CN449" i="1"/>
  <c r="CN451" i="1" s="1"/>
  <c r="AB627" i="1"/>
  <c r="CN734" i="1" l="1"/>
  <c r="CN461" i="1"/>
  <c r="CN463" i="1" s="1"/>
  <c r="CN793" i="1"/>
  <c r="CN794" i="1"/>
  <c r="X87" i="8" l="1"/>
  <c r="X95" i="8"/>
  <c r="CN761" i="1"/>
  <c r="CN478" i="1" l="1"/>
  <c r="CN480" i="1" s="1"/>
  <c r="AA118" i="1" l="1"/>
  <c r="AA117" i="1"/>
  <c r="CN471" i="1"/>
  <c r="AA483" i="1"/>
  <c r="AA810" i="1"/>
  <c r="CN472" i="1"/>
  <c r="AA465" i="1"/>
  <c r="AA811" i="1"/>
  <c r="AA711" i="1" l="1"/>
  <c r="CN711" i="1" s="1"/>
  <c r="AA129" i="1"/>
  <c r="CN118" i="1"/>
  <c r="CN483" i="1"/>
  <c r="CN811" i="1"/>
  <c r="CN465" i="1"/>
  <c r="CN117" i="1"/>
  <c r="CN810" i="1"/>
  <c r="AA490" i="1"/>
  <c r="AA493" i="1" s="1"/>
  <c r="CN497" i="1" l="1"/>
  <c r="CN490" i="1"/>
  <c r="CN493" i="1" s="1"/>
  <c r="X104" i="8" l="1"/>
  <c r="X102" i="8"/>
  <c r="X94" i="8"/>
  <c r="X106" i="8"/>
  <c r="X96" i="8"/>
  <c r="CN130" i="1"/>
  <c r="CN129" i="1"/>
  <c r="CN506" i="1" l="1"/>
  <c r="CN509" i="1" s="1"/>
  <c r="AA495" i="1"/>
  <c r="AA515" i="1"/>
  <c r="AA785" i="1" l="1"/>
  <c r="CN136" i="1"/>
  <c r="AA789" i="1"/>
  <c r="AA740" i="1"/>
  <c r="AA766" i="1" s="1"/>
  <c r="AA513" i="1"/>
  <c r="AA732" i="1"/>
  <c r="AA136" i="1"/>
  <c r="AA787" i="1"/>
  <c r="AA741" i="1"/>
  <c r="AA767" i="1" s="1"/>
  <c r="AA788" i="1"/>
  <c r="AA521" i="1"/>
  <c r="CN521" i="1" s="1"/>
  <c r="AA730" i="1"/>
  <c r="AA620" i="1"/>
  <c r="AA525" i="1"/>
  <c r="AA733" i="1" l="1"/>
  <c r="AA760" i="1"/>
  <c r="AA510" i="1"/>
  <c r="AA728" i="1"/>
  <c r="AA757" i="1" s="1"/>
  <c r="AA729" i="1"/>
  <c r="AA758" i="1" s="1"/>
  <c r="CN525" i="1"/>
  <c r="AA759" i="1"/>
  <c r="AA840" i="1"/>
  <c r="AA838" i="1"/>
  <c r="AA731" i="1"/>
  <c r="CN510" i="1" l="1"/>
  <c r="CN729" i="1"/>
  <c r="CN728" i="1"/>
  <c r="CN676" i="1"/>
  <c r="CN500" i="1"/>
  <c r="CN495" i="1" s="1"/>
  <c r="AA131" i="1" l="1"/>
  <c r="CN758" i="1"/>
  <c r="CN515" i="1"/>
  <c r="CN620" i="1" s="1"/>
  <c r="CN757" i="1"/>
  <c r="CN498" i="1"/>
  <c r="X113" i="8" l="1"/>
  <c r="CN131" i="1"/>
  <c r="CN740" i="1"/>
  <c r="CN766" i="1" s="1"/>
  <c r="CN732" i="1"/>
  <c r="CN787" i="1"/>
  <c r="CN741" i="1"/>
  <c r="CN767" i="1" s="1"/>
  <c r="CN788" i="1"/>
  <c r="CN730" i="1"/>
  <c r="CN789" i="1"/>
  <c r="CN513" i="1"/>
  <c r="D18" i="17" s="1"/>
  <c r="D21" i="17" s="1"/>
  <c r="D16" i="17" l="1"/>
  <c r="X114" i="8"/>
  <c r="CN731" i="1"/>
  <c r="CN760" i="1"/>
  <c r="CN759" i="1"/>
  <c r="CN733" i="1"/>
  <c r="CN840" i="1"/>
  <c r="CN838" i="1"/>
  <c r="AB621" i="1"/>
  <c r="AA783" i="1"/>
  <c r="AA782" i="1"/>
  <c r="CN673" i="1" l="1"/>
  <c r="AA841" i="1"/>
  <c r="CN671" i="1"/>
  <c r="CN672" i="1"/>
  <c r="CN699" i="1"/>
  <c r="AA699" i="1"/>
  <c r="CN702" i="1"/>
  <c r="CN785" i="1" s="1"/>
  <c r="CN782" i="1"/>
  <c r="CN783" i="1"/>
  <c r="CN841" i="1" l="1"/>
  <c r="CN704" i="1"/>
  <c r="X389" i="8" l="1"/>
  <c r="X388" i="8"/>
  <c r="AA589" i="1"/>
  <c r="CN589" i="1" s="1"/>
  <c r="AA599" i="1"/>
  <c r="AA603" i="1" s="1"/>
  <c r="CN567" i="1"/>
  <c r="CN603" i="1" l="1"/>
  <c r="CN599" i="1"/>
  <c r="CN604" i="1" l="1"/>
  <c r="CN584" i="1" l="1"/>
  <c r="CN585" i="1" s="1"/>
  <c r="CO584" i="1" l="1"/>
  <c r="CP584" i="1" l="1"/>
  <c r="CQ584" i="1" l="1"/>
  <c r="CR584" i="1" l="1"/>
  <c r="CT584" i="1" l="1"/>
  <c r="CS584" i="1"/>
  <c r="AA48" i="1" l="1"/>
  <c r="AA49" i="1"/>
  <c r="CU584" i="1" l="1"/>
  <c r="CV584" i="1" l="1"/>
  <c r="CW584" i="1" l="1"/>
  <c r="CO612" i="1"/>
  <c r="AB703" i="1" l="1"/>
  <c r="AB122" i="1"/>
  <c r="AB625" i="1"/>
  <c r="CO625" i="1" s="1"/>
  <c r="AB814" i="1"/>
  <c r="AB827" i="1"/>
  <c r="CO147" i="1"/>
  <c r="CO613" i="1"/>
  <c r="E32" i="17" s="1"/>
  <c r="E33" i="17" s="1"/>
  <c r="CO703" i="1" l="1"/>
  <c r="CX584" i="1"/>
  <c r="AB817" i="1"/>
  <c r="AB826" i="1"/>
  <c r="AB824" i="1"/>
  <c r="AB820" i="1"/>
  <c r="AB825" i="1"/>
  <c r="AB816" i="1"/>
  <c r="AB823" i="1"/>
  <c r="AB818" i="1"/>
  <c r="AB819" i="1"/>
  <c r="AB822" i="1"/>
  <c r="AB821" i="1"/>
  <c r="CZ584" i="1" l="1"/>
  <c r="BA584" i="1"/>
  <c r="CY584" i="1"/>
  <c r="CO712" i="1"/>
  <c r="CO598" i="1"/>
  <c r="DA584" i="1" l="1"/>
  <c r="BB584" i="1"/>
  <c r="BC584" i="1" s="1"/>
  <c r="DB584" i="1" l="1"/>
  <c r="BD584" i="1"/>
  <c r="BE584" i="1" s="1"/>
  <c r="AB839" i="1"/>
  <c r="DC584" i="1" l="1"/>
  <c r="BF584" i="1"/>
  <c r="BG584" i="1" s="1"/>
  <c r="AB589" i="1"/>
  <c r="AB599" i="1"/>
  <c r="DD584" i="1" l="1"/>
  <c r="BH584" i="1"/>
  <c r="BI584" i="1" s="1"/>
  <c r="AB603" i="1"/>
  <c r="DE584" i="1" l="1"/>
  <c r="BJ584" i="1"/>
  <c r="AC725" i="1"/>
  <c r="BK584" i="1" l="1"/>
  <c r="AB185" i="1"/>
  <c r="DF584" i="1" l="1"/>
  <c r="BL584" i="1"/>
  <c r="BM584" i="1" s="1"/>
  <c r="AB203" i="1"/>
  <c r="AB186" i="1"/>
  <c r="DG584" i="1" l="1"/>
  <c r="BN584" i="1"/>
  <c r="BO584" i="1" s="1"/>
  <c r="AB55" i="1"/>
  <c r="AC242" i="1"/>
  <c r="I65" i="2"/>
  <c r="AC243" i="1"/>
  <c r="AC258" i="1" s="1"/>
  <c r="AB204" i="1"/>
  <c r="AB243" i="1"/>
  <c r="AB242" i="1"/>
  <c r="DH584" i="1" l="1"/>
  <c r="BP584" i="1"/>
  <c r="BQ584" i="1" s="1"/>
  <c r="DI584" i="1" s="1"/>
  <c r="AB299" i="1"/>
  <c r="AC299" i="1"/>
  <c r="AB795" i="1"/>
  <c r="AA314" i="1"/>
  <c r="AC257" i="1"/>
  <c r="AC259" i="1" s="1"/>
  <c r="AB670" i="1"/>
  <c r="CO186" i="1"/>
  <c r="AB258" i="1"/>
  <c r="AB257" i="1"/>
  <c r="AA357" i="1" l="1"/>
  <c r="AA358" i="1" s="1"/>
  <c r="CO243" i="1"/>
  <c r="CO258" i="1" s="1"/>
  <c r="CO242" i="1"/>
  <c r="CO257" i="1" s="1"/>
  <c r="AC260" i="1"/>
  <c r="AC261" i="1" s="1"/>
  <c r="AC85" i="1"/>
  <c r="AC316" i="1"/>
  <c r="AB72" i="1"/>
  <c r="CO187" i="1"/>
  <c r="CO55" i="1"/>
  <c r="CO204" i="1"/>
  <c r="AB259" i="1"/>
  <c r="AB85" i="1" s="1"/>
  <c r="AA72" i="1"/>
  <c r="AA372" i="1" l="1"/>
  <c r="CN372" i="1" s="1"/>
  <c r="CN314" i="1" s="1"/>
  <c r="AC376" i="1"/>
  <c r="AC699" i="1"/>
  <c r="AB314" i="1"/>
  <c r="AB357" i="1"/>
  <c r="CO670" i="1"/>
  <c r="CO205" i="1"/>
  <c r="CO202" i="1"/>
  <c r="AB316" i="1"/>
  <c r="AB374" i="1" s="1"/>
  <c r="AB260" i="1"/>
  <c r="AB261" i="1" s="1"/>
  <c r="CN357" i="1"/>
  <c r="CN299" i="1" s="1"/>
  <c r="CN72" i="1" s="1"/>
  <c r="AA300" i="1"/>
  <c r="AA315" i="1" s="1"/>
  <c r="AA373" i="1" s="1"/>
  <c r="AB372" i="1" l="1"/>
  <c r="AB376" i="1"/>
  <c r="CO260" i="1"/>
  <c r="CO261" i="1" s="1"/>
  <c r="CO795" i="1"/>
  <c r="CN358" i="1"/>
  <c r="CN300" i="1" s="1"/>
  <c r="CN73" i="1" s="1"/>
  <c r="AA73" i="1" l="1"/>
  <c r="CN373" i="1"/>
  <c r="CN315" i="1" s="1"/>
  <c r="CO396" i="1"/>
  <c r="CO85" i="1" l="1"/>
  <c r="AB358" i="1" l="1"/>
  <c r="AB300" i="1" l="1"/>
  <c r="AB381" i="1"/>
  <c r="AB315" i="1" l="1"/>
  <c r="AB373" i="1" s="1"/>
  <c r="AB73" i="1"/>
  <c r="AB327" i="1"/>
  <c r="AB319" i="1"/>
  <c r="AB317" i="1" l="1"/>
  <c r="AB79" i="1" s="1"/>
  <c r="AB322" i="1"/>
  <c r="AB323" i="1" s="1"/>
  <c r="AB81" i="1" l="1"/>
  <c r="AB325" i="1"/>
  <c r="AB269" i="1"/>
  <c r="AB375" i="1"/>
  <c r="AB380" i="1"/>
  <c r="AB377" i="1" l="1"/>
  <c r="AB391" i="1" l="1"/>
  <c r="AB472" i="1" l="1"/>
  <c r="AB117" i="1" l="1"/>
  <c r="AB118" i="1"/>
  <c r="AB811" i="1"/>
  <c r="AB810" i="1"/>
  <c r="AB465" i="1"/>
  <c r="AB471" i="1"/>
  <c r="AB711" i="1" l="1"/>
  <c r="CO399" i="1" l="1"/>
  <c r="CO88" i="1" l="1"/>
  <c r="CQ399" i="1" l="1"/>
  <c r="CP399" i="1"/>
  <c r="CP88" i="1" l="1"/>
  <c r="CO433" i="1" l="1"/>
  <c r="CO709" i="1" l="1"/>
  <c r="CP433" i="1" l="1"/>
  <c r="CP709" i="1" l="1"/>
  <c r="AB412" i="1"/>
  <c r="AB408" i="1" l="1"/>
  <c r="AB99" i="1" s="1"/>
  <c r="AD412" i="1"/>
  <c r="AF412" i="1" s="1"/>
  <c r="AH412" i="1" s="1"/>
  <c r="AB424" i="1"/>
  <c r="AB459" i="1" s="1"/>
  <c r="AB488" i="1" s="1"/>
  <c r="AB502" i="1"/>
  <c r="AB130" i="1" s="1"/>
  <c r="AH502" i="1" l="1"/>
  <c r="AH424" i="1"/>
  <c r="AH459" i="1" s="1"/>
  <c r="AH488" i="1" s="1"/>
  <c r="AH408" i="1"/>
  <c r="C17" i="24" s="1"/>
  <c r="AF502" i="1"/>
  <c r="AF130" i="1" s="1"/>
  <c r="AF408" i="1"/>
  <c r="AF99" i="1" s="1"/>
  <c r="AF424" i="1"/>
  <c r="AF459" i="1" s="1"/>
  <c r="AF488" i="1" s="1"/>
  <c r="AB406" i="1"/>
  <c r="AB405" i="1" s="1"/>
  <c r="AD502" i="1"/>
  <c r="AB500" i="1"/>
  <c r="AB393" i="1"/>
  <c r="AB419" i="1"/>
  <c r="CQ709" i="1"/>
  <c r="AH406" i="1" l="1"/>
  <c r="AH419" i="1"/>
  <c r="AH393" i="1"/>
  <c r="AH99" i="1"/>
  <c r="AH130" i="1"/>
  <c r="AH500" i="1"/>
  <c r="AF500" i="1"/>
  <c r="AF498" i="1" s="1"/>
  <c r="AF406" i="1"/>
  <c r="AF405" i="1" s="1"/>
  <c r="AF419" i="1"/>
  <c r="AF393" i="1"/>
  <c r="AB89" i="1"/>
  <c r="AD500" i="1"/>
  <c r="AB792" i="1"/>
  <c r="AB426" i="1"/>
  <c r="AB428" i="1" s="1"/>
  <c r="AB454" i="1"/>
  <c r="AB495" i="1"/>
  <c r="AB498" i="1"/>
  <c r="AH405" i="1" l="1"/>
  <c r="C14" i="24" s="1"/>
  <c r="C15" i="24"/>
  <c r="AF515" i="1"/>
  <c r="AF136" i="1" s="1"/>
  <c r="AF89" i="1"/>
  <c r="AF131" i="1"/>
  <c r="AI794" i="1"/>
  <c r="AH89" i="1"/>
  <c r="AH792" i="1"/>
  <c r="AH498" i="1"/>
  <c r="C43" i="24" s="1"/>
  <c r="AH495" i="1"/>
  <c r="AH454" i="1"/>
  <c r="AH426" i="1"/>
  <c r="AH793" i="1"/>
  <c r="C71" i="24" s="1"/>
  <c r="AH515" i="1"/>
  <c r="AF495" i="1"/>
  <c r="AF454" i="1"/>
  <c r="AF426" i="1"/>
  <c r="AF428" i="1" s="1"/>
  <c r="AF793" i="1"/>
  <c r="AF792" i="1"/>
  <c r="AB131" i="1"/>
  <c r="AB461" i="1"/>
  <c r="AB463" i="1" s="1"/>
  <c r="AB734" i="1"/>
  <c r="AB761" i="1" s="1"/>
  <c r="AB483" i="1"/>
  <c r="AB430" i="1"/>
  <c r="AB791" i="1"/>
  <c r="AB515" i="1"/>
  <c r="C44" i="24" l="1"/>
  <c r="C47" i="24" s="1"/>
  <c r="AH428" i="1"/>
  <c r="C19" i="24"/>
  <c r="AF740" i="1"/>
  <c r="AF766" i="1" s="1"/>
  <c r="AF620" i="1"/>
  <c r="AF783" i="1"/>
  <c r="AF730" i="1"/>
  <c r="AF732" i="1"/>
  <c r="AF513" i="1"/>
  <c r="AF741" i="1"/>
  <c r="AF767" i="1" s="1"/>
  <c r="AF787" i="1"/>
  <c r="AF788" i="1"/>
  <c r="AF521" i="1"/>
  <c r="AF525" i="1"/>
  <c r="AH131" i="1"/>
  <c r="AH483" i="1"/>
  <c r="AH461" i="1"/>
  <c r="AH525" i="1"/>
  <c r="AH513" i="1"/>
  <c r="AH620" i="1"/>
  <c r="AH521" i="1"/>
  <c r="AH788" i="1"/>
  <c r="C72" i="24" s="1"/>
  <c r="AH787" i="1"/>
  <c r="AH783" i="1"/>
  <c r="C73" i="24" s="1"/>
  <c r="AF483" i="1"/>
  <c r="AF734" i="1"/>
  <c r="AF761" i="1" s="1"/>
  <c r="AF461" i="1"/>
  <c r="AF463" i="1" s="1"/>
  <c r="AB129" i="1"/>
  <c r="AB136" i="1"/>
  <c r="AB740" i="1"/>
  <c r="AB766" i="1" s="1"/>
  <c r="AB513" i="1"/>
  <c r="AB787" i="1"/>
  <c r="AB732" i="1"/>
  <c r="AB730" i="1"/>
  <c r="AB620" i="1"/>
  <c r="AB521" i="1"/>
  <c r="AB788" i="1"/>
  <c r="AB741" i="1"/>
  <c r="AB767" i="1" s="1"/>
  <c r="AB789" i="1"/>
  <c r="AB525" i="1"/>
  <c r="AB793" i="1"/>
  <c r="AB794" i="1"/>
  <c r="CO572" i="1"/>
  <c r="CO585" i="1" s="1"/>
  <c r="CO627" i="1"/>
  <c r="AB490" i="1"/>
  <c r="AB493" i="1" s="1"/>
  <c r="C74" i="24" l="1"/>
  <c r="C51" i="24"/>
  <c r="C50" i="24" s="1"/>
  <c r="AH463" i="1"/>
  <c r="C32" i="24"/>
  <c r="AF838" i="1"/>
  <c r="AF759" i="1"/>
  <c r="AF782" i="1"/>
  <c r="AF840" i="1"/>
  <c r="AF760" i="1"/>
  <c r="AF729" i="1"/>
  <c r="AF758" i="1" s="1"/>
  <c r="AF728" i="1"/>
  <c r="AF757" i="1" s="1"/>
  <c r="AF129" i="1"/>
  <c r="AH782" i="1"/>
  <c r="AH129" i="1"/>
  <c r="AH490" i="1"/>
  <c r="AF490" i="1"/>
  <c r="AF493" i="1" s="1"/>
  <c r="AF510" i="1" s="1"/>
  <c r="AB510" i="1"/>
  <c r="AB729" i="1"/>
  <c r="AB728" i="1"/>
  <c r="AB759" i="1"/>
  <c r="AB731" i="1"/>
  <c r="AB840" i="1"/>
  <c r="AB838" i="1"/>
  <c r="AB760" i="1"/>
  <c r="AB733" i="1"/>
  <c r="AH493" i="1" l="1"/>
  <c r="AH510" i="1" s="1"/>
  <c r="C38" i="24"/>
  <c r="C41" i="24" s="1"/>
  <c r="AB757" i="1"/>
  <c r="AH728" i="1"/>
  <c r="CR544" i="1"/>
  <c r="AH738" i="1"/>
  <c r="AH734" i="1"/>
  <c r="AH741" i="1"/>
  <c r="AH767" i="1" s="1"/>
  <c r="AH730" i="1"/>
  <c r="AH740" i="1"/>
  <c r="AH766" i="1" s="1"/>
  <c r="AB758" i="1"/>
  <c r="C54" i="24" l="1"/>
  <c r="AH761" i="1"/>
  <c r="AH757" i="1"/>
  <c r="AI731" i="1"/>
  <c r="AH838" i="1"/>
  <c r="AH759" i="1"/>
  <c r="AH764" i="1"/>
  <c r="AH840" i="1"/>
  <c r="I51" i="2"/>
  <c r="I24" i="2"/>
  <c r="AH732" i="1"/>
  <c r="C55" i="24" s="1"/>
  <c r="AH729" i="1"/>
  <c r="AB702" i="1"/>
  <c r="AB785" i="1" s="1"/>
  <c r="AB783" i="1"/>
  <c r="AB782" i="1"/>
  <c r="CO526" i="1"/>
  <c r="AH758" i="1" l="1"/>
  <c r="AI733" i="1"/>
  <c r="AH760" i="1"/>
  <c r="AB699" i="1"/>
  <c r="CO621" i="1"/>
  <c r="CO675" i="1"/>
  <c r="AB841" i="1"/>
  <c r="CO376" i="1" l="1"/>
  <c r="CO318" i="1" l="1"/>
  <c r="CO80" i="1" s="1"/>
  <c r="CO400" i="1" l="1"/>
  <c r="CO502" i="1" l="1"/>
  <c r="AC424" i="1"/>
  <c r="AC459" i="1" s="1"/>
  <c r="AC488" i="1" s="1"/>
  <c r="CO412" i="1"/>
  <c r="CO424" i="1" s="1"/>
  <c r="CO459" i="1" s="1"/>
  <c r="CO488" i="1" s="1"/>
  <c r="CO334" i="1" l="1"/>
  <c r="CO276" i="1" s="1"/>
  <c r="CO71" i="1" s="1"/>
  <c r="CO291" i="1" l="1"/>
  <c r="CO294" i="1" s="1"/>
  <c r="AC349" i="1"/>
  <c r="CO349" i="1" s="1"/>
  <c r="CO379" i="1" l="1"/>
  <c r="AC352" i="1" l="1"/>
  <c r="CO352" i="1" l="1"/>
  <c r="AC354" i="1"/>
  <c r="CO354" i="1" s="1"/>
  <c r="CO296" i="1" s="1"/>
  <c r="CO321" i="1" s="1"/>
  <c r="AC359" i="1"/>
  <c r="CO359" i="1" s="1"/>
  <c r="CO301" i="1" s="1"/>
  <c r="CO74" i="1" s="1"/>
  <c r="CO295" i="1" l="1"/>
  <c r="AC374" i="1" l="1"/>
  <c r="CO374" i="1" s="1"/>
  <c r="CO316" i="1" s="1"/>
  <c r="CO387" i="1"/>
  <c r="CO389" i="1" s="1"/>
  <c r="AC327" i="1"/>
  <c r="CO381" i="1" l="1"/>
  <c r="AC319" i="1"/>
  <c r="AC317" i="1" l="1"/>
  <c r="AC322" i="1"/>
  <c r="AC323" i="1" s="1"/>
  <c r="CO327" i="1"/>
  <c r="AC380" i="1" l="1"/>
  <c r="AC79" i="1"/>
  <c r="AC81" i="1"/>
  <c r="AC325" i="1"/>
  <c r="AC269" i="1"/>
  <c r="AC375" i="1"/>
  <c r="CO380" i="1" l="1"/>
  <c r="CO375" i="1"/>
  <c r="CO317" i="1" s="1"/>
  <c r="CO79" i="1" s="1"/>
  <c r="AC377" i="1"/>
  <c r="CO377" i="1" l="1"/>
  <c r="AC391" i="1"/>
  <c r="Y76" i="8" l="1"/>
  <c r="CO319" i="1"/>
  <c r="CO322" i="1" s="1"/>
  <c r="CO323" i="1" s="1"/>
  <c r="CO391" i="1"/>
  <c r="CO269" i="1" l="1"/>
  <c r="CO325" i="1"/>
  <c r="CO81" i="1"/>
  <c r="CO414" i="1" l="1"/>
  <c r="CO416" i="1" s="1"/>
  <c r="AC408" i="1"/>
  <c r="CO408" i="1" l="1"/>
  <c r="CO419" i="1" s="1"/>
  <c r="AC406" i="1"/>
  <c r="CO406" i="1" s="1"/>
  <c r="AC393" i="1"/>
  <c r="AC419" i="1"/>
  <c r="AC405" i="1" l="1"/>
  <c r="CO393" i="1"/>
  <c r="AC792" i="1"/>
  <c r="AC426" i="1"/>
  <c r="AC428" i="1" s="1"/>
  <c r="CO426" i="1"/>
  <c r="CO428" i="1" s="1"/>
  <c r="Y84" i="8" l="1"/>
  <c r="AC89" i="1"/>
  <c r="CO405" i="1"/>
  <c r="CO792" i="1"/>
  <c r="CO449" i="1"/>
  <c r="CO451" i="1" s="1"/>
  <c r="AC443" i="1"/>
  <c r="Y83" i="8" l="1"/>
  <c r="CO89" i="1"/>
  <c r="AE98" i="1"/>
  <c r="AC98" i="1"/>
  <c r="AC99" i="1"/>
  <c r="CO443" i="1"/>
  <c r="AC430" i="1"/>
  <c r="AC454" i="1"/>
  <c r="AC441" i="1"/>
  <c r="CO98" i="1" l="1"/>
  <c r="CO99" i="1"/>
  <c r="CO454" i="1"/>
  <c r="CO430" i="1"/>
  <c r="CO793" i="1" s="1"/>
  <c r="AC794" i="1"/>
  <c r="AC793" i="1"/>
  <c r="AC734" i="1"/>
  <c r="AC761" i="1" s="1"/>
  <c r="CO441" i="1"/>
  <c r="AC461" i="1"/>
  <c r="AC463" i="1" s="1"/>
  <c r="CO734" i="1" l="1"/>
  <c r="CO461" i="1"/>
  <c r="CO463" i="1" s="1"/>
  <c r="CO794" i="1"/>
  <c r="Y95" i="8" l="1"/>
  <c r="CO761" i="1"/>
  <c r="CO710" i="1"/>
  <c r="CO478" i="1" l="1"/>
  <c r="CO480" i="1" s="1"/>
  <c r="AC472" i="1"/>
  <c r="CO472" i="1" l="1"/>
  <c r="CO810" i="1" s="1"/>
  <c r="AC118" i="1"/>
  <c r="AC117" i="1"/>
  <c r="AC810" i="1"/>
  <c r="AC811" i="1"/>
  <c r="AC465" i="1"/>
  <c r="AC471" i="1"/>
  <c r="CO471" i="1" s="1"/>
  <c r="AC483" i="1"/>
  <c r="AC711" i="1" l="1"/>
  <c r="CO465" i="1"/>
  <c r="CO118" i="1"/>
  <c r="CO117" i="1"/>
  <c r="CO483" i="1"/>
  <c r="CO811" i="1"/>
  <c r="AC129" i="1"/>
  <c r="AC490" i="1"/>
  <c r="AC493" i="1" s="1"/>
  <c r="CO490" i="1" l="1"/>
  <c r="CO493" i="1" s="1"/>
  <c r="CO711" i="1"/>
  <c r="AC130" i="1"/>
  <c r="CO497" i="1"/>
  <c r="Y96" i="8" l="1"/>
  <c r="Y94" i="8"/>
  <c r="Y102" i="8"/>
  <c r="Y104" i="8"/>
  <c r="CO130" i="1"/>
  <c r="CO129" i="1"/>
  <c r="Y106" i="8" l="1"/>
  <c r="CO506" i="1"/>
  <c r="CO509" i="1" s="1"/>
  <c r="AC500" i="1"/>
  <c r="AC515" i="1" s="1"/>
  <c r="AC136" i="1" l="1"/>
  <c r="AC730" i="1"/>
  <c r="AC740" i="1"/>
  <c r="AC766" i="1" s="1"/>
  <c r="AC732" i="1"/>
  <c r="AC620" i="1"/>
  <c r="AC783" i="1"/>
  <c r="AC788" i="1"/>
  <c r="AC787" i="1"/>
  <c r="AC741" i="1"/>
  <c r="AC767" i="1" s="1"/>
  <c r="CO136" i="1"/>
  <c r="AC513" i="1"/>
  <c r="AC521" i="1"/>
  <c r="AC525" i="1"/>
  <c r="AC495" i="1"/>
  <c r="AC498" i="1"/>
  <c r="CO500" i="1"/>
  <c r="AC131" i="1" l="1"/>
  <c r="AC760" i="1"/>
  <c r="AC733" i="1"/>
  <c r="AC838" i="1"/>
  <c r="AC840" i="1"/>
  <c r="AC759" i="1"/>
  <c r="AC731" i="1"/>
  <c r="AC728" i="1"/>
  <c r="AC729" i="1"/>
  <c r="AC782" i="1"/>
  <c r="CO498" i="1"/>
  <c r="CO525" i="1"/>
  <c r="CO521" i="1"/>
  <c r="CO495" i="1"/>
  <c r="CO515" i="1"/>
  <c r="AC510" i="1"/>
  <c r="AC758" i="1" l="1"/>
  <c r="Y113" i="8"/>
  <c r="AC757" i="1"/>
  <c r="CO788" i="1"/>
  <c r="CO787" i="1"/>
  <c r="CO741" i="1"/>
  <c r="CO767" i="1" s="1"/>
  <c r="CO740" i="1"/>
  <c r="CO766" i="1" s="1"/>
  <c r="CO732" i="1"/>
  <c r="CO513" i="1"/>
  <c r="E18" i="17" s="1"/>
  <c r="CO730" i="1"/>
  <c r="CO620" i="1"/>
  <c r="CO510" i="1"/>
  <c r="CO728" i="1"/>
  <c r="CO729" i="1"/>
  <c r="CO676" i="1"/>
  <c r="E16" i="17" l="1"/>
  <c r="E19" i="17"/>
  <c r="E21" i="17"/>
  <c r="Y114" i="8"/>
  <c r="CO760" i="1"/>
  <c r="CO733" i="1"/>
  <c r="CO758" i="1"/>
  <c r="CO757" i="1"/>
  <c r="CO759" i="1"/>
  <c r="CO840" i="1"/>
  <c r="CO731" i="1"/>
  <c r="CO838" i="1"/>
  <c r="CO673" i="1" l="1"/>
  <c r="CO671" i="1"/>
  <c r="CO782" i="1"/>
  <c r="CO783" i="1"/>
  <c r="CO699" i="1" l="1"/>
  <c r="CO567" i="1"/>
  <c r="CO589" i="1"/>
  <c r="CO672" i="1"/>
  <c r="CO704" i="1" l="1"/>
  <c r="CO599" i="1"/>
  <c r="Y389" i="8" l="1"/>
  <c r="Y388" i="8"/>
  <c r="CO603" i="1"/>
  <c r="CO604" i="1" s="1"/>
  <c r="AD725" i="1" l="1"/>
  <c r="CP725" i="1" l="1"/>
  <c r="CO103" i="1" l="1"/>
  <c r="AC434" i="1"/>
  <c r="CO434" i="1" l="1"/>
  <c r="AC440" i="1"/>
  <c r="CO440" i="1" l="1"/>
  <c r="AC97" i="1"/>
  <c r="AC790" i="1"/>
  <c r="AC791" i="1"/>
  <c r="CO106" i="1"/>
  <c r="CO97" i="1" s="1"/>
  <c r="AC661" i="1"/>
  <c r="AC102" i="1"/>
  <c r="AC96" i="1" s="1"/>
  <c r="Y87" i="8" l="1"/>
  <c r="CP101" i="1"/>
  <c r="CO790" i="1"/>
  <c r="CO102" i="1"/>
  <c r="CO96" i="1" s="1"/>
  <c r="AC702" i="1"/>
  <c r="CO661" i="1"/>
  <c r="AC698" i="1"/>
  <c r="AC789" i="1" s="1"/>
  <c r="CO791" i="1"/>
  <c r="CO702" i="1" l="1"/>
  <c r="CO698" i="1"/>
  <c r="CO789" i="1" s="1"/>
  <c r="AC785" i="1"/>
  <c r="Y218" i="8" l="1"/>
  <c r="CO785" i="1"/>
  <c r="AC841" i="1"/>
  <c r="CO841" i="1" l="1"/>
  <c r="CO120" i="1" l="1"/>
  <c r="AC819" i="1"/>
  <c r="AC826" i="1"/>
  <c r="AC825" i="1"/>
  <c r="AC820" i="1"/>
  <c r="AC827" i="1"/>
  <c r="AC821" i="1"/>
  <c r="AC667" i="1"/>
  <c r="AC817" i="1"/>
  <c r="AC822" i="1"/>
  <c r="AC823" i="1"/>
  <c r="AC816" i="1"/>
  <c r="AC824" i="1"/>
  <c r="AC818" i="1"/>
  <c r="AC116" i="1"/>
  <c r="CO121" i="1"/>
  <c r="CO667" i="1" l="1"/>
  <c r="CO825" i="1"/>
  <c r="CO816" i="1"/>
  <c r="CO818" i="1"/>
  <c r="CO822" i="1"/>
  <c r="CO826" i="1"/>
  <c r="CO116" i="1"/>
  <c r="CO821" i="1"/>
  <c r="CO122" i="1"/>
  <c r="CO824" i="1"/>
  <c r="CO823" i="1"/>
  <c r="CO817" i="1"/>
  <c r="CO820" i="1"/>
  <c r="CO819" i="1"/>
  <c r="CO827" i="1"/>
  <c r="Y225" i="8" l="1"/>
  <c r="AC815" i="1"/>
  <c r="AC812" i="1"/>
  <c r="CO124" i="1"/>
  <c r="AC813" i="1"/>
  <c r="AC114" i="1"/>
  <c r="AC115" i="1"/>
  <c r="Y214" i="8" l="1"/>
  <c r="CO114" i="1"/>
  <c r="CO815" i="1"/>
  <c r="AC814" i="1"/>
  <c r="CO812" i="1"/>
  <c r="CO125" i="1"/>
  <c r="CO814" i="1" s="1"/>
  <c r="CO115" i="1"/>
  <c r="CO813" i="1" l="1"/>
  <c r="AC839" i="1"/>
  <c r="CO137" i="1"/>
  <c r="CO839" i="1" l="1"/>
  <c r="CO131" i="1"/>
  <c r="AB258" i="9" l="1"/>
  <c r="AB260" i="9"/>
  <c r="AB259" i="9"/>
  <c r="AB257" i="9"/>
  <c r="AB261" i="9" l="1"/>
  <c r="AB253" i="9" l="1"/>
  <c r="AD424" i="1" l="1"/>
  <c r="AD459" i="1" s="1"/>
  <c r="AD488" i="1" s="1"/>
  <c r="Z270" i="9" l="1"/>
  <c r="AA268" i="9"/>
  <c r="AD268" i="9"/>
  <c r="Z269" i="9"/>
  <c r="AG269" i="9" l="1"/>
  <c r="AE458" i="9"/>
  <c r="AE451" i="9"/>
  <c r="AE465" i="9"/>
  <c r="AG458" i="9"/>
  <c r="AG451" i="9"/>
  <c r="AG465" i="9"/>
  <c r="AG444" i="9"/>
  <c r="AG472" i="9" s="1"/>
  <c r="AE444" i="9"/>
  <c r="AA270" i="9"/>
  <c r="AA271" i="9" s="1"/>
  <c r="Z387" i="9"/>
  <c r="AD278" i="9"/>
  <c r="AD274" i="9"/>
  <c r="AD275" i="9"/>
  <c r="AD276" i="9"/>
  <c r="AD277" i="9"/>
  <c r="AE269" i="9"/>
  <c r="AA269" i="9"/>
  <c r="AB269" i="9"/>
  <c r="AA278" i="9"/>
  <c r="AA275" i="9"/>
  <c r="AA274" i="9"/>
  <c r="AA277" i="9"/>
  <c r="AA276" i="9"/>
  <c r="AD269" i="9"/>
  <c r="AE270" i="9"/>
  <c r="AE387" i="9" s="1"/>
  <c r="AB270" i="9"/>
  <c r="AB387" i="9" s="1"/>
  <c r="Z385" i="9"/>
  <c r="Z271" i="9"/>
  <c r="AA385" i="9" l="1"/>
  <c r="AC271" i="9"/>
  <c r="AA387" i="9"/>
  <c r="AF444" i="9"/>
  <c r="AF472" i="9" s="1"/>
  <c r="AE472" i="9"/>
  <c r="AC385" i="9"/>
  <c r="AB271" i="9"/>
  <c r="AB385" i="9"/>
  <c r="AD270" i="9"/>
  <c r="AD387" i="9" s="1"/>
  <c r="AE385" i="9"/>
  <c r="AE271" i="9"/>
  <c r="AD271" i="9" l="1"/>
  <c r="AD385" i="9"/>
  <c r="Z13" i="9" l="1"/>
  <c r="Z26" i="9" l="1"/>
  <c r="Z15" i="9"/>
  <c r="Z16" i="9" s="1"/>
  <c r="AA26" i="9"/>
  <c r="AA15" i="9"/>
  <c r="AA16" i="9" s="1"/>
  <c r="AA24" i="9" s="1"/>
  <c r="Z24" i="9" l="1"/>
  <c r="AC24" i="9"/>
  <c r="Z256" i="9" l="1"/>
  <c r="Z261" i="9" s="1"/>
  <c r="Y237" i="9"/>
  <c r="Z253" i="9" l="1"/>
  <c r="Y242" i="9"/>
  <c r="Y244" i="9"/>
  <c r="Y240" i="9"/>
  <c r="Y243" i="9"/>
  <c r="Y241" i="9"/>
  <c r="AA261" i="9"/>
  <c r="Y245" i="9"/>
  <c r="AA245" i="9" s="1"/>
  <c r="AB345" i="9" l="1"/>
  <c r="AD318" i="1"/>
  <c r="AD309" i="1" l="1"/>
  <c r="AD304" i="1"/>
  <c r="AD299" i="1"/>
  <c r="AC346" i="9"/>
  <c r="AC347" i="9"/>
  <c r="AD306" i="1"/>
  <c r="AD301" i="1"/>
  <c r="AD74" i="1" s="1"/>
  <c r="AD376" i="1"/>
  <c r="AD311" i="1"/>
  <c r="AD281" i="1"/>
  <c r="AD286" i="1"/>
  <c r="AD296" i="1"/>
  <c r="AD276" i="1"/>
  <c r="AD71" i="1" s="1"/>
  <c r="AC357" i="9" l="1"/>
  <c r="AD344" i="1"/>
  <c r="AD77" i="1"/>
  <c r="AD369" i="1"/>
  <c r="AD78" i="1"/>
  <c r="AD339" i="1"/>
  <c r="AD75" i="1"/>
  <c r="AD364" i="1"/>
  <c r="AD76" i="1"/>
  <c r="AD291" i="1"/>
  <c r="AD294" i="1" s="1"/>
  <c r="AD334" i="1"/>
  <c r="AD379" i="1"/>
  <c r="AD321" i="1"/>
  <c r="AD316" i="1"/>
  <c r="AD359" i="1"/>
  <c r="AA345" i="9"/>
  <c r="AB346" i="9" s="1"/>
  <c r="Z346" i="9"/>
  <c r="Z347" i="9"/>
  <c r="Z355" i="9"/>
  <c r="Z356" i="9" s="1"/>
  <c r="AD295" i="1" l="1"/>
  <c r="AD349" i="1"/>
  <c r="AD352" i="1" s="1"/>
  <c r="AD374" i="1"/>
  <c r="AD353" i="1"/>
  <c r="Z348" i="9"/>
  <c r="AA347" i="9"/>
  <c r="AC348" i="9" s="1"/>
  <c r="Z357" i="9"/>
  <c r="Z358" i="9" s="1"/>
  <c r="AB347" i="9"/>
  <c r="AA355" i="9"/>
  <c r="AA356" i="9" s="1"/>
  <c r="AA346" i="9"/>
  <c r="AD354" i="1" l="1"/>
  <c r="AB355" i="9"/>
  <c r="AA357" i="9"/>
  <c r="AA348" i="9"/>
  <c r="AB357" i="9"/>
  <c r="AB358" i="9" s="1"/>
  <c r="AB348" i="9"/>
  <c r="AB356" i="9" l="1"/>
  <c r="AC356" i="9"/>
  <c r="AA358" i="9"/>
  <c r="AC358" i="9"/>
  <c r="AD345" i="9"/>
  <c r="AD346" i="9" l="1"/>
  <c r="AD355" i="9"/>
  <c r="AD356" i="9" s="1"/>
  <c r="AD347" i="9"/>
  <c r="AD348" i="9" l="1"/>
  <c r="AD357" i="9"/>
  <c r="AD358" i="9" s="1"/>
  <c r="AE347" i="9"/>
  <c r="AE346" i="9"/>
  <c r="AE355" i="9"/>
  <c r="AE356" i="9" s="1"/>
  <c r="AF347" i="9" l="1"/>
  <c r="AG345" i="9"/>
  <c r="AJ346" i="9" s="1"/>
  <c r="AF355" i="9"/>
  <c r="AF356" i="9" s="1"/>
  <c r="AF346" i="9"/>
  <c r="AE357" i="9"/>
  <c r="AE358" i="9" s="1"/>
  <c r="AE348" i="9"/>
  <c r="AH346" i="9" l="1"/>
  <c r="AH347" i="9"/>
  <c r="AG346" i="9"/>
  <c r="AG355" i="9"/>
  <c r="AG356" i="9" s="1"/>
  <c r="AG347" i="9"/>
  <c r="AF357" i="9"/>
  <c r="AF358" i="9" s="1"/>
  <c r="AF348" i="9"/>
  <c r="AH348" i="9" l="1"/>
  <c r="AJ347" i="9"/>
  <c r="AJ348" i="9" s="1"/>
  <c r="AI348" i="9"/>
  <c r="AG357" i="9"/>
  <c r="AG358" i="9" s="1"/>
  <c r="AG348" i="9"/>
  <c r="CP159" i="1" l="1"/>
  <c r="CP160" i="1"/>
  <c r="CP180" i="1"/>
  <c r="CP158" i="1"/>
  <c r="CP53" i="1" l="1"/>
  <c r="CQ180" i="1"/>
  <c r="CP179" i="1"/>
  <c r="CP54" i="1"/>
  <c r="CP157" i="1"/>
  <c r="CP161" i="1" l="1"/>
  <c r="CQ160" i="1"/>
  <c r="CP350" i="1"/>
  <c r="CP52" i="1"/>
  <c r="CR180" i="1"/>
  <c r="CP216" i="1" l="1"/>
  <c r="CP217" i="1"/>
  <c r="CP218" i="1"/>
  <c r="CP215" i="1"/>
  <c r="CP578" i="1"/>
  <c r="CP186" i="1"/>
  <c r="CS180" i="1"/>
  <c r="CQ157" i="1"/>
  <c r="CQ54" i="1"/>
  <c r="CP243" i="1" l="1"/>
  <c r="CP242" i="1"/>
  <c r="CR160" i="1"/>
  <c r="CP55" i="1"/>
  <c r="CQ52" i="1"/>
  <c r="AD154" i="1"/>
  <c r="AC362" i="1"/>
  <c r="AD72" i="1"/>
  <c r="CP187" i="1"/>
  <c r="CR54" i="1" l="1"/>
  <c r="AD357" i="1"/>
  <c r="CS160" i="1"/>
  <c r="CR157" i="1"/>
  <c r="AC367" i="1"/>
  <c r="AC72" i="1"/>
  <c r="AC357" i="1"/>
  <c r="AC363" i="1"/>
  <c r="CO362" i="1"/>
  <c r="CO304" i="1" s="1"/>
  <c r="CS54" i="1" l="1"/>
  <c r="AD358" i="1"/>
  <c r="AC314" i="1"/>
  <c r="AC372" i="1" s="1"/>
  <c r="CO372" i="1" s="1"/>
  <c r="CO314" i="1" s="1"/>
  <c r="CO357" i="1"/>
  <c r="CO299" i="1" s="1"/>
  <c r="CO72" i="1" s="1"/>
  <c r="AC358" i="1"/>
  <c r="CR52" i="1"/>
  <c r="AC305" i="1"/>
  <c r="CO363" i="1"/>
  <c r="CO305" i="1" s="1"/>
  <c r="AC368" i="1"/>
  <c r="CO367" i="1"/>
  <c r="CO309" i="1" s="1"/>
  <c r="AC310" i="1" l="1"/>
  <c r="CO368" i="1"/>
  <c r="CO310" i="1" s="1"/>
  <c r="CS157" i="1"/>
  <c r="AC300" i="1"/>
  <c r="CO358" i="1"/>
  <c r="CO300" i="1" s="1"/>
  <c r="CO73" i="1" s="1"/>
  <c r="AD212" i="1"/>
  <c r="CS52" i="1" l="1"/>
  <c r="AD465" i="1"/>
  <c r="AC315" i="1"/>
  <c r="AC373" i="1" s="1"/>
  <c r="CO373" i="1" s="1"/>
  <c r="CO315" i="1" s="1"/>
  <c r="AC73" i="1"/>
  <c r="AD711" i="1" l="1"/>
  <c r="AG26" i="1" l="1"/>
  <c r="CQ26" i="1" s="1"/>
  <c r="AG24" i="1"/>
  <c r="CP17" i="1"/>
  <c r="CP23" i="1"/>
  <c r="CR18" i="1"/>
  <c r="AK183" i="9"/>
  <c r="AK184" i="9" s="1"/>
  <c r="CS20" i="1"/>
  <c r="CS18" i="1"/>
  <c r="CS19" i="1"/>
  <c r="CS17" i="1"/>
  <c r="CT23" i="1"/>
  <c r="CT17" i="1"/>
  <c r="AG25" i="1"/>
  <c r="AF182" i="9" s="1"/>
  <c r="CQ19" i="1"/>
  <c r="CP18" i="1"/>
  <c r="CP24" i="1"/>
  <c r="CP19" i="1"/>
  <c r="CP25" i="1"/>
  <c r="CQ18" i="1"/>
  <c r="CQ20" i="1"/>
  <c r="CR26" i="1"/>
  <c r="CQ17" i="1"/>
  <c r="CR17" i="1"/>
  <c r="CS23" i="1"/>
  <c r="CR20" i="1"/>
  <c r="CT19" i="1"/>
  <c r="CT18" i="1"/>
  <c r="CT20" i="1"/>
  <c r="CR19" i="1"/>
  <c r="CP20" i="1"/>
  <c r="CP26" i="1"/>
  <c r="AG23" i="1"/>
  <c r="AK185" i="9" l="1"/>
  <c r="AK186" i="9" s="1"/>
  <c r="AG182" i="9"/>
  <c r="AF183" i="9"/>
  <c r="AF184" i="9" s="1"/>
  <c r="AF185" i="9" s="1"/>
  <c r="CQ24" i="1"/>
  <c r="CQ25" i="1"/>
  <c r="CS26" i="1"/>
  <c r="CS24" i="1"/>
  <c r="CU24" i="1"/>
  <c r="CU25" i="1"/>
  <c r="CR23" i="1"/>
  <c r="CR24" i="1"/>
  <c r="CP166" i="1"/>
  <c r="CP164" i="1"/>
  <c r="CP172" i="1"/>
  <c r="CP170" i="1"/>
  <c r="CU23" i="1"/>
  <c r="CS25" i="1"/>
  <c r="CU26" i="1"/>
  <c r="CP165" i="1"/>
  <c r="CP171" i="1"/>
  <c r="CR25" i="1"/>
  <c r="CT25" i="1"/>
  <c r="CT24" i="1"/>
  <c r="CT26" i="1"/>
  <c r="CQ23" i="1"/>
  <c r="CP60" i="1" l="1"/>
  <c r="CP57" i="1"/>
  <c r="AF186" i="9"/>
  <c r="AG185" i="9"/>
  <c r="AG169" i="9" s="1"/>
  <c r="AH166" i="9"/>
  <c r="AH8" i="9" s="1"/>
  <c r="AG166" i="9"/>
  <c r="AG183" i="9"/>
  <c r="AG184" i="9" s="1"/>
  <c r="CP56" i="1"/>
  <c r="CP59" i="1"/>
  <c r="CQ171" i="1"/>
  <c r="CP176" i="1"/>
  <c r="CU19" i="1"/>
  <c r="CU20" i="1"/>
  <c r="CP173" i="1"/>
  <c r="CQ172" i="1"/>
  <c r="CP167" i="1"/>
  <c r="CU18" i="1"/>
  <c r="CQ60" i="1" l="1"/>
  <c r="AG186" i="9"/>
  <c r="AI183" i="9"/>
  <c r="AI184" i="9" s="1"/>
  <c r="AH167" i="9"/>
  <c r="AH168" i="9" s="1"/>
  <c r="AG11" i="9"/>
  <c r="AF169" i="9"/>
  <c r="AF11" i="9" s="1"/>
  <c r="AG8" i="9"/>
  <c r="AF8" i="9" s="1"/>
  <c r="AG433" i="1" s="1"/>
  <c r="AH433" i="1" s="1"/>
  <c r="AG167" i="9"/>
  <c r="AG168" i="9" s="1"/>
  <c r="AG170" i="9" s="1"/>
  <c r="AF166" i="9"/>
  <c r="AF167" i="9" s="1"/>
  <c r="AF168" i="9" s="1"/>
  <c r="AJ182" i="9"/>
  <c r="AH169" i="9"/>
  <c r="CP223" i="1"/>
  <c r="CP227" i="1"/>
  <c r="CP222" i="1"/>
  <c r="CP228" i="1"/>
  <c r="CQ166" i="1"/>
  <c r="CQ164" i="1"/>
  <c r="CP178" i="1"/>
  <c r="CP469" i="1"/>
  <c r="CP192" i="1"/>
  <c r="CP198" i="1"/>
  <c r="CQ170" i="1"/>
  <c r="CR171" i="1"/>
  <c r="CR172" i="1"/>
  <c r="CP344" i="1"/>
  <c r="CQ165" i="1"/>
  <c r="CP248" i="1" l="1"/>
  <c r="CP247" i="1"/>
  <c r="CP252" i="1"/>
  <c r="CP253" i="1"/>
  <c r="CR60" i="1"/>
  <c r="AI185" i="9"/>
  <c r="AI186" i="9" s="1"/>
  <c r="AH440" i="1"/>
  <c r="AI96" i="1" s="1"/>
  <c r="AF170" i="9"/>
  <c r="CQ59" i="1"/>
  <c r="CQ57" i="1"/>
  <c r="CQ433" i="1"/>
  <c r="AK166" i="9"/>
  <c r="AM182" i="9"/>
  <c r="CQ56" i="1"/>
  <c r="AJ166" i="9"/>
  <c r="AJ183" i="9"/>
  <c r="AJ184" i="9" s="1"/>
  <c r="AH170" i="9"/>
  <c r="CP232" i="1"/>
  <c r="CP233" i="1" s="1"/>
  <c r="CP58" i="1"/>
  <c r="CP286" i="1"/>
  <c r="CP77" i="1" s="1"/>
  <c r="CS172" i="1"/>
  <c r="CQ173" i="1"/>
  <c r="CP369" i="1"/>
  <c r="CP311" i="1" s="1"/>
  <c r="CP78" i="1" s="1"/>
  <c r="CQ176" i="1"/>
  <c r="CR166" i="1"/>
  <c r="CR165" i="1"/>
  <c r="CS171" i="1"/>
  <c r="CP199" i="1"/>
  <c r="CP61" i="1"/>
  <c r="CP193" i="1"/>
  <c r="AE154" i="1"/>
  <c r="CP181" i="1"/>
  <c r="CP177" i="1"/>
  <c r="CQ167" i="1"/>
  <c r="CP339" i="1"/>
  <c r="CP281" i="1" s="1"/>
  <c r="CS60" i="1" l="1"/>
  <c r="CR57" i="1"/>
  <c r="AJ185" i="9"/>
  <c r="AJ169" i="9" s="1"/>
  <c r="AI169" i="9" s="1"/>
  <c r="CQ227" i="1"/>
  <c r="AI166" i="9"/>
  <c r="AI167" i="9" s="1"/>
  <c r="AI168" i="9" s="1"/>
  <c r="AJ8" i="9"/>
  <c r="AI8" i="9" s="1"/>
  <c r="AJ167" i="9"/>
  <c r="AJ168" i="9" s="1"/>
  <c r="AN182" i="9"/>
  <c r="AK169" i="9"/>
  <c r="CQ228" i="1"/>
  <c r="CQ222" i="1"/>
  <c r="AM166" i="9"/>
  <c r="AM183" i="9"/>
  <c r="AM184" i="9" s="1"/>
  <c r="AK167" i="9"/>
  <c r="AK168" i="9" s="1"/>
  <c r="AK8" i="9"/>
  <c r="CQ223" i="1"/>
  <c r="CP258" i="1"/>
  <c r="CP257" i="1"/>
  <c r="CQ198" i="1"/>
  <c r="AD362" i="1"/>
  <c r="AD367" i="1"/>
  <c r="CP795" i="1"/>
  <c r="CP75" i="1"/>
  <c r="CP468" i="1"/>
  <c r="CS165" i="1"/>
  <c r="CR164" i="1"/>
  <c r="CP364" i="1"/>
  <c r="CP306" i="1" s="1"/>
  <c r="CP76" i="1" s="1"/>
  <c r="CP670" i="1"/>
  <c r="CQ344" i="1"/>
  <c r="CQ286" i="1" s="1"/>
  <c r="CQ77" i="1" s="1"/>
  <c r="CQ192" i="1"/>
  <c r="CP660" i="1"/>
  <c r="CP154" i="1"/>
  <c r="CP111" i="1"/>
  <c r="CR170" i="1"/>
  <c r="CP202" i="1"/>
  <c r="F13" i="17" l="1"/>
  <c r="F14" i="17" s="1"/>
  <c r="AJ170" i="9"/>
  <c r="CQ247" i="1"/>
  <c r="CQ248" i="1"/>
  <c r="CQ252" i="1"/>
  <c r="CQ253" i="1"/>
  <c r="AI170" i="9"/>
  <c r="AJ186" i="9"/>
  <c r="CR59" i="1"/>
  <c r="CR56" i="1"/>
  <c r="AK170" i="9"/>
  <c r="AI433" i="1"/>
  <c r="AI440" i="1" s="1"/>
  <c r="AM185" i="9"/>
  <c r="AM169" i="9" s="1"/>
  <c r="AL169" i="9" s="1"/>
  <c r="AL166" i="9"/>
  <c r="AL167" i="9" s="1"/>
  <c r="AL168" i="9" s="1"/>
  <c r="AM8" i="9"/>
  <c r="AL8" i="9" s="1"/>
  <c r="AM167" i="9"/>
  <c r="AM168" i="9" s="1"/>
  <c r="AN183" i="9"/>
  <c r="AN184" i="9" s="1"/>
  <c r="AN166" i="9"/>
  <c r="AO182" i="9"/>
  <c r="CQ61" i="1"/>
  <c r="AE367" i="1"/>
  <c r="AE368" i="1" s="1"/>
  <c r="AE310" i="1" s="1"/>
  <c r="CQ199" i="1"/>
  <c r="AD314" i="1"/>
  <c r="AD372" i="1" s="1"/>
  <c r="AD363" i="1"/>
  <c r="AD368" i="1"/>
  <c r="CP663" i="1"/>
  <c r="CP665" i="1"/>
  <c r="CP664" i="1"/>
  <c r="CP397" i="1"/>
  <c r="CR176" i="1"/>
  <c r="CQ339" i="1"/>
  <c r="CQ281" i="1" s="1"/>
  <c r="CP353" i="1"/>
  <c r="CP110" i="1"/>
  <c r="CS166" i="1"/>
  <c r="CR173" i="1"/>
  <c r="CQ193" i="1"/>
  <c r="CP662" i="1"/>
  <c r="CP668" i="1"/>
  <c r="CP669" i="1"/>
  <c r="CP666" i="1"/>
  <c r="CP395" i="1"/>
  <c r="CR167" i="1"/>
  <c r="CP467" i="1"/>
  <c r="CP109" i="1" s="1"/>
  <c r="CQ58" i="1"/>
  <c r="CR228" i="1" l="1"/>
  <c r="CS57" i="1"/>
  <c r="CR223" i="1"/>
  <c r="Z243" i="8"/>
  <c r="AJ433" i="1"/>
  <c r="AJ440" i="1" s="1"/>
  <c r="AK96" i="1" s="1"/>
  <c r="AM170" i="9"/>
  <c r="CR222" i="1"/>
  <c r="CR227" i="1"/>
  <c r="AL170" i="9"/>
  <c r="CR433" i="1"/>
  <c r="AM186" i="9"/>
  <c r="AO183" i="9"/>
  <c r="AO184" i="9" s="1"/>
  <c r="AO185" i="9" s="1"/>
  <c r="AO186" i="9" s="1"/>
  <c r="AQ182" i="9"/>
  <c r="AN185" i="9"/>
  <c r="AN186" i="9" s="1"/>
  <c r="AP182" i="9"/>
  <c r="AN167" i="9"/>
  <c r="AN168" i="9" s="1"/>
  <c r="AN8" i="9"/>
  <c r="CR198" i="1"/>
  <c r="CP367" i="1"/>
  <c r="CP309" i="1" s="1"/>
  <c r="AE362" i="1"/>
  <c r="AD310" i="1"/>
  <c r="CP368" i="1"/>
  <c r="CP310" i="1" s="1"/>
  <c r="AD305" i="1"/>
  <c r="CP677" i="1"/>
  <c r="CS164" i="1"/>
  <c r="CP470" i="1"/>
  <c r="CR192" i="1"/>
  <c r="CP261" i="1"/>
  <c r="CQ75" i="1"/>
  <c r="CR344" i="1"/>
  <c r="CR286" i="1" s="1"/>
  <c r="CR77" i="1" s="1"/>
  <c r="CP86" i="1"/>
  <c r="CP84" i="1"/>
  <c r="CS170" i="1"/>
  <c r="CP705" i="1"/>
  <c r="CS59" i="1" l="1"/>
  <c r="CS56" i="1"/>
  <c r="AK433" i="1"/>
  <c r="CR61" i="1"/>
  <c r="AR182" i="9"/>
  <c r="AS182" i="9" s="1"/>
  <c r="AQ183" i="9"/>
  <c r="AQ184" i="9" s="1"/>
  <c r="AQ185" i="9" s="1"/>
  <c r="AQ166" i="9"/>
  <c r="AP166" i="9"/>
  <c r="AP183" i="9"/>
  <c r="AP184" i="9" s="1"/>
  <c r="AP185" i="9"/>
  <c r="AP169" i="9" s="1"/>
  <c r="AN169" i="9"/>
  <c r="AN170" i="9" s="1"/>
  <c r="AE363" i="1"/>
  <c r="CP362" i="1"/>
  <c r="CP304" i="1" s="1"/>
  <c r="CR339" i="1"/>
  <c r="CR281" i="1" s="1"/>
  <c r="CS173" i="1"/>
  <c r="CR193" i="1"/>
  <c r="CP396" i="1"/>
  <c r="CP113" i="1"/>
  <c r="CP808" i="1"/>
  <c r="CP112" i="1"/>
  <c r="CP809" i="1"/>
  <c r="CP696" i="1"/>
  <c r="CR199" i="1"/>
  <c r="CP713" i="1"/>
  <c r="CR58" i="1"/>
  <c r="CS176" i="1"/>
  <c r="CS167" i="1"/>
  <c r="CP212" i="1"/>
  <c r="CS433" i="1" l="1"/>
  <c r="CS222" i="1"/>
  <c r="CS228" i="1"/>
  <c r="CS227" i="1"/>
  <c r="CS223" i="1"/>
  <c r="CS198" i="1"/>
  <c r="AO169" i="9"/>
  <c r="AP186" i="9"/>
  <c r="AQ167" i="9"/>
  <c r="AQ168" i="9" s="1"/>
  <c r="AQ8" i="9"/>
  <c r="AR183" i="9"/>
  <c r="AR184" i="9" s="1"/>
  <c r="AR185" i="9" s="1"/>
  <c r="AR186" i="9" s="1"/>
  <c r="AT182" i="9"/>
  <c r="AP167" i="9"/>
  <c r="AP168" i="9" s="1"/>
  <c r="AP170" i="9" s="1"/>
  <c r="AP8" i="9"/>
  <c r="AO8" i="9" s="1"/>
  <c r="AM440" i="1" s="1"/>
  <c r="AN96" i="1" s="1"/>
  <c r="AO166" i="9"/>
  <c r="AO167" i="9" s="1"/>
  <c r="AO168" i="9" s="1"/>
  <c r="AS183" i="9"/>
  <c r="AS184" i="9" s="1"/>
  <c r="AS166" i="9"/>
  <c r="AQ186" i="9"/>
  <c r="AQ169" i="9"/>
  <c r="AE305" i="1"/>
  <c r="CP363" i="1"/>
  <c r="CP305" i="1" s="1"/>
  <c r="CP85" i="1"/>
  <c r="CR75" i="1"/>
  <c r="CS192" i="1"/>
  <c r="CS344" i="1"/>
  <c r="CS286" i="1" s="1"/>
  <c r="CS77" i="1" s="1"/>
  <c r="CS61" i="1" l="1"/>
  <c r="AS185" i="9"/>
  <c r="AS169" i="9" s="1"/>
  <c r="AR169" i="9" s="1"/>
  <c r="AO170" i="9"/>
  <c r="AQ170" i="9"/>
  <c r="AR166" i="9"/>
  <c r="AR167" i="9" s="1"/>
  <c r="AR168" i="9" s="1"/>
  <c r="AS167" i="9"/>
  <c r="AS168" i="9" s="1"/>
  <c r="AS8" i="9"/>
  <c r="AR8" i="9" s="1"/>
  <c r="CT433" i="1"/>
  <c r="AT166" i="9"/>
  <c r="AU182" i="9"/>
  <c r="AT183" i="9"/>
  <c r="AT184" i="9" s="1"/>
  <c r="CS199" i="1"/>
  <c r="CS58" i="1"/>
  <c r="CS193" i="1"/>
  <c r="CS339" i="1"/>
  <c r="CS281" i="1" s="1"/>
  <c r="AS170" i="9" l="1"/>
  <c r="AS186" i="9"/>
  <c r="CT709" i="1"/>
  <c r="AU183" i="9"/>
  <c r="AU184" i="9" s="1"/>
  <c r="AU185" i="9" s="1"/>
  <c r="AU186" i="9" s="1"/>
  <c r="AW182" i="9"/>
  <c r="AV182" i="9"/>
  <c r="AV166" i="9" s="1"/>
  <c r="AR170" i="9"/>
  <c r="AT185" i="9"/>
  <c r="AT186" i="9" s="1"/>
  <c r="AT167" i="9"/>
  <c r="AT168" i="9" s="1"/>
  <c r="AT8" i="9"/>
  <c r="CS75" i="1"/>
  <c r="AV183" i="9" l="1"/>
  <c r="AV184" i="9" s="1"/>
  <c r="AW183" i="9"/>
  <c r="AW184" i="9" s="1"/>
  <c r="AX182" i="9"/>
  <c r="AW166" i="9"/>
  <c r="AT169" i="9"/>
  <c r="AT170" i="9" s="1"/>
  <c r="AV185" i="9"/>
  <c r="AV169" i="9" s="1"/>
  <c r="AV167" i="9"/>
  <c r="AV168" i="9" s="1"/>
  <c r="AV8" i="9"/>
  <c r="AU8" i="9" s="1"/>
  <c r="AU166" i="9"/>
  <c r="AU167" i="9" s="1"/>
  <c r="AU168" i="9" s="1"/>
  <c r="AX183" i="9" l="1"/>
  <c r="AX184" i="9" s="1"/>
  <c r="AX185" i="9" s="1"/>
  <c r="AX186" i="9" s="1"/>
  <c r="AZ182" i="9"/>
  <c r="AV186" i="9"/>
  <c r="AW167" i="9"/>
  <c r="AW168" i="9" s="1"/>
  <c r="AW8" i="9"/>
  <c r="AW185" i="9"/>
  <c r="AY182" i="9"/>
  <c r="AU169" i="9"/>
  <c r="AU170" i="9" s="1"/>
  <c r="AV170" i="9"/>
  <c r="BA182" i="9" l="1"/>
  <c r="AZ183" i="9"/>
  <c r="AZ184" i="9" s="1"/>
  <c r="AZ166" i="9"/>
  <c r="AY185" i="9"/>
  <c r="AY169" i="9" s="1"/>
  <c r="AW169" i="9"/>
  <c r="AW170" i="9" s="1"/>
  <c r="AY183" i="9"/>
  <c r="AY184" i="9" s="1"/>
  <c r="AY166" i="9"/>
  <c r="AW186" i="9"/>
  <c r="BA183" i="9" l="1"/>
  <c r="BA184" i="9" s="1"/>
  <c r="BA185" i="9" s="1"/>
  <c r="BA186" i="9" s="1"/>
  <c r="BC182" i="9"/>
  <c r="BB182" i="9"/>
  <c r="BB183" i="9" s="1"/>
  <c r="BB184" i="9" s="1"/>
  <c r="AZ167" i="9"/>
  <c r="AZ168" i="9" s="1"/>
  <c r="AZ8" i="9"/>
  <c r="AZ185" i="9"/>
  <c r="AZ186" i="9" s="1"/>
  <c r="AY186" i="9"/>
  <c r="AY167" i="9"/>
  <c r="AY168" i="9" s="1"/>
  <c r="AY170" i="9" s="1"/>
  <c r="AX166" i="9"/>
  <c r="AX167" i="9" s="1"/>
  <c r="AX168" i="9" s="1"/>
  <c r="AY8" i="9"/>
  <c r="AX8" i="9" s="1"/>
  <c r="AX169" i="9"/>
  <c r="BC183" i="9" l="1"/>
  <c r="BC184" i="9" s="1"/>
  <c r="BC166" i="9"/>
  <c r="BD182" i="9"/>
  <c r="BD183" i="9" s="1"/>
  <c r="BD184" i="9" s="1"/>
  <c r="BB166" i="9"/>
  <c r="BA166" i="9" s="1"/>
  <c r="BA167" i="9" s="1"/>
  <c r="BA168" i="9" s="1"/>
  <c r="BB185" i="9"/>
  <c r="BB169" i="9" s="1"/>
  <c r="AZ169" i="9"/>
  <c r="AX170" i="9"/>
  <c r="BB8" i="9" l="1"/>
  <c r="BA8" i="9" s="1"/>
  <c r="BB167" i="9"/>
  <c r="BB168" i="9" s="1"/>
  <c r="BB170" i="9" s="1"/>
  <c r="BE182" i="9"/>
  <c r="BC167" i="9"/>
  <c r="BC168" i="9" s="1"/>
  <c r="BC8" i="9"/>
  <c r="BD185" i="9"/>
  <c r="BD186" i="9" s="1"/>
  <c r="BC185" i="9"/>
  <c r="BC186" i="9" s="1"/>
  <c r="BB186" i="9"/>
  <c r="AZ170" i="9"/>
  <c r="BA169" i="9"/>
  <c r="BA170" i="9" s="1"/>
  <c r="BE185" i="9" l="1"/>
  <c r="BE169" i="9" s="1"/>
  <c r="BC169" i="9"/>
  <c r="BC170" i="9" s="1"/>
  <c r="BE166" i="9"/>
  <c r="BE183" i="9"/>
  <c r="BE184" i="9" s="1"/>
  <c r="BE186" i="9" l="1"/>
  <c r="BD166" i="9"/>
  <c r="BD167" i="9" s="1"/>
  <c r="BD168" i="9" s="1"/>
  <c r="BE167" i="9"/>
  <c r="BE168" i="9" s="1"/>
  <c r="BE170" i="9" s="1"/>
  <c r="BE8" i="9"/>
  <c r="BD8" i="9" s="1"/>
  <c r="BD169" i="9"/>
  <c r="BD170" i="9" l="1"/>
  <c r="AD300" i="1" l="1"/>
  <c r="AD315" i="1" l="1"/>
  <c r="AD373" i="1" s="1"/>
  <c r="AD73" i="1"/>
  <c r="CP334" i="1" l="1"/>
  <c r="CP276" i="1" s="1"/>
  <c r="CP349" i="1" l="1"/>
  <c r="CP71" i="1"/>
  <c r="CP291" i="1"/>
  <c r="CP294" i="1" s="1"/>
  <c r="CP359" i="1" l="1"/>
  <c r="CP301" i="1" s="1"/>
  <c r="CP74" i="1" s="1"/>
  <c r="CP374" i="1"/>
  <c r="CP316" i="1" s="1"/>
  <c r="CP352" i="1"/>
  <c r="CP354" i="1" l="1"/>
  <c r="CP296" i="1" s="1"/>
  <c r="CP295" i="1" s="1"/>
  <c r="CP379" i="1" l="1"/>
  <c r="AD430" i="1" l="1"/>
  <c r="AB24" i="9" l="1"/>
  <c r="AB26" i="9"/>
  <c r="CP400" i="1" l="1"/>
  <c r="CP412" i="1" l="1"/>
  <c r="CP424" i="1" s="1"/>
  <c r="CP459" i="1" s="1"/>
  <c r="CP488" i="1" s="1"/>
  <c r="CP502" i="1"/>
  <c r="CP576" i="1" l="1"/>
  <c r="CP626" i="1" l="1"/>
  <c r="CP152" i="1"/>
  <c r="AD495" i="1" l="1"/>
  <c r="AD498" i="1"/>
  <c r="AD131" i="1" l="1"/>
  <c r="CP498" i="1" l="1"/>
  <c r="CQ498" i="1" l="1"/>
  <c r="CR498" i="1" l="1"/>
  <c r="AN43" i="24" s="1"/>
  <c r="AD603" i="1" l="1"/>
  <c r="CP603" i="1" l="1"/>
  <c r="CQ603" i="1" l="1"/>
  <c r="CR603" i="1" l="1"/>
  <c r="CS603" i="1" l="1"/>
  <c r="CT603" i="1" l="1"/>
  <c r="CU603" i="1" l="1"/>
  <c r="CV603" i="1" l="1"/>
  <c r="CW603" i="1" l="1"/>
  <c r="CX603" i="1" l="1"/>
  <c r="CY603" i="1" l="1"/>
  <c r="CZ603" i="1" l="1"/>
  <c r="BA603" i="1"/>
  <c r="CP507" i="1"/>
  <c r="DA603" i="1" l="1"/>
  <c r="BB603" i="1"/>
  <c r="BC603" i="1" s="1"/>
  <c r="DB603" i="1" l="1"/>
  <c r="BD603" i="1"/>
  <c r="BE603" i="1" s="1"/>
  <c r="AD434" i="1"/>
  <c r="DC603" i="1" l="1"/>
  <c r="BF603" i="1"/>
  <c r="BG603" i="1" s="1"/>
  <c r="AD440" i="1"/>
  <c r="AE96" i="1" s="1"/>
  <c r="AD791" i="1"/>
  <c r="AD790" i="1"/>
  <c r="AD661" i="1"/>
  <c r="AD97" i="1"/>
  <c r="DD603" i="1" l="1"/>
  <c r="BH603" i="1"/>
  <c r="BI603" i="1" s="1"/>
  <c r="AE698" i="1"/>
  <c r="AE702" i="1"/>
  <c r="CP661" i="1"/>
  <c r="AD702" i="1"/>
  <c r="AD698" i="1"/>
  <c r="DE603" i="1" l="1"/>
  <c r="BJ603" i="1"/>
  <c r="CP698" i="1"/>
  <c r="BK603" i="1" l="1"/>
  <c r="Z218" i="8"/>
  <c r="AD96" i="1"/>
  <c r="DF603" i="1" l="1"/>
  <c r="BL603" i="1"/>
  <c r="BM603" i="1" s="1"/>
  <c r="CP102" i="1"/>
  <c r="CP96" i="1" s="1"/>
  <c r="DG603" i="1" l="1"/>
  <c r="BN603" i="1"/>
  <c r="BO603" i="1" s="1"/>
  <c r="CP103" i="1"/>
  <c r="DH603" i="1" l="1"/>
  <c r="BP603" i="1"/>
  <c r="BQ603" i="1" s="1"/>
  <c r="DI603" i="1" s="1"/>
  <c r="CP434" i="1"/>
  <c r="CP106" i="1"/>
  <c r="CP572" i="1" l="1"/>
  <c r="CP585" i="1" s="1"/>
  <c r="CP97" i="1"/>
  <c r="CP790" i="1"/>
  <c r="CQ101" i="1"/>
  <c r="CP627" i="1" l="1"/>
  <c r="AD827" i="1" l="1"/>
  <c r="AD667" i="1"/>
  <c r="AD825" i="1"/>
  <c r="AD821" i="1"/>
  <c r="AD826" i="1"/>
  <c r="AD819" i="1"/>
  <c r="AD820" i="1"/>
  <c r="AD824" i="1"/>
  <c r="AD823" i="1"/>
  <c r="AD818" i="1"/>
  <c r="AD816" i="1"/>
  <c r="AD817" i="1"/>
  <c r="AD116" i="1"/>
  <c r="AD822" i="1"/>
  <c r="CP712" i="1" l="1"/>
  <c r="CP121" i="1"/>
  <c r="CP819" i="1" l="1"/>
  <c r="CP598" i="1"/>
  <c r="CP816" i="1"/>
  <c r="AD812" i="1" l="1"/>
  <c r="AD815" i="1"/>
  <c r="AD114" i="1"/>
  <c r="AD115" i="1"/>
  <c r="AD814" i="1" l="1"/>
  <c r="AD813" i="1"/>
  <c r="CP125" i="1" l="1"/>
  <c r="CP124" i="1"/>
  <c r="CP120" i="1" l="1"/>
  <c r="CP679" i="1"/>
  <c r="CP114" i="1"/>
  <c r="CP813" i="1"/>
  <c r="CP812" i="1"/>
  <c r="CP471" i="1" l="1"/>
  <c r="CP815" i="1"/>
  <c r="CP825" i="1"/>
  <c r="CP115" i="1"/>
  <c r="CP122" i="1"/>
  <c r="CP822" i="1"/>
  <c r="CP667" i="1"/>
  <c r="Z225" i="8" l="1"/>
  <c r="CP472" i="1"/>
  <c r="Z214" i="8" l="1"/>
  <c r="CP117" i="1"/>
  <c r="CP811" i="1"/>
  <c r="CP118" i="1"/>
  <c r="CP810" i="1"/>
  <c r="CP465" i="1"/>
  <c r="CP478" i="1"/>
  <c r="CP480" i="1" s="1"/>
  <c r="CP711" i="1" l="1"/>
  <c r="Z94" i="8" l="1"/>
  <c r="CP137" i="1"/>
  <c r="CP839" i="1" l="1"/>
  <c r="CP376" i="1" l="1"/>
  <c r="CP318" i="1" s="1"/>
  <c r="CP80" i="1" l="1"/>
  <c r="CP321" i="1"/>
  <c r="CP440" i="1" l="1"/>
  <c r="CP710" i="1" l="1"/>
  <c r="CP441" i="1"/>
  <c r="AG101" i="1" l="1"/>
  <c r="AG102" i="1" s="1"/>
  <c r="CP443" i="1"/>
  <c r="CP98" i="1" l="1"/>
  <c r="CP430" i="1"/>
  <c r="CP791" i="1"/>
  <c r="CP449" i="1"/>
  <c r="CP451" i="1" s="1"/>
  <c r="AF702" i="1" l="1"/>
  <c r="AF785" i="1" s="1"/>
  <c r="AF698" i="1"/>
  <c r="AF789" i="1" s="1"/>
  <c r="Z87" i="8" l="1"/>
  <c r="AF841" i="1"/>
  <c r="CP497" i="1"/>
  <c r="CP500" i="1" l="1"/>
  <c r="CP506" i="1" l="1"/>
  <c r="CP509" i="1" s="1"/>
  <c r="CP495" i="1"/>
  <c r="CP676" i="1" l="1"/>
  <c r="CP537" i="1"/>
  <c r="CP680" i="1" l="1"/>
  <c r="CP131" i="1"/>
  <c r="CP141" i="1" l="1"/>
  <c r="CP143" i="1" s="1"/>
  <c r="CP652" i="1"/>
  <c r="CP139" i="1"/>
  <c r="CP634" i="1"/>
  <c r="CP635" i="1" s="1"/>
  <c r="F59" i="17" l="1"/>
  <c r="CP738" i="1"/>
  <c r="AF139" i="1" l="1"/>
  <c r="CP764" i="1"/>
  <c r="AG633" i="1" l="1"/>
  <c r="CQ535" i="1"/>
  <c r="CQ633" i="1" l="1"/>
  <c r="CQ543" i="1" l="1"/>
  <c r="AG139" i="1"/>
  <c r="AG634" i="1"/>
  <c r="CQ537" i="1"/>
  <c r="CQ139" i="1" l="1"/>
  <c r="CQ634" i="1"/>
  <c r="CQ635" i="1" s="1"/>
  <c r="AG635" i="1"/>
  <c r="CQ680" i="1"/>
  <c r="CQ141" i="1"/>
  <c r="CQ143" i="1" s="1"/>
  <c r="CQ652" i="1"/>
  <c r="G59" i="17" s="1"/>
  <c r="AG738" i="1" l="1"/>
  <c r="CQ738" i="1"/>
  <c r="AH139" i="1" l="1"/>
  <c r="CQ764" i="1"/>
  <c r="AG764" i="1"/>
  <c r="CR535" i="1" l="1"/>
  <c r="CR633" i="1" l="1"/>
  <c r="AI139" i="1" l="1"/>
  <c r="CR537" i="1"/>
  <c r="CR139" i="1" l="1"/>
  <c r="CR634" i="1"/>
  <c r="CR635" i="1" s="1"/>
  <c r="CR680" i="1"/>
  <c r="CR141" i="1"/>
  <c r="CR143" i="1" s="1"/>
  <c r="CR652" i="1"/>
  <c r="H59" i="17" l="1"/>
  <c r="CR738" i="1"/>
  <c r="CR764" i="1" l="1"/>
  <c r="CP526" i="1" l="1"/>
  <c r="AF621" i="1" l="1"/>
  <c r="CP675" i="1"/>
  <c r="CP621" i="1"/>
  <c r="CP671" i="1" l="1"/>
  <c r="CP702" i="1"/>
  <c r="CP673" i="1"/>
  <c r="CP699" i="1" l="1"/>
  <c r="CP672" i="1"/>
  <c r="CP567" i="1"/>
  <c r="CP589" i="1"/>
  <c r="CP599" i="1" l="1"/>
  <c r="CP604" i="1" s="1"/>
  <c r="CP704" i="1"/>
  <c r="CP611" i="1" l="1"/>
  <c r="CP146" i="1" s="1"/>
  <c r="CP703" i="1"/>
  <c r="CP610" i="1"/>
  <c r="CP612" i="1"/>
  <c r="CP147" i="1" s="1"/>
  <c r="CP145" i="1" l="1"/>
  <c r="CP613" i="1"/>
  <c r="F32" i="17" l="1"/>
  <c r="F33" i="17" s="1"/>
  <c r="CP826" i="1"/>
  <c r="CP821" i="1"/>
  <c r="CP116" i="1"/>
  <c r="CP820" i="1"/>
  <c r="CP827" i="1"/>
  <c r="CP818" i="1"/>
  <c r="CP817" i="1"/>
  <c r="CP814" i="1"/>
  <c r="CP823" i="1"/>
  <c r="CP824" i="1"/>
  <c r="CP625" i="1" l="1"/>
  <c r="CQ610" i="1" l="1"/>
  <c r="CQ145" i="1" l="1"/>
  <c r="CQ725" i="1" l="1"/>
  <c r="AC258" i="9"/>
  <c r="AC259" i="9"/>
  <c r="AC260" i="9"/>
  <c r="AC257" i="9"/>
  <c r="AC256" i="9"/>
  <c r="AC261" i="9" l="1"/>
  <c r="AD261" i="9" l="1"/>
  <c r="AC253" i="9"/>
  <c r="AD14" i="9"/>
  <c r="AD13" i="9" l="1"/>
  <c r="AD15" i="9" s="1"/>
  <c r="AD16" i="9" s="1"/>
  <c r="AD24" i="9" s="1"/>
  <c r="AD26" i="9" l="1"/>
  <c r="AE257" i="9" l="1"/>
  <c r="AE259" i="9"/>
  <c r="AE258" i="9"/>
  <c r="AE260" i="9"/>
  <c r="AE256" i="9"/>
  <c r="AE261" i="9" l="1"/>
  <c r="AE253" i="9" l="1"/>
  <c r="AF152" i="1" l="1"/>
  <c r="AF259" i="9" l="1"/>
  <c r="AF260" i="9"/>
  <c r="AF258" i="9"/>
  <c r="AF257" i="9"/>
  <c r="AF256" i="9"/>
  <c r="AF261" i="9" l="1"/>
  <c r="AF253" i="9" s="1"/>
  <c r="AG261" i="9" l="1"/>
  <c r="CQ400" i="1" l="1"/>
  <c r="CQ502" i="1" l="1"/>
  <c r="AG424" i="1"/>
  <c r="CQ412" i="1"/>
  <c r="CQ424" i="1" s="1"/>
  <c r="CQ459" i="1" s="1"/>
  <c r="CQ488" i="1" s="1"/>
  <c r="AG459" i="1" l="1"/>
  <c r="AG488" i="1" s="1"/>
  <c r="AG626" i="1"/>
  <c r="CQ626" i="1" s="1"/>
  <c r="CQ576" i="1"/>
  <c r="CQ159" i="1" l="1"/>
  <c r="CR159" i="1" l="1"/>
  <c r="CQ158" i="1"/>
  <c r="CQ179" i="1"/>
  <c r="CQ53" i="1" l="1"/>
  <c r="CQ161" i="1"/>
  <c r="CS159" i="1"/>
  <c r="CQ350" i="1"/>
  <c r="CQ218" i="1" l="1"/>
  <c r="CQ215" i="1"/>
  <c r="CQ232" i="1" s="1"/>
  <c r="CQ233" i="1" s="1"/>
  <c r="CQ217" i="1"/>
  <c r="CQ216" i="1"/>
  <c r="CR179" i="1"/>
  <c r="CQ186" i="1"/>
  <c r="CQ578" i="1"/>
  <c r="CR158" i="1"/>
  <c r="CQ178" i="1"/>
  <c r="CQ242" i="1" l="1"/>
  <c r="CQ257" i="1" s="1"/>
  <c r="CQ243" i="1"/>
  <c r="CQ258" i="1" s="1"/>
  <c r="CQ55" i="1"/>
  <c r="CR53" i="1"/>
  <c r="AF812" i="1"/>
  <c r="CQ204" i="1"/>
  <c r="CQ670" i="1"/>
  <c r="CQ177" i="1"/>
  <c r="CR350" i="1"/>
  <c r="CQ181" i="1"/>
  <c r="CR161" i="1"/>
  <c r="CQ187" i="1"/>
  <c r="AF813" i="1"/>
  <c r="CR218" i="1" l="1"/>
  <c r="CR215" i="1"/>
  <c r="CR232" i="1" s="1"/>
  <c r="CR233" i="1" s="1"/>
  <c r="CR217" i="1"/>
  <c r="CR216" i="1"/>
  <c r="CS179" i="1"/>
  <c r="CQ469" i="1"/>
  <c r="CQ111" i="1" s="1"/>
  <c r="AF814" i="1"/>
  <c r="AF815" i="1"/>
  <c r="CQ202" i="1"/>
  <c r="CQ203" i="1"/>
  <c r="CQ395" i="1"/>
  <c r="CQ205" i="1"/>
  <c r="CQ795" i="1" s="1"/>
  <c r="AG795" i="1"/>
  <c r="CR186" i="1"/>
  <c r="CR578" i="1"/>
  <c r="CS158" i="1"/>
  <c r="CQ611" i="1"/>
  <c r="CQ468" i="1"/>
  <c r="CQ110" i="1" s="1"/>
  <c r="CQ467" i="1"/>
  <c r="CQ109" i="1" s="1"/>
  <c r="CR178" i="1"/>
  <c r="AN59" i="24" s="1"/>
  <c r="AN60" i="24" s="1"/>
  <c r="CQ154" i="1"/>
  <c r="CQ612" i="1"/>
  <c r="CQ660" i="1"/>
  <c r="AE314" i="1"/>
  <c r="AE72" i="1"/>
  <c r="AE357" i="1"/>
  <c r="G13" i="17" l="1"/>
  <c r="G14" i="17" s="1"/>
  <c r="CR257" i="1"/>
  <c r="CR258" i="1"/>
  <c r="CR55" i="1"/>
  <c r="CS53" i="1"/>
  <c r="CQ84" i="1"/>
  <c r="CQ679" i="1"/>
  <c r="CR204" i="1"/>
  <c r="AN61" i="24" s="1"/>
  <c r="AG212" i="1"/>
  <c r="CQ147" i="1"/>
  <c r="CR181" i="1"/>
  <c r="CQ146" i="1"/>
  <c r="CQ613" i="1"/>
  <c r="CQ662" i="1"/>
  <c r="CQ663" i="1"/>
  <c r="CP357" i="1"/>
  <c r="CP299" i="1" s="1"/>
  <c r="CP72" i="1" s="1"/>
  <c r="AE358" i="1"/>
  <c r="AE372" i="1"/>
  <c r="CP372" i="1" s="1"/>
  <c r="CP314" i="1" s="1"/>
  <c r="CQ668" i="1"/>
  <c r="CS350" i="1"/>
  <c r="CQ665" i="1"/>
  <c r="CQ666" i="1"/>
  <c r="CQ669" i="1"/>
  <c r="CR177" i="1"/>
  <c r="CS161" i="1"/>
  <c r="CS216" i="1" s="1"/>
  <c r="CQ664" i="1"/>
  <c r="CQ614" i="1"/>
  <c r="CQ353" i="1"/>
  <c r="CR187" i="1"/>
  <c r="G32" i="17" l="1"/>
  <c r="G33" i="17" s="1"/>
  <c r="CS218" i="1"/>
  <c r="CS215" i="1"/>
  <c r="CS232" i="1" s="1"/>
  <c r="CS233" i="1" s="1"/>
  <c r="CS217" i="1"/>
  <c r="AF827" i="1"/>
  <c r="AF825" i="1"/>
  <c r="AF823" i="1"/>
  <c r="AF821" i="1"/>
  <c r="AF819" i="1"/>
  <c r="AF817" i="1"/>
  <c r="AF826" i="1"/>
  <c r="AF824" i="1"/>
  <c r="AF822" i="1"/>
  <c r="AF820" i="1"/>
  <c r="AF818" i="1"/>
  <c r="AF816" i="1"/>
  <c r="AF667" i="1"/>
  <c r="CQ705" i="1"/>
  <c r="CR664" i="1"/>
  <c r="CQ677" i="1"/>
  <c r="CR203" i="1"/>
  <c r="CQ397" i="1"/>
  <c r="CQ470" i="1"/>
  <c r="AG808" i="1"/>
  <c r="CQ405" i="1"/>
  <c r="CR669" i="1"/>
  <c r="AG809" i="1"/>
  <c r="CR205" i="1"/>
  <c r="CR795" i="1" s="1"/>
  <c r="AI212" i="1"/>
  <c r="CS178" i="1"/>
  <c r="AO59" i="24" s="1"/>
  <c r="AO60" i="24" s="1"/>
  <c r="AJ154" i="1"/>
  <c r="CR202" i="1"/>
  <c r="CS578" i="1"/>
  <c r="CR670" i="1"/>
  <c r="CS186" i="1"/>
  <c r="AG625" i="1"/>
  <c r="CQ625" i="1" s="1"/>
  <c r="CQ703" i="1"/>
  <c r="CR660" i="1"/>
  <c r="CP358" i="1"/>
  <c r="CP300" i="1" s="1"/>
  <c r="CP73" i="1" s="1"/>
  <c r="AE300" i="1"/>
  <c r="CQ396" i="1"/>
  <c r="CR154" i="1"/>
  <c r="H13" i="17" l="1"/>
  <c r="H14" i="17" s="1"/>
  <c r="CS257" i="1"/>
  <c r="CS258" i="1"/>
  <c r="CS204" i="1"/>
  <c r="AO61" i="24" s="1"/>
  <c r="CQ112" i="1"/>
  <c r="CS55" i="1"/>
  <c r="CQ809" i="1"/>
  <c r="CR666" i="1"/>
  <c r="CQ212" i="1"/>
  <c r="CQ808" i="1"/>
  <c r="CQ113" i="1"/>
  <c r="CQ598" i="1"/>
  <c r="CQ86" i="1"/>
  <c r="AE315" i="1"/>
  <c r="AE373" i="1" s="1"/>
  <c r="CP373" i="1" s="1"/>
  <c r="CP315" i="1" s="1"/>
  <c r="AE73" i="1"/>
  <c r="CR668" i="1"/>
  <c r="CQ89" i="1"/>
  <c r="CR663" i="1"/>
  <c r="CS469" i="1"/>
  <c r="CS177" i="1"/>
  <c r="CR353" i="1"/>
  <c r="CQ85" i="1"/>
  <c r="CR665" i="1"/>
  <c r="CQ713" i="1"/>
  <c r="CR662" i="1"/>
  <c r="CQ696" i="1"/>
  <c r="AK154" i="1"/>
  <c r="CS181" i="1"/>
  <c r="CS187" i="1"/>
  <c r="CS205" i="1"/>
  <c r="CR397" i="1" l="1"/>
  <c r="AN12" i="24" s="1"/>
  <c r="CS795" i="1"/>
  <c r="CR395" i="1"/>
  <c r="CS669" i="1"/>
  <c r="CQ712" i="1"/>
  <c r="CR677" i="1"/>
  <c r="CQ406" i="1"/>
  <c r="AG393" i="1"/>
  <c r="CR396" i="1"/>
  <c r="CS660" i="1"/>
  <c r="CQ408" i="1"/>
  <c r="CS202" i="1"/>
  <c r="CS670" i="1"/>
  <c r="CS154" i="1"/>
  <c r="CS203" i="1"/>
  <c r="CQ471" i="1"/>
  <c r="CS111" i="1"/>
  <c r="CR212" i="1"/>
  <c r="AN11" i="24" l="1"/>
  <c r="I13" i="17"/>
  <c r="I14" i="17" s="1"/>
  <c r="CR86" i="1"/>
  <c r="CS662" i="1"/>
  <c r="CS468" i="1"/>
  <c r="CS110" i="1" s="1"/>
  <c r="CR84" i="1"/>
  <c r="CR405" i="1"/>
  <c r="AN14" i="24" s="1"/>
  <c r="CS668" i="1"/>
  <c r="AG810" i="1"/>
  <c r="AG465" i="1"/>
  <c r="AG811" i="1"/>
  <c r="CQ472" i="1"/>
  <c r="CS353" i="1"/>
  <c r="CQ393" i="1"/>
  <c r="CQ414" i="1"/>
  <c r="CQ416" i="1" s="1"/>
  <c r="CS665" i="1"/>
  <c r="CS664" i="1"/>
  <c r="CS666" i="1"/>
  <c r="CS663" i="1"/>
  <c r="AJ212" i="1"/>
  <c r="CR85" i="1"/>
  <c r="AL212" i="1" l="1"/>
  <c r="AG711" i="1"/>
  <c r="CR89" i="1"/>
  <c r="CS677" i="1"/>
  <c r="CS397" i="1"/>
  <c r="AO12" i="24" s="1"/>
  <c r="CQ117" i="1"/>
  <c r="CQ811" i="1"/>
  <c r="CQ118" i="1"/>
  <c r="CQ810" i="1"/>
  <c r="CQ465" i="1"/>
  <c r="CQ478" i="1"/>
  <c r="CQ480" i="1" s="1"/>
  <c r="CS395" i="1"/>
  <c r="CR711" i="1" l="1"/>
  <c r="CS86" i="1"/>
  <c r="CS396" i="1"/>
  <c r="AO11" i="24" s="1"/>
  <c r="CQ711" i="1"/>
  <c r="CS212" i="1"/>
  <c r="CS84" i="1"/>
  <c r="CS85" i="1" l="1"/>
  <c r="AF790" i="1" l="1"/>
  <c r="AF434" i="1"/>
  <c r="AF791" i="1" l="1"/>
  <c r="AF440" i="1"/>
  <c r="CQ572" i="1" l="1"/>
  <c r="CQ585" i="1" s="1"/>
  <c r="AG627" i="1"/>
  <c r="CQ627" i="1" l="1"/>
  <c r="CQ376" i="1" l="1"/>
  <c r="CQ318" i="1" s="1"/>
  <c r="CQ80" i="1" l="1"/>
  <c r="AG725" i="1"/>
  <c r="AF839" i="1" l="1"/>
  <c r="AD375" i="9" l="1"/>
  <c r="AD115" i="9"/>
  <c r="AG375" i="9" l="1"/>
  <c r="AG63" i="1" l="1"/>
  <c r="CQ208" i="1"/>
  <c r="AJ375" i="9"/>
  <c r="CR208" i="1" l="1"/>
  <c r="CQ88" i="1"/>
  <c r="CQ64" i="1"/>
  <c r="AG64" i="1"/>
  <c r="AM375" i="9"/>
  <c r="AP111" i="9"/>
  <c r="CQ63" i="1"/>
  <c r="CQ152" i="1"/>
  <c r="CS208" i="1" l="1"/>
  <c r="CR63" i="1"/>
  <c r="AP375" i="9"/>
  <c r="AS111" i="9"/>
  <c r="AV111" i="9" s="1"/>
  <c r="AV375" i="9" l="1"/>
  <c r="AY111" i="9"/>
  <c r="CQ87" i="1"/>
  <c r="AS375" i="9"/>
  <c r="CS63" i="1"/>
  <c r="CT208" i="1"/>
  <c r="AY375" i="9" l="1"/>
  <c r="BB111" i="9"/>
  <c r="CT63" i="1"/>
  <c r="BB375" i="9" l="1"/>
  <c r="BE111" i="9"/>
  <c r="BE375" i="9" s="1"/>
  <c r="E110" i="1" l="1"/>
  <c r="E111" i="1"/>
  <c r="D110" i="1"/>
  <c r="E218" i="1"/>
  <c r="D54" i="1"/>
  <c r="D218" i="1"/>
  <c r="D158" i="1"/>
  <c r="C158" i="1" s="1"/>
  <c r="C159" i="1" s="1"/>
  <c r="E54" i="1"/>
  <c r="CC218" i="1" l="1"/>
  <c r="C217" i="1"/>
  <c r="D216" i="1"/>
  <c r="D159" i="1"/>
  <c r="E217" i="1" s="1"/>
  <c r="E216" i="1"/>
  <c r="C53" i="1"/>
  <c r="C216" i="1"/>
  <c r="E53" i="1" l="1"/>
  <c r="D217" i="1"/>
  <c r="CC217" i="1" s="1"/>
  <c r="CC216" i="1"/>
  <c r="D53" i="1"/>
  <c r="AI250" i="9" l="1"/>
  <c r="AJ250" i="9" l="1"/>
  <c r="AN250" i="9" l="1"/>
  <c r="AJ251" i="9" l="1"/>
  <c r="AO250" i="9"/>
  <c r="AQ250" i="9" s="1"/>
  <c r="AP250" i="9" l="1"/>
  <c r="AR250" i="9"/>
  <c r="AS250" i="9" l="1"/>
  <c r="AT250" i="9"/>
  <c r="AU250" i="9" l="1"/>
  <c r="AV250" i="9" l="1"/>
  <c r="AW250" i="9"/>
  <c r="AX250" i="9" s="1"/>
  <c r="AH295" i="9"/>
  <c r="AY250" i="9" l="1"/>
  <c r="AZ250" i="9"/>
  <c r="AH297" i="9"/>
  <c r="AH298" i="9"/>
  <c r="AH388" i="9" s="1"/>
  <c r="AI295" i="9"/>
  <c r="AI296" i="9"/>
  <c r="AK297" i="9" s="1"/>
  <c r="BA250" i="9" l="1"/>
  <c r="BC250" i="9" s="1"/>
  <c r="AJ296" i="9"/>
  <c r="AI297" i="9"/>
  <c r="AI298" i="9"/>
  <c r="AK341" i="9"/>
  <c r="CR210" i="1"/>
  <c r="AH299" i="9"/>
  <c r="AH355" i="9"/>
  <c r="AH356" i="9" s="1"/>
  <c r="AJ297" i="9" l="1"/>
  <c r="AM297" i="9"/>
  <c r="BD250" i="9"/>
  <c r="BE250" i="9" s="1"/>
  <c r="AK299" i="9"/>
  <c r="AI388" i="9"/>
  <c r="BB250" i="9"/>
  <c r="AI299" i="9"/>
  <c r="AJ298" i="9"/>
  <c r="AI355" i="9"/>
  <c r="AI356" i="9" s="1"/>
  <c r="AK342" i="9"/>
  <c r="AL338" i="9"/>
  <c r="AH357" i="9"/>
  <c r="AH358" i="9" s="1"/>
  <c r="CR209" i="1"/>
  <c r="CR64" i="1" s="1"/>
  <c r="AJ299" i="9" l="1"/>
  <c r="AM299" i="9"/>
  <c r="AL341" i="9"/>
  <c r="AM338" i="9"/>
  <c r="AJ357" i="9"/>
  <c r="AJ358" i="9" s="1"/>
  <c r="AI357" i="9"/>
  <c r="AI358" i="9" s="1"/>
  <c r="AK347" i="9"/>
  <c r="AJ355" i="9"/>
  <c r="AJ356" i="9" s="1"/>
  <c r="AM341" i="9" l="1"/>
  <c r="AM339" i="9"/>
  <c r="AK348" i="9"/>
  <c r="AK346" i="9"/>
  <c r="AK355" i="9"/>
  <c r="AK356" i="9" s="1"/>
  <c r="AK357" i="9"/>
  <c r="AK358" i="9" s="1"/>
  <c r="AL342" i="9"/>
  <c r="AM342" i="9" l="1"/>
  <c r="CS210" i="1"/>
  <c r="AO338" i="9" l="1"/>
  <c r="AP338" i="9" s="1"/>
  <c r="AP339" i="9" s="1"/>
  <c r="CS209" i="1"/>
  <c r="CS64" i="1" s="1"/>
  <c r="AL346" i="9"/>
  <c r="AM345" i="9"/>
  <c r="AL355" i="9"/>
  <c r="AL356" i="9" s="1"/>
  <c r="AL347" i="9"/>
  <c r="AN345" i="9" l="1"/>
  <c r="AN347" i="9" s="1"/>
  <c r="AO341" i="9"/>
  <c r="AO294" i="9" s="1"/>
  <c r="AM64" i="1" s="1"/>
  <c r="AP341" i="9"/>
  <c r="AP294" i="9" s="1"/>
  <c r="AQ338" i="9" s="1"/>
  <c r="AL348" i="9"/>
  <c r="AM347" i="9"/>
  <c r="AL357" i="9"/>
  <c r="AL358" i="9" s="1"/>
  <c r="AM346" i="9"/>
  <c r="AM355" i="9"/>
  <c r="AM356" i="9" s="1"/>
  <c r="AN348" i="9" l="1"/>
  <c r="AN357" i="9"/>
  <c r="AN358" i="9" s="1"/>
  <c r="AN346" i="9"/>
  <c r="AN355" i="9"/>
  <c r="AN356" i="9" s="1"/>
  <c r="AM348" i="9"/>
  <c r="AM357" i="9"/>
  <c r="AM358" i="9" s="1"/>
  <c r="AO342" i="9"/>
  <c r="AO295" i="9"/>
  <c r="AO269" i="9" s="1"/>
  <c r="AO296" i="9"/>
  <c r="AP342" i="9"/>
  <c r="AP295" i="9"/>
  <c r="AO345" i="9" l="1"/>
  <c r="AP345" i="9" s="1"/>
  <c r="AQ341" i="9"/>
  <c r="AQ294" i="9" s="1"/>
  <c r="AO297" i="9"/>
  <c r="AO298" i="9"/>
  <c r="AP296" i="9"/>
  <c r="CT210" i="1"/>
  <c r="AR338" i="9" l="1"/>
  <c r="AS338" i="9" s="1"/>
  <c r="AS339" i="9" s="1"/>
  <c r="AO347" i="9"/>
  <c r="AO357" i="9" s="1"/>
  <c r="AO358" i="9" s="1"/>
  <c r="AO346" i="9"/>
  <c r="AO355" i="9"/>
  <c r="AO356" i="9" s="1"/>
  <c r="AP297" i="9"/>
  <c r="AO299" i="9"/>
  <c r="AP298" i="9"/>
  <c r="AP299" i="9" s="1"/>
  <c r="AP346" i="9"/>
  <c r="AP355" i="9"/>
  <c r="AP356" i="9" s="1"/>
  <c r="CT209" i="1"/>
  <c r="CT64" i="1" s="1"/>
  <c r="AQ342" i="9"/>
  <c r="AQ295" i="9"/>
  <c r="AQ269" i="9" s="1"/>
  <c r="AQ296" i="9"/>
  <c r="AO348" i="9" l="1"/>
  <c r="AP347" i="9"/>
  <c r="AP348" i="9" s="1"/>
  <c r="AQ297" i="9"/>
  <c r="AQ298" i="9"/>
  <c r="AR341" i="9"/>
  <c r="AR294" i="9" s="1"/>
  <c r="AS341" i="9"/>
  <c r="AS294" i="9" s="1"/>
  <c r="AT338" i="9" s="1"/>
  <c r="AQ345" i="9"/>
  <c r="AP357" i="9" l="1"/>
  <c r="AP358" i="9" s="1"/>
  <c r="AQ346" i="9"/>
  <c r="AQ347" i="9"/>
  <c r="AQ355" i="9"/>
  <c r="AQ356" i="9" s="1"/>
  <c r="AR295" i="9"/>
  <c r="AR269" i="9" s="1"/>
  <c r="AR342" i="9"/>
  <c r="AR296" i="9"/>
  <c r="AS342" i="9"/>
  <c r="AS295" i="9"/>
  <c r="AQ299" i="9"/>
  <c r="AQ65" i="9" s="1"/>
  <c r="AT341" i="9" l="1"/>
  <c r="AT294" i="9" s="1"/>
  <c r="AR297" i="9"/>
  <c r="AR298" i="9"/>
  <c r="AS296" i="9"/>
  <c r="AQ348" i="9"/>
  <c r="AQ357" i="9"/>
  <c r="AQ358" i="9" s="1"/>
  <c r="AR345" i="9"/>
  <c r="AU338" i="9" l="1"/>
  <c r="AV338" i="9" s="1"/>
  <c r="AV339" i="9" s="1"/>
  <c r="AT342" i="9"/>
  <c r="AT295" i="9"/>
  <c r="AT269" i="9" s="1"/>
  <c r="AT296" i="9"/>
  <c r="AR346" i="9"/>
  <c r="AS345" i="9"/>
  <c r="AR347" i="9"/>
  <c r="AR355" i="9"/>
  <c r="AR356" i="9" s="1"/>
  <c r="AS297" i="9"/>
  <c r="AR299" i="9"/>
  <c r="AS298" i="9"/>
  <c r="AS299" i="9" s="1"/>
  <c r="AT297" i="9" l="1"/>
  <c r="AT298" i="9"/>
  <c r="AU341" i="9"/>
  <c r="AU294" i="9" s="1"/>
  <c r="AV341" i="9"/>
  <c r="AV294" i="9" s="1"/>
  <c r="AW338" i="9" s="1"/>
  <c r="AT345" i="9"/>
  <c r="AT347" i="9" s="1"/>
  <c r="AS346" i="9"/>
  <c r="AS355" i="9"/>
  <c r="AS356" i="9" s="1"/>
  <c r="AR348" i="9"/>
  <c r="AS347" i="9"/>
  <c r="AR357" i="9"/>
  <c r="AR358" i="9" s="1"/>
  <c r="AV342" i="9" l="1"/>
  <c r="AV295" i="9"/>
  <c r="AT299" i="9"/>
  <c r="AU295" i="9"/>
  <c r="AU269" i="9" s="1"/>
  <c r="AU342" i="9"/>
  <c r="AU296" i="9"/>
  <c r="AT348" i="9"/>
  <c r="AT357" i="9"/>
  <c r="AT358" i="9" s="1"/>
  <c r="AT355" i="9"/>
  <c r="AT356" i="9" s="1"/>
  <c r="AT346" i="9"/>
  <c r="AS348" i="9"/>
  <c r="AS357" i="9"/>
  <c r="AS358" i="9" s="1"/>
  <c r="AW341" i="9" l="1"/>
  <c r="AW294" i="9" s="1"/>
  <c r="AU345" i="9"/>
  <c r="AU347" i="9" s="1"/>
  <c r="AU357" i="9" s="1"/>
  <c r="AU358" i="9" s="1"/>
  <c r="AU298" i="9"/>
  <c r="AU297" i="9"/>
  <c r="AV296" i="9"/>
  <c r="AV297" i="9" s="1"/>
  <c r="AX338" i="9" l="1"/>
  <c r="AY338" i="9" s="1"/>
  <c r="AY339" i="9" s="1"/>
  <c r="AW342" i="9"/>
  <c r="AW295" i="9"/>
  <c r="AW269" i="9" s="1"/>
  <c r="AW296" i="9"/>
  <c r="AV347" i="9"/>
  <c r="AV348" i="9" s="1"/>
  <c r="AU346" i="9"/>
  <c r="AU355" i="9"/>
  <c r="AU356" i="9" s="1"/>
  <c r="AV345" i="9"/>
  <c r="AU348" i="9"/>
  <c r="AU299" i="9"/>
  <c r="AV298" i="9"/>
  <c r="AV299" i="9" s="1"/>
  <c r="AX341" i="9" l="1"/>
  <c r="AX294" i="9" s="1"/>
  <c r="AY341" i="9"/>
  <c r="AY294" i="9" s="1"/>
  <c r="AV346" i="9"/>
  <c r="AW345" i="9"/>
  <c r="AW347" i="9" s="1"/>
  <c r="AW297" i="9"/>
  <c r="AW298" i="9"/>
  <c r="AV355" i="9"/>
  <c r="AV356" i="9" s="1"/>
  <c r="AV357" i="9"/>
  <c r="AV358" i="9" s="1"/>
  <c r="AZ338" i="9" l="1"/>
  <c r="AZ341" i="9" s="1"/>
  <c r="AZ294" i="9" s="1"/>
  <c r="AZ296" i="9" s="1"/>
  <c r="AY342" i="9"/>
  <c r="AY295" i="9"/>
  <c r="AW299" i="9"/>
  <c r="AW348" i="9"/>
  <c r="AW357" i="9"/>
  <c r="AW358" i="9" s="1"/>
  <c r="AW346" i="9"/>
  <c r="AW355" i="9"/>
  <c r="AW356" i="9" s="1"/>
  <c r="AX342" i="9"/>
  <c r="AX295" i="9"/>
  <c r="AX269" i="9" s="1"/>
  <c r="AX296" i="9"/>
  <c r="AZ298" i="9" l="1"/>
  <c r="AZ297" i="9"/>
  <c r="AZ342" i="9"/>
  <c r="BA338" i="9"/>
  <c r="AZ295" i="9"/>
  <c r="AZ269" i="9" s="1"/>
  <c r="AX345" i="9"/>
  <c r="AX298" i="9"/>
  <c r="AX297" i="9"/>
  <c r="AY296" i="9"/>
  <c r="BB338" i="9" l="1"/>
  <c r="BA341" i="9"/>
  <c r="BA294" i="9" s="1"/>
  <c r="AZ299" i="9"/>
  <c r="AY297" i="9"/>
  <c r="AX299" i="9"/>
  <c r="AY298" i="9"/>
  <c r="AY299" i="9" s="1"/>
  <c r="AX346" i="9"/>
  <c r="AY345" i="9"/>
  <c r="AX347" i="9"/>
  <c r="AX355" i="9"/>
  <c r="AX356" i="9" s="1"/>
  <c r="BA295" i="9" l="1"/>
  <c r="BA269" i="9" s="1"/>
  <c r="BA342" i="9"/>
  <c r="BA296" i="9"/>
  <c r="BB339" i="9"/>
  <c r="BB341" i="9"/>
  <c r="BB294" i="9" s="1"/>
  <c r="AZ345" i="9"/>
  <c r="AX348" i="9"/>
  <c r="AY347" i="9"/>
  <c r="AX357" i="9"/>
  <c r="AX358" i="9" s="1"/>
  <c r="AY346" i="9"/>
  <c r="AY355" i="9"/>
  <c r="AY356" i="9" s="1"/>
  <c r="BC338" i="9" l="1"/>
  <c r="BC341" i="9" s="1"/>
  <c r="BC294" i="9" s="1"/>
  <c r="BC296" i="9" s="1"/>
  <c r="BA297" i="9"/>
  <c r="BA298" i="9"/>
  <c r="BB296" i="9"/>
  <c r="BB297" i="9" s="1"/>
  <c r="BB342" i="9"/>
  <c r="BB295" i="9"/>
  <c r="AZ346" i="9"/>
  <c r="BA345" i="9"/>
  <c r="AZ355" i="9"/>
  <c r="AZ356" i="9" s="1"/>
  <c r="AZ347" i="9"/>
  <c r="AY348" i="9"/>
  <c r="AY357" i="9"/>
  <c r="AY358" i="9" s="1"/>
  <c r="CQ379" i="1"/>
  <c r="BC297" i="9" l="1"/>
  <c r="BC298" i="9"/>
  <c r="BC342" i="9"/>
  <c r="BD338" i="9"/>
  <c r="BC295" i="9"/>
  <c r="BC269" i="9" s="1"/>
  <c r="BA299" i="9"/>
  <c r="BB298" i="9"/>
  <c r="BB299" i="9" s="1"/>
  <c r="BB345" i="9"/>
  <c r="BA346" i="9"/>
  <c r="BA355" i="9"/>
  <c r="BA356" i="9" s="1"/>
  <c r="AZ348" i="9"/>
  <c r="AZ357" i="9"/>
  <c r="AZ358" i="9" s="1"/>
  <c r="BA347" i="9"/>
  <c r="BB347" i="9" s="1"/>
  <c r="CQ349" i="1"/>
  <c r="CQ352" i="1"/>
  <c r="CQ334" i="1"/>
  <c r="CQ276" i="1" s="1"/>
  <c r="CQ354" i="1"/>
  <c r="CQ296" i="1" s="1"/>
  <c r="CQ387" i="1"/>
  <c r="CQ389" i="1" s="1"/>
  <c r="AG327" i="1"/>
  <c r="AG419" i="1"/>
  <c r="CQ381" i="1"/>
  <c r="AG319" i="1"/>
  <c r="BC299" i="9" l="1"/>
  <c r="BE338" i="9"/>
  <c r="BD341" i="9"/>
  <c r="BD294" i="9" s="1"/>
  <c r="BC345" i="9"/>
  <c r="BA348" i="9"/>
  <c r="BA357" i="9"/>
  <c r="BA358" i="9" s="1"/>
  <c r="BB348" i="9"/>
  <c r="BB357" i="9"/>
  <c r="BB358" i="9" s="1"/>
  <c r="BB346" i="9"/>
  <c r="BB355" i="9"/>
  <c r="BB356" i="9" s="1"/>
  <c r="CQ441" i="1"/>
  <c r="CQ71" i="1"/>
  <c r="CQ291" i="1"/>
  <c r="CQ294" i="1" s="1"/>
  <c r="CQ419" i="1"/>
  <c r="CQ327" i="1"/>
  <c r="CQ321" i="1"/>
  <c r="AG322" i="1"/>
  <c r="AG323" i="1" s="1"/>
  <c r="AG81" i="1" s="1"/>
  <c r="AG426" i="1"/>
  <c r="AG428" i="1" s="1"/>
  <c r="AG792" i="1"/>
  <c r="BE339" i="9" l="1"/>
  <c r="BE341" i="9"/>
  <c r="BE294" i="9" s="1"/>
  <c r="BD296" i="9"/>
  <c r="BD342" i="9"/>
  <c r="BD295" i="9"/>
  <c r="BD269" i="9" s="1"/>
  <c r="BC346" i="9"/>
  <c r="BC355" i="9"/>
  <c r="BC356" i="9" s="1"/>
  <c r="BC347" i="9"/>
  <c r="CQ295" i="1"/>
  <c r="CQ710" i="1"/>
  <c r="AG325" i="1"/>
  <c r="AG269" i="1"/>
  <c r="CQ426" i="1"/>
  <c r="CQ428" i="1" s="1"/>
  <c r="CQ792" i="1"/>
  <c r="CQ443" i="1"/>
  <c r="AG430" i="1"/>
  <c r="AG454" i="1"/>
  <c r="BD345" i="9" l="1"/>
  <c r="BD346" i="9" s="1"/>
  <c r="BD297" i="9"/>
  <c r="BD298" i="9"/>
  <c r="BE296" i="9"/>
  <c r="BE297" i="9" s="1"/>
  <c r="BE295" i="9"/>
  <c r="BE342" i="9"/>
  <c r="BC348" i="9"/>
  <c r="BC357" i="9"/>
  <c r="BC358" i="9" s="1"/>
  <c r="CQ454" i="1"/>
  <c r="AH794" i="1"/>
  <c r="AG461" i="1"/>
  <c r="AG463" i="1" s="1"/>
  <c r="AG793" i="1"/>
  <c r="AG794" i="1"/>
  <c r="AG734" i="1"/>
  <c r="AG761" i="1" s="1"/>
  <c r="AG483" i="1"/>
  <c r="CQ449" i="1"/>
  <c r="CQ451" i="1" s="1"/>
  <c r="CQ98" i="1"/>
  <c r="CQ430" i="1"/>
  <c r="CQ99" i="1"/>
  <c r="BD355" i="9" l="1"/>
  <c r="BD356" i="9" s="1"/>
  <c r="BD347" i="9"/>
  <c r="BD357" i="9" s="1"/>
  <c r="BD358" i="9" s="1"/>
  <c r="BE345" i="9"/>
  <c r="BE346" i="9" s="1"/>
  <c r="BD299" i="9"/>
  <c r="BE298" i="9"/>
  <c r="BE299" i="9" s="1"/>
  <c r="BD348" i="9"/>
  <c r="CQ734" i="1"/>
  <c r="CQ761" i="1" s="1"/>
  <c r="CQ483" i="1"/>
  <c r="CQ461" i="1"/>
  <c r="CQ463" i="1" s="1"/>
  <c r="AG129" i="1"/>
  <c r="CQ793" i="1"/>
  <c r="AG490" i="1"/>
  <c r="AG493" i="1" s="1"/>
  <c r="AG510" i="1" s="1"/>
  <c r="BE347" i="9" l="1"/>
  <c r="BE357" i="9" s="1"/>
  <c r="BE358" i="9" s="1"/>
  <c r="CQ490" i="1"/>
  <c r="CQ493" i="1" s="1"/>
  <c r="BE355" i="9"/>
  <c r="BE356" i="9" s="1"/>
  <c r="CQ497" i="1"/>
  <c r="BE348" i="9" l="1"/>
  <c r="CQ130" i="1"/>
  <c r="CQ129" i="1"/>
  <c r="AG495" i="1"/>
  <c r="CQ500" i="1"/>
  <c r="CQ506" i="1" l="1"/>
  <c r="CQ509" i="1" s="1"/>
  <c r="AG788" i="1"/>
  <c r="AG787" i="1"/>
  <c r="CQ136" i="1"/>
  <c r="AG741" i="1"/>
  <c r="AG767" i="1" s="1"/>
  <c r="AG740" i="1"/>
  <c r="AG766" i="1" s="1"/>
  <c r="AG513" i="1"/>
  <c r="AG620" i="1"/>
  <c r="AG730" i="1"/>
  <c r="AG732" i="1"/>
  <c r="CQ495" i="1"/>
  <c r="CQ515" i="1"/>
  <c r="AH733" i="1" l="1"/>
  <c r="AH731" i="1"/>
  <c r="CQ787" i="1"/>
  <c r="CQ741" i="1"/>
  <c r="CQ767" i="1" s="1"/>
  <c r="CQ620" i="1"/>
  <c r="CQ513" i="1"/>
  <c r="CQ788" i="1"/>
  <c r="CQ740" i="1"/>
  <c r="CQ766" i="1" s="1"/>
  <c r="CQ732" i="1"/>
  <c r="CQ730" i="1"/>
  <c r="AG731" i="1"/>
  <c r="AG759" i="1"/>
  <c r="AG840" i="1"/>
  <c r="AG838" i="1"/>
  <c r="AG728" i="1"/>
  <c r="CQ525" i="1"/>
  <c r="AG729" i="1"/>
  <c r="AG760" i="1"/>
  <c r="AG733" i="1"/>
  <c r="CQ521" i="1"/>
  <c r="CQ510" i="1" l="1"/>
  <c r="AG757" i="1"/>
  <c r="CQ676" i="1"/>
  <c r="CQ760" i="1"/>
  <c r="AG758" i="1"/>
  <c r="CQ728" i="1"/>
  <c r="CQ729" i="1"/>
  <c r="CQ759" i="1"/>
  <c r="CQ840" i="1"/>
  <c r="CQ838" i="1"/>
  <c r="CQ757" i="1" l="1"/>
  <c r="CQ758" i="1"/>
  <c r="AE388" i="1"/>
  <c r="AE381" i="1"/>
  <c r="AE327" i="1" l="1"/>
  <c r="AE319" i="1"/>
  <c r="AE317" i="1" l="1"/>
  <c r="AE322" i="1"/>
  <c r="AE323" i="1" s="1"/>
  <c r="AE375" i="1" l="1"/>
  <c r="AE377" i="1" s="1"/>
  <c r="AE391" i="1" s="1"/>
  <c r="AE380" i="1"/>
  <c r="AE79" i="1"/>
  <c r="AE81" i="1"/>
  <c r="AE269" i="1"/>
  <c r="AE325" i="1"/>
  <c r="AD387" i="1"/>
  <c r="AD414" i="1" s="1"/>
  <c r="AE414" i="1" l="1"/>
  <c r="CP414" i="1" s="1"/>
  <c r="AD415" i="1"/>
  <c r="AD408" i="1"/>
  <c r="AD130" i="1"/>
  <c r="AD388" i="1"/>
  <c r="CP387" i="1"/>
  <c r="AD381" i="1"/>
  <c r="AD393" i="1" l="1"/>
  <c r="AD406" i="1"/>
  <c r="AE415" i="1"/>
  <c r="AE427" i="1" s="1"/>
  <c r="AE462" i="1" s="1"/>
  <c r="AE491" i="1" s="1"/>
  <c r="AE408" i="1"/>
  <c r="AE130" i="1"/>
  <c r="AD327" i="1"/>
  <c r="AD99" i="1"/>
  <c r="AD419" i="1"/>
  <c r="CP381" i="1"/>
  <c r="AD319" i="1"/>
  <c r="AD515" i="1"/>
  <c r="CP388" i="1"/>
  <c r="CP389" i="1" s="1"/>
  <c r="AD427" i="1"/>
  <c r="AD462" i="1" s="1"/>
  <c r="AD491" i="1" s="1"/>
  <c r="CP130" i="1"/>
  <c r="CP415" i="1" l="1"/>
  <c r="CP416" i="1" s="1"/>
  <c r="AE515" i="1"/>
  <c r="CP136" i="1" s="1"/>
  <c r="AE406" i="1"/>
  <c r="AE405" i="1" s="1"/>
  <c r="AE393" i="1"/>
  <c r="AE99" i="1"/>
  <c r="AE419" i="1"/>
  <c r="AD405" i="1"/>
  <c r="CP408" i="1"/>
  <c r="CP393" i="1" s="1"/>
  <c r="AD317" i="1"/>
  <c r="AD322" i="1"/>
  <c r="AD323" i="1" s="1"/>
  <c r="AD794" i="1"/>
  <c r="AD426" i="1"/>
  <c r="AD428" i="1" s="1"/>
  <c r="AD793" i="1"/>
  <c r="AD454" i="1"/>
  <c r="AD792" i="1"/>
  <c r="AD783" i="1"/>
  <c r="AD785" i="1"/>
  <c r="AD787" i="1"/>
  <c r="AD789" i="1"/>
  <c r="AD741" i="1"/>
  <c r="AD767" i="1" s="1"/>
  <c r="AD740" i="1"/>
  <c r="AD766" i="1" s="1"/>
  <c r="AD732" i="1"/>
  <c r="AD513" i="1"/>
  <c r="AD521" i="1"/>
  <c r="AD136" i="1"/>
  <c r="AD788" i="1"/>
  <c r="AD730" i="1"/>
  <c r="AD620" i="1"/>
  <c r="AD525" i="1"/>
  <c r="CP327" i="1"/>
  <c r="CP406" i="1" l="1"/>
  <c r="CP405" i="1" s="1"/>
  <c r="AE794" i="1"/>
  <c r="CP129" i="1"/>
  <c r="CP99" i="1"/>
  <c r="CP427" i="1"/>
  <c r="CP462" i="1" s="1"/>
  <c r="CP491" i="1" s="1"/>
  <c r="CP515" i="1"/>
  <c r="CP788" i="1" s="1"/>
  <c r="F16" i="17" s="1"/>
  <c r="CP419" i="1"/>
  <c r="CP89" i="1"/>
  <c r="AE89" i="1"/>
  <c r="AD89" i="1"/>
  <c r="AE454" i="1"/>
  <c r="AF794" i="1"/>
  <c r="AE793" i="1"/>
  <c r="AE426" i="1"/>
  <c r="AE428" i="1" s="1"/>
  <c r="AE792" i="1"/>
  <c r="AE521" i="1"/>
  <c r="AE136" i="1"/>
  <c r="AE787" i="1"/>
  <c r="AE783" i="1"/>
  <c r="AE732" i="1"/>
  <c r="AE513" i="1"/>
  <c r="AE789" i="1"/>
  <c r="AE620" i="1"/>
  <c r="AE740" i="1"/>
  <c r="AE766" i="1" s="1"/>
  <c r="AE788" i="1"/>
  <c r="AE785" i="1"/>
  <c r="AE730" i="1"/>
  <c r="AE741" i="1"/>
  <c r="AE767" i="1" s="1"/>
  <c r="AE525" i="1"/>
  <c r="AD728" i="1"/>
  <c r="AD729" i="1"/>
  <c r="AD782" i="1"/>
  <c r="AD760" i="1"/>
  <c r="AD733" i="1"/>
  <c r="AD81" i="1"/>
  <c r="AD269" i="1"/>
  <c r="AD325" i="1"/>
  <c r="AD840" i="1"/>
  <c r="AD731" i="1"/>
  <c r="AD838" i="1"/>
  <c r="AD841" i="1" s="1"/>
  <c r="AD759" i="1"/>
  <c r="AD734" i="1"/>
  <c r="AD761" i="1" s="1"/>
  <c r="AD461" i="1"/>
  <c r="AD463" i="1" s="1"/>
  <c r="AD483" i="1"/>
  <c r="AD79" i="1"/>
  <c r="AD375" i="1"/>
  <c r="AD380" i="1"/>
  <c r="G16" i="17" l="1"/>
  <c r="CP426" i="1"/>
  <c r="CP428" i="1" s="1"/>
  <c r="CP454" i="1"/>
  <c r="CP793" i="1"/>
  <c r="CP794" i="1"/>
  <c r="AE731" i="1"/>
  <c r="CQ794" i="1"/>
  <c r="CP792" i="1"/>
  <c r="CP740" i="1"/>
  <c r="CP766" i="1" s="1"/>
  <c r="Z83" i="8"/>
  <c r="AE733" i="1"/>
  <c r="CP525" i="1"/>
  <c r="CP728" i="1" s="1"/>
  <c r="AD757" i="1"/>
  <c r="CP787" i="1"/>
  <c r="CP513" i="1"/>
  <c r="CP620" i="1"/>
  <c r="CP783" i="1"/>
  <c r="CP789" i="1"/>
  <c r="CP732" i="1"/>
  <c r="CP730" i="1"/>
  <c r="CP741" i="1"/>
  <c r="CP767" i="1" s="1"/>
  <c r="CP785" i="1"/>
  <c r="CP521" i="1"/>
  <c r="AE760" i="1"/>
  <c r="AF733" i="1"/>
  <c r="AE483" i="1"/>
  <c r="AE734" i="1"/>
  <c r="AE761" i="1" s="1"/>
  <c r="AE461" i="1"/>
  <c r="AE463" i="1" s="1"/>
  <c r="AE728" i="1"/>
  <c r="AE729" i="1"/>
  <c r="AE782" i="1"/>
  <c r="AE759" i="1"/>
  <c r="AE840" i="1"/>
  <c r="AE838" i="1"/>
  <c r="AE841" i="1" s="1"/>
  <c r="AF731" i="1"/>
  <c r="CP380" i="1"/>
  <c r="AD758" i="1"/>
  <c r="CP375" i="1"/>
  <c r="CP317" i="1" s="1"/>
  <c r="CP79" i="1" s="1"/>
  <c r="AD377" i="1"/>
  <c r="AD129" i="1"/>
  <c r="AD490" i="1"/>
  <c r="AD493" i="1" s="1"/>
  <c r="AD510" i="1" s="1"/>
  <c r="G18" i="17" l="1"/>
  <c r="G21" i="17" s="1"/>
  <c r="F18" i="17"/>
  <c r="CP483" i="1"/>
  <c r="Z96" i="8" s="1"/>
  <c r="CP734" i="1"/>
  <c r="CP761" i="1" s="1"/>
  <c r="CP461" i="1"/>
  <c r="CP463" i="1" s="1"/>
  <c r="CP782" i="1"/>
  <c r="CP729" i="1"/>
  <c r="CP758" i="1" s="1"/>
  <c r="CP733" i="1"/>
  <c r="CP760" i="1"/>
  <c r="CQ733" i="1"/>
  <c r="AE757" i="1"/>
  <c r="CP759" i="1"/>
  <c r="Z95" i="8"/>
  <c r="Z84" i="8"/>
  <c r="CP840" i="1"/>
  <c r="CQ731" i="1"/>
  <c r="CP731" i="1"/>
  <c r="CP838" i="1"/>
  <c r="AE758" i="1"/>
  <c r="AE490" i="1"/>
  <c r="AE493" i="1" s="1"/>
  <c r="AE510" i="1" s="1"/>
  <c r="AE129" i="1"/>
  <c r="CP757" i="1"/>
  <c r="CP377" i="1"/>
  <c r="AD391" i="1"/>
  <c r="G19" i="17" l="1"/>
  <c r="F21" i="17"/>
  <c r="F19" i="17"/>
  <c r="CP490" i="1"/>
  <c r="CP493" i="1" s="1"/>
  <c r="CP510" i="1" s="1"/>
  <c r="Z102" i="8"/>
  <c r="CP841" i="1"/>
  <c r="Z114" i="8"/>
  <c r="Z388" i="8"/>
  <c r="Z76" i="8"/>
  <c r="Z389" i="8"/>
  <c r="CP319" i="1"/>
  <c r="CP322" i="1" s="1"/>
  <c r="CP323" i="1" s="1"/>
  <c r="CP391" i="1"/>
  <c r="Z106" i="8" l="1"/>
  <c r="Z104" i="8"/>
  <c r="Z113" i="8"/>
  <c r="CP269" i="1"/>
  <c r="CP81" i="1"/>
  <c r="CP325" i="1"/>
  <c r="CQ526" i="1" l="1"/>
  <c r="AG621" i="1"/>
  <c r="CQ675" i="1" l="1"/>
  <c r="CQ621" i="1"/>
  <c r="AG782" i="1" l="1"/>
  <c r="CQ673" i="1" l="1"/>
  <c r="CQ782" i="1"/>
  <c r="CQ783" i="1"/>
  <c r="CQ671" i="1"/>
  <c r="CQ589" i="1" l="1"/>
  <c r="CQ567" i="1"/>
  <c r="CQ699" i="1"/>
  <c r="CQ672" i="1"/>
  <c r="CQ704" i="1" l="1"/>
  <c r="CQ599" i="1"/>
  <c r="CQ604" i="1" s="1"/>
  <c r="CQ106" i="1" l="1"/>
  <c r="AG661" i="1"/>
  <c r="CR101" i="1" l="1"/>
  <c r="AG702" i="1"/>
  <c r="AG785" i="1" s="1"/>
  <c r="AH698" i="1"/>
  <c r="AH789" i="1" s="1"/>
  <c r="AH702" i="1"/>
  <c r="AG698" i="1"/>
  <c r="AG789" i="1" s="1"/>
  <c r="CQ661" i="1"/>
  <c r="AH785" i="1" l="1"/>
  <c r="AH841" i="1" s="1"/>
  <c r="CQ702" i="1"/>
  <c r="CQ698" i="1"/>
  <c r="CQ789" i="1" s="1"/>
  <c r="AG841" i="1"/>
  <c r="CR661" i="1"/>
  <c r="CR698" i="1" l="1"/>
  <c r="CR702" i="1"/>
  <c r="CQ785" i="1"/>
  <c r="CQ841" i="1" l="1"/>
  <c r="AG790" i="1" l="1"/>
  <c r="CQ103" i="1"/>
  <c r="CQ97" i="1" s="1"/>
  <c r="CQ790" i="1" l="1"/>
  <c r="AG97" i="1"/>
  <c r="AG434" i="1"/>
  <c r="AG791" i="1" l="1"/>
  <c r="CQ434" i="1"/>
  <c r="AG440" i="1"/>
  <c r="AH96" i="1" s="1"/>
  <c r="CQ791" i="1" l="1"/>
  <c r="CQ440" i="1"/>
  <c r="CQ102" i="1"/>
  <c r="CQ96" i="1" s="1"/>
  <c r="AG96" i="1"/>
  <c r="AG819" i="1" l="1"/>
  <c r="AG821" i="1"/>
  <c r="AG826" i="1"/>
  <c r="AG827" i="1"/>
  <c r="AG820" i="1"/>
  <c r="AG825" i="1"/>
  <c r="CQ125" i="1"/>
  <c r="AG813" i="1"/>
  <c r="AG815" i="1"/>
  <c r="AG814" i="1"/>
  <c r="AG817" i="1"/>
  <c r="AG822" i="1"/>
  <c r="AG816" i="1"/>
  <c r="CQ124" i="1"/>
  <c r="AG812" i="1"/>
  <c r="AG818" i="1"/>
  <c r="AG824" i="1"/>
  <c r="AG823" i="1"/>
  <c r="CQ120" i="1"/>
  <c r="CQ121" i="1"/>
  <c r="AG114" i="1"/>
  <c r="AG667" i="1"/>
  <c r="CQ816" i="1" l="1"/>
  <c r="CQ114" i="1"/>
  <c r="CQ814" i="1"/>
  <c r="CQ667" i="1"/>
  <c r="CQ122" i="1"/>
  <c r="CQ820" i="1"/>
  <c r="CQ821" i="1"/>
  <c r="CQ116" i="1"/>
  <c r="CQ818" i="1"/>
  <c r="CQ817" i="1"/>
  <c r="CQ825" i="1"/>
  <c r="CQ826" i="1"/>
  <c r="CQ819" i="1"/>
  <c r="CQ827" i="1"/>
  <c r="CQ824" i="1"/>
  <c r="CQ822" i="1"/>
  <c r="CQ823" i="1"/>
  <c r="CQ115" i="1"/>
  <c r="CQ813" i="1"/>
  <c r="CQ812" i="1"/>
  <c r="CQ815" i="1"/>
  <c r="AH813" i="1" l="1"/>
  <c r="AH814" i="1"/>
  <c r="AG116" i="1"/>
  <c r="AG115" i="1"/>
  <c r="AH826" i="1" l="1"/>
  <c r="AH824" i="1"/>
  <c r="AH822" i="1"/>
  <c r="AH820" i="1"/>
  <c r="AH818" i="1"/>
  <c r="AH816" i="1"/>
  <c r="AH827" i="1"/>
  <c r="AH825" i="1"/>
  <c r="AH823" i="1"/>
  <c r="AH821" i="1"/>
  <c r="AH819" i="1"/>
  <c r="AH817" i="1"/>
  <c r="AH667" i="1"/>
  <c r="CR725" i="1" l="1"/>
  <c r="AG839" i="1" l="1"/>
  <c r="CQ137" i="1"/>
  <c r="AG131" i="1"/>
  <c r="CQ131" i="1" l="1"/>
  <c r="CQ839" i="1"/>
  <c r="AG49" i="9" l="1"/>
  <c r="AG394" i="9" s="1"/>
  <c r="AF51" i="9"/>
  <c r="AF390" i="9" s="1"/>
  <c r="AG51" i="9" l="1"/>
  <c r="AG52" i="9" l="1"/>
  <c r="AF55" i="9"/>
  <c r="AG390" i="9" l="1"/>
  <c r="AG395" i="9"/>
  <c r="AF56" i="9"/>
  <c r="AF392" i="9"/>
  <c r="AF398" i="9"/>
  <c r="AG55" i="9"/>
  <c r="AG56" i="9" l="1"/>
  <c r="AG398" i="9"/>
  <c r="AG392" i="9"/>
  <c r="AF58" i="9"/>
  <c r="AF399" i="9"/>
  <c r="AF393" i="9"/>
  <c r="AF270" i="9"/>
  <c r="AF387" i="9" s="1"/>
  <c r="AF269" i="9"/>
  <c r="AF62" i="9" l="1"/>
  <c r="AF401" i="9" s="1"/>
  <c r="AF400" i="9"/>
  <c r="AG58" i="9"/>
  <c r="AG399" i="9"/>
  <c r="AG393" i="9"/>
  <c r="AF271" i="9"/>
  <c r="AH271" i="9"/>
  <c r="AG270" i="9"/>
  <c r="AG387" i="9" s="1"/>
  <c r="AF385" i="9"/>
  <c r="AG62" i="9" l="1"/>
  <c r="AG401" i="9" s="1"/>
  <c r="AG400" i="9"/>
  <c r="AG271" i="9"/>
  <c r="AJ271" i="9"/>
  <c r="AG385" i="9"/>
  <c r="AI271" i="9" l="1"/>
  <c r="AM444" i="9"/>
  <c r="AM472" i="9" l="1"/>
  <c r="AL444" i="9"/>
  <c r="AL472" i="9" s="1"/>
  <c r="AO268" i="9" l="1"/>
  <c r="AP268" i="9" s="1"/>
  <c r="AP269" i="9" l="1"/>
  <c r="AQ268" i="9"/>
  <c r="AQ270" i="9" s="1"/>
  <c r="AO270" i="9"/>
  <c r="AQ271" i="9" l="1"/>
  <c r="AO271" i="9"/>
  <c r="AP270" i="9"/>
  <c r="AR268" i="9"/>
  <c r="AS268" i="9" s="1"/>
  <c r="AT268" i="9" l="1"/>
  <c r="AS269" i="9"/>
  <c r="AP271" i="9"/>
  <c r="AR270" i="9"/>
  <c r="AR271" i="9" l="1"/>
  <c r="AS270" i="9"/>
  <c r="AU268" i="9"/>
  <c r="AV268" i="9" s="1"/>
  <c r="AT270" i="9"/>
  <c r="AV269" i="9" l="1"/>
  <c r="AW268" i="9"/>
  <c r="AU270" i="9"/>
  <c r="AV270" i="9" s="1"/>
  <c r="AT271" i="9"/>
  <c r="AS271" i="9"/>
  <c r="AX268" i="9" l="1"/>
  <c r="AY268" i="9" s="1"/>
  <c r="AW270" i="9"/>
  <c r="AU271" i="9"/>
  <c r="AV271" i="9"/>
  <c r="AY269" i="9" l="1"/>
  <c r="AZ268" i="9"/>
  <c r="AZ270" i="9" s="1"/>
  <c r="AX270" i="9"/>
  <c r="AX271" i="9" s="1"/>
  <c r="AW271" i="9"/>
  <c r="AZ271" i="9" l="1"/>
  <c r="BA268" i="9"/>
  <c r="BB268" i="9" s="1"/>
  <c r="AY270" i="9"/>
  <c r="AY271" i="9" s="1"/>
  <c r="AF71" i="9"/>
  <c r="AG68" i="9"/>
  <c r="BA270" i="9" l="1"/>
  <c r="BA271" i="9" s="1"/>
  <c r="AG409" i="9"/>
  <c r="BB269" i="9"/>
  <c r="BC268" i="9"/>
  <c r="BC270" i="9" s="1"/>
  <c r="AF412" i="9"/>
  <c r="AG71" i="9"/>
  <c r="AF65" i="9"/>
  <c r="AF408" i="9" s="1"/>
  <c r="BB270" i="9" l="1"/>
  <c r="BB271" i="9" s="1"/>
  <c r="BC271" i="9"/>
  <c r="AG412" i="9"/>
  <c r="BD268" i="9"/>
  <c r="BE268" i="9" s="1"/>
  <c r="BE269" i="9" s="1"/>
  <c r="AF386" i="9"/>
  <c r="AG65" i="9"/>
  <c r="AG408" i="9" s="1"/>
  <c r="AF67" i="9"/>
  <c r="BD270" i="9" l="1"/>
  <c r="BD271" i="9" s="1"/>
  <c r="AF404" i="9"/>
  <c r="AF406" i="9"/>
  <c r="AH386" i="9"/>
  <c r="AG67" i="9"/>
  <c r="AF72" i="9"/>
  <c r="AG386" i="9"/>
  <c r="BE270" i="9" l="1"/>
  <c r="BE271" i="9" s="1"/>
  <c r="AF74" i="9"/>
  <c r="AF413" i="9"/>
  <c r="AF407" i="9"/>
  <c r="AG72" i="9"/>
  <c r="AG404" i="9"/>
  <c r="AG406" i="9"/>
  <c r="AJ69" i="9"/>
  <c r="AG74" i="9" l="1"/>
  <c r="AG414" i="9" s="1"/>
  <c r="AG413" i="9"/>
  <c r="AG407" i="9"/>
  <c r="AJ388" i="9"/>
  <c r="AJ410" i="9"/>
  <c r="AJ405" i="9"/>
  <c r="AF78" i="9"/>
  <c r="AG78" i="9" s="1"/>
  <c r="AF414" i="9"/>
  <c r="AF87" i="9"/>
  <c r="AF32" i="9"/>
  <c r="AF35" i="9" s="1"/>
  <c r="AG84" i="9"/>
  <c r="AG87" i="9" s="1"/>
  <c r="AG32" i="9" l="1"/>
  <c r="AG35" i="9" s="1"/>
  <c r="AG6" i="9" l="1"/>
  <c r="AF6" i="9" s="1"/>
  <c r="AF9" i="9" s="1"/>
  <c r="AG9" i="9" l="1"/>
  <c r="AG22" i="9" s="1"/>
  <c r="AF22" i="9"/>
  <c r="AF81" i="9"/>
  <c r="AF29" i="9" l="1"/>
  <c r="AF31" i="9" s="1"/>
  <c r="AG81" i="9"/>
  <c r="AG29" i="9" s="1"/>
  <c r="AG3" i="9" s="1"/>
  <c r="AF83" i="9"/>
  <c r="AG31" i="9" l="1"/>
  <c r="AF88" i="9"/>
  <c r="AF90" i="9" s="1"/>
  <c r="AF95" i="9" s="1"/>
  <c r="AG83" i="9"/>
  <c r="AG88" i="9" s="1"/>
  <c r="AG90" i="9" s="1"/>
  <c r="AF33" i="9"/>
  <c r="AF36" i="9"/>
  <c r="AG106" i="9" l="1"/>
  <c r="AG95" i="9"/>
  <c r="AG19" i="9"/>
  <c r="AG5" i="9"/>
  <c r="AF3" i="9"/>
  <c r="AF38" i="9"/>
  <c r="AF43" i="9" s="1"/>
  <c r="AF45" i="9"/>
  <c r="AJ81" i="9"/>
  <c r="AG36" i="9"/>
  <c r="AG33" i="9"/>
  <c r="AJ83" i="9" l="1"/>
  <c r="AG7" i="9"/>
  <c r="AG10" i="9"/>
  <c r="AG21" i="9"/>
  <c r="AG45" i="9"/>
  <c r="AG38" i="9"/>
  <c r="AG43" i="9" s="1"/>
  <c r="AF19" i="9"/>
  <c r="AF5" i="9"/>
  <c r="AJ85" i="9" l="1"/>
  <c r="AG23" i="9"/>
  <c r="AG25" i="9"/>
  <c r="AG12" i="9"/>
  <c r="AI87" i="9"/>
  <c r="AI88" i="9" s="1"/>
  <c r="AF7" i="9"/>
  <c r="AF21" i="9"/>
  <c r="AF10" i="9"/>
  <c r="AJ84" i="9"/>
  <c r="AJ87" i="9" l="1"/>
  <c r="AJ88" i="9" s="1"/>
  <c r="CR399" i="1"/>
  <c r="AH37" i="9"/>
  <c r="AH11" i="9" s="1"/>
  <c r="AF25" i="9"/>
  <c r="AF23" i="9"/>
  <c r="AF12" i="9"/>
  <c r="AI90" i="9"/>
  <c r="AI95" i="9" s="1"/>
  <c r="AQ81" i="9" l="1"/>
  <c r="AJ89" i="9"/>
  <c r="CR88" i="1"/>
  <c r="CS399" i="1" l="1"/>
  <c r="AH258" i="9"/>
  <c r="AH260" i="9"/>
  <c r="AH257" i="9"/>
  <c r="AH256" i="9"/>
  <c r="AH259" i="9"/>
  <c r="AQ83" i="9"/>
  <c r="AR81" i="9"/>
  <c r="AS81" i="9" s="1"/>
  <c r="AJ90" i="9"/>
  <c r="CS88" i="1" l="1"/>
  <c r="CS415" i="1"/>
  <c r="CS427" i="1" s="1"/>
  <c r="AJ106" i="9"/>
  <c r="AJ95" i="9"/>
  <c r="AQ84" i="9"/>
  <c r="AQ85" i="9" s="1"/>
  <c r="AR83" i="9"/>
  <c r="AT81" i="9"/>
  <c r="AH261" i="9"/>
  <c r="CS507" i="1" l="1"/>
  <c r="AS83" i="9"/>
  <c r="AH253" i="9"/>
  <c r="AT83" i="9"/>
  <c r="AU81" i="9"/>
  <c r="AM106" i="9"/>
  <c r="AQ87" i="9"/>
  <c r="AQ88" i="9" s="1"/>
  <c r="AR84" i="9"/>
  <c r="CT415" i="1" l="1"/>
  <c r="CT427" i="1" s="1"/>
  <c r="CS450" i="1"/>
  <c r="CS462" i="1" s="1"/>
  <c r="CS491" i="1" s="1"/>
  <c r="AV81" i="9"/>
  <c r="AW81" i="9"/>
  <c r="AQ89" i="9"/>
  <c r="AU83" i="9"/>
  <c r="AR87" i="9"/>
  <c r="AR88" i="9" s="1"/>
  <c r="AT84" i="9"/>
  <c r="AT85" i="9" s="1"/>
  <c r="AS84" i="9"/>
  <c r="AR85" i="9"/>
  <c r="AS85" i="9" s="1"/>
  <c r="CT450" i="1" l="1"/>
  <c r="CT462" i="1" s="1"/>
  <c r="CT491" i="1" s="1"/>
  <c r="CU415" i="1"/>
  <c r="CU427" i="1" s="1"/>
  <c r="AW83" i="9"/>
  <c r="AX81" i="9"/>
  <c r="AV83" i="9"/>
  <c r="AS87" i="9"/>
  <c r="AS88" i="9" s="1"/>
  <c r="AT87" i="9"/>
  <c r="AT88" i="9" s="1"/>
  <c r="AU84" i="9"/>
  <c r="AR89" i="9"/>
  <c r="AS89" i="9" s="1"/>
  <c r="AQ90" i="9"/>
  <c r="AX83" i="9" l="1"/>
  <c r="AY83" i="9" s="1"/>
  <c r="AZ81" i="9"/>
  <c r="CT507" i="1"/>
  <c r="AY81" i="9"/>
  <c r="AW84" i="9"/>
  <c r="AW85" i="9" s="1"/>
  <c r="AU85" i="9"/>
  <c r="AV85" i="9" s="1"/>
  <c r="AU87" i="9"/>
  <c r="AU88" i="9" s="1"/>
  <c r="AR90" i="9"/>
  <c r="AV84" i="9"/>
  <c r="AT89" i="9"/>
  <c r="AT90" i="9" s="1"/>
  <c r="AS90" i="9"/>
  <c r="AS106" i="9" s="1"/>
  <c r="CT492" i="1" l="1"/>
  <c r="BA81" i="9"/>
  <c r="AZ83" i="9"/>
  <c r="CV415" i="1"/>
  <c r="CV427" i="1" s="1"/>
  <c r="AX84" i="9"/>
  <c r="AW87" i="9"/>
  <c r="AW88" i="9" s="1"/>
  <c r="AW89" i="9" s="1"/>
  <c r="AW90" i="9" s="1"/>
  <c r="AU89" i="9"/>
  <c r="AV89" i="9" s="1"/>
  <c r="AV87" i="9"/>
  <c r="AV88" i="9" s="1"/>
  <c r="BA83" i="9" l="1"/>
  <c r="BB83" i="9" s="1"/>
  <c r="BC81" i="9"/>
  <c r="BB81" i="9"/>
  <c r="AZ84" i="9"/>
  <c r="CU450" i="1"/>
  <c r="CU462" i="1" s="1"/>
  <c r="CU491" i="1" s="1"/>
  <c r="CU507" i="1"/>
  <c r="AX87" i="9"/>
  <c r="AX88" i="9" s="1"/>
  <c r="AX85" i="9"/>
  <c r="AY85" i="9" s="1"/>
  <c r="AY84" i="9"/>
  <c r="AY87" i="9" s="1"/>
  <c r="AY88" i="9" s="1"/>
  <c r="AV90" i="9"/>
  <c r="AV106" i="9" s="1"/>
  <c r="AU90" i="9"/>
  <c r="BD81" i="9" l="1"/>
  <c r="BD83" i="9" s="1"/>
  <c r="BC83" i="9"/>
  <c r="AZ87" i="9"/>
  <c r="AZ88" i="9" s="1"/>
  <c r="BA84" i="9"/>
  <c r="AZ85" i="9"/>
  <c r="CV507" i="1"/>
  <c r="AX89" i="9"/>
  <c r="AY89" i="9" s="1"/>
  <c r="AY90" i="9" s="1"/>
  <c r="AY106" i="9" s="1"/>
  <c r="BE81" i="9" l="1"/>
  <c r="BE83" i="9"/>
  <c r="BC84" i="9"/>
  <c r="BB84" i="9"/>
  <c r="BB87" i="9" s="1"/>
  <c r="BB88" i="9" s="1"/>
  <c r="BA87" i="9"/>
  <c r="BA88" i="9" s="1"/>
  <c r="BA85" i="9"/>
  <c r="BB85" i="9" s="1"/>
  <c r="AZ89" i="9"/>
  <c r="AZ90" i="9" s="1"/>
  <c r="CV450" i="1"/>
  <c r="CV462" i="1" s="1"/>
  <c r="CV491" i="1" s="1"/>
  <c r="CW415" i="1"/>
  <c r="CW427" i="1" s="1"/>
  <c r="AX90" i="9"/>
  <c r="BC87" i="9" l="1"/>
  <c r="BC88" i="9" s="1"/>
  <c r="BD84" i="9"/>
  <c r="BC85" i="9"/>
  <c r="BA89" i="9"/>
  <c r="BA90" i="9" s="1"/>
  <c r="CW450" i="1"/>
  <c r="CW462" i="1" s="1"/>
  <c r="CW491" i="1" s="1"/>
  <c r="BB89" i="9" l="1"/>
  <c r="BB90" i="9" s="1"/>
  <c r="BB106" i="9" s="1"/>
  <c r="BD87" i="9"/>
  <c r="BD88" i="9" s="1"/>
  <c r="BD85" i="9"/>
  <c r="BE85" i="9" s="1"/>
  <c r="BC89" i="9"/>
  <c r="BC90" i="9" s="1"/>
  <c r="BE84" i="9"/>
  <c r="BE87" i="9" s="1"/>
  <c r="BE88" i="9" s="1"/>
  <c r="CW507" i="1"/>
  <c r="BD89" i="9" l="1"/>
  <c r="BE89" i="9" s="1"/>
  <c r="BE90" i="9" s="1"/>
  <c r="BE106" i="9" s="1"/>
  <c r="BD90" i="9" l="1"/>
  <c r="CR102" i="1" l="1"/>
  <c r="CR96" i="1" s="1"/>
  <c r="AH319" i="1"/>
  <c r="AH317" i="1" s="1"/>
  <c r="AH79" i="1" s="1"/>
  <c r="AH380" i="1" l="1"/>
  <c r="C7" i="24" s="1"/>
  <c r="AH375" i="1"/>
  <c r="AH322" i="1"/>
  <c r="AH323" i="1" l="1"/>
  <c r="AH325" i="1"/>
  <c r="AH269" i="1"/>
  <c r="CR106" i="1"/>
  <c r="CR103" i="1"/>
  <c r="AH377" i="1"/>
  <c r="AH81" i="1" l="1"/>
  <c r="C70" i="24"/>
  <c r="CR434" i="1"/>
  <c r="CR572" i="1"/>
  <c r="CR627" i="1"/>
  <c r="AH391" i="1"/>
  <c r="CR790" i="1"/>
  <c r="CR97" i="1"/>
  <c r="CS101" i="1"/>
  <c r="AH136" i="1" l="1"/>
  <c r="AH839" i="1" l="1"/>
  <c r="CR526" i="1" l="1"/>
  <c r="CR621" i="1" l="1"/>
  <c r="CR675" i="1"/>
  <c r="AH55" i="9" l="1"/>
  <c r="AH32" i="9"/>
  <c r="AH49" i="9"/>
  <c r="AH29" i="9" s="1"/>
  <c r="AH385" i="9" l="1"/>
  <c r="AH394" i="9"/>
  <c r="AH398" i="9"/>
  <c r="AH35" i="9"/>
  <c r="AH6" i="9"/>
  <c r="AH9" i="9" s="1"/>
  <c r="AH22" i="9" s="1"/>
  <c r="AH3" i="9"/>
  <c r="AH19" i="9" s="1"/>
  <c r="AH51" i="9"/>
  <c r="AH390" i="9" s="1"/>
  <c r="AH31" i="9"/>
  <c r="AH5" i="9" l="1"/>
  <c r="AH10" i="9" s="1"/>
  <c r="AH392" i="9"/>
  <c r="AH56" i="9"/>
  <c r="AH36" i="9"/>
  <c r="AH33" i="9"/>
  <c r="AH21" i="9" l="1"/>
  <c r="AH7" i="9"/>
  <c r="AH58" i="9"/>
  <c r="AH399" i="9"/>
  <c r="AH393" i="9"/>
  <c r="AH23" i="9"/>
  <c r="AH25" i="9"/>
  <c r="AH12" i="9"/>
  <c r="AH16" i="9" s="1"/>
  <c r="AH45" i="9"/>
  <c r="AH38" i="9"/>
  <c r="AH43" i="9" s="1"/>
  <c r="AH62" i="9" l="1"/>
  <c r="AH401" i="9" s="1"/>
  <c r="AH400" i="9"/>
  <c r="AJ57" i="9"/>
  <c r="CR398" i="1" l="1"/>
  <c r="AN13" i="24" s="1"/>
  <c r="CR87" i="1" l="1"/>
  <c r="AH26" i="9" l="1"/>
  <c r="AI258" i="9" l="1"/>
  <c r="AI259" i="9"/>
  <c r="AI256" i="9"/>
  <c r="CR400" i="1" l="1"/>
  <c r="CR576" i="1"/>
  <c r="CR406" i="1" l="1"/>
  <c r="CR412" i="1"/>
  <c r="CR424" i="1" s="1"/>
  <c r="CR459" i="1" s="1"/>
  <c r="CR488" i="1" s="1"/>
  <c r="CR502" i="1"/>
  <c r="CR626" i="1"/>
  <c r="CR152" i="1"/>
  <c r="CR585" i="1"/>
  <c r="AN15" i="24" l="1"/>
  <c r="CR408" i="1"/>
  <c r="CR376" i="1"/>
  <c r="CR393" i="1" l="1"/>
  <c r="AN17" i="24"/>
  <c r="CR414" i="1"/>
  <c r="CR318" i="1"/>
  <c r="CR416" i="1" l="1"/>
  <c r="CR80" i="1"/>
  <c r="CR309" i="1"/>
  <c r="CR311" i="1"/>
  <c r="CR304" i="1"/>
  <c r="CR306" i="1"/>
  <c r="CR301" i="1"/>
  <c r="CR359" i="1" s="1"/>
  <c r="CR299" i="1"/>
  <c r="AH304" i="1" l="1"/>
  <c r="AH362" i="1" s="1"/>
  <c r="AH363" i="1" s="1"/>
  <c r="CR362" i="1"/>
  <c r="AH299" i="1"/>
  <c r="CR357" i="1"/>
  <c r="CR358" i="1" s="1"/>
  <c r="CR72" i="1"/>
  <c r="CR369" i="1"/>
  <c r="CR78" i="1"/>
  <c r="AH309" i="1"/>
  <c r="AH367" i="1" s="1"/>
  <c r="CR367" i="1"/>
  <c r="CR364" i="1"/>
  <c r="CR76" i="1"/>
  <c r="CR363" i="1" l="1"/>
  <c r="CR305" i="1" s="1"/>
  <c r="CR368" i="1"/>
  <c r="CR310" i="1" s="1"/>
  <c r="AI362" i="1"/>
  <c r="AH357" i="1"/>
  <c r="AH358" i="1" s="1"/>
  <c r="AH72" i="1"/>
  <c r="AH314" i="1"/>
  <c r="AI367" i="1"/>
  <c r="AI309" i="1" s="1"/>
  <c r="AH368" i="1"/>
  <c r="AH305" i="1"/>
  <c r="AI363" i="1" l="1"/>
  <c r="AI364" i="1" s="1"/>
  <c r="AI357" i="1"/>
  <c r="AH372" i="1"/>
  <c r="AI368" i="1"/>
  <c r="AI369" i="1" s="1"/>
  <c r="AH310" i="1"/>
  <c r="AI358" i="1"/>
  <c r="AH300" i="1"/>
  <c r="AI359" i="1" l="1"/>
  <c r="AH315" i="1"/>
  <c r="AH373" i="1" s="1"/>
  <c r="AH73" i="1"/>
  <c r="CR125" i="1" l="1"/>
  <c r="CR124" i="1"/>
  <c r="CR120" i="1"/>
  <c r="CR471" i="1"/>
  <c r="CR121" i="1"/>
  <c r="AI114" i="1"/>
  <c r="AI115" i="1"/>
  <c r="CR115" i="1" l="1"/>
  <c r="CR816" i="1"/>
  <c r="CR667" i="1"/>
  <c r="CR819" i="1"/>
  <c r="CR822" i="1"/>
  <c r="CR679" i="1"/>
  <c r="CR122" i="1"/>
  <c r="CR825" i="1"/>
  <c r="CR815" i="1"/>
  <c r="CR114" i="1"/>
  <c r="CR813" i="1"/>
  <c r="CR812" i="1"/>
  <c r="CS679" i="1" l="1"/>
  <c r="CR598" i="1" l="1"/>
  <c r="CR137" i="1" l="1"/>
  <c r="CR839" i="1" l="1"/>
  <c r="CR379" i="1" l="1"/>
  <c r="AN6" i="24" s="1"/>
  <c r="CR349" i="1" l="1"/>
  <c r="CR334" i="1"/>
  <c r="CR276" i="1" s="1"/>
  <c r="CR71" i="1" l="1"/>
  <c r="CR291" i="1"/>
  <c r="CR294" i="1" s="1"/>
  <c r="CR352" i="1"/>
  <c r="CR354" i="1"/>
  <c r="CR296" i="1" s="1"/>
  <c r="CR321" i="1" l="1"/>
  <c r="CR295" i="1"/>
  <c r="CR300" i="1"/>
  <c r="CR73" i="1" s="1"/>
  <c r="CR74" i="1"/>
  <c r="CR387" i="1"/>
  <c r="CR389" i="1" s="1"/>
  <c r="AI327" i="1"/>
  <c r="CR381" i="1"/>
  <c r="AI319" i="1"/>
  <c r="CR419" i="1" l="1"/>
  <c r="AN8" i="24"/>
  <c r="AN9" i="24" s="1"/>
  <c r="AI322" i="1"/>
  <c r="AI323" i="1" s="1"/>
  <c r="CR426" i="1"/>
  <c r="CR792" i="1"/>
  <c r="CR327" i="1"/>
  <c r="CR428" i="1" l="1"/>
  <c r="AN19" i="24"/>
  <c r="AN20" i="24" s="1"/>
  <c r="AI81" i="1"/>
  <c r="D70" i="24"/>
  <c r="AI325" i="1"/>
  <c r="AI269" i="1"/>
  <c r="CR440" i="1"/>
  <c r="AI98" i="1" l="1"/>
  <c r="AI99" i="1"/>
  <c r="CR441" i="1"/>
  <c r="CR432" i="1"/>
  <c r="CR449" i="1"/>
  <c r="AN26" i="24" l="1"/>
  <c r="CR451" i="1"/>
  <c r="CR93" i="1"/>
  <c r="CR443" i="1"/>
  <c r="AI93" i="1"/>
  <c r="AN28" i="24" l="1"/>
  <c r="AN30" i="24" s="1"/>
  <c r="CR98" i="1"/>
  <c r="CR99" i="1"/>
  <c r="CR791" i="1"/>
  <c r="CR430" i="1"/>
  <c r="CR454" i="1"/>
  <c r="CR794" i="1" l="1"/>
  <c r="CR793" i="1"/>
  <c r="AN71" i="24" s="1"/>
  <c r="CR461" i="1"/>
  <c r="CR734" i="1"/>
  <c r="CR463" i="1" l="1"/>
  <c r="AN32" i="24"/>
  <c r="AN33" i="24" s="1"/>
  <c r="CR761" i="1"/>
  <c r="AI112" i="1" l="1"/>
  <c r="AI113" i="1"/>
  <c r="CR468" i="1"/>
  <c r="CR110" i="1" s="1"/>
  <c r="AI110" i="1"/>
  <c r="AI117" i="1"/>
  <c r="AI118" i="1"/>
  <c r="CR467" i="1"/>
  <c r="CR109" i="1" s="1"/>
  <c r="CR478" i="1"/>
  <c r="CR480" i="1" s="1"/>
  <c r="CR470" i="1"/>
  <c r="CR112" i="1" l="1"/>
  <c r="CR113" i="1"/>
  <c r="CR809" i="1"/>
  <c r="CR808" i="1"/>
  <c r="CR472" i="1" l="1"/>
  <c r="CR469" i="1"/>
  <c r="CR111" i="1" s="1"/>
  <c r="AI111" i="1"/>
  <c r="AI109" i="1"/>
  <c r="AN35" i="24" l="1"/>
  <c r="AN36" i="24" s="1"/>
  <c r="CR118" i="1"/>
  <c r="CR117" i="1"/>
  <c r="CR810" i="1"/>
  <c r="CR465" i="1"/>
  <c r="CR811" i="1"/>
  <c r="CR483" i="1"/>
  <c r="CR490" i="1" l="1"/>
  <c r="CR493" i="1" l="1"/>
  <c r="AN38" i="24"/>
  <c r="CS467" i="1"/>
  <c r="CS109" i="1" s="1"/>
  <c r="CS470" i="1"/>
  <c r="CS113" i="1" l="1"/>
  <c r="CS112" i="1"/>
  <c r="CS808" i="1"/>
  <c r="CS809" i="1"/>
  <c r="CR506" i="1" l="1"/>
  <c r="CR509" i="1" s="1"/>
  <c r="AI130" i="1"/>
  <c r="AI131" i="1"/>
  <c r="CR131" i="1" l="1"/>
  <c r="CR497" i="1"/>
  <c r="AN40" i="24" s="1"/>
  <c r="CR500" i="1"/>
  <c r="AI129" i="1"/>
  <c r="CR495" i="1" l="1"/>
  <c r="AN41" i="24"/>
  <c r="CR515" i="1"/>
  <c r="CR129" i="1"/>
  <c r="CR525" i="1"/>
  <c r="CR136" i="1"/>
  <c r="AI136" i="1"/>
  <c r="AI513" i="1"/>
  <c r="CR130" i="1"/>
  <c r="CR620" i="1" l="1"/>
  <c r="AN44" i="24"/>
  <c r="AN47" i="24" s="1"/>
  <c r="AN48" i="24" s="1"/>
  <c r="AN51" i="24"/>
  <c r="CR788" i="1"/>
  <c r="AN72" i="24" s="1"/>
  <c r="CR789" i="1"/>
  <c r="CR730" i="1"/>
  <c r="CR513" i="1"/>
  <c r="CR732" i="1"/>
  <c r="AN55" i="24" s="1"/>
  <c r="CR521" i="1"/>
  <c r="CR676" i="1"/>
  <c r="CR510" i="1"/>
  <c r="CR728" i="1"/>
  <c r="CR729" i="1"/>
  <c r="AN50" i="24" l="1"/>
  <c r="AN54" i="24"/>
  <c r="H18" i="17"/>
  <c r="H16" i="17"/>
  <c r="CR760" i="1"/>
  <c r="CR840" i="1"/>
  <c r="CR759" i="1"/>
  <c r="CR838" i="1"/>
  <c r="CR733" i="1"/>
  <c r="CR731" i="1"/>
  <c r="CR757" i="1"/>
  <c r="CR758" i="1"/>
  <c r="H19" i="17" l="1"/>
  <c r="H21" i="17"/>
  <c r="CR671" i="1"/>
  <c r="CR673" i="1"/>
  <c r="CR785" i="1"/>
  <c r="CR783" i="1"/>
  <c r="AN73" i="24" s="1"/>
  <c r="AN74" i="24" s="1"/>
  <c r="CR782" i="1"/>
  <c r="CR841" i="1" l="1"/>
  <c r="CR672" i="1"/>
  <c r="CR567" i="1"/>
  <c r="CR589" i="1"/>
  <c r="CR599" i="1" l="1"/>
  <c r="CR604" i="1" s="1"/>
  <c r="CR611" i="1" l="1"/>
  <c r="CR146" i="1" s="1"/>
  <c r="CR614" i="1"/>
  <c r="CR612" i="1"/>
  <c r="CR147" i="1" s="1"/>
  <c r="CR610" i="1"/>
  <c r="AI146" i="1"/>
  <c r="AI147" i="1"/>
  <c r="CR625" i="1"/>
  <c r="AI145" i="1"/>
  <c r="AI116" i="1"/>
  <c r="CR145" i="1" l="1"/>
  <c r="CR613" i="1"/>
  <c r="AN62" i="24" s="1"/>
  <c r="CR787" i="1"/>
  <c r="H32" i="17" l="1"/>
  <c r="H33" i="17" s="1"/>
  <c r="CR818" i="1"/>
  <c r="CR740" i="1"/>
  <c r="CR766" i="1" s="1"/>
  <c r="CR820" i="1"/>
  <c r="CR823" i="1"/>
  <c r="CR814" i="1"/>
  <c r="CR741" i="1"/>
  <c r="CR767" i="1" s="1"/>
  <c r="CR817" i="1"/>
  <c r="CR824" i="1"/>
  <c r="CR821" i="1"/>
  <c r="CR827" i="1"/>
  <c r="CR826" i="1"/>
  <c r="CR116" i="1"/>
  <c r="AJ465" i="1" l="1"/>
  <c r="AJ711" i="1" l="1"/>
  <c r="AJ53" i="9"/>
  <c r="AI49" i="9"/>
  <c r="AI394" i="9" s="1"/>
  <c r="AJ396" i="9" l="1"/>
  <c r="AJ391" i="9"/>
  <c r="AJ387" i="9"/>
  <c r="AI55" i="9"/>
  <c r="AJ52" i="9"/>
  <c r="AK52" i="9" s="1"/>
  <c r="AI385" i="9"/>
  <c r="AI51" i="9"/>
  <c r="AI390" i="9" s="1"/>
  <c r="AJ49" i="9"/>
  <c r="AJ394" i="9" s="1"/>
  <c r="AK32" i="9" l="1"/>
  <c r="AL52" i="9"/>
  <c r="AK55" i="9"/>
  <c r="AK49" i="9"/>
  <c r="AK385" i="9" s="1"/>
  <c r="AI398" i="9"/>
  <c r="AI392" i="9"/>
  <c r="AJ395" i="9"/>
  <c r="AJ385" i="9"/>
  <c r="AJ55" i="9"/>
  <c r="AI56" i="9"/>
  <c r="AJ51" i="9"/>
  <c r="AJ390" i="9" s="1"/>
  <c r="AL49" i="9" l="1"/>
  <c r="AL51" i="9" s="1"/>
  <c r="AL55" i="9"/>
  <c r="AK51" i="9"/>
  <c r="AK56" i="9" s="1"/>
  <c r="AK58" i="9" s="1"/>
  <c r="AK62" i="9" s="1"/>
  <c r="AK401" i="9" s="1"/>
  <c r="AK394" i="9"/>
  <c r="AI58" i="9"/>
  <c r="AI399" i="9"/>
  <c r="AI393" i="9"/>
  <c r="AJ398" i="9"/>
  <c r="AJ392" i="9"/>
  <c r="AK395" i="9"/>
  <c r="AJ56" i="9"/>
  <c r="AL56" i="9" l="1"/>
  <c r="AL58" i="9" s="1"/>
  <c r="AL62" i="9" s="1"/>
  <c r="AK390" i="9"/>
  <c r="AL394" i="9"/>
  <c r="AL385" i="9"/>
  <c r="AM49" i="9"/>
  <c r="AM394" i="9" s="1"/>
  <c r="AM51" i="9"/>
  <c r="AK396" i="9"/>
  <c r="AK391" i="9"/>
  <c r="AK387" i="9"/>
  <c r="AJ58" i="9"/>
  <c r="AJ399" i="9"/>
  <c r="AJ393" i="9"/>
  <c r="AK399" i="9"/>
  <c r="AK398" i="9"/>
  <c r="AK392" i="9"/>
  <c r="AI62" i="9"/>
  <c r="AI401" i="9" s="1"/>
  <c r="AI400" i="9"/>
  <c r="AM52" i="9" l="1"/>
  <c r="AM385" i="9"/>
  <c r="AJ62" i="9"/>
  <c r="AJ401" i="9" s="1"/>
  <c r="AJ400" i="9"/>
  <c r="AL390" i="9" l="1"/>
  <c r="AL398" i="9"/>
  <c r="AL395" i="9"/>
  <c r="AL391" i="9"/>
  <c r="AK400" i="9"/>
  <c r="AK393" i="9"/>
  <c r="AM395" i="9"/>
  <c r="AM390" i="9"/>
  <c r="AL392" i="9"/>
  <c r="AM55" i="9"/>
  <c r="AL399" i="9" l="1"/>
  <c r="AN391" i="9"/>
  <c r="AL387" i="9"/>
  <c r="AL396" i="9"/>
  <c r="AM53" i="9"/>
  <c r="AL400" i="9"/>
  <c r="AM56" i="9"/>
  <c r="AM399" i="9" s="1"/>
  <c r="AM398" i="9"/>
  <c r="AM392" i="9"/>
  <c r="AM391" i="9" l="1"/>
  <c r="AM387" i="9"/>
  <c r="AN52" i="9"/>
  <c r="AN396" i="9"/>
  <c r="AN387" i="9"/>
  <c r="AM396" i="9"/>
  <c r="AM57" i="9"/>
  <c r="AM58" i="9" s="1"/>
  <c r="AL393" i="9"/>
  <c r="AP53" i="9"/>
  <c r="AO396" i="9"/>
  <c r="AO391" i="9"/>
  <c r="AO387" i="9"/>
  <c r="AN55" i="9" l="1"/>
  <c r="AO52" i="9"/>
  <c r="AP52" i="9" s="1"/>
  <c r="AN49" i="9"/>
  <c r="AN395" i="9"/>
  <c r="AM400" i="9"/>
  <c r="AM62" i="9"/>
  <c r="AM393" i="9"/>
  <c r="AP396" i="9"/>
  <c r="AP391" i="9"/>
  <c r="AP387" i="9"/>
  <c r="AN51" i="9" l="1"/>
  <c r="AN392" i="9" s="1"/>
  <c r="AN394" i="9"/>
  <c r="AN385" i="9"/>
  <c r="AP55" i="9"/>
  <c r="AP395" i="9"/>
  <c r="AO49" i="9"/>
  <c r="AO55" i="9"/>
  <c r="AO395" i="9"/>
  <c r="AN398" i="9"/>
  <c r="AP57" i="9"/>
  <c r="AO51" i="9" l="1"/>
  <c r="AP51" i="9" s="1"/>
  <c r="AO394" i="9"/>
  <c r="AO385" i="9"/>
  <c r="AQ49" i="9"/>
  <c r="AP49" i="9"/>
  <c r="AO398" i="9"/>
  <c r="AP398" i="9"/>
  <c r="AN56" i="9"/>
  <c r="AN390" i="9"/>
  <c r="AO392" i="9" l="1"/>
  <c r="AQ394" i="9"/>
  <c r="AQ51" i="9"/>
  <c r="AQ52" i="9" s="1"/>
  <c r="AR49" i="9"/>
  <c r="AQ385" i="9"/>
  <c r="AP56" i="9"/>
  <c r="AP390" i="9"/>
  <c r="AN58" i="9"/>
  <c r="AN399" i="9"/>
  <c r="AN393" i="9"/>
  <c r="AP392" i="9"/>
  <c r="AP394" i="9"/>
  <c r="AP385" i="9"/>
  <c r="AO56" i="9"/>
  <c r="AO390" i="9"/>
  <c r="AN62" i="9" l="1"/>
  <c r="AN400" i="9"/>
  <c r="AQ53" i="9"/>
  <c r="AQ395" i="9"/>
  <c r="AQ390" i="9"/>
  <c r="AQ55" i="9"/>
  <c r="AR394" i="9"/>
  <c r="AT49" i="9"/>
  <c r="AR385" i="9"/>
  <c r="AR51" i="9"/>
  <c r="AR52" i="9" s="1"/>
  <c r="AS52" i="9" s="1"/>
  <c r="AO58" i="9"/>
  <c r="AO399" i="9"/>
  <c r="AO393" i="9"/>
  <c r="AP399" i="9"/>
  <c r="AP393" i="9"/>
  <c r="AP58" i="9"/>
  <c r="AP400" i="9" s="1"/>
  <c r="AS49" i="9"/>
  <c r="AS55" i="9" l="1"/>
  <c r="AS395" i="9"/>
  <c r="AS51" i="9"/>
  <c r="AS390" i="9" s="1"/>
  <c r="AR53" i="9"/>
  <c r="AS53" i="9" s="1"/>
  <c r="AR390" i="9"/>
  <c r="AR55" i="9"/>
  <c r="AR395" i="9"/>
  <c r="AT394" i="9"/>
  <c r="AU49" i="9"/>
  <c r="AV49" i="9" s="1"/>
  <c r="AT51" i="9"/>
  <c r="AT385" i="9"/>
  <c r="AQ56" i="9"/>
  <c r="AQ392" i="9"/>
  <c r="AQ398" i="9"/>
  <c r="AS394" i="9"/>
  <c r="AS385" i="9"/>
  <c r="AQ387" i="9"/>
  <c r="AQ396" i="9"/>
  <c r="AQ391" i="9"/>
  <c r="AO62" i="9"/>
  <c r="AO400" i="9"/>
  <c r="AV394" i="9" l="1"/>
  <c r="AV385" i="9"/>
  <c r="AQ57" i="9"/>
  <c r="AQ399" i="9"/>
  <c r="AR392" i="9"/>
  <c r="AR398" i="9"/>
  <c r="AS396" i="9"/>
  <c r="AS391" i="9"/>
  <c r="AS387" i="9"/>
  <c r="AR391" i="9"/>
  <c r="AR387" i="9"/>
  <c r="AR396" i="9"/>
  <c r="AU394" i="9"/>
  <c r="AW49" i="9"/>
  <c r="AU51" i="9"/>
  <c r="AU385" i="9"/>
  <c r="AT52" i="9"/>
  <c r="AR56" i="9"/>
  <c r="AS56" i="9"/>
  <c r="AS398" i="9"/>
  <c r="AS392" i="9"/>
  <c r="AR399" i="9" l="1"/>
  <c r="AR57" i="9"/>
  <c r="AR393" i="9" s="1"/>
  <c r="AT53" i="9"/>
  <c r="AT390" i="9"/>
  <c r="AU52" i="9"/>
  <c r="AU53" i="9" s="1"/>
  <c r="AT55" i="9"/>
  <c r="AT395" i="9"/>
  <c r="AW394" i="9"/>
  <c r="AX49" i="9"/>
  <c r="AY49" i="9" s="1"/>
  <c r="AW51" i="9"/>
  <c r="AW385" i="9"/>
  <c r="AQ393" i="9"/>
  <c r="AV51" i="9"/>
  <c r="AS399" i="9"/>
  <c r="AQ58" i="9"/>
  <c r="AQ400" i="9" s="1"/>
  <c r="AI32" i="9"/>
  <c r="AI35" i="9" s="1"/>
  <c r="AI71" i="9"/>
  <c r="AJ68" i="9"/>
  <c r="AS57" i="9" l="1"/>
  <c r="AS393" i="9" s="1"/>
  <c r="AR58" i="9"/>
  <c r="AR400" i="9" s="1"/>
  <c r="AZ49" i="9"/>
  <c r="AX385" i="9"/>
  <c r="AX51" i="9"/>
  <c r="AY51" i="9" s="1"/>
  <c r="AX394" i="9"/>
  <c r="AT398" i="9"/>
  <c r="AT392" i="9"/>
  <c r="AT56" i="9"/>
  <c r="AI412" i="9"/>
  <c r="AU396" i="9"/>
  <c r="AU391" i="9"/>
  <c r="AU387" i="9"/>
  <c r="AY394" i="9"/>
  <c r="AY385" i="9"/>
  <c r="AT387" i="9"/>
  <c r="AT396" i="9"/>
  <c r="AT391" i="9"/>
  <c r="AV53" i="9"/>
  <c r="AU395" i="9"/>
  <c r="AU390" i="9"/>
  <c r="AU55" i="9"/>
  <c r="AW52" i="9"/>
  <c r="AJ71" i="9"/>
  <c r="AJ409" i="9"/>
  <c r="AV52" i="9"/>
  <c r="AJ32" i="9"/>
  <c r="AS58" i="9" l="1"/>
  <c r="AS400" i="9" s="1"/>
  <c r="AJ412" i="9"/>
  <c r="AV395" i="9"/>
  <c r="AV55" i="9"/>
  <c r="AV390" i="9"/>
  <c r="AW55" i="9"/>
  <c r="AW390" i="9"/>
  <c r="AW395" i="9"/>
  <c r="AX52" i="9"/>
  <c r="AX53" i="9" s="1"/>
  <c r="AV391" i="9"/>
  <c r="AV387" i="9"/>
  <c r="AV396" i="9"/>
  <c r="AT399" i="9"/>
  <c r="AT57" i="9"/>
  <c r="AU56" i="9"/>
  <c r="AU398" i="9"/>
  <c r="AU392" i="9"/>
  <c r="AW53" i="9"/>
  <c r="AZ51" i="9"/>
  <c r="AZ394" i="9"/>
  <c r="AZ385" i="9"/>
  <c r="BA49" i="9"/>
  <c r="BB49" i="9" s="1"/>
  <c r="AJ35" i="9"/>
  <c r="AJ6" i="9"/>
  <c r="AY52" i="9" l="1"/>
  <c r="AY55" i="9" s="1"/>
  <c r="BB385" i="9"/>
  <c r="BB394" i="9"/>
  <c r="AT58" i="9"/>
  <c r="AT400" i="9" s="1"/>
  <c r="AT393" i="9"/>
  <c r="AW392" i="9"/>
  <c r="AW398" i="9"/>
  <c r="AW56" i="9"/>
  <c r="AY53" i="9"/>
  <c r="AX387" i="9"/>
  <c r="AX396" i="9"/>
  <c r="AX391" i="9"/>
  <c r="AV398" i="9"/>
  <c r="AV392" i="9"/>
  <c r="AV56" i="9"/>
  <c r="AU399" i="9"/>
  <c r="AU57" i="9"/>
  <c r="BA385" i="9"/>
  <c r="BC49" i="9"/>
  <c r="BA394" i="9"/>
  <c r="BA51" i="9"/>
  <c r="BB51" i="9" s="1"/>
  <c r="AW396" i="9"/>
  <c r="AW391" i="9"/>
  <c r="AW387" i="9"/>
  <c r="AZ52" i="9"/>
  <c r="AX395" i="9"/>
  <c r="AX55" i="9"/>
  <c r="AX390" i="9"/>
  <c r="AJ9" i="9"/>
  <c r="AI6" i="9"/>
  <c r="AI9" i="9" s="1"/>
  <c r="AY390" i="9" l="1"/>
  <c r="AY395" i="9"/>
  <c r="BC385" i="9"/>
  <c r="BD49" i="9"/>
  <c r="BC394" i="9"/>
  <c r="BC51" i="9"/>
  <c r="AW399" i="9"/>
  <c r="AW57" i="9"/>
  <c r="AW58" i="9" s="1"/>
  <c r="AW400" i="9" s="1"/>
  <c r="AX398" i="9"/>
  <c r="AX392" i="9"/>
  <c r="AX56" i="9"/>
  <c r="AY391" i="9"/>
  <c r="AY387" i="9"/>
  <c r="AY396" i="9"/>
  <c r="AZ53" i="9"/>
  <c r="AZ395" i="9"/>
  <c r="AZ55" i="9"/>
  <c r="BA52" i="9"/>
  <c r="BB52" i="9" s="1"/>
  <c r="AZ390" i="9"/>
  <c r="AU58" i="9"/>
  <c r="AU400" i="9" s="1"/>
  <c r="AU393" i="9"/>
  <c r="AV399" i="9"/>
  <c r="AY398" i="9"/>
  <c r="AY392" i="9"/>
  <c r="AY56" i="9"/>
  <c r="AV57" i="9"/>
  <c r="AV393" i="9" s="1"/>
  <c r="AI22" i="9"/>
  <c r="AJ22" i="9"/>
  <c r="AI65" i="9"/>
  <c r="BB390" i="9" l="1"/>
  <c r="BB55" i="9"/>
  <c r="BB395" i="9"/>
  <c r="AZ387" i="9"/>
  <c r="AZ396" i="9"/>
  <c r="AZ391" i="9"/>
  <c r="AX399" i="9"/>
  <c r="AX57" i="9"/>
  <c r="AX393" i="9" s="1"/>
  <c r="AW393" i="9"/>
  <c r="AV58" i="9"/>
  <c r="AV400" i="9" s="1"/>
  <c r="BC52" i="9"/>
  <c r="BA395" i="9"/>
  <c r="BA55" i="9"/>
  <c r="BA390" i="9"/>
  <c r="BE49" i="9"/>
  <c r="BD394" i="9"/>
  <c r="BD385" i="9"/>
  <c r="BD51" i="9"/>
  <c r="AI67" i="9"/>
  <c r="AI72" i="9" s="1"/>
  <c r="AI408" i="9"/>
  <c r="AY399" i="9"/>
  <c r="BA53" i="9"/>
  <c r="BB53" i="9" s="1"/>
  <c r="AZ392" i="9"/>
  <c r="AZ398" i="9"/>
  <c r="AZ56" i="9"/>
  <c r="AK386" i="9"/>
  <c r="AK29" i="9"/>
  <c r="AI386" i="9"/>
  <c r="AI29" i="9"/>
  <c r="AI31" i="9" s="1"/>
  <c r="AJ65" i="9"/>
  <c r="AJ408" i="9" s="1"/>
  <c r="AJ67" i="9" l="1"/>
  <c r="AJ72" i="9" s="1"/>
  <c r="AJ413" i="9" s="1"/>
  <c r="AY57" i="9"/>
  <c r="AY393" i="9" s="1"/>
  <c r="AX58" i="9"/>
  <c r="AX400" i="9" s="1"/>
  <c r="AZ57" i="9"/>
  <c r="AZ399" i="9"/>
  <c r="BE51" i="9"/>
  <c r="BB392" i="9"/>
  <c r="BB398" i="9"/>
  <c r="BB56" i="9"/>
  <c r="AI413" i="9"/>
  <c r="AI407" i="9"/>
  <c r="BA392" i="9"/>
  <c r="BA398" i="9"/>
  <c r="BA56" i="9"/>
  <c r="BB396" i="9"/>
  <c r="BB387" i="9"/>
  <c r="BB391" i="9"/>
  <c r="BA391" i="9"/>
  <c r="BA396" i="9"/>
  <c r="BA387" i="9"/>
  <c r="AI404" i="9"/>
  <c r="AI406" i="9"/>
  <c r="BE394" i="9"/>
  <c r="BE385" i="9"/>
  <c r="BC55" i="9"/>
  <c r="BC390" i="9"/>
  <c r="BD52" i="9"/>
  <c r="BD53" i="9" s="1"/>
  <c r="BC395" i="9"/>
  <c r="BC53" i="9"/>
  <c r="AK31" i="9"/>
  <c r="AK3" i="9"/>
  <c r="AI74" i="9"/>
  <c r="AI36" i="9"/>
  <c r="AI33" i="9"/>
  <c r="AJ386" i="9"/>
  <c r="AJ29" i="9"/>
  <c r="AJ406" i="9" l="1"/>
  <c r="AJ404" i="9"/>
  <c r="AY58" i="9"/>
  <c r="AY400" i="9" s="1"/>
  <c r="BE52" i="9"/>
  <c r="BE395" i="9" s="1"/>
  <c r="BC387" i="9"/>
  <c r="BC391" i="9"/>
  <c r="BC396" i="9"/>
  <c r="BE53" i="9"/>
  <c r="BC398" i="9"/>
  <c r="BC392" i="9"/>
  <c r="BC56" i="9"/>
  <c r="BA57" i="9"/>
  <c r="BA393" i="9" s="1"/>
  <c r="BA399" i="9"/>
  <c r="BD396" i="9"/>
  <c r="BD391" i="9"/>
  <c r="BD387" i="9"/>
  <c r="AI78" i="9"/>
  <c r="AJ78" i="9" s="1"/>
  <c r="AI414" i="9"/>
  <c r="BB399" i="9"/>
  <c r="BD55" i="9"/>
  <c r="BD390" i="9"/>
  <c r="BD395" i="9"/>
  <c r="AZ58" i="9"/>
  <c r="AZ400" i="9" s="1"/>
  <c r="AZ393" i="9"/>
  <c r="AL29" i="9"/>
  <c r="AL31" i="9" s="1"/>
  <c r="AL408" i="9"/>
  <c r="AL386" i="9"/>
  <c r="AJ31" i="9"/>
  <c r="AJ3" i="9"/>
  <c r="AK33" i="9"/>
  <c r="AI45" i="9"/>
  <c r="AI37" i="9"/>
  <c r="AI11" i="9" s="1"/>
  <c r="AJ73" i="9"/>
  <c r="AJ407" i="9" s="1"/>
  <c r="AK19" i="9"/>
  <c r="AK5" i="9"/>
  <c r="BE390" i="9" l="1"/>
  <c r="BE55" i="9"/>
  <c r="BE56" i="9" s="1"/>
  <c r="BE396" i="9"/>
  <c r="BE391" i="9"/>
  <c r="BE387" i="9"/>
  <c r="BC399" i="9"/>
  <c r="BC57" i="9"/>
  <c r="BC58" i="9" s="1"/>
  <c r="BC400" i="9" s="1"/>
  <c r="BB57" i="9"/>
  <c r="BD398" i="9"/>
  <c r="BD392" i="9"/>
  <c r="BD56" i="9"/>
  <c r="BA58" i="9"/>
  <c r="BA400" i="9" s="1"/>
  <c r="AL409" i="9"/>
  <c r="AL404" i="9"/>
  <c r="AN408" i="9"/>
  <c r="AM29" i="9"/>
  <c r="AM31" i="9" s="1"/>
  <c r="AM408" i="9"/>
  <c r="AL388" i="9"/>
  <c r="AM386" i="9"/>
  <c r="AN386" i="9"/>
  <c r="AN29" i="9"/>
  <c r="AJ19" i="9"/>
  <c r="AJ5" i="9"/>
  <c r="AI3" i="9"/>
  <c r="AJ37" i="9"/>
  <c r="AJ11" i="9" s="1"/>
  <c r="AJ74" i="9"/>
  <c r="AJ414" i="9" s="1"/>
  <c r="AI38" i="9"/>
  <c r="AI43" i="9" s="1"/>
  <c r="AL32" i="9"/>
  <c r="AK35" i="9"/>
  <c r="AK36" i="9" s="1"/>
  <c r="AK6" i="9"/>
  <c r="AK9" i="9" s="1"/>
  <c r="AK10" i="9" s="1"/>
  <c r="AJ33" i="9"/>
  <c r="AJ36" i="9"/>
  <c r="BE398" i="9" l="1"/>
  <c r="BE392" i="9"/>
  <c r="BE399" i="9"/>
  <c r="BD399" i="9"/>
  <c r="BD57" i="9"/>
  <c r="BD393" i="9" s="1"/>
  <c r="BB393" i="9"/>
  <c r="BB58" i="9"/>
  <c r="BB400" i="9" s="1"/>
  <c r="BC393" i="9"/>
  <c r="AN31" i="9"/>
  <c r="AN3" i="9"/>
  <c r="AN19" i="9" s="1"/>
  <c r="AM3" i="9"/>
  <c r="AM19" i="9" s="1"/>
  <c r="AN404" i="9"/>
  <c r="AN409" i="9"/>
  <c r="AM388" i="9"/>
  <c r="AM405" i="9"/>
  <c r="AM410" i="9"/>
  <c r="AL413" i="9"/>
  <c r="AL406" i="9"/>
  <c r="AL412" i="9"/>
  <c r="AM409" i="9"/>
  <c r="AM404" i="9"/>
  <c r="AO29" i="9"/>
  <c r="AO31" i="9" s="1"/>
  <c r="AO408" i="9"/>
  <c r="AL405" i="9"/>
  <c r="AL410" i="9"/>
  <c r="AO386" i="9"/>
  <c r="AK23" i="9"/>
  <c r="AJ45" i="9"/>
  <c r="AJ38" i="9"/>
  <c r="AL35" i="9"/>
  <c r="AL36" i="9" s="1"/>
  <c r="AL33" i="9"/>
  <c r="AJ7" i="9"/>
  <c r="AJ10" i="9"/>
  <c r="AJ25" i="9" s="1"/>
  <c r="AJ21" i="9"/>
  <c r="AK37" i="9"/>
  <c r="AK11" i="9" s="1"/>
  <c r="AK25" i="9" s="1"/>
  <c r="AM32" i="9"/>
  <c r="AK21" i="9"/>
  <c r="AK22" i="9"/>
  <c r="AN32" i="9"/>
  <c r="AK45" i="9"/>
  <c r="AK7" i="9"/>
  <c r="AI19" i="9"/>
  <c r="AI5" i="9"/>
  <c r="BE57" i="9" l="1"/>
  <c r="BE393" i="9" s="1"/>
  <c r="BD58" i="9"/>
  <c r="BD400" i="9" s="1"/>
  <c r="AL3" i="9"/>
  <c r="AL5" i="9" s="1"/>
  <c r="AM5" i="9"/>
  <c r="AO409" i="9"/>
  <c r="AN388" i="9"/>
  <c r="AN410" i="9"/>
  <c r="AN405" i="9"/>
  <c r="AM413" i="9"/>
  <c r="AM406" i="9"/>
  <c r="AM412" i="9"/>
  <c r="AQ386" i="9"/>
  <c r="AQ408" i="9"/>
  <c r="AO404" i="9"/>
  <c r="AN413" i="9"/>
  <c r="AN406" i="9"/>
  <c r="AN412" i="9"/>
  <c r="AP386" i="9"/>
  <c r="AP408" i="9"/>
  <c r="AP29" i="9"/>
  <c r="AR65" i="9"/>
  <c r="AN5" i="9"/>
  <c r="AQ67" i="9"/>
  <c r="AQ29" i="9"/>
  <c r="AQ3" i="9" s="1"/>
  <c r="AJ46" i="9"/>
  <c r="AJ43" i="9"/>
  <c r="AK38" i="9"/>
  <c r="AK43" i="9" s="1"/>
  <c r="AK12" i="9"/>
  <c r="AI7" i="9"/>
  <c r="AI10" i="9"/>
  <c r="AI21" i="9"/>
  <c r="AN35" i="9"/>
  <c r="AN36" i="9" s="1"/>
  <c r="AN6" i="9"/>
  <c r="AN9" i="9" s="1"/>
  <c r="AN33" i="9"/>
  <c r="AM35" i="9"/>
  <c r="AM36" i="9" s="1"/>
  <c r="AM6" i="9"/>
  <c r="AL45" i="9"/>
  <c r="AL414" i="9"/>
  <c r="AM33" i="9"/>
  <c r="AO32" i="9"/>
  <c r="AJ23" i="9"/>
  <c r="AJ12" i="9"/>
  <c r="AL19" i="9" l="1"/>
  <c r="BE58" i="9"/>
  <c r="BE400" i="9" s="1"/>
  <c r="AP405" i="9"/>
  <c r="AM87" i="1"/>
  <c r="AM7" i="9"/>
  <c r="AP31" i="9"/>
  <c r="AP3" i="9"/>
  <c r="AP5" i="9" s="1"/>
  <c r="AQ68" i="9"/>
  <c r="AQ404" i="9" s="1"/>
  <c r="AP409" i="9"/>
  <c r="AP404" i="9"/>
  <c r="AO413" i="9"/>
  <c r="AO412" i="9"/>
  <c r="AO406" i="9"/>
  <c r="AN414" i="9"/>
  <c r="AN407" i="9"/>
  <c r="AL37" i="9"/>
  <c r="AL407" i="9"/>
  <c r="AP388" i="9"/>
  <c r="AS65" i="9"/>
  <c r="AS386" i="9" s="1"/>
  <c r="AR408" i="9"/>
  <c r="AM37" i="9"/>
  <c r="AM11" i="9" s="1"/>
  <c r="AM407" i="9"/>
  <c r="AO388" i="9"/>
  <c r="AO410" i="9"/>
  <c r="AO405" i="9"/>
  <c r="AR67" i="9"/>
  <c r="AS67" i="9" s="1"/>
  <c r="AR386" i="9"/>
  <c r="AT65" i="9"/>
  <c r="AR29" i="9"/>
  <c r="AR31" i="9" s="1"/>
  <c r="AQ31" i="9"/>
  <c r="AN10" i="9"/>
  <c r="AN23" i="9" s="1"/>
  <c r="AP32" i="9"/>
  <c r="AP35" i="9" s="1"/>
  <c r="AM414" i="9"/>
  <c r="AO35" i="9"/>
  <c r="AO36" i="9" s="1"/>
  <c r="AO33" i="9"/>
  <c r="AQ19" i="9"/>
  <c r="AQ5" i="9"/>
  <c r="AM45" i="9"/>
  <c r="AN22" i="9"/>
  <c r="AN21" i="9"/>
  <c r="AI23" i="9"/>
  <c r="AI12" i="9"/>
  <c r="AI25" i="9"/>
  <c r="AN7" i="9"/>
  <c r="AN37" i="9"/>
  <c r="AN11" i="9" s="1"/>
  <c r="AM9" i="9"/>
  <c r="AL6" i="9"/>
  <c r="AL9" i="9" s="1"/>
  <c r="AN45" i="9"/>
  <c r="AP410" i="9" l="1"/>
  <c r="AP19" i="9"/>
  <c r="AP36" i="9"/>
  <c r="AP45" i="9" s="1"/>
  <c r="AQ71" i="9"/>
  <c r="AQ412" i="9" s="1"/>
  <c r="AQ32" i="9"/>
  <c r="AQ33" i="9" s="1"/>
  <c r="AQ69" i="9"/>
  <c r="AQ388" i="9" s="1"/>
  <c r="AQ409" i="9"/>
  <c r="AM38" i="9"/>
  <c r="AM43" i="9" s="1"/>
  <c r="AT386" i="9"/>
  <c r="AT408" i="9"/>
  <c r="AO414" i="9"/>
  <c r="AS29" i="9"/>
  <c r="AS408" i="9"/>
  <c r="AL11" i="9"/>
  <c r="AL38" i="9"/>
  <c r="AL43" i="9" s="1"/>
  <c r="AP413" i="9"/>
  <c r="AP406" i="9"/>
  <c r="AP412" i="9"/>
  <c r="AR68" i="9"/>
  <c r="AR71" i="9" s="1"/>
  <c r="AO3" i="9"/>
  <c r="AO5" i="9" s="1"/>
  <c r="AP33" i="9"/>
  <c r="AT67" i="9"/>
  <c r="AT29" i="9"/>
  <c r="AT31" i="9" s="1"/>
  <c r="AU65" i="9"/>
  <c r="AN25" i="9"/>
  <c r="AP6" i="9"/>
  <c r="AP9" i="9" s="1"/>
  <c r="AP10" i="9" s="1"/>
  <c r="AL7" i="9"/>
  <c r="AN12" i="9"/>
  <c r="AN38" i="9"/>
  <c r="AN43" i="9" s="1"/>
  <c r="AL22" i="9"/>
  <c r="AL21" i="9"/>
  <c r="AL10" i="9"/>
  <c r="AO45" i="9"/>
  <c r="AM21" i="9"/>
  <c r="AM22" i="9"/>
  <c r="AM10" i="9"/>
  <c r="AM46" i="9" l="1"/>
  <c r="AQ72" i="9"/>
  <c r="AQ413" i="9" s="1"/>
  <c r="AQ406" i="9"/>
  <c r="AQ6" i="9"/>
  <c r="AQ9" i="9" s="1"/>
  <c r="AQ10" i="9" s="1"/>
  <c r="AQ23" i="9" s="1"/>
  <c r="AQ405" i="9"/>
  <c r="AQ35" i="9"/>
  <c r="AQ36" i="9" s="1"/>
  <c r="AQ45" i="9" s="1"/>
  <c r="AQ410" i="9"/>
  <c r="AS68" i="9"/>
  <c r="AS404" i="9" s="1"/>
  <c r="AP407" i="9"/>
  <c r="AR32" i="9"/>
  <c r="AR33" i="9" s="1"/>
  <c r="AT68" i="9"/>
  <c r="AT409" i="9" s="1"/>
  <c r="AO19" i="9"/>
  <c r="AR72" i="9"/>
  <c r="AR413" i="9" s="1"/>
  <c r="AR406" i="9"/>
  <c r="AR412" i="9"/>
  <c r="AU29" i="9"/>
  <c r="AU31" i="9" s="1"/>
  <c r="AU408" i="9"/>
  <c r="AS3" i="9"/>
  <c r="AS31" i="9"/>
  <c r="AR69" i="9"/>
  <c r="AR409" i="9"/>
  <c r="AR404" i="9"/>
  <c r="AO37" i="9"/>
  <c r="AO407" i="9"/>
  <c r="AP7" i="9"/>
  <c r="AO6" i="9"/>
  <c r="AO9" i="9" s="1"/>
  <c r="AO10" i="9" s="1"/>
  <c r="AT3" i="9"/>
  <c r="AT5" i="9" s="1"/>
  <c r="AW65" i="9"/>
  <c r="AU386" i="9"/>
  <c r="AV65" i="9"/>
  <c r="AU67" i="9"/>
  <c r="AV67" i="9" s="1"/>
  <c r="AL23" i="9"/>
  <c r="AL12" i="9"/>
  <c r="AL25" i="9"/>
  <c r="AP23" i="9"/>
  <c r="AP21" i="9"/>
  <c r="AP22" i="9"/>
  <c r="AM23" i="9"/>
  <c r="AM12" i="9"/>
  <c r="AM25" i="9"/>
  <c r="AQ73" i="9" l="1"/>
  <c r="AQ407" i="9" s="1"/>
  <c r="AS71" i="9"/>
  <c r="AS72" i="9" s="1"/>
  <c r="AS413" i="9" s="1"/>
  <c r="AQ21" i="9"/>
  <c r="AQ22" i="9"/>
  <c r="AP37" i="9"/>
  <c r="AP11" i="9" s="1"/>
  <c r="AP414" i="9"/>
  <c r="AQ7" i="9"/>
  <c r="AS32" i="9"/>
  <c r="AS6" i="9" s="1"/>
  <c r="AS409" i="9"/>
  <c r="AR35" i="9"/>
  <c r="AR36" i="9" s="1"/>
  <c r="AR45" i="9" s="1"/>
  <c r="AT71" i="9"/>
  <c r="AT412" i="9" s="1"/>
  <c r="AT404" i="9"/>
  <c r="AR73" i="9"/>
  <c r="AR74" i="9" s="1"/>
  <c r="AT69" i="9"/>
  <c r="AT388" i="9" s="1"/>
  <c r="AT32" i="9"/>
  <c r="AT33" i="9" s="1"/>
  <c r="AR3" i="9"/>
  <c r="AS5" i="9"/>
  <c r="AS19" i="9"/>
  <c r="AO11" i="9"/>
  <c r="AO12" i="9" s="1"/>
  <c r="AO38" i="9"/>
  <c r="AW386" i="9"/>
  <c r="AW408" i="9"/>
  <c r="AR388" i="9"/>
  <c r="AR405" i="9"/>
  <c r="AR410" i="9"/>
  <c r="AS69" i="9"/>
  <c r="AV386" i="9"/>
  <c r="AV408" i="9"/>
  <c r="AO21" i="9"/>
  <c r="AT19" i="9"/>
  <c r="AW29" i="9"/>
  <c r="AW3" i="9" s="1"/>
  <c r="AO7" i="9"/>
  <c r="AW67" i="9"/>
  <c r="AU68" i="9"/>
  <c r="AU71" i="9" s="1"/>
  <c r="AO22" i="9"/>
  <c r="AX65" i="9"/>
  <c r="AZ65" i="9" s="1"/>
  <c r="AV29" i="9"/>
  <c r="AV31" i="9" s="1"/>
  <c r="CS398" i="1"/>
  <c r="AO13" i="24" s="1"/>
  <c r="AO23" i="9"/>
  <c r="AP38" i="9" l="1"/>
  <c r="AP46" i="9" s="1"/>
  <c r="AQ37" i="9"/>
  <c r="AQ11" i="9" s="1"/>
  <c r="AQ25" i="9" s="1"/>
  <c r="AQ74" i="9"/>
  <c r="AQ414" i="9" s="1"/>
  <c r="AS412" i="9"/>
  <c r="AS406" i="9"/>
  <c r="AS35" i="9"/>
  <c r="AS36" i="9" s="1"/>
  <c r="AS45" i="9" s="1"/>
  <c r="AR414" i="9"/>
  <c r="AS33" i="9"/>
  <c r="AT35" i="9"/>
  <c r="AT36" i="9" s="1"/>
  <c r="AT45" i="9" s="1"/>
  <c r="AT406" i="9"/>
  <c r="AT72" i="9"/>
  <c r="AT413" i="9" s="1"/>
  <c r="AS73" i="9"/>
  <c r="AS37" i="9" s="1"/>
  <c r="AV3" i="9"/>
  <c r="AU3" i="9" s="1"/>
  <c r="AR407" i="9"/>
  <c r="AZ67" i="9"/>
  <c r="AZ408" i="9"/>
  <c r="AZ29" i="9"/>
  <c r="AZ386" i="9"/>
  <c r="BA65" i="9"/>
  <c r="AR37" i="9"/>
  <c r="AR11" i="9" s="1"/>
  <c r="AT410" i="9"/>
  <c r="AV68" i="9"/>
  <c r="AV404" i="9" s="1"/>
  <c r="AT405" i="9"/>
  <c r="AQ38" i="9"/>
  <c r="AW31" i="9"/>
  <c r="AT6" i="9"/>
  <c r="AT9" i="9" s="1"/>
  <c r="AT10" i="9" s="1"/>
  <c r="AT23" i="9" s="1"/>
  <c r="AU69" i="9"/>
  <c r="AU405" i="9" s="1"/>
  <c r="AY65" i="9"/>
  <c r="AX408" i="9"/>
  <c r="AS388" i="9"/>
  <c r="AS410" i="9"/>
  <c r="AS405" i="9"/>
  <c r="AO25" i="9"/>
  <c r="AU72" i="9"/>
  <c r="AU413" i="9" s="1"/>
  <c r="AU406" i="9"/>
  <c r="AU412" i="9"/>
  <c r="AU32" i="9"/>
  <c r="AU33" i="9" s="1"/>
  <c r="AU409" i="9"/>
  <c r="AU404" i="9"/>
  <c r="AR5" i="9"/>
  <c r="AR19" i="9"/>
  <c r="AX67" i="9"/>
  <c r="AY67" i="9" s="1"/>
  <c r="AW68" i="9"/>
  <c r="AW71" i="9" s="1"/>
  <c r="AX29" i="9"/>
  <c r="AX31" i="9" s="1"/>
  <c r="AX386" i="9"/>
  <c r="CS87" i="1"/>
  <c r="CT398" i="1"/>
  <c r="AP13" i="24" s="1"/>
  <c r="AR6" i="9"/>
  <c r="AS9" i="9"/>
  <c r="AS7" i="9"/>
  <c r="AW19" i="9"/>
  <c r="AW5" i="9"/>
  <c r="AP25" i="9"/>
  <c r="AP12" i="9"/>
  <c r="AQ12" i="9" l="1"/>
  <c r="BB65" i="9"/>
  <c r="BB29" i="9" s="1"/>
  <c r="BC65" i="9"/>
  <c r="CT87" i="1"/>
  <c r="AT73" i="9"/>
  <c r="AR38" i="9"/>
  <c r="AV5" i="9"/>
  <c r="AV19" i="9"/>
  <c r="AS74" i="9"/>
  <c r="AS414" i="9" s="1"/>
  <c r="AV32" i="9"/>
  <c r="AV33" i="9" s="1"/>
  <c r="AS407" i="9"/>
  <c r="AS11" i="9"/>
  <c r="AS38" i="9"/>
  <c r="AS46" i="9" s="1"/>
  <c r="AV71" i="9"/>
  <c r="AV412" i="9" s="1"/>
  <c r="AU410" i="9"/>
  <c r="AZ31" i="9"/>
  <c r="AZ3" i="9"/>
  <c r="BB408" i="9"/>
  <c r="BA386" i="9"/>
  <c r="BA408" i="9"/>
  <c r="BA29" i="9"/>
  <c r="BA31" i="9" s="1"/>
  <c r="BA67" i="9"/>
  <c r="BB67" i="9" s="1"/>
  <c r="AV409" i="9"/>
  <c r="AT7" i="9"/>
  <c r="AU73" i="9"/>
  <c r="AU37" i="9" s="1"/>
  <c r="AU11" i="9" s="1"/>
  <c r="AT22" i="9"/>
  <c r="AU388" i="9"/>
  <c r="AU35" i="9"/>
  <c r="AU36" i="9" s="1"/>
  <c r="AU45" i="9" s="1"/>
  <c r="AV69" i="9"/>
  <c r="AV405" i="9" s="1"/>
  <c r="AT21" i="9"/>
  <c r="AW32" i="9"/>
  <c r="AW6" i="9" s="1"/>
  <c r="AW9" i="9" s="1"/>
  <c r="AX68" i="9"/>
  <c r="AY68" i="9" s="1"/>
  <c r="AY71" i="9" s="1"/>
  <c r="AW72" i="9"/>
  <c r="AW413" i="9" s="1"/>
  <c r="AW406" i="9"/>
  <c r="AW412" i="9"/>
  <c r="AW69" i="9"/>
  <c r="AW404" i="9"/>
  <c r="AW409" i="9"/>
  <c r="AY29" i="9"/>
  <c r="AY408" i="9"/>
  <c r="AY386" i="9"/>
  <c r="AR9" i="9"/>
  <c r="AR7" i="9"/>
  <c r="AS22" i="9"/>
  <c r="AS21" i="9"/>
  <c r="AS10" i="9"/>
  <c r="AU19" i="9"/>
  <c r="AU5" i="9"/>
  <c r="AW35" i="9" l="1"/>
  <c r="AW36" i="9" s="1"/>
  <c r="AW45" i="9" s="1"/>
  <c r="BB386" i="9"/>
  <c r="AV73" i="9"/>
  <c r="AV37" i="9" s="1"/>
  <c r="AV11" i="9" s="1"/>
  <c r="BC408" i="9"/>
  <c r="BC386" i="9"/>
  <c r="BD65" i="9"/>
  <c r="BE65" i="9" s="1"/>
  <c r="BC67" i="9"/>
  <c r="BC29" i="9"/>
  <c r="AV6" i="9"/>
  <c r="AV7" i="9" s="1"/>
  <c r="AU74" i="9"/>
  <c r="AU414" i="9" s="1"/>
  <c r="AT407" i="9"/>
  <c r="AT37" i="9"/>
  <c r="AT74" i="9"/>
  <c r="AW33" i="9"/>
  <c r="AV35" i="9"/>
  <c r="AV36" i="9" s="1"/>
  <c r="AV45" i="9" s="1"/>
  <c r="AV72" i="9"/>
  <c r="AV413" i="9" s="1"/>
  <c r="AU407" i="9"/>
  <c r="AX71" i="9"/>
  <c r="AX406" i="9" s="1"/>
  <c r="AV406" i="9"/>
  <c r="BB31" i="9"/>
  <c r="BB3" i="9"/>
  <c r="AZ5" i="9"/>
  <c r="AZ19" i="9"/>
  <c r="AU38" i="9"/>
  <c r="AV410" i="9"/>
  <c r="AX404" i="9"/>
  <c r="AX69" i="9"/>
  <c r="AX410" i="9" s="1"/>
  <c r="AZ68" i="9"/>
  <c r="AV388" i="9"/>
  <c r="AW73" i="9"/>
  <c r="AW407" i="9" s="1"/>
  <c r="AX32" i="9"/>
  <c r="AX35" i="9" s="1"/>
  <c r="AX36" i="9" s="1"/>
  <c r="AX409" i="9"/>
  <c r="AY72" i="9"/>
  <c r="AY412" i="9"/>
  <c r="AY406" i="9"/>
  <c r="AY404" i="9"/>
  <c r="AY409" i="9"/>
  <c r="AY32" i="9"/>
  <c r="AY35" i="9" s="1"/>
  <c r="AY31" i="9"/>
  <c r="AY3" i="9"/>
  <c r="AW388" i="9"/>
  <c r="AW410" i="9"/>
  <c r="AW405" i="9"/>
  <c r="AW22" i="9"/>
  <c r="AW21" i="9"/>
  <c r="AS23" i="9"/>
  <c r="AS12" i="9"/>
  <c r="AS25" i="9"/>
  <c r="AW7" i="9"/>
  <c r="AR21" i="9"/>
  <c r="AR22" i="9"/>
  <c r="AR10" i="9"/>
  <c r="AW10" i="9"/>
  <c r="AV9" i="9" l="1"/>
  <c r="AV22" i="9" s="1"/>
  <c r="BE386" i="9"/>
  <c r="BE408" i="9"/>
  <c r="BE29" i="9"/>
  <c r="BC31" i="9"/>
  <c r="BC3" i="9"/>
  <c r="BD386" i="9"/>
  <c r="BD408" i="9"/>
  <c r="BD67" i="9"/>
  <c r="BD29" i="9"/>
  <c r="BD31" i="9" s="1"/>
  <c r="AU6" i="9"/>
  <c r="AU9" i="9" s="1"/>
  <c r="AU21" i="9" s="1"/>
  <c r="AT414" i="9"/>
  <c r="AT11" i="9"/>
  <c r="AT38" i="9"/>
  <c r="AV74" i="9"/>
  <c r="AV414" i="9" s="1"/>
  <c r="AV407" i="9"/>
  <c r="AX412" i="9"/>
  <c r="AY413" i="9"/>
  <c r="AX72" i="9"/>
  <c r="AX413" i="9" s="1"/>
  <c r="AW74" i="9"/>
  <c r="BA3" i="9"/>
  <c r="BB19" i="9"/>
  <c r="BB5" i="9"/>
  <c r="AX388" i="9"/>
  <c r="AX405" i="9"/>
  <c r="AW37" i="9"/>
  <c r="AW11" i="9" s="1"/>
  <c r="AW25" i="9" s="1"/>
  <c r="AY69" i="9"/>
  <c r="AY388" i="9" s="1"/>
  <c r="AZ69" i="9"/>
  <c r="AZ404" i="9"/>
  <c r="BA68" i="9"/>
  <c r="BC68" i="9" s="1"/>
  <c r="BC69" i="9" s="1"/>
  <c r="AZ32" i="9"/>
  <c r="AZ409" i="9"/>
  <c r="AZ71" i="9"/>
  <c r="AV38" i="9"/>
  <c r="AV46" i="9" s="1"/>
  <c r="AX33" i="9"/>
  <c r="AY6" i="9"/>
  <c r="AY9" i="9" s="1"/>
  <c r="AY33" i="9"/>
  <c r="AY36" i="9"/>
  <c r="AY45" i="9" s="1"/>
  <c r="AX3" i="9"/>
  <c r="AY19" i="9"/>
  <c r="AY5" i="9"/>
  <c r="AR23" i="9"/>
  <c r="AR12" i="9"/>
  <c r="AR25" i="9"/>
  <c r="AW23" i="9"/>
  <c r="AX45" i="9"/>
  <c r="AV10" i="9" l="1"/>
  <c r="AV23" i="9" s="1"/>
  <c r="AV21" i="9"/>
  <c r="AU22" i="9"/>
  <c r="BC388" i="9"/>
  <c r="BC410" i="9"/>
  <c r="BC405" i="9"/>
  <c r="BC19" i="9"/>
  <c r="BC5" i="9"/>
  <c r="BC404" i="9"/>
  <c r="BC409" i="9"/>
  <c r="BC71" i="9"/>
  <c r="BD68" i="9"/>
  <c r="BE68" i="9" s="1"/>
  <c r="BC32" i="9"/>
  <c r="BE31" i="9"/>
  <c r="BE3" i="9"/>
  <c r="BE67" i="9"/>
  <c r="AX73" i="9"/>
  <c r="AX74" i="9" s="1"/>
  <c r="AX414" i="9" s="1"/>
  <c r="AU10" i="9"/>
  <c r="AU23" i="9" s="1"/>
  <c r="AU7" i="9"/>
  <c r="AW38" i="9"/>
  <c r="AW12" i="9"/>
  <c r="AX6" i="9"/>
  <c r="AX9" i="9" s="1"/>
  <c r="AX22" i="9" s="1"/>
  <c r="AW414" i="9"/>
  <c r="AT25" i="9"/>
  <c r="AT12" i="9"/>
  <c r="AY410" i="9"/>
  <c r="AY405" i="9"/>
  <c r="BA19" i="9"/>
  <c r="BA5" i="9"/>
  <c r="AZ388" i="9"/>
  <c r="AZ410" i="9"/>
  <c r="AZ405" i="9"/>
  <c r="AZ33" i="9"/>
  <c r="AZ6" i="9"/>
  <c r="AZ35" i="9"/>
  <c r="AZ36" i="9" s="1"/>
  <c r="AZ45" i="9" s="1"/>
  <c r="AZ406" i="9"/>
  <c r="AZ72" i="9"/>
  <c r="AZ412" i="9"/>
  <c r="BA69" i="9"/>
  <c r="BA404" i="9"/>
  <c r="BA409" i="9"/>
  <c r="BA71" i="9"/>
  <c r="BA32" i="9"/>
  <c r="BB68" i="9"/>
  <c r="AY7" i="9"/>
  <c r="AX19" i="9"/>
  <c r="AX5" i="9"/>
  <c r="AY21" i="9"/>
  <c r="AY22" i="9"/>
  <c r="AY10" i="9"/>
  <c r="AY73" i="9" l="1"/>
  <c r="AY407" i="9" s="1"/>
  <c r="AV25" i="9"/>
  <c r="AV12" i="9"/>
  <c r="BD69" i="9"/>
  <c r="BD388" i="9" s="1"/>
  <c r="AX407" i="9"/>
  <c r="AX37" i="9"/>
  <c r="AX38" i="9" s="1"/>
  <c r="BE19" i="9"/>
  <c r="BD3" i="9"/>
  <c r="BE5" i="9"/>
  <c r="BC412" i="9"/>
  <c r="BC406" i="9"/>
  <c r="BC72" i="9"/>
  <c r="BE404" i="9"/>
  <c r="BE71" i="9"/>
  <c r="BE409" i="9"/>
  <c r="BE32" i="9"/>
  <c r="BC35" i="9"/>
  <c r="BC36" i="9" s="1"/>
  <c r="BC6" i="9"/>
  <c r="BC9" i="9" s="1"/>
  <c r="BC33" i="9"/>
  <c r="BD409" i="9"/>
  <c r="BD71" i="9"/>
  <c r="BD404" i="9"/>
  <c r="BD32" i="9"/>
  <c r="AU25" i="9"/>
  <c r="AU12" i="9"/>
  <c r="AX7" i="9"/>
  <c r="BA406" i="9"/>
  <c r="BA412" i="9"/>
  <c r="BA72" i="9"/>
  <c r="AZ73" i="9"/>
  <c r="AZ413" i="9"/>
  <c r="AZ7" i="9"/>
  <c r="AZ9" i="9"/>
  <c r="BB404" i="9"/>
  <c r="BB409" i="9"/>
  <c r="BB71" i="9"/>
  <c r="BB32" i="9"/>
  <c r="BA35" i="9"/>
  <c r="BA36" i="9" s="1"/>
  <c r="BA45" i="9" s="1"/>
  <c r="BA33" i="9"/>
  <c r="BA410" i="9"/>
  <c r="BA388" i="9"/>
  <c r="BA405" i="9"/>
  <c r="BB69" i="9"/>
  <c r="AX10" i="9"/>
  <c r="AX21" i="9"/>
  <c r="AY23" i="9"/>
  <c r="AY74" i="9" l="1"/>
  <c r="AY414" i="9" s="1"/>
  <c r="AY37" i="9"/>
  <c r="AY11" i="9" s="1"/>
  <c r="AY25" i="9" s="1"/>
  <c r="BE69" i="9"/>
  <c r="BE405" i="9" s="1"/>
  <c r="BD405" i="9"/>
  <c r="BD410" i="9"/>
  <c r="AX11" i="9"/>
  <c r="AX25" i="9" s="1"/>
  <c r="BD406" i="9"/>
  <c r="BD412" i="9"/>
  <c r="BD72" i="9"/>
  <c r="BC21" i="9"/>
  <c r="BC22" i="9"/>
  <c r="BC45" i="9"/>
  <c r="BE406" i="9"/>
  <c r="BE412" i="9"/>
  <c r="BC10" i="9"/>
  <c r="BD35" i="9"/>
  <c r="BD36" i="9" s="1"/>
  <c r="BD33" i="9"/>
  <c r="BC7" i="9"/>
  <c r="BD19" i="9"/>
  <c r="BD5" i="9"/>
  <c r="BE72" i="9"/>
  <c r="BE35" i="9"/>
  <c r="BE36" i="9" s="1"/>
  <c r="BE6" i="9"/>
  <c r="BE33" i="9"/>
  <c r="BC413" i="9"/>
  <c r="BC73" i="9"/>
  <c r="BC74" i="9" s="1"/>
  <c r="BB406" i="9"/>
  <c r="BB72" i="9"/>
  <c r="BB412" i="9"/>
  <c r="AZ407" i="9"/>
  <c r="AZ37" i="9"/>
  <c r="BA413" i="9"/>
  <c r="BA73" i="9"/>
  <c r="BA74" i="9" s="1"/>
  <c r="BA414" i="9" s="1"/>
  <c r="AZ74" i="9"/>
  <c r="BB410" i="9"/>
  <c r="BB388" i="9"/>
  <c r="BB405" i="9"/>
  <c r="BB35" i="9"/>
  <c r="BB36" i="9" s="1"/>
  <c r="BB45" i="9" s="1"/>
  <c r="BB33" i="9"/>
  <c r="BB6" i="9"/>
  <c r="AZ21" i="9"/>
  <c r="AZ10" i="9"/>
  <c r="AZ22" i="9"/>
  <c r="AX23" i="9"/>
  <c r="BE388" i="9" l="1"/>
  <c r="AY12" i="9"/>
  <c r="AY38" i="9"/>
  <c r="AY46" i="9" s="1"/>
  <c r="AX12" i="9"/>
  <c r="BE410" i="9"/>
  <c r="BC414" i="9"/>
  <c r="BD6" i="9"/>
  <c r="BD9" i="9" s="1"/>
  <c r="BE9" i="9"/>
  <c r="BC407" i="9"/>
  <c r="BC37" i="9"/>
  <c r="BC23" i="9"/>
  <c r="BE7" i="9"/>
  <c r="BD413" i="9"/>
  <c r="BD73" i="9"/>
  <c r="BD74" i="9" s="1"/>
  <c r="BE45" i="9"/>
  <c r="BE413" i="9"/>
  <c r="BD45" i="9"/>
  <c r="BB73" i="9"/>
  <c r="BB74" i="9" s="1"/>
  <c r="BB414" i="9" s="1"/>
  <c r="AZ414" i="9"/>
  <c r="BA6" i="9"/>
  <c r="BB7" i="9"/>
  <c r="BB9" i="9"/>
  <c r="AZ23" i="9"/>
  <c r="BB413" i="9"/>
  <c r="BA407" i="9"/>
  <c r="BA37" i="9"/>
  <c r="AZ38" i="9"/>
  <c r="AZ11" i="9"/>
  <c r="AZ25" i="9" s="1"/>
  <c r="AJ725" i="1"/>
  <c r="BD7" i="9" l="1"/>
  <c r="BD414" i="9"/>
  <c r="BE73" i="9"/>
  <c r="BE21" i="9"/>
  <c r="BE22" i="9"/>
  <c r="BE10" i="9"/>
  <c r="BD407" i="9"/>
  <c r="BD37" i="9"/>
  <c r="BC11" i="9"/>
  <c r="BC38" i="9"/>
  <c r="BD21" i="9"/>
  <c r="BD10" i="9"/>
  <c r="BB37" i="9"/>
  <c r="BB11" i="9" s="1"/>
  <c r="BB407" i="9"/>
  <c r="AZ12" i="9"/>
  <c r="BA38" i="9"/>
  <c r="BA11" i="9"/>
  <c r="BB10" i="9"/>
  <c r="BB21" i="9"/>
  <c r="BB22" i="9"/>
  <c r="BA7" i="9"/>
  <c r="BA9" i="9"/>
  <c r="BD22" i="9" s="1"/>
  <c r="CS725" i="1"/>
  <c r="AH233" i="9"/>
  <c r="AI257" i="9" s="1"/>
  <c r="BB38" i="9" l="1"/>
  <c r="BB46" i="9" s="1"/>
  <c r="BD11" i="9"/>
  <c r="BD25" i="9" s="1"/>
  <c r="BD38" i="9"/>
  <c r="BE407" i="9"/>
  <c r="BE37" i="9"/>
  <c r="BE74" i="9"/>
  <c r="BE23" i="9"/>
  <c r="BC25" i="9"/>
  <c r="BC12" i="9"/>
  <c r="BA21" i="9"/>
  <c r="BA10" i="9"/>
  <c r="BD23" i="9" s="1"/>
  <c r="BA22" i="9"/>
  <c r="BB25" i="9"/>
  <c r="BB12" i="9"/>
  <c r="BB23" i="9"/>
  <c r="AH237" i="9"/>
  <c r="BD12" i="9" l="1"/>
  <c r="BE11" i="9"/>
  <c r="BE38" i="9"/>
  <c r="BE46" i="9" s="1"/>
  <c r="BE414" i="9"/>
  <c r="BA12" i="9"/>
  <c r="BA23" i="9"/>
  <c r="BA25" i="9"/>
  <c r="AH241" i="9"/>
  <c r="AH245" i="9"/>
  <c r="AH240" i="9"/>
  <c r="AH242" i="9"/>
  <c r="AH244" i="9"/>
  <c r="AH243" i="9"/>
  <c r="BE25" i="9" l="1"/>
  <c r="BE12" i="9"/>
  <c r="AJ237" i="9"/>
  <c r="AJ243" i="9" l="1"/>
  <c r="AJ241" i="9"/>
  <c r="AJ245" i="9"/>
  <c r="AJ244" i="9"/>
  <c r="AJ242" i="9"/>
  <c r="AJ240" i="9"/>
  <c r="AI16" i="9"/>
  <c r="AI26" i="9"/>
  <c r="AJ412" i="1" l="1"/>
  <c r="AL412" i="1" s="1"/>
  <c r="AN412" i="1" s="1"/>
  <c r="AP412" i="1" s="1"/>
  <c r="AR412" i="1" s="1"/>
  <c r="AT412" i="1" s="1"/>
  <c r="AV412" i="1" s="1"/>
  <c r="AX412" i="1" s="1"/>
  <c r="AZ412" i="1" s="1"/>
  <c r="AJ14" i="9"/>
  <c r="AK26" i="9"/>
  <c r="AZ408" i="1" l="1"/>
  <c r="AZ502" i="1"/>
  <c r="AZ500" i="1" s="1"/>
  <c r="AZ498" i="1" s="1"/>
  <c r="AX424" i="1"/>
  <c r="AX459" i="1" s="1"/>
  <c r="AX488" i="1" s="1"/>
  <c r="AX408" i="1"/>
  <c r="S17" i="24" s="1"/>
  <c r="AX502" i="1"/>
  <c r="AV408" i="1"/>
  <c r="Q17" i="24" s="1"/>
  <c r="AV502" i="1"/>
  <c r="AV424" i="1"/>
  <c r="AV459" i="1" s="1"/>
  <c r="AV488" i="1" s="1"/>
  <c r="AT424" i="1"/>
  <c r="AT459" i="1" s="1"/>
  <c r="AT488" i="1" s="1"/>
  <c r="AT502" i="1"/>
  <c r="AT408" i="1"/>
  <c r="AR408" i="1"/>
  <c r="M17" i="24" s="1"/>
  <c r="AR424" i="1"/>
  <c r="AR459" i="1" s="1"/>
  <c r="AR488" i="1" s="1"/>
  <c r="AR502" i="1"/>
  <c r="AP424" i="1"/>
  <c r="AP459" i="1" s="1"/>
  <c r="AP488" i="1" s="1"/>
  <c r="AP408" i="1"/>
  <c r="K17" i="24" s="1"/>
  <c r="AP502" i="1"/>
  <c r="AN502" i="1"/>
  <c r="AN500" i="1" s="1"/>
  <c r="AN424" i="1"/>
  <c r="AN459" i="1" s="1"/>
  <c r="AN488" i="1" s="1"/>
  <c r="AN408" i="1"/>
  <c r="AL502" i="1"/>
  <c r="AL424" i="1"/>
  <c r="AL459" i="1" s="1"/>
  <c r="AL488" i="1" s="1"/>
  <c r="AL408" i="1"/>
  <c r="G17" i="24" s="1"/>
  <c r="AJ408" i="1"/>
  <c r="E17" i="24" s="1"/>
  <c r="AJ502" i="1"/>
  <c r="AJ424" i="1"/>
  <c r="AJ459" i="1" s="1"/>
  <c r="AJ488" i="1" s="1"/>
  <c r="AL26" i="9"/>
  <c r="AN26" i="9" s="1"/>
  <c r="AJ26" i="9"/>
  <c r="AJ16" i="9"/>
  <c r="AZ406" i="1" l="1"/>
  <c r="AZ405" i="1" s="1"/>
  <c r="AZ515" i="1"/>
  <c r="AT99" i="1"/>
  <c r="O17" i="24"/>
  <c r="AN419" i="1"/>
  <c r="AO794" i="1" s="1"/>
  <c r="I17" i="24"/>
  <c r="AX130" i="1"/>
  <c r="AX500" i="1"/>
  <c r="AX406" i="1"/>
  <c r="AX393" i="1"/>
  <c r="AX99" i="1"/>
  <c r="AX419" i="1"/>
  <c r="AV130" i="1"/>
  <c r="AV500" i="1"/>
  <c r="AV393" i="1"/>
  <c r="AV419" i="1"/>
  <c r="AW794" i="1" s="1"/>
  <c r="AV99" i="1"/>
  <c r="AV406" i="1"/>
  <c r="AT500" i="1"/>
  <c r="AT130" i="1"/>
  <c r="AT406" i="1"/>
  <c r="AT393" i="1"/>
  <c r="AT419" i="1"/>
  <c r="AU794" i="1" s="1"/>
  <c r="AR130" i="1"/>
  <c r="AR500" i="1"/>
  <c r="AR406" i="1"/>
  <c r="AR393" i="1"/>
  <c r="AR419" i="1"/>
  <c r="AS794" i="1" s="1"/>
  <c r="AR99" i="1"/>
  <c r="AP130" i="1"/>
  <c r="AP500" i="1"/>
  <c r="AP393" i="1"/>
  <c r="AP99" i="1"/>
  <c r="AP419" i="1"/>
  <c r="AQ794" i="1" s="1"/>
  <c r="AP406" i="1"/>
  <c r="AN406" i="1"/>
  <c r="AN515" i="1"/>
  <c r="AN393" i="1"/>
  <c r="AN495" i="1"/>
  <c r="AN498" i="1"/>
  <c r="AL406" i="1"/>
  <c r="AL393" i="1"/>
  <c r="AL130" i="1"/>
  <c r="AL500" i="1"/>
  <c r="AJ406" i="1"/>
  <c r="AO26" i="9"/>
  <c r="AQ26" i="9" s="1"/>
  <c r="AZ521" i="1" l="1"/>
  <c r="AZ525" i="1"/>
  <c r="AV405" i="1"/>
  <c r="Q14" i="24" s="1"/>
  <c r="Q15" i="24"/>
  <c r="AP405" i="1"/>
  <c r="K14" i="24" s="1"/>
  <c r="K15" i="24"/>
  <c r="AN131" i="1"/>
  <c r="I43" i="24"/>
  <c r="I44" i="24"/>
  <c r="I47" i="24" s="1"/>
  <c r="G15" i="24"/>
  <c r="AJ405" i="1"/>
  <c r="E15" i="24"/>
  <c r="AT405" i="1"/>
  <c r="O14" i="24" s="1"/>
  <c r="O15" i="24"/>
  <c r="AX405" i="1"/>
  <c r="S14" i="24" s="1"/>
  <c r="S15" i="24"/>
  <c r="AP515" i="1"/>
  <c r="AP732" i="1" s="1"/>
  <c r="AT498" i="1"/>
  <c r="O43" i="24" s="1"/>
  <c r="AN405" i="1"/>
  <c r="I14" i="24" s="1"/>
  <c r="I15" i="24"/>
  <c r="AR405" i="1"/>
  <c r="M14" i="24" s="1"/>
  <c r="M15" i="24"/>
  <c r="AV515" i="1"/>
  <c r="AV521" i="1" s="1"/>
  <c r="AX794" i="1"/>
  <c r="AX793" i="1"/>
  <c r="S71" i="24" s="1"/>
  <c r="AX454" i="1"/>
  <c r="AX426" i="1"/>
  <c r="AX792" i="1"/>
  <c r="AX515" i="1"/>
  <c r="AX495" i="1"/>
  <c r="AX498" i="1"/>
  <c r="AT515" i="1"/>
  <c r="AT525" i="1" s="1"/>
  <c r="AT495" i="1"/>
  <c r="AV794" i="1"/>
  <c r="AV454" i="1"/>
  <c r="AV426" i="1"/>
  <c r="AV793" i="1"/>
  <c r="Q71" i="24" s="1"/>
  <c r="AV792" i="1"/>
  <c r="AV495" i="1"/>
  <c r="AV498" i="1"/>
  <c r="AT426" i="1"/>
  <c r="AT454" i="1"/>
  <c r="AT794" i="1"/>
  <c r="AT793" i="1"/>
  <c r="O71" i="24" s="1"/>
  <c r="AT792" i="1"/>
  <c r="AR792" i="1"/>
  <c r="AR515" i="1"/>
  <c r="AR495" i="1"/>
  <c r="AR498" i="1"/>
  <c r="M43" i="24" s="1"/>
  <c r="AR454" i="1"/>
  <c r="AR426" i="1"/>
  <c r="AR793" i="1"/>
  <c r="M71" i="24" s="1"/>
  <c r="AR794" i="1"/>
  <c r="AP792" i="1"/>
  <c r="AP495" i="1"/>
  <c r="AP498" i="1"/>
  <c r="K43" i="24" s="1"/>
  <c r="AP793" i="1"/>
  <c r="K71" i="24" s="1"/>
  <c r="AP426" i="1"/>
  <c r="AP454" i="1"/>
  <c r="AP794" i="1"/>
  <c r="AN792" i="1"/>
  <c r="AN783" i="1"/>
  <c r="I73" i="24" s="1"/>
  <c r="AN730" i="1"/>
  <c r="AN732" i="1"/>
  <c r="AN525" i="1"/>
  <c r="AN741" i="1"/>
  <c r="AN767" i="1" s="1"/>
  <c r="AN620" i="1"/>
  <c r="AN789" i="1"/>
  <c r="AN785" i="1"/>
  <c r="AN788" i="1"/>
  <c r="I72" i="24" s="1"/>
  <c r="AN787" i="1"/>
  <c r="AN513" i="1"/>
  <c r="AN740" i="1"/>
  <c r="AN766" i="1" s="1"/>
  <c r="AN521" i="1"/>
  <c r="AN426" i="1"/>
  <c r="AN794" i="1"/>
  <c r="AN454" i="1"/>
  <c r="AN793" i="1"/>
  <c r="I71" i="24" s="1"/>
  <c r="AL405" i="1"/>
  <c r="G14" i="24" s="1"/>
  <c r="AL495" i="1"/>
  <c r="AL498" i="1"/>
  <c r="AR26" i="9"/>
  <c r="AT26" i="9" s="1"/>
  <c r="AJ89" i="1" l="1"/>
  <c r="E14" i="24"/>
  <c r="AV525" i="1"/>
  <c r="AV782" i="1" s="1"/>
  <c r="AV787" i="1"/>
  <c r="AP525" i="1"/>
  <c r="K51" i="24" s="1"/>
  <c r="AV783" i="1"/>
  <c r="Q73" i="24" s="1"/>
  <c r="AP730" i="1"/>
  <c r="AQ731" i="1" s="1"/>
  <c r="AV741" i="1"/>
  <c r="AV767" i="1" s="1"/>
  <c r="AV620" i="1"/>
  <c r="AV730" i="1"/>
  <c r="AV731" i="1" s="1"/>
  <c r="AP787" i="1"/>
  <c r="AP789" i="1"/>
  <c r="AT131" i="1"/>
  <c r="AV732" i="1"/>
  <c r="AW733" i="1" s="1"/>
  <c r="I74" i="24"/>
  <c r="AQ733" i="1"/>
  <c r="K55" i="24"/>
  <c r="S44" i="24"/>
  <c r="S47" i="24" s="1"/>
  <c r="S48" i="24" s="1"/>
  <c r="AP136" i="1"/>
  <c r="K44" i="24"/>
  <c r="K47" i="24" s="1"/>
  <c r="AP428" i="1"/>
  <c r="K19" i="24"/>
  <c r="AP513" i="1"/>
  <c r="M44" i="24"/>
  <c r="M47" i="24" s="1"/>
  <c r="N48" i="24" s="1"/>
  <c r="AT428" i="1"/>
  <c r="O19" i="24"/>
  <c r="Q44" i="24"/>
  <c r="Q47" i="24" s="1"/>
  <c r="AL131" i="1"/>
  <c r="G43" i="24"/>
  <c r="AN428" i="1"/>
  <c r="I19" i="24"/>
  <c r="AO731" i="1"/>
  <c r="I54" i="24"/>
  <c r="AP785" i="1"/>
  <c r="AP521" i="1"/>
  <c r="O51" i="24"/>
  <c r="AV785" i="1"/>
  <c r="AV789" i="1"/>
  <c r="AT136" i="1"/>
  <c r="O44" i="24"/>
  <c r="O47" i="24" s="1"/>
  <c r="AP783" i="1"/>
  <c r="K73" i="24" s="1"/>
  <c r="AR428" i="1"/>
  <c r="M19" i="24"/>
  <c r="N20" i="24" s="1"/>
  <c r="AV136" i="1"/>
  <c r="AV788" i="1"/>
  <c r="Q72" i="24" s="1"/>
  <c r="AX131" i="1"/>
  <c r="S43" i="24"/>
  <c r="AX89" i="1"/>
  <c r="AV89" i="1"/>
  <c r="I51" i="24"/>
  <c r="I50" i="24" s="1"/>
  <c r="AT89" i="1"/>
  <c r="AP89" i="1"/>
  <c r="AO733" i="1"/>
  <c r="I55" i="24"/>
  <c r="AP788" i="1"/>
  <c r="K72" i="24" s="1"/>
  <c r="AX428" i="1"/>
  <c r="S19" i="24"/>
  <c r="S20" i="24" s="1"/>
  <c r="AP740" i="1"/>
  <c r="AP766" i="1" s="1"/>
  <c r="AL89" i="1"/>
  <c r="AP741" i="1"/>
  <c r="AP767" i="1" s="1"/>
  <c r="AP620" i="1"/>
  <c r="AV131" i="1"/>
  <c r="Q43" i="24"/>
  <c r="AV513" i="1"/>
  <c r="AV740" i="1"/>
  <c r="AV766" i="1" s="1"/>
  <c r="AV428" i="1"/>
  <c r="Q19" i="24"/>
  <c r="AR89" i="1"/>
  <c r="AT741" i="1"/>
  <c r="AT767" i="1" s="1"/>
  <c r="AT521" i="1"/>
  <c r="AT785" i="1"/>
  <c r="AT787" i="1"/>
  <c r="AT732" i="1"/>
  <c r="AT740" i="1"/>
  <c r="AT766" i="1" s="1"/>
  <c r="AT783" i="1"/>
  <c r="O73" i="24" s="1"/>
  <c r="AT620" i="1"/>
  <c r="AT730" i="1"/>
  <c r="AT789" i="1"/>
  <c r="AT513" i="1"/>
  <c r="AT788" i="1"/>
  <c r="O72" i="24" s="1"/>
  <c r="AX525" i="1"/>
  <c r="AX732" i="1"/>
  <c r="S55" i="24" s="1"/>
  <c r="AX513" i="1"/>
  <c r="AX620" i="1"/>
  <c r="AX740" i="1"/>
  <c r="AX766" i="1" s="1"/>
  <c r="AX741" i="1"/>
  <c r="AX767" i="1" s="1"/>
  <c r="AX136" i="1"/>
  <c r="AX521" i="1"/>
  <c r="AX730" i="1"/>
  <c r="AX789" i="1"/>
  <c r="AX788" i="1"/>
  <c r="S72" i="24" s="1"/>
  <c r="AX783" i="1"/>
  <c r="S73" i="24" s="1"/>
  <c r="AX787" i="1"/>
  <c r="AX785" i="1"/>
  <c r="AX461" i="1"/>
  <c r="AX734" i="1"/>
  <c r="AX761" i="1" s="1"/>
  <c r="AX483" i="1"/>
  <c r="AV483" i="1"/>
  <c r="AV734" i="1"/>
  <c r="AV761" i="1" s="1"/>
  <c r="AV461" i="1"/>
  <c r="AR131" i="1"/>
  <c r="AT461" i="1"/>
  <c r="AT734" i="1"/>
  <c r="AT761" i="1" s="1"/>
  <c r="AT483" i="1"/>
  <c r="AT728" i="1"/>
  <c r="AT782" i="1"/>
  <c r="AT729" i="1"/>
  <c r="AT758" i="1" s="1"/>
  <c r="AR483" i="1"/>
  <c r="AR734" i="1"/>
  <c r="AR761" i="1" s="1"/>
  <c r="AR461" i="1"/>
  <c r="AR525" i="1"/>
  <c r="AR730" i="1"/>
  <c r="AR741" i="1"/>
  <c r="AR767" i="1" s="1"/>
  <c r="AR521" i="1"/>
  <c r="AR740" i="1"/>
  <c r="AR766" i="1" s="1"/>
  <c r="AR136" i="1"/>
  <c r="AR513" i="1"/>
  <c r="AR620" i="1"/>
  <c r="AR732" i="1"/>
  <c r="AR787" i="1"/>
  <c r="AR783" i="1"/>
  <c r="M73" i="24" s="1"/>
  <c r="AR789" i="1"/>
  <c r="AR788" i="1"/>
  <c r="M72" i="24" s="1"/>
  <c r="AR785" i="1"/>
  <c r="AP131" i="1"/>
  <c r="AP733" i="1"/>
  <c r="AP760" i="1"/>
  <c r="AP483" i="1"/>
  <c r="AP461" i="1"/>
  <c r="AP734" i="1"/>
  <c r="AP761" i="1" s="1"/>
  <c r="AN734" i="1"/>
  <c r="AN761" i="1" s="1"/>
  <c r="AN461" i="1"/>
  <c r="AN483" i="1"/>
  <c r="AN490" i="1" s="1"/>
  <c r="AN728" i="1"/>
  <c r="AN782" i="1"/>
  <c r="AN729" i="1"/>
  <c r="AN758" i="1" s="1"/>
  <c r="AN733" i="1"/>
  <c r="AN760" i="1"/>
  <c r="AN731" i="1"/>
  <c r="AN840" i="1"/>
  <c r="AN838" i="1"/>
  <c r="AN841" i="1" s="1"/>
  <c r="AN759" i="1"/>
  <c r="AU26" i="9"/>
  <c r="AW26" i="9" s="1"/>
  <c r="AJ152" i="1"/>
  <c r="AP782" i="1" l="1"/>
  <c r="AP731" i="1"/>
  <c r="AP728" i="1"/>
  <c r="AW731" i="1"/>
  <c r="Q48" i="24"/>
  <c r="R48" i="24"/>
  <c r="O48" i="24"/>
  <c r="P48" i="24"/>
  <c r="O20" i="24"/>
  <c r="P20" i="24"/>
  <c r="Q20" i="24"/>
  <c r="R20" i="24"/>
  <c r="Q74" i="24"/>
  <c r="Q51" i="24"/>
  <c r="Q50" i="24" s="1"/>
  <c r="AV729" i="1"/>
  <c r="AV758" i="1" s="1"/>
  <c r="AP729" i="1"/>
  <c r="AP758" i="1" s="1"/>
  <c r="AV728" i="1"/>
  <c r="AV757" i="1" s="1"/>
  <c r="AP759" i="1"/>
  <c r="AP840" i="1"/>
  <c r="AP838" i="1"/>
  <c r="AP841" i="1" s="1"/>
  <c r="K54" i="24"/>
  <c r="AV840" i="1"/>
  <c r="Q54" i="24"/>
  <c r="AV838" i="1"/>
  <c r="AV841" i="1" s="1"/>
  <c r="AV759" i="1"/>
  <c r="Q55" i="24"/>
  <c r="AV760" i="1"/>
  <c r="AV733" i="1"/>
  <c r="O50" i="24"/>
  <c r="O74" i="24"/>
  <c r="AS731" i="1"/>
  <c r="M54" i="24"/>
  <c r="K74" i="24"/>
  <c r="AP463" i="1"/>
  <c r="K32" i="24"/>
  <c r="AN493" i="1"/>
  <c r="AN510" i="1" s="1"/>
  <c r="I38" i="24"/>
  <c r="I41" i="24" s="1"/>
  <c r="AR463" i="1"/>
  <c r="M32" i="24"/>
  <c r="N33" i="24" s="1"/>
  <c r="AX463" i="1"/>
  <c r="S32" i="24"/>
  <c r="S33" i="24" s="1"/>
  <c r="S54" i="24"/>
  <c r="AU731" i="1"/>
  <c r="O54" i="24"/>
  <c r="M51" i="24"/>
  <c r="M50" i="24" s="1"/>
  <c r="AN463" i="1"/>
  <c r="I32" i="24"/>
  <c r="AN757" i="1"/>
  <c r="M74" i="24"/>
  <c r="AT463" i="1"/>
  <c r="O32" i="24"/>
  <c r="S51" i="24"/>
  <c r="S50" i="24" s="1"/>
  <c r="AV463" i="1"/>
  <c r="Q32" i="24"/>
  <c r="AU733" i="1"/>
  <c r="O55" i="24"/>
  <c r="AT757" i="1"/>
  <c r="AP757" i="1"/>
  <c r="AS733" i="1"/>
  <c r="M55" i="24"/>
  <c r="S74" i="24"/>
  <c r="K50" i="24"/>
  <c r="AT838" i="1"/>
  <c r="AT841" i="1" s="1"/>
  <c r="AT733" i="1"/>
  <c r="AT760" i="1"/>
  <c r="AT759" i="1"/>
  <c r="AT731" i="1"/>
  <c r="AT840" i="1"/>
  <c r="AX759" i="1"/>
  <c r="AX838" i="1"/>
  <c r="AX841" i="1" s="1"/>
  <c r="AX840" i="1"/>
  <c r="AX731" i="1"/>
  <c r="AX733" i="1"/>
  <c r="AX760" i="1"/>
  <c r="AX490" i="1"/>
  <c r="AX129" i="1"/>
  <c r="AX729" i="1"/>
  <c r="AX758" i="1" s="1"/>
  <c r="AX728" i="1"/>
  <c r="AX782" i="1"/>
  <c r="AV129" i="1"/>
  <c r="AV490" i="1"/>
  <c r="AT490" i="1"/>
  <c r="AT129" i="1"/>
  <c r="AR760" i="1"/>
  <c r="AR733" i="1"/>
  <c r="AR729" i="1"/>
  <c r="AR758" i="1" s="1"/>
  <c r="AR728" i="1"/>
  <c r="AR782" i="1"/>
  <c r="AR759" i="1"/>
  <c r="AR731" i="1"/>
  <c r="AR838" i="1"/>
  <c r="AR841" i="1" s="1"/>
  <c r="AR840" i="1"/>
  <c r="AR129" i="1"/>
  <c r="AR490" i="1"/>
  <c r="AP129" i="1"/>
  <c r="AP490" i="1"/>
  <c r="CS405" i="1"/>
  <c r="AO14" i="24" s="1"/>
  <c r="AX26" i="9"/>
  <c r="AZ26" i="9" s="1"/>
  <c r="BA26" i="9" s="1"/>
  <c r="BC26" i="9" s="1"/>
  <c r="BD26" i="9" s="1"/>
  <c r="O33" i="24" l="1"/>
  <c r="P33" i="24"/>
  <c r="Q33" i="24"/>
  <c r="R33" i="24"/>
  <c r="AT493" i="1"/>
  <c r="AT510" i="1" s="1"/>
  <c r="O38" i="24"/>
  <c r="O41" i="24" s="1"/>
  <c r="AX493" i="1"/>
  <c r="AX510" i="1" s="1"/>
  <c r="S38" i="24"/>
  <c r="S41" i="24" s="1"/>
  <c r="AR757" i="1"/>
  <c r="AP493" i="1"/>
  <c r="AP510" i="1" s="1"/>
  <c r="K38" i="24"/>
  <c r="K41" i="24" s="1"/>
  <c r="AR493" i="1"/>
  <c r="AR510" i="1" s="1"/>
  <c r="M38" i="24"/>
  <c r="M41" i="24" s="1"/>
  <c r="AV493" i="1"/>
  <c r="AV510" i="1" s="1"/>
  <c r="Q38" i="24"/>
  <c r="Q41" i="24" s="1"/>
  <c r="AX757" i="1"/>
  <c r="CS89" i="1"/>
  <c r="AJ393" i="1"/>
  <c r="AF14" i="9" l="1"/>
  <c r="AF26" i="9" s="1"/>
  <c r="AF16" i="9"/>
  <c r="AF24" i="9" s="1"/>
  <c r="AE16" i="9"/>
  <c r="AH24" i="9" s="1"/>
  <c r="AE14" i="9"/>
  <c r="AE26" i="9" s="1"/>
  <c r="AG15" i="9"/>
  <c r="AG16" i="9" s="1"/>
  <c r="AI24" i="9" l="1"/>
  <c r="AJ24" i="9"/>
  <c r="AG24" i="9"/>
  <c r="AG14" i="9"/>
  <c r="AG26" i="9" s="1"/>
  <c r="AE24" i="9"/>
  <c r="CS523" i="1"/>
  <c r="CS623" i="1" l="1"/>
  <c r="O27" i="7"/>
  <c r="AJ97" i="1" l="1"/>
  <c r="AJ96" i="1" l="1"/>
  <c r="AJ93" i="1" l="1"/>
  <c r="CS432" i="1" l="1"/>
  <c r="CS93" i="1" l="1"/>
  <c r="AJ381" i="1" l="1"/>
  <c r="E8" i="24" l="1"/>
  <c r="AJ419" i="1"/>
  <c r="AJ327" i="1"/>
  <c r="AJ319" i="1"/>
  <c r="AJ792" i="1" l="1"/>
  <c r="AJ426" i="1"/>
  <c r="AJ317" i="1"/>
  <c r="AJ79" i="1" s="1"/>
  <c r="AJ322" i="1"/>
  <c r="AJ323" i="1" s="1"/>
  <c r="AJ81" i="1" l="1"/>
  <c r="E70" i="24"/>
  <c r="AJ428" i="1"/>
  <c r="E19" i="24"/>
  <c r="AJ325" i="1"/>
  <c r="AJ269" i="1"/>
  <c r="AJ375" i="1"/>
  <c r="AJ380" i="1"/>
  <c r="E7" i="24" s="1"/>
  <c r="AJ377" i="1" l="1"/>
  <c r="CS102" i="1"/>
  <c r="CS96" i="1" s="1"/>
  <c r="AK440" i="1"/>
  <c r="AL96" i="1" s="1"/>
  <c r="CS103" i="1" l="1"/>
  <c r="AJ391" i="1"/>
  <c r="AJ99" i="1"/>
  <c r="AJ98" i="1"/>
  <c r="AJ430" i="1"/>
  <c r="AJ454" i="1"/>
  <c r="AK791" i="1" l="1"/>
  <c r="AK790" i="1"/>
  <c r="AJ793" i="1"/>
  <c r="E71" i="24" s="1"/>
  <c r="AJ794" i="1"/>
  <c r="AJ461" i="1"/>
  <c r="AJ483" i="1"/>
  <c r="AJ130" i="1"/>
  <c r="CS434" i="1"/>
  <c r="CS106" i="1"/>
  <c r="AJ463" i="1" l="1"/>
  <c r="E32" i="24"/>
  <c r="AK702" i="1"/>
  <c r="AK698" i="1"/>
  <c r="CS661" i="1"/>
  <c r="AJ129" i="1"/>
  <c r="CS379" i="1"/>
  <c r="AO6" i="24" s="1"/>
  <c r="AJ490" i="1"/>
  <c r="CS790" i="1"/>
  <c r="CS97" i="1"/>
  <c r="CT101" i="1"/>
  <c r="CS572" i="1"/>
  <c r="CS627" i="1"/>
  <c r="AJ493" i="1" l="1"/>
  <c r="E38" i="24"/>
  <c r="CS702" i="1"/>
  <c r="CS698" i="1"/>
  <c r="CT661" i="1" l="1"/>
  <c r="AJ500" i="1"/>
  <c r="AJ515" i="1" l="1"/>
  <c r="AJ525" i="1" s="1"/>
  <c r="E41" i="24"/>
  <c r="CU661" i="1"/>
  <c r="AJ498" i="1"/>
  <c r="AJ789" i="1"/>
  <c r="AJ787" i="1"/>
  <c r="AJ785" i="1"/>
  <c r="AJ783" i="1"/>
  <c r="E73" i="24" s="1"/>
  <c r="E74" i="24" s="1"/>
  <c r="AJ788" i="1"/>
  <c r="E72" i="24" s="1"/>
  <c r="AJ521" i="1"/>
  <c r="AJ620" i="1"/>
  <c r="AJ513" i="1"/>
  <c r="AJ495" i="1"/>
  <c r="E51" i="24" l="1"/>
  <c r="AJ131" i="1"/>
  <c r="E43" i="24"/>
  <c r="E44" i="24"/>
  <c r="E47" i="24" s="1"/>
  <c r="E50" i="24" s="1"/>
  <c r="AJ782" i="1"/>
  <c r="AJ510" i="1"/>
  <c r="CS498" i="1"/>
  <c r="AO43" i="24" s="1"/>
  <c r="AJ738" i="1" l="1"/>
  <c r="AJ734" i="1"/>
  <c r="AJ741" i="1"/>
  <c r="AJ767" i="1" s="1"/>
  <c r="AJ730" i="1"/>
  <c r="AJ740" i="1"/>
  <c r="AJ766" i="1" s="1"/>
  <c r="AJ728" i="1"/>
  <c r="E54" i="24" l="1"/>
  <c r="CV661" i="1"/>
  <c r="AJ761" i="1"/>
  <c r="AJ757" i="1"/>
  <c r="AJ731" i="1"/>
  <c r="AJ759" i="1"/>
  <c r="AJ838" i="1"/>
  <c r="AJ840" i="1"/>
  <c r="AJ764" i="1"/>
  <c r="AJ732" i="1"/>
  <c r="E55" i="24" s="1"/>
  <c r="AJ729" i="1"/>
  <c r="CT498" i="1"/>
  <c r="AP43" i="24" s="1"/>
  <c r="CW661" i="1" l="1"/>
  <c r="AJ841" i="1"/>
  <c r="AJ758" i="1"/>
  <c r="AJ733" i="1"/>
  <c r="AJ760" i="1"/>
  <c r="CU498" i="1"/>
  <c r="AQ43" i="24" s="1"/>
  <c r="CV498" i="1" l="1"/>
  <c r="AR43" i="24" s="1"/>
  <c r="CX661" i="1" l="1"/>
  <c r="CW498" i="1" l="1"/>
  <c r="AS43" i="24" s="1"/>
  <c r="CY661" i="1" l="1"/>
  <c r="CX498" i="1" l="1"/>
  <c r="AT43" i="24" s="1"/>
  <c r="AJ136" i="1" l="1"/>
  <c r="CY498" i="1" l="1"/>
  <c r="AU43" i="24" s="1"/>
  <c r="AJ141" i="1"/>
  <c r="AJ143" i="1" s="1"/>
  <c r="M22" i="7" l="1"/>
  <c r="C47" i="2"/>
  <c r="AY498" i="1"/>
  <c r="CS633" i="1"/>
  <c r="T43" i="24" l="1"/>
  <c r="I47" i="2"/>
  <c r="J47" i="2"/>
  <c r="CZ498" i="1"/>
  <c r="AV43" i="24" s="1"/>
  <c r="U43" i="24" l="1"/>
  <c r="D47" i="2"/>
  <c r="N22" i="7"/>
  <c r="BA498" i="1"/>
  <c r="K47" i="2" s="1"/>
  <c r="V43" i="24" l="1"/>
  <c r="BB498" i="1"/>
  <c r="L47" i="2" s="1"/>
  <c r="DA498" i="1"/>
  <c r="CS141" i="1"/>
  <c r="CS143" i="1" s="1"/>
  <c r="CS652" i="1"/>
  <c r="I59" i="17" s="1"/>
  <c r="CS634" i="1"/>
  <c r="CS635" i="1" s="1"/>
  <c r="AW43" i="24" l="1"/>
  <c r="W43" i="24"/>
  <c r="E47" i="2"/>
  <c r="O22" i="7"/>
  <c r="BC498" i="1"/>
  <c r="CS738" i="1"/>
  <c r="BD498" i="1" l="1"/>
  <c r="X43" i="24"/>
  <c r="DB498" i="1"/>
  <c r="BE498" i="1"/>
  <c r="CS764" i="1"/>
  <c r="AX43" i="24" l="1"/>
  <c r="BF498" i="1"/>
  <c r="Z43" i="24"/>
  <c r="Y43" i="24"/>
  <c r="P22" i="7"/>
  <c r="F47" i="2"/>
  <c r="DC498" i="1"/>
  <c r="BG498" i="1"/>
  <c r="CS526" i="1"/>
  <c r="BH498" i="1" l="1"/>
  <c r="AB43" i="24"/>
  <c r="AY43" i="24"/>
  <c r="AA43" i="24"/>
  <c r="G47" i="2"/>
  <c r="Q22" i="7"/>
  <c r="DD498" i="1"/>
  <c r="BI498" i="1"/>
  <c r="CS675" i="1"/>
  <c r="CS621" i="1"/>
  <c r="BJ498" i="1" l="1"/>
  <c r="AD43" i="24"/>
  <c r="AZ43" i="24"/>
  <c r="AC43" i="24"/>
  <c r="DE498" i="1"/>
  <c r="AJ146" i="1"/>
  <c r="AJ145" i="1"/>
  <c r="BA43" i="24" l="1"/>
  <c r="BK498" i="1"/>
  <c r="AE43" i="24"/>
  <c r="CS611" i="1"/>
  <c r="CS146" i="1" s="1"/>
  <c r="CS610" i="1"/>
  <c r="CS612" i="1"/>
  <c r="CS147" i="1" s="1"/>
  <c r="BL498" i="1" l="1"/>
  <c r="AF43" i="24"/>
  <c r="DF498" i="1"/>
  <c r="CS614" i="1"/>
  <c r="CS625" i="1"/>
  <c r="CS145" i="1"/>
  <c r="CS613" i="1"/>
  <c r="AO62" i="24" s="1"/>
  <c r="BB43" i="24" l="1"/>
  <c r="AG43" i="24"/>
  <c r="BM498" i="1"/>
  <c r="DG498" i="1" s="1"/>
  <c r="I32" i="17"/>
  <c r="I33" i="17" s="1"/>
  <c r="BC43" i="24" l="1"/>
  <c r="AH43" i="24"/>
  <c r="BN498" i="1"/>
  <c r="CS598" i="1"/>
  <c r="CS471" i="1"/>
  <c r="AI43" i="24" l="1"/>
  <c r="BO498" i="1"/>
  <c r="DH498" i="1" s="1"/>
  <c r="CS472" i="1"/>
  <c r="AO35" i="24" l="1"/>
  <c r="AO36" i="24" s="1"/>
  <c r="BD43" i="24"/>
  <c r="BP498" i="1"/>
  <c r="AJ43" i="24"/>
  <c r="CS118" i="1"/>
  <c r="CS117" i="1"/>
  <c r="CS811" i="1"/>
  <c r="CS810" i="1"/>
  <c r="CS465" i="1"/>
  <c r="CS478" i="1"/>
  <c r="CS480" i="1" s="1"/>
  <c r="AK43" i="24" l="1"/>
  <c r="BQ498" i="1"/>
  <c r="DI498" i="1" l="1"/>
  <c r="AL43" i="24"/>
  <c r="AL257" i="9"/>
  <c r="AL256" i="9"/>
  <c r="AL258" i="9"/>
  <c r="AK237" i="9"/>
  <c r="AL259" i="9"/>
  <c r="BE43" i="24" l="1"/>
  <c r="AK244" i="9"/>
  <c r="AN244" i="9" s="1"/>
  <c r="AP244" i="9" s="1"/>
  <c r="AQ244" i="9" s="1"/>
  <c r="AS244" i="9" s="1"/>
  <c r="AT244" i="9" s="1"/>
  <c r="AV244" i="9" s="1"/>
  <c r="AW244" i="9" s="1"/>
  <c r="AY244" i="9" s="1"/>
  <c r="AZ244" i="9" s="1"/>
  <c r="BB244" i="9" s="1"/>
  <c r="BC244" i="9" s="1"/>
  <c r="BE244" i="9" s="1"/>
  <c r="AK240" i="9"/>
  <c r="AN240" i="9" s="1"/>
  <c r="AP240" i="9" s="1"/>
  <c r="AQ240" i="9" s="1"/>
  <c r="AS240" i="9" s="1"/>
  <c r="AT240" i="9" s="1"/>
  <c r="AV240" i="9" s="1"/>
  <c r="AW240" i="9" s="1"/>
  <c r="AY240" i="9" s="1"/>
  <c r="AZ240" i="9" s="1"/>
  <c r="BB240" i="9" s="1"/>
  <c r="BC240" i="9" s="1"/>
  <c r="BE240" i="9" s="1"/>
  <c r="AK243" i="9"/>
  <c r="AN243" i="9" s="1"/>
  <c r="AP243" i="9" s="1"/>
  <c r="AQ243" i="9" s="1"/>
  <c r="AS243" i="9" s="1"/>
  <c r="AT243" i="9" s="1"/>
  <c r="AV243" i="9" s="1"/>
  <c r="AW243" i="9" s="1"/>
  <c r="AY243" i="9" s="1"/>
  <c r="AZ243" i="9" s="1"/>
  <c r="BB243" i="9" s="1"/>
  <c r="BC243" i="9" s="1"/>
  <c r="BE243" i="9" s="1"/>
  <c r="AK242" i="9"/>
  <c r="AN242" i="9" s="1"/>
  <c r="AP242" i="9" s="1"/>
  <c r="AQ242" i="9" s="1"/>
  <c r="AS242" i="9" s="1"/>
  <c r="AT242" i="9" s="1"/>
  <c r="AV242" i="9" s="1"/>
  <c r="AW242" i="9" s="1"/>
  <c r="AY242" i="9" s="1"/>
  <c r="AZ242" i="9" s="1"/>
  <c r="BB242" i="9" s="1"/>
  <c r="BC242" i="9" s="1"/>
  <c r="BE242" i="9" s="1"/>
  <c r="AK245" i="9"/>
  <c r="AN245" i="9" s="1"/>
  <c r="AP245" i="9" s="1"/>
  <c r="AQ245" i="9" s="1"/>
  <c r="AS245" i="9" s="1"/>
  <c r="AT245" i="9" s="1"/>
  <c r="AV245" i="9" s="1"/>
  <c r="AW245" i="9" s="1"/>
  <c r="AY245" i="9" s="1"/>
  <c r="AZ245" i="9" s="1"/>
  <c r="BB245" i="9" s="1"/>
  <c r="BC245" i="9" s="1"/>
  <c r="BE245" i="9" s="1"/>
  <c r="AK241" i="9"/>
  <c r="AN241" i="9" s="1"/>
  <c r="AP241" i="9" s="1"/>
  <c r="AQ241" i="9" s="1"/>
  <c r="AS241" i="9" s="1"/>
  <c r="AT241" i="9" s="1"/>
  <c r="AV241" i="9" s="1"/>
  <c r="AW241" i="9" s="1"/>
  <c r="AY241" i="9" s="1"/>
  <c r="AZ241" i="9" s="1"/>
  <c r="BB241" i="9" s="1"/>
  <c r="BC241" i="9" s="1"/>
  <c r="BE241" i="9" s="1"/>
  <c r="CS400" i="1" l="1"/>
  <c r="CS502" i="1" l="1"/>
  <c r="CS412" i="1"/>
  <c r="CS424" i="1" s="1"/>
  <c r="CS459" i="1" s="1"/>
  <c r="CS488" i="1" s="1"/>
  <c r="CS406" i="1"/>
  <c r="AO15" i="24" l="1"/>
  <c r="CS576" i="1"/>
  <c r="CS408" i="1"/>
  <c r="AO17" i="24" s="1"/>
  <c r="AN258" i="9"/>
  <c r="AN257" i="9"/>
  <c r="AN256" i="9"/>
  <c r="CS393" i="1" l="1"/>
  <c r="CS414" i="1"/>
  <c r="CS626" i="1"/>
  <c r="CS585" i="1"/>
  <c r="CS152" i="1"/>
  <c r="CS416" i="1" l="1"/>
  <c r="CS376" i="1"/>
  <c r="CS318" i="1" s="1"/>
  <c r="CS306" i="1" l="1"/>
  <c r="CS311" i="1"/>
  <c r="CS301" i="1"/>
  <c r="CS359" i="1" s="1"/>
  <c r="CS304" i="1"/>
  <c r="CS309" i="1"/>
  <c r="AJ309" i="1" s="1"/>
  <c r="CS299" i="1"/>
  <c r="AJ299" i="1" s="1"/>
  <c r="CS367" i="1" l="1"/>
  <c r="AJ367" i="1"/>
  <c r="CS362" i="1"/>
  <c r="AJ304" i="1"/>
  <c r="AJ362" i="1" s="1"/>
  <c r="CS357" i="1"/>
  <c r="CS358" i="1" s="1"/>
  <c r="CS300" i="1" s="1"/>
  <c r="CS364" i="1"/>
  <c r="CS76" i="1"/>
  <c r="CS369" i="1"/>
  <c r="CS78" i="1"/>
  <c r="CS80" i="1"/>
  <c r="CS368" i="1" l="1"/>
  <c r="CS310" i="1" s="1"/>
  <c r="CS363" i="1"/>
  <c r="AK367" i="1"/>
  <c r="AJ368" i="1"/>
  <c r="AK362" i="1"/>
  <c r="AJ363" i="1"/>
  <c r="AJ72" i="1"/>
  <c r="AJ357" i="1"/>
  <c r="AJ314" i="1"/>
  <c r="CS72" i="1"/>
  <c r="AO257" i="9"/>
  <c r="AO256" i="9"/>
  <c r="AO258" i="9"/>
  <c r="AK309" i="1" l="1"/>
  <c r="AK363" i="1"/>
  <c r="AK305" i="1" s="1"/>
  <c r="AJ305" i="1"/>
  <c r="AK304" i="1"/>
  <c r="AK368" i="1"/>
  <c r="AK310" i="1" s="1"/>
  <c r="AJ310" i="1"/>
  <c r="AJ358" i="1"/>
  <c r="AK357" i="1"/>
  <c r="AJ372" i="1"/>
  <c r="AK364" i="1" l="1"/>
  <c r="AK306" i="1" s="1"/>
  <c r="AK76" i="1" s="1"/>
  <c r="AK369" i="1"/>
  <c r="AK311" i="1" s="1"/>
  <c r="AK78" i="1" s="1"/>
  <c r="AK299" i="1"/>
  <c r="AJ300" i="1"/>
  <c r="AK358" i="1"/>
  <c r="AK359" i="1" s="1"/>
  <c r="AK301" i="1" s="1"/>
  <c r="AK74" i="1" l="1"/>
  <c r="AK316" i="1"/>
  <c r="AK374" i="1" s="1"/>
  <c r="AJ315" i="1"/>
  <c r="AJ373" i="1" s="1"/>
  <c r="AJ73" i="1"/>
  <c r="AK72" i="1"/>
  <c r="AK314" i="1"/>
  <c r="AK372" i="1" s="1"/>
  <c r="CS372" i="1" s="1"/>
  <c r="CS314" i="1" s="1"/>
  <c r="CT400" i="1" l="1"/>
  <c r="AM152" i="1"/>
  <c r="BA576" i="1" l="1"/>
  <c r="BB576" i="1" s="1"/>
  <c r="BC576" i="1" s="1"/>
  <c r="BD576" i="1" s="1"/>
  <c r="BE576" i="1" s="1"/>
  <c r="CT626" i="1"/>
  <c r="CT576" i="1"/>
  <c r="CT152" i="1" s="1"/>
  <c r="BS626" i="1" l="1"/>
  <c r="BF576" i="1"/>
  <c r="BG576" i="1" l="1"/>
  <c r="BF626" i="1"/>
  <c r="CU626" i="1"/>
  <c r="CU576" i="1"/>
  <c r="DD576" i="1" l="1"/>
  <c r="BH576" i="1"/>
  <c r="BG626" i="1"/>
  <c r="DD626" i="1" s="1"/>
  <c r="BI576" i="1" l="1"/>
  <c r="BH626" i="1"/>
  <c r="BH152" i="1"/>
  <c r="CV576" i="1"/>
  <c r="CV626" i="1"/>
  <c r="DE576" i="1" l="1"/>
  <c r="DE152" i="1" s="1"/>
  <c r="BJ576" i="1"/>
  <c r="BI626" i="1"/>
  <c r="BI152" i="1"/>
  <c r="BK576" i="1" l="1"/>
  <c r="BL576" i="1" s="1"/>
  <c r="DE626" i="1"/>
  <c r="CW626" i="1"/>
  <c r="CW576" i="1"/>
  <c r="BM576" i="1" l="1"/>
  <c r="BN576" i="1" s="1"/>
  <c r="DF576" i="1"/>
  <c r="BO576" i="1" l="1"/>
  <c r="DG576" i="1"/>
  <c r="CX626" i="1"/>
  <c r="CX576" i="1"/>
  <c r="DH576" i="1" l="1"/>
  <c r="BP576" i="1"/>
  <c r="BQ576" i="1" l="1"/>
  <c r="DI576" i="1" s="1"/>
  <c r="CY576" i="1"/>
  <c r="CY626" i="1"/>
  <c r="CZ576" i="1" l="1"/>
  <c r="AY626" i="1"/>
  <c r="CZ626" i="1" s="1"/>
  <c r="AZ626" i="1" l="1"/>
  <c r="BA626" i="1" l="1"/>
  <c r="DA626" i="1" s="1"/>
  <c r="DA576" i="1"/>
  <c r="BB626" i="1" l="1"/>
  <c r="BC626" i="1" l="1"/>
  <c r="DB626" i="1" s="1"/>
  <c r="DB576" i="1"/>
  <c r="DC576" i="1" l="1"/>
  <c r="BD626" i="1"/>
  <c r="BE626" i="1"/>
  <c r="DC626" i="1" l="1"/>
  <c r="CS349" i="1" l="1"/>
  <c r="CS352" i="1"/>
  <c r="CS334" i="1"/>
  <c r="CS276" i="1" s="1"/>
  <c r="CS71" i="1" s="1"/>
  <c r="CS354" i="1"/>
  <c r="CS296" i="1" s="1"/>
  <c r="CS321" i="1" l="1"/>
  <c r="CS291" i="1"/>
  <c r="CS294" i="1" s="1"/>
  <c r="CS374" i="1"/>
  <c r="CS316" i="1" s="1"/>
  <c r="CS74" i="1"/>
  <c r="CS73" i="1"/>
  <c r="AK300" i="1"/>
  <c r="CS387" i="1"/>
  <c r="CS389" i="1" s="1"/>
  <c r="AK381" i="1"/>
  <c r="F8" i="24" l="1"/>
  <c r="CS295" i="1"/>
  <c r="AK99" i="1"/>
  <c r="AK515" i="1"/>
  <c r="AK419" i="1"/>
  <c r="AK327" i="1"/>
  <c r="AK315" i="1"/>
  <c r="AK373" i="1" s="1"/>
  <c r="CS373" i="1" s="1"/>
  <c r="CS315" i="1" s="1"/>
  <c r="AK73" i="1"/>
  <c r="CS381" i="1"/>
  <c r="AK319" i="1"/>
  <c r="AO8" i="24" l="1"/>
  <c r="AO9" i="24" s="1"/>
  <c r="F44" i="24"/>
  <c r="F47" i="24" s="1"/>
  <c r="AK794" i="1"/>
  <c r="AK793" i="1"/>
  <c r="F71" i="24" s="1"/>
  <c r="AK792" i="1"/>
  <c r="AK454" i="1"/>
  <c r="AK426" i="1"/>
  <c r="AK521" i="1"/>
  <c r="AK730" i="1"/>
  <c r="AK620" i="1"/>
  <c r="AK525" i="1"/>
  <c r="AK740" i="1"/>
  <c r="AK766" i="1" s="1"/>
  <c r="AK732" i="1"/>
  <c r="F55" i="24" s="1"/>
  <c r="AK741" i="1"/>
  <c r="AK767" i="1" s="1"/>
  <c r="AK788" i="1"/>
  <c r="F72" i="24" s="1"/>
  <c r="AK783" i="1"/>
  <c r="F73" i="24" s="1"/>
  <c r="AK787" i="1"/>
  <c r="AK789" i="1"/>
  <c r="AK785" i="1"/>
  <c r="CS440" i="1"/>
  <c r="AK322" i="1"/>
  <c r="AK323" i="1" s="1"/>
  <c r="AK317" i="1"/>
  <c r="AK79" i="1" s="1"/>
  <c r="CS327" i="1"/>
  <c r="CS419" i="1"/>
  <c r="F74" i="24" l="1"/>
  <c r="AK428" i="1"/>
  <c r="F19" i="24"/>
  <c r="F51" i="24"/>
  <c r="F50" i="24" s="1"/>
  <c r="AK81" i="1"/>
  <c r="F70" i="24"/>
  <c r="F54" i="24"/>
  <c r="AK734" i="1"/>
  <c r="AK483" i="1"/>
  <c r="AK461" i="1"/>
  <c r="AK729" i="1"/>
  <c r="AK758" i="1" s="1"/>
  <c r="AK728" i="1"/>
  <c r="AK782" i="1"/>
  <c r="AK733" i="1"/>
  <c r="AK760" i="1"/>
  <c r="AK731" i="1"/>
  <c r="AK840" i="1"/>
  <c r="AK838" i="1"/>
  <c r="AK759" i="1"/>
  <c r="CS792" i="1"/>
  <c r="CS426" i="1"/>
  <c r="AK380" i="1"/>
  <c r="F7" i="24" s="1"/>
  <c r="AK375" i="1"/>
  <c r="AL434" i="1"/>
  <c r="AK269" i="1"/>
  <c r="AK325" i="1"/>
  <c r="CS441" i="1"/>
  <c r="AO26" i="24" s="1"/>
  <c r="AK463" i="1" l="1"/>
  <c r="F32" i="24"/>
  <c r="AK757" i="1"/>
  <c r="CS428" i="1"/>
  <c r="AO19" i="24"/>
  <c r="AO20" i="24" s="1"/>
  <c r="AK761" i="1"/>
  <c r="AL791" i="1"/>
  <c r="AL440" i="1"/>
  <c r="AM96" i="1" s="1"/>
  <c r="AK129" i="1"/>
  <c r="AK490" i="1"/>
  <c r="AK841" i="1"/>
  <c r="CS443" i="1"/>
  <c r="CS375" i="1"/>
  <c r="CS317" i="1" s="1"/>
  <c r="CS79" i="1" s="1"/>
  <c r="AK377" i="1"/>
  <c r="CS380" i="1"/>
  <c r="AO7" i="24" s="1"/>
  <c r="AO28" i="24" l="1"/>
  <c r="AK493" i="1"/>
  <c r="F38" i="24"/>
  <c r="F41" i="24" s="1"/>
  <c r="CS377" i="1"/>
  <c r="AK391" i="1"/>
  <c r="CS449" i="1"/>
  <c r="CS99" i="1"/>
  <c r="CS98" i="1"/>
  <c r="CS430" i="1"/>
  <c r="CS791" i="1"/>
  <c r="CS454" i="1"/>
  <c r="CS451" i="1" l="1"/>
  <c r="AO30" i="24"/>
  <c r="CS734" i="1"/>
  <c r="CS461" i="1"/>
  <c r="CS483" i="1"/>
  <c r="CS793" i="1"/>
  <c r="AO71" i="24" s="1"/>
  <c r="CS794" i="1"/>
  <c r="CS319" i="1"/>
  <c r="CS322" i="1" s="1"/>
  <c r="CS323" i="1" s="1"/>
  <c r="AO70" i="24" s="1"/>
  <c r="CS391" i="1"/>
  <c r="CS463" i="1" l="1"/>
  <c r="AO32" i="24"/>
  <c r="AO33" i="24" s="1"/>
  <c r="CS269" i="1"/>
  <c r="CS325" i="1"/>
  <c r="CS81" i="1"/>
  <c r="CS490" i="1"/>
  <c r="CS761" i="1"/>
  <c r="CS497" i="1"/>
  <c r="AO40" i="24" s="1"/>
  <c r="CS493" i="1" l="1"/>
  <c r="AO38" i="24"/>
  <c r="CS500" i="1"/>
  <c r="CS130" i="1"/>
  <c r="CS129" i="1"/>
  <c r="AO41" i="24" l="1"/>
  <c r="CS495" i="1"/>
  <c r="CS515" i="1"/>
  <c r="AK513" i="1"/>
  <c r="AK510" i="1"/>
  <c r="CS506" i="1"/>
  <c r="CS509" i="1" s="1"/>
  <c r="AO44" i="24" l="1"/>
  <c r="AO47" i="24" s="1"/>
  <c r="AO48" i="24" s="1"/>
  <c r="CS525" i="1"/>
  <c r="CS521" i="1"/>
  <c r="CS789" i="1"/>
  <c r="CS787" i="1"/>
  <c r="CS788" i="1"/>
  <c r="AO72" i="24" s="1"/>
  <c r="CS741" i="1"/>
  <c r="CS767" i="1" s="1"/>
  <c r="CS730" i="1"/>
  <c r="CS732" i="1"/>
  <c r="AO55" i="24" s="1"/>
  <c r="CS740" i="1"/>
  <c r="CS766" i="1" s="1"/>
  <c r="CS513" i="1"/>
  <c r="I18" i="17" s="1"/>
  <c r="CS620" i="1"/>
  <c r="AO51" i="24" l="1"/>
  <c r="AO50" i="24" s="1"/>
  <c r="AO54" i="24"/>
  <c r="I16" i="17"/>
  <c r="I19" i="17"/>
  <c r="I21" i="17"/>
  <c r="CS729" i="1"/>
  <c r="CS728" i="1"/>
  <c r="CS760" i="1"/>
  <c r="CS733" i="1"/>
  <c r="CS510" i="1"/>
  <c r="CS759" i="1"/>
  <c r="CS731" i="1"/>
  <c r="CS840" i="1"/>
  <c r="CS838" i="1"/>
  <c r="CS676" i="1"/>
  <c r="CS757" i="1" l="1"/>
  <c r="CS758" i="1"/>
  <c r="CS671" i="1" l="1"/>
  <c r="CS785" i="1"/>
  <c r="CS783" i="1"/>
  <c r="AO73" i="24" s="1"/>
  <c r="AO74" i="24" s="1"/>
  <c r="CS782" i="1"/>
  <c r="CS673" i="1"/>
  <c r="CS567" i="1" l="1"/>
  <c r="CS589" i="1"/>
  <c r="CS672" i="1"/>
  <c r="CS841" i="1"/>
  <c r="CS599" i="1" l="1"/>
  <c r="CS604" i="1" s="1"/>
  <c r="AK819" i="1" l="1"/>
  <c r="AK823" i="1"/>
  <c r="AK818" i="1"/>
  <c r="AK817" i="1"/>
  <c r="AK827" i="1"/>
  <c r="AK820" i="1"/>
  <c r="AK825" i="1"/>
  <c r="AK826" i="1"/>
  <c r="AK821" i="1"/>
  <c r="CS121" i="1"/>
  <c r="CS120" i="1"/>
  <c r="AK814" i="1"/>
  <c r="CS124" i="1"/>
  <c r="CS125" i="1"/>
  <c r="AK822" i="1"/>
  <c r="AK816" i="1"/>
  <c r="AK824" i="1"/>
  <c r="AK813" i="1"/>
  <c r="AK812" i="1"/>
  <c r="AK815" i="1"/>
  <c r="AK116" i="1"/>
  <c r="AK667" i="1"/>
  <c r="AK114" i="1"/>
  <c r="AK115" i="1"/>
  <c r="CS818" i="1" l="1"/>
  <c r="CS812" i="1"/>
  <c r="CS667" i="1"/>
  <c r="CS823" i="1"/>
  <c r="CS115" i="1"/>
  <c r="CS815" i="1"/>
  <c r="CS814" i="1"/>
  <c r="CS820" i="1"/>
  <c r="CS116" i="1"/>
  <c r="CS825" i="1"/>
  <c r="CS827" i="1"/>
  <c r="CS822" i="1"/>
  <c r="CS826" i="1"/>
  <c r="CS816" i="1"/>
  <c r="CS824" i="1"/>
  <c r="CS819" i="1"/>
  <c r="CS821" i="1"/>
  <c r="CS813" i="1"/>
  <c r="CS817" i="1"/>
  <c r="CS122" i="1"/>
  <c r="CS114" i="1"/>
  <c r="CT725" i="1" l="1"/>
  <c r="CS137" i="1" l="1"/>
  <c r="AK839" i="1"/>
  <c r="CS839" i="1" l="1"/>
  <c r="CX415" i="1" l="1"/>
  <c r="CX427" i="1" s="1"/>
  <c r="CX450" i="1" l="1"/>
  <c r="CX462" i="1" s="1"/>
  <c r="CX491" i="1" s="1"/>
  <c r="CX507" i="1" l="1"/>
  <c r="CY415" i="1" l="1"/>
  <c r="CY427" i="1" s="1"/>
  <c r="CY507" i="1" l="1"/>
  <c r="CY450" i="1" l="1"/>
  <c r="CY462" i="1" s="1"/>
  <c r="CY491" i="1" s="1"/>
  <c r="AY427" i="1"/>
  <c r="AY462" i="1" s="1"/>
  <c r="CZ415" i="1"/>
  <c r="CZ427" i="1" s="1"/>
  <c r="AZ427" i="1" l="1"/>
  <c r="AY491" i="1"/>
  <c r="CZ450" i="1" l="1"/>
  <c r="CZ462" i="1" s="1"/>
  <c r="CZ491" i="1" s="1"/>
  <c r="BA427" i="1"/>
  <c r="CZ507" i="1"/>
  <c r="AZ462" i="1"/>
  <c r="AZ491" i="1" s="1"/>
  <c r="DA415" i="1"/>
  <c r="DA427" i="1" s="1"/>
  <c r="BB427" i="1" l="1"/>
  <c r="BC427" i="1" l="1"/>
  <c r="DB450" i="1"/>
  <c r="BB462" i="1"/>
  <c r="BB491" i="1" s="1"/>
  <c r="BB507" i="1" s="1"/>
  <c r="BA462" i="1"/>
  <c r="BA491" i="1" s="1"/>
  <c r="BA507" i="1" s="1"/>
  <c r="DA507" i="1" s="1"/>
  <c r="DB415" i="1"/>
  <c r="DB427" i="1" s="1"/>
  <c r="DA450" i="1"/>
  <c r="DA462" i="1" s="1"/>
  <c r="DA491" i="1" s="1"/>
  <c r="DB462" i="1" l="1"/>
  <c r="DB491" i="1" s="1"/>
  <c r="BE427" i="1"/>
  <c r="BD427" i="1"/>
  <c r="BC462" i="1"/>
  <c r="BC491" i="1" s="1"/>
  <c r="BC507" i="1" s="1"/>
  <c r="DB507" i="1" s="1"/>
  <c r="DC415" i="1" l="1"/>
  <c r="DC427" i="1" s="1"/>
  <c r="BE462" i="1" l="1"/>
  <c r="BE491" i="1" s="1"/>
  <c r="BE507" i="1" s="1"/>
  <c r="BD462" i="1"/>
  <c r="BD491" i="1" s="1"/>
  <c r="BD507" i="1" s="1"/>
  <c r="DC507" i="1" l="1"/>
  <c r="DC450" i="1"/>
  <c r="DC462" i="1" s="1"/>
  <c r="DC491" i="1" s="1"/>
  <c r="AK136" i="1"/>
  <c r="CS131" i="1"/>
  <c r="AK141" i="1"/>
  <c r="AK143" i="1" s="1"/>
  <c r="CS136" i="1"/>
  <c r="AK680" i="1"/>
  <c r="CS680" i="1" l="1"/>
  <c r="AK139" i="1" l="1"/>
  <c r="CS139" i="1" l="1"/>
  <c r="AL381" i="1" l="1"/>
  <c r="G8" i="24" l="1"/>
  <c r="AL327" i="1"/>
  <c r="AL419" i="1"/>
  <c r="AL99" i="1"/>
  <c r="AL515" i="1"/>
  <c r="AL319" i="1"/>
  <c r="AL523" i="1" l="1"/>
  <c r="AL623" i="1" s="1"/>
  <c r="G44" i="24"/>
  <c r="G47" i="24" s="1"/>
  <c r="AL454" i="1"/>
  <c r="AL426" i="1"/>
  <c r="AL792" i="1"/>
  <c r="AL788" i="1"/>
  <c r="AL732" i="1"/>
  <c r="AL787" i="1"/>
  <c r="AL783" i="1"/>
  <c r="AL741" i="1"/>
  <c r="AL767" i="1" s="1"/>
  <c r="AL740" i="1"/>
  <c r="AL766" i="1" s="1"/>
  <c r="AL730" i="1"/>
  <c r="AL789" i="1"/>
  <c r="AL785" i="1"/>
  <c r="AL136" i="1"/>
  <c r="AL620" i="1"/>
  <c r="AL513" i="1"/>
  <c r="AL521" i="1"/>
  <c r="AL317" i="1"/>
  <c r="AL79" i="1" s="1"/>
  <c r="AL322" i="1"/>
  <c r="AL323" i="1" s="1"/>
  <c r="G70" i="24" s="1"/>
  <c r="AL525" i="1" l="1"/>
  <c r="AL729" i="1" s="1"/>
  <c r="AL758" i="1" s="1"/>
  <c r="CT523" i="1"/>
  <c r="AM731" i="1"/>
  <c r="G54" i="24"/>
  <c r="G72" i="24"/>
  <c r="G73" i="24"/>
  <c r="AM733" i="1"/>
  <c r="G55" i="24"/>
  <c r="G51" i="24"/>
  <c r="G50" i="24" s="1"/>
  <c r="AL428" i="1"/>
  <c r="G19" i="24"/>
  <c r="N27" i="7"/>
  <c r="M27" i="7"/>
  <c r="AL81" i="1"/>
  <c r="AL269" i="1"/>
  <c r="AL728" i="1"/>
  <c r="AL782" i="1"/>
  <c r="AL483" i="1"/>
  <c r="AL734" i="1"/>
  <c r="AL461" i="1"/>
  <c r="AL759" i="1"/>
  <c r="AL731" i="1"/>
  <c r="AL840" i="1"/>
  <c r="AL838" i="1"/>
  <c r="AL733" i="1"/>
  <c r="AL760" i="1"/>
  <c r="AL325" i="1"/>
  <c r="AL380" i="1"/>
  <c r="G7" i="24" s="1"/>
  <c r="AL375" i="1"/>
  <c r="CT623" i="1" l="1"/>
  <c r="AL757" i="1"/>
  <c r="AL463" i="1"/>
  <c r="G32" i="24"/>
  <c r="G74" i="24"/>
  <c r="AL841" i="1"/>
  <c r="AL761" i="1"/>
  <c r="AL129" i="1"/>
  <c r="AL490" i="1"/>
  <c r="AL377" i="1"/>
  <c r="AL391" i="1" s="1"/>
  <c r="AL430" i="1"/>
  <c r="AM794" i="1" s="1"/>
  <c r="CT102" i="1"/>
  <c r="CT96" i="1" s="1"/>
  <c r="AL493" i="1" l="1"/>
  <c r="AL510" i="1" s="1"/>
  <c r="G38" i="24"/>
  <c r="G41" i="24" s="1"/>
  <c r="AL793" i="1"/>
  <c r="AL794" i="1"/>
  <c r="CT106" i="1"/>
  <c r="CT103" i="1"/>
  <c r="G71" i="24" l="1"/>
  <c r="CT97" i="1"/>
  <c r="CU101" i="1"/>
  <c r="CT790" i="1"/>
  <c r="CT434" i="1"/>
  <c r="CT572" i="1"/>
  <c r="CT627" i="1"/>
  <c r="CT535" i="1" l="1"/>
  <c r="CT139" i="1"/>
  <c r="CT633" i="1" l="1"/>
  <c r="AL143" i="1" l="1"/>
  <c r="AM143" i="1" s="1"/>
  <c r="AN143" i="1" s="1"/>
  <c r="AO143" i="1" l="1"/>
  <c r="AP143" i="1" s="1"/>
  <c r="AQ143" i="1" s="1"/>
  <c r="CT589" i="1" l="1"/>
  <c r="CT567" i="1"/>
  <c r="CT599" i="1" l="1"/>
  <c r="CU567" i="1" l="1"/>
  <c r="CU589" i="1"/>
  <c r="CU599" i="1" l="1"/>
  <c r="CV589" i="1" l="1"/>
  <c r="CV567" i="1"/>
  <c r="CV599" i="1" l="1"/>
  <c r="CW589" i="1" l="1"/>
  <c r="CW567" i="1"/>
  <c r="CW599" i="1" l="1"/>
  <c r="CX567" i="1" l="1"/>
  <c r="CX589" i="1"/>
  <c r="CX599" i="1" l="1"/>
  <c r="AL696" i="1" l="1"/>
  <c r="CY567" i="1" l="1"/>
  <c r="CY589" i="1"/>
  <c r="CY599" i="1" l="1"/>
  <c r="AY589" i="1" l="1"/>
  <c r="CZ589" i="1" s="1"/>
  <c r="CZ567" i="1"/>
  <c r="CZ599" i="1" l="1"/>
  <c r="DA567" i="1" l="1"/>
  <c r="BA589" i="1"/>
  <c r="DA589" i="1" s="1"/>
  <c r="DA599" i="1" l="1"/>
  <c r="BB589" i="1" l="1"/>
  <c r="BC589" i="1" l="1"/>
  <c r="DB589" i="1" s="1"/>
  <c r="DB567" i="1"/>
  <c r="DB599" i="1" l="1"/>
  <c r="BD589" i="1" l="1"/>
  <c r="BE589" i="1" l="1"/>
  <c r="DC589" i="1" s="1"/>
  <c r="DC567" i="1"/>
  <c r="DC599" i="1" l="1"/>
  <c r="CS305" i="1" l="1"/>
  <c r="AI305" i="1"/>
  <c r="AI306" i="1"/>
  <c r="AI76" i="1" s="1"/>
  <c r="AI311" i="1"/>
  <c r="AI78" i="1" s="1"/>
  <c r="AI310" i="1"/>
  <c r="AI304" i="1"/>
  <c r="AI299" i="1"/>
  <c r="AI72" i="1" s="1"/>
  <c r="AI300" i="1"/>
  <c r="AI73" i="1" s="1"/>
  <c r="AI301" i="1"/>
  <c r="AI316" i="1" l="1"/>
  <c r="AI317" i="1" s="1"/>
  <c r="AI74" i="1"/>
  <c r="AI315" i="1"/>
  <c r="AI373" i="1" s="1"/>
  <c r="CR373" i="1" s="1"/>
  <c r="CR315" i="1" s="1"/>
  <c r="AI314" i="1"/>
  <c r="AI372" i="1" s="1"/>
  <c r="CR372" i="1" s="1"/>
  <c r="CR314" i="1" s="1"/>
  <c r="AI374" i="1" l="1"/>
  <c r="CR374" i="1" s="1"/>
  <c r="CR316" i="1" s="1"/>
  <c r="AI79" i="1"/>
  <c r="AI375" i="1"/>
  <c r="CR375" i="1" s="1"/>
  <c r="CR317" i="1" s="1"/>
  <c r="CR79" i="1" s="1"/>
  <c r="AI380" i="1"/>
  <c r="D7" i="24" s="1"/>
  <c r="AI377" i="1" l="1"/>
  <c r="AI391" i="1" s="1"/>
  <c r="CR380" i="1"/>
  <c r="AN7" i="24" s="1"/>
  <c r="CR377" i="1" l="1"/>
  <c r="CR319" i="1" s="1"/>
  <c r="CR322" i="1" s="1"/>
  <c r="CR323" i="1" s="1"/>
  <c r="AN70" i="24" s="1"/>
  <c r="CR391" i="1" l="1"/>
  <c r="CR81" i="1"/>
  <c r="CR325" i="1"/>
  <c r="CR269" i="1"/>
  <c r="AG78" i="1" l="1"/>
  <c r="AG72" i="1"/>
  <c r="AG76" i="1"/>
  <c r="AF72" i="1"/>
  <c r="AG74" i="1"/>
  <c r="AG314" i="1"/>
  <c r="AG357" i="1"/>
  <c r="AF314" i="1"/>
  <c r="AG367" i="1"/>
  <c r="AG369" i="1"/>
  <c r="CQ369" i="1" s="1"/>
  <c r="CQ311" i="1" s="1"/>
  <c r="CQ78" i="1" s="1"/>
  <c r="AG362" i="1"/>
  <c r="AG364" i="1"/>
  <c r="AF357" i="1"/>
  <c r="AF358" i="1" s="1"/>
  <c r="AF367" i="1"/>
  <c r="AF368" i="1" s="1"/>
  <c r="AF310" i="1" s="1"/>
  <c r="AG359" i="1"/>
  <c r="CQ359" i="1" s="1"/>
  <c r="CQ301" i="1" s="1"/>
  <c r="CQ74" i="1" s="1"/>
  <c r="AG316" i="1"/>
  <c r="AG317" i="1" s="1"/>
  <c r="AG375" i="1" s="1"/>
  <c r="CQ375" i="1" s="1"/>
  <c r="CQ317" i="1" s="1"/>
  <c r="CQ79" i="1" s="1"/>
  <c r="AF362" i="1"/>
  <c r="CQ367" i="1" l="1"/>
  <c r="CQ309" i="1" s="1"/>
  <c r="AG363" i="1"/>
  <c r="AG305" i="1" s="1"/>
  <c r="AG372" i="1"/>
  <c r="CQ362" i="1"/>
  <c r="CQ304" i="1" s="1"/>
  <c r="AF300" i="1"/>
  <c r="AF73" i="1" s="1"/>
  <c r="CQ357" i="1"/>
  <c r="CQ299" i="1" s="1"/>
  <c r="CQ72" i="1" s="1"/>
  <c r="AG358" i="1"/>
  <c r="CQ358" i="1" s="1"/>
  <c r="CQ300" i="1" s="1"/>
  <c r="CQ73" i="1" s="1"/>
  <c r="AF363" i="1"/>
  <c r="AF305" i="1" s="1"/>
  <c r="AG380" i="1"/>
  <c r="CQ380" i="1" s="1"/>
  <c r="CQ364" i="1"/>
  <c r="CQ306" i="1" s="1"/>
  <c r="CQ76" i="1" s="1"/>
  <c r="AF372" i="1"/>
  <c r="AG368" i="1"/>
  <c r="CQ368" i="1" s="1"/>
  <c r="CQ310" i="1" s="1"/>
  <c r="AG374" i="1"/>
  <c r="AG79" i="1"/>
  <c r="CQ372" i="1" l="1"/>
  <c r="CQ314" i="1" s="1"/>
  <c r="CQ363" i="1"/>
  <c r="CQ305" i="1" s="1"/>
  <c r="AF315" i="1"/>
  <c r="AF373" i="1" s="1"/>
  <c r="AG310" i="1"/>
  <c r="AG300" i="1"/>
  <c r="CQ374" i="1"/>
  <c r="CQ316" i="1" s="1"/>
  <c r="AG377" i="1"/>
  <c r="AG315" i="1" l="1"/>
  <c r="AG373" i="1" s="1"/>
  <c r="CQ373" i="1" s="1"/>
  <c r="CQ315" i="1" s="1"/>
  <c r="AG73" i="1"/>
  <c r="CQ377" i="1"/>
  <c r="AG391" i="1"/>
  <c r="CQ391" i="1" l="1"/>
  <c r="CQ319" i="1"/>
  <c r="CQ322" i="1" s="1"/>
  <c r="CQ323" i="1" s="1"/>
  <c r="CQ325" i="1" l="1"/>
  <c r="CQ269" i="1"/>
  <c r="CQ81" i="1"/>
  <c r="CT125" i="1" l="1"/>
  <c r="CT712" i="1"/>
  <c r="CT120" i="1"/>
  <c r="CT679" i="1"/>
  <c r="CT471" i="1"/>
  <c r="CT121" i="1"/>
  <c r="CT124" i="1"/>
  <c r="CT137" i="1"/>
  <c r="AM115" i="1"/>
  <c r="CT839" i="1" l="1"/>
  <c r="CT815" i="1"/>
  <c r="CT115" i="1"/>
  <c r="CT122" i="1"/>
  <c r="CT598" i="1" l="1"/>
  <c r="CT604" i="1" s="1"/>
  <c r="CT181" i="1" l="1"/>
  <c r="CT159" i="1"/>
  <c r="CT177" i="1"/>
  <c r="CT178" i="1"/>
  <c r="AP59" i="24" s="1"/>
  <c r="AP60" i="24" s="1"/>
  <c r="CT165" i="1"/>
  <c r="CT179" i="1"/>
  <c r="CT173" i="1"/>
  <c r="CT171" i="1"/>
  <c r="CT176" i="1"/>
  <c r="CT180" i="1"/>
  <c r="CT157" i="1"/>
  <c r="CT161" i="1"/>
  <c r="CT170" i="1"/>
  <c r="CT167" i="1"/>
  <c r="CT158" i="1"/>
  <c r="CT172" i="1"/>
  <c r="CT166" i="1"/>
  <c r="CT164" i="1"/>
  <c r="CT578" i="1"/>
  <c r="CT585" i="1" s="1"/>
  <c r="CT160" i="1"/>
  <c r="AM53" i="1"/>
  <c r="AM54" i="1"/>
  <c r="AM60" i="1"/>
  <c r="AM114" i="1"/>
  <c r="AM57" i="1"/>
  <c r="CT666" i="1"/>
  <c r="AM52" i="1"/>
  <c r="AM56" i="1"/>
  <c r="AM59" i="1"/>
  <c r="CT56" i="1" l="1"/>
  <c r="CT222" i="1"/>
  <c r="CT216" i="1"/>
  <c r="CT59" i="1"/>
  <c r="CT227" i="1"/>
  <c r="CT217" i="1"/>
  <c r="CT215" i="1"/>
  <c r="CT54" i="1"/>
  <c r="CT218" i="1"/>
  <c r="CT57" i="1"/>
  <c r="CT223" i="1"/>
  <c r="CT60" i="1"/>
  <c r="CT228" i="1"/>
  <c r="CT822" i="1"/>
  <c r="CT669" i="1"/>
  <c r="CT668" i="1"/>
  <c r="CT662" i="1"/>
  <c r="CT350" i="1"/>
  <c r="CT660" i="1"/>
  <c r="J13" i="17" s="1"/>
  <c r="J14" i="17" s="1"/>
  <c r="CT53" i="1"/>
  <c r="CT52" i="1"/>
  <c r="CT114" i="1"/>
  <c r="CT825" i="1"/>
  <c r="CT154" i="1"/>
  <c r="CT819" i="1"/>
  <c r="CT812" i="1"/>
  <c r="CT813" i="1"/>
  <c r="CT816" i="1"/>
  <c r="CT232" i="1" l="1"/>
  <c r="CT233" i="1" s="1"/>
  <c r="CT667" i="1"/>
  <c r="CT663" i="1"/>
  <c r="CT664" i="1"/>
  <c r="CT665" i="1"/>
  <c r="CT677" i="1"/>
  <c r="CT399" i="1" l="1"/>
  <c r="CT502" i="1" l="1"/>
  <c r="CT412" i="1"/>
  <c r="CT424" i="1" s="1"/>
  <c r="CT459" i="1" s="1"/>
  <c r="CT488" i="1" s="1"/>
  <c r="CT353" i="1"/>
  <c r="CT88" i="1"/>
  <c r="CT696" i="1" l="1"/>
  <c r="CT212" i="1"/>
  <c r="CT698" i="1" l="1"/>
  <c r="CT192" i="1" l="1"/>
  <c r="CT199" i="1"/>
  <c r="CT186" i="1"/>
  <c r="CT198" i="1"/>
  <c r="CT187" i="1"/>
  <c r="CT204" i="1"/>
  <c r="AP61" i="24" s="1"/>
  <c r="CT205" i="1"/>
  <c r="CT193" i="1"/>
  <c r="CT203" i="1"/>
  <c r="CT202" i="1"/>
  <c r="CT670" i="1"/>
  <c r="AM61" i="1"/>
  <c r="AM55" i="1"/>
  <c r="AM58" i="1"/>
  <c r="CT795" i="1" l="1"/>
  <c r="CT61" i="1"/>
  <c r="CT55" i="1"/>
  <c r="CT58" i="1"/>
  <c r="CT376" i="1" l="1"/>
  <c r="CT318" i="1" s="1"/>
  <c r="CT301" i="1" s="1"/>
  <c r="AM71" i="1" l="1"/>
  <c r="CT344" i="1"/>
  <c r="CT286" i="1" s="1"/>
  <c r="CT77" i="1" s="1"/>
  <c r="CT339" i="1"/>
  <c r="CT281" i="1" s="1"/>
  <c r="CT75" i="1" s="1"/>
  <c r="AM75" i="1"/>
  <c r="AM77" i="1"/>
  <c r="CT306" i="1" l="1"/>
  <c r="CT364" i="1" s="1"/>
  <c r="CT311" i="1"/>
  <c r="CT369" i="1" s="1"/>
  <c r="CT304" i="1"/>
  <c r="AL304" i="1" s="1"/>
  <c r="AL362" i="1" s="1"/>
  <c r="AL363" i="1" s="1"/>
  <c r="CT299" i="1"/>
  <c r="CT309" i="1"/>
  <c r="AL309" i="1" s="1"/>
  <c r="AL367" i="1" s="1"/>
  <c r="CT359" i="1"/>
  <c r="CT80" i="1"/>
  <c r="CT379" i="1"/>
  <c r="AP6" i="24" l="1"/>
  <c r="AL368" i="1"/>
  <c r="AL310" i="1" s="1"/>
  <c r="CT362" i="1"/>
  <c r="AM362" i="1" s="1"/>
  <c r="CT367" i="1"/>
  <c r="AM367" i="1" s="1"/>
  <c r="CT357" i="1"/>
  <c r="CT358" i="1" s="1"/>
  <c r="AL299" i="1"/>
  <c r="AL357" i="1" s="1"/>
  <c r="AL305" i="1"/>
  <c r="CT363" i="1" l="1"/>
  <c r="CT305" i="1" s="1"/>
  <c r="CT368" i="1"/>
  <c r="CT310" i="1" s="1"/>
  <c r="AL72" i="1"/>
  <c r="AL358" i="1"/>
  <c r="AL300" i="1" s="1"/>
  <c r="AL73" i="1" s="1"/>
  <c r="AL314" i="1"/>
  <c r="AL372" i="1" s="1"/>
  <c r="AM368" i="1" l="1"/>
  <c r="AM369" i="1" s="1"/>
  <c r="AM363" i="1"/>
  <c r="AM364" i="1" s="1"/>
  <c r="AM358" i="1"/>
  <c r="AM300" i="1" s="1"/>
  <c r="AL315" i="1"/>
  <c r="AL373" i="1" s="1"/>
  <c r="CT349" i="1" l="1"/>
  <c r="CT387" i="1"/>
  <c r="CT389" i="1" s="1"/>
  <c r="CT352" i="1"/>
  <c r="CT334" i="1"/>
  <c r="CT276" i="1" s="1"/>
  <c r="CT381" i="1"/>
  <c r="CT354" i="1"/>
  <c r="CT296" i="1" s="1"/>
  <c r="AM319" i="1"/>
  <c r="AM322" i="1" s="1"/>
  <c r="AM323" i="1" s="1"/>
  <c r="H70" i="24" s="1"/>
  <c r="CT327" i="1" l="1"/>
  <c r="AP8" i="24"/>
  <c r="AP9" i="24" s="1"/>
  <c r="AM81" i="1"/>
  <c r="AM325" i="1"/>
  <c r="AM269" i="1"/>
  <c r="CT71" i="1"/>
  <c r="CT291" i="1"/>
  <c r="CT294" i="1" s="1"/>
  <c r="CT321" i="1"/>
  <c r="CT295" i="1" l="1"/>
  <c r="AM305" i="1" l="1"/>
  <c r="AM310" i="1"/>
  <c r="AM309" i="1"/>
  <c r="AM304" i="1"/>
  <c r="CT78" i="1"/>
  <c r="CT76" i="1"/>
  <c r="AM311" i="1"/>
  <c r="AM78" i="1" s="1"/>
  <c r="AM306" i="1"/>
  <c r="AM76" i="1" s="1"/>
  <c r="CT396" i="1" l="1"/>
  <c r="CT397" i="1"/>
  <c r="AP12" i="24" s="1"/>
  <c r="CT406" i="1"/>
  <c r="CT405" i="1"/>
  <c r="AP14" i="24" s="1"/>
  <c r="AM89" i="1"/>
  <c r="CT414" i="1"/>
  <c r="CT395" i="1"/>
  <c r="AP11" i="24" s="1"/>
  <c r="CT710" i="1"/>
  <c r="CT408" i="1"/>
  <c r="AM85" i="1"/>
  <c r="AM86" i="1"/>
  <c r="CT705" i="1"/>
  <c r="AM84" i="1"/>
  <c r="CT416" i="1" l="1"/>
  <c r="AP15" i="24"/>
  <c r="CT393" i="1"/>
  <c r="AP17" i="24"/>
  <c r="CT419" i="1"/>
  <c r="CT440" i="1"/>
  <c r="CT84" i="1"/>
  <c r="CT89" i="1"/>
  <c r="CT85" i="1"/>
  <c r="CT86" i="1"/>
  <c r="CT426" i="1" l="1"/>
  <c r="CT792" i="1"/>
  <c r="CT428" i="1" l="1"/>
  <c r="AP19" i="24"/>
  <c r="AP20" i="24" s="1"/>
  <c r="CT432" i="1"/>
  <c r="CT708" i="1"/>
  <c r="CT93" i="1" l="1"/>
  <c r="AM98" i="1"/>
  <c r="AM99" i="1"/>
  <c r="CT441" i="1"/>
  <c r="AP26" i="24" s="1"/>
  <c r="CT449" i="1"/>
  <c r="CT443" i="1"/>
  <c r="AM93" i="1"/>
  <c r="CT430" i="1" l="1"/>
  <c r="AP28" i="24"/>
  <c r="CT451" i="1"/>
  <c r="AP30" i="24"/>
  <c r="CT793" i="1"/>
  <c r="AP71" i="24" s="1"/>
  <c r="CT794" i="1"/>
  <c r="CT99" i="1"/>
  <c r="CT98" i="1"/>
  <c r="CT454" i="1"/>
  <c r="CT791" i="1"/>
  <c r="CT461" i="1" l="1"/>
  <c r="CT463" i="1" l="1"/>
  <c r="AP32" i="24"/>
  <c r="AP33" i="24" s="1"/>
  <c r="AM113" i="1" l="1"/>
  <c r="AM112" i="1"/>
  <c r="AM117" i="1"/>
  <c r="AM118" i="1"/>
  <c r="CT468" i="1"/>
  <c r="CT110" i="1" s="1"/>
  <c r="CT478" i="1"/>
  <c r="CT480" i="1" s="1"/>
  <c r="CT469" i="1"/>
  <c r="CT111" i="1" s="1"/>
  <c r="AM111" i="1"/>
  <c r="CT467" i="1"/>
  <c r="CT109" i="1" s="1"/>
  <c r="AM110" i="1"/>
  <c r="CT711" i="1"/>
  <c r="CT470" i="1"/>
  <c r="CT713" i="1" l="1"/>
  <c r="CT112" i="1"/>
  <c r="CT113" i="1"/>
  <c r="CT809" i="1"/>
  <c r="CT808" i="1"/>
  <c r="CT472" i="1" l="1"/>
  <c r="AM109" i="1"/>
  <c r="AP35" i="24" l="1"/>
  <c r="AP36" i="24" s="1"/>
  <c r="CT118" i="1"/>
  <c r="CT810" i="1"/>
  <c r="CT117" i="1"/>
  <c r="CT465" i="1"/>
  <c r="CT811" i="1"/>
  <c r="CT483" i="1"/>
  <c r="CT490" i="1" l="1"/>
  <c r="CT493" i="1" l="1"/>
  <c r="AP38" i="24"/>
  <c r="AM130" i="1"/>
  <c r="CT497" i="1"/>
  <c r="AP40" i="24" s="1"/>
  <c r="CT506" i="1"/>
  <c r="CT509" i="1" s="1"/>
  <c r="CT500" i="1"/>
  <c r="AM129" i="1"/>
  <c r="CT495" i="1" l="1"/>
  <c r="AP41" i="24"/>
  <c r="CT515" i="1"/>
  <c r="CT521" i="1"/>
  <c r="CT130" i="1"/>
  <c r="CT129" i="1"/>
  <c r="CT525" i="1"/>
  <c r="CT620" i="1" l="1"/>
  <c r="AP44" i="24"/>
  <c r="AP47" i="24" s="1"/>
  <c r="AP48" i="24" s="1"/>
  <c r="CT510" i="1"/>
  <c r="AP51" i="24"/>
  <c r="CT788" i="1"/>
  <c r="AP72" i="24" s="1"/>
  <c r="CT789" i="1"/>
  <c r="CT513" i="1"/>
  <c r="CT676" i="1"/>
  <c r="AP50" i="24" l="1"/>
  <c r="J18" i="17"/>
  <c r="J16" i="17"/>
  <c r="CT526" i="1"/>
  <c r="CT621" i="1"/>
  <c r="AM136" i="1"/>
  <c r="CT131" i="1"/>
  <c r="CT537" i="1"/>
  <c r="J21" i="17" l="1"/>
  <c r="J19" i="17"/>
  <c r="CT136" i="1"/>
  <c r="CT732" i="1" l="1"/>
  <c r="AP55" i="24" s="1"/>
  <c r="CT730" i="1"/>
  <c r="CT543" i="1"/>
  <c r="CT652" i="1" s="1"/>
  <c r="J59" i="17" s="1"/>
  <c r="CT634" i="1"/>
  <c r="CT635" i="1" s="1"/>
  <c r="CT680" i="1"/>
  <c r="AP54" i="24" l="1"/>
  <c r="CT738" i="1"/>
  <c r="CT764" i="1" s="1"/>
  <c r="CT141" i="1"/>
  <c r="CT143" i="1" s="1"/>
  <c r="CT731" i="1"/>
  <c r="CT759" i="1"/>
  <c r="CT838" i="1"/>
  <c r="CT728" i="1"/>
  <c r="CT734" i="1"/>
  <c r="CT733" i="1"/>
  <c r="CT760" i="1"/>
  <c r="CT729" i="1"/>
  <c r="K59" i="17" l="1"/>
  <c r="CT840" i="1"/>
  <c r="CT757" i="1"/>
  <c r="CT758" i="1"/>
  <c r="CT761" i="1"/>
  <c r="CT782" i="1" l="1"/>
  <c r="CT783" i="1"/>
  <c r="AP73" i="24" s="1"/>
  <c r="AP74" i="24" s="1"/>
  <c r="CT702" i="1"/>
  <c r="CT785" i="1" s="1"/>
  <c r="CT675" i="1" l="1"/>
  <c r="CT841" i="1"/>
  <c r="CT704" i="1"/>
  <c r="CT672" i="1"/>
  <c r="CT699" i="1"/>
  <c r="CT673" i="1" l="1"/>
  <c r="CT671" i="1"/>
  <c r="CU725" i="1" l="1"/>
  <c r="CT611" i="1" l="1"/>
  <c r="CT146" i="1" s="1"/>
  <c r="CT612" i="1"/>
  <c r="CT147" i="1" s="1"/>
  <c r="CT625" i="1"/>
  <c r="CT614" i="1"/>
  <c r="AM146" i="1"/>
  <c r="AM147" i="1"/>
  <c r="CT610" i="1" l="1"/>
  <c r="CT145" i="1" s="1"/>
  <c r="CT703" i="1"/>
  <c r="CT787" i="1" s="1"/>
  <c r="AM145" i="1"/>
  <c r="AM116" i="1"/>
  <c r="CT613" i="1" l="1"/>
  <c r="AP62" i="24" s="1"/>
  <c r="CT814" i="1"/>
  <c r="CT824" i="1"/>
  <c r="CT817" i="1"/>
  <c r="CT818" i="1"/>
  <c r="CT823" i="1"/>
  <c r="CT740" i="1"/>
  <c r="CT766" i="1" s="1"/>
  <c r="CT741" i="1"/>
  <c r="CT767" i="1" s="1"/>
  <c r="CT820" i="1" l="1"/>
  <c r="J32" i="17"/>
  <c r="J33" i="17" s="1"/>
  <c r="CT821" i="1"/>
  <c r="CT827" i="1"/>
  <c r="CT116" i="1"/>
  <c r="CT826" i="1"/>
  <c r="CT74" i="1" l="1"/>
  <c r="CT72" i="1"/>
  <c r="CT300" i="1"/>
  <c r="CT73" i="1" s="1"/>
  <c r="AM357" i="1"/>
  <c r="AM299" i="1" s="1"/>
  <c r="AM314" i="1" l="1"/>
  <c r="AM372" i="1" s="1"/>
  <c r="CT372" i="1" s="1"/>
  <c r="CT314" i="1" s="1"/>
  <c r="AM72" i="1"/>
  <c r="AM359" i="1" l="1"/>
  <c r="AM301" i="1" s="1"/>
  <c r="AM315" i="1"/>
  <c r="AM373" i="1" s="1"/>
  <c r="CT373" i="1" s="1"/>
  <c r="CT315" i="1" s="1"/>
  <c r="AM73" i="1" l="1"/>
  <c r="AM74" i="1"/>
  <c r="AM316" i="1"/>
  <c r="AM374" i="1" l="1"/>
  <c r="AM317" i="1"/>
  <c r="AM375" i="1" l="1"/>
  <c r="CT375" i="1" s="1"/>
  <c r="CT317" i="1" s="1"/>
  <c r="CT79" i="1" s="1"/>
  <c r="AM79" i="1"/>
  <c r="CT374" i="1"/>
  <c r="CT316" i="1" s="1"/>
  <c r="AM380" i="1"/>
  <c r="H7" i="24" s="1"/>
  <c r="CT380" i="1" l="1"/>
  <c r="AP7" i="24" s="1"/>
  <c r="AM377" i="1"/>
  <c r="AM391" i="1" s="1"/>
  <c r="CT377" i="1" l="1"/>
  <c r="CT319" i="1" s="1"/>
  <c r="CT322" i="1" s="1"/>
  <c r="CT323" i="1" s="1"/>
  <c r="AP70" i="24" s="1"/>
  <c r="CT391" i="1"/>
  <c r="CT269" i="1" l="1"/>
  <c r="CT325" i="1"/>
  <c r="CT81" i="1"/>
  <c r="CV208" i="1" l="1"/>
  <c r="CV152" i="1" s="1"/>
  <c r="CW208" i="1" l="1"/>
  <c r="CW152" i="1" s="1"/>
  <c r="CW265" i="1"/>
  <c r="CX265" i="1" l="1"/>
  <c r="CX208" i="1"/>
  <c r="CX152" i="1" s="1"/>
  <c r="CY265" i="1" l="1"/>
  <c r="CY208" i="1"/>
  <c r="CY152" i="1" s="1"/>
  <c r="BA152" i="1" l="1"/>
  <c r="DA208" i="1"/>
  <c r="DA152" i="1" s="1"/>
  <c r="BB265" i="1"/>
  <c r="BB152" i="1" l="1"/>
  <c r="DB208" i="1" l="1"/>
  <c r="DB152" i="1" s="1"/>
  <c r="BC152" i="1"/>
  <c r="BD265" i="1"/>
  <c r="BC265" i="1"/>
  <c r="DB265" i="1" l="1"/>
  <c r="BD152" i="1"/>
  <c r="BE265" i="1"/>
  <c r="DC265" i="1" s="1"/>
  <c r="DC208" i="1" l="1"/>
  <c r="DC152" i="1" s="1"/>
  <c r="BE152" i="1"/>
  <c r="BF152" i="1" l="1"/>
  <c r="BG265" i="1"/>
  <c r="BF265" i="1"/>
  <c r="BG152" i="1" l="1"/>
  <c r="DD208" i="1"/>
  <c r="DD265" i="1"/>
  <c r="DD152" i="1" l="1"/>
  <c r="AN54" i="1" l="1"/>
  <c r="AN57" i="1"/>
  <c r="AN60" i="1"/>
  <c r="AN114" i="1"/>
  <c r="AN56" i="1"/>
  <c r="AN59" i="1"/>
  <c r="AN52" i="1"/>
  <c r="AN53" i="1"/>
  <c r="AN64" i="1" l="1"/>
  <c r="AN61" i="1"/>
  <c r="AN58" i="1"/>
  <c r="AN55" i="1"/>
  <c r="AN71" i="1" l="1"/>
  <c r="AN77" i="1"/>
  <c r="AN75" i="1"/>
  <c r="AN74" i="1" l="1"/>
  <c r="AN76" i="1"/>
  <c r="AN78" i="1"/>
  <c r="AN327" i="1" l="1"/>
  <c r="AN319" i="1"/>
  <c r="AN322" i="1" s="1"/>
  <c r="AN323" i="1" s="1"/>
  <c r="I70" i="24" s="1"/>
  <c r="AN81" i="1" l="1"/>
  <c r="AN325" i="1"/>
  <c r="AN269" i="1"/>
  <c r="AN317" i="1"/>
  <c r="AN380" i="1" l="1"/>
  <c r="I7" i="24" s="1"/>
  <c r="AN375" i="1"/>
  <c r="AN79" i="1"/>
  <c r="AN377" i="1" l="1"/>
  <c r="AN391" i="1" l="1"/>
  <c r="AN89" i="1" l="1"/>
  <c r="AN85" i="1"/>
  <c r="AN87" i="1"/>
  <c r="AN84" i="1"/>
  <c r="CU433" i="1" l="1"/>
  <c r="CU709" i="1" l="1"/>
  <c r="AN98" i="1" l="1"/>
  <c r="AN99" i="1"/>
  <c r="AN93" i="1"/>
  <c r="CU102" i="1" l="1"/>
  <c r="CU96" i="1" s="1"/>
  <c r="CU103" i="1" l="1"/>
  <c r="CU106" i="1" l="1"/>
  <c r="CU434" i="1"/>
  <c r="CU627" i="1" l="1"/>
  <c r="CU572" i="1"/>
  <c r="CU97" i="1"/>
  <c r="CU790" i="1"/>
  <c r="CV101" i="1"/>
  <c r="AN118" i="1" l="1"/>
  <c r="AN112" i="1"/>
  <c r="AN113" i="1"/>
  <c r="AN111" i="1"/>
  <c r="AN110" i="1"/>
  <c r="AN109" i="1"/>
  <c r="AN130" i="1" l="1"/>
  <c r="AN129" i="1"/>
  <c r="AN136" i="1" l="1"/>
  <c r="AN141" i="1" l="1"/>
  <c r="CU633" i="1"/>
  <c r="CU535" i="1" l="1"/>
  <c r="CU135" i="1" l="1"/>
  <c r="CU138" i="1"/>
  <c r="CU735" i="1" l="1"/>
  <c r="CU737" i="1"/>
  <c r="CU763" i="1" s="1"/>
  <c r="CV138" i="1"/>
  <c r="CV135" i="1"/>
  <c r="AQ56" i="24" l="1"/>
  <c r="CV735" i="1"/>
  <c r="CV737" i="1"/>
  <c r="CV763" i="1" s="1"/>
  <c r="CU762" i="1"/>
  <c r="CW135" i="1"/>
  <c r="CW138" i="1"/>
  <c r="AR56" i="24" l="1"/>
  <c r="CW735" i="1"/>
  <c r="CW737" i="1"/>
  <c r="CW763" i="1" s="1"/>
  <c r="CX138" i="1"/>
  <c r="CX135" i="1"/>
  <c r="CV762" i="1"/>
  <c r="AS56" i="24" l="1"/>
  <c r="CY135" i="1"/>
  <c r="F28" i="7" s="1"/>
  <c r="F43" i="7" s="1"/>
  <c r="CY138" i="1"/>
  <c r="CX735" i="1"/>
  <c r="CX737" i="1"/>
  <c r="CX763" i="1" s="1"/>
  <c r="CW762" i="1"/>
  <c r="AT56" i="24" l="1"/>
  <c r="C22" i="2"/>
  <c r="C52" i="23"/>
  <c r="O15" i="23" s="1"/>
  <c r="F30" i="7"/>
  <c r="CX762" i="1"/>
  <c r="CY735" i="1"/>
  <c r="CY737" i="1"/>
  <c r="CY763" i="1" s="1"/>
  <c r="AY735" i="1"/>
  <c r="CZ138" i="1"/>
  <c r="CZ135" i="1"/>
  <c r="G28" i="7" s="1"/>
  <c r="I20" i="2" l="1"/>
  <c r="I21" i="2" s="1"/>
  <c r="I54" i="2"/>
  <c r="G30" i="7"/>
  <c r="D52" i="23"/>
  <c r="AY762" i="1"/>
  <c r="T56" i="24"/>
  <c r="C20" i="2"/>
  <c r="C21" i="2" s="1"/>
  <c r="C49" i="23"/>
  <c r="K24" i="23" s="1"/>
  <c r="AU56" i="24"/>
  <c r="J54" i="2"/>
  <c r="J20" i="2"/>
  <c r="J21" i="2" s="1"/>
  <c r="C54" i="2"/>
  <c r="D22" i="2"/>
  <c r="G43" i="7"/>
  <c r="G29" i="7"/>
  <c r="CY762" i="1"/>
  <c r="BA735" i="1"/>
  <c r="K20" i="2" s="1"/>
  <c r="K21" i="2" s="1"/>
  <c r="DA135" i="1"/>
  <c r="DA138" i="1"/>
  <c r="E52" i="23" s="1"/>
  <c r="CZ735" i="1"/>
  <c r="K54" i="2" l="1"/>
  <c r="CZ762" i="1"/>
  <c r="D49" i="23"/>
  <c r="AV56" i="24"/>
  <c r="BA762" i="1"/>
  <c r="V56" i="24"/>
  <c r="L54" i="2"/>
  <c r="L20" i="2"/>
  <c r="L21" i="2" s="1"/>
  <c r="H28" i="7"/>
  <c r="H29" i="7" s="1"/>
  <c r="D54" i="2"/>
  <c r="D20" i="2"/>
  <c r="D21" i="2" s="1"/>
  <c r="H30" i="7"/>
  <c r="E22" i="2"/>
  <c r="DA735" i="1"/>
  <c r="DB135" i="1"/>
  <c r="DB138" i="1"/>
  <c r="BC735" i="1"/>
  <c r="DA762" i="1" l="1"/>
  <c r="E49" i="23"/>
  <c r="M24" i="23" s="1"/>
  <c r="AW56" i="24"/>
  <c r="D50" i="23"/>
  <c r="L24" i="23"/>
  <c r="BC762" i="1"/>
  <c r="X56" i="24"/>
  <c r="G22" i="2"/>
  <c r="F52" i="23"/>
  <c r="H43" i="7"/>
  <c r="J28" i="7"/>
  <c r="J43" i="7" s="1"/>
  <c r="E54" i="2"/>
  <c r="F22" i="2"/>
  <c r="I28" i="7"/>
  <c r="E20" i="2"/>
  <c r="E21" i="2" s="1"/>
  <c r="I30" i="7"/>
  <c r="J30" i="7"/>
  <c r="DB735" i="1"/>
  <c r="E50" i="23" l="1"/>
  <c r="DB762" i="1"/>
  <c r="AX56" i="24"/>
  <c r="F49" i="23"/>
  <c r="J29" i="7"/>
  <c r="I29" i="7"/>
  <c r="I43" i="7"/>
  <c r="F20" i="2"/>
  <c r="F21" i="2" s="1"/>
  <c r="F54" i="2"/>
  <c r="G54" i="2"/>
  <c r="G20" i="2"/>
  <c r="G21" i="2" s="1"/>
  <c r="AN146" i="1"/>
  <c r="AN147" i="1"/>
  <c r="AN145" i="1"/>
  <c r="AN116" i="1"/>
  <c r="F50" i="23" l="1"/>
  <c r="G50" i="23"/>
  <c r="N24" i="23"/>
  <c r="CV725" i="1"/>
  <c r="CU125" i="1" l="1"/>
  <c r="CU120" i="1"/>
  <c r="CU124" i="1"/>
  <c r="CU115" i="1" l="1"/>
  <c r="CU815" i="1"/>
  <c r="CU712" i="1"/>
  <c r="CU471" i="1"/>
  <c r="CU679" i="1" l="1"/>
  <c r="CU121" i="1"/>
  <c r="CU137" i="1"/>
  <c r="CU839" i="1" l="1"/>
  <c r="CU598" i="1"/>
  <c r="CU604" i="1" s="1"/>
  <c r="CU122" i="1"/>
  <c r="AO115" i="1"/>
  <c r="CU159" i="1" l="1"/>
  <c r="CU171" i="1"/>
  <c r="CU181" i="1"/>
  <c r="CU165" i="1"/>
  <c r="CU176" i="1"/>
  <c r="CU157" i="1"/>
  <c r="CU161" i="1"/>
  <c r="CU164" i="1"/>
  <c r="CU160" i="1"/>
  <c r="CU178" i="1"/>
  <c r="AQ59" i="24" s="1"/>
  <c r="AQ60" i="24" s="1"/>
  <c r="CU177" i="1"/>
  <c r="CU179" i="1"/>
  <c r="CU167" i="1"/>
  <c r="CU173" i="1"/>
  <c r="CU170" i="1"/>
  <c r="CU172" i="1"/>
  <c r="CU180" i="1"/>
  <c r="CU158" i="1"/>
  <c r="CU166" i="1"/>
  <c r="AO54" i="1"/>
  <c r="AO59" i="1"/>
  <c r="AO57" i="1"/>
  <c r="AO60" i="1"/>
  <c r="AO53" i="1"/>
  <c r="AO114" i="1"/>
  <c r="AO52" i="1"/>
  <c r="AO56" i="1"/>
  <c r="CU218" i="1" l="1"/>
  <c r="CU56" i="1"/>
  <c r="CU222" i="1"/>
  <c r="CU52" i="1"/>
  <c r="CU215" i="1"/>
  <c r="CU217" i="1"/>
  <c r="CU59" i="1"/>
  <c r="CU227" i="1"/>
  <c r="CU57" i="1"/>
  <c r="CU223" i="1"/>
  <c r="CU60" i="1"/>
  <c r="CU228" i="1"/>
  <c r="CU53" i="1"/>
  <c r="CU216" i="1"/>
  <c r="CU662" i="1"/>
  <c r="CU660" i="1"/>
  <c r="K13" i="17" s="1"/>
  <c r="K14" i="17" s="1"/>
  <c r="CU578" i="1"/>
  <c r="CU585" i="1" s="1"/>
  <c r="CU350" i="1"/>
  <c r="CU114" i="1"/>
  <c r="CU54" i="1"/>
  <c r="CU819" i="1"/>
  <c r="CU825" i="1"/>
  <c r="CU154" i="1"/>
  <c r="CU816" i="1"/>
  <c r="CU813" i="1"/>
  <c r="CU822" i="1"/>
  <c r="CU812" i="1"/>
  <c r="CU232" i="1" l="1"/>
  <c r="CU233" i="1" s="1"/>
  <c r="CU663" i="1"/>
  <c r="CU667" i="1"/>
  <c r="CU669" i="1"/>
  <c r="CU666" i="1"/>
  <c r="CU664" i="1"/>
  <c r="CU668" i="1"/>
  <c r="CU665" i="1"/>
  <c r="CU677" i="1"/>
  <c r="CV350" i="1" l="1"/>
  <c r="CU399" i="1"/>
  <c r="CU353" i="1" l="1"/>
  <c r="CU400" i="1"/>
  <c r="J39" i="2"/>
  <c r="CU212" i="1" l="1"/>
  <c r="CU696" i="1"/>
  <c r="CU698" i="1" l="1"/>
  <c r="CZ235" i="1" l="1"/>
  <c r="DA235" i="1" l="1"/>
  <c r="DB235" i="1" l="1"/>
  <c r="DC235" i="1" l="1"/>
  <c r="DD235" i="1" l="1"/>
  <c r="DE235" i="1" l="1"/>
  <c r="CU198" i="1" l="1"/>
  <c r="CU192" i="1"/>
  <c r="CU186" i="1"/>
  <c r="CU203" i="1"/>
  <c r="CU204" i="1"/>
  <c r="AQ61" i="24" s="1"/>
  <c r="CU187" i="1"/>
  <c r="CU202" i="1"/>
  <c r="CU193" i="1"/>
  <c r="CU205" i="1"/>
  <c r="CU199" i="1"/>
  <c r="CU670" i="1"/>
  <c r="AO61" i="1"/>
  <c r="AO55" i="1"/>
  <c r="AO58" i="1"/>
  <c r="CU58" i="1" l="1"/>
  <c r="CU795" i="1"/>
  <c r="CU55" i="1"/>
  <c r="CU61" i="1"/>
  <c r="AO210" i="1" l="1"/>
  <c r="CU210" i="1" s="1"/>
  <c r="CU376" i="1"/>
  <c r="CU318" i="1" s="1"/>
  <c r="AO209" i="1" l="1"/>
  <c r="AP64" i="1" s="1"/>
  <c r="AO64" i="1" l="1"/>
  <c r="CU209" i="1"/>
  <c r="CU64" i="1" s="1"/>
  <c r="AO208" i="1"/>
  <c r="AO152" i="1" s="1"/>
  <c r="CU359" i="1"/>
  <c r="CU80" i="1"/>
  <c r="CU364" i="1"/>
  <c r="CU369" i="1"/>
  <c r="CU208" i="1" l="1"/>
  <c r="CU152" i="1" s="1"/>
  <c r="AN309" i="1"/>
  <c r="AN367" i="1" s="1"/>
  <c r="CU367" i="1"/>
  <c r="CU368" i="1" s="1"/>
  <c r="CU362" i="1"/>
  <c r="CU363" i="1" s="1"/>
  <c r="AN304" i="1"/>
  <c r="AN362" i="1" s="1"/>
  <c r="CU357" i="1"/>
  <c r="CU358" i="1" s="1"/>
  <c r="AN299" i="1"/>
  <c r="CV265" i="1"/>
  <c r="CU63" i="1" l="1"/>
  <c r="CV63" i="1"/>
  <c r="AO362" i="1"/>
  <c r="AN363" i="1"/>
  <c r="AN72" i="1"/>
  <c r="AN314" i="1"/>
  <c r="AN357" i="1"/>
  <c r="AN358" i="1" s="1"/>
  <c r="AN300" i="1" s="1"/>
  <c r="AO367" i="1"/>
  <c r="AN368" i="1"/>
  <c r="AO71" i="1"/>
  <c r="CU344" i="1"/>
  <c r="CU77" i="1" s="1"/>
  <c r="AO77" i="1"/>
  <c r="CU339" i="1"/>
  <c r="CU75" i="1" s="1"/>
  <c r="AO75" i="1"/>
  <c r="AN73" i="1" l="1"/>
  <c r="AN372" i="1"/>
  <c r="AO363" i="1"/>
  <c r="AO305" i="1" s="1"/>
  <c r="AN305" i="1"/>
  <c r="AO368" i="1"/>
  <c r="AO310" i="1" s="1"/>
  <c r="AN310" i="1"/>
  <c r="AO304" i="1"/>
  <c r="AO309" i="1"/>
  <c r="AO358" i="1"/>
  <c r="AO300" i="1" s="1"/>
  <c r="CU379" i="1"/>
  <c r="AQ6" i="24" s="1"/>
  <c r="AN315" i="1" l="1"/>
  <c r="AN373" i="1" s="1"/>
  <c r="AO369" i="1"/>
  <c r="AO311" i="1" s="1"/>
  <c r="AO364" i="1"/>
  <c r="AO306" i="1" s="1"/>
  <c r="CU349" i="1" l="1"/>
  <c r="CU352" i="1"/>
  <c r="CU334" i="1"/>
  <c r="CU354" i="1"/>
  <c r="CU296" i="1" s="1"/>
  <c r="CU71" i="1" l="1"/>
  <c r="AO319" i="1" l="1"/>
  <c r="CU387" i="1"/>
  <c r="CU389" i="1" s="1"/>
  <c r="CU381" i="1"/>
  <c r="AO327" i="1"/>
  <c r="AQ8" i="24" l="1"/>
  <c r="AQ9" i="24" s="1"/>
  <c r="AO322" i="1"/>
  <c r="AO323" i="1" s="1"/>
  <c r="J70" i="24" s="1"/>
  <c r="CU327" i="1"/>
  <c r="AO81" i="1" l="1"/>
  <c r="AO269" i="1"/>
  <c r="AO325" i="1"/>
  <c r="CU398" i="1"/>
  <c r="AQ13" i="24" s="1"/>
  <c r="CU87" i="1" l="1"/>
  <c r="CU396" i="1"/>
  <c r="CU414" i="1"/>
  <c r="CU397" i="1"/>
  <c r="AQ12" i="24" s="1"/>
  <c r="CU395" i="1"/>
  <c r="CU405" i="1"/>
  <c r="AQ14" i="24" s="1"/>
  <c r="CU502" i="1"/>
  <c r="CU406" i="1"/>
  <c r="CU412" i="1"/>
  <c r="CU424" i="1" s="1"/>
  <c r="CU459" i="1" s="1"/>
  <c r="CU488" i="1" s="1"/>
  <c r="AO85" i="1"/>
  <c r="CU408" i="1"/>
  <c r="AO86" i="1"/>
  <c r="CU705" i="1"/>
  <c r="AO84" i="1"/>
  <c r="CU416" i="1" l="1"/>
  <c r="AQ15" i="24"/>
  <c r="CU393" i="1"/>
  <c r="AQ17" i="24"/>
  <c r="AQ11" i="24"/>
  <c r="CU85" i="1"/>
  <c r="CU89" i="1"/>
  <c r="CU419" i="1"/>
  <c r="CU440" i="1"/>
  <c r="CU84" i="1"/>
  <c r="CU86" i="1"/>
  <c r="CU792" i="1" l="1"/>
  <c r="CU426" i="1"/>
  <c r="CU710" i="1"/>
  <c r="CU428" i="1" l="1"/>
  <c r="AQ19" i="24"/>
  <c r="AQ20" i="24" s="1"/>
  <c r="CU432" i="1"/>
  <c r="CU708" i="1"/>
  <c r="AO98" i="1"/>
  <c r="AO99" i="1"/>
  <c r="CU441" i="1"/>
  <c r="AQ26" i="24" s="1"/>
  <c r="CU449" i="1"/>
  <c r="CU443" i="1"/>
  <c r="AO93" i="1"/>
  <c r="AQ28" i="24" l="1"/>
  <c r="CU451" i="1"/>
  <c r="AQ30" i="24"/>
  <c r="CU93" i="1"/>
  <c r="CU791" i="1"/>
  <c r="CU98" i="1"/>
  <c r="CU99" i="1"/>
  <c r="CU454" i="1"/>
  <c r="CU430" i="1"/>
  <c r="CU794" i="1" l="1"/>
  <c r="CU793" i="1"/>
  <c r="AQ71" i="24" s="1"/>
  <c r="CU461" i="1"/>
  <c r="CV432" i="1"/>
  <c r="CU463" i="1" l="1"/>
  <c r="AQ32" i="24"/>
  <c r="AQ33" i="24" s="1"/>
  <c r="CV93" i="1"/>
  <c r="CV708" i="1"/>
  <c r="CV709" i="1" l="1"/>
  <c r="CW432" i="1" l="1"/>
  <c r="CW709" i="1" l="1"/>
  <c r="CW708" i="1"/>
  <c r="CW93" i="1"/>
  <c r="AO118" i="1" l="1"/>
  <c r="AO117" i="1"/>
  <c r="AO112" i="1"/>
  <c r="AO113" i="1"/>
  <c r="CU467" i="1"/>
  <c r="CU109" i="1" s="1"/>
  <c r="CU478" i="1"/>
  <c r="CU480" i="1" s="1"/>
  <c r="CU711" i="1"/>
  <c r="CU469" i="1"/>
  <c r="CU111" i="1" s="1"/>
  <c r="AO110" i="1"/>
  <c r="CU468" i="1"/>
  <c r="CU110" i="1" s="1"/>
  <c r="CU472" i="1"/>
  <c r="CU470" i="1"/>
  <c r="AO111" i="1"/>
  <c r="CU713" i="1"/>
  <c r="AO109" i="1"/>
  <c r="AQ35" i="24" l="1"/>
  <c r="AQ36" i="24" s="1"/>
  <c r="CU117" i="1"/>
  <c r="CU118" i="1"/>
  <c r="CU465" i="1"/>
  <c r="CU811" i="1"/>
  <c r="CU810" i="1"/>
  <c r="CU483" i="1"/>
  <c r="CU112" i="1"/>
  <c r="CU113" i="1"/>
  <c r="CU808" i="1"/>
  <c r="CU809" i="1"/>
  <c r="CU490" i="1" l="1"/>
  <c r="CU493" i="1" l="1"/>
  <c r="AQ38" i="24"/>
  <c r="AO130" i="1"/>
  <c r="CU497" i="1"/>
  <c r="AQ40" i="24" s="1"/>
  <c r="CU506" i="1"/>
  <c r="CU509" i="1" s="1"/>
  <c r="CU500" i="1"/>
  <c r="AO129" i="1"/>
  <c r="CU495" i="1" l="1"/>
  <c r="AQ41" i="24"/>
  <c r="CU515" i="1"/>
  <c r="CU676" i="1"/>
  <c r="AO510" i="1"/>
  <c r="CU525" i="1"/>
  <c r="CU521" i="1"/>
  <c r="CU129" i="1"/>
  <c r="CU130" i="1"/>
  <c r="AQ51" i="24" l="1"/>
  <c r="CU620" i="1"/>
  <c r="AQ44" i="24"/>
  <c r="AQ47" i="24" s="1"/>
  <c r="AQ48" i="24" s="1"/>
  <c r="CU788" i="1"/>
  <c r="CU789" i="1"/>
  <c r="CU513" i="1"/>
  <c r="CU510" i="1"/>
  <c r="AQ50" i="24" l="1"/>
  <c r="K16" i="17"/>
  <c r="AQ72" i="24"/>
  <c r="K18" i="17"/>
  <c r="CU526" i="1"/>
  <c r="CU621" i="1"/>
  <c r="CU131" i="1"/>
  <c r="AO136" i="1"/>
  <c r="CU736" i="1"/>
  <c r="CU729" i="1"/>
  <c r="CU136" i="1"/>
  <c r="CU680" i="1"/>
  <c r="CU634" i="1"/>
  <c r="CU635" i="1" s="1"/>
  <c r="CU537" i="1"/>
  <c r="AO141" i="1"/>
  <c r="K19" i="17" l="1"/>
  <c r="K21" i="17"/>
  <c r="AO139" i="1"/>
  <c r="CU758" i="1"/>
  <c r="CU738" i="1"/>
  <c r="CU734" i="1"/>
  <c r="CU728" i="1"/>
  <c r="CU141" i="1"/>
  <c r="CU143" i="1" s="1"/>
  <c r="CU730" i="1"/>
  <c r="CU732" i="1"/>
  <c r="AQ55" i="24" s="1"/>
  <c r="AQ54" i="24" l="1"/>
  <c r="CU139" i="1"/>
  <c r="CU764" i="1"/>
  <c r="CU840" i="1"/>
  <c r="CU760" i="1"/>
  <c r="CU733" i="1"/>
  <c r="CU731" i="1"/>
  <c r="CU759" i="1"/>
  <c r="CU838" i="1"/>
  <c r="CU757" i="1"/>
  <c r="CU761" i="1"/>
  <c r="CV535" i="1" l="1"/>
  <c r="CV139" i="1"/>
  <c r="CV633" i="1" l="1"/>
  <c r="CV537" i="1" l="1"/>
  <c r="CV543" i="1"/>
  <c r="CV652" i="1" s="1"/>
  <c r="L59" i="17" s="1"/>
  <c r="CV141" i="1" l="1"/>
  <c r="CV143" i="1" s="1"/>
  <c r="CV634" i="1"/>
  <c r="CV635" i="1" s="1"/>
  <c r="CV680" i="1"/>
  <c r="CV738" i="1" l="1"/>
  <c r="CV764" i="1" l="1"/>
  <c r="CW535" i="1" l="1"/>
  <c r="CW139" i="1"/>
  <c r="CW633" i="1" l="1"/>
  <c r="CW537" i="1" l="1"/>
  <c r="CW543" i="1"/>
  <c r="CW652" i="1" s="1"/>
  <c r="M59" i="17" s="1"/>
  <c r="CW680" i="1" l="1"/>
  <c r="CW141" i="1"/>
  <c r="CW143" i="1" s="1"/>
  <c r="CW634" i="1"/>
  <c r="CW635" i="1" s="1"/>
  <c r="CW738" i="1" l="1"/>
  <c r="CW764" i="1" l="1"/>
  <c r="CU675" i="1" l="1"/>
  <c r="CU699" i="1" l="1"/>
  <c r="CU782" i="1"/>
  <c r="CU702" i="1"/>
  <c r="CU783" i="1"/>
  <c r="AQ73" i="24" s="1"/>
  <c r="AQ74" i="24" s="1"/>
  <c r="CU673" i="1"/>
  <c r="CU671" i="1"/>
  <c r="CU672" i="1"/>
  <c r="CU785" i="1" l="1"/>
  <c r="CU841" i="1" s="1"/>
  <c r="CU704" i="1"/>
  <c r="AO116" i="1" l="1"/>
  <c r="CU703" i="1"/>
  <c r="CU612" i="1"/>
  <c r="CU147" i="1" s="1"/>
  <c r="CU611" i="1"/>
  <c r="CU146" i="1" s="1"/>
  <c r="CU614" i="1"/>
  <c r="AO146" i="1"/>
  <c r="CU610" i="1"/>
  <c r="AO147" i="1"/>
  <c r="AO145" i="1"/>
  <c r="CU625" i="1"/>
  <c r="CU145" i="1" l="1"/>
  <c r="CU787" i="1"/>
  <c r="CU613" i="1"/>
  <c r="K32" i="17" l="1"/>
  <c r="K33" i="17" s="1"/>
  <c r="AQ62" i="24"/>
  <c r="CU826" i="1"/>
  <c r="CU821" i="1"/>
  <c r="CU116" i="1"/>
  <c r="CU820" i="1"/>
  <c r="CU827" i="1"/>
  <c r="CU814" i="1"/>
  <c r="CU817" i="1"/>
  <c r="CU824" i="1"/>
  <c r="CU818" i="1"/>
  <c r="CU823" i="1"/>
  <c r="CU740" i="1"/>
  <c r="CU766" i="1" s="1"/>
  <c r="CU741" i="1"/>
  <c r="CU767" i="1" s="1"/>
  <c r="CU76" i="1" l="1"/>
  <c r="CU72" i="1"/>
  <c r="CU78" i="1"/>
  <c r="CU74" i="1"/>
  <c r="AO76" i="1"/>
  <c r="CU73" i="1" l="1"/>
  <c r="AO357" i="1"/>
  <c r="AO299" i="1" s="1"/>
  <c r="AO72" i="1" l="1"/>
  <c r="AO359" i="1" l="1"/>
  <c r="AO73" i="1"/>
  <c r="AO301" i="1" l="1"/>
  <c r="AO74" i="1" s="1"/>
  <c r="AO315" i="1"/>
  <c r="AO373" i="1" s="1"/>
  <c r="CU373" i="1" s="1"/>
  <c r="AO314" i="1"/>
  <c r="AO372" i="1" s="1"/>
  <c r="CU372" i="1" s="1"/>
  <c r="AO316" i="1" l="1"/>
  <c r="AO78" i="1"/>
  <c r="AO374" i="1" l="1"/>
  <c r="AO317" i="1"/>
  <c r="AO375" i="1" l="1"/>
  <c r="CU375" i="1" s="1"/>
  <c r="CU79" i="1" s="1"/>
  <c r="AO79" i="1"/>
  <c r="CU374" i="1"/>
  <c r="AO380" i="1"/>
  <c r="J7" i="24" s="1"/>
  <c r="CU380" i="1" l="1"/>
  <c r="AQ7" i="24" s="1"/>
  <c r="AO377" i="1"/>
  <c r="CU377" i="1" l="1"/>
  <c r="CU319" i="1" s="1"/>
  <c r="AO391" i="1"/>
  <c r="CU391" i="1" l="1"/>
  <c r="AT252" i="9" l="1"/>
  <c r="CV158" i="1" l="1"/>
  <c r="CV711" i="1" l="1"/>
  <c r="CV102" i="1" l="1"/>
  <c r="CV96" i="1" s="1"/>
  <c r="CV103" i="1" l="1"/>
  <c r="CV106" i="1" l="1"/>
  <c r="CV434" i="1"/>
  <c r="CV572" i="1" l="1"/>
  <c r="CV627" i="1"/>
  <c r="CW101" i="1"/>
  <c r="CV790" i="1"/>
  <c r="CV97" i="1"/>
  <c r="AP74" i="1" l="1"/>
  <c r="AP76" i="1" l="1"/>
  <c r="AP316" i="1" l="1"/>
  <c r="AP317" i="1" l="1"/>
  <c r="AP380" i="1" s="1"/>
  <c r="K7" i="24" s="1"/>
  <c r="AP78" i="1"/>
  <c r="AP374" i="1" l="1"/>
  <c r="AP79" i="1"/>
  <c r="AP375" i="1"/>
  <c r="AP377" i="1" l="1"/>
  <c r="AP391" i="1" l="1"/>
  <c r="AQ59" i="1" l="1"/>
  <c r="AQ60" i="1"/>
  <c r="AQ24" i="1"/>
  <c r="AQ56" i="1"/>
  <c r="AQ57" i="1"/>
  <c r="AQ25" i="1"/>
  <c r="CV160" i="1" l="1"/>
  <c r="CV17" i="1" l="1"/>
  <c r="CV20" i="1"/>
  <c r="AU252" i="9"/>
  <c r="CV19" i="1"/>
  <c r="CV25" i="1"/>
  <c r="CV18" i="1"/>
  <c r="CV24" i="1"/>
  <c r="CV54" i="1"/>
  <c r="CV171" i="1" l="1"/>
  <c r="CV165" i="1"/>
  <c r="CV210" i="1"/>
  <c r="CV209" i="1"/>
  <c r="CV64" i="1" s="1"/>
  <c r="CV170" i="1"/>
  <c r="CV526" i="1"/>
  <c r="AV252" i="9"/>
  <c r="CV172" i="1"/>
  <c r="CV166" i="1"/>
  <c r="CV157" i="1"/>
  <c r="CV179" i="1"/>
  <c r="CV164" i="1"/>
  <c r="CV180" i="1"/>
  <c r="CV159" i="1"/>
  <c r="CV59" i="1" l="1"/>
  <c r="CV56" i="1"/>
  <c r="CV57" i="1"/>
  <c r="CV60" i="1"/>
  <c r="CV173" i="1"/>
  <c r="CV266" i="1"/>
  <c r="CV52" i="1"/>
  <c r="CV53" i="1"/>
  <c r="CV621" i="1"/>
  <c r="CV167" i="1"/>
  <c r="CV176" i="1"/>
  <c r="CV161" i="1"/>
  <c r="CV675" i="1"/>
  <c r="CV228" i="1" l="1"/>
  <c r="CV222" i="1"/>
  <c r="CV223" i="1"/>
  <c r="CV227" i="1"/>
  <c r="CV216" i="1"/>
  <c r="CV215" i="1"/>
  <c r="CV218" i="1"/>
  <c r="CV217" i="1"/>
  <c r="CV578" i="1"/>
  <c r="CV585" i="1" s="1"/>
  <c r="CV339" i="1"/>
  <c r="CV199" i="1"/>
  <c r="CV198" i="1"/>
  <c r="CV178" i="1"/>
  <c r="AR59" i="24" s="1"/>
  <c r="AR60" i="24" s="1"/>
  <c r="CV469" i="1"/>
  <c r="CV610" i="1"/>
  <c r="CV192" i="1"/>
  <c r="CV186" i="1"/>
  <c r="CV344" i="1"/>
  <c r="CV58" i="1" l="1"/>
  <c r="CV61" i="1"/>
  <c r="CV75" i="1"/>
  <c r="CV177" i="1"/>
  <c r="CV205" i="1"/>
  <c r="CV187" i="1"/>
  <c r="CV77" i="1"/>
  <c r="CV204" i="1"/>
  <c r="AR61" i="24" s="1"/>
  <c r="CV193" i="1"/>
  <c r="CV55" i="1"/>
  <c r="CV145" i="1"/>
  <c r="CV234" i="1"/>
  <c r="CV181" i="1"/>
  <c r="CV795" i="1" l="1"/>
  <c r="CV376" i="1"/>
  <c r="CV261" i="1"/>
  <c r="CV237" i="1"/>
  <c r="AR68" i="24" s="1"/>
  <c r="AR69" i="24" s="1"/>
  <c r="CV468" i="1"/>
  <c r="CV247" i="1"/>
  <c r="CV399" i="1"/>
  <c r="CV660" i="1"/>
  <c r="CV154" i="1"/>
  <c r="CV611" i="1"/>
  <c r="CV232" i="1"/>
  <c r="CV202" i="1"/>
  <c r="CV233" i="1"/>
  <c r="CV258" i="1"/>
  <c r="CV670" i="1"/>
  <c r="CV203" i="1"/>
  <c r="CV252" i="1"/>
  <c r="CV124" i="1"/>
  <c r="CV111" i="1"/>
  <c r="CV318" i="1" l="1"/>
  <c r="L13" i="17"/>
  <c r="L14" i="17" s="1"/>
  <c r="CV395" i="1"/>
  <c r="CV334" i="1"/>
  <c r="CV397" i="1"/>
  <c r="AR12" i="24" s="1"/>
  <c r="CV467" i="1"/>
  <c r="CV109" i="1" s="1"/>
  <c r="CV612" i="1"/>
  <c r="CV147" i="1" s="1"/>
  <c r="CV665" i="1"/>
  <c r="CV666" i="1"/>
  <c r="CV400" i="1"/>
  <c r="CV353" i="1"/>
  <c r="CV238" i="1"/>
  <c r="CV664" i="1"/>
  <c r="CV668" i="1"/>
  <c r="CV257" i="1"/>
  <c r="CV120" i="1"/>
  <c r="CV114" i="1"/>
  <c r="CV812" i="1"/>
  <c r="CV125" i="1"/>
  <c r="CV679" i="1"/>
  <c r="CV146" i="1"/>
  <c r="CV669" i="1"/>
  <c r="CV662" i="1"/>
  <c r="CV663" i="1"/>
  <c r="CV110" i="1"/>
  <c r="CV813" i="1" l="1"/>
  <c r="CV359" i="1"/>
  <c r="CV80" i="1"/>
  <c r="CV613" i="1"/>
  <c r="AR62" i="24" s="1"/>
  <c r="CV614" i="1"/>
  <c r="CV71" i="1"/>
  <c r="CV677" i="1"/>
  <c r="CV349" i="1"/>
  <c r="CV84" i="1"/>
  <c r="CV705" i="1"/>
  <c r="CV815" i="1"/>
  <c r="CV115" i="1"/>
  <c r="CV470" i="1"/>
  <c r="CV259" i="1"/>
  <c r="CV625" i="1"/>
  <c r="CV703" i="1"/>
  <c r="CV86" i="1"/>
  <c r="CV398" i="1"/>
  <c r="AR13" i="24" s="1"/>
  <c r="CV260" i="1" l="1"/>
  <c r="L32" i="17"/>
  <c r="L33" i="17" s="1"/>
  <c r="CV78" i="1"/>
  <c r="CV369" i="1"/>
  <c r="AP304" i="1"/>
  <c r="AP362" i="1" s="1"/>
  <c r="AP363" i="1" s="1"/>
  <c r="AP305" i="1" s="1"/>
  <c r="CV362" i="1"/>
  <c r="CV76" i="1"/>
  <c r="CV364" i="1"/>
  <c r="AP299" i="1"/>
  <c r="CV357" i="1"/>
  <c r="CV358" i="1" s="1"/>
  <c r="AP309" i="1"/>
  <c r="AP367" i="1" s="1"/>
  <c r="CV367" i="1"/>
  <c r="CV814" i="1"/>
  <c r="CV696" i="1"/>
  <c r="CV212" i="1"/>
  <c r="CV713" i="1"/>
  <c r="CV121" i="1"/>
  <c r="CV809" i="1"/>
  <c r="CV808" i="1"/>
  <c r="CV112" i="1"/>
  <c r="CV113" i="1"/>
  <c r="CV352" i="1"/>
  <c r="CV87" i="1"/>
  <c r="CV433" i="1"/>
  <c r="CV262" i="1"/>
  <c r="CV396" i="1"/>
  <c r="AR11" i="24" s="1"/>
  <c r="CV412" i="1"/>
  <c r="CV424" i="1" s="1"/>
  <c r="CV459" i="1" s="1"/>
  <c r="CV488" i="1" s="1"/>
  <c r="CV502" i="1"/>
  <c r="AP72" i="1" l="1"/>
  <c r="AP314" i="1"/>
  <c r="AP357" i="1"/>
  <c r="AP358" i="1" s="1"/>
  <c r="AP300" i="1" s="1"/>
  <c r="CV368" i="1"/>
  <c r="AQ367" i="1"/>
  <c r="AP368" i="1"/>
  <c r="CV363" i="1"/>
  <c r="CV471" i="1"/>
  <c r="CV85" i="1"/>
  <c r="CV354" i="1"/>
  <c r="CV296" i="1" s="1"/>
  <c r="CV405" i="1"/>
  <c r="AR14" i="24" s="1"/>
  <c r="CV598" i="1"/>
  <c r="CV604" i="1" s="1"/>
  <c r="CV406" i="1"/>
  <c r="CV825" i="1"/>
  <c r="CV820" i="1"/>
  <c r="CV821" i="1"/>
  <c r="CV818" i="1"/>
  <c r="CV823" i="1"/>
  <c r="CV819" i="1"/>
  <c r="CV816" i="1"/>
  <c r="CV116" i="1"/>
  <c r="CV817" i="1"/>
  <c r="CV822" i="1"/>
  <c r="CV827" i="1"/>
  <c r="CV826" i="1"/>
  <c r="CV824" i="1"/>
  <c r="CV122" i="1"/>
  <c r="CV667" i="1"/>
  <c r="CV74" i="1"/>
  <c r="AR15" i="24" l="1"/>
  <c r="AP73" i="1"/>
  <c r="AP372" i="1"/>
  <c r="AQ357" i="1"/>
  <c r="AQ368" i="1"/>
  <c r="AQ369" i="1" s="1"/>
  <c r="AP310" i="1"/>
  <c r="AP315" i="1" s="1"/>
  <c r="AP373" i="1" s="1"/>
  <c r="AQ358" i="1"/>
  <c r="AQ300" i="1" s="1"/>
  <c r="CV408" i="1"/>
  <c r="AR17" i="24" s="1"/>
  <c r="CV89" i="1"/>
  <c r="CV698" i="1"/>
  <c r="CV472" i="1"/>
  <c r="AR35" i="24" l="1"/>
  <c r="AR36" i="24" s="1"/>
  <c r="AQ299" i="1"/>
  <c r="AQ359" i="1"/>
  <c r="AQ301" i="1" s="1"/>
  <c r="AQ74" i="1" s="1"/>
  <c r="CV393" i="1"/>
  <c r="CV478" i="1"/>
  <c r="CV480" i="1" s="1"/>
  <c r="CV414" i="1"/>
  <c r="CV118" i="1"/>
  <c r="CV810" i="1"/>
  <c r="CV465" i="1"/>
  <c r="CV811" i="1"/>
  <c r="CV117" i="1"/>
  <c r="CV379" i="1"/>
  <c r="AR6" i="24" s="1"/>
  <c r="CV416" i="1" l="1"/>
  <c r="CV381" i="1"/>
  <c r="CV712" i="1"/>
  <c r="AR8" i="24" l="1"/>
  <c r="AR9" i="24" s="1"/>
  <c r="CV387" i="1"/>
  <c r="CV389" i="1" s="1"/>
  <c r="CV327" i="1"/>
  <c r="CV419" i="1"/>
  <c r="CV440" i="1" l="1"/>
  <c r="CV426" i="1"/>
  <c r="CV792" i="1"/>
  <c r="CV428" i="1" l="1"/>
  <c r="AR19" i="24"/>
  <c r="AR20" i="24" s="1"/>
  <c r="CV441" i="1"/>
  <c r="AR26" i="24" s="1"/>
  <c r="CV710" i="1"/>
  <c r="CV443" i="1" l="1"/>
  <c r="AR28" i="24" l="1"/>
  <c r="CV449" i="1"/>
  <c r="CV99" i="1"/>
  <c r="CV98" i="1"/>
  <c r="CV791" i="1"/>
  <c r="CV430" i="1"/>
  <c r="CV454" i="1"/>
  <c r="CV451" i="1" l="1"/>
  <c r="CV793" i="1"/>
  <c r="AR71" i="24" s="1"/>
  <c r="CV794" i="1"/>
  <c r="CV734" i="1"/>
  <c r="CV483" i="1"/>
  <c r="CV461" i="1"/>
  <c r="AR30" i="24" l="1"/>
  <c r="CV463" i="1"/>
  <c r="AR32" i="24"/>
  <c r="AR33" i="24" s="1"/>
  <c r="CV761" i="1"/>
  <c r="CV497" i="1"/>
  <c r="AR40" i="24" s="1"/>
  <c r="CV490" i="1"/>
  <c r="CV493" i="1" l="1"/>
  <c r="AR38" i="24"/>
  <c r="CV130" i="1"/>
  <c r="CV129" i="1"/>
  <c r="CV500" i="1"/>
  <c r="AR41" i="24" l="1"/>
  <c r="CV136" i="1"/>
  <c r="CV506" i="1"/>
  <c r="CV509" i="1" s="1"/>
  <c r="CV495" i="1"/>
  <c r="CV515" i="1"/>
  <c r="AR44" i="24" l="1"/>
  <c r="AR47" i="24" s="1"/>
  <c r="AR48" i="24" s="1"/>
  <c r="CV525" i="1"/>
  <c r="CV789" i="1"/>
  <c r="CV620" i="1"/>
  <c r="CV513" i="1"/>
  <c r="L18" i="17" s="1"/>
  <c r="CV788" i="1"/>
  <c r="AR72" i="24" s="1"/>
  <c r="CV740" i="1"/>
  <c r="CV766" i="1" s="1"/>
  <c r="CV787" i="1"/>
  <c r="CV730" i="1"/>
  <c r="CV732" i="1"/>
  <c r="AR55" i="24" s="1"/>
  <c r="CV741" i="1"/>
  <c r="CV767" i="1" s="1"/>
  <c r="CV521" i="1"/>
  <c r="AR51" i="24" l="1"/>
  <c r="AR50" i="24" s="1"/>
  <c r="AR54" i="24"/>
  <c r="L16" i="17"/>
  <c r="L19" i="17"/>
  <c r="L21" i="17"/>
  <c r="CV510" i="1"/>
  <c r="CV137" i="1"/>
  <c r="CV760" i="1"/>
  <c r="CV733" i="1"/>
  <c r="CV676" i="1"/>
  <c r="CV759" i="1"/>
  <c r="CV840" i="1"/>
  <c r="CV731" i="1"/>
  <c r="CV838" i="1"/>
  <c r="CV729" i="1"/>
  <c r="CV728" i="1"/>
  <c r="CV757" i="1" l="1"/>
  <c r="CV758" i="1"/>
  <c r="CV131" i="1"/>
  <c r="CV839" i="1"/>
  <c r="BS96" i="1" l="1"/>
  <c r="CV671" i="1"/>
  <c r="CV673" i="1"/>
  <c r="CV702" i="1"/>
  <c r="CV783" i="1"/>
  <c r="AR73" i="24" s="1"/>
  <c r="AR74" i="24" s="1"/>
  <c r="CV782" i="1"/>
  <c r="CV785" i="1" l="1"/>
  <c r="CV841" i="1" s="1"/>
  <c r="CV672" i="1"/>
  <c r="CV699" i="1"/>
  <c r="BS98" i="1" l="1"/>
  <c r="CV704" i="1"/>
  <c r="CW725" i="1" l="1"/>
  <c r="BS627" i="1" l="1"/>
  <c r="BS629" i="1" l="1"/>
  <c r="BS794" i="1" l="1"/>
  <c r="BS731" i="1" l="1"/>
  <c r="BS733" i="1"/>
  <c r="BS131" i="1" l="1"/>
  <c r="BS725" i="1" l="1"/>
  <c r="BS630" i="1" l="1"/>
  <c r="BS631" i="1" l="1"/>
  <c r="BS639" i="1" s="1"/>
  <c r="BS618" i="1" l="1"/>
  <c r="AQ23" i="1" l="1"/>
  <c r="CV23" i="1" s="1"/>
  <c r="AQ26" i="1"/>
  <c r="CV26" i="1" s="1"/>
  <c r="AW252" i="9"/>
  <c r="AQ72" i="1" l="1"/>
  <c r="CV72" i="1" l="1"/>
  <c r="CV73" i="1" l="1"/>
  <c r="AQ73" i="1" l="1"/>
  <c r="CW102" i="1" l="1"/>
  <c r="CW96" i="1" s="1"/>
  <c r="CW103" i="1" l="1"/>
  <c r="CW434" i="1" l="1"/>
  <c r="CW106" i="1"/>
  <c r="CW627" i="1" l="1"/>
  <c r="CW572" i="1"/>
  <c r="CW97" i="1"/>
  <c r="CW790" i="1"/>
  <c r="CX101" i="1"/>
  <c r="BA252" i="9" l="1"/>
  <c r="BD252" i="9"/>
  <c r="BC252" i="9" l="1"/>
  <c r="AZ252" i="9"/>
  <c r="BE252" i="9" l="1"/>
  <c r="BB252" i="9"/>
  <c r="CW18" i="1" l="1"/>
  <c r="CW24" i="1"/>
  <c r="AX252" i="9"/>
  <c r="AY252" i="9" s="1"/>
  <c r="CX17" i="1"/>
  <c r="CW26" i="1"/>
  <c r="CW20" i="1"/>
  <c r="CW23" i="1"/>
  <c r="CW17" i="1"/>
  <c r="CW19" i="1"/>
  <c r="CW25" i="1"/>
  <c r="CW166" i="1" l="1"/>
  <c r="CW57" i="1" s="1"/>
  <c r="CW164" i="1"/>
  <c r="CW56" i="1" s="1"/>
  <c r="CW526" i="1"/>
  <c r="CW210" i="1"/>
  <c r="CW209" i="1"/>
  <c r="CW160" i="1"/>
  <c r="CW165" i="1"/>
  <c r="CW157" i="1" l="1"/>
  <c r="CW54" i="1"/>
  <c r="CW675" i="1"/>
  <c r="CW158" i="1"/>
  <c r="CW266" i="1"/>
  <c r="CW167" i="1"/>
  <c r="CW170" i="1"/>
  <c r="CW59" i="1" s="1"/>
  <c r="CW180" i="1"/>
  <c r="CW179" i="1"/>
  <c r="CW159" i="1"/>
  <c r="CW621" i="1"/>
  <c r="CW53" i="1" l="1"/>
  <c r="CW172" i="1"/>
  <c r="CW161" i="1"/>
  <c r="CW58" i="1"/>
  <c r="CW176" i="1"/>
  <c r="CW173" i="1"/>
  <c r="CW223" i="1"/>
  <c r="CW222" i="1"/>
  <c r="CW171" i="1"/>
  <c r="CW52" i="1"/>
  <c r="CW227" i="1" l="1"/>
  <c r="CW228" i="1"/>
  <c r="CW610" i="1"/>
  <c r="CW193" i="1"/>
  <c r="CW178" i="1"/>
  <c r="AS59" i="24" s="1"/>
  <c r="AS60" i="24" s="1"/>
  <c r="CW578" i="1"/>
  <c r="CW585" i="1" s="1"/>
  <c r="CW186" i="1"/>
  <c r="CW177" i="1" l="1"/>
  <c r="CW216" i="1"/>
  <c r="CW218" i="1"/>
  <c r="CW215" i="1"/>
  <c r="CW199" i="1"/>
  <c r="CW181" i="1"/>
  <c r="CW217" i="1"/>
  <c r="CW187" i="1"/>
  <c r="CW205" i="1"/>
  <c r="CW145" i="1"/>
  <c r="CW469" i="1"/>
  <c r="CW234" i="1"/>
  <c r="CW204" i="1"/>
  <c r="AS61" i="24" s="1"/>
  <c r="CW247" i="1"/>
  <c r="CW61" i="1"/>
  <c r="CW55" i="1"/>
  <c r="CW111" i="1" l="1"/>
  <c r="CW237" i="1"/>
  <c r="CW468" i="1"/>
  <c r="CW154" i="1"/>
  <c r="CW611" i="1"/>
  <c r="CW261" i="1"/>
  <c r="CW670" i="1"/>
  <c r="CW252" i="1"/>
  <c r="CW399" i="1"/>
  <c r="CW258" i="1"/>
  <c r="CW202" i="1"/>
  <c r="CW233" i="1"/>
  <c r="CW795" i="1"/>
  <c r="CW660" i="1"/>
  <c r="CW242" i="1"/>
  <c r="CW203" i="1"/>
  <c r="CW232" i="1"/>
  <c r="CW124" i="1"/>
  <c r="CW238" i="1" l="1"/>
  <c r="AS68" i="24"/>
  <c r="AS69" i="24" s="1"/>
  <c r="M13" i="17"/>
  <c r="M14" i="17" s="1"/>
  <c r="CW257" i="1"/>
  <c r="CW612" i="1"/>
  <c r="CW147" i="1" s="1"/>
  <c r="CW395" i="1"/>
  <c r="CW400" i="1"/>
  <c r="K39" i="2"/>
  <c r="CW120" i="1"/>
  <c r="CW812" i="1"/>
  <c r="CW114" i="1"/>
  <c r="CW669" i="1"/>
  <c r="CW397" i="1"/>
  <c r="AS12" i="24" s="1"/>
  <c r="CW666" i="1"/>
  <c r="CW664" i="1"/>
  <c r="CW663" i="1"/>
  <c r="CW679" i="1"/>
  <c r="CW467" i="1"/>
  <c r="CW109" i="1" s="1"/>
  <c r="CW125" i="1"/>
  <c r="CW665" i="1"/>
  <c r="CW662" i="1"/>
  <c r="CW668" i="1"/>
  <c r="CW146" i="1"/>
  <c r="CW110" i="1"/>
  <c r="CW813" i="1" l="1"/>
  <c r="CW613" i="1"/>
  <c r="AS62" i="24" s="1"/>
  <c r="CW677" i="1"/>
  <c r="CW705" i="1"/>
  <c r="L39" i="2"/>
  <c r="CW398" i="1"/>
  <c r="AS13" i="24" s="1"/>
  <c r="CW259" i="1"/>
  <c r="CW696" i="1"/>
  <c r="CW262" i="1"/>
  <c r="CW614" i="1"/>
  <c r="CW470" i="1"/>
  <c r="CW703" i="1"/>
  <c r="CW625" i="1"/>
  <c r="CW86" i="1"/>
  <c r="CW815" i="1"/>
  <c r="CW115" i="1"/>
  <c r="CW84" i="1"/>
  <c r="CW212" i="1"/>
  <c r="CW260" i="1" l="1"/>
  <c r="M32" i="17"/>
  <c r="M33" i="17" s="1"/>
  <c r="CW814" i="1"/>
  <c r="CW87" i="1"/>
  <c r="CW121" i="1"/>
  <c r="CW713" i="1"/>
  <c r="CW396" i="1"/>
  <c r="AS11" i="24" s="1"/>
  <c r="CW502" i="1"/>
  <c r="CW412" i="1"/>
  <c r="CW424" i="1" s="1"/>
  <c r="CW459" i="1" s="1"/>
  <c r="CW488" i="1" s="1"/>
  <c r="CX400" i="1"/>
  <c r="CW809" i="1"/>
  <c r="CW808" i="1"/>
  <c r="CW113" i="1"/>
  <c r="CW112" i="1"/>
  <c r="CW405" i="1"/>
  <c r="AS14" i="24" s="1"/>
  <c r="CW433" i="1"/>
  <c r="AR72" i="1" l="1"/>
  <c r="CY400" i="1"/>
  <c r="CW85" i="1"/>
  <c r="CW406" i="1"/>
  <c r="CW471" i="1"/>
  <c r="CW89" i="1"/>
  <c r="AR73" i="1"/>
  <c r="CW667" i="1"/>
  <c r="CW598" i="1"/>
  <c r="CW604" i="1" s="1"/>
  <c r="CW354" i="1"/>
  <c r="CW698" i="1"/>
  <c r="CW122" i="1"/>
  <c r="CW822" i="1"/>
  <c r="CW826" i="1"/>
  <c r="CW821" i="1"/>
  <c r="CW818" i="1"/>
  <c r="CW825" i="1"/>
  <c r="CW824" i="1"/>
  <c r="CW816" i="1"/>
  <c r="CW817" i="1"/>
  <c r="CW819" i="1"/>
  <c r="CW827" i="1"/>
  <c r="CW116" i="1"/>
  <c r="CW823" i="1"/>
  <c r="CW820" i="1"/>
  <c r="AS15" i="24" l="1"/>
  <c r="C39" i="2"/>
  <c r="AS73" i="1"/>
  <c r="CW472" i="1"/>
  <c r="CW408" i="1"/>
  <c r="AS17" i="24" s="1"/>
  <c r="AS35" i="24" l="1"/>
  <c r="AS36" i="24" s="1"/>
  <c r="AS74" i="1"/>
  <c r="AS72" i="1"/>
  <c r="CW712" i="1"/>
  <c r="CW478" i="1"/>
  <c r="CW480" i="1" s="1"/>
  <c r="CW465" i="1"/>
  <c r="CW810" i="1"/>
  <c r="CW118" i="1"/>
  <c r="CW811" i="1"/>
  <c r="CW117" i="1"/>
  <c r="CW393" i="1"/>
  <c r="CW379" i="1"/>
  <c r="AS6" i="24" s="1"/>
  <c r="CW414" i="1"/>
  <c r="CW416" i="1" l="1"/>
  <c r="CW711" i="1"/>
  <c r="DA400" i="1" l="1"/>
  <c r="CW381" i="1" l="1"/>
  <c r="AS8" i="24" l="1"/>
  <c r="AS9" i="24" s="1"/>
  <c r="CW387" i="1"/>
  <c r="CW389" i="1" s="1"/>
  <c r="CW327" i="1"/>
  <c r="CW419" i="1"/>
  <c r="CW426" i="1" l="1"/>
  <c r="CW792" i="1"/>
  <c r="CW440" i="1"/>
  <c r="CW428" i="1" l="1"/>
  <c r="AS19" i="24"/>
  <c r="AS20" i="24" s="1"/>
  <c r="DC400" i="1"/>
  <c r="G39" i="2" s="1"/>
  <c r="CW441" i="1"/>
  <c r="CW710" i="1"/>
  <c r="AS26" i="24" l="1"/>
  <c r="AS29" i="24" s="1"/>
  <c r="CW443" i="1"/>
  <c r="AS28" i="24" l="1"/>
  <c r="AS30" i="24" s="1"/>
  <c r="DD400" i="1"/>
  <c r="CW449" i="1"/>
  <c r="CW451" i="1" s="1"/>
  <c r="CW98" i="1"/>
  <c r="CW791" i="1"/>
  <c r="CW99" i="1"/>
  <c r="CW430" i="1"/>
  <c r="CW454" i="1"/>
  <c r="CW461" i="1" l="1"/>
  <c r="CW734" i="1"/>
  <c r="CW483" i="1"/>
  <c r="CW793" i="1"/>
  <c r="AS71" i="24" s="1"/>
  <c r="CW794" i="1"/>
  <c r="CW463" i="1" l="1"/>
  <c r="AS32" i="24"/>
  <c r="AS33" i="24" s="1"/>
  <c r="CW490" i="1"/>
  <c r="DE400" i="1"/>
  <c r="CW761" i="1"/>
  <c r="CW497" i="1"/>
  <c r="AS40" i="24" s="1"/>
  <c r="CW493" i="1" l="1"/>
  <c r="AS38" i="24"/>
  <c r="CW129" i="1"/>
  <c r="CW130" i="1"/>
  <c r="CW500" i="1"/>
  <c r="AS41" i="24" l="1"/>
  <c r="DF400" i="1"/>
  <c r="CW495" i="1"/>
  <c r="CW515" i="1"/>
  <c r="CW506" i="1"/>
  <c r="CW509" i="1" s="1"/>
  <c r="CW136" i="1"/>
  <c r="AS44" i="24" l="1"/>
  <c r="AS47" i="24" s="1"/>
  <c r="DG400" i="1"/>
  <c r="CW521" i="1"/>
  <c r="CW525" i="1"/>
  <c r="CW789" i="1"/>
  <c r="CW732" i="1"/>
  <c r="AS55" i="24" s="1"/>
  <c r="CW730" i="1"/>
  <c r="CW740" i="1"/>
  <c r="CW766" i="1" s="1"/>
  <c r="CW741" i="1"/>
  <c r="CW767" i="1" s="1"/>
  <c r="CW788" i="1"/>
  <c r="CW787" i="1"/>
  <c r="CW513" i="1"/>
  <c r="CW620" i="1"/>
  <c r="AS48" i="24" l="1"/>
  <c r="AS51" i="24"/>
  <c r="AS50" i="24" s="1"/>
  <c r="AS54" i="24"/>
  <c r="M16" i="17"/>
  <c r="AS72" i="24"/>
  <c r="M18" i="17"/>
  <c r="CW510" i="1"/>
  <c r="CW759" i="1"/>
  <c r="CW838" i="1"/>
  <c r="CW840" i="1"/>
  <c r="CW731" i="1"/>
  <c r="CW733" i="1"/>
  <c r="CW760" i="1"/>
  <c r="CW676" i="1"/>
  <c r="CW729" i="1"/>
  <c r="CW728" i="1"/>
  <c r="CW137" i="1"/>
  <c r="M21" i="17" l="1"/>
  <c r="M19" i="17"/>
  <c r="CW839" i="1"/>
  <c r="CW131" i="1"/>
  <c r="CW757" i="1"/>
  <c r="CW758" i="1"/>
  <c r="CW671" i="1" l="1"/>
  <c r="CW702" i="1"/>
  <c r="CW783" i="1"/>
  <c r="AS73" i="24" s="1"/>
  <c r="AS74" i="24" s="1"/>
  <c r="CW782" i="1"/>
  <c r="CW673" i="1"/>
  <c r="CW785" i="1" l="1"/>
  <c r="CW841" i="1" s="1"/>
  <c r="CW672" i="1"/>
  <c r="CW699" i="1"/>
  <c r="CW704" i="1" l="1"/>
  <c r="CY17" i="1" l="1"/>
  <c r="CY19" i="1"/>
  <c r="CY20" i="1"/>
  <c r="CX19" i="1"/>
  <c r="CX18" i="1"/>
  <c r="CY24" i="1"/>
  <c r="CX20" i="1"/>
  <c r="CY18" i="1"/>
  <c r="CY26" i="1" l="1"/>
  <c r="CX25" i="1"/>
  <c r="CY23" i="1"/>
  <c r="CY25" i="1"/>
  <c r="CX24" i="1"/>
  <c r="CX26" i="1"/>
  <c r="CX23" i="1"/>
  <c r="CX398" i="1" l="1"/>
  <c r="AT13" i="24" s="1"/>
  <c r="CX433" i="1" l="1"/>
  <c r="CY433" i="1" l="1"/>
  <c r="CZ433" i="1" l="1"/>
  <c r="AY502" i="1" l="1"/>
  <c r="AY424" i="1"/>
  <c r="AY459" i="1" s="1"/>
  <c r="AY488" i="1" s="1"/>
  <c r="CZ412" i="1"/>
  <c r="CZ424" i="1" s="1"/>
  <c r="CZ459" i="1" s="1"/>
  <c r="CZ488" i="1" s="1"/>
  <c r="CZ502" i="1" l="1"/>
  <c r="AY500" i="1"/>
  <c r="AZ424" i="1"/>
  <c r="AZ459" i="1" s="1"/>
  <c r="AZ488" i="1" s="1"/>
  <c r="DA412" i="1"/>
  <c r="DA424" i="1" s="1"/>
  <c r="DA459" i="1" s="1"/>
  <c r="DA488" i="1" s="1"/>
  <c r="BA502" i="1"/>
  <c r="BA424" i="1"/>
  <c r="BA459" i="1" s="1"/>
  <c r="BA488" i="1" s="1"/>
  <c r="DA502" i="1" l="1"/>
  <c r="DA433" i="1"/>
  <c r="BB502" i="1" l="1"/>
  <c r="BB424" i="1"/>
  <c r="BB459" i="1" s="1"/>
  <c r="BB488" i="1" s="1"/>
  <c r="BD424" i="1" l="1"/>
  <c r="BD459" i="1" s="1"/>
  <c r="BD488" i="1" s="1"/>
  <c r="BD502" i="1"/>
  <c r="BC502" i="1"/>
  <c r="DB502" i="1" s="1"/>
  <c r="BC424" i="1"/>
  <c r="BC459" i="1" s="1"/>
  <c r="BC488" i="1" s="1"/>
  <c r="DB433" i="1"/>
  <c r="DB412" i="1"/>
  <c r="DB424" i="1" s="1"/>
  <c r="DB459" i="1" s="1"/>
  <c r="DB488" i="1" s="1"/>
  <c r="BE424" i="1" l="1"/>
  <c r="BE459" i="1" s="1"/>
  <c r="BE488" i="1" s="1"/>
  <c r="BE502" i="1"/>
  <c r="DC502" i="1" s="1"/>
  <c r="DC412" i="1"/>
  <c r="DC424" i="1" s="1"/>
  <c r="DC459" i="1" s="1"/>
  <c r="DC488" i="1" s="1"/>
  <c r="DC433" i="1"/>
  <c r="DD433" i="1" l="1"/>
  <c r="BF502" i="1"/>
  <c r="BF424" i="1"/>
  <c r="BF459" i="1" s="1"/>
  <c r="BF488" i="1" s="1"/>
  <c r="DD412" i="1"/>
  <c r="DD424" i="1" s="1"/>
  <c r="DD459" i="1" s="1"/>
  <c r="DD488" i="1" s="1"/>
  <c r="BG424" i="1"/>
  <c r="BG459" i="1" s="1"/>
  <c r="BG488" i="1" s="1"/>
  <c r="BG502" i="1"/>
  <c r="DD502" i="1" l="1"/>
  <c r="BH424" i="1"/>
  <c r="BH459" i="1" s="1"/>
  <c r="BH488" i="1" s="1"/>
  <c r="BH502" i="1"/>
  <c r="BI502" i="1" l="1"/>
  <c r="DE502" i="1" s="1"/>
  <c r="BI424" i="1"/>
  <c r="BI459" i="1" s="1"/>
  <c r="BI488" i="1" s="1"/>
  <c r="DE412" i="1"/>
  <c r="DE424" i="1" s="1"/>
  <c r="DE459" i="1" s="1"/>
  <c r="DE488" i="1" s="1"/>
  <c r="DE433" i="1"/>
  <c r="BK502" i="1" l="1"/>
  <c r="BJ424" i="1"/>
  <c r="BJ459" i="1" s="1"/>
  <c r="BJ488" i="1" s="1"/>
  <c r="BJ502" i="1"/>
  <c r="DF412" i="1" l="1"/>
  <c r="DF424" i="1" s="1"/>
  <c r="DF459" i="1" s="1"/>
  <c r="DF488" i="1" s="1"/>
  <c r="BL424" i="1"/>
  <c r="BL459" i="1" s="1"/>
  <c r="BL488" i="1" s="1"/>
  <c r="DF433" i="1"/>
  <c r="BK424" i="1"/>
  <c r="BK459" i="1" s="1"/>
  <c r="BK488" i="1" s="1"/>
  <c r="DF502" i="1"/>
  <c r="BL502" i="1" l="1"/>
  <c r="DG433" i="1"/>
  <c r="DG412" i="1"/>
  <c r="DG424" i="1" s="1"/>
  <c r="DG459" i="1" s="1"/>
  <c r="DG488" i="1" s="1"/>
  <c r="BM424" i="1"/>
  <c r="BM459" i="1" s="1"/>
  <c r="BM488" i="1" s="1"/>
  <c r="BM502" i="1"/>
  <c r="DG502" i="1" l="1"/>
  <c r="CX725" i="1" l="1"/>
  <c r="CX139" i="1" l="1"/>
  <c r="CX535" i="1" l="1"/>
  <c r="CX633" i="1" l="1"/>
  <c r="AT146" i="1"/>
  <c r="AT147" i="1"/>
  <c r="AT143" i="1"/>
  <c r="AT145" i="1"/>
  <c r="CX526" i="1" l="1"/>
  <c r="CX621" i="1" l="1"/>
  <c r="CX675" i="1"/>
  <c r="AT96" i="1" l="1"/>
  <c r="CX102" i="1" l="1"/>
  <c r="CX96" i="1" s="1"/>
  <c r="C101" i="1" l="1"/>
  <c r="CX106" i="1"/>
  <c r="CX103" i="1"/>
  <c r="CY101" i="1" l="1"/>
  <c r="CX97" i="1"/>
  <c r="CX790" i="1"/>
  <c r="C790" i="1"/>
  <c r="C102" i="1"/>
  <c r="CX434" i="1"/>
  <c r="CX572" i="1"/>
  <c r="CX627" i="1" l="1"/>
  <c r="CY725" i="1" l="1"/>
  <c r="CZ400" i="1" l="1"/>
  <c r="D39" i="2" s="1"/>
  <c r="F39" i="2" l="1"/>
  <c r="E39" i="2"/>
  <c r="CX120" i="1"/>
  <c r="CX125" i="1"/>
  <c r="CX712" i="1"/>
  <c r="CX679" i="1"/>
  <c r="CX124" i="1" l="1"/>
  <c r="CX121" i="1"/>
  <c r="CX137" i="1"/>
  <c r="CX471" i="1"/>
  <c r="CX115" i="1" l="1"/>
  <c r="CX839" i="1"/>
  <c r="CX122" i="1"/>
  <c r="CX815" i="1"/>
  <c r="CX598" i="1" l="1"/>
  <c r="CX604" i="1" s="1"/>
  <c r="CX186" i="1"/>
  <c r="CX228" i="1"/>
  <c r="CX680" i="1"/>
  <c r="CX537" i="1"/>
  <c r="CX396" i="1"/>
  <c r="CX180" i="1"/>
  <c r="CX543" i="1"/>
  <c r="CX708" i="1"/>
  <c r="CX160" i="1"/>
  <c r="CX218" i="1"/>
  <c r="CX663" i="1"/>
  <c r="CX258" i="1"/>
  <c r="CX210" i="1"/>
  <c r="CX209" i="1"/>
  <c r="CX227" i="1"/>
  <c r="CX502" i="1"/>
  <c r="CX698" i="1"/>
  <c r="CX216" i="1"/>
  <c r="CX412" i="1"/>
  <c r="CX424" i="1" s="1"/>
  <c r="CX459" i="1" s="1"/>
  <c r="CX488" i="1" s="1"/>
  <c r="AU58" i="1"/>
  <c r="CX87" i="1"/>
  <c r="CX172" i="1"/>
  <c r="CX198" i="1"/>
  <c r="CX179" i="1"/>
  <c r="AU55" i="1"/>
  <c r="CX223" i="1"/>
  <c r="CX202" i="1"/>
  <c r="AU61" i="1"/>
  <c r="AU111" i="1"/>
  <c r="CX469" i="1"/>
  <c r="CX266" i="1"/>
  <c r="AU87" i="1"/>
  <c r="CX165" i="1"/>
  <c r="CX242" i="1"/>
  <c r="CX399" i="1"/>
  <c r="CX192" i="1"/>
  <c r="M42" i="7" s="1"/>
  <c r="CX204" i="1"/>
  <c r="AT61" i="24" s="1"/>
  <c r="CX668" i="1"/>
  <c r="CX414" i="1"/>
  <c r="CX164" i="1"/>
  <c r="CX56" i="1" s="1"/>
  <c r="CX159" i="1"/>
  <c r="CX203" i="1"/>
  <c r="CX709" i="1"/>
  <c r="CX161" i="1"/>
  <c r="CX234" i="1"/>
  <c r="CX222" i="1"/>
  <c r="CX257" i="1"/>
  <c r="CX259" i="1"/>
  <c r="CX660" i="1"/>
  <c r="CX167" i="1"/>
  <c r="CX178" i="1"/>
  <c r="AT59" i="24" s="1"/>
  <c r="AT60" i="24" s="1"/>
  <c r="CX171" i="1"/>
  <c r="CX406" i="1"/>
  <c r="CX664" i="1"/>
  <c r="CX665" i="1"/>
  <c r="CX677" i="1"/>
  <c r="CX247" i="1"/>
  <c r="CX666" i="1"/>
  <c r="AU53" i="1"/>
  <c r="CX158" i="1"/>
  <c r="CX705" i="1"/>
  <c r="CX166" i="1"/>
  <c r="CX193" i="1"/>
  <c r="CX432" i="1"/>
  <c r="CX667" i="1"/>
  <c r="AU60" i="1"/>
  <c r="CX173" i="1"/>
  <c r="CX217" i="1"/>
  <c r="CX397" i="1"/>
  <c r="AT12" i="24" s="1"/>
  <c r="CX170" i="1"/>
  <c r="CX59" i="1" s="1"/>
  <c r="CX696" i="1"/>
  <c r="CX205" i="1"/>
  <c r="CX670" i="1"/>
  <c r="CX468" i="1"/>
  <c r="AU110" i="1"/>
  <c r="CX215" i="1"/>
  <c r="CX199" i="1"/>
  <c r="CX662" i="1"/>
  <c r="CX232" i="1"/>
  <c r="CX187" i="1"/>
  <c r="CX669" i="1"/>
  <c r="CX405" i="1"/>
  <c r="AT14" i="24" s="1"/>
  <c r="AU57" i="1"/>
  <c r="CX176" i="1"/>
  <c r="CX157" i="1"/>
  <c r="CX233" i="1"/>
  <c r="AU64" i="1"/>
  <c r="CX387" i="1"/>
  <c r="CX389" i="1" s="1"/>
  <c r="CX416" i="1" l="1"/>
  <c r="AT15" i="24"/>
  <c r="N13" i="17"/>
  <c r="N14" i="17" s="1"/>
  <c r="CX652" i="1"/>
  <c r="N59" i="17" s="1"/>
  <c r="C68" i="2"/>
  <c r="CX55" i="1"/>
  <c r="CX93" i="1"/>
  <c r="CX58" i="1"/>
  <c r="CX52" i="1"/>
  <c r="CX85" i="1"/>
  <c r="CX260" i="1"/>
  <c r="CX61" i="1"/>
  <c r="CX54" i="1"/>
  <c r="CX111" i="1"/>
  <c r="CX57" i="1"/>
  <c r="CX53" i="1"/>
  <c r="CX86" i="1"/>
  <c r="CX795" i="1"/>
  <c r="CX212" i="1"/>
  <c r="CX141" i="1"/>
  <c r="CX143" i="1" s="1"/>
  <c r="CX252" i="1"/>
  <c r="CX713" i="1"/>
  <c r="CX441" i="1"/>
  <c r="CX472" i="1"/>
  <c r="AU85" i="1"/>
  <c r="CX237" i="1"/>
  <c r="CX611" i="1"/>
  <c r="AU130" i="1"/>
  <c r="CX711" i="1"/>
  <c r="CX478" i="1"/>
  <c r="CX480" i="1" s="1"/>
  <c r="CX177" i="1"/>
  <c r="CX470" i="1"/>
  <c r="CX614" i="1"/>
  <c r="CX467" i="1"/>
  <c r="CX109" i="1" s="1"/>
  <c r="CX261" i="1"/>
  <c r="CX578" i="1"/>
  <c r="CX585" i="1" s="1"/>
  <c r="CX672" i="1"/>
  <c r="CX181" i="1"/>
  <c r="CX395" i="1"/>
  <c r="AT11" i="24" s="1"/>
  <c r="CX500" i="1"/>
  <c r="CX449" i="1"/>
  <c r="CX451" i="1" s="1"/>
  <c r="AU114" i="1"/>
  <c r="AU112" i="1"/>
  <c r="AU113" i="1"/>
  <c r="CX625" i="1"/>
  <c r="CX610" i="1"/>
  <c r="AT26" i="24" l="1"/>
  <c r="AT29" i="24" s="1"/>
  <c r="AT68" i="24"/>
  <c r="AT69" i="24" s="1"/>
  <c r="CX238" i="1"/>
  <c r="CX465" i="1"/>
  <c r="AT35" i="24"/>
  <c r="CX495" i="1"/>
  <c r="CX89" i="1"/>
  <c r="CX145" i="1"/>
  <c r="C111" i="1"/>
  <c r="CX114" i="1"/>
  <c r="CX822" i="1"/>
  <c r="CX809" i="1"/>
  <c r="CX825" i="1"/>
  <c r="CX146" i="1"/>
  <c r="CX84" i="1"/>
  <c r="CX110" i="1"/>
  <c r="CX810" i="1"/>
  <c r="CX112" i="1"/>
  <c r="CX117" i="1"/>
  <c r="CX812" i="1"/>
  <c r="CX813" i="1"/>
  <c r="CX816" i="1"/>
  <c r="CX819" i="1"/>
  <c r="CX154" i="1"/>
  <c r="CX808" i="1"/>
  <c r="CX113" i="1"/>
  <c r="CX811" i="1"/>
  <c r="CX118" i="1"/>
  <c r="CX676" i="1"/>
  <c r="CX703" i="1"/>
  <c r="CX525" i="1"/>
  <c r="AU117" i="1"/>
  <c r="AU118" i="1"/>
  <c r="CX699" i="1"/>
  <c r="AU109" i="1"/>
  <c r="C109" i="1" s="1"/>
  <c r="CX612" i="1"/>
  <c r="CX613" i="1" s="1"/>
  <c r="CX704" i="1"/>
  <c r="AU54" i="1"/>
  <c r="CX379" i="1"/>
  <c r="AT6" i="24" s="1"/>
  <c r="CX671" i="1"/>
  <c r="AU59" i="1"/>
  <c r="CX710" i="1"/>
  <c r="CX443" i="1"/>
  <c r="CX506" i="1"/>
  <c r="CX509" i="1" s="1"/>
  <c r="CX521" i="1"/>
  <c r="AU116" i="1"/>
  <c r="CX262" i="1"/>
  <c r="AU98" i="1"/>
  <c r="AU99" i="1"/>
  <c r="AU86" i="1"/>
  <c r="CX408" i="1"/>
  <c r="CX497" i="1"/>
  <c r="AT40" i="24" s="1"/>
  <c r="CX634" i="1"/>
  <c r="CX635" i="1" s="1"/>
  <c r="CX673" i="1"/>
  <c r="AT28" i="24" l="1"/>
  <c r="AT30" i="24" s="1"/>
  <c r="N32" i="17"/>
  <c r="N33" i="17" s="1"/>
  <c r="AT62" i="24"/>
  <c r="AT51" i="24"/>
  <c r="AT36" i="24"/>
  <c r="CX393" i="1"/>
  <c r="AT17" i="24"/>
  <c r="CX729" i="1"/>
  <c r="CX430" i="1"/>
  <c r="CX130" i="1"/>
  <c r="CX702" i="1"/>
  <c r="CX738" i="1"/>
  <c r="CX823" i="1"/>
  <c r="CX824" i="1"/>
  <c r="CX817" i="1"/>
  <c r="CX818" i="1"/>
  <c r="CX814" i="1"/>
  <c r="CX826" i="1"/>
  <c r="CX116" i="1"/>
  <c r="CX827" i="1"/>
  <c r="CX821" i="1"/>
  <c r="CX820" i="1"/>
  <c r="CX147" i="1"/>
  <c r="CX791" i="1"/>
  <c r="CX98" i="1"/>
  <c r="CX782" i="1"/>
  <c r="CX728" i="1"/>
  <c r="AU136" i="1"/>
  <c r="CX131" i="1"/>
  <c r="CX136" i="1"/>
  <c r="CX440" i="1"/>
  <c r="AT72" i="1" l="1"/>
  <c r="CX758" i="1"/>
  <c r="CX757" i="1"/>
  <c r="CX764" i="1"/>
  <c r="AU71" i="1"/>
  <c r="AT73" i="1" l="1"/>
  <c r="AU75" i="1"/>
  <c r="CX354" i="1"/>
  <c r="AU56" i="1"/>
  <c r="AU141" i="1"/>
  <c r="AU143" i="1" s="1"/>
  <c r="CX381" i="1"/>
  <c r="AU77" i="1"/>
  <c r="AU52" i="1"/>
  <c r="AU84" i="1"/>
  <c r="AU93" i="1"/>
  <c r="CX515" i="1" l="1"/>
  <c r="CX787" i="1" s="1"/>
  <c r="AT8" i="24"/>
  <c r="AT9" i="24" s="1"/>
  <c r="CX327" i="1"/>
  <c r="CX129" i="1"/>
  <c r="CX419" i="1"/>
  <c r="CX99" i="1"/>
  <c r="CX741" i="1"/>
  <c r="CX767" i="1" s="1"/>
  <c r="CX783" i="1"/>
  <c r="AT73" i="24" s="1"/>
  <c r="CX788" i="1"/>
  <c r="CX732" i="1"/>
  <c r="AT55" i="24" s="1"/>
  <c r="CX730" i="1"/>
  <c r="CX513" i="1"/>
  <c r="N18" i="17" s="1"/>
  <c r="CX785" i="1"/>
  <c r="CX789" i="1" l="1"/>
  <c r="CX740" i="1"/>
  <c r="CX766" i="1" s="1"/>
  <c r="AT54" i="24"/>
  <c r="N16" i="17"/>
  <c r="AT72" i="24"/>
  <c r="AT74" i="24" s="1"/>
  <c r="CX620" i="1"/>
  <c r="AT44" i="24"/>
  <c r="AT47" i="24" s="1"/>
  <c r="AT48" i="24" s="1"/>
  <c r="N21" i="17"/>
  <c r="N19" i="17"/>
  <c r="CX731" i="1"/>
  <c r="CX759" i="1"/>
  <c r="CX838" i="1"/>
  <c r="CX840" i="1"/>
  <c r="CX794" i="1"/>
  <c r="CX454" i="1"/>
  <c r="CX792" i="1"/>
  <c r="CX426" i="1"/>
  <c r="CX793" i="1"/>
  <c r="AT71" i="24" s="1"/>
  <c r="CX760" i="1"/>
  <c r="CX733" i="1"/>
  <c r="AT50" i="24" l="1"/>
  <c r="CX428" i="1"/>
  <c r="AT19" i="24"/>
  <c r="AT20" i="24" s="1"/>
  <c r="CX841" i="1"/>
  <c r="CX734" i="1"/>
  <c r="CX461" i="1"/>
  <c r="CX483" i="1"/>
  <c r="C537" i="1"/>
  <c r="CX463" i="1" l="1"/>
  <c r="AT32" i="24"/>
  <c r="AT33" i="24" s="1"/>
  <c r="BA143" i="1"/>
  <c r="BB143" i="1" s="1"/>
  <c r="C634" i="1"/>
  <c r="C143" i="1"/>
  <c r="C527" i="1"/>
  <c r="CX490" i="1"/>
  <c r="CX761" i="1"/>
  <c r="CY139" i="1"/>
  <c r="CY535" i="1"/>
  <c r="CX493" i="1" l="1"/>
  <c r="CX510" i="1" s="1"/>
  <c r="AT38" i="24"/>
  <c r="AT41" i="24" s="1"/>
  <c r="BC143" i="1"/>
  <c r="C622" i="1"/>
  <c r="C624" i="1" s="1"/>
  <c r="C629" i="1" s="1"/>
  <c r="C631" i="1" s="1"/>
  <c r="C529" i="1"/>
  <c r="C534" i="1" s="1"/>
  <c r="C538" i="1" s="1"/>
  <c r="CY633" i="1"/>
  <c r="BD143" i="1" l="1"/>
  <c r="C531" i="1"/>
  <c r="D533" i="1"/>
  <c r="C743" i="1"/>
  <c r="C769" i="1" s="1"/>
  <c r="C541" i="1"/>
  <c r="C742" i="1"/>
  <c r="C768" i="1" s="1"/>
  <c r="C618" i="1"/>
  <c r="C639" i="1"/>
  <c r="BE143" i="1" l="1"/>
  <c r="C674" i="1"/>
  <c r="C550" i="1"/>
  <c r="C564" i="1" s="1"/>
  <c r="C568" i="1" s="1"/>
  <c r="D527" i="1"/>
  <c r="BF143" i="1" l="1"/>
  <c r="CY412" i="1"/>
  <c r="CY424" i="1" s="1"/>
  <c r="CY459" i="1" s="1"/>
  <c r="CY488" i="1" s="1"/>
  <c r="CY502" i="1"/>
  <c r="D622" i="1"/>
  <c r="D529" i="1"/>
  <c r="C585" i="1"/>
  <c r="C584" i="1" s="1"/>
  <c r="C628" i="1" s="1"/>
  <c r="BG143" i="1" l="1"/>
  <c r="D534" i="1"/>
  <c r="D624" i="1"/>
  <c r="C587" i="1"/>
  <c r="BH143" i="1" l="1"/>
  <c r="D538" i="1"/>
  <c r="C607" i="1"/>
  <c r="C837" i="1" s="1"/>
  <c r="C590" i="1"/>
  <c r="C836" i="1"/>
  <c r="BI143" i="1" l="1"/>
  <c r="D742" i="1"/>
  <c r="D768" i="1" s="1"/>
  <c r="D743" i="1"/>
  <c r="D769" i="1" s="1"/>
  <c r="D541" i="1"/>
  <c r="D531" i="1"/>
  <c r="E533" i="1"/>
  <c r="C150" i="1"/>
  <c r="C595" i="1"/>
  <c r="C548" i="1"/>
  <c r="C834" i="1"/>
  <c r="BJ143" i="1" l="1"/>
  <c r="BK143" i="1" s="1"/>
  <c r="BL143" i="1" s="1"/>
  <c r="BM143" i="1" s="1"/>
  <c r="BN143" i="1" s="1"/>
  <c r="BO143" i="1" s="1"/>
  <c r="BP143" i="1" s="1"/>
  <c r="BQ143" i="1" s="1"/>
  <c r="E527" i="1"/>
  <c r="D550" i="1"/>
  <c r="D564" i="1" s="1"/>
  <c r="D568" i="1" s="1"/>
  <c r="D674" i="1"/>
  <c r="C784" i="1"/>
  <c r="C630" i="1"/>
  <c r="C786" i="1"/>
  <c r="C744" i="1"/>
  <c r="D585" i="1" l="1"/>
  <c r="D584" i="1" s="1"/>
  <c r="D628" i="1" s="1"/>
  <c r="CC527" i="1"/>
  <c r="E622" i="1"/>
  <c r="E529" i="1"/>
  <c r="D587" i="1" l="1"/>
  <c r="D629" i="1"/>
  <c r="E534" i="1"/>
  <c r="CC529" i="1"/>
  <c r="E624" i="1"/>
  <c r="CC622" i="1"/>
  <c r="CC624" i="1" s="1"/>
  <c r="CC534" i="1" l="1"/>
  <c r="CC538" i="1" s="1"/>
  <c r="E538" i="1"/>
  <c r="D836" i="1"/>
  <c r="D607" i="1"/>
  <c r="D837" i="1" s="1"/>
  <c r="D590" i="1"/>
  <c r="D548" i="1" l="1"/>
  <c r="D834" i="1"/>
  <c r="D595" i="1"/>
  <c r="D150" i="1"/>
  <c r="E541" i="1"/>
  <c r="E531" i="1"/>
  <c r="E743" i="1"/>
  <c r="E769" i="1" s="1"/>
  <c r="F533" i="1"/>
  <c r="E742" i="1"/>
  <c r="E768" i="1" s="1"/>
  <c r="CC742" i="1"/>
  <c r="CC768" i="1" s="1"/>
  <c r="CD533" i="1"/>
  <c r="CC541" i="1"/>
  <c r="CC550" i="1" s="1"/>
  <c r="CC564" i="1" s="1"/>
  <c r="CC568" i="1" s="1"/>
  <c r="CC743" i="1"/>
  <c r="CC769" i="1" s="1"/>
  <c r="CC531" i="1"/>
  <c r="E674" i="1" l="1"/>
  <c r="CC674" i="1" s="1"/>
  <c r="E550" i="1"/>
  <c r="E564" i="1" s="1"/>
  <c r="E568" i="1" s="1"/>
  <c r="D630" i="1"/>
  <c r="D631" i="1" s="1"/>
  <c r="D744" i="1"/>
  <c r="D786" i="1"/>
  <c r="D784" i="1"/>
  <c r="F527" i="1"/>
  <c r="D618" i="1" l="1"/>
  <c r="D639" i="1"/>
  <c r="D4" i="1" s="1"/>
  <c r="F529" i="1"/>
  <c r="F622" i="1"/>
  <c r="E585" i="1"/>
  <c r="E584" i="1" s="1"/>
  <c r="E587" i="1" l="1"/>
  <c r="E628" i="1"/>
  <c r="CC584" i="1"/>
  <c r="CC585" i="1" s="1"/>
  <c r="CC587" i="1" s="1"/>
  <c r="F624" i="1"/>
  <c r="F534" i="1"/>
  <c r="CC590" i="1" l="1"/>
  <c r="CC836" i="1"/>
  <c r="CC607" i="1"/>
  <c r="CC837" i="1" s="1"/>
  <c r="F538" i="1"/>
  <c r="CC628" i="1"/>
  <c r="CC629" i="1" s="1"/>
  <c r="E629" i="1"/>
  <c r="E836" i="1"/>
  <c r="E590" i="1"/>
  <c r="E607" i="1"/>
  <c r="E837" i="1" s="1"/>
  <c r="CC150" i="1" l="1"/>
  <c r="CC548" i="1"/>
  <c r="CC595" i="1"/>
  <c r="CC834" i="1"/>
  <c r="E834" i="1"/>
  <c r="E150" i="1"/>
  <c r="E595" i="1"/>
  <c r="E548" i="1"/>
  <c r="F743" i="1"/>
  <c r="F769" i="1" s="1"/>
  <c r="G533" i="1"/>
  <c r="F742" i="1"/>
  <c r="F768" i="1" s="1"/>
  <c r="F541" i="1"/>
  <c r="F531" i="1"/>
  <c r="G527" i="1" l="1"/>
  <c r="CC784" i="1"/>
  <c r="CC786" i="1"/>
  <c r="E630" i="1"/>
  <c r="E784" i="1"/>
  <c r="E744" i="1"/>
  <c r="CC744" i="1" s="1"/>
  <c r="E786" i="1"/>
  <c r="F550" i="1"/>
  <c r="F564" i="1" s="1"/>
  <c r="F568" i="1" s="1"/>
  <c r="F674" i="1"/>
  <c r="G529" i="1" l="1"/>
  <c r="G622" i="1"/>
  <c r="CD527" i="1"/>
  <c r="CC630" i="1"/>
  <c r="CC631" i="1" s="1"/>
  <c r="E631" i="1"/>
  <c r="F585" i="1"/>
  <c r="F584" i="1" s="1"/>
  <c r="F628" i="1" s="1"/>
  <c r="F587" i="1" l="1"/>
  <c r="F836" i="1" s="1"/>
  <c r="CC618" i="1"/>
  <c r="CC639" i="1"/>
  <c r="F629" i="1"/>
  <c r="G624" i="1"/>
  <c r="CD622" i="1"/>
  <c r="CD624" i="1" s="1"/>
  <c r="E618" i="1"/>
  <c r="E639" i="1"/>
  <c r="E4" i="1" s="1"/>
  <c r="G534" i="1"/>
  <c r="CD529" i="1"/>
  <c r="F607" i="1" l="1"/>
  <c r="F837" i="1" s="1"/>
  <c r="F590" i="1"/>
  <c r="F548" i="1" s="1"/>
  <c r="CD534" i="1"/>
  <c r="CD538" i="1" s="1"/>
  <c r="G538" i="1"/>
  <c r="F595" i="1" l="1"/>
  <c r="F784" i="1" s="1"/>
  <c r="F834" i="1"/>
  <c r="F150" i="1"/>
  <c r="G743" i="1"/>
  <c r="G769" i="1" s="1"/>
  <c r="H533" i="1"/>
  <c r="G541" i="1"/>
  <c r="G742" i="1"/>
  <c r="G768" i="1" s="1"/>
  <c r="G531" i="1"/>
  <c r="CD531" i="1"/>
  <c r="CD541" i="1"/>
  <c r="CD550" i="1" s="1"/>
  <c r="CD564" i="1" s="1"/>
  <c r="CD568" i="1" s="1"/>
  <c r="CD742" i="1"/>
  <c r="CD768" i="1" s="1"/>
  <c r="CE533" i="1"/>
  <c r="CD743" i="1"/>
  <c r="CD769" i="1" s="1"/>
  <c r="F744" i="1" l="1"/>
  <c r="F786" i="1"/>
  <c r="F630" i="1"/>
  <c r="F631" i="1" s="1"/>
  <c r="F639" i="1" s="1"/>
  <c r="F4" i="1" s="1"/>
  <c r="G550" i="1"/>
  <c r="G564" i="1" s="1"/>
  <c r="G568" i="1" s="1"/>
  <c r="G674" i="1"/>
  <c r="CD674" i="1" s="1"/>
  <c r="H527" i="1"/>
  <c r="F618" i="1" l="1"/>
  <c r="H622" i="1"/>
  <c r="H529" i="1"/>
  <c r="G585" i="1"/>
  <c r="G584" i="1" s="1"/>
  <c r="G587" i="1" l="1"/>
  <c r="G836" i="1" s="1"/>
  <c r="H534" i="1"/>
  <c r="CD584" i="1"/>
  <c r="CD585" i="1" s="1"/>
  <c r="CD587" i="1" s="1"/>
  <c r="G628" i="1"/>
  <c r="H624" i="1"/>
  <c r="G590" i="1" l="1"/>
  <c r="G595" i="1" s="1"/>
  <c r="G607" i="1"/>
  <c r="G837" i="1" s="1"/>
  <c r="CD628" i="1"/>
  <c r="CD629" i="1" s="1"/>
  <c r="G629" i="1"/>
  <c r="CD590" i="1"/>
  <c r="CD836" i="1"/>
  <c r="CD607" i="1"/>
  <c r="CD837" i="1" s="1"/>
  <c r="H538" i="1"/>
  <c r="G150" i="1" l="1"/>
  <c r="G834" i="1"/>
  <c r="G548" i="1"/>
  <c r="H743" i="1"/>
  <c r="H769" i="1" s="1"/>
  <c r="I533" i="1"/>
  <c r="H531" i="1"/>
  <c r="H541" i="1"/>
  <c r="H742" i="1"/>
  <c r="H768" i="1" s="1"/>
  <c r="CD595" i="1"/>
  <c r="CD150" i="1"/>
  <c r="CD548" i="1"/>
  <c r="CD834" i="1"/>
  <c r="G784" i="1"/>
  <c r="G786" i="1"/>
  <c r="G744" i="1"/>
  <c r="CD744" i="1" s="1"/>
  <c r="G630" i="1"/>
  <c r="CD630" i="1" s="1"/>
  <c r="CD631" i="1" s="1"/>
  <c r="CD784" i="1" l="1"/>
  <c r="CD786" i="1"/>
  <c r="H674" i="1"/>
  <c r="H550" i="1"/>
  <c r="H564" i="1" s="1"/>
  <c r="H568" i="1" s="1"/>
  <c r="I527" i="1"/>
  <c r="CD639" i="1"/>
  <c r="CD618" i="1"/>
  <c r="G631" i="1"/>
  <c r="H585" i="1" l="1"/>
  <c r="H584" i="1" s="1"/>
  <c r="H628" i="1" s="1"/>
  <c r="G618" i="1"/>
  <c r="G639" i="1"/>
  <c r="G4" i="1" s="1"/>
  <c r="I622" i="1"/>
  <c r="I529" i="1"/>
  <c r="CE527" i="1"/>
  <c r="H587" i="1" l="1"/>
  <c r="H836" i="1" s="1"/>
  <c r="I534" i="1"/>
  <c r="CE529" i="1"/>
  <c r="I624" i="1"/>
  <c r="CE622" i="1"/>
  <c r="CE624" i="1" s="1"/>
  <c r="H629" i="1"/>
  <c r="H607" i="1" l="1"/>
  <c r="H837" i="1" s="1"/>
  <c r="H590" i="1"/>
  <c r="H150" i="1" s="1"/>
  <c r="CE534" i="1"/>
  <c r="CE538" i="1" s="1"/>
  <c r="I538" i="1"/>
  <c r="H834" i="1" l="1"/>
  <c r="H548" i="1"/>
  <c r="H595" i="1"/>
  <c r="H784" i="1" s="1"/>
  <c r="I541" i="1"/>
  <c r="J533" i="1"/>
  <c r="I743" i="1"/>
  <c r="I769" i="1" s="1"/>
  <c r="I531" i="1"/>
  <c r="I742" i="1"/>
  <c r="I768" i="1" s="1"/>
  <c r="CF533" i="1"/>
  <c r="CE541" i="1"/>
  <c r="CE550" i="1" s="1"/>
  <c r="CE564" i="1" s="1"/>
  <c r="CE568" i="1" s="1"/>
  <c r="CE531" i="1"/>
  <c r="CE742" i="1"/>
  <c r="CE768" i="1" s="1"/>
  <c r="CE743" i="1"/>
  <c r="CE769" i="1" s="1"/>
  <c r="H630" i="1" l="1"/>
  <c r="H631" i="1" s="1"/>
  <c r="H786" i="1"/>
  <c r="H744" i="1"/>
  <c r="J527" i="1"/>
  <c r="I550" i="1"/>
  <c r="I564" i="1" s="1"/>
  <c r="I568" i="1" s="1"/>
  <c r="I674" i="1"/>
  <c r="CE674" i="1" s="1"/>
  <c r="J529" i="1" l="1"/>
  <c r="J622" i="1"/>
  <c r="I585" i="1"/>
  <c r="I584" i="1" s="1"/>
  <c r="H639" i="1"/>
  <c r="H4" i="1" s="1"/>
  <c r="H618" i="1"/>
  <c r="I587" i="1" l="1"/>
  <c r="CE584" i="1"/>
  <c r="CE585" i="1" s="1"/>
  <c r="CE587" i="1" s="1"/>
  <c r="I628" i="1"/>
  <c r="J624" i="1"/>
  <c r="J534" i="1"/>
  <c r="J538" i="1" l="1"/>
  <c r="CE628" i="1"/>
  <c r="CE629" i="1" s="1"/>
  <c r="I629" i="1"/>
  <c r="CE836" i="1"/>
  <c r="CE607" i="1"/>
  <c r="CE837" i="1" s="1"/>
  <c r="CE590" i="1"/>
  <c r="I607" i="1"/>
  <c r="I837" i="1" s="1"/>
  <c r="I590" i="1"/>
  <c r="I836" i="1"/>
  <c r="CE595" i="1" l="1"/>
  <c r="CE834" i="1"/>
  <c r="CE548" i="1"/>
  <c r="CE150" i="1"/>
  <c r="I150" i="1"/>
  <c r="I595" i="1"/>
  <c r="I834" i="1"/>
  <c r="I548" i="1"/>
  <c r="J743" i="1"/>
  <c r="J769" i="1" s="1"/>
  <c r="J531" i="1"/>
  <c r="J541" i="1"/>
  <c r="K533" i="1"/>
  <c r="J742" i="1"/>
  <c r="J768" i="1" s="1"/>
  <c r="K527" i="1" l="1"/>
  <c r="J674" i="1"/>
  <c r="J550" i="1"/>
  <c r="J564" i="1" s="1"/>
  <c r="J568" i="1" s="1"/>
  <c r="I784" i="1"/>
  <c r="I786" i="1"/>
  <c r="I630" i="1"/>
  <c r="I744" i="1"/>
  <c r="CE744" i="1" s="1"/>
  <c r="CE786" i="1"/>
  <c r="CE784" i="1"/>
  <c r="CE630" i="1" l="1"/>
  <c r="CE631" i="1" s="1"/>
  <c r="I631" i="1"/>
  <c r="K529" i="1"/>
  <c r="K622" i="1"/>
  <c r="CF527" i="1"/>
  <c r="J585" i="1"/>
  <c r="J584" i="1" s="1"/>
  <c r="J628" i="1" s="1"/>
  <c r="K534" i="1" l="1"/>
  <c r="CF529" i="1"/>
  <c r="J587" i="1"/>
  <c r="J629" i="1"/>
  <c r="I618" i="1"/>
  <c r="I639" i="1"/>
  <c r="I4" i="1" s="1"/>
  <c r="K624" i="1"/>
  <c r="CF622" i="1"/>
  <c r="CF624" i="1" s="1"/>
  <c r="CE639" i="1"/>
  <c r="CE618" i="1"/>
  <c r="J836" i="1" l="1"/>
  <c r="J590" i="1"/>
  <c r="J607" i="1"/>
  <c r="J837" i="1" s="1"/>
  <c r="CF534" i="1"/>
  <c r="CF538" i="1" s="1"/>
  <c r="K538" i="1"/>
  <c r="K742" i="1" l="1"/>
  <c r="K768" i="1" s="1"/>
  <c r="L533" i="1"/>
  <c r="K531" i="1"/>
  <c r="K743" i="1"/>
  <c r="K769" i="1" s="1"/>
  <c r="K541" i="1"/>
  <c r="CF742" i="1"/>
  <c r="CF768" i="1" s="1"/>
  <c r="CF531" i="1"/>
  <c r="CF541" i="1"/>
  <c r="CF550" i="1" s="1"/>
  <c r="CF564" i="1" s="1"/>
  <c r="CF568" i="1" s="1"/>
  <c r="CG533" i="1"/>
  <c r="CF743" i="1"/>
  <c r="CF769" i="1" s="1"/>
  <c r="J150" i="1"/>
  <c r="J595" i="1"/>
  <c r="J834" i="1"/>
  <c r="J548" i="1"/>
  <c r="K674" i="1" l="1"/>
  <c r="CF674" i="1" s="1"/>
  <c r="K550" i="1"/>
  <c r="K564" i="1" s="1"/>
  <c r="K568" i="1" s="1"/>
  <c r="L527" i="1"/>
  <c r="J786" i="1"/>
  <c r="J784" i="1"/>
  <c r="J744" i="1"/>
  <c r="J630" i="1"/>
  <c r="J631" i="1" s="1"/>
  <c r="J639" i="1" l="1"/>
  <c r="J4" i="1" s="1"/>
  <c r="J618" i="1"/>
  <c r="L529" i="1"/>
  <c r="L622" i="1"/>
  <c r="K585" i="1"/>
  <c r="K584" i="1" s="1"/>
  <c r="K587" i="1" l="1"/>
  <c r="K590" i="1" s="1"/>
  <c r="L624" i="1"/>
  <c r="CF584" i="1"/>
  <c r="CF585" i="1" s="1"/>
  <c r="CF587" i="1" s="1"/>
  <c r="K628" i="1"/>
  <c r="L534" i="1"/>
  <c r="K836" i="1" l="1"/>
  <c r="K607" i="1"/>
  <c r="K837" i="1" s="1"/>
  <c r="K150" i="1"/>
  <c r="K834" i="1"/>
  <c r="K548" i="1"/>
  <c r="K595" i="1"/>
  <c r="L538" i="1"/>
  <c r="CF628" i="1"/>
  <c r="CF629" i="1" s="1"/>
  <c r="K629" i="1"/>
  <c r="CF590" i="1"/>
  <c r="CF607" i="1"/>
  <c r="CF837" i="1" s="1"/>
  <c r="CF836" i="1"/>
  <c r="K786" i="1" l="1"/>
  <c r="K784" i="1"/>
  <c r="K744" i="1"/>
  <c r="CF744" i="1" s="1"/>
  <c r="K630" i="1"/>
  <c r="CF630" i="1" s="1"/>
  <c r="CF631" i="1" s="1"/>
  <c r="L743" i="1"/>
  <c r="L769" i="1" s="1"/>
  <c r="L541" i="1"/>
  <c r="M533" i="1"/>
  <c r="L742" i="1"/>
  <c r="L768" i="1" s="1"/>
  <c r="L531" i="1"/>
  <c r="CF150" i="1"/>
  <c r="CF595" i="1"/>
  <c r="CF834" i="1"/>
  <c r="CF548" i="1"/>
  <c r="K631" i="1" l="1"/>
  <c r="K639" i="1" s="1"/>
  <c r="K4" i="1" s="1"/>
  <c r="L674" i="1"/>
  <c r="L550" i="1"/>
  <c r="L564" i="1" s="1"/>
  <c r="L568" i="1" s="1"/>
  <c r="CF639" i="1"/>
  <c r="CF618" i="1"/>
  <c r="CF786" i="1"/>
  <c r="CF784" i="1"/>
  <c r="M527" i="1"/>
  <c r="K618" i="1" l="1"/>
  <c r="L585" i="1"/>
  <c r="L584" i="1" s="1"/>
  <c r="L628" i="1" s="1"/>
  <c r="M529" i="1"/>
  <c r="M622" i="1"/>
  <c r="CG527" i="1"/>
  <c r="L587" i="1" l="1"/>
  <c r="L607" i="1" s="1"/>
  <c r="L837" i="1" s="1"/>
  <c r="M624" i="1"/>
  <c r="CG622" i="1"/>
  <c r="CG624" i="1" s="1"/>
  <c r="M534" i="1"/>
  <c r="CG529" i="1"/>
  <c r="L629" i="1"/>
  <c r="L590" i="1" l="1"/>
  <c r="L595" i="1" s="1"/>
  <c r="L836" i="1"/>
  <c r="CG534" i="1"/>
  <c r="CG538" i="1" s="1"/>
  <c r="M538" i="1"/>
  <c r="L834" i="1" l="1"/>
  <c r="L150" i="1"/>
  <c r="L548" i="1"/>
  <c r="L630" i="1"/>
  <c r="L631" i="1" s="1"/>
  <c r="L786" i="1"/>
  <c r="L784" i="1"/>
  <c r="L744" i="1"/>
  <c r="M531" i="1"/>
  <c r="M541" i="1"/>
  <c r="N533" i="1"/>
  <c r="M743" i="1"/>
  <c r="M769" i="1" s="1"/>
  <c r="M742" i="1"/>
  <c r="M768" i="1" s="1"/>
  <c r="CG541" i="1"/>
  <c r="CH533" i="1"/>
  <c r="CG742" i="1"/>
  <c r="CG743" i="1"/>
  <c r="CG531" i="1"/>
  <c r="Q245" i="8" l="1"/>
  <c r="CG768" i="1"/>
  <c r="N527" i="1"/>
  <c r="CG769" i="1"/>
  <c r="CG550" i="1"/>
  <c r="CG564" i="1" s="1"/>
  <c r="CG568" i="1" s="1"/>
  <c r="M550" i="1"/>
  <c r="M564" i="1" s="1"/>
  <c r="M568" i="1" s="1"/>
  <c r="M674" i="1"/>
  <c r="CG674" i="1" s="1"/>
  <c r="L618" i="1"/>
  <c r="L639" i="1"/>
  <c r="L4" i="1" s="1"/>
  <c r="Q237" i="8" l="1"/>
  <c r="Q244" i="8"/>
  <c r="N622" i="1"/>
  <c r="N529" i="1"/>
  <c r="M585" i="1"/>
  <c r="M584" i="1" s="1"/>
  <c r="Q242" i="8"/>
  <c r="Q231" i="8" l="1"/>
  <c r="N624" i="1"/>
  <c r="M587" i="1"/>
  <c r="CG584" i="1"/>
  <c r="CG585" i="1" s="1"/>
  <c r="CG587" i="1" s="1"/>
  <c r="M628" i="1"/>
  <c r="N534" i="1"/>
  <c r="N538" i="1" l="1"/>
  <c r="CG628" i="1"/>
  <c r="CG629" i="1" s="1"/>
  <c r="M629" i="1"/>
  <c r="CG590" i="1"/>
  <c r="CG607" i="1"/>
  <c r="CG836" i="1"/>
  <c r="M590" i="1"/>
  <c r="M607" i="1"/>
  <c r="M837" i="1" s="1"/>
  <c r="M836" i="1"/>
  <c r="CG834" i="1" l="1"/>
  <c r="CG548" i="1"/>
  <c r="CG150" i="1"/>
  <c r="CG595" i="1"/>
  <c r="N742" i="1"/>
  <c r="N768" i="1" s="1"/>
  <c r="O533" i="1"/>
  <c r="N531" i="1"/>
  <c r="N743" i="1"/>
  <c r="N769" i="1" s="1"/>
  <c r="N541" i="1"/>
  <c r="M834" i="1"/>
  <c r="M595" i="1"/>
  <c r="M548" i="1"/>
  <c r="M150" i="1"/>
  <c r="CG837" i="1"/>
  <c r="Q355" i="8" l="1"/>
  <c r="O527" i="1"/>
  <c r="CG784" i="1"/>
  <c r="CG786" i="1"/>
  <c r="N550" i="1"/>
  <c r="N674" i="1"/>
  <c r="M786" i="1"/>
  <c r="M784" i="1"/>
  <c r="M744" i="1"/>
  <c r="CG744" i="1" s="1"/>
  <c r="M630" i="1"/>
  <c r="CG630" i="1" l="1"/>
  <c r="CG631" i="1" s="1"/>
  <c r="M631" i="1"/>
  <c r="N562" i="1"/>
  <c r="N561" i="1" s="1"/>
  <c r="N628" i="1" s="1"/>
  <c r="O529" i="1"/>
  <c r="O622" i="1"/>
  <c r="CH527" i="1"/>
  <c r="N564" i="1" l="1"/>
  <c r="N568" i="1" s="1"/>
  <c r="N587" i="1" s="1"/>
  <c r="O534" i="1"/>
  <c r="CH529" i="1"/>
  <c r="N629" i="1"/>
  <c r="M639" i="1"/>
  <c r="M4" i="1" s="1"/>
  <c r="M618" i="1"/>
  <c r="O624" i="1"/>
  <c r="CH622" i="1"/>
  <c r="CH624" i="1" s="1"/>
  <c r="CG618" i="1"/>
  <c r="CG639" i="1"/>
  <c r="CH534" i="1" l="1"/>
  <c r="CH538" i="1" s="1"/>
  <c r="O538" i="1"/>
  <c r="N607" i="1"/>
  <c r="N837" i="1" s="1"/>
  <c r="N590" i="1"/>
  <c r="N836" i="1"/>
  <c r="O743" i="1" l="1"/>
  <c r="O769" i="1" s="1"/>
  <c r="O531" i="1"/>
  <c r="O541" i="1"/>
  <c r="P533" i="1"/>
  <c r="O742" i="1"/>
  <c r="O768" i="1" s="1"/>
  <c r="N150" i="1"/>
  <c r="N548" i="1"/>
  <c r="N834" i="1"/>
  <c r="N595" i="1"/>
  <c r="CH541" i="1"/>
  <c r="CH742" i="1"/>
  <c r="CH531" i="1"/>
  <c r="CH743" i="1"/>
  <c r="CI533" i="1"/>
  <c r="CH769" i="1" l="1"/>
  <c r="O674" i="1"/>
  <c r="CH674" i="1" s="1"/>
  <c r="O550" i="1"/>
  <c r="CH768" i="1"/>
  <c r="R245" i="8"/>
  <c r="CH550" i="1"/>
  <c r="N784" i="1"/>
  <c r="N786" i="1"/>
  <c r="N744" i="1"/>
  <c r="N630" i="1"/>
  <c r="P527" i="1"/>
  <c r="R242" i="8" l="1"/>
  <c r="N631" i="1"/>
  <c r="O562" i="1"/>
  <c r="O561" i="1" s="1"/>
  <c r="P529" i="1"/>
  <c r="P622" i="1"/>
  <c r="R244" i="8"/>
  <c r="O564" i="1" l="1"/>
  <c r="O568" i="1" s="1"/>
  <c r="O587" i="1" s="1"/>
  <c r="O607" i="1" s="1"/>
  <c r="O837" i="1" s="1"/>
  <c r="R231" i="8"/>
  <c r="R237" i="8"/>
  <c r="N639" i="1"/>
  <c r="N4" i="1" s="1"/>
  <c r="N618" i="1"/>
  <c r="P624" i="1"/>
  <c r="O836" i="1"/>
  <c r="CH561" i="1"/>
  <c r="CH562" i="1" s="1"/>
  <c r="CH564" i="1" s="1"/>
  <c r="CH568" i="1" s="1"/>
  <c r="CH587" i="1" s="1"/>
  <c r="O628" i="1"/>
  <c r="P534" i="1"/>
  <c r="O590" i="1" l="1"/>
  <c r="O548" i="1" s="1"/>
  <c r="CH836" i="1"/>
  <c r="CH607" i="1"/>
  <c r="CH590" i="1"/>
  <c r="CH628" i="1"/>
  <c r="CH629" i="1" s="1"/>
  <c r="O629" i="1"/>
  <c r="P538" i="1"/>
  <c r="O150" i="1" l="1"/>
  <c r="O595" i="1"/>
  <c r="O786" i="1" s="1"/>
  <c r="O834" i="1"/>
  <c r="CH150" i="1"/>
  <c r="CH834" i="1"/>
  <c r="CH595" i="1"/>
  <c r="CH548" i="1"/>
  <c r="CH837" i="1"/>
  <c r="P742" i="1"/>
  <c r="P768" i="1" s="1"/>
  <c r="Q533" i="1"/>
  <c r="P743" i="1"/>
  <c r="P769" i="1" s="1"/>
  <c r="P541" i="1"/>
  <c r="P531" i="1"/>
  <c r="O630" i="1" l="1"/>
  <c r="CH630" i="1" s="1"/>
  <c r="CH631" i="1" s="1"/>
  <c r="CH618" i="1" s="1"/>
  <c r="O744" i="1"/>
  <c r="CH744" i="1" s="1"/>
  <c r="O784" i="1"/>
  <c r="R355" i="8"/>
  <c r="P550" i="1"/>
  <c r="P674" i="1"/>
  <c r="CH784" i="1"/>
  <c r="CH786" i="1"/>
  <c r="Q527" i="1"/>
  <c r="CH639" i="1" l="1"/>
  <c r="O631" i="1"/>
  <c r="O639" i="1" s="1"/>
  <c r="O4" i="1" s="1"/>
  <c r="P562" i="1"/>
  <c r="P561" i="1" s="1"/>
  <c r="P628" i="1" s="1"/>
  <c r="Q529" i="1"/>
  <c r="Q622" i="1"/>
  <c r="CI527" i="1"/>
  <c r="O618" i="1" l="1"/>
  <c r="P564" i="1"/>
  <c r="P568" i="1" s="1"/>
  <c r="P587" i="1" s="1"/>
  <c r="P607" i="1" s="1"/>
  <c r="P837" i="1" s="1"/>
  <c r="Q624" i="1"/>
  <c r="CI622" i="1"/>
  <c r="CI624" i="1" s="1"/>
  <c r="Q534" i="1"/>
  <c r="CI529" i="1"/>
  <c r="P629" i="1"/>
  <c r="P836" i="1" l="1"/>
  <c r="P590" i="1"/>
  <c r="P150" i="1" s="1"/>
  <c r="CI534" i="1"/>
  <c r="CI538" i="1" s="1"/>
  <c r="Q538" i="1"/>
  <c r="P595" i="1" l="1"/>
  <c r="P784" i="1" s="1"/>
  <c r="P834" i="1"/>
  <c r="P548" i="1"/>
  <c r="CJ533" i="1"/>
  <c r="CI742" i="1"/>
  <c r="CI541" i="1"/>
  <c r="CI743" i="1"/>
  <c r="CI531" i="1"/>
  <c r="R533" i="1"/>
  <c r="Q742" i="1"/>
  <c r="Q768" i="1" s="1"/>
  <c r="Q743" i="1"/>
  <c r="Q769" i="1" s="1"/>
  <c r="Q531" i="1"/>
  <c r="Q541" i="1"/>
  <c r="P744" i="1" l="1"/>
  <c r="P630" i="1"/>
  <c r="P631" i="1" s="1"/>
  <c r="P639" i="1" s="1"/>
  <c r="P4" i="1" s="1"/>
  <c r="P786" i="1"/>
  <c r="R527" i="1"/>
  <c r="CI550" i="1"/>
  <c r="CI769" i="1"/>
  <c r="Q550" i="1"/>
  <c r="Q674" i="1"/>
  <c r="CI674" i="1" s="1"/>
  <c r="S245" i="8"/>
  <c r="CI768" i="1"/>
  <c r="P618" i="1" l="1"/>
  <c r="S244" i="8"/>
  <c r="S242" i="8"/>
  <c r="Q562" i="1"/>
  <c r="Q561" i="1" s="1"/>
  <c r="R622" i="1"/>
  <c r="R529" i="1"/>
  <c r="Q564" i="1" l="1"/>
  <c r="Q568" i="1" s="1"/>
  <c r="Q587" i="1" s="1"/>
  <c r="Q836" i="1" s="1"/>
  <c r="CI561" i="1"/>
  <c r="CI562" i="1" s="1"/>
  <c r="CI564" i="1" s="1"/>
  <c r="CI568" i="1" s="1"/>
  <c r="CI587" i="1" s="1"/>
  <c r="Q628" i="1"/>
  <c r="S231" i="8"/>
  <c r="S237" i="8"/>
  <c r="R534" i="1"/>
  <c r="R624" i="1"/>
  <c r="Q607" i="1" l="1"/>
  <c r="Q837" i="1" s="1"/>
  <c r="Q590" i="1"/>
  <c r="Q150" i="1" s="1"/>
  <c r="R538" i="1"/>
  <c r="Q548" i="1"/>
  <c r="CI628" i="1"/>
  <c r="CI629" i="1" s="1"/>
  <c r="Q629" i="1"/>
  <c r="CI590" i="1"/>
  <c r="CI836" i="1"/>
  <c r="CI607" i="1"/>
  <c r="Q595" i="1" l="1"/>
  <c r="Q784" i="1" s="1"/>
  <c r="Q834" i="1"/>
  <c r="CI834" i="1"/>
  <c r="CI150" i="1"/>
  <c r="CI595" i="1"/>
  <c r="CI548" i="1"/>
  <c r="R743" i="1"/>
  <c r="R769" i="1" s="1"/>
  <c r="R742" i="1"/>
  <c r="R768" i="1" s="1"/>
  <c r="S533" i="1"/>
  <c r="R531" i="1"/>
  <c r="R541" i="1"/>
  <c r="CI837" i="1"/>
  <c r="Q744" i="1" l="1"/>
  <c r="CI744" i="1" s="1"/>
  <c r="Q630" i="1"/>
  <c r="CI630" i="1" s="1"/>
  <c r="CI631" i="1" s="1"/>
  <c r="CI618" i="1" s="1"/>
  <c r="Q786" i="1"/>
  <c r="S355" i="8"/>
  <c r="R674" i="1"/>
  <c r="R550" i="1"/>
  <c r="CI786" i="1"/>
  <c r="CI784" i="1"/>
  <c r="S527" i="1"/>
  <c r="CI639" i="1" l="1"/>
  <c r="Q631" i="1"/>
  <c r="Q618" i="1" s="1"/>
  <c r="S622" i="1"/>
  <c r="S529" i="1"/>
  <c r="CJ527" i="1"/>
  <c r="R562" i="1"/>
  <c r="R561" i="1" s="1"/>
  <c r="R628" i="1" s="1"/>
  <c r="Q639" i="1" l="1"/>
  <c r="Q4" i="1" s="1"/>
  <c r="R564" i="1"/>
  <c r="R568" i="1" s="1"/>
  <c r="R587" i="1" s="1"/>
  <c r="R629" i="1"/>
  <c r="S534" i="1"/>
  <c r="CJ529" i="1"/>
  <c r="S624" i="1"/>
  <c r="CJ622" i="1"/>
  <c r="CJ624" i="1" s="1"/>
  <c r="CJ534" i="1" l="1"/>
  <c r="CJ538" i="1" s="1"/>
  <c r="S538" i="1"/>
  <c r="R590" i="1"/>
  <c r="R607" i="1"/>
  <c r="R837" i="1" s="1"/>
  <c r="R836" i="1"/>
  <c r="R834" i="1" l="1"/>
  <c r="R595" i="1"/>
  <c r="R548" i="1"/>
  <c r="R150" i="1"/>
  <c r="S531" i="1"/>
  <c r="S541" i="1"/>
  <c r="S743" i="1"/>
  <c r="S769" i="1" s="1"/>
  <c r="S742" i="1"/>
  <c r="S768" i="1" s="1"/>
  <c r="T533" i="1"/>
  <c r="CJ541" i="1"/>
  <c r="CJ531" i="1"/>
  <c r="CJ742" i="1"/>
  <c r="CK533" i="1"/>
  <c r="CJ743" i="1"/>
  <c r="CJ550" i="1" l="1"/>
  <c r="T527" i="1"/>
  <c r="S550" i="1"/>
  <c r="S674" i="1"/>
  <c r="CJ674" i="1" s="1"/>
  <c r="T245" i="8"/>
  <c r="CJ768" i="1"/>
  <c r="R786" i="1"/>
  <c r="R784" i="1"/>
  <c r="R744" i="1"/>
  <c r="R630" i="1"/>
  <c r="CJ769" i="1"/>
  <c r="T237" i="8" l="1"/>
  <c r="R631" i="1"/>
  <c r="S562" i="1"/>
  <c r="S561" i="1" s="1"/>
  <c r="T242" i="8"/>
  <c r="T622" i="1"/>
  <c r="T529" i="1"/>
  <c r="T244" i="8"/>
  <c r="S564" i="1" l="1"/>
  <c r="S568" i="1" s="1"/>
  <c r="S587" i="1" s="1"/>
  <c r="S590" i="1" s="1"/>
  <c r="T231" i="8"/>
  <c r="T534" i="1"/>
  <c r="CJ561" i="1"/>
  <c r="CJ562" i="1" s="1"/>
  <c r="CJ564" i="1" s="1"/>
  <c r="CJ568" i="1" s="1"/>
  <c r="CJ587" i="1" s="1"/>
  <c r="S628" i="1"/>
  <c r="R618" i="1"/>
  <c r="R639" i="1"/>
  <c r="R4" i="1" s="1"/>
  <c r="T624" i="1"/>
  <c r="S607" i="1" l="1"/>
  <c r="S837" i="1" s="1"/>
  <c r="S836" i="1"/>
  <c r="CJ607" i="1"/>
  <c r="CJ590" i="1"/>
  <c r="CJ836" i="1"/>
  <c r="T538" i="1"/>
  <c r="CJ628" i="1"/>
  <c r="CJ629" i="1" s="1"/>
  <c r="S629" i="1"/>
  <c r="S150" i="1"/>
  <c r="S548" i="1"/>
  <c r="S834" i="1"/>
  <c r="S595" i="1"/>
  <c r="T743" i="1" l="1"/>
  <c r="T769" i="1" s="1"/>
  <c r="T541" i="1"/>
  <c r="U533" i="1"/>
  <c r="T531" i="1"/>
  <c r="T742" i="1"/>
  <c r="T768" i="1" s="1"/>
  <c r="CJ595" i="1"/>
  <c r="CJ548" i="1"/>
  <c r="CJ150" i="1"/>
  <c r="CJ834" i="1"/>
  <c r="S630" i="1"/>
  <c r="CJ630" i="1" s="1"/>
  <c r="CJ631" i="1" s="1"/>
  <c r="S784" i="1"/>
  <c r="S786" i="1"/>
  <c r="S744" i="1"/>
  <c r="CJ744" i="1" s="1"/>
  <c r="CJ837" i="1"/>
  <c r="T355" i="8" l="1"/>
  <c r="U527" i="1"/>
  <c r="CJ786" i="1"/>
  <c r="CJ784" i="1"/>
  <c r="T550" i="1"/>
  <c r="T674" i="1"/>
  <c r="CJ639" i="1"/>
  <c r="CJ618" i="1"/>
  <c r="S631" i="1"/>
  <c r="T562" i="1" l="1"/>
  <c r="T561" i="1" s="1"/>
  <c r="T628" i="1" s="1"/>
  <c r="S639" i="1"/>
  <c r="S4" i="1" s="1"/>
  <c r="S618" i="1"/>
  <c r="U529" i="1"/>
  <c r="U622" i="1"/>
  <c r="CK527" i="1"/>
  <c r="T564" i="1" l="1"/>
  <c r="T568" i="1" s="1"/>
  <c r="T587" i="1" s="1"/>
  <c r="T836" i="1" s="1"/>
  <c r="U534" i="1"/>
  <c r="CK529" i="1"/>
  <c r="U624" i="1"/>
  <c r="CK622" i="1"/>
  <c r="CK624" i="1" s="1"/>
  <c r="T629" i="1"/>
  <c r="T590" i="1" l="1"/>
  <c r="T834" i="1" s="1"/>
  <c r="T607" i="1"/>
  <c r="T837" i="1" s="1"/>
  <c r="CK534" i="1"/>
  <c r="CK538" i="1" s="1"/>
  <c r="U538" i="1"/>
  <c r="T595" i="1" l="1"/>
  <c r="T786" i="1" s="1"/>
  <c r="T150" i="1"/>
  <c r="T548" i="1"/>
  <c r="T784" i="1"/>
  <c r="T744" i="1"/>
  <c r="T630" i="1"/>
  <c r="U743" i="1"/>
  <c r="U769" i="1" s="1"/>
  <c r="U742" i="1"/>
  <c r="U768" i="1" s="1"/>
  <c r="V533" i="1"/>
  <c r="U531" i="1"/>
  <c r="U541" i="1"/>
  <c r="CK742" i="1"/>
  <c r="CK541" i="1"/>
  <c r="CL533" i="1"/>
  <c r="CK743" i="1"/>
  <c r="CK531" i="1"/>
  <c r="CK769" i="1" l="1"/>
  <c r="U245" i="8"/>
  <c r="CK768" i="1"/>
  <c r="T631" i="1"/>
  <c r="U550" i="1"/>
  <c r="U674" i="1"/>
  <c r="CK674" i="1" s="1"/>
  <c r="V527" i="1"/>
  <c r="CK550" i="1"/>
  <c r="U237" i="8" l="1"/>
  <c r="U242" i="8"/>
  <c r="U244" i="8"/>
  <c r="U562" i="1"/>
  <c r="U561" i="1" s="1"/>
  <c r="V622" i="1"/>
  <c r="V529" i="1"/>
  <c r="T639" i="1"/>
  <c r="T4" i="1" s="1"/>
  <c r="T618" i="1"/>
  <c r="U231" i="8" l="1"/>
  <c r="CK561" i="1"/>
  <c r="CK562" i="1" s="1"/>
  <c r="CK564" i="1" s="1"/>
  <c r="CK568" i="1" s="1"/>
  <c r="CK587" i="1" s="1"/>
  <c r="U628" i="1"/>
  <c r="V534" i="1"/>
  <c r="V624" i="1"/>
  <c r="U564" i="1"/>
  <c r="U568" i="1" s="1"/>
  <c r="U587" i="1" s="1"/>
  <c r="V538" i="1" l="1"/>
  <c r="CK628" i="1"/>
  <c r="CK629" i="1" s="1"/>
  <c r="U629" i="1"/>
  <c r="U590" i="1"/>
  <c r="U607" i="1"/>
  <c r="U837" i="1" s="1"/>
  <c r="U836" i="1"/>
  <c r="CK607" i="1"/>
  <c r="CK590" i="1"/>
  <c r="CK836" i="1"/>
  <c r="CK548" i="1" l="1"/>
  <c r="CK595" i="1"/>
  <c r="CK834" i="1"/>
  <c r="CK150" i="1"/>
  <c r="U548" i="1"/>
  <c r="U595" i="1"/>
  <c r="U834" i="1"/>
  <c r="U150" i="1"/>
  <c r="CK837" i="1"/>
  <c r="V531" i="1"/>
  <c r="V743" i="1"/>
  <c r="V769" i="1" s="1"/>
  <c r="V742" i="1"/>
  <c r="V768" i="1" s="1"/>
  <c r="V541" i="1"/>
  <c r="W533" i="1"/>
  <c r="U355" i="8" l="1"/>
  <c r="W527" i="1"/>
  <c r="V674" i="1"/>
  <c r="V550" i="1"/>
  <c r="CK786" i="1"/>
  <c r="CK784" i="1"/>
  <c r="U786" i="1"/>
  <c r="U784" i="1"/>
  <c r="U630" i="1"/>
  <c r="U744" i="1"/>
  <c r="CK744" i="1" s="1"/>
  <c r="CK630" i="1" l="1"/>
  <c r="CK631" i="1" s="1"/>
  <c r="U631" i="1"/>
  <c r="V562" i="1"/>
  <c r="V561" i="1" s="1"/>
  <c r="V628" i="1" s="1"/>
  <c r="V629" i="1" s="1"/>
  <c r="W529" i="1"/>
  <c r="W622" i="1"/>
  <c r="CL527" i="1"/>
  <c r="V564" i="1" l="1"/>
  <c r="V568" i="1" s="1"/>
  <c r="V587" i="1" s="1"/>
  <c r="V836" i="1" s="1"/>
  <c r="W534" i="1"/>
  <c r="CL529" i="1"/>
  <c r="U618" i="1"/>
  <c r="U639" i="1"/>
  <c r="U4" i="1" s="1"/>
  <c r="W624" i="1"/>
  <c r="CL622" i="1"/>
  <c r="CL624" i="1" s="1"/>
  <c r="CK639" i="1"/>
  <c r="CK618" i="1"/>
  <c r="V607" i="1" l="1"/>
  <c r="V837" i="1" s="1"/>
  <c r="V590" i="1"/>
  <c r="V834" i="1" s="1"/>
  <c r="CL534" i="1"/>
  <c r="CL538" i="1" s="1"/>
  <c r="W538" i="1"/>
  <c r="V548" i="1" l="1"/>
  <c r="V595" i="1"/>
  <c r="V784" i="1" s="1"/>
  <c r="V150" i="1"/>
  <c r="CL541" i="1"/>
  <c r="CL742" i="1"/>
  <c r="CL531" i="1"/>
  <c r="CM533" i="1"/>
  <c r="CL743" i="1"/>
  <c r="X533" i="1"/>
  <c r="W743" i="1"/>
  <c r="W769" i="1" s="1"/>
  <c r="W541" i="1"/>
  <c r="W531" i="1"/>
  <c r="W742" i="1"/>
  <c r="W768" i="1" s="1"/>
  <c r="V630" i="1" l="1"/>
  <c r="V631" i="1" s="1"/>
  <c r="V618" i="1" s="1"/>
  <c r="V744" i="1"/>
  <c r="V786" i="1"/>
  <c r="X527" i="1"/>
  <c r="V245" i="8"/>
  <c r="CL768" i="1"/>
  <c r="CL769" i="1"/>
  <c r="CL550" i="1"/>
  <c r="W674" i="1"/>
  <c r="CL674" i="1" s="1"/>
  <c r="W550" i="1"/>
  <c r="V639" i="1" l="1"/>
  <c r="V4" i="1" s="1"/>
  <c r="V237" i="8"/>
  <c r="W562" i="1"/>
  <c r="W561" i="1" s="1"/>
  <c r="V242" i="8"/>
  <c r="V244" i="8"/>
  <c r="X529" i="1"/>
  <c r="X622" i="1"/>
  <c r="V231" i="8" l="1"/>
  <c r="W564" i="1"/>
  <c r="W568" i="1" s="1"/>
  <c r="W587" i="1" s="1"/>
  <c r="W590" i="1" s="1"/>
  <c r="X624" i="1"/>
  <c r="X534" i="1"/>
  <c r="W628" i="1"/>
  <c r="CL628" i="1" s="1"/>
  <c r="CL561" i="1"/>
  <c r="CL562" i="1" s="1"/>
  <c r="CL564" i="1" s="1"/>
  <c r="CL568" i="1" s="1"/>
  <c r="CL587" i="1" s="1"/>
  <c r="W607" i="1" l="1"/>
  <c r="W837" i="1" s="1"/>
  <c r="W836" i="1"/>
  <c r="W150" i="1"/>
  <c r="W548" i="1"/>
  <c r="W834" i="1"/>
  <c r="W151" i="1" s="1"/>
  <c r="X538" i="1"/>
  <c r="CL607" i="1"/>
  <c r="CL590" i="1"/>
  <c r="CL836" i="1"/>
  <c r="CL837" i="1" l="1"/>
  <c r="X531" i="1"/>
  <c r="Y533" i="1"/>
  <c r="X541" i="1"/>
  <c r="X742" i="1"/>
  <c r="X768" i="1" s="1"/>
  <c r="X743" i="1"/>
  <c r="X769" i="1" s="1"/>
  <c r="W595" i="1"/>
  <c r="CL151" i="1"/>
  <c r="CL595" i="1" s="1"/>
  <c r="W625" i="1"/>
  <c r="W741" i="1"/>
  <c r="W767" i="1" s="1"/>
  <c r="W740" i="1"/>
  <c r="W766" i="1" s="1"/>
  <c r="CL834" i="1"/>
  <c r="CL150" i="1"/>
  <c r="CL548" i="1"/>
  <c r="W784" i="1" l="1"/>
  <c r="W786" i="1"/>
  <c r="W630" i="1"/>
  <c r="CL630" i="1" s="1"/>
  <c r="W744" i="1"/>
  <c r="CL744" i="1" s="1"/>
  <c r="X550" i="1"/>
  <c r="X674" i="1"/>
  <c r="Y527" i="1"/>
  <c r="CL784" i="1"/>
  <c r="CL786" i="1"/>
  <c r="CL625" i="1"/>
  <c r="CL629" i="1" s="1"/>
  <c r="W629" i="1"/>
  <c r="CL740" i="1"/>
  <c r="CL766" i="1" s="1"/>
  <c r="CL741" i="1"/>
  <c r="CL767" i="1" s="1"/>
  <c r="V355" i="8"/>
  <c r="W631" i="1" l="1"/>
  <c r="W618" i="1" s="1"/>
  <c r="CL631" i="1"/>
  <c r="X562" i="1"/>
  <c r="X561" i="1" s="1"/>
  <c r="X628" i="1" s="1"/>
  <c r="Y622" i="1"/>
  <c r="Y529" i="1"/>
  <c r="CM527" i="1"/>
  <c r="W639" i="1" l="1"/>
  <c r="W4" i="1" s="1"/>
  <c r="Y624" i="1"/>
  <c r="CM622" i="1"/>
  <c r="CM624" i="1" s="1"/>
  <c r="X564" i="1"/>
  <c r="X568" i="1" s="1"/>
  <c r="X587" i="1" s="1"/>
  <c r="CL639" i="1"/>
  <c r="CL618" i="1"/>
  <c r="Y534" i="1"/>
  <c r="CM529" i="1"/>
  <c r="X836" i="1" l="1"/>
  <c r="X590" i="1"/>
  <c r="X607" i="1"/>
  <c r="X837" i="1" s="1"/>
  <c r="CM534" i="1"/>
  <c r="CM538" i="1" s="1"/>
  <c r="Y538" i="1"/>
  <c r="CM541" i="1" l="1"/>
  <c r="CM531" i="1"/>
  <c r="CM742" i="1"/>
  <c r="CM743" i="1"/>
  <c r="CN533" i="1"/>
  <c r="Z533" i="1"/>
  <c r="Y742" i="1"/>
  <c r="Y768" i="1" s="1"/>
  <c r="Y541" i="1"/>
  <c r="Y743" i="1"/>
  <c r="Y769" i="1" s="1"/>
  <c r="Y531" i="1"/>
  <c r="X834" i="1"/>
  <c r="X151" i="1" s="1"/>
  <c r="X595" i="1" s="1"/>
  <c r="X548" i="1"/>
  <c r="X150" i="1"/>
  <c r="X630" i="1" l="1"/>
  <c r="X786" i="1"/>
  <c r="X784" i="1"/>
  <c r="X744" i="1"/>
  <c r="CM769" i="1"/>
  <c r="CM768" i="1"/>
  <c r="W245" i="8"/>
  <c r="Y550" i="1"/>
  <c r="Y674" i="1"/>
  <c r="CM674" i="1" s="1"/>
  <c r="X741" i="1"/>
  <c r="X767" i="1" s="1"/>
  <c r="X740" i="1"/>
  <c r="X766" i="1" s="1"/>
  <c r="X625" i="1"/>
  <c r="Z527" i="1"/>
  <c r="CM550" i="1"/>
  <c r="W237" i="8" l="1"/>
  <c r="Z529" i="1"/>
  <c r="Z622" i="1"/>
  <c r="W242" i="8"/>
  <c r="X629" i="1"/>
  <c r="X631" i="1" s="1"/>
  <c r="Y562" i="1"/>
  <c r="Y561" i="1" s="1"/>
  <c r="W244" i="8"/>
  <c r="W231" i="8" l="1"/>
  <c r="CM561" i="1"/>
  <c r="CM562" i="1" s="1"/>
  <c r="CM564" i="1" s="1"/>
  <c r="CM568" i="1" s="1"/>
  <c r="CM587" i="1" s="1"/>
  <c r="Y628" i="1"/>
  <c r="CM628" i="1" s="1"/>
  <c r="Z534" i="1"/>
  <c r="Z624" i="1"/>
  <c r="Y564" i="1"/>
  <c r="Y568" i="1" s="1"/>
  <c r="Y587" i="1" s="1"/>
  <c r="X639" i="1"/>
  <c r="X4" i="1" s="1"/>
  <c r="X618" i="1"/>
  <c r="Z538" i="1" l="1"/>
  <c r="Y590" i="1"/>
  <c r="Y607" i="1"/>
  <c r="Y837" i="1" s="1"/>
  <c r="Y836" i="1"/>
  <c r="CM590" i="1"/>
  <c r="CM607" i="1"/>
  <c r="CM836" i="1"/>
  <c r="Y150" i="1" l="1"/>
  <c r="Y548" i="1"/>
  <c r="Y834" i="1"/>
  <c r="Y151" i="1" s="1"/>
  <c r="Y595" i="1" s="1"/>
  <c r="CM837" i="1"/>
  <c r="AA533" i="1"/>
  <c r="Z743" i="1"/>
  <c r="Z769" i="1" s="1"/>
  <c r="Z531" i="1"/>
  <c r="Z742" i="1"/>
  <c r="Z768" i="1" s="1"/>
  <c r="Z541" i="1"/>
  <c r="CM548" i="1"/>
  <c r="CM834" i="1"/>
  <c r="CM150" i="1"/>
  <c r="W355" i="8" l="1"/>
  <c r="CM151" i="1"/>
  <c r="Y740" i="1"/>
  <c r="Y766" i="1" s="1"/>
  <c r="Y741" i="1"/>
  <c r="Y767" i="1" s="1"/>
  <c r="Y625" i="1"/>
  <c r="AA527" i="1"/>
  <c r="Y784" i="1"/>
  <c r="Y786" i="1"/>
  <c r="Y744" i="1"/>
  <c r="CM744" i="1" s="1"/>
  <c r="Y630" i="1"/>
  <c r="CM630" i="1" s="1"/>
  <c r="Z674" i="1"/>
  <c r="Z550" i="1"/>
  <c r="AA622" i="1" l="1"/>
  <c r="AA529" i="1"/>
  <c r="CN527" i="1"/>
  <c r="Y629" i="1"/>
  <c r="Y631" i="1" s="1"/>
  <c r="CM625" i="1"/>
  <c r="CM629" i="1" s="1"/>
  <c r="CM631" i="1" s="1"/>
  <c r="Z562" i="1"/>
  <c r="Z561" i="1" s="1"/>
  <c r="Z628" i="1" s="1"/>
  <c r="CM741" i="1"/>
  <c r="CM767" i="1" s="1"/>
  <c r="CM740" i="1"/>
  <c r="CM766" i="1" s="1"/>
  <c r="CM595" i="1"/>
  <c r="CM618" i="1" l="1"/>
  <c r="CM639" i="1"/>
  <c r="Y618" i="1"/>
  <c r="Y639" i="1"/>
  <c r="Y4" i="1" s="1"/>
  <c r="CM784" i="1"/>
  <c r="CM786" i="1"/>
  <c r="AA534" i="1"/>
  <c r="CN529" i="1"/>
  <c r="Z564" i="1"/>
  <c r="Z568" i="1" s="1"/>
  <c r="Z587" i="1" s="1"/>
  <c r="AA624" i="1"/>
  <c r="CN622" i="1"/>
  <c r="CN624" i="1" s="1"/>
  <c r="Z836" i="1" l="1"/>
  <c r="Z590" i="1"/>
  <c r="Z607" i="1"/>
  <c r="Z837" i="1" s="1"/>
  <c r="CN534" i="1"/>
  <c r="CN538" i="1" s="1"/>
  <c r="AA538" i="1"/>
  <c r="D23" i="17" l="1"/>
  <c r="AB533" i="1"/>
  <c r="AA531" i="1"/>
  <c r="AA742" i="1"/>
  <c r="AA768" i="1" s="1"/>
  <c r="AA743" i="1"/>
  <c r="AA769" i="1" s="1"/>
  <c r="AA541" i="1"/>
  <c r="CN742" i="1"/>
  <c r="CN743" i="1"/>
  <c r="CN541" i="1"/>
  <c r="CN531" i="1"/>
  <c r="CO533" i="1"/>
  <c r="Z834" i="1"/>
  <c r="Z151" i="1" s="1"/>
  <c r="Z150" i="1"/>
  <c r="Z548" i="1"/>
  <c r="D34" i="17" l="1"/>
  <c r="D37" i="17"/>
  <c r="CN550" i="1"/>
  <c r="AA550" i="1"/>
  <c r="AA674" i="1"/>
  <c r="CN769" i="1"/>
  <c r="X245" i="8"/>
  <c r="CN768" i="1"/>
  <c r="Z595" i="1"/>
  <c r="AA625" i="1"/>
  <c r="Z740" i="1"/>
  <c r="Z766" i="1" s="1"/>
  <c r="Z741" i="1"/>
  <c r="Z767" i="1" s="1"/>
  <c r="Z625" i="1"/>
  <c r="AB527" i="1"/>
  <c r="CN625" i="1" l="1"/>
  <c r="Z629" i="1"/>
  <c r="Z784" i="1"/>
  <c r="Z786" i="1"/>
  <c r="Z744" i="1"/>
  <c r="Z630" i="1"/>
  <c r="CN674" i="1"/>
  <c r="AB622" i="1"/>
  <c r="AB529" i="1"/>
  <c r="X244" i="8"/>
  <c r="AA562" i="1"/>
  <c r="AA561" i="1" s="1"/>
  <c r="X242" i="8"/>
  <c r="AA564" i="1" l="1"/>
  <c r="AA568" i="1" s="1"/>
  <c r="AA587" i="1" s="1"/>
  <c r="AA607" i="1" s="1"/>
  <c r="AA837" i="1" s="1"/>
  <c r="AA628" i="1"/>
  <c r="CN561" i="1"/>
  <c r="CN562" i="1" s="1"/>
  <c r="CN564" i="1" s="1"/>
  <c r="CN568" i="1" s="1"/>
  <c r="CN587" i="1" s="1"/>
  <c r="Z631" i="1"/>
  <c r="AB534" i="1"/>
  <c r="AB624" i="1"/>
  <c r="AA836" i="1" l="1"/>
  <c r="AA590" i="1"/>
  <c r="AA834" i="1" s="1"/>
  <c r="Z639" i="1"/>
  <c r="Z4" i="1" s="1"/>
  <c r="Z618" i="1"/>
  <c r="X237" i="8"/>
  <c r="X231" i="8"/>
  <c r="CN607" i="1"/>
  <c r="CN590" i="1"/>
  <c r="CN836" i="1"/>
  <c r="AB538" i="1"/>
  <c r="CN628" i="1"/>
  <c r="CN629" i="1" s="1"/>
  <c r="AA629" i="1"/>
  <c r="D36" i="17" l="1"/>
  <c r="D38" i="17" s="1"/>
  <c r="AA595" i="1"/>
  <c r="AA630" i="1" s="1"/>
  <c r="CN630" i="1" s="1"/>
  <c r="CN631" i="1" s="1"/>
  <c r="AA150" i="1"/>
  <c r="AA548" i="1"/>
  <c r="AA593" i="1"/>
  <c r="AA591" i="1" s="1"/>
  <c r="CN591" i="1" s="1"/>
  <c r="CN595" i="1"/>
  <c r="CN548" i="1"/>
  <c r="CN834" i="1"/>
  <c r="CN150" i="1"/>
  <c r="CN837" i="1"/>
  <c r="AA786" i="1"/>
  <c r="AC533" i="1"/>
  <c r="AB531" i="1"/>
  <c r="AB743" i="1"/>
  <c r="AB541" i="1"/>
  <c r="AB742" i="1"/>
  <c r="AA744" i="1" l="1"/>
  <c r="CN744" i="1" s="1"/>
  <c r="AA784" i="1"/>
  <c r="AA616" i="1"/>
  <c r="AA615" i="1" s="1"/>
  <c r="CN615" i="1" s="1"/>
  <c r="CN616" i="1" s="1"/>
  <c r="AB768" i="1"/>
  <c r="AA592" i="1"/>
  <c r="CN592" i="1" s="1"/>
  <c r="CN593" i="1" s="1"/>
  <c r="AC527" i="1"/>
  <c r="AB550" i="1"/>
  <c r="AB674" i="1"/>
  <c r="CN786" i="1"/>
  <c r="CN784" i="1"/>
  <c r="AB769" i="1"/>
  <c r="CN639" i="1"/>
  <c r="CN618" i="1"/>
  <c r="X355" i="8"/>
  <c r="AA631" i="1"/>
  <c r="CN835" i="1" l="1"/>
  <c r="AA835" i="1"/>
  <c r="AB562" i="1"/>
  <c r="AB561" i="1" s="1"/>
  <c r="AB628" i="1" s="1"/>
  <c r="AA639" i="1"/>
  <c r="AA4" i="1" s="1"/>
  <c r="AA618" i="1"/>
  <c r="AC529" i="1"/>
  <c r="AC622" i="1"/>
  <c r="CO527" i="1"/>
  <c r="AB564" i="1" l="1"/>
  <c r="AB568" i="1" s="1"/>
  <c r="AB587" i="1" s="1"/>
  <c r="AB607" i="1" s="1"/>
  <c r="AC624" i="1"/>
  <c r="CO622" i="1"/>
  <c r="CO624" i="1" s="1"/>
  <c r="AC534" i="1"/>
  <c r="CO529" i="1"/>
  <c r="AB629" i="1"/>
  <c r="AB590" i="1" l="1"/>
  <c r="AB548" i="1" s="1"/>
  <c r="AB836" i="1"/>
  <c r="CO534" i="1"/>
  <c r="CO538" i="1" s="1"/>
  <c r="AC538" i="1"/>
  <c r="AB837" i="1"/>
  <c r="E23" i="17" l="1"/>
  <c r="AB150" i="1"/>
  <c r="AB834" i="1"/>
  <c r="AB595" i="1"/>
  <c r="AB786" i="1" s="1"/>
  <c r="AB593" i="1"/>
  <c r="AB616" i="1" s="1"/>
  <c r="AB615" i="1" s="1"/>
  <c r="AC742" i="1"/>
  <c r="AC531" i="1"/>
  <c r="AC541" i="1"/>
  <c r="AD533" i="1"/>
  <c r="AC743" i="1"/>
  <c r="CO541" i="1"/>
  <c r="CO743" i="1"/>
  <c r="CO742" i="1"/>
  <c r="CP533" i="1"/>
  <c r="CO531" i="1"/>
  <c r="E25" i="17" l="1"/>
  <c r="E26" i="17" s="1"/>
  <c r="E30" i="17"/>
  <c r="E34" i="17"/>
  <c r="E37" i="17"/>
  <c r="AB630" i="1"/>
  <c r="AB631" i="1" s="1"/>
  <c r="AB639" i="1" s="1"/>
  <c r="AB4" i="1" s="1"/>
  <c r="AB591" i="1"/>
  <c r="AB592" i="1" s="1"/>
  <c r="AB744" i="1"/>
  <c r="AB784" i="1"/>
  <c r="CO550" i="1"/>
  <c r="AD527" i="1"/>
  <c r="AC768" i="1"/>
  <c r="AC769" i="1"/>
  <c r="CO769" i="1"/>
  <c r="AC550" i="1"/>
  <c r="AC674" i="1"/>
  <c r="CO768" i="1"/>
  <c r="Y245" i="8"/>
  <c r="AB835" i="1"/>
  <c r="AB618" i="1" l="1"/>
  <c r="Y242" i="8"/>
  <c r="Y244" i="8"/>
  <c r="CO674" i="1"/>
  <c r="AD529" i="1"/>
  <c r="AD622" i="1"/>
  <c r="AC562" i="1"/>
  <c r="AC561" i="1" s="1"/>
  <c r="AC564" i="1" l="1"/>
  <c r="AC568" i="1" s="1"/>
  <c r="AC587" i="1" s="1"/>
  <c r="AC590" i="1" s="1"/>
  <c r="CO561" i="1"/>
  <c r="CO562" i="1" s="1"/>
  <c r="CO564" i="1" s="1"/>
  <c r="CO568" i="1" s="1"/>
  <c r="CO587" i="1" s="1"/>
  <c r="AC628" i="1"/>
  <c r="AC836" i="1"/>
  <c r="AD534" i="1"/>
  <c r="AD624" i="1"/>
  <c r="AC607" i="1" l="1"/>
  <c r="AC837" i="1" s="1"/>
  <c r="AD538" i="1"/>
  <c r="Y231" i="8"/>
  <c r="Y237" i="8"/>
  <c r="AC593" i="1"/>
  <c r="AC548" i="1"/>
  <c r="AC150" i="1"/>
  <c r="AC595" i="1"/>
  <c r="AC834" i="1"/>
  <c r="CO628" i="1"/>
  <c r="CO629" i="1" s="1"/>
  <c r="AC629" i="1"/>
  <c r="CO590" i="1"/>
  <c r="CO607" i="1"/>
  <c r="CO836" i="1"/>
  <c r="E36" i="17" l="1"/>
  <c r="E38" i="17" s="1"/>
  <c r="CO837" i="1"/>
  <c r="AC786" i="1"/>
  <c r="AC784" i="1"/>
  <c r="AC744" i="1"/>
  <c r="CO744" i="1" s="1"/>
  <c r="AC630" i="1"/>
  <c r="CO630" i="1" s="1"/>
  <c r="CO631" i="1" s="1"/>
  <c r="AD742" i="1"/>
  <c r="AE533" i="1"/>
  <c r="AD541" i="1"/>
  <c r="AD531" i="1"/>
  <c r="AD743" i="1"/>
  <c r="CO834" i="1"/>
  <c r="CO150" i="1"/>
  <c r="CO548" i="1"/>
  <c r="CO595" i="1"/>
  <c r="AC616" i="1"/>
  <c r="AC615" i="1" s="1"/>
  <c r="CO615" i="1" s="1"/>
  <c r="CO616" i="1" s="1"/>
  <c r="AC591" i="1"/>
  <c r="CO591" i="1" s="1"/>
  <c r="AC592" i="1" l="1"/>
  <c r="CO592" i="1" s="1"/>
  <c r="CO593" i="1" s="1"/>
  <c r="CO835" i="1" s="1"/>
  <c r="Y355" i="8"/>
  <c r="AD550" i="1"/>
  <c r="AD674" i="1"/>
  <c r="AC835" i="1"/>
  <c r="AD769" i="1"/>
  <c r="AE527" i="1"/>
  <c r="AD768" i="1"/>
  <c r="CO618" i="1"/>
  <c r="CO639" i="1"/>
  <c r="AC631" i="1"/>
  <c r="CO784" i="1"/>
  <c r="CO786" i="1"/>
  <c r="AE622" i="1" l="1"/>
  <c r="AE529" i="1"/>
  <c r="CP527" i="1"/>
  <c r="AC618" i="1"/>
  <c r="AC639" i="1"/>
  <c r="AC4" i="1" s="1"/>
  <c r="AD562" i="1"/>
  <c r="AD561" i="1" s="1"/>
  <c r="AD628" i="1" s="1"/>
  <c r="AD564" i="1" l="1"/>
  <c r="AD568" i="1" s="1"/>
  <c r="AD587" i="1" s="1"/>
  <c r="AD836" i="1" s="1"/>
  <c r="AD629" i="1"/>
  <c r="AE534" i="1"/>
  <c r="CP529" i="1"/>
  <c r="AE624" i="1"/>
  <c r="CP622" i="1"/>
  <c r="CP624" i="1" s="1"/>
  <c r="AD590" i="1" l="1"/>
  <c r="AD834" i="1" s="1"/>
  <c r="AD607" i="1"/>
  <c r="AD837" i="1" s="1"/>
  <c r="CP534" i="1"/>
  <c r="CP538" i="1" s="1"/>
  <c r="AE538" i="1"/>
  <c r="F23" i="17" l="1"/>
  <c r="AD595" i="1"/>
  <c r="AD744" i="1" s="1"/>
  <c r="AD150" i="1"/>
  <c r="AD593" i="1"/>
  <c r="AD616" i="1" s="1"/>
  <c r="AD615" i="1" s="1"/>
  <c r="AD548" i="1"/>
  <c r="AE743" i="1"/>
  <c r="AE742" i="1"/>
  <c r="AF533" i="1"/>
  <c r="AE541" i="1"/>
  <c r="AE531" i="1"/>
  <c r="CQ533" i="1"/>
  <c r="CP743" i="1"/>
  <c r="CP742" i="1"/>
  <c r="CP541" i="1"/>
  <c r="CP531" i="1"/>
  <c r="F34" i="17" l="1"/>
  <c r="F37" i="17"/>
  <c r="F25" i="17"/>
  <c r="F26" i="17" s="1"/>
  <c r="F27" i="17" s="1"/>
  <c r="F30" i="17"/>
  <c r="AD630" i="1"/>
  <c r="AD631" i="1" s="1"/>
  <c r="AD618" i="1" s="1"/>
  <c r="AD784" i="1"/>
  <c r="AD786" i="1"/>
  <c r="AD591" i="1"/>
  <c r="AD592" i="1" s="1"/>
  <c r="AD835" i="1"/>
  <c r="CP550" i="1"/>
  <c r="CP768" i="1"/>
  <c r="Z245" i="8"/>
  <c r="AE550" i="1"/>
  <c r="AE674" i="1"/>
  <c r="AE768" i="1"/>
  <c r="AF527" i="1"/>
  <c r="AE769" i="1"/>
  <c r="CP769" i="1"/>
  <c r="AD639" i="1" l="1"/>
  <c r="AD4" i="1" s="1"/>
  <c r="Z244" i="8"/>
  <c r="AF622" i="1"/>
  <c r="AF529" i="1"/>
  <c r="CP674" i="1"/>
  <c r="Z242" i="8"/>
  <c r="AE562" i="1"/>
  <c r="AE561" i="1" s="1"/>
  <c r="AE564" i="1" l="1"/>
  <c r="AE568" i="1" s="1"/>
  <c r="AE587" i="1" s="1"/>
  <c r="AE607" i="1"/>
  <c r="AE590" i="1"/>
  <c r="AE836" i="1"/>
  <c r="CP561" i="1"/>
  <c r="CP562" i="1" s="1"/>
  <c r="CP564" i="1" s="1"/>
  <c r="CP568" i="1" s="1"/>
  <c r="CP587" i="1" s="1"/>
  <c r="AE628" i="1"/>
  <c r="AF534" i="1"/>
  <c r="AF624" i="1"/>
  <c r="AE593" i="1" l="1"/>
  <c r="AE834" i="1"/>
  <c r="AE548" i="1"/>
  <c r="AE150" i="1"/>
  <c r="AE595" i="1"/>
  <c r="AF538" i="1"/>
  <c r="AE837" i="1"/>
  <c r="Z237" i="8"/>
  <c r="Z231" i="8"/>
  <c r="CP628" i="1"/>
  <c r="CP629" i="1" s="1"/>
  <c r="AE629" i="1"/>
  <c r="CP590" i="1"/>
  <c r="CP607" i="1"/>
  <c r="CP836" i="1"/>
  <c r="F36" i="17" l="1"/>
  <c r="F38" i="17" s="1"/>
  <c r="AE784" i="1"/>
  <c r="AE786" i="1"/>
  <c r="AE744" i="1"/>
  <c r="CP744" i="1" s="1"/>
  <c r="AE630" i="1"/>
  <c r="CP630" i="1" s="1"/>
  <c r="CP631" i="1" s="1"/>
  <c r="CP837" i="1"/>
  <c r="CP150" i="1"/>
  <c r="CP834" i="1"/>
  <c r="CP548" i="1"/>
  <c r="CP595" i="1"/>
  <c r="AF742" i="1"/>
  <c r="AG533" i="1"/>
  <c r="AF541" i="1"/>
  <c r="AF743" i="1"/>
  <c r="AF531" i="1"/>
  <c r="AE591" i="1"/>
  <c r="CP591" i="1" s="1"/>
  <c r="AE616" i="1"/>
  <c r="AE615" i="1" s="1"/>
  <c r="CP615" i="1" s="1"/>
  <c r="CP616" i="1" s="1"/>
  <c r="AE835" i="1" l="1"/>
  <c r="AE592" i="1"/>
  <c r="CP592" i="1" s="1"/>
  <c r="CP593" i="1" s="1"/>
  <c r="CP835" i="1" s="1"/>
  <c r="CP639" i="1"/>
  <c r="CP618" i="1"/>
  <c r="AF769" i="1"/>
  <c r="AF674" i="1"/>
  <c r="AF550" i="1"/>
  <c r="AF768" i="1"/>
  <c r="AG527" i="1"/>
  <c r="AE631" i="1"/>
  <c r="CP786" i="1"/>
  <c r="CP784" i="1"/>
  <c r="Z355" i="8"/>
  <c r="AG622" i="1" l="1"/>
  <c r="AG529" i="1"/>
  <c r="CQ527" i="1"/>
  <c r="AF562" i="1"/>
  <c r="AF561" i="1" s="1"/>
  <c r="AF628" i="1" s="1"/>
  <c r="AE618" i="1"/>
  <c r="AE639" i="1"/>
  <c r="AE4" i="1" s="1"/>
  <c r="AF564" i="1" l="1"/>
  <c r="AF568" i="1" s="1"/>
  <c r="AF587" i="1" s="1"/>
  <c r="AG534" i="1"/>
  <c r="CQ529" i="1"/>
  <c r="AF629" i="1"/>
  <c r="AG624" i="1"/>
  <c r="CQ622" i="1"/>
  <c r="CQ624" i="1" s="1"/>
  <c r="CQ534" i="1" l="1"/>
  <c r="CQ538" i="1" s="1"/>
  <c r="AG538" i="1"/>
  <c r="AF836" i="1"/>
  <c r="AF590" i="1"/>
  <c r="AF607" i="1"/>
  <c r="G23" i="17" l="1"/>
  <c r="AF595" i="1"/>
  <c r="AF548" i="1"/>
  <c r="AF150" i="1"/>
  <c r="AF593" i="1"/>
  <c r="AF834" i="1"/>
  <c r="AG541" i="1"/>
  <c r="AG742" i="1"/>
  <c r="AH533" i="1"/>
  <c r="AG743" i="1"/>
  <c r="AG531" i="1"/>
  <c r="CR533" i="1"/>
  <c r="CQ531" i="1"/>
  <c r="CQ541" i="1"/>
  <c r="CQ742" i="1"/>
  <c r="CQ743" i="1"/>
  <c r="AF837" i="1"/>
  <c r="G37" i="17" l="1"/>
  <c r="G34" i="17"/>
  <c r="G30" i="17"/>
  <c r="G25" i="17"/>
  <c r="G26" i="17" s="1"/>
  <c r="G27" i="17" s="1"/>
  <c r="AG769" i="1"/>
  <c r="AF616" i="1"/>
  <c r="AF615" i="1" s="1"/>
  <c r="AF591" i="1"/>
  <c r="AF592" i="1" s="1"/>
  <c r="AG550" i="1"/>
  <c r="AG674" i="1"/>
  <c r="CQ769" i="1"/>
  <c r="CQ768" i="1"/>
  <c r="AH527" i="1"/>
  <c r="CQ550" i="1"/>
  <c r="AG768" i="1"/>
  <c r="AF784" i="1"/>
  <c r="AF786" i="1"/>
  <c r="AF744" i="1"/>
  <c r="AF630" i="1"/>
  <c r="AF631" i="1" s="1"/>
  <c r="AF835" i="1" l="1"/>
  <c r="AH622" i="1"/>
  <c r="AH529" i="1"/>
  <c r="AG562" i="1"/>
  <c r="AG561" i="1" s="1"/>
  <c r="CQ674" i="1"/>
  <c r="AF618" i="1"/>
  <c r="AF639" i="1"/>
  <c r="AF4" i="1" s="1"/>
  <c r="AG564" i="1" l="1"/>
  <c r="AG568" i="1" s="1"/>
  <c r="AG587" i="1" s="1"/>
  <c r="AH534" i="1"/>
  <c r="CQ561" i="1"/>
  <c r="CQ562" i="1" s="1"/>
  <c r="CQ564" i="1" s="1"/>
  <c r="CQ568" i="1" s="1"/>
  <c r="CQ587" i="1" s="1"/>
  <c r="AG628" i="1"/>
  <c r="AH624" i="1"/>
  <c r="CQ628" i="1" l="1"/>
  <c r="CQ629" i="1" s="1"/>
  <c r="AG629" i="1"/>
  <c r="CQ590" i="1"/>
  <c r="CQ836" i="1"/>
  <c r="CQ607" i="1"/>
  <c r="AH538" i="1"/>
  <c r="C63" i="24" s="1"/>
  <c r="AG607" i="1"/>
  <c r="AG836" i="1"/>
  <c r="AG590" i="1"/>
  <c r="G36" i="17" l="1"/>
  <c r="G38" i="17" s="1"/>
  <c r="CQ837" i="1"/>
  <c r="AH541" i="1"/>
  <c r="AH742" i="1"/>
  <c r="AH531" i="1"/>
  <c r="AH743" i="1"/>
  <c r="AI533" i="1"/>
  <c r="AG837" i="1"/>
  <c r="CQ595" i="1"/>
  <c r="CQ834" i="1"/>
  <c r="CQ548" i="1"/>
  <c r="CQ150" i="1"/>
  <c r="AG150" i="1"/>
  <c r="AG593" i="1"/>
  <c r="AG834" i="1"/>
  <c r="AG548" i="1"/>
  <c r="AG595" i="1"/>
  <c r="AH550" i="1" l="1"/>
  <c r="AH674" i="1"/>
  <c r="AG784" i="1"/>
  <c r="AG786" i="1"/>
  <c r="AG744" i="1"/>
  <c r="CQ744" i="1" s="1"/>
  <c r="AG630" i="1"/>
  <c r="AH769" i="1"/>
  <c r="CQ786" i="1"/>
  <c r="CQ784" i="1"/>
  <c r="AI527" i="1"/>
  <c r="AG616" i="1"/>
  <c r="AG615" i="1" s="1"/>
  <c r="CQ615" i="1" s="1"/>
  <c r="CQ616" i="1" s="1"/>
  <c r="AG591" i="1"/>
  <c r="CQ591" i="1" s="1"/>
  <c r="AH768" i="1"/>
  <c r="AG592" i="1" l="1"/>
  <c r="CQ592" i="1" s="1"/>
  <c r="CQ593" i="1" s="1"/>
  <c r="CQ835" i="1" s="1"/>
  <c r="AG835" i="1"/>
  <c r="AH562" i="1"/>
  <c r="AH561" i="1" s="1"/>
  <c r="AH628" i="1" s="1"/>
  <c r="CQ630" i="1"/>
  <c r="CQ631" i="1" s="1"/>
  <c r="AG631" i="1"/>
  <c r="AI622" i="1"/>
  <c r="AI529" i="1"/>
  <c r="CR527" i="1"/>
  <c r="AH564" i="1" l="1"/>
  <c r="AH568" i="1" s="1"/>
  <c r="AH587" i="1" s="1"/>
  <c r="AH836" i="1" s="1"/>
  <c r="AI624" i="1"/>
  <c r="CR622" i="1"/>
  <c r="CR624" i="1" s="1"/>
  <c r="AG618" i="1"/>
  <c r="AG639" i="1"/>
  <c r="AG4" i="1" s="1"/>
  <c r="CQ639" i="1"/>
  <c r="CQ618" i="1"/>
  <c r="AH607" i="1"/>
  <c r="AH629" i="1"/>
  <c r="AI534" i="1"/>
  <c r="CR529" i="1"/>
  <c r="AH590" i="1" l="1"/>
  <c r="AH837" i="1"/>
  <c r="CR534" i="1"/>
  <c r="CR538" i="1" s="1"/>
  <c r="AN63" i="24" s="1"/>
  <c r="AI538" i="1"/>
  <c r="D63" i="24" s="1"/>
  <c r="AH834" i="1"/>
  <c r="AH548" i="1"/>
  <c r="AH595" i="1"/>
  <c r="AH593" i="1"/>
  <c r="AH150" i="1"/>
  <c r="C78" i="24" l="1"/>
  <c r="C77" i="24"/>
  <c r="H23" i="17"/>
  <c r="CR531" i="1"/>
  <c r="CR541" i="1"/>
  <c r="CR742" i="1"/>
  <c r="CS533" i="1"/>
  <c r="CR743" i="1"/>
  <c r="AI541" i="1"/>
  <c r="AJ533" i="1"/>
  <c r="AI743" i="1"/>
  <c r="AI531" i="1"/>
  <c r="AI742" i="1"/>
  <c r="AH591" i="1"/>
  <c r="AH592" i="1" s="1"/>
  <c r="AH616" i="1"/>
  <c r="AH615" i="1" s="1"/>
  <c r="AH784" i="1"/>
  <c r="AH786" i="1"/>
  <c r="AH744" i="1"/>
  <c r="AH630" i="1"/>
  <c r="AH631" i="1" s="1"/>
  <c r="H25" i="17" l="1"/>
  <c r="H26" i="17" s="1"/>
  <c r="H27" i="17" s="1"/>
  <c r="H30" i="17"/>
  <c r="H34" i="17"/>
  <c r="H37" i="17"/>
  <c r="AJ527" i="1"/>
  <c r="AI768" i="1"/>
  <c r="CR769" i="1"/>
  <c r="CR768" i="1"/>
  <c r="CR550" i="1"/>
  <c r="AH835" i="1"/>
  <c r="AI550" i="1"/>
  <c r="AI674" i="1"/>
  <c r="AH639" i="1"/>
  <c r="AH4" i="1" s="1"/>
  <c r="AH618" i="1"/>
  <c r="AI769" i="1"/>
  <c r="AI562" i="1" l="1"/>
  <c r="AI561" i="1" s="1"/>
  <c r="CR674" i="1"/>
  <c r="AJ529" i="1"/>
  <c r="AJ622" i="1"/>
  <c r="AJ534" i="1" l="1"/>
  <c r="AJ624" i="1"/>
  <c r="AI564" i="1"/>
  <c r="AI568" i="1" s="1"/>
  <c r="AI587" i="1" s="1"/>
  <c r="CR561" i="1"/>
  <c r="CR562" i="1" s="1"/>
  <c r="CR564" i="1" s="1"/>
  <c r="CR568" i="1" s="1"/>
  <c r="CR587" i="1" s="1"/>
  <c r="AI628" i="1"/>
  <c r="AI590" i="1" l="1"/>
  <c r="AI607" i="1"/>
  <c r="AI836" i="1"/>
  <c r="CR628" i="1"/>
  <c r="CR629" i="1" s="1"/>
  <c r="AI629" i="1"/>
  <c r="CR607" i="1"/>
  <c r="CR590" i="1"/>
  <c r="CR836" i="1"/>
  <c r="AJ538" i="1"/>
  <c r="E63" i="24" s="1"/>
  <c r="H36" i="17" l="1"/>
  <c r="H38" i="17" s="1"/>
  <c r="AI837" i="1"/>
  <c r="CR150" i="1"/>
  <c r="CR834" i="1"/>
  <c r="CR548" i="1"/>
  <c r="CR595" i="1"/>
  <c r="CR837" i="1"/>
  <c r="AJ541" i="1"/>
  <c r="AJ531" i="1"/>
  <c r="AJ742" i="1"/>
  <c r="AJ743" i="1"/>
  <c r="AK533" i="1"/>
  <c r="AI548" i="1"/>
  <c r="AI595" i="1"/>
  <c r="AI150" i="1"/>
  <c r="AI593" i="1"/>
  <c r="AI834" i="1"/>
  <c r="AN78" i="24" l="1"/>
  <c r="AN77" i="24"/>
  <c r="D77" i="24"/>
  <c r="D78" i="24"/>
  <c r="AJ768" i="1"/>
  <c r="AK527" i="1"/>
  <c r="CR786" i="1"/>
  <c r="CR784" i="1"/>
  <c r="AI591" i="1"/>
  <c r="CR591" i="1" s="1"/>
  <c r="AI616" i="1"/>
  <c r="AI615" i="1" s="1"/>
  <c r="CR615" i="1" s="1"/>
  <c r="CR616" i="1" s="1"/>
  <c r="AI786" i="1"/>
  <c r="AI784" i="1"/>
  <c r="AI630" i="1"/>
  <c r="AI744" i="1"/>
  <c r="CR744" i="1" s="1"/>
  <c r="AJ769" i="1"/>
  <c r="AJ674" i="1"/>
  <c r="AJ550" i="1"/>
  <c r="AI592" i="1" l="1"/>
  <c r="CR592" i="1" s="1"/>
  <c r="CR593" i="1" s="1"/>
  <c r="CR835" i="1" s="1"/>
  <c r="AI835" i="1"/>
  <c r="AJ562" i="1"/>
  <c r="AJ561" i="1" s="1"/>
  <c r="AJ628" i="1" s="1"/>
  <c r="AK529" i="1"/>
  <c r="AK622" i="1"/>
  <c r="CS527" i="1"/>
  <c r="CR630" i="1"/>
  <c r="CR631" i="1" s="1"/>
  <c r="AI631" i="1"/>
  <c r="AJ564" i="1" l="1"/>
  <c r="AJ568" i="1" s="1"/>
  <c r="AJ587" i="1" s="1"/>
  <c r="AJ590" i="1" s="1"/>
  <c r="AK534" i="1"/>
  <c r="CS529" i="1"/>
  <c r="AK624" i="1"/>
  <c r="CS622" i="1"/>
  <c r="CS624" i="1" s="1"/>
  <c r="AI618" i="1"/>
  <c r="AI639" i="1"/>
  <c r="AI4" i="1" s="1"/>
  <c r="CR618" i="1"/>
  <c r="CR639" i="1"/>
  <c r="AJ629" i="1"/>
  <c r="AJ607" i="1" l="1"/>
  <c r="AJ837" i="1" s="1"/>
  <c r="AJ836" i="1"/>
  <c r="AJ595" i="1"/>
  <c r="AJ593" i="1"/>
  <c r="AJ834" i="1"/>
  <c r="AJ150" i="1"/>
  <c r="AJ548" i="1"/>
  <c r="CS534" i="1"/>
  <c r="CS538" i="1" s="1"/>
  <c r="AK538" i="1"/>
  <c r="F63" i="24" s="1"/>
  <c r="E78" i="24" l="1"/>
  <c r="I23" i="17"/>
  <c r="I34" i="17" s="1"/>
  <c r="AO63" i="24"/>
  <c r="E77" i="24"/>
  <c r="AK743" i="1"/>
  <c r="AK742" i="1"/>
  <c r="AK541" i="1"/>
  <c r="AL533" i="1"/>
  <c r="AK531" i="1"/>
  <c r="AJ786" i="1"/>
  <c r="AJ784" i="1"/>
  <c r="AJ744" i="1"/>
  <c r="AJ630" i="1"/>
  <c r="AJ631" i="1" s="1"/>
  <c r="CS742" i="1"/>
  <c r="CS531" i="1"/>
  <c r="CS743" i="1"/>
  <c r="CT533" i="1"/>
  <c r="CS541" i="1"/>
  <c r="AJ591" i="1"/>
  <c r="AJ592" i="1" s="1"/>
  <c r="AJ616" i="1"/>
  <c r="AJ615" i="1" s="1"/>
  <c r="I25" i="17" l="1"/>
  <c r="I26" i="17" s="1"/>
  <c r="I27" i="17" s="1"/>
  <c r="I30" i="17"/>
  <c r="I37" i="17"/>
  <c r="AJ618" i="1"/>
  <c r="AJ639" i="1"/>
  <c r="AJ4" i="1" s="1"/>
  <c r="AK550" i="1"/>
  <c r="AK674" i="1"/>
  <c r="AK768" i="1"/>
  <c r="CS768" i="1"/>
  <c r="AJ835" i="1"/>
  <c r="AL527" i="1"/>
  <c r="CS550" i="1"/>
  <c r="CS769" i="1"/>
  <c r="AK769" i="1"/>
  <c r="AK562" i="1" l="1"/>
  <c r="AK561" i="1" s="1"/>
  <c r="AL529" i="1"/>
  <c r="AL622" i="1"/>
  <c r="CS674" i="1"/>
  <c r="AK564" i="1" l="1"/>
  <c r="AK568" i="1" s="1"/>
  <c r="AK587" i="1" s="1"/>
  <c r="AL624" i="1"/>
  <c r="AL534" i="1"/>
  <c r="AK836" i="1"/>
  <c r="AK590" i="1"/>
  <c r="AK607" i="1"/>
  <c r="AK628" i="1"/>
  <c r="CS561" i="1"/>
  <c r="CS562" i="1" s="1"/>
  <c r="CS564" i="1" s="1"/>
  <c r="CS568" i="1" s="1"/>
  <c r="CS587" i="1" s="1"/>
  <c r="CS628" i="1" l="1"/>
  <c r="CS629" i="1" s="1"/>
  <c r="AK629" i="1"/>
  <c r="AL538" i="1"/>
  <c r="G63" i="24" s="1"/>
  <c r="CS590" i="1"/>
  <c r="CS607" i="1"/>
  <c r="CS836" i="1"/>
  <c r="I36" i="17" s="1"/>
  <c r="I38" i="17" s="1"/>
  <c r="AK837" i="1"/>
  <c r="AK593" i="1"/>
  <c r="AK595" i="1"/>
  <c r="AK548" i="1"/>
  <c r="AK150" i="1"/>
  <c r="AK834" i="1"/>
  <c r="F77" i="24" l="1"/>
  <c r="F78" i="24"/>
  <c r="AK616" i="1"/>
  <c r="AK591" i="1"/>
  <c r="CS591" i="1" s="1"/>
  <c r="CS150" i="1"/>
  <c r="CS548" i="1"/>
  <c r="CS834" i="1"/>
  <c r="CS595" i="1"/>
  <c r="CS837" i="1"/>
  <c r="AL541" i="1"/>
  <c r="AM533" i="1"/>
  <c r="AL743" i="1"/>
  <c r="AL742" i="1"/>
  <c r="AL531" i="1"/>
  <c r="AK786" i="1"/>
  <c r="AK784" i="1"/>
  <c r="AK630" i="1"/>
  <c r="CS630" i="1" s="1"/>
  <c r="CS631" i="1" s="1"/>
  <c r="AK744" i="1"/>
  <c r="CS744" i="1" s="1"/>
  <c r="AO77" i="24" l="1"/>
  <c r="AO78" i="24"/>
  <c r="AK592" i="1"/>
  <c r="CS592" i="1" s="1"/>
  <c r="CS593" i="1" s="1"/>
  <c r="AM527" i="1"/>
  <c r="CS639" i="1"/>
  <c r="CS618" i="1"/>
  <c r="AK631" i="1"/>
  <c r="AL768" i="1"/>
  <c r="AL769" i="1"/>
  <c r="AL674" i="1"/>
  <c r="AL550" i="1"/>
  <c r="CS784" i="1"/>
  <c r="CS786" i="1"/>
  <c r="AK835" i="1"/>
  <c r="AK615" i="1"/>
  <c r="CS615" i="1" s="1"/>
  <c r="CS616" i="1" s="1"/>
  <c r="CS835" i="1" s="1"/>
  <c r="AL593" i="1"/>
  <c r="AL562" i="1" l="1"/>
  <c r="AL561" i="1" s="1"/>
  <c r="AL628" i="1" s="1"/>
  <c r="AK639" i="1"/>
  <c r="AK4" i="1" s="1"/>
  <c r="AK618" i="1"/>
  <c r="AL616" i="1"/>
  <c r="AL615" i="1" s="1"/>
  <c r="AL591" i="1"/>
  <c r="AM622" i="1"/>
  <c r="AM529" i="1"/>
  <c r="CT527" i="1"/>
  <c r="AL564" i="1" l="1"/>
  <c r="AL568" i="1" s="1"/>
  <c r="AL587" i="1" s="1"/>
  <c r="AL836" i="1" s="1"/>
  <c r="AL835" i="1"/>
  <c r="AM624" i="1"/>
  <c r="CT622" i="1"/>
  <c r="CT624" i="1" s="1"/>
  <c r="AM534" i="1"/>
  <c r="CT529" i="1"/>
  <c r="AL629" i="1"/>
  <c r="AL607" i="1" l="1"/>
  <c r="AL837" i="1" s="1"/>
  <c r="AL590" i="1"/>
  <c r="AL150" i="1" s="1"/>
  <c r="CT534" i="1"/>
  <c r="CT538" i="1" s="1"/>
  <c r="AP63" i="24" s="1"/>
  <c r="AM538" i="1"/>
  <c r="H63" i="24" s="1"/>
  <c r="G78" i="24" l="1"/>
  <c r="J23" i="17"/>
  <c r="AL592" i="1"/>
  <c r="AL548" i="1"/>
  <c r="AL595" i="1"/>
  <c r="AL630" i="1" s="1"/>
  <c r="AL631" i="1" s="1"/>
  <c r="AL834" i="1"/>
  <c r="AM531" i="1"/>
  <c r="AM743" i="1"/>
  <c r="AM541" i="1"/>
  <c r="AN533" i="1"/>
  <c r="AM742" i="1"/>
  <c r="CT531" i="1"/>
  <c r="CT743" i="1"/>
  <c r="CT742" i="1"/>
  <c r="CU533" i="1"/>
  <c r="CT541" i="1"/>
  <c r="G77" i="24" l="1"/>
  <c r="J30" i="17"/>
  <c r="J37" i="17"/>
  <c r="J34" i="17"/>
  <c r="J25" i="17"/>
  <c r="J26" i="17" s="1"/>
  <c r="J27" i="17" s="1"/>
  <c r="AL786" i="1"/>
  <c r="AL784" i="1"/>
  <c r="AL744" i="1"/>
  <c r="AM550" i="1"/>
  <c r="AM674" i="1"/>
  <c r="AL618" i="1"/>
  <c r="AL639" i="1"/>
  <c r="AL4" i="1" s="1"/>
  <c r="AN527" i="1"/>
  <c r="CT769" i="1"/>
  <c r="AM768" i="1"/>
  <c r="AM769" i="1"/>
  <c r="CT768" i="1"/>
  <c r="CT550" i="1"/>
  <c r="AN622" i="1" l="1"/>
  <c r="AN529" i="1"/>
  <c r="AM562" i="1"/>
  <c r="AM561" i="1" s="1"/>
  <c r="CT674" i="1"/>
  <c r="AM564" i="1" l="1"/>
  <c r="AM568" i="1" s="1"/>
  <c r="AM587" i="1" s="1"/>
  <c r="AN534" i="1"/>
  <c r="AM628" i="1"/>
  <c r="CT561" i="1"/>
  <c r="CT562" i="1" s="1"/>
  <c r="CT564" i="1" s="1"/>
  <c r="CT568" i="1" s="1"/>
  <c r="CT587" i="1" s="1"/>
  <c r="AN624" i="1"/>
  <c r="CT607" i="1" l="1"/>
  <c r="CT836" i="1"/>
  <c r="CT590" i="1"/>
  <c r="CT628" i="1"/>
  <c r="CT629" i="1" s="1"/>
  <c r="AM629" i="1"/>
  <c r="AN538" i="1"/>
  <c r="I63" i="24" s="1"/>
  <c r="AM607" i="1"/>
  <c r="AM836" i="1"/>
  <c r="AM590" i="1"/>
  <c r="J36" i="17" l="1"/>
  <c r="J38" i="17" s="1"/>
  <c r="AM837" i="1"/>
  <c r="CT595" i="1"/>
  <c r="CT548" i="1"/>
  <c r="CT150" i="1"/>
  <c r="CT834" i="1"/>
  <c r="AN742" i="1"/>
  <c r="AN531" i="1"/>
  <c r="AO533" i="1"/>
  <c r="AN743" i="1"/>
  <c r="AN541" i="1"/>
  <c r="AM150" i="1"/>
  <c r="AM593" i="1"/>
  <c r="AM834" i="1"/>
  <c r="AM548" i="1"/>
  <c r="AM595" i="1"/>
  <c r="CT837" i="1"/>
  <c r="H78" i="24" l="1"/>
  <c r="H77" i="24"/>
  <c r="AP78" i="24"/>
  <c r="AP77" i="24"/>
  <c r="AN769" i="1"/>
  <c r="AO527" i="1"/>
  <c r="CT784" i="1"/>
  <c r="CT786" i="1"/>
  <c r="AN550" i="1"/>
  <c r="AN674" i="1"/>
  <c r="AM786" i="1"/>
  <c r="AM784" i="1"/>
  <c r="AM630" i="1"/>
  <c r="AM744" i="1"/>
  <c r="CT744" i="1" s="1"/>
  <c r="AN768" i="1"/>
  <c r="AM616" i="1"/>
  <c r="AM615" i="1" s="1"/>
  <c r="CT615" i="1" s="1"/>
  <c r="CT616" i="1" s="1"/>
  <c r="AM591" i="1"/>
  <c r="CT591" i="1" s="1"/>
  <c r="AO622" i="1" l="1"/>
  <c r="AO529" i="1"/>
  <c r="CU527" i="1"/>
  <c r="AN562" i="1"/>
  <c r="AN561" i="1" s="1"/>
  <c r="AN628" i="1" s="1"/>
  <c r="CT630" i="1"/>
  <c r="CT631" i="1" s="1"/>
  <c r="AM631" i="1"/>
  <c r="AM835" i="1"/>
  <c r="AM592" i="1"/>
  <c r="CT592" i="1" s="1"/>
  <c r="CT593" i="1" s="1"/>
  <c r="CT835" i="1" s="1"/>
  <c r="CT618" i="1" l="1"/>
  <c r="CT639" i="1"/>
  <c r="AN564" i="1"/>
  <c r="AN568" i="1" s="1"/>
  <c r="AN587" i="1" s="1"/>
  <c r="AN629" i="1"/>
  <c r="AO534" i="1"/>
  <c r="CU529" i="1"/>
  <c r="AM618" i="1"/>
  <c r="AM639" i="1"/>
  <c r="AM4" i="1" s="1"/>
  <c r="AO624" i="1"/>
  <c r="CU622" i="1"/>
  <c r="CU624" i="1" s="1"/>
  <c r="AN836" i="1" l="1"/>
  <c r="AN607" i="1"/>
  <c r="AN590" i="1"/>
  <c r="CU534" i="1"/>
  <c r="CU538" i="1" s="1"/>
  <c r="AQ63" i="24" s="1"/>
  <c r="AO538" i="1"/>
  <c r="J63" i="24" s="1"/>
  <c r="K23" i="17" l="1"/>
  <c r="CU541" i="1"/>
  <c r="CU742" i="1"/>
  <c r="CU743" i="1"/>
  <c r="CU531" i="1"/>
  <c r="CV533" i="1"/>
  <c r="AN548" i="1"/>
  <c r="AN595" i="1"/>
  <c r="AN150" i="1"/>
  <c r="AN834" i="1"/>
  <c r="AN593" i="1"/>
  <c r="AN837" i="1"/>
  <c r="AP533" i="1"/>
  <c r="AO541" i="1"/>
  <c r="AO743" i="1"/>
  <c r="AO742" i="1"/>
  <c r="AO531" i="1"/>
  <c r="I77" i="24" l="1"/>
  <c r="I78" i="24"/>
  <c r="K34" i="17"/>
  <c r="K30" i="17"/>
  <c r="K37" i="17"/>
  <c r="K25" i="17"/>
  <c r="K26" i="17" s="1"/>
  <c r="K27" i="17" s="1"/>
  <c r="AO674" i="1"/>
  <c r="AO550" i="1"/>
  <c r="AN616" i="1"/>
  <c r="AN615" i="1" s="1"/>
  <c r="AN591" i="1"/>
  <c r="AN592" i="1" s="1"/>
  <c r="CU769" i="1"/>
  <c r="AO769" i="1"/>
  <c r="CU768" i="1"/>
  <c r="AP527" i="1"/>
  <c r="AN786" i="1"/>
  <c r="AN784" i="1"/>
  <c r="AN744" i="1"/>
  <c r="AN630" i="1"/>
  <c r="AO768" i="1"/>
  <c r="CU550" i="1"/>
  <c r="AN835" i="1" l="1"/>
  <c r="AN631" i="1"/>
  <c r="AO562" i="1"/>
  <c r="AO561" i="1" s="1"/>
  <c r="AP529" i="1"/>
  <c r="AP622" i="1"/>
  <c r="CU674" i="1"/>
  <c r="AO564" i="1" l="1"/>
  <c r="AO568" i="1" s="1"/>
  <c r="AO587" i="1" s="1"/>
  <c r="AO836" i="1" s="1"/>
  <c r="AP534" i="1"/>
  <c r="AO628" i="1"/>
  <c r="CU561" i="1"/>
  <c r="CU562" i="1" s="1"/>
  <c r="CU564" i="1" s="1"/>
  <c r="CU568" i="1" s="1"/>
  <c r="CU587" i="1" s="1"/>
  <c r="AP624" i="1"/>
  <c r="AN618" i="1"/>
  <c r="AN639" i="1"/>
  <c r="AN4" i="1" s="1"/>
  <c r="AO607" i="1" l="1"/>
  <c r="AO837" i="1" s="1"/>
  <c r="AO590" i="1"/>
  <c r="AO548" i="1" s="1"/>
  <c r="CU590" i="1"/>
  <c r="CU836" i="1"/>
  <c r="CU607" i="1"/>
  <c r="CU628" i="1"/>
  <c r="CU629" i="1" s="1"/>
  <c r="AO629" i="1"/>
  <c r="AP538" i="1"/>
  <c r="K63" i="24" s="1"/>
  <c r="AO593" i="1" l="1"/>
  <c r="AO150" i="1"/>
  <c r="AO595" i="1"/>
  <c r="AO630" i="1" s="1"/>
  <c r="CU630" i="1" s="1"/>
  <c r="CU631" i="1" s="1"/>
  <c r="J78" i="24"/>
  <c r="AO834" i="1"/>
  <c r="K36" i="17"/>
  <c r="K38" i="17" s="1"/>
  <c r="AO591" i="1"/>
  <c r="CU591" i="1" s="1"/>
  <c r="AO616" i="1"/>
  <c r="AO615" i="1" s="1"/>
  <c r="CU615" i="1" s="1"/>
  <c r="CU616" i="1" s="1"/>
  <c r="AP541" i="1"/>
  <c r="AP531" i="1"/>
  <c r="AP742" i="1"/>
  <c r="AQ533" i="1"/>
  <c r="AP743" i="1"/>
  <c r="CU834" i="1"/>
  <c r="CU595" i="1"/>
  <c r="CU150" i="1"/>
  <c r="CU548" i="1"/>
  <c r="CU837" i="1"/>
  <c r="AO744" i="1" l="1"/>
  <c r="CU744" i="1" s="1"/>
  <c r="AO786" i="1"/>
  <c r="AO784" i="1"/>
  <c r="J77" i="24"/>
  <c r="AQ78" i="24"/>
  <c r="AQ77" i="24"/>
  <c r="AO631" i="1"/>
  <c r="AO618" i="1" s="1"/>
  <c r="AO592" i="1"/>
  <c r="CU592" i="1" s="1"/>
  <c r="CU593" i="1" s="1"/>
  <c r="CU835" i="1" s="1"/>
  <c r="AO835" i="1"/>
  <c r="CU784" i="1"/>
  <c r="CU786" i="1"/>
  <c r="CU639" i="1"/>
  <c r="CU618" i="1"/>
  <c r="AQ527" i="1"/>
  <c r="AP768" i="1"/>
  <c r="AP769" i="1"/>
  <c r="AP550" i="1"/>
  <c r="AP674" i="1"/>
  <c r="AO639" i="1" l="1"/>
  <c r="AO4" i="1" s="1"/>
  <c r="AP562" i="1"/>
  <c r="AP561" i="1" s="1"/>
  <c r="AP628" i="1" s="1"/>
  <c r="AQ529" i="1"/>
  <c r="AQ622" i="1"/>
  <c r="CV527" i="1"/>
  <c r="AP564" i="1" l="1"/>
  <c r="AP568" i="1" s="1"/>
  <c r="AP587" i="1" s="1"/>
  <c r="AP836" i="1" s="1"/>
  <c r="AQ624" i="1"/>
  <c r="CV622" i="1"/>
  <c r="CV624" i="1" s="1"/>
  <c r="AQ534" i="1"/>
  <c r="CV529" i="1"/>
  <c r="AP629" i="1"/>
  <c r="AP607" i="1" l="1"/>
  <c r="AP837" i="1" s="1"/>
  <c r="AP590" i="1"/>
  <c r="AP834" i="1" s="1"/>
  <c r="CV534" i="1"/>
  <c r="CV538" i="1" s="1"/>
  <c r="AR63" i="24" s="1"/>
  <c r="AQ538" i="1"/>
  <c r="L63" i="24" s="1"/>
  <c r="K77" i="24" l="1"/>
  <c r="K78" i="24"/>
  <c r="L23" i="17"/>
  <c r="AP548" i="1"/>
  <c r="AP150" i="1"/>
  <c r="AP593" i="1"/>
  <c r="AP616" i="1" s="1"/>
  <c r="AP615" i="1" s="1"/>
  <c r="AP595" i="1"/>
  <c r="AP744" i="1" s="1"/>
  <c r="AQ743" i="1"/>
  <c r="AR533" i="1"/>
  <c r="AQ541" i="1"/>
  <c r="AQ531" i="1"/>
  <c r="AQ742" i="1"/>
  <c r="CV743" i="1"/>
  <c r="CV742" i="1"/>
  <c r="CV531" i="1"/>
  <c r="CV541" i="1"/>
  <c r="CW533" i="1"/>
  <c r="AP784" i="1" l="1"/>
  <c r="AP786" i="1"/>
  <c r="L30" i="17"/>
  <c r="L37" i="17"/>
  <c r="L25" i="17"/>
  <c r="L26" i="17" s="1"/>
  <c r="L27" i="17" s="1"/>
  <c r="L34" i="17"/>
  <c r="AP591" i="1"/>
  <c r="AP592" i="1" s="1"/>
  <c r="AP630" i="1"/>
  <c r="AP631" i="1" s="1"/>
  <c r="AP639" i="1" s="1"/>
  <c r="AP4" i="1" s="1"/>
  <c r="AP835" i="1"/>
  <c r="CV769" i="1"/>
  <c r="AQ674" i="1"/>
  <c r="AQ550" i="1"/>
  <c r="AQ768" i="1"/>
  <c r="CV550" i="1"/>
  <c r="AR527" i="1"/>
  <c r="CV768" i="1"/>
  <c r="AQ769" i="1"/>
  <c r="AP618" i="1" l="1"/>
  <c r="AR529" i="1"/>
  <c r="AR622" i="1"/>
  <c r="CV674" i="1"/>
  <c r="AQ562" i="1"/>
  <c r="AQ561" i="1" s="1"/>
  <c r="AQ564" i="1" l="1"/>
  <c r="AQ568" i="1" s="1"/>
  <c r="AQ587" i="1" s="1"/>
  <c r="AQ590" i="1" s="1"/>
  <c r="AR534" i="1"/>
  <c r="AR624" i="1"/>
  <c r="AQ628" i="1"/>
  <c r="CV561" i="1"/>
  <c r="CV562" i="1" s="1"/>
  <c r="CV564" i="1" s="1"/>
  <c r="CV568" i="1" s="1"/>
  <c r="CV587" i="1" s="1"/>
  <c r="AQ836" i="1" l="1"/>
  <c r="AQ607" i="1"/>
  <c r="AQ837" i="1" s="1"/>
  <c r="CV607" i="1"/>
  <c r="CV836" i="1"/>
  <c r="CV590" i="1"/>
  <c r="CV628" i="1"/>
  <c r="CV629" i="1" s="1"/>
  <c r="AQ629" i="1"/>
  <c r="AQ595" i="1"/>
  <c r="AQ834" i="1"/>
  <c r="AQ150" i="1"/>
  <c r="AQ593" i="1"/>
  <c r="AQ548" i="1"/>
  <c r="AR538" i="1"/>
  <c r="M63" i="24" s="1"/>
  <c r="L77" i="24" l="1"/>
  <c r="L78" i="24"/>
  <c r="L36" i="17"/>
  <c r="L38" i="17" s="1"/>
  <c r="AR531" i="1"/>
  <c r="AR541" i="1"/>
  <c r="AR743" i="1"/>
  <c r="AS533" i="1"/>
  <c r="AR742" i="1"/>
  <c r="AQ786" i="1"/>
  <c r="AQ784" i="1"/>
  <c r="AQ630" i="1"/>
  <c r="CV630" i="1" s="1"/>
  <c r="CV631" i="1" s="1"/>
  <c r="AQ744" i="1"/>
  <c r="CV744" i="1" s="1"/>
  <c r="CV150" i="1"/>
  <c r="CV834" i="1"/>
  <c r="CV548" i="1"/>
  <c r="CV595" i="1"/>
  <c r="AQ616" i="1"/>
  <c r="AQ615" i="1" s="1"/>
  <c r="CV615" i="1" s="1"/>
  <c r="CV616" i="1" s="1"/>
  <c r="AQ591" i="1"/>
  <c r="CV591" i="1" s="1"/>
  <c r="CV837" i="1"/>
  <c r="AR78" i="24" s="1"/>
  <c r="AR77" i="24" l="1"/>
  <c r="AQ835" i="1"/>
  <c r="AR769" i="1"/>
  <c r="CV618" i="1"/>
  <c r="CV639" i="1"/>
  <c r="AQ592" i="1"/>
  <c r="CV592" i="1" s="1"/>
  <c r="CV593" i="1" s="1"/>
  <c r="CV835" i="1" s="1"/>
  <c r="CV784" i="1"/>
  <c r="CV786" i="1"/>
  <c r="AR768" i="1"/>
  <c r="AS527" i="1"/>
  <c r="AR550" i="1"/>
  <c r="AR674" i="1"/>
  <c r="AQ631" i="1"/>
  <c r="AQ618" i="1" l="1"/>
  <c r="AQ639" i="1"/>
  <c r="AR562" i="1"/>
  <c r="AR561" i="1" s="1"/>
  <c r="AR628" i="1" s="1"/>
  <c r="AS529" i="1"/>
  <c r="AS622" i="1"/>
  <c r="CW527" i="1"/>
  <c r="AR564" i="1" l="1"/>
  <c r="AR568" i="1" s="1"/>
  <c r="AR587" i="1" s="1"/>
  <c r="AR607" i="1" s="1"/>
  <c r="AR629" i="1"/>
  <c r="AS624" i="1"/>
  <c r="CW622" i="1"/>
  <c r="CW624" i="1" s="1"/>
  <c r="AS534" i="1"/>
  <c r="CW529" i="1"/>
  <c r="AR590" i="1" l="1"/>
  <c r="AR593" i="1" s="1"/>
  <c r="AR836" i="1"/>
  <c r="AR837" i="1"/>
  <c r="AR834" i="1"/>
  <c r="AR548" i="1"/>
  <c r="AR150" i="1"/>
  <c r="CW534" i="1"/>
  <c r="CW538" i="1" s="1"/>
  <c r="AS538" i="1"/>
  <c r="N63" i="24" s="1"/>
  <c r="AR595" i="1" l="1"/>
  <c r="M78" i="24"/>
  <c r="M77" i="24"/>
  <c r="M23" i="17"/>
  <c r="M25" i="17" s="1"/>
  <c r="M26" i="17" s="1"/>
  <c r="M27" i="17" s="1"/>
  <c r="AS63" i="24"/>
  <c r="AR591" i="1"/>
  <c r="AR592" i="1" s="1"/>
  <c r="AR616" i="1"/>
  <c r="AR615" i="1" s="1"/>
  <c r="AS531" i="1"/>
  <c r="AT533" i="1"/>
  <c r="AS742" i="1"/>
  <c r="AS743" i="1"/>
  <c r="AS541" i="1"/>
  <c r="CW541" i="1"/>
  <c r="CW742" i="1"/>
  <c r="CX533" i="1"/>
  <c r="CW743" i="1"/>
  <c r="CW531" i="1"/>
  <c r="AR786" i="1"/>
  <c r="AR784" i="1"/>
  <c r="AR744" i="1"/>
  <c r="AR630" i="1"/>
  <c r="AR631" i="1" s="1"/>
  <c r="M34" i="17" l="1"/>
  <c r="M30" i="17"/>
  <c r="M37" i="17"/>
  <c r="AR835" i="1"/>
  <c r="CW550" i="1"/>
  <c r="AT527" i="1"/>
  <c r="CW769" i="1"/>
  <c r="AR639" i="1"/>
  <c r="AR618" i="1"/>
  <c r="AS674" i="1"/>
  <c r="AS550" i="1"/>
  <c r="AS769" i="1"/>
  <c r="CW768" i="1"/>
  <c r="AS768" i="1"/>
  <c r="AT529" i="1" l="1"/>
  <c r="AT622" i="1"/>
  <c r="AS562" i="1"/>
  <c r="AS561" i="1" s="1"/>
  <c r="CW674" i="1"/>
  <c r="AS564" i="1" l="1"/>
  <c r="AS568" i="1" s="1"/>
  <c r="AS587" i="1" s="1"/>
  <c r="AS607" i="1" s="1"/>
  <c r="CW561" i="1"/>
  <c r="CW562" i="1" s="1"/>
  <c r="CW564" i="1" s="1"/>
  <c r="CW568" i="1" s="1"/>
  <c r="CW587" i="1" s="1"/>
  <c r="AS628" i="1"/>
  <c r="AT624" i="1"/>
  <c r="AT534" i="1"/>
  <c r="AS836" i="1" l="1"/>
  <c r="AS590" i="1"/>
  <c r="AS834" i="1" s="1"/>
  <c r="CW628" i="1"/>
  <c r="CW629" i="1" s="1"/>
  <c r="AS629" i="1"/>
  <c r="CW590" i="1"/>
  <c r="CW607" i="1"/>
  <c r="CW836" i="1"/>
  <c r="M36" i="17" s="1"/>
  <c r="M38" i="17" s="1"/>
  <c r="AT538" i="1"/>
  <c r="O63" i="24" s="1"/>
  <c r="AS837" i="1"/>
  <c r="N78" i="24" l="1"/>
  <c r="N77" i="24"/>
  <c r="AS593" i="1"/>
  <c r="AS616" i="1" s="1"/>
  <c r="AS615" i="1" s="1"/>
  <c r="CW615" i="1" s="1"/>
  <c r="CW616" i="1" s="1"/>
  <c r="AS548" i="1"/>
  <c r="AS150" i="1"/>
  <c r="AS595" i="1"/>
  <c r="AS630" i="1" s="1"/>
  <c r="CW630" i="1" s="1"/>
  <c r="CW631" i="1" s="1"/>
  <c r="CW837" i="1"/>
  <c r="AS78" i="24" s="1"/>
  <c r="AU533" i="1"/>
  <c r="AT531" i="1"/>
  <c r="AT743" i="1"/>
  <c r="AT541" i="1"/>
  <c r="AT742" i="1"/>
  <c r="CW834" i="1"/>
  <c r="CW595" i="1"/>
  <c r="CW548" i="1"/>
  <c r="CW150" i="1"/>
  <c r="AS77" i="24" l="1"/>
  <c r="AS591" i="1"/>
  <c r="CW591" i="1" s="1"/>
  <c r="AS784" i="1"/>
  <c r="AS786" i="1"/>
  <c r="AS744" i="1"/>
  <c r="CW744" i="1" s="1"/>
  <c r="AS835" i="1"/>
  <c r="AS631" i="1"/>
  <c r="AS618" i="1" s="1"/>
  <c r="AU527" i="1"/>
  <c r="CW639" i="1"/>
  <c r="CW618" i="1"/>
  <c r="CW784" i="1"/>
  <c r="CW786" i="1"/>
  <c r="AS592" i="1"/>
  <c r="CW592" i="1" s="1"/>
  <c r="CW593" i="1" s="1"/>
  <c r="CW835" i="1" s="1"/>
  <c r="AT550" i="1"/>
  <c r="AT562" i="1" s="1"/>
  <c r="AT674" i="1"/>
  <c r="AT768" i="1"/>
  <c r="AT769" i="1"/>
  <c r="AS639" i="1" l="1"/>
  <c r="AT561" i="1"/>
  <c r="AT628" i="1" s="1"/>
  <c r="AU622" i="1"/>
  <c r="AU529" i="1"/>
  <c r="CX527" i="1"/>
  <c r="AU624" i="1" l="1"/>
  <c r="CX622" i="1"/>
  <c r="CX624" i="1" s="1"/>
  <c r="AT629" i="1"/>
  <c r="AU534" i="1"/>
  <c r="CX529" i="1"/>
  <c r="AT564" i="1"/>
  <c r="AT568" i="1" s="1"/>
  <c r="AT587" i="1" s="1"/>
  <c r="CX534" i="1" l="1"/>
  <c r="CX538" i="1" s="1"/>
  <c r="AT63" i="24" s="1"/>
  <c r="AU538" i="1"/>
  <c r="AT607" i="1"/>
  <c r="AT590" i="1"/>
  <c r="AT836" i="1"/>
  <c r="AV533" i="1" l="1"/>
  <c r="AV527" i="1" s="1"/>
  <c r="P63" i="24"/>
  <c r="N23" i="17"/>
  <c r="AT593" i="1"/>
  <c r="AT150" i="1"/>
  <c r="AT548" i="1"/>
  <c r="AT595" i="1"/>
  <c r="AT834" i="1"/>
  <c r="AT837" i="1"/>
  <c r="O78" i="24" s="1"/>
  <c r="AU743" i="1"/>
  <c r="AU531" i="1"/>
  <c r="AU541" i="1"/>
  <c r="AU742" i="1"/>
  <c r="CY533" i="1"/>
  <c r="CX531" i="1"/>
  <c r="CX742" i="1"/>
  <c r="CX541" i="1"/>
  <c r="CX743" i="1"/>
  <c r="O77" i="24" l="1"/>
  <c r="N34" i="17"/>
  <c r="N25" i="17"/>
  <c r="N26" i="17" s="1"/>
  <c r="N27" i="17" s="1"/>
  <c r="N30" i="17"/>
  <c r="N37" i="17"/>
  <c r="AV622" i="1"/>
  <c r="AV529" i="1"/>
  <c r="AV534" i="1" s="1"/>
  <c r="AV538" i="1" s="1"/>
  <c r="AU769" i="1"/>
  <c r="AU550" i="1"/>
  <c r="AU562" i="1" s="1"/>
  <c r="AU674" i="1"/>
  <c r="CX768" i="1"/>
  <c r="AT786" i="1"/>
  <c r="AT784" i="1"/>
  <c r="AT630" i="1"/>
  <c r="AT744" i="1"/>
  <c r="CX769" i="1"/>
  <c r="CX550" i="1"/>
  <c r="AU768" i="1"/>
  <c r="AT591" i="1"/>
  <c r="AT592" i="1" s="1"/>
  <c r="AT616" i="1"/>
  <c r="AT615" i="1" s="1"/>
  <c r="AW533" i="1" l="1"/>
  <c r="AW527" i="1" s="1"/>
  <c r="CY527" i="1" s="1"/>
  <c r="Q63" i="24"/>
  <c r="AV531" i="1"/>
  <c r="AV541" i="1"/>
  <c r="AV550" i="1" s="1"/>
  <c r="AV562" i="1" s="1"/>
  <c r="AV742" i="1"/>
  <c r="AV743" i="1"/>
  <c r="AV769" i="1" s="1"/>
  <c r="AV624" i="1"/>
  <c r="AT835" i="1"/>
  <c r="AT631" i="1"/>
  <c r="CX674" i="1"/>
  <c r="AU561" i="1"/>
  <c r="AW529" i="1" l="1"/>
  <c r="AW534" i="1" s="1"/>
  <c r="AW538" i="1" s="1"/>
  <c r="AW622" i="1"/>
  <c r="AV768" i="1"/>
  <c r="AV561" i="1"/>
  <c r="AV628" i="1" s="1"/>
  <c r="AV629" i="1" s="1"/>
  <c r="AV674" i="1"/>
  <c r="AU564" i="1"/>
  <c r="AU568" i="1" s="1"/>
  <c r="AU587" i="1" s="1"/>
  <c r="CX561" i="1"/>
  <c r="CX562" i="1" s="1"/>
  <c r="CX564" i="1" s="1"/>
  <c r="CX568" i="1" s="1"/>
  <c r="CX587" i="1" s="1"/>
  <c r="AU628" i="1"/>
  <c r="AT618" i="1"/>
  <c r="AT639" i="1"/>
  <c r="AX533" i="1" l="1"/>
  <c r="AX527" i="1" s="1"/>
  <c r="AX622" i="1" s="1"/>
  <c r="AX624" i="1" s="1"/>
  <c r="R63" i="24"/>
  <c r="AW742" i="1"/>
  <c r="AW768" i="1" s="1"/>
  <c r="AW743" i="1"/>
  <c r="AW769" i="1" s="1"/>
  <c r="AW541" i="1"/>
  <c r="AW550" i="1" s="1"/>
  <c r="AW562" i="1" s="1"/>
  <c r="AW561" i="1" s="1"/>
  <c r="AW628" i="1" s="1"/>
  <c r="AW531" i="1"/>
  <c r="AW624" i="1"/>
  <c r="CY622" i="1"/>
  <c r="AV564" i="1"/>
  <c r="AV568" i="1" s="1"/>
  <c r="AU836" i="1"/>
  <c r="AU590" i="1"/>
  <c r="AU150" i="1" s="1"/>
  <c r="AU607" i="1"/>
  <c r="CX628" i="1"/>
  <c r="CX629" i="1" s="1"/>
  <c r="AU629" i="1"/>
  <c r="CX607" i="1"/>
  <c r="CX836" i="1"/>
  <c r="CX590" i="1"/>
  <c r="AX529" i="1" l="1"/>
  <c r="AX534" i="1" s="1"/>
  <c r="AX538" i="1" s="1"/>
  <c r="AX742" i="1" s="1"/>
  <c r="AW674" i="1"/>
  <c r="AW629" i="1"/>
  <c r="AW564" i="1"/>
  <c r="AW568" i="1" s="1"/>
  <c r="AW587" i="1" s="1"/>
  <c r="AW590" i="1" s="1"/>
  <c r="N36" i="17"/>
  <c r="N38" i="17" s="1"/>
  <c r="AV587" i="1"/>
  <c r="AV607" i="1" s="1"/>
  <c r="AV837" i="1" s="1"/>
  <c r="Q78" i="24" s="1"/>
  <c r="AU834" i="1"/>
  <c r="AU837" i="1"/>
  <c r="P78" i="24" s="1"/>
  <c r="AU548" i="1"/>
  <c r="AU593" i="1"/>
  <c r="AU616" i="1" s="1"/>
  <c r="AU615" i="1" s="1"/>
  <c r="CX837" i="1"/>
  <c r="AT78" i="24" s="1"/>
  <c r="AU595" i="1"/>
  <c r="CY561" i="1"/>
  <c r="CY562" i="1" s="1"/>
  <c r="CX595" i="1"/>
  <c r="CX150" i="1"/>
  <c r="CX548" i="1"/>
  <c r="CX834" i="1"/>
  <c r="AX743" i="1" l="1"/>
  <c r="AX769" i="1" s="1"/>
  <c r="AX531" i="1"/>
  <c r="S63" i="24"/>
  <c r="AX768" i="1"/>
  <c r="AX541" i="1"/>
  <c r="AX550" i="1" s="1"/>
  <c r="AX562" i="1" s="1"/>
  <c r="AX561" i="1" s="1"/>
  <c r="AX628" i="1" s="1"/>
  <c r="AX629" i="1" s="1"/>
  <c r="AT77" i="24"/>
  <c r="P77" i="24"/>
  <c r="AW836" i="1"/>
  <c r="AW607" i="1"/>
  <c r="AW837" i="1" s="1"/>
  <c r="R78" i="24" s="1"/>
  <c r="AW595" i="1"/>
  <c r="AW548" i="1"/>
  <c r="AW150" i="1"/>
  <c r="AW593" i="1"/>
  <c r="AW834" i="1"/>
  <c r="AV836" i="1"/>
  <c r="AV590" i="1"/>
  <c r="AV834" i="1" s="1"/>
  <c r="AU744" i="1"/>
  <c r="CX744" i="1" s="1"/>
  <c r="AU591" i="1"/>
  <c r="CX591" i="1" s="1"/>
  <c r="AU786" i="1"/>
  <c r="AU630" i="1"/>
  <c r="CX630" i="1" s="1"/>
  <c r="CX631" i="1" s="1"/>
  <c r="CX618" i="1" s="1"/>
  <c r="AU784" i="1"/>
  <c r="AU835" i="1"/>
  <c r="CX786" i="1"/>
  <c r="CX784" i="1"/>
  <c r="CX615" i="1"/>
  <c r="CX616" i="1" s="1"/>
  <c r="AX674" i="1" l="1"/>
  <c r="AX564" i="1"/>
  <c r="AX568" i="1" s="1"/>
  <c r="AX587" i="1" s="1"/>
  <c r="AX836" i="1" s="1"/>
  <c r="Q77" i="24"/>
  <c r="R77" i="24"/>
  <c r="AX590" i="1"/>
  <c r="AX834" i="1" s="1"/>
  <c r="AW616" i="1"/>
  <c r="AW615" i="1" s="1"/>
  <c r="AW591" i="1"/>
  <c r="AW592" i="1" s="1"/>
  <c r="AV595" i="1"/>
  <c r="AV630" i="1" s="1"/>
  <c r="AV631" i="1" s="1"/>
  <c r="AV150" i="1"/>
  <c r="AU631" i="1"/>
  <c r="AU618" i="1" s="1"/>
  <c r="AV593" i="1"/>
  <c r="AV548" i="1"/>
  <c r="AU592" i="1"/>
  <c r="CX592" i="1" s="1"/>
  <c r="CX593" i="1" s="1"/>
  <c r="CX835" i="1" s="1"/>
  <c r="CX639" i="1"/>
  <c r="AX607" i="1" l="1"/>
  <c r="AX837" i="1" s="1"/>
  <c r="S78" i="24" s="1"/>
  <c r="S77" i="24"/>
  <c r="AX595" i="1"/>
  <c r="AX630" i="1" s="1"/>
  <c r="AX631" i="1" s="1"/>
  <c r="AX150" i="1"/>
  <c r="AX548" i="1"/>
  <c r="AX593" i="1"/>
  <c r="AX616" i="1" s="1"/>
  <c r="AX615" i="1" s="1"/>
  <c r="AW835" i="1"/>
  <c r="AV784" i="1"/>
  <c r="AV744" i="1"/>
  <c r="AW630" i="1"/>
  <c r="AW631" i="1" s="1"/>
  <c r="AW639" i="1" s="1"/>
  <c r="AV618" i="1"/>
  <c r="AV639" i="1"/>
  <c r="AV786" i="1"/>
  <c r="AU639" i="1"/>
  <c r="AV616" i="1"/>
  <c r="AV615" i="1" s="1"/>
  <c r="AV591" i="1"/>
  <c r="AV592" i="1" s="1"/>
  <c r="CY592" i="1" s="1"/>
  <c r="AX744" i="1" l="1"/>
  <c r="AX784" i="1"/>
  <c r="AX786" i="1"/>
  <c r="AX591" i="1"/>
  <c r="AX592" i="1" s="1"/>
  <c r="AX835" i="1"/>
  <c r="AX639" i="1"/>
  <c r="AX618" i="1"/>
  <c r="AW618" i="1"/>
  <c r="AV835" i="1"/>
  <c r="AU74" i="1" l="1"/>
  <c r="AU73" i="1"/>
  <c r="AU72" i="1" l="1"/>
  <c r="AQ362" i="1" l="1"/>
  <c r="AQ304" i="1" s="1"/>
  <c r="AQ363" i="1"/>
  <c r="AQ305" i="1" s="1"/>
  <c r="AQ309" i="1"/>
  <c r="AQ310" i="1"/>
  <c r="AQ311" i="1"/>
  <c r="AQ78" i="1" s="1"/>
  <c r="AQ315" i="1" l="1"/>
  <c r="AQ373" i="1" s="1"/>
  <c r="CV373" i="1" s="1"/>
  <c r="AQ314" i="1"/>
  <c r="AQ372" i="1" s="1"/>
  <c r="CV372" i="1" s="1"/>
  <c r="AQ364" i="1"/>
  <c r="AQ306" i="1" s="1"/>
  <c r="AU76" i="1"/>
  <c r="AS78" i="1"/>
  <c r="AQ76" i="1" l="1"/>
  <c r="AQ316" i="1"/>
  <c r="AS76" i="1"/>
  <c r="AQ317" i="1" l="1"/>
  <c r="AQ380" i="1" s="1"/>
  <c r="L7" i="24" s="1"/>
  <c r="AQ374" i="1"/>
  <c r="CV380" i="1" l="1"/>
  <c r="AR7" i="24" s="1"/>
  <c r="CV374" i="1"/>
  <c r="AQ375" i="1"/>
  <c r="CV375" i="1" s="1"/>
  <c r="CV79" i="1" s="1"/>
  <c r="AQ79" i="1"/>
  <c r="CW380" i="1"/>
  <c r="AS7" i="24" s="1"/>
  <c r="AS79" i="1"/>
  <c r="AQ377" i="1" l="1"/>
  <c r="AQ391" i="1" l="1"/>
  <c r="AQ4" i="1" s="1"/>
  <c r="CV377" i="1"/>
  <c r="CV319" i="1" s="1"/>
  <c r="AU78" i="1"/>
  <c r="CW377" i="1"/>
  <c r="AS391" i="1"/>
  <c r="CV391" i="1" l="1"/>
  <c r="CW391" i="1"/>
  <c r="AU79" i="1" l="1"/>
  <c r="CX380" i="1"/>
  <c r="AT7" i="24" s="1"/>
  <c r="CX377" i="1" l="1"/>
  <c r="AU391" i="1"/>
  <c r="CX391" i="1" l="1"/>
  <c r="CY102" i="1" l="1"/>
  <c r="CY96" i="1" s="1"/>
  <c r="CY106" i="1" l="1"/>
  <c r="CY103" i="1"/>
  <c r="CY627" i="1" l="1"/>
  <c r="CY572" i="1"/>
  <c r="CZ101" i="1"/>
  <c r="CY790" i="1"/>
  <c r="CY97" i="1"/>
  <c r="CY434" i="1"/>
  <c r="C87" i="2" l="1"/>
  <c r="CY526" i="1" l="1"/>
  <c r="CY675" i="1" l="1"/>
  <c r="CY621" i="1"/>
  <c r="AV391" i="1" l="1"/>
  <c r="CZ725" i="1" l="1"/>
  <c r="CY137" i="1" l="1"/>
  <c r="CY712" i="1"/>
  <c r="CY598" i="1"/>
  <c r="CY604" i="1" s="1"/>
  <c r="CY121" i="1"/>
  <c r="CY471" i="1"/>
  <c r="CY679" i="1"/>
  <c r="CY120" i="1"/>
  <c r="CY125" i="1"/>
  <c r="CY124" i="1"/>
  <c r="M19" i="7" l="1"/>
  <c r="F32" i="7"/>
  <c r="CY122" i="1"/>
  <c r="CY815" i="1"/>
  <c r="CY115" i="1"/>
  <c r="CY839" i="1"/>
  <c r="C113" i="2" s="1"/>
  <c r="F72" i="7" l="1"/>
  <c r="C101" i="2"/>
  <c r="CY232" i="1"/>
  <c r="CY222" i="1"/>
  <c r="CY203" i="1"/>
  <c r="CY161" i="1"/>
  <c r="CY177" i="1"/>
  <c r="CY166" i="1"/>
  <c r="CY57" i="1" s="1"/>
  <c r="AW58" i="1"/>
  <c r="CY199" i="1"/>
  <c r="AW71" i="1"/>
  <c r="CY233" i="1"/>
  <c r="AW61" i="1"/>
  <c r="CY176" i="1"/>
  <c r="CY217" i="1"/>
  <c r="CY670" i="1"/>
  <c r="CY205" i="1"/>
  <c r="CY266" i="1"/>
  <c r="CY170" i="1"/>
  <c r="CY59" i="1" s="1"/>
  <c r="CY227" i="1"/>
  <c r="CY198" i="1"/>
  <c r="C71" i="2" s="1"/>
  <c r="CY186" i="1"/>
  <c r="CY218" i="1"/>
  <c r="CY258" i="1"/>
  <c r="CY187" i="1"/>
  <c r="CY202" i="1"/>
  <c r="CY165" i="1"/>
  <c r="CY228" i="1"/>
  <c r="CY223" i="1"/>
  <c r="CY209" i="1"/>
  <c r="CY179" i="1"/>
  <c r="CY172" i="1"/>
  <c r="AW55" i="1"/>
  <c r="CY171" i="1"/>
  <c r="CY469" i="1"/>
  <c r="CY210" i="1"/>
  <c r="CY164" i="1"/>
  <c r="CY56" i="1" s="1"/>
  <c r="CY180" i="1"/>
  <c r="CY159" i="1"/>
  <c r="CY158" i="1"/>
  <c r="CY160" i="1"/>
  <c r="CY173" i="1"/>
  <c r="CY157" i="1"/>
  <c r="CY215" i="1"/>
  <c r="CY167" i="1"/>
  <c r="CY216" i="1"/>
  <c r="CY611" i="1"/>
  <c r="CY399" i="1"/>
  <c r="AW60" i="1"/>
  <c r="CY234" i="1"/>
  <c r="AW57" i="1"/>
  <c r="CY204" i="1"/>
  <c r="AU61" i="24" s="1"/>
  <c r="CY468" i="1"/>
  <c r="AW110" i="1"/>
  <c r="CY666" i="1"/>
  <c r="CY703" i="1"/>
  <c r="CY669" i="1"/>
  <c r="CY664" i="1"/>
  <c r="CY625" i="1"/>
  <c r="CY668" i="1"/>
  <c r="CY237" i="1"/>
  <c r="CY705" i="1"/>
  <c r="CY178" i="1"/>
  <c r="AU59" i="24" s="1"/>
  <c r="AU60" i="24" s="1"/>
  <c r="CY612" i="1"/>
  <c r="CY405" i="1"/>
  <c r="AU14" i="24" s="1"/>
  <c r="CY478" i="1"/>
  <c r="CY480" i="1" s="1"/>
  <c r="CY663" i="1"/>
  <c r="CY259" i="1"/>
  <c r="CY406" i="1"/>
  <c r="CY614" i="1"/>
  <c r="CY414" i="1"/>
  <c r="CY379" i="1"/>
  <c r="CY662" i="1"/>
  <c r="CY665" i="1"/>
  <c r="CY713" i="1"/>
  <c r="CY667" i="1"/>
  <c r="CY467" i="1"/>
  <c r="CY257" i="1"/>
  <c r="AW53" i="1"/>
  <c r="CY660" i="1"/>
  <c r="O13" i="17" s="1"/>
  <c r="O14" i="17" s="1"/>
  <c r="CY397" i="1"/>
  <c r="AU12" i="24" s="1"/>
  <c r="CY677" i="1"/>
  <c r="CY696" i="1"/>
  <c r="CY398" i="1"/>
  <c r="AU13" i="24" s="1"/>
  <c r="CY470" i="1"/>
  <c r="M18" i="7" s="1"/>
  <c r="CY698" i="1"/>
  <c r="CY396" i="1"/>
  <c r="CY181" i="1"/>
  <c r="C23" i="23" s="1"/>
  <c r="CY711" i="1"/>
  <c r="CY472" i="1"/>
  <c r="AW64" i="1"/>
  <c r="CY578" i="1"/>
  <c r="CY585" i="1" s="1"/>
  <c r="CY261" i="1"/>
  <c r="CY262" i="1"/>
  <c r="CY247" i="1"/>
  <c r="CY615" i="1"/>
  <c r="CY387" i="1"/>
  <c r="CY389" i="1" s="1"/>
  <c r="CY506" i="1"/>
  <c r="CY509" i="1" s="1"/>
  <c r="CY610" i="1"/>
  <c r="CY628" i="1"/>
  <c r="CY710" i="1"/>
  <c r="CY441" i="1"/>
  <c r="AU26" i="24" s="1"/>
  <c r="AU29" i="24" s="1"/>
  <c r="CY449" i="1"/>
  <c r="CY451" i="1" s="1"/>
  <c r="CY500" i="1"/>
  <c r="CY252" i="1"/>
  <c r="CY242" i="1"/>
  <c r="AW54" i="1"/>
  <c r="AW114" i="1"/>
  <c r="AW116" i="1"/>
  <c r="AW59" i="1"/>
  <c r="CY395" i="1"/>
  <c r="CY136" i="1"/>
  <c r="CY676" i="1"/>
  <c r="CY673" i="1"/>
  <c r="CY591" i="1"/>
  <c r="CY704" i="1"/>
  <c r="P20" i="17"/>
  <c r="P22" i="17" s="1"/>
  <c r="CY672" i="1"/>
  <c r="CY440" i="1"/>
  <c r="CY443" i="1"/>
  <c r="AU28" i="24" s="1"/>
  <c r="AU30" i="24" s="1"/>
  <c r="CY408" i="1"/>
  <c r="CY497" i="1"/>
  <c r="AU40" i="24" s="1"/>
  <c r="CY521" i="1"/>
  <c r="CY529" i="1"/>
  <c r="CY525" i="1"/>
  <c r="CY674" i="1"/>
  <c r="CY671" i="1"/>
  <c r="CY630" i="1"/>
  <c r="CY416" i="1" l="1"/>
  <c r="CY430" i="1"/>
  <c r="C11" i="23" s="1"/>
  <c r="AU68" i="24"/>
  <c r="CY238" i="1"/>
  <c r="CY495" i="1"/>
  <c r="C15" i="23" s="1"/>
  <c r="CY260" i="1"/>
  <c r="C9" i="23"/>
  <c r="C33" i="23"/>
  <c r="AU11" i="24"/>
  <c r="C8" i="23"/>
  <c r="AU6" i="24"/>
  <c r="M48" i="7"/>
  <c r="C25" i="23"/>
  <c r="K48" i="23" s="1"/>
  <c r="AU51" i="24"/>
  <c r="AU15" i="24"/>
  <c r="CY393" i="1"/>
  <c r="AU17" i="24"/>
  <c r="AU35" i="24"/>
  <c r="AU36" i="24" s="1"/>
  <c r="K46" i="23"/>
  <c r="CY109" i="1"/>
  <c r="CY118" i="1"/>
  <c r="C34" i="2"/>
  <c r="M9" i="7"/>
  <c r="CY52" i="1"/>
  <c r="M34" i="7"/>
  <c r="C60" i="2"/>
  <c r="C46" i="2"/>
  <c r="M21" i="7"/>
  <c r="C66" i="2"/>
  <c r="C67" i="2" s="1"/>
  <c r="M40" i="7"/>
  <c r="M43" i="7"/>
  <c r="C69" i="2"/>
  <c r="C70" i="2" s="1"/>
  <c r="M46" i="7"/>
  <c r="C72" i="2"/>
  <c r="C37" i="2"/>
  <c r="M12" i="7"/>
  <c r="C36" i="2"/>
  <c r="M11" i="7"/>
  <c r="C38" i="2"/>
  <c r="M13" i="7"/>
  <c r="M16" i="7"/>
  <c r="F31" i="7"/>
  <c r="M10" i="7"/>
  <c r="C35" i="2"/>
  <c r="M55" i="7"/>
  <c r="C65" i="2"/>
  <c r="M39" i="7"/>
  <c r="C62" i="2"/>
  <c r="M36" i="7"/>
  <c r="CY809" i="1"/>
  <c r="CY146" i="1"/>
  <c r="CY85" i="1"/>
  <c r="CY84" i="1"/>
  <c r="CY702" i="1"/>
  <c r="CY699" i="1"/>
  <c r="CY89" i="1"/>
  <c r="CY61" i="1"/>
  <c r="CY58" i="1"/>
  <c r="CY145" i="1"/>
  <c r="CY812" i="1"/>
  <c r="AV73" i="1"/>
  <c r="CY98" i="1"/>
  <c r="CY782" i="1"/>
  <c r="AV72" i="1"/>
  <c r="CY130" i="1"/>
  <c r="CY791" i="1"/>
  <c r="C88" i="2" s="1"/>
  <c r="CY613" i="1"/>
  <c r="AU62" i="24" s="1"/>
  <c r="CY117" i="1"/>
  <c r="CY465" i="1"/>
  <c r="C13" i="23" s="1"/>
  <c r="CY810" i="1"/>
  <c r="CY811" i="1"/>
  <c r="K50" i="23" s="1"/>
  <c r="CY822" i="1"/>
  <c r="CY113" i="1"/>
  <c r="CY147" i="1"/>
  <c r="CY825" i="1"/>
  <c r="CY154" i="1"/>
  <c r="CY819" i="1"/>
  <c r="CY813" i="1"/>
  <c r="K51" i="23" s="1"/>
  <c r="CY112" i="1"/>
  <c r="CY86" i="1"/>
  <c r="CY212" i="1"/>
  <c r="CY87" i="1"/>
  <c r="CY808" i="1"/>
  <c r="CY816" i="1"/>
  <c r="CY795" i="1"/>
  <c r="C92" i="2" s="1"/>
  <c r="CY110" i="1"/>
  <c r="CY53" i="1"/>
  <c r="CY114" i="1"/>
  <c r="CY54" i="1"/>
  <c r="CY111" i="1"/>
  <c r="CY55" i="1"/>
  <c r="AU69" i="24" l="1"/>
  <c r="M45" i="7"/>
  <c r="O32" i="17"/>
  <c r="O33" i="17" s="1"/>
  <c r="C27" i="23"/>
  <c r="M14" i="7"/>
  <c r="C97" i="2"/>
  <c r="F68" i="7"/>
  <c r="C94" i="2"/>
  <c r="F65" i="7"/>
  <c r="C96" i="2"/>
  <c r="F67" i="7"/>
  <c r="C98" i="2"/>
  <c r="F69" i="7"/>
  <c r="C63" i="2"/>
  <c r="C64" i="2" s="1"/>
  <c r="C73" i="2"/>
  <c r="M50" i="7"/>
  <c r="C74" i="2"/>
  <c r="F57" i="7"/>
  <c r="C81" i="2"/>
  <c r="C31" i="2"/>
  <c r="M6" i="7"/>
  <c r="C95" i="2"/>
  <c r="F66" i="7"/>
  <c r="M37" i="7"/>
  <c r="M35" i="7" s="1"/>
  <c r="F55" i="7"/>
  <c r="F73" i="7"/>
  <c r="C102" i="2"/>
  <c r="C99" i="2"/>
  <c r="F70" i="7"/>
  <c r="F76" i="7"/>
  <c r="C105" i="2"/>
  <c r="F52" i="7"/>
  <c r="CY814" i="1"/>
  <c r="CY818" i="1"/>
  <c r="CY817" i="1"/>
  <c r="K52" i="23" s="1"/>
  <c r="CY823" i="1"/>
  <c r="K53" i="23" s="1"/>
  <c r="CY824" i="1"/>
  <c r="CY827" i="1"/>
  <c r="CY820" i="1"/>
  <c r="CY616" i="1"/>
  <c r="CY821" i="1"/>
  <c r="CY116" i="1"/>
  <c r="CY826" i="1"/>
  <c r="F75" i="7" l="1"/>
  <c r="C104" i="2"/>
  <c r="F74" i="7"/>
  <c r="C103" i="2"/>
  <c r="F78" i="7"/>
  <c r="C107" i="2"/>
  <c r="C100" i="2"/>
  <c r="F71" i="7"/>
  <c r="F77" i="7"/>
  <c r="C106" i="2"/>
  <c r="C61" i="2"/>
  <c r="AW73" i="1" l="1"/>
  <c r="AW56" i="1"/>
  <c r="CY354" i="1"/>
  <c r="CY534" i="1"/>
  <c r="CY381" i="1"/>
  <c r="AU8" i="24" l="1"/>
  <c r="AU9" i="24" s="1"/>
  <c r="CY327" i="1"/>
  <c r="C7" i="23" s="1"/>
  <c r="C10" i="23" s="1"/>
  <c r="CY99" i="1"/>
  <c r="CY419" i="1"/>
  <c r="CY129" i="1"/>
  <c r="CY515" i="1"/>
  <c r="CY729" i="1"/>
  <c r="C47" i="23" s="1"/>
  <c r="CY634" i="1"/>
  <c r="CY635" i="1" s="1"/>
  <c r="CY680" i="1"/>
  <c r="CY728" i="1"/>
  <c r="CY537" i="1"/>
  <c r="CY538" i="1" s="1"/>
  <c r="AU63" i="24" s="1"/>
  <c r="CY543" i="1"/>
  <c r="C55" i="23" s="1"/>
  <c r="CY708" i="1"/>
  <c r="CY709" i="1"/>
  <c r="CY432" i="1"/>
  <c r="AW129" i="1"/>
  <c r="AW131" i="1"/>
  <c r="AW111" i="1"/>
  <c r="D111" i="1" s="1"/>
  <c r="AW89" i="1"/>
  <c r="AW118" i="1"/>
  <c r="AW117" i="1"/>
  <c r="AW87" i="1"/>
  <c r="AW99" i="1"/>
  <c r="AW98" i="1"/>
  <c r="AW86" i="1"/>
  <c r="AW85" i="1"/>
  <c r="AW112" i="1"/>
  <c r="AW109" i="1"/>
  <c r="AW113" i="1"/>
  <c r="AW93" i="1"/>
  <c r="AW130" i="1"/>
  <c r="CY131" i="1"/>
  <c r="AW141" i="1"/>
  <c r="AW143" i="1" s="1"/>
  <c r="AW744" i="1" s="1"/>
  <c r="CY744" i="1" s="1"/>
  <c r="AW136" i="1"/>
  <c r="AW52" i="1"/>
  <c r="AW84" i="1"/>
  <c r="F26" i="7" l="1"/>
  <c r="C45" i="23"/>
  <c r="C12" i="23"/>
  <c r="K45" i="23"/>
  <c r="AU44" i="24"/>
  <c r="AU47" i="24" s="1"/>
  <c r="AU48" i="24" s="1"/>
  <c r="M53" i="7"/>
  <c r="O23" i="17"/>
  <c r="C41" i="2"/>
  <c r="M15" i="7"/>
  <c r="CY652" i="1"/>
  <c r="F35" i="7"/>
  <c r="C33" i="2"/>
  <c r="M8" i="7"/>
  <c r="D109" i="1"/>
  <c r="CY738" i="1"/>
  <c r="CY743" i="1"/>
  <c r="CY541" i="1"/>
  <c r="M52" i="7" s="1"/>
  <c r="CY742" i="1"/>
  <c r="C53" i="23" s="1"/>
  <c r="K22" i="23" s="1"/>
  <c r="CY531" i="1"/>
  <c r="CZ533" i="1"/>
  <c r="CY757" i="1"/>
  <c r="AY101" i="1"/>
  <c r="CY794" i="1"/>
  <c r="C91" i="2" s="1"/>
  <c r="CY426" i="1"/>
  <c r="CY454" i="1"/>
  <c r="C43" i="2" s="1"/>
  <c r="CY793" i="1"/>
  <c r="CY792" i="1"/>
  <c r="C89" i="2" s="1"/>
  <c r="CY758" i="1"/>
  <c r="AW786" i="1"/>
  <c r="AW784" i="1"/>
  <c r="CY141" i="1"/>
  <c r="CY143" i="1" s="1"/>
  <c r="CY93" i="1"/>
  <c r="CY741" i="1"/>
  <c r="CY767" i="1" s="1"/>
  <c r="CY740" i="1"/>
  <c r="CY766" i="1" s="1"/>
  <c r="CY787" i="1"/>
  <c r="CY732" i="1"/>
  <c r="CY788" i="1"/>
  <c r="CY785" i="1"/>
  <c r="CY730" i="1"/>
  <c r="CY513" i="1"/>
  <c r="CY789" i="1"/>
  <c r="CY783" i="1"/>
  <c r="AU73" i="24" s="1"/>
  <c r="CY620" i="1"/>
  <c r="CY624" i="1" s="1"/>
  <c r="CY629" i="1" s="1"/>
  <c r="CY631" i="1" s="1"/>
  <c r="AU50" i="24" l="1"/>
  <c r="AU55" i="24"/>
  <c r="C43" i="23"/>
  <c r="C14" i="23"/>
  <c r="K21" i="23"/>
  <c r="C90" i="2"/>
  <c r="AU71" i="24"/>
  <c r="F20" i="7"/>
  <c r="C41" i="23"/>
  <c r="K20" i="23" s="1"/>
  <c r="AU54" i="24"/>
  <c r="CY428" i="1"/>
  <c r="AU19" i="24"/>
  <c r="AU20" i="24" s="1"/>
  <c r="F33" i="7"/>
  <c r="F41" i="7" s="1"/>
  <c r="C54" i="23"/>
  <c r="K23" i="23" s="1"/>
  <c r="O16" i="17"/>
  <c r="AU72" i="24"/>
  <c r="AU74" i="24" s="1"/>
  <c r="C128" i="2"/>
  <c r="O59" i="17"/>
  <c r="C15" i="2"/>
  <c r="O18" i="17"/>
  <c r="O34" i="17"/>
  <c r="O37" i="17"/>
  <c r="O25" i="17"/>
  <c r="AY633" i="1"/>
  <c r="CZ633" i="1" s="1"/>
  <c r="C42" i="2"/>
  <c r="C85" i="2"/>
  <c r="F59" i="7"/>
  <c r="C23" i="2"/>
  <c r="F34" i="7"/>
  <c r="F42" i="7" s="1"/>
  <c r="C82" i="2"/>
  <c r="F44" i="7"/>
  <c r="F58" i="7"/>
  <c r="C86" i="2"/>
  <c r="F63" i="7"/>
  <c r="F61" i="7"/>
  <c r="C84" i="2"/>
  <c r="M17" i="7"/>
  <c r="F50" i="7"/>
  <c r="F51" i="7"/>
  <c r="F22" i="7"/>
  <c r="F39" i="7" s="1"/>
  <c r="C16" i="2"/>
  <c r="C52" i="2"/>
  <c r="F45" i="7"/>
  <c r="F62" i="7"/>
  <c r="C83" i="2"/>
  <c r="C40" i="2"/>
  <c r="CZ535" i="1"/>
  <c r="CZ139" i="1"/>
  <c r="CY639" i="1"/>
  <c r="CY618" i="1"/>
  <c r="CY731" i="1"/>
  <c r="CY759" i="1"/>
  <c r="CY838" i="1"/>
  <c r="CY768" i="1"/>
  <c r="CY461" i="1"/>
  <c r="CY734" i="1"/>
  <c r="F16" i="7" s="1"/>
  <c r="F40" i="7" s="1"/>
  <c r="CY483" i="1"/>
  <c r="C45" i="2" s="1"/>
  <c r="CY550" i="1"/>
  <c r="CY733" i="1"/>
  <c r="CY760" i="1"/>
  <c r="CY769" i="1"/>
  <c r="CY840" i="1"/>
  <c r="C114" i="2" s="1"/>
  <c r="CY764" i="1"/>
  <c r="CY463" i="1" l="1"/>
  <c r="AU32" i="24"/>
  <c r="AU33" i="24" s="1"/>
  <c r="CY564" i="1"/>
  <c r="CY568" i="1" s="1"/>
  <c r="CY587" i="1" s="1"/>
  <c r="CY590" i="1" s="1"/>
  <c r="C30" i="23" s="1"/>
  <c r="C29" i="23"/>
  <c r="C112" i="2"/>
  <c r="C51" i="23"/>
  <c r="C17" i="23"/>
  <c r="K47" i="23"/>
  <c r="O26" i="17"/>
  <c r="O27" i="17" s="1"/>
  <c r="O21" i="17"/>
  <c r="O19" i="17"/>
  <c r="O30" i="17"/>
  <c r="F60" i="7"/>
  <c r="C44" i="2"/>
  <c r="C49" i="2"/>
  <c r="C50" i="2" s="1"/>
  <c r="M20" i="7"/>
  <c r="F15" i="7"/>
  <c r="C17" i="2"/>
  <c r="C19" i="2"/>
  <c r="C18" i="2"/>
  <c r="C53" i="2"/>
  <c r="AY537" i="1"/>
  <c r="CY490" i="1"/>
  <c r="CY761" i="1"/>
  <c r="CY841" i="1"/>
  <c r="C115" i="2" s="1"/>
  <c r="CY607" i="1" l="1"/>
  <c r="CY493" i="1"/>
  <c r="CY510" i="1" s="1"/>
  <c r="AU38" i="24"/>
  <c r="AU41" i="24" s="1"/>
  <c r="CY836" i="1"/>
  <c r="C110" i="2" s="1"/>
  <c r="K37" i="23"/>
  <c r="C20" i="23"/>
  <c r="K36" i="23"/>
  <c r="K34" i="23"/>
  <c r="K35" i="23"/>
  <c r="M24" i="7"/>
  <c r="F54" i="7"/>
  <c r="CZ537" i="1"/>
  <c r="AY634" i="1"/>
  <c r="CZ543" i="1"/>
  <c r="AZ141" i="1"/>
  <c r="CY837" i="1"/>
  <c r="CY834" i="1"/>
  <c r="CY593" i="1"/>
  <c r="CY835" i="1" s="1"/>
  <c r="CY548" i="1"/>
  <c r="CY595" i="1"/>
  <c r="CY150" i="1"/>
  <c r="F81" i="7" l="1"/>
  <c r="K57" i="23"/>
  <c r="AU78" i="24"/>
  <c r="O36" i="17"/>
  <c r="O38" i="17" s="1"/>
  <c r="K56" i="23"/>
  <c r="G35" i="7"/>
  <c r="D55" i="23"/>
  <c r="J7" i="23" s="1"/>
  <c r="K40" i="23"/>
  <c r="K39" i="23"/>
  <c r="K42" i="23"/>
  <c r="K41" i="23"/>
  <c r="AU77" i="24"/>
  <c r="K55" i="23"/>
  <c r="C111" i="2"/>
  <c r="F82" i="7"/>
  <c r="C109" i="2"/>
  <c r="F80" i="7"/>
  <c r="M28" i="7"/>
  <c r="F24" i="7" s="1"/>
  <c r="F18" i="7"/>
  <c r="CZ680" i="1"/>
  <c r="AZ633" i="1"/>
  <c r="CZ652" i="1"/>
  <c r="CZ141" i="1"/>
  <c r="CZ143" i="1" s="1"/>
  <c r="CZ544" i="1"/>
  <c r="CZ634" i="1"/>
  <c r="CZ635" i="1" s="1"/>
  <c r="AY635" i="1"/>
  <c r="CY786" i="1"/>
  <c r="CY784" i="1"/>
  <c r="D56" i="23" l="1"/>
  <c r="D128" i="2"/>
  <c r="P59" i="17"/>
  <c r="CZ545" i="1"/>
  <c r="AZ634" i="1"/>
  <c r="AZ635" i="1" s="1"/>
  <c r="AY738" i="1"/>
  <c r="AY764" i="1" s="1"/>
  <c r="CZ738" i="1"/>
  <c r="CZ764" i="1" s="1"/>
  <c r="G36" i="7" l="1"/>
  <c r="D57" i="23"/>
  <c r="D51" i="2"/>
  <c r="D24" i="2"/>
  <c r="CZ614" i="1"/>
  <c r="BA535" i="1"/>
  <c r="BA141" i="1" s="1"/>
  <c r="AZ738" i="1"/>
  <c r="CZ612" i="1"/>
  <c r="DA535" i="1" l="1"/>
  <c r="BA633" i="1"/>
  <c r="DA139" i="1"/>
  <c r="AZ764" i="1"/>
  <c r="J51" i="2" l="1"/>
  <c r="J24" i="2"/>
  <c r="BA614" i="1"/>
  <c r="DA614" i="1" s="1"/>
  <c r="DA633" i="1"/>
  <c r="BA543" i="1"/>
  <c r="BA537" i="1"/>
  <c r="DA612" i="1"/>
  <c r="Q20" i="17" l="1"/>
  <c r="Q22" i="17" s="1"/>
  <c r="BA634" i="1"/>
  <c r="DA537" i="1"/>
  <c r="BA680" i="1"/>
  <c r="BA544" i="1"/>
  <c r="BB535" i="1"/>
  <c r="BB141" i="1" s="1"/>
  <c r="DA543" i="1"/>
  <c r="DA652" i="1" s="1"/>
  <c r="BB614" i="1"/>
  <c r="H35" i="7" l="1"/>
  <c r="E55" i="23"/>
  <c r="DA680" i="1"/>
  <c r="BB633" i="1"/>
  <c r="BA545" i="1"/>
  <c r="DA544" i="1"/>
  <c r="DA141" i="1"/>
  <c r="DA143" i="1" s="1"/>
  <c r="DA634" i="1"/>
  <c r="DA635" i="1" s="1"/>
  <c r="BA635" i="1"/>
  <c r="BC614" i="1"/>
  <c r="DB614" i="1" s="1"/>
  <c r="DB612" i="1"/>
  <c r="K24" i="2" l="1"/>
  <c r="K51" i="2"/>
  <c r="E56" i="23"/>
  <c r="E128" i="2"/>
  <c r="Q59" i="17"/>
  <c r="DA545" i="1"/>
  <c r="BA738" i="1"/>
  <c r="BA764" i="1" s="1"/>
  <c r="DA738" i="1"/>
  <c r="DA764" i="1" s="1"/>
  <c r="BB537" i="1"/>
  <c r="BB634" i="1" s="1"/>
  <c r="BB635" i="1" s="1"/>
  <c r="BB543" i="1"/>
  <c r="BD614" i="1"/>
  <c r="E51" i="2" l="1"/>
  <c r="E57" i="23"/>
  <c r="H36" i="7"/>
  <c r="E24" i="2"/>
  <c r="BB544" i="1"/>
  <c r="BB680" i="1"/>
  <c r="BC535" i="1"/>
  <c r="BC141" i="1" s="1"/>
  <c r="BE614" i="1"/>
  <c r="DC612" i="1"/>
  <c r="BB545" i="1" l="1"/>
  <c r="BB738" i="1"/>
  <c r="BB764" i="1" s="1"/>
  <c r="BC633" i="1"/>
  <c r="DB139" i="1"/>
  <c r="DB535" i="1"/>
  <c r="DC614" i="1"/>
  <c r="BF614" i="1"/>
  <c r="L51" i="2" l="1"/>
  <c r="L24" i="2"/>
  <c r="BG614" i="1"/>
  <c r="DD614" i="1" s="1"/>
  <c r="BC543" i="1"/>
  <c r="BC537" i="1"/>
  <c r="DB633" i="1"/>
  <c r="DD612" i="1"/>
  <c r="R20" i="17" l="1"/>
  <c r="R22" i="17" s="1"/>
  <c r="BC634" i="1"/>
  <c r="DB537" i="1"/>
  <c r="DB543" i="1"/>
  <c r="BD535" i="1"/>
  <c r="BD141" i="1" s="1"/>
  <c r="BC544" i="1"/>
  <c r="BC680" i="1"/>
  <c r="BH614" i="1"/>
  <c r="I35" i="7" l="1"/>
  <c r="F55" i="23"/>
  <c r="DB680" i="1"/>
  <c r="DB544" i="1"/>
  <c r="BC545" i="1"/>
  <c r="BD633" i="1"/>
  <c r="DB652" i="1"/>
  <c r="DB141" i="1"/>
  <c r="DB143" i="1" s="1"/>
  <c r="DB634" i="1"/>
  <c r="DB635" i="1" s="1"/>
  <c r="BC635" i="1"/>
  <c r="BI614" i="1"/>
  <c r="DE614" i="1" s="1"/>
  <c r="DE612" i="1"/>
  <c r="F56" i="23" l="1"/>
  <c r="DB545" i="1"/>
  <c r="F57" i="23" s="1"/>
  <c r="F128" i="2"/>
  <c r="R59" i="17"/>
  <c r="BC738" i="1"/>
  <c r="BC764" i="1" s="1"/>
  <c r="DB738" i="1"/>
  <c r="DB764" i="1" s="1"/>
  <c r="BD537" i="1"/>
  <c r="BD634" i="1" s="1"/>
  <c r="BD635" i="1" s="1"/>
  <c r="BD543" i="1"/>
  <c r="BJ614" i="1"/>
  <c r="F51" i="2" l="1"/>
  <c r="F24" i="2"/>
  <c r="I36" i="7"/>
  <c r="BD680" i="1"/>
  <c r="BE535" i="1"/>
  <c r="BE141" i="1" s="1"/>
  <c r="BD544" i="1"/>
  <c r="DF612" i="1"/>
  <c r="BK614" i="1"/>
  <c r="BD545" i="1" l="1"/>
  <c r="BD738" i="1"/>
  <c r="BD764" i="1" s="1"/>
  <c r="BE633" i="1"/>
  <c r="DC139" i="1"/>
  <c r="DC535" i="1"/>
  <c r="DF614" i="1"/>
  <c r="BL614" i="1"/>
  <c r="BM614" i="1" l="1"/>
  <c r="DG614" i="1" s="1"/>
  <c r="BE543" i="1"/>
  <c r="BE537" i="1"/>
  <c r="DC633" i="1"/>
  <c r="DG612" i="1"/>
  <c r="S20" i="17" l="1"/>
  <c r="S22" i="17" s="1"/>
  <c r="BE634" i="1"/>
  <c r="DC537" i="1"/>
  <c r="BF535" i="1"/>
  <c r="BF141" i="1" s="1"/>
  <c r="DC543" i="1"/>
  <c r="G55" i="23" s="1"/>
  <c r="BE544" i="1"/>
  <c r="BE680" i="1"/>
  <c r="BN614" i="1"/>
  <c r="J35" i="7" l="1"/>
  <c r="DC680" i="1"/>
  <c r="DC544" i="1"/>
  <c r="BE545" i="1"/>
  <c r="BF633" i="1"/>
  <c r="DC652" i="1"/>
  <c r="S59" i="17" s="1"/>
  <c r="DC141" i="1"/>
  <c r="DC143" i="1" s="1"/>
  <c r="DC634" i="1"/>
  <c r="DC635" i="1" s="1"/>
  <c r="BE635" i="1"/>
  <c r="DH612" i="1"/>
  <c r="BO614" i="1"/>
  <c r="G56" i="23" l="1"/>
  <c r="DC545" i="1"/>
  <c r="G57" i="23" s="1"/>
  <c r="G128" i="2"/>
  <c r="BE738" i="1"/>
  <c r="BE764" i="1" s="1"/>
  <c r="BF537" i="1"/>
  <c r="BF634" i="1" s="1"/>
  <c r="BF635" i="1" s="1"/>
  <c r="BF543" i="1"/>
  <c r="DC738" i="1"/>
  <c r="DC764" i="1" s="1"/>
  <c r="DI612" i="1"/>
  <c r="BP614" i="1"/>
  <c r="BQ614" i="1" s="1"/>
  <c r="DI614" i="1" s="1"/>
  <c r="DH614" i="1"/>
  <c r="G51" i="2" l="1"/>
  <c r="J36" i="7"/>
  <c r="G24" i="2"/>
  <c r="BF680" i="1"/>
  <c r="BG535" i="1"/>
  <c r="BG141" i="1" s="1"/>
  <c r="BF544" i="1"/>
  <c r="BF545" i="1" l="1"/>
  <c r="BF738" i="1"/>
  <c r="BF764" i="1" s="1"/>
  <c r="BG633" i="1"/>
  <c r="DD139" i="1"/>
  <c r="DD535" i="1"/>
  <c r="DD633" i="1" l="1"/>
  <c r="BG537" i="1"/>
  <c r="BG543" i="1"/>
  <c r="T20" i="17" l="1"/>
  <c r="T22" i="17" s="1"/>
  <c r="BG680" i="1"/>
  <c r="DD543" i="1"/>
  <c r="BH535" i="1"/>
  <c r="BH141" i="1" s="1"/>
  <c r="BG544" i="1"/>
  <c r="BG634" i="1"/>
  <c r="DD537" i="1"/>
  <c r="DD680" i="1" l="1"/>
  <c r="DD544" i="1"/>
  <c r="BG545" i="1"/>
  <c r="BH633" i="1"/>
  <c r="DD652" i="1"/>
  <c r="DD141" i="1"/>
  <c r="DD143" i="1" s="1"/>
  <c r="BG635" i="1"/>
  <c r="DD634" i="1"/>
  <c r="DD635" i="1" s="1"/>
  <c r="DD545" i="1" l="1"/>
  <c r="T59" i="17"/>
  <c r="BH543" i="1"/>
  <c r="BH537" i="1"/>
  <c r="BH634" i="1" s="1"/>
  <c r="BH635" i="1" s="1"/>
  <c r="DD738" i="1"/>
  <c r="DD764" i="1" s="1"/>
  <c r="BG738" i="1"/>
  <c r="BG764" i="1" s="1"/>
  <c r="BH544" i="1" l="1"/>
  <c r="BH680" i="1"/>
  <c r="BI535" i="1"/>
  <c r="BI141" i="1" s="1"/>
  <c r="BH545" i="1" l="1"/>
  <c r="BH738" i="1"/>
  <c r="BH764" i="1" s="1"/>
  <c r="DE139" i="1"/>
  <c r="DE535" i="1"/>
  <c r="BI633" i="1"/>
  <c r="BI537" i="1" l="1"/>
  <c r="BI543" i="1"/>
  <c r="DE633" i="1"/>
  <c r="U20" i="17" l="1"/>
  <c r="U22" i="17" s="1"/>
  <c r="DE543" i="1"/>
  <c r="BJ535" i="1"/>
  <c r="BJ141" i="1" s="1"/>
  <c r="BI544" i="1"/>
  <c r="BI680" i="1"/>
  <c r="DE537" i="1"/>
  <c r="BI634" i="1"/>
  <c r="DE680" i="1" l="1"/>
  <c r="DE634" i="1"/>
  <c r="DE635" i="1" s="1"/>
  <c r="BI635" i="1"/>
  <c r="DE544" i="1"/>
  <c r="BI545" i="1"/>
  <c r="BJ633" i="1"/>
  <c r="DE652" i="1"/>
  <c r="DE141" i="1"/>
  <c r="DE143" i="1" s="1"/>
  <c r="DE545" i="1" l="1"/>
  <c r="U59" i="17"/>
  <c r="BJ537" i="1"/>
  <c r="BJ634" i="1" s="1"/>
  <c r="BJ635" i="1" s="1"/>
  <c r="BJ543" i="1"/>
  <c r="BI738" i="1"/>
  <c r="BI764" i="1" s="1"/>
  <c r="DE738" i="1"/>
  <c r="DE764" i="1" s="1"/>
  <c r="BK535" i="1" l="1"/>
  <c r="BK141" i="1" s="1"/>
  <c r="BJ680" i="1"/>
  <c r="BJ544" i="1"/>
  <c r="BJ545" i="1" l="1"/>
  <c r="BJ738" i="1"/>
  <c r="BJ764" i="1" s="1"/>
  <c r="BK633" i="1"/>
  <c r="DF535" i="1"/>
  <c r="DF139" i="1"/>
  <c r="BK537" i="1" l="1"/>
  <c r="BK543" i="1"/>
  <c r="DF633" i="1"/>
  <c r="BL535" i="1" l="1"/>
  <c r="BL141" i="1" s="1"/>
  <c r="DF543" i="1"/>
  <c r="BK680" i="1"/>
  <c r="BK544" i="1"/>
  <c r="DF537" i="1"/>
  <c r="BK634" i="1"/>
  <c r="DF680" i="1" l="1"/>
  <c r="DF634" i="1"/>
  <c r="DF635" i="1" s="1"/>
  <c r="BK635" i="1"/>
  <c r="DF544" i="1"/>
  <c r="BK545" i="1"/>
  <c r="DF652" i="1"/>
  <c r="DF141" i="1"/>
  <c r="DF143" i="1" s="1"/>
  <c r="BL633" i="1"/>
  <c r="DF545" i="1" l="1"/>
  <c r="V59" i="17"/>
  <c r="BK738" i="1"/>
  <c r="BK764" i="1" s="1"/>
  <c r="BL543" i="1"/>
  <c r="BL537" i="1"/>
  <c r="BL634" i="1" s="1"/>
  <c r="BL635" i="1" s="1"/>
  <c r="DF738" i="1"/>
  <c r="DF764" i="1" s="1"/>
  <c r="BM535" i="1" l="1"/>
  <c r="BM141" i="1" s="1"/>
  <c r="BL680" i="1"/>
  <c r="BL544" i="1"/>
  <c r="BL545" i="1" l="1"/>
  <c r="BL738" i="1"/>
  <c r="BL764" i="1" s="1"/>
  <c r="BM633" i="1"/>
  <c r="DG535" i="1"/>
  <c r="DG139" i="1"/>
  <c r="BM537" i="1" l="1"/>
  <c r="BM543" i="1"/>
  <c r="DG633" i="1"/>
  <c r="BM680" i="1" l="1"/>
  <c r="BM544" i="1"/>
  <c r="DG543" i="1"/>
  <c r="BN535" i="1"/>
  <c r="BN141" i="1" s="1"/>
  <c r="DG537" i="1"/>
  <c r="BM634" i="1"/>
  <c r="DG680" i="1" l="1"/>
  <c r="BN633" i="1"/>
  <c r="DG652" i="1"/>
  <c r="DG141" i="1"/>
  <c r="DG143" i="1" s="1"/>
  <c r="BM545" i="1"/>
  <c r="DG544" i="1"/>
  <c r="DG634" i="1"/>
  <c r="DG635" i="1" s="1"/>
  <c r="BM635" i="1"/>
  <c r="DG545" i="1" l="1"/>
  <c r="W59" i="17"/>
  <c r="DG738" i="1"/>
  <c r="DG764" i="1" s="1"/>
  <c r="BM738" i="1"/>
  <c r="BM764" i="1" s="1"/>
  <c r="BN537" i="1"/>
  <c r="BN634" i="1" s="1"/>
  <c r="BN635" i="1" s="1"/>
  <c r="BN543" i="1"/>
  <c r="BN544" i="1" l="1"/>
  <c r="BO535" i="1"/>
  <c r="BO141" i="1" s="1"/>
  <c r="BN680" i="1"/>
  <c r="BN545" i="1" l="1"/>
  <c r="BN738" i="1"/>
  <c r="BN764" i="1" s="1"/>
  <c r="BO633" i="1"/>
  <c r="DH535" i="1"/>
  <c r="DH139" i="1"/>
  <c r="BO537" i="1" l="1"/>
  <c r="BO543" i="1"/>
  <c r="DH633" i="1"/>
  <c r="BO680" i="1" l="1"/>
  <c r="DH543" i="1"/>
  <c r="BP535" i="1"/>
  <c r="BP141" i="1" s="1"/>
  <c r="BO544" i="1"/>
  <c r="DH537" i="1"/>
  <c r="BO634" i="1"/>
  <c r="DH680" i="1" l="1"/>
  <c r="DH634" i="1"/>
  <c r="DH635" i="1" s="1"/>
  <c r="BO635" i="1"/>
  <c r="DH544" i="1"/>
  <c r="BO545" i="1"/>
  <c r="BP633" i="1"/>
  <c r="DH652" i="1"/>
  <c r="DH141" i="1"/>
  <c r="DH143" i="1" s="1"/>
  <c r="DH545" i="1" l="1"/>
  <c r="X59" i="17"/>
  <c r="BP537" i="1"/>
  <c r="BP634" i="1" s="1"/>
  <c r="BP635" i="1" s="1"/>
  <c r="BP543" i="1"/>
  <c r="BO738" i="1"/>
  <c r="BO764" i="1" s="1"/>
  <c r="DH738" i="1"/>
  <c r="DH764" i="1" s="1"/>
  <c r="BQ535" i="1" l="1"/>
  <c r="BQ141" i="1" s="1"/>
  <c r="BP544" i="1"/>
  <c r="BP680" i="1"/>
  <c r="BP545" i="1" l="1"/>
  <c r="BP738" i="1"/>
  <c r="BP764" i="1" s="1"/>
  <c r="DI139" i="1"/>
  <c r="DI535" i="1"/>
  <c r="BQ633" i="1"/>
  <c r="BQ537" i="1" l="1"/>
  <c r="BQ543" i="1"/>
  <c r="DI633" i="1"/>
  <c r="DI543" i="1" l="1"/>
  <c r="BQ544" i="1"/>
  <c r="BQ680" i="1"/>
  <c r="BQ634" i="1"/>
  <c r="DI537" i="1"/>
  <c r="DI680" i="1" l="1"/>
  <c r="BQ635" i="1"/>
  <c r="DI634" i="1"/>
  <c r="DI635" i="1" s="1"/>
  <c r="DI544" i="1"/>
  <c r="BQ545" i="1"/>
  <c r="DI141" i="1"/>
  <c r="DI143" i="1" s="1"/>
  <c r="DI652" i="1"/>
  <c r="DI545" i="1" l="1"/>
  <c r="Z59" i="17"/>
  <c r="Y59" i="17"/>
  <c r="DI738" i="1"/>
  <c r="DI764" i="1" s="1"/>
  <c r="BQ738" i="1"/>
  <c r="BQ764" i="1" s="1"/>
  <c r="AW78" i="1" l="1"/>
  <c r="AW76" i="1"/>
  <c r="AW72" i="1" l="1"/>
  <c r="AW74" i="1" l="1"/>
  <c r="AW79" i="1" l="1"/>
  <c r="CY380" i="1" l="1"/>
  <c r="AU7" i="24" s="1"/>
  <c r="CY377" i="1"/>
  <c r="AW391" i="1"/>
  <c r="CY391" i="1" l="1"/>
  <c r="AY533" i="1" l="1"/>
  <c r="AY725" i="1" l="1"/>
  <c r="AX78" i="1" l="1"/>
  <c r="AX76" i="1"/>
  <c r="AX74" i="1"/>
  <c r="AX79" i="1" l="1"/>
  <c r="AX391" i="1" l="1"/>
  <c r="AW69" i="1" l="1"/>
  <c r="CZ128" i="1"/>
  <c r="AY737" i="1"/>
  <c r="AY763" i="1" s="1"/>
  <c r="AS69" i="1"/>
  <c r="AU69" i="1"/>
  <c r="AX69" i="1"/>
  <c r="AT69" i="1" l="1"/>
  <c r="AV69" i="1"/>
  <c r="CZ737" i="1"/>
  <c r="CZ763" i="1" s="1"/>
  <c r="AR69" i="1"/>
  <c r="CZ20" i="1" l="1"/>
  <c r="CZ26" i="1"/>
  <c r="CZ25" i="1"/>
  <c r="CZ19" i="1"/>
  <c r="CZ18" i="1"/>
  <c r="CZ24" i="1"/>
  <c r="CZ17" i="1"/>
  <c r="CZ23" i="1"/>
  <c r="CZ526" i="1" l="1"/>
  <c r="AY621" i="1"/>
  <c r="CZ621" i="1" l="1"/>
  <c r="AX72" i="1" l="1"/>
  <c r="AX73" i="1" l="1"/>
  <c r="CZ80" i="1" l="1"/>
  <c r="J62" i="2"/>
  <c r="CZ160" i="1" l="1"/>
  <c r="J60" i="2"/>
  <c r="CZ164" i="1"/>
  <c r="CZ56" i="1" s="1"/>
  <c r="N36" i="7" l="1"/>
  <c r="D62" i="2"/>
  <c r="CZ158" i="1"/>
  <c r="CZ157" i="1"/>
  <c r="AY176" i="1"/>
  <c r="AY145" i="1" s="1"/>
  <c r="CZ179" i="1"/>
  <c r="CZ218" i="1"/>
  <c r="CZ159" i="1"/>
  <c r="J66" i="2"/>
  <c r="J67" i="2" s="1"/>
  <c r="CZ166" i="1"/>
  <c r="CZ57" i="1" s="1"/>
  <c r="CZ222" i="1"/>
  <c r="CZ180" i="1"/>
  <c r="CZ170" i="1"/>
  <c r="CZ59" i="1" s="1"/>
  <c r="CZ165" i="1"/>
  <c r="CZ54" i="1"/>
  <c r="BA145" i="1" l="1"/>
  <c r="BB145" i="1" s="1"/>
  <c r="BC145" i="1" s="1"/>
  <c r="BD145" i="1" s="1"/>
  <c r="BE145" i="1" s="1"/>
  <c r="BF145" i="1" s="1"/>
  <c r="BG145" i="1" s="1"/>
  <c r="BH145" i="1" s="1"/>
  <c r="BI145" i="1" s="1"/>
  <c r="BJ145" i="1" s="1"/>
  <c r="BK145" i="1" s="1"/>
  <c r="BL145" i="1" s="1"/>
  <c r="BM145" i="1" s="1"/>
  <c r="BN145" i="1" s="1"/>
  <c r="BO145" i="1" s="1"/>
  <c r="BP145" i="1" s="1"/>
  <c r="BQ145" i="1" s="1"/>
  <c r="N34" i="7"/>
  <c r="D60" i="2"/>
  <c r="J69" i="2"/>
  <c r="J70" i="2" s="1"/>
  <c r="AY178" i="1"/>
  <c r="T59" i="24" s="1"/>
  <c r="T60" i="24" s="1"/>
  <c r="J71" i="2"/>
  <c r="CZ173" i="1"/>
  <c r="CZ223" i="1"/>
  <c r="CZ217" i="1"/>
  <c r="CZ216" i="1"/>
  <c r="CZ161" i="1"/>
  <c r="CZ227" i="1"/>
  <c r="CZ167" i="1"/>
  <c r="CZ176" i="1"/>
  <c r="AY232" i="1"/>
  <c r="AY109" i="1" s="1"/>
  <c r="AY399" i="1"/>
  <c r="I38" i="2" s="1"/>
  <c r="CZ215" i="1"/>
  <c r="CZ171" i="1"/>
  <c r="CZ172" i="1"/>
  <c r="CZ52" i="1"/>
  <c r="CZ53" i="1"/>
  <c r="N43" i="7" l="1"/>
  <c r="N44" i="7" s="1"/>
  <c r="D69" i="2"/>
  <c r="D70" i="2" s="1"/>
  <c r="N40" i="7"/>
  <c r="N41" i="7" s="1"/>
  <c r="D66" i="2"/>
  <c r="D67" i="2" s="1"/>
  <c r="J68" i="2"/>
  <c r="CZ228" i="1"/>
  <c r="CZ399" i="1"/>
  <c r="CZ578" i="1"/>
  <c r="CZ232" i="1"/>
  <c r="CZ192" i="1"/>
  <c r="AY234" i="1"/>
  <c r="AY111" i="1" s="1"/>
  <c r="CZ198" i="1"/>
  <c r="CZ610" i="1"/>
  <c r="AY177" i="1"/>
  <c r="AY146" i="1" s="1"/>
  <c r="CZ178" i="1"/>
  <c r="AV59" i="24" s="1"/>
  <c r="AV60" i="24" s="1"/>
  <c r="AY181" i="1"/>
  <c r="I72" i="2" l="1"/>
  <c r="D71" i="2"/>
  <c r="N42" i="7"/>
  <c r="D68" i="2"/>
  <c r="N13" i="7"/>
  <c r="D38" i="2"/>
  <c r="AY233" i="1"/>
  <c r="AY237" i="1"/>
  <c r="T68" i="24" s="1"/>
  <c r="T69" i="24" s="1"/>
  <c r="CZ234" i="1"/>
  <c r="N55" i="7" s="1"/>
  <c r="N56" i="7" s="1"/>
  <c r="CZ145" i="1"/>
  <c r="AY205" i="1"/>
  <c r="CZ199" i="1"/>
  <c r="CZ58" i="1"/>
  <c r="CZ244" i="1"/>
  <c r="CZ193" i="1"/>
  <c r="CZ247" i="1"/>
  <c r="CZ249" i="1"/>
  <c r="CZ61" i="1"/>
  <c r="AY154" i="1"/>
  <c r="CZ181" i="1"/>
  <c r="D23" i="23" s="1"/>
  <c r="CZ254" i="1"/>
  <c r="CZ177" i="1"/>
  <c r="CZ187" i="1"/>
  <c r="CZ467" i="1"/>
  <c r="CZ109" i="1" s="1"/>
  <c r="I73" i="2" l="1"/>
  <c r="I63" i="2"/>
  <c r="D24" i="23"/>
  <c r="T36" i="24"/>
  <c r="AY84" i="1"/>
  <c r="AY86" i="1"/>
  <c r="AY238" i="1"/>
  <c r="AY110" i="1"/>
  <c r="N46" i="7"/>
  <c r="D72" i="2"/>
  <c r="AY257" i="1"/>
  <c r="CZ252" i="1"/>
  <c r="CZ196" i="1"/>
  <c r="CZ242" i="1"/>
  <c r="CZ154" i="1"/>
  <c r="CZ243" i="1"/>
  <c r="CZ205" i="1"/>
  <c r="CZ190" i="1"/>
  <c r="CZ248" i="1"/>
  <c r="CZ237" i="1"/>
  <c r="CZ233" i="1"/>
  <c r="AY258" i="1"/>
  <c r="CZ258" i="1" s="1"/>
  <c r="CZ253" i="1"/>
  <c r="CZ184" i="1"/>
  <c r="CZ191" i="1"/>
  <c r="CZ660" i="1"/>
  <c r="P13" i="17" s="1"/>
  <c r="AY147" i="1"/>
  <c r="CZ197" i="1"/>
  <c r="CZ185" i="1"/>
  <c r="I61" i="2" l="1"/>
  <c r="I64" i="2"/>
  <c r="CZ238" i="1"/>
  <c r="AV68" i="24"/>
  <c r="AV69" i="24" s="1"/>
  <c r="D33" i="23"/>
  <c r="D34" i="23" s="1"/>
  <c r="AC13" i="17"/>
  <c r="P14" i="17"/>
  <c r="D73" i="2"/>
  <c r="D63" i="2"/>
  <c r="N47" i="7"/>
  <c r="N37" i="7"/>
  <c r="CZ663" i="1"/>
  <c r="CZ669" i="1"/>
  <c r="CZ668" i="1"/>
  <c r="CZ611" i="1"/>
  <c r="CZ664" i="1"/>
  <c r="CZ257" i="1"/>
  <c r="AY259" i="1"/>
  <c r="CZ665" i="1"/>
  <c r="AY677" i="1"/>
  <c r="CZ147" i="1"/>
  <c r="CZ468" i="1"/>
  <c r="CZ110" i="1" s="1"/>
  <c r="CZ662" i="1"/>
  <c r="CZ666" i="1"/>
  <c r="AY85" i="1" l="1"/>
  <c r="AY260" i="1"/>
  <c r="N38" i="7"/>
  <c r="N35" i="7"/>
  <c r="D61" i="2"/>
  <c r="D64" i="2"/>
  <c r="CZ259" i="1"/>
  <c r="AY625" i="1"/>
  <c r="CZ625" i="1" s="1"/>
  <c r="AY703" i="1"/>
  <c r="CZ703" i="1" s="1"/>
  <c r="CZ677" i="1"/>
  <c r="CZ146" i="1"/>
  <c r="CZ613" i="1"/>
  <c r="AV62" i="24" s="1"/>
  <c r="P32" i="17" l="1"/>
  <c r="P33" i="17" s="1"/>
  <c r="D27" i="23"/>
  <c r="D28" i="23" s="1"/>
  <c r="N50" i="7"/>
  <c r="N51" i="7" s="1"/>
  <c r="D74" i="2"/>
  <c r="AY212" i="1" l="1"/>
  <c r="I31" i="2" s="1"/>
  <c r="AY262" i="1"/>
  <c r="N57" i="7" l="1"/>
  <c r="N58" i="7" s="1"/>
  <c r="D35" i="23"/>
  <c r="D36" i="23" s="1"/>
  <c r="D5" i="23"/>
  <c r="AY321" i="1"/>
  <c r="CZ262" i="1"/>
  <c r="CZ212" i="1"/>
  <c r="CZ696" i="1"/>
  <c r="N6" i="7" l="1"/>
  <c r="D31" i="2"/>
  <c r="BF146" i="1"/>
  <c r="CZ697" i="1"/>
  <c r="BG146" i="1" l="1"/>
  <c r="BH146" i="1" l="1"/>
  <c r="BI146" i="1" l="1"/>
  <c r="BJ146" i="1" l="1"/>
  <c r="BK146" i="1" l="1"/>
  <c r="BL146" i="1" l="1"/>
  <c r="BM146" i="1" l="1"/>
  <c r="BN146" i="1" l="1"/>
  <c r="BO146" i="1" l="1"/>
  <c r="BP146" i="1" l="1"/>
  <c r="BQ146" i="1" l="1"/>
  <c r="CZ442" i="1" l="1"/>
  <c r="AV27" i="24" s="1"/>
  <c r="CZ469" i="1" l="1"/>
  <c r="CZ111" i="1" s="1"/>
  <c r="AY808" i="1" l="1"/>
  <c r="I94" i="2" s="1"/>
  <c r="AY112" i="1"/>
  <c r="AY809" i="1"/>
  <c r="I95" i="2" s="1"/>
  <c r="AY113" i="1"/>
  <c r="CZ470" i="1"/>
  <c r="N18" i="7" s="1"/>
  <c r="J37" i="2"/>
  <c r="CZ713" i="1" l="1"/>
  <c r="CZ398" i="1"/>
  <c r="AV13" i="24" s="1"/>
  <c r="CZ113" i="1"/>
  <c r="CZ112" i="1"/>
  <c r="CZ809" i="1"/>
  <c r="CZ808" i="1"/>
  <c r="N12" i="7" l="1"/>
  <c r="D37" i="2"/>
  <c r="G65" i="7"/>
  <c r="D94" i="2"/>
  <c r="G66" i="7"/>
  <c r="D95" i="2"/>
  <c r="AY434" i="1" l="1"/>
  <c r="CZ103" i="1"/>
  <c r="CZ434" i="1" l="1"/>
  <c r="AY627" i="1" l="1"/>
  <c r="CZ572" i="1"/>
  <c r="CZ585" i="1" s="1"/>
  <c r="CZ627" i="1" l="1"/>
  <c r="CZ260" i="1" l="1"/>
  <c r="AY443" i="1" l="1"/>
  <c r="CZ449" i="1"/>
  <c r="CZ451" i="1" s="1"/>
  <c r="CZ432" i="1"/>
  <c r="T28" i="24" l="1"/>
  <c r="T30" i="24" s="1"/>
  <c r="CZ93" i="1"/>
  <c r="CZ709" i="1"/>
  <c r="CZ708" i="1"/>
  <c r="AY441" i="1"/>
  <c r="AY430" i="1"/>
  <c r="AY98" i="1"/>
  <c r="CZ443" i="1"/>
  <c r="AV28" i="24" l="1"/>
  <c r="AV30" i="24" s="1"/>
  <c r="T26" i="24"/>
  <c r="T29" i="24" s="1"/>
  <c r="AY440" i="1"/>
  <c r="CZ441" i="1"/>
  <c r="CZ98" i="1"/>
  <c r="CZ430" i="1"/>
  <c r="AV26" i="24" l="1"/>
  <c r="AV29" i="24" s="1"/>
  <c r="N16" i="7"/>
  <c r="G52" i="7" s="1"/>
  <c r="D11" i="23"/>
  <c r="L46" i="23" s="1"/>
  <c r="CZ440" i="1"/>
  <c r="CZ710" i="1" l="1"/>
  <c r="CZ125" i="1" l="1"/>
  <c r="CZ395" i="1" l="1"/>
  <c r="CZ396" i="1"/>
  <c r="CZ124" i="1"/>
  <c r="AY812" i="1"/>
  <c r="I98" i="2" s="1"/>
  <c r="AY114" i="1"/>
  <c r="AY814" i="1"/>
  <c r="I100" i="2" s="1"/>
  <c r="AY813" i="1"/>
  <c r="I99" i="2" s="1"/>
  <c r="AV11" i="24" l="1"/>
  <c r="N9" i="7"/>
  <c r="D34" i="2"/>
  <c r="N10" i="7"/>
  <c r="D35" i="2"/>
  <c r="CZ679" i="1"/>
  <c r="CZ84" i="1"/>
  <c r="CZ813" i="1"/>
  <c r="L51" i="23" s="1"/>
  <c r="CZ114" i="1"/>
  <c r="CZ812" i="1"/>
  <c r="CZ814" i="1"/>
  <c r="CZ85" i="1"/>
  <c r="G69" i="7" l="1"/>
  <c r="D98" i="2"/>
  <c r="G71" i="7"/>
  <c r="D100" i="2"/>
  <c r="G70" i="7"/>
  <c r="D99" i="2"/>
  <c r="AY820" i="1" l="1"/>
  <c r="AY818" i="1"/>
  <c r="I104" i="2" s="1"/>
  <c r="AY816" i="1"/>
  <c r="I102" i="2" s="1"/>
  <c r="AY819" i="1"/>
  <c r="AY821" i="1"/>
  <c r="AY817" i="1"/>
  <c r="I103" i="2" s="1"/>
  <c r="CZ121" i="1"/>
  <c r="CZ598" i="1" l="1"/>
  <c r="CZ604" i="1" s="1"/>
  <c r="CZ819" i="1"/>
  <c r="CZ816" i="1"/>
  <c r="CZ821" i="1"/>
  <c r="CZ116" i="1"/>
  <c r="CZ820" i="1"/>
  <c r="CZ818" i="1"/>
  <c r="CZ817" i="1"/>
  <c r="L52" i="23" s="1"/>
  <c r="CZ712" i="1"/>
  <c r="AY354" i="1"/>
  <c r="CZ354" i="1" s="1"/>
  <c r="AY379" i="1"/>
  <c r="CZ296" i="1"/>
  <c r="T6" i="24" l="1"/>
  <c r="G75" i="7"/>
  <c r="D104" i="2"/>
  <c r="G74" i="7"/>
  <c r="D103" i="2"/>
  <c r="G73" i="7"/>
  <c r="D102" i="2"/>
  <c r="CZ379" i="1"/>
  <c r="AV6" i="24" s="1"/>
  <c r="CZ321" i="1"/>
  <c r="CZ387" i="1" l="1"/>
  <c r="CZ389" i="1" s="1"/>
  <c r="AZ725" i="1" l="1"/>
  <c r="DA725" i="1" l="1"/>
  <c r="CZ267" i="1" l="1"/>
  <c r="CZ87" i="1" s="1"/>
  <c r="CZ266" i="1"/>
  <c r="CZ265" i="1"/>
  <c r="AY210" i="1"/>
  <c r="CZ210" i="1" s="1"/>
  <c r="AY209" i="1" l="1"/>
  <c r="AY64" i="1" s="1"/>
  <c r="AY208" i="1" l="1"/>
  <c r="CZ209" i="1"/>
  <c r="CZ208" i="1" l="1"/>
  <c r="CZ152" i="1" s="1"/>
  <c r="AY152" i="1"/>
  <c r="AY204" i="1" l="1"/>
  <c r="T61" i="24" s="1"/>
  <c r="CZ186" i="1"/>
  <c r="D65" i="2" s="1"/>
  <c r="AY55" i="1"/>
  <c r="J65" i="2"/>
  <c r="CZ55" i="1" l="1"/>
  <c r="AY795" i="1"/>
  <c r="I92" i="2" s="1"/>
  <c r="AY670" i="1"/>
  <c r="AY202" i="1"/>
  <c r="AZ202" i="1" s="1"/>
  <c r="AY203" i="1"/>
  <c r="AZ203" i="1" s="1"/>
  <c r="N39" i="7"/>
  <c r="CZ204" i="1"/>
  <c r="D25" i="23" l="1"/>
  <c r="D26" i="23" s="1"/>
  <c r="AV61" i="24"/>
  <c r="CZ202" i="1"/>
  <c r="CZ203" i="1"/>
  <c r="CZ670" i="1"/>
  <c r="N48" i="7"/>
  <c r="CZ795" i="1"/>
  <c r="L48" i="23" l="1"/>
  <c r="N49" i="7"/>
  <c r="N45" i="7"/>
  <c r="D92" i="2"/>
  <c r="G55" i="7"/>
  <c r="AY705" i="1" l="1"/>
  <c r="CZ397" i="1"/>
  <c r="AZ705" i="1" l="1"/>
  <c r="AV12" i="24"/>
  <c r="D8" i="23"/>
  <c r="D36" i="2"/>
  <c r="N11" i="7"/>
  <c r="CZ86" i="1"/>
  <c r="CZ705" i="1"/>
  <c r="CZ414" i="1" l="1"/>
  <c r="CZ416" i="1" l="1"/>
  <c r="AY115" i="1"/>
  <c r="AY824" i="1"/>
  <c r="I107" i="2" s="1"/>
  <c r="AY122" i="1"/>
  <c r="AY815" i="1"/>
  <c r="I101" i="2" s="1"/>
  <c r="CZ120" i="1"/>
  <c r="AY827" i="1"/>
  <c r="AY823" i="1"/>
  <c r="I106" i="2" s="1"/>
  <c r="AY822" i="1"/>
  <c r="I105" i="2" s="1"/>
  <c r="AY825" i="1"/>
  <c r="AY826" i="1"/>
  <c r="CZ826" i="1" l="1"/>
  <c r="CZ824" i="1"/>
  <c r="CZ823" i="1"/>
  <c r="L53" i="23" s="1"/>
  <c r="CZ827" i="1"/>
  <c r="CZ825" i="1"/>
  <c r="CZ122" i="1"/>
  <c r="CZ815" i="1"/>
  <c r="CZ822" i="1"/>
  <c r="CZ115" i="1"/>
  <c r="CZ471" i="1"/>
  <c r="N19" i="7" s="1"/>
  <c r="D106" i="2" l="1"/>
  <c r="G77" i="7"/>
  <c r="D107" i="2"/>
  <c r="G78" i="7"/>
  <c r="D101" i="2"/>
  <c r="G72" i="7"/>
  <c r="AY117" i="1"/>
  <c r="AY810" i="1"/>
  <c r="AY811" i="1"/>
  <c r="AY118" i="1"/>
  <c r="AY465" i="1"/>
  <c r="CZ472" i="1"/>
  <c r="D105" i="2"/>
  <c r="G76" i="7"/>
  <c r="I97" i="2" l="1"/>
  <c r="I96" i="2"/>
  <c r="AV35" i="24"/>
  <c r="AV36" i="24" s="1"/>
  <c r="AY711" i="1"/>
  <c r="CZ117" i="1"/>
  <c r="CZ118" i="1"/>
  <c r="CZ465" i="1"/>
  <c r="D13" i="23" s="1"/>
  <c r="CZ811" i="1"/>
  <c r="L50" i="23" s="1"/>
  <c r="CZ810" i="1"/>
  <c r="CZ478" i="1"/>
  <c r="CZ480" i="1" s="1"/>
  <c r="CZ711" i="1" l="1"/>
  <c r="G67" i="7"/>
  <c r="D96" i="2"/>
  <c r="G68" i="7"/>
  <c r="D97" i="2"/>
  <c r="AY393" i="1" l="1"/>
  <c r="CZ408" i="1"/>
  <c r="AY406" i="1"/>
  <c r="T15" i="24" l="1"/>
  <c r="CZ393" i="1"/>
  <c r="AV17" i="24"/>
  <c r="N14" i="7"/>
  <c r="CZ406" i="1"/>
  <c r="AY405" i="1"/>
  <c r="T14" i="24" s="1"/>
  <c r="AV15" i="24" l="1"/>
  <c r="CZ405" i="1"/>
  <c r="AV14" i="24" s="1"/>
  <c r="AY89" i="1"/>
  <c r="D9" i="23" l="1"/>
  <c r="CZ89" i="1"/>
  <c r="CZ497" i="1"/>
  <c r="AV40" i="24" s="1"/>
  <c r="AY130" i="1"/>
  <c r="CZ500" i="1" l="1"/>
  <c r="AY495" i="1"/>
  <c r="CZ130" i="1"/>
  <c r="N21" i="7"/>
  <c r="D46" i="2"/>
  <c r="CZ495" i="1" l="1"/>
  <c r="D15" i="23" s="1"/>
  <c r="CZ506" i="1"/>
  <c r="CZ509" i="1" s="1"/>
  <c r="CZ675" i="1" l="1"/>
  <c r="CZ676" i="1" l="1"/>
  <c r="CZ701" i="1" l="1"/>
  <c r="D37" i="23" l="1"/>
  <c r="D38" i="23" s="1"/>
  <c r="CZ673" i="1"/>
  <c r="N59" i="7"/>
  <c r="N60" i="7" s="1"/>
  <c r="CZ700" i="1"/>
  <c r="AY699" i="1"/>
  <c r="CZ671" i="1"/>
  <c r="CZ672" i="1"/>
  <c r="CZ699" i="1" l="1"/>
  <c r="CZ704" i="1"/>
  <c r="CZ137" i="1" l="1"/>
  <c r="AY131" i="1"/>
  <c r="AY839" i="1"/>
  <c r="G32" i="7" l="1"/>
  <c r="CZ839" i="1"/>
  <c r="D113" i="2" s="1"/>
  <c r="CZ131" i="1"/>
  <c r="AY791" i="1" l="1"/>
  <c r="AY790" i="1"/>
  <c r="CZ106" i="1"/>
  <c r="DA101" i="1" s="1"/>
  <c r="AY661" i="1"/>
  <c r="AY102" i="1"/>
  <c r="CZ102" i="1" s="1"/>
  <c r="CZ96" i="1" s="1"/>
  <c r="AY97" i="1"/>
  <c r="AY667" i="1" l="1"/>
  <c r="AZ698" i="1"/>
  <c r="AZ702" i="1"/>
  <c r="I87" i="2"/>
  <c r="I88" i="2"/>
  <c r="CZ667" i="1"/>
  <c r="CZ790" i="1"/>
  <c r="D87" i="2" s="1"/>
  <c r="CZ97" i="1"/>
  <c r="AY96" i="1"/>
  <c r="AY702" i="1"/>
  <c r="AY698" i="1"/>
  <c r="CZ661" i="1"/>
  <c r="CZ791" i="1"/>
  <c r="D88" i="2" s="1"/>
  <c r="CZ698" i="1" l="1"/>
  <c r="CZ702" i="1"/>
  <c r="BA661" i="1"/>
  <c r="DA661" i="1" l="1"/>
  <c r="BB661" i="1"/>
  <c r="BC661" i="1" l="1"/>
  <c r="BD661" i="1" l="1"/>
  <c r="DB661" i="1"/>
  <c r="BE661" i="1" l="1"/>
  <c r="DC661" i="1" l="1"/>
  <c r="BF661" i="1"/>
  <c r="BG661" i="1" l="1"/>
  <c r="BH661" i="1" l="1"/>
  <c r="DD661" i="1"/>
  <c r="BI661" i="1" l="1"/>
  <c r="DE661" i="1" l="1"/>
  <c r="BJ661" i="1"/>
  <c r="BK661" i="1" l="1"/>
  <c r="DF661" i="1" l="1"/>
  <c r="BL661" i="1"/>
  <c r="BM661" i="1" l="1"/>
  <c r="DG661" i="1" l="1"/>
  <c r="BN661" i="1"/>
  <c r="BO661" i="1" l="1"/>
  <c r="DH661" i="1" l="1"/>
  <c r="BP661" i="1"/>
  <c r="BQ661" i="1" l="1"/>
  <c r="DI661" i="1" l="1"/>
  <c r="DA92" i="1" l="1"/>
  <c r="DA442" i="1" l="1"/>
  <c r="AW27" i="24" s="1"/>
  <c r="DB92" i="1" l="1"/>
  <c r="AZ96" i="1"/>
  <c r="DB442" i="1"/>
  <c r="AX27" i="24" s="1"/>
  <c r="DA102" i="1" l="1"/>
  <c r="DA96" i="1" s="1"/>
  <c r="DC92" i="1"/>
  <c r="U13" i="24"/>
  <c r="DD92" i="1" l="1"/>
  <c r="K37" i="2"/>
  <c r="DB102" i="1"/>
  <c r="DC442" i="1"/>
  <c r="AY27" i="24" s="1"/>
  <c r="V13" i="24" l="1"/>
  <c r="L37" i="2"/>
  <c r="DE92" i="1"/>
  <c r="BJ92" i="1"/>
  <c r="DA398" i="1"/>
  <c r="AW13" i="24" s="1"/>
  <c r="W13" i="24" l="1"/>
  <c r="BK92" i="1"/>
  <c r="O12" i="7"/>
  <c r="E37" i="2"/>
  <c r="DC102" i="1"/>
  <c r="DD442" i="1"/>
  <c r="AZ27" i="24" s="1"/>
  <c r="X13" i="24"/>
  <c r="DB398" i="1" l="1"/>
  <c r="AX13" i="24" s="1"/>
  <c r="DF92" i="1"/>
  <c r="BL92" i="1"/>
  <c r="Y13" i="24" l="1"/>
  <c r="DE442" i="1"/>
  <c r="BA27" i="24" s="1"/>
  <c r="BM92" i="1"/>
  <c r="F37" i="2"/>
  <c r="P12" i="7"/>
  <c r="DD102" i="1"/>
  <c r="Z13" i="24"/>
  <c r="DC398" i="1" l="1"/>
  <c r="DG92" i="1"/>
  <c r="BN92" i="1"/>
  <c r="BA434" i="1"/>
  <c r="AA13" i="24" l="1"/>
  <c r="AY13" i="24"/>
  <c r="DA103" i="1"/>
  <c r="BO92" i="1"/>
  <c r="DA434" i="1"/>
  <c r="BA101" i="1"/>
  <c r="AZ790" i="1"/>
  <c r="AZ97" i="1"/>
  <c r="G37" i="2"/>
  <c r="Q12" i="7"/>
  <c r="DE102" i="1"/>
  <c r="AB13" i="24"/>
  <c r="J87" i="2" l="1"/>
  <c r="BB434" i="1"/>
  <c r="AZ627" i="1"/>
  <c r="BP92" i="1"/>
  <c r="DH92" i="1"/>
  <c r="DD398" i="1"/>
  <c r="AZ13" i="24" s="1"/>
  <c r="BA106" i="1"/>
  <c r="BA790" i="1" s="1"/>
  <c r="BC434" i="1"/>
  <c r="AD13" i="24"/>
  <c r="K87" i="2" l="1"/>
  <c r="AC13" i="24"/>
  <c r="DE398" i="1"/>
  <c r="BA13" i="24" s="1"/>
  <c r="BB101" i="1"/>
  <c r="DA106" i="1"/>
  <c r="BA572" i="1"/>
  <c r="DB103" i="1"/>
  <c r="DB434" i="1"/>
  <c r="BA97" i="1"/>
  <c r="BQ92" i="1"/>
  <c r="DI92" i="1"/>
  <c r="DA572" i="1" l="1"/>
  <c r="BA627" i="1"/>
  <c r="DA627" i="1" s="1"/>
  <c r="DA97" i="1"/>
  <c r="DA790" i="1"/>
  <c r="E87" i="2" s="1"/>
  <c r="DB101" i="1"/>
  <c r="BD434" i="1"/>
  <c r="BB106" i="1"/>
  <c r="BC101" i="1" s="1"/>
  <c r="BE434" i="1"/>
  <c r="DC103" i="1" l="1"/>
  <c r="DC434" i="1"/>
  <c r="BB97" i="1"/>
  <c r="BC106" i="1"/>
  <c r="BC790" i="1" s="1"/>
  <c r="BB572" i="1"/>
  <c r="BB790" i="1"/>
  <c r="L87" i="2" s="1"/>
  <c r="BB627" i="1" l="1"/>
  <c r="BC572" i="1"/>
  <c r="BC97" i="1"/>
  <c r="DB106" i="1"/>
  <c r="BD101" i="1"/>
  <c r="BF434" i="1" l="1"/>
  <c r="BD106" i="1"/>
  <c r="BD572" i="1" s="1"/>
  <c r="BC627" i="1"/>
  <c r="DB627" i="1" s="1"/>
  <c r="DB572" i="1"/>
  <c r="DC101" i="1"/>
  <c r="DB790" i="1"/>
  <c r="F87" i="2" s="1"/>
  <c r="DB97" i="1"/>
  <c r="BD790" i="1" l="1"/>
  <c r="BD97" i="1"/>
  <c r="BE101" i="1"/>
  <c r="BD627" i="1"/>
  <c r="BE106" i="1" l="1"/>
  <c r="BE790" i="1" s="1"/>
  <c r="BI434" i="1"/>
  <c r="BG434" i="1" l="1"/>
  <c r="DD103" i="1"/>
  <c r="BH434" i="1"/>
  <c r="DE103" i="1"/>
  <c r="BE97" i="1"/>
  <c r="DC106" i="1"/>
  <c r="BF101" i="1"/>
  <c r="BE572" i="1"/>
  <c r="DE434" i="1" l="1"/>
  <c r="DD434" i="1"/>
  <c r="DD101" i="1"/>
  <c r="DC97" i="1"/>
  <c r="DC790" i="1"/>
  <c r="G87" i="2" s="1"/>
  <c r="BF106" i="1"/>
  <c r="BF790" i="1" s="1"/>
  <c r="DC572" i="1"/>
  <c r="BE627" i="1"/>
  <c r="DC627" i="1" s="1"/>
  <c r="BF97" i="1" l="1"/>
  <c r="BG101" i="1"/>
  <c r="BF572" i="1"/>
  <c r="BF627" i="1" l="1"/>
  <c r="BG106" i="1"/>
  <c r="BG572" i="1" s="1"/>
  <c r="BG790" i="1" l="1"/>
  <c r="BG97" i="1"/>
  <c r="BH101" i="1"/>
  <c r="DD106" i="1"/>
  <c r="BG627" i="1"/>
  <c r="DD627" i="1" s="1"/>
  <c r="DD572" i="1"/>
  <c r="BH106" i="1" l="1"/>
  <c r="BH97" i="1" s="1"/>
  <c r="DE101" i="1"/>
  <c r="DD97" i="1"/>
  <c r="DD790" i="1"/>
  <c r="BH790" i="1" l="1"/>
  <c r="BI101" i="1"/>
  <c r="BH572" i="1"/>
  <c r="BH627" i="1" l="1"/>
  <c r="BI106" i="1"/>
  <c r="BI790" i="1" s="1"/>
  <c r="BI97" i="1" l="1"/>
  <c r="BJ97" i="1" s="1"/>
  <c r="BK97" i="1" s="1"/>
  <c r="BL97" i="1" s="1"/>
  <c r="BM97" i="1" s="1"/>
  <c r="BN97" i="1" s="1"/>
  <c r="BO97" i="1" s="1"/>
  <c r="BP97" i="1" s="1"/>
  <c r="BQ97" i="1" s="1"/>
  <c r="BI572" i="1"/>
  <c r="DE106" i="1"/>
  <c r="BJ101" i="1"/>
  <c r="DF101" i="1" l="1"/>
  <c r="DE790" i="1"/>
  <c r="DE97" i="1"/>
  <c r="BI627" i="1"/>
  <c r="DE627" i="1" s="1"/>
  <c r="DE572" i="1"/>
  <c r="U28" i="24" l="1"/>
  <c r="U30" i="24" s="1"/>
  <c r="AZ98" i="1"/>
  <c r="AZ430" i="1"/>
  <c r="AZ791" i="1"/>
  <c r="J88" i="2" l="1"/>
  <c r="U26" i="24"/>
  <c r="U29" i="24" s="1"/>
  <c r="BA432" i="1" l="1"/>
  <c r="BA443" i="1" l="1"/>
  <c r="BA451" i="1"/>
  <c r="BA453" i="1" s="1"/>
  <c r="DA449" i="1"/>
  <c r="DA451" i="1" s="1"/>
  <c r="V28" i="24" l="1"/>
  <c r="V30" i="24" s="1"/>
  <c r="BA441" i="1"/>
  <c r="BA98" i="1"/>
  <c r="BA430" i="1"/>
  <c r="BA791" i="1"/>
  <c r="DA443" i="1"/>
  <c r="K88" i="2" l="1"/>
  <c r="AW28" i="24"/>
  <c r="AW30" i="24" s="1"/>
  <c r="V26" i="24"/>
  <c r="V29" i="24" s="1"/>
  <c r="DA98" i="1"/>
  <c r="DA430" i="1"/>
  <c r="DA791" i="1"/>
  <c r="E88" i="2" s="1"/>
  <c r="BA440" i="1"/>
  <c r="DA441" i="1"/>
  <c r="AW26" i="24" l="1"/>
  <c r="AW29" i="24" s="1"/>
  <c r="E11" i="23"/>
  <c r="BB96" i="1"/>
  <c r="O16" i="7"/>
  <c r="BB432" i="1" l="1"/>
  <c r="BB443" i="1" l="1"/>
  <c r="BB451" i="1"/>
  <c r="BB453" i="1" s="1"/>
  <c r="W28" i="24" l="1"/>
  <c r="W30" i="24" s="1"/>
  <c r="BB441" i="1"/>
  <c r="BB98" i="1"/>
  <c r="BB430" i="1"/>
  <c r="BB791" i="1"/>
  <c r="L88" i="2" s="1"/>
  <c r="W26" i="24" l="1"/>
  <c r="W29" i="24" s="1"/>
  <c r="BB440" i="1"/>
  <c r="BC96" i="1" l="1"/>
  <c r="BC432" i="1" l="1"/>
  <c r="DB432" i="1" l="1"/>
  <c r="BC443" i="1"/>
  <c r="BC451" i="1"/>
  <c r="BC453" i="1" s="1"/>
  <c r="DB449" i="1"/>
  <c r="DB451" i="1" s="1"/>
  <c r="X28" i="24" l="1"/>
  <c r="X30" i="24" s="1"/>
  <c r="DB93" i="1"/>
  <c r="BC98" i="1"/>
  <c r="BC441" i="1"/>
  <c r="BC430" i="1"/>
  <c r="BC791" i="1"/>
  <c r="DB443" i="1"/>
  <c r="AX28" i="24" l="1"/>
  <c r="AX30" i="24" s="1"/>
  <c r="X26" i="24"/>
  <c r="X29" i="24" s="1"/>
  <c r="DB98" i="1"/>
  <c r="DB430" i="1"/>
  <c r="DB791" i="1"/>
  <c r="F88" i="2" s="1"/>
  <c r="BC440" i="1"/>
  <c r="DB441" i="1"/>
  <c r="AX26" i="24" l="1"/>
  <c r="AX29" i="24" s="1"/>
  <c r="F11" i="23"/>
  <c r="BD96" i="1"/>
  <c r="DB440" i="1"/>
  <c r="DC96" i="1" s="1"/>
  <c r="P16" i="7"/>
  <c r="BD432" i="1"/>
  <c r="BD443" i="1" l="1"/>
  <c r="BD451" i="1"/>
  <c r="BD453" i="1" s="1"/>
  <c r="Y28" i="24" l="1"/>
  <c r="Y30" i="24" s="1"/>
  <c r="BD441" i="1"/>
  <c r="BD98" i="1"/>
  <c r="BD430" i="1"/>
  <c r="BD791" i="1"/>
  <c r="Y26" i="24" l="1"/>
  <c r="Y29" i="24" s="1"/>
  <c r="BD440" i="1"/>
  <c r="BE96" i="1" l="1"/>
  <c r="BE432" i="1"/>
  <c r="DC432" i="1" l="1"/>
  <c r="BE443" i="1"/>
  <c r="BE451" i="1"/>
  <c r="BE453" i="1" s="1"/>
  <c r="DC449" i="1"/>
  <c r="DC451" i="1" s="1"/>
  <c r="Z28" i="24" l="1"/>
  <c r="Z30" i="24" s="1"/>
  <c r="DC93" i="1"/>
  <c r="BE441" i="1"/>
  <c r="BE98" i="1"/>
  <c r="BE430" i="1"/>
  <c r="BE791" i="1"/>
  <c r="DC443" i="1"/>
  <c r="AY28" i="24" l="1"/>
  <c r="AY30" i="24" s="1"/>
  <c r="Z26" i="24"/>
  <c r="Z29" i="24" s="1"/>
  <c r="DC430" i="1"/>
  <c r="DC98" i="1"/>
  <c r="DC791" i="1"/>
  <c r="G88" i="2" s="1"/>
  <c r="BE440" i="1"/>
  <c r="DC441" i="1"/>
  <c r="AY26" i="24" l="1"/>
  <c r="AY29" i="24" s="1"/>
  <c r="G11" i="23"/>
  <c r="Q16" i="7"/>
  <c r="BF96" i="1"/>
  <c r="DC440" i="1"/>
  <c r="DD96" i="1" s="1"/>
  <c r="BF432" i="1"/>
  <c r="BF443" i="1" l="1"/>
  <c r="BF451" i="1"/>
  <c r="BF453" i="1" s="1"/>
  <c r="AA28" i="24" l="1"/>
  <c r="AA30" i="24" s="1"/>
  <c r="BF441" i="1"/>
  <c r="BF430" i="1"/>
  <c r="BF98" i="1"/>
  <c r="BF791" i="1"/>
  <c r="AA26" i="24" l="1"/>
  <c r="AA29" i="24" s="1"/>
  <c r="BF440" i="1"/>
  <c r="BG96" i="1" l="1"/>
  <c r="BG432" i="1"/>
  <c r="DD432" i="1" l="1"/>
  <c r="DD93" i="1" l="1"/>
  <c r="BG443" i="1"/>
  <c r="BG451" i="1"/>
  <c r="BG453" i="1" s="1"/>
  <c r="DD449" i="1"/>
  <c r="DD451" i="1" s="1"/>
  <c r="AB28" i="24" l="1"/>
  <c r="AB30" i="24" s="1"/>
  <c r="BG441" i="1"/>
  <c r="BG98" i="1"/>
  <c r="BG430" i="1"/>
  <c r="BG791" i="1"/>
  <c r="DD443" i="1"/>
  <c r="AB26" i="24" l="1"/>
  <c r="AB29" i="24" s="1"/>
  <c r="AZ28" i="24"/>
  <c r="AZ30" i="24" s="1"/>
  <c r="DD98" i="1"/>
  <c r="DD430" i="1"/>
  <c r="DD791" i="1"/>
  <c r="BG440" i="1"/>
  <c r="DD441" i="1"/>
  <c r="AZ26" i="24" l="1"/>
  <c r="AZ29" i="24" s="1"/>
  <c r="BH96" i="1"/>
  <c r="DD440" i="1"/>
  <c r="DE96" i="1" s="1"/>
  <c r="BH432" i="1"/>
  <c r="BH443" i="1" l="1"/>
  <c r="BH451" i="1"/>
  <c r="BH453" i="1" s="1"/>
  <c r="AC28" i="24" l="1"/>
  <c r="AC30" i="24" s="1"/>
  <c r="BH441" i="1"/>
  <c r="BH430" i="1"/>
  <c r="BH98" i="1"/>
  <c r="BH791" i="1"/>
  <c r="AC26" i="24" l="1"/>
  <c r="AC29" i="24" s="1"/>
  <c r="BH440" i="1"/>
  <c r="BI96" i="1" l="1"/>
  <c r="BJ96" i="1" s="1"/>
  <c r="BK96" i="1" l="1"/>
  <c r="BL96" i="1" s="1"/>
  <c r="BM96" i="1" s="1"/>
  <c r="BN96" i="1" s="1"/>
  <c r="BO96" i="1" s="1"/>
  <c r="BP96" i="1" s="1"/>
  <c r="BQ96" i="1" s="1"/>
  <c r="BJ93" i="1" l="1"/>
  <c r="BI432" i="1"/>
  <c r="BI443" i="1"/>
  <c r="BI451" i="1"/>
  <c r="BI453" i="1" s="1"/>
  <c r="DE449" i="1"/>
  <c r="DE451" i="1" s="1"/>
  <c r="AD28" i="24" l="1"/>
  <c r="AD30" i="24" s="1"/>
  <c r="DE432" i="1"/>
  <c r="BK93" i="1"/>
  <c r="BJ432" i="1"/>
  <c r="BI430" i="1"/>
  <c r="BI441" i="1"/>
  <c r="BI98" i="1"/>
  <c r="BI791" i="1"/>
  <c r="DE443" i="1"/>
  <c r="BA28" i="24" l="1"/>
  <c r="BA30" i="24" s="1"/>
  <c r="AD26" i="24"/>
  <c r="AD29" i="24" s="1"/>
  <c r="DE93" i="1"/>
  <c r="BL93" i="1"/>
  <c r="BK432" i="1"/>
  <c r="DE430" i="1"/>
  <c r="DE98" i="1"/>
  <c r="DE791" i="1"/>
  <c r="BI440" i="1"/>
  <c r="DE441" i="1"/>
  <c r="BA26" i="24" l="1"/>
  <c r="BA29" i="24" s="1"/>
  <c r="DF432" i="1"/>
  <c r="BM93" i="1"/>
  <c r="BL432" i="1"/>
  <c r="DE440" i="1"/>
  <c r="BJ102" i="1"/>
  <c r="BJ103" i="1" s="1"/>
  <c r="DF93" i="1" l="1"/>
  <c r="BN93" i="1"/>
  <c r="BM432" i="1"/>
  <c r="BJ106" i="1"/>
  <c r="BJ434" i="1"/>
  <c r="DG432" i="1" l="1"/>
  <c r="BO93" i="1"/>
  <c r="BN432" i="1"/>
  <c r="BJ790" i="1"/>
  <c r="BK101" i="1"/>
  <c r="BJ572" i="1"/>
  <c r="DG93" i="1" l="1"/>
  <c r="BP93" i="1"/>
  <c r="BO432" i="1"/>
  <c r="BJ627" i="1"/>
  <c r="DH432" i="1" l="1"/>
  <c r="BQ93" i="1"/>
  <c r="BQ432" i="1" s="1"/>
  <c r="BP432" i="1"/>
  <c r="DH93" i="1" l="1"/>
  <c r="DI432" i="1"/>
  <c r="DI93" i="1" l="1"/>
  <c r="CU322" i="1" l="1"/>
  <c r="CU323" i="1" s="1"/>
  <c r="CV322" i="1"/>
  <c r="CV323" i="1" s="1"/>
  <c r="CV325" i="1" s="1"/>
  <c r="CU269" i="1" l="1"/>
  <c r="CU325" i="1"/>
  <c r="AR70" i="24"/>
  <c r="CV81" i="1"/>
  <c r="CV269" i="1"/>
  <c r="AQ70" i="24"/>
  <c r="CU81" i="1"/>
  <c r="G2" i="2" l="1"/>
  <c r="C121" i="2" l="1"/>
  <c r="S3" i="17"/>
  <c r="E10" i="2"/>
  <c r="J8" i="7"/>
  <c r="E9" i="2"/>
  <c r="U6" i="17" l="1"/>
  <c r="U52" i="17" s="1"/>
  <c r="S6" i="17"/>
  <c r="S52" i="17" s="1"/>
  <c r="Y57" i="17"/>
  <c r="AA57" i="17"/>
  <c r="AA6" i="17"/>
  <c r="AB6" i="17" s="1"/>
  <c r="Q6" i="17"/>
  <c r="Q52" i="17" s="1"/>
  <c r="T6" i="17"/>
  <c r="T52" i="17" s="1"/>
  <c r="R6" i="17"/>
  <c r="R52" i="17" s="1"/>
  <c r="Y6" i="17"/>
  <c r="P6" i="17"/>
  <c r="Z6" i="17"/>
  <c r="V6" i="17"/>
  <c r="X57" i="17"/>
  <c r="W6" i="17"/>
  <c r="U57" i="17"/>
  <c r="Q57" i="17"/>
  <c r="R57" i="17" s="1"/>
  <c r="V57" i="17"/>
  <c r="X6" i="17"/>
  <c r="Z57" i="17"/>
  <c r="W57" i="17"/>
  <c r="P57" i="17"/>
  <c r="T57" i="17"/>
  <c r="C143" i="2"/>
  <c r="C120" i="2"/>
  <c r="D120" i="2" s="1"/>
  <c r="E143" i="2"/>
  <c r="F143" i="2"/>
  <c r="D121" i="2"/>
  <c r="D143" i="2"/>
  <c r="G143" i="2"/>
  <c r="Q81" i="7" l="1"/>
  <c r="X58" i="17"/>
  <c r="Y58" i="17"/>
  <c r="V58" i="17"/>
  <c r="S57" i="17"/>
  <c r="U58" i="17" s="1"/>
  <c r="P52" i="17"/>
  <c r="Q58" i="17"/>
  <c r="R58" i="17" s="1"/>
  <c r="P58" i="17"/>
  <c r="W58" i="17"/>
  <c r="AA58" i="17"/>
  <c r="Z58" i="17"/>
  <c r="S58" i="17" l="1"/>
  <c r="T58" i="17"/>
  <c r="AB50" i="17" l="1"/>
  <c r="BS38" i="1" l="1"/>
  <c r="BS32" i="1"/>
  <c r="BS46" i="1" s="1"/>
  <c r="BS33" i="1"/>
  <c r="BS47" i="1" s="1"/>
  <c r="BT33" i="1" l="1"/>
  <c r="BT47" i="1" s="1"/>
  <c r="BT32" i="1"/>
  <c r="BT46" i="1" s="1"/>
  <c r="BN32" i="1" l="1"/>
  <c r="AF67" i="1"/>
  <c r="AF272" i="1" s="1"/>
  <c r="AF330" i="1" s="1"/>
  <c r="S67" i="1"/>
  <c r="S272" i="1" s="1"/>
  <c r="S330" i="1" s="1"/>
  <c r="BK128" i="1"/>
  <c r="D70" i="1"/>
  <c r="D275" i="1" s="1"/>
  <c r="D333" i="1" s="1"/>
  <c r="AY132" i="1"/>
  <c r="AY636" i="1" s="1"/>
  <c r="AY637" i="1" s="1"/>
  <c r="AY739" i="1" s="1"/>
  <c r="AY765" i="1" s="1"/>
  <c r="BI40" i="1"/>
  <c r="G68" i="1"/>
  <c r="G273" i="1" s="1"/>
  <c r="G331" i="1" s="1"/>
  <c r="BK29" i="1"/>
  <c r="BE38" i="1"/>
  <c r="BE64" i="1" s="1"/>
  <c r="BG39" i="1"/>
  <c r="BA128" i="1"/>
  <c r="BM33" i="1"/>
  <c r="BM57" i="1" s="1"/>
  <c r="BK32" i="1"/>
  <c r="BK56" i="1" s="1"/>
  <c r="N67" i="1"/>
  <c r="N272" i="1" s="1"/>
  <c r="N330" i="1" s="1"/>
  <c r="W132" i="1"/>
  <c r="W636" i="1" s="1"/>
  <c r="W637" i="1" s="1"/>
  <c r="W739" i="1" s="1"/>
  <c r="W765" i="1" s="1"/>
  <c r="BO29" i="1"/>
  <c r="T70" i="1"/>
  <c r="T275" i="1" s="1"/>
  <c r="T333" i="1" s="1"/>
  <c r="AU68" i="1"/>
  <c r="BV33" i="1"/>
  <c r="BV47" i="1" s="1"/>
  <c r="U68" i="1"/>
  <c r="U273" i="1" s="1"/>
  <c r="U331" i="1" s="1"/>
  <c r="AJ67" i="1"/>
  <c r="AJ272" i="1" s="1"/>
  <c r="AJ330" i="1" s="1"/>
  <c r="BI32" i="1"/>
  <c r="BI56" i="1" s="1"/>
  <c r="BO132" i="1"/>
  <c r="AE67" i="1"/>
  <c r="AE272" i="1" s="1"/>
  <c r="AE330" i="1" s="1"/>
  <c r="BN40" i="1"/>
  <c r="AP68" i="1"/>
  <c r="AP273" i="1" s="1"/>
  <c r="AP331" i="1" s="1"/>
  <c r="N68" i="1"/>
  <c r="N273" i="1" s="1"/>
  <c r="N331" i="1" s="1"/>
  <c r="BB132" i="1"/>
  <c r="AI68" i="1"/>
  <c r="AI273" i="1" s="1"/>
  <c r="AI331" i="1" s="1"/>
  <c r="BJ80" i="1"/>
  <c r="BB29" i="1"/>
  <c r="AN132" i="1"/>
  <c r="AP67" i="1"/>
  <c r="AP272" i="1" s="1"/>
  <c r="AP330" i="1" s="1"/>
  <c r="BI33" i="1"/>
  <c r="BI57" i="1" s="1"/>
  <c r="BM32" i="1"/>
  <c r="BM56" i="1" s="1"/>
  <c r="X68" i="1"/>
  <c r="X273" i="1" s="1"/>
  <c r="X331" i="1" s="1"/>
  <c r="AG70" i="1"/>
  <c r="AG275" i="1" s="1"/>
  <c r="AG333" i="1" s="1"/>
  <c r="BD29" i="1"/>
  <c r="AV132" i="1"/>
  <c r="BQ128" i="1"/>
  <c r="BH39" i="1"/>
  <c r="BB39" i="1"/>
  <c r="AS67" i="1"/>
  <c r="G70" i="1"/>
  <c r="G275" i="1" s="1"/>
  <c r="G333" i="1" s="1"/>
  <c r="BN39" i="1"/>
  <c r="BW32" i="1"/>
  <c r="BW46" i="1" s="1"/>
  <c r="AW67" i="1"/>
  <c r="BM39" i="1"/>
  <c r="T67" i="1"/>
  <c r="T272" i="1" s="1"/>
  <c r="T330" i="1" s="1"/>
  <c r="BH40" i="1"/>
  <c r="DE40" i="1" s="1"/>
  <c r="BJ38" i="1"/>
  <c r="H70" i="1"/>
  <c r="H275" i="1" s="1"/>
  <c r="H333" i="1" s="1"/>
  <c r="C70" i="1"/>
  <c r="C275" i="1" s="1"/>
  <c r="C333" i="1" s="1"/>
  <c r="V68" i="1"/>
  <c r="V273" i="1" s="1"/>
  <c r="V331" i="1" s="1"/>
  <c r="E67" i="1"/>
  <c r="E272" i="1" s="1"/>
  <c r="E330" i="1" s="1"/>
  <c r="BH132" i="1"/>
  <c r="AI70" i="1"/>
  <c r="AI275" i="1" s="1"/>
  <c r="AI333" i="1" s="1"/>
  <c r="BC128" i="1"/>
  <c r="AI132" i="1"/>
  <c r="AI636" i="1" s="1"/>
  <c r="AI637" i="1" s="1"/>
  <c r="AI739" i="1" s="1"/>
  <c r="AI765" i="1" s="1"/>
  <c r="BU33" i="1"/>
  <c r="BU47" i="1" s="1"/>
  <c r="P132" i="1"/>
  <c r="BQ32" i="1"/>
  <c r="BQ56" i="1" s="1"/>
  <c r="V67" i="1"/>
  <c r="V272" i="1" s="1"/>
  <c r="V330" i="1" s="1"/>
  <c r="BE40" i="1"/>
  <c r="Z67" i="1"/>
  <c r="Z272" i="1" s="1"/>
  <c r="Z330" i="1" s="1"/>
  <c r="AV68" i="1"/>
  <c r="AK70" i="1"/>
  <c r="AK275" i="1" s="1"/>
  <c r="AK333" i="1" s="1"/>
  <c r="AG68" i="1"/>
  <c r="AG273" i="1" s="1"/>
  <c r="AG331" i="1" s="1"/>
  <c r="AL132" i="1"/>
  <c r="BG38" i="1"/>
  <c r="BG64" i="1" s="1"/>
  <c r="AX132" i="1"/>
  <c r="BK31" i="1"/>
  <c r="BK54" i="1" s="1"/>
  <c r="BD38" i="1"/>
  <c r="AV70" i="1"/>
  <c r="BW33" i="1"/>
  <c r="BW47" i="1" s="1"/>
  <c r="BL38" i="1"/>
  <c r="BG128" i="1"/>
  <c r="M132" i="1"/>
  <c r="C68" i="1"/>
  <c r="C273" i="1" s="1"/>
  <c r="C331" i="1" s="1"/>
  <c r="AQ70" i="1"/>
  <c r="AQ275" i="1" s="1"/>
  <c r="AQ333" i="1" s="1"/>
  <c r="BE29" i="1"/>
  <c r="BF39" i="1"/>
  <c r="DD39" i="1" s="1"/>
  <c r="BG132" i="1"/>
  <c r="BN38" i="1"/>
  <c r="BD80" i="1"/>
  <c r="AA67" i="1"/>
  <c r="AA272" i="1" s="1"/>
  <c r="AA330" i="1" s="1"/>
  <c r="AX70" i="1"/>
  <c r="BK80" i="1"/>
  <c r="AS68" i="1"/>
  <c r="BC30" i="1"/>
  <c r="S132" i="1"/>
  <c r="S636" i="1" s="1"/>
  <c r="S637" i="1" s="1"/>
  <c r="S739" i="1" s="1"/>
  <c r="S765" i="1" s="1"/>
  <c r="D68" i="1"/>
  <c r="D273" i="1" s="1"/>
  <c r="D331" i="1" s="1"/>
  <c r="BP33" i="1"/>
  <c r="BC31" i="1"/>
  <c r="BC54" i="1" s="1"/>
  <c r="BP80" i="1"/>
  <c r="BO40" i="1"/>
  <c r="Z132" i="1"/>
  <c r="BN29" i="1"/>
  <c r="AM68" i="1"/>
  <c r="AM273" i="1" s="1"/>
  <c r="AM331" i="1" s="1"/>
  <c r="BA40" i="1"/>
  <c r="BG33" i="1"/>
  <c r="BG57" i="1" s="1"/>
  <c r="AR68" i="1"/>
  <c r="BA80" i="1"/>
  <c r="BQ40" i="1"/>
  <c r="BP30" i="1"/>
  <c r="I67" i="1"/>
  <c r="I272" i="1" s="1"/>
  <c r="I330" i="1" s="1"/>
  <c r="AR67" i="1"/>
  <c r="BE32" i="1"/>
  <c r="BE56" i="1" s="1"/>
  <c r="BD33" i="1"/>
  <c r="O132" i="1"/>
  <c r="O636" i="1" s="1"/>
  <c r="O637" i="1" s="1"/>
  <c r="O739" i="1" s="1"/>
  <c r="O765" i="1" s="1"/>
  <c r="AS132" i="1"/>
  <c r="AS636" i="1" s="1"/>
  <c r="AS637" i="1" s="1"/>
  <c r="AS739" i="1" s="1"/>
  <c r="AS765" i="1" s="1"/>
  <c r="AE70" i="1"/>
  <c r="AE275" i="1" s="1"/>
  <c r="AE333" i="1" s="1"/>
  <c r="BA29" i="1"/>
  <c r="AO132" i="1"/>
  <c r="AO636" i="1" s="1"/>
  <c r="AO637" i="1" s="1"/>
  <c r="AO739" i="1" s="1"/>
  <c r="AO765" i="1" s="1"/>
  <c r="BP32" i="1"/>
  <c r="BD128" i="1"/>
  <c r="BQ33" i="1"/>
  <c r="BQ57" i="1" s="1"/>
  <c r="BC40" i="1"/>
  <c r="BF40" i="1"/>
  <c r="AM132" i="1"/>
  <c r="AM636" i="1" s="1"/>
  <c r="AM637" i="1" s="1"/>
  <c r="AM739" i="1" s="1"/>
  <c r="AM765" i="1" s="1"/>
  <c r="BH128" i="1"/>
  <c r="K67" i="1"/>
  <c r="K272" i="1" s="1"/>
  <c r="K330" i="1" s="1"/>
  <c r="N132" i="1"/>
  <c r="L70" i="1"/>
  <c r="L275" i="1" s="1"/>
  <c r="L333" i="1" s="1"/>
  <c r="AK132" i="1"/>
  <c r="AK636" i="1" s="1"/>
  <c r="AK637" i="1" s="1"/>
  <c r="AK739" i="1" s="1"/>
  <c r="AK765" i="1" s="1"/>
  <c r="BA33" i="1"/>
  <c r="BA57" i="1" s="1"/>
  <c r="M70" i="1"/>
  <c r="M275" i="1" s="1"/>
  <c r="M333" i="1" s="1"/>
  <c r="BP40" i="1"/>
  <c r="DI40" i="1" s="1"/>
  <c r="BI31" i="1"/>
  <c r="BI54" i="1" s="1"/>
  <c r="BE80" i="1"/>
  <c r="U67" i="1"/>
  <c r="U272" i="1" s="1"/>
  <c r="U330" i="1" s="1"/>
  <c r="BJ30" i="1"/>
  <c r="BF38" i="1"/>
  <c r="J68" i="1"/>
  <c r="J273" i="1" s="1"/>
  <c r="J331" i="1" s="1"/>
  <c r="AO67" i="1"/>
  <c r="AO272" i="1" s="1"/>
  <c r="AO330" i="1" s="1"/>
  <c r="AA70" i="1"/>
  <c r="AA275" i="1" s="1"/>
  <c r="AA333" i="1" s="1"/>
  <c r="BP128" i="1"/>
  <c r="F70" i="1"/>
  <c r="F275" i="1" s="1"/>
  <c r="F333" i="1" s="1"/>
  <c r="BK30" i="1"/>
  <c r="BK38" i="1"/>
  <c r="BK64" i="1" s="1"/>
  <c r="AQ68" i="1"/>
  <c r="AQ273" i="1" s="1"/>
  <c r="AQ331" i="1" s="1"/>
  <c r="BB128" i="1"/>
  <c r="BI38" i="1"/>
  <c r="BI64" i="1" s="1"/>
  <c r="L68" i="1"/>
  <c r="L273" i="1" s="1"/>
  <c r="L331" i="1" s="1"/>
  <c r="T68" i="1"/>
  <c r="T273" i="1" s="1"/>
  <c r="T331" i="1" s="1"/>
  <c r="W68" i="1"/>
  <c r="W273" i="1" s="1"/>
  <c r="W331" i="1" s="1"/>
  <c r="AG132" i="1"/>
  <c r="AG636" i="1" s="1"/>
  <c r="AG637" i="1" s="1"/>
  <c r="AG739" i="1" s="1"/>
  <c r="AG765" i="1" s="1"/>
  <c r="BF80" i="1"/>
  <c r="BF32" i="1"/>
  <c r="X67" i="1"/>
  <c r="X272" i="1" s="1"/>
  <c r="X330" i="1" s="1"/>
  <c r="BB32" i="1"/>
  <c r="BI128" i="1"/>
  <c r="BQ38" i="1"/>
  <c r="BQ64" i="1" s="1"/>
  <c r="R70" i="1"/>
  <c r="R275" i="1" s="1"/>
  <c r="R333" i="1" s="1"/>
  <c r="BF132" i="1"/>
  <c r="DD132" i="1" s="1"/>
  <c r="T53" i="17" s="1"/>
  <c r="T54" i="17" s="1"/>
  <c r="BH33" i="1"/>
  <c r="AA68" i="1"/>
  <c r="AA273" i="1" s="1"/>
  <c r="AA331" i="1" s="1"/>
  <c r="AQ67" i="1"/>
  <c r="AQ272" i="1" s="1"/>
  <c r="AQ330" i="1" s="1"/>
  <c r="BP31" i="1"/>
  <c r="BD32" i="1"/>
  <c r="AJ68" i="1"/>
  <c r="AJ273" i="1" s="1"/>
  <c r="AJ331" i="1" s="1"/>
  <c r="S68" i="1"/>
  <c r="S273" i="1" s="1"/>
  <c r="S331" i="1" s="1"/>
  <c r="BE30" i="1"/>
  <c r="Y70" i="1"/>
  <c r="Y275" i="1" s="1"/>
  <c r="Y333" i="1" s="1"/>
  <c r="BQ132" i="1"/>
  <c r="BL128" i="1"/>
  <c r="Y132" i="1"/>
  <c r="Y636" i="1" s="1"/>
  <c r="Y637" i="1" s="1"/>
  <c r="Y739" i="1" s="1"/>
  <c r="Y765" i="1" s="1"/>
  <c r="BF128" i="1"/>
  <c r="BG40" i="1"/>
  <c r="L67" i="1"/>
  <c r="L272" i="1" s="1"/>
  <c r="L330" i="1" s="1"/>
  <c r="AJ132" i="1"/>
  <c r="V70" i="1"/>
  <c r="V275" i="1" s="1"/>
  <c r="V333" i="1" s="1"/>
  <c r="BO128" i="1"/>
  <c r="BX32" i="1"/>
  <c r="BX46" i="1" s="1"/>
  <c r="BM128" i="1"/>
  <c r="F68" i="1"/>
  <c r="F273" i="1" s="1"/>
  <c r="F331" i="1" s="1"/>
  <c r="CD331" i="1" s="1"/>
  <c r="CD273" i="1" s="1"/>
  <c r="CD68" i="1" s="1"/>
  <c r="BH29" i="1"/>
  <c r="AU70" i="1"/>
  <c r="AU67" i="1"/>
  <c r="BM31" i="1"/>
  <c r="BM54" i="1" s="1"/>
  <c r="AR70" i="1"/>
  <c r="BH38" i="1"/>
  <c r="BC33" i="1"/>
  <c r="BC57" i="1" s="1"/>
  <c r="AL68" i="1"/>
  <c r="AL273" i="1" s="1"/>
  <c r="AL331" i="1" s="1"/>
  <c r="CT331" i="1" s="1"/>
  <c r="CT273" i="1" s="1"/>
  <c r="CT68" i="1" s="1"/>
  <c r="BO39" i="1"/>
  <c r="AD132" i="1"/>
  <c r="BE132" i="1"/>
  <c r="BG31" i="1"/>
  <c r="BG54" i="1" s="1"/>
  <c r="BA30" i="1"/>
  <c r="BK33" i="1"/>
  <c r="BK57" i="1" s="1"/>
  <c r="AK67" i="1"/>
  <c r="AK272" i="1" s="1"/>
  <c r="AK330" i="1" s="1"/>
  <c r="BQ31" i="1"/>
  <c r="BQ54" i="1" s="1"/>
  <c r="BO31" i="1"/>
  <c r="BO54" i="1" s="1"/>
  <c r="BN128" i="1"/>
  <c r="AP70" i="1"/>
  <c r="AP275" i="1" s="1"/>
  <c r="AP333" i="1" s="1"/>
  <c r="CV333" i="1" s="1"/>
  <c r="CV70" i="1" s="1"/>
  <c r="S70" i="1"/>
  <c r="S275" i="1" s="1"/>
  <c r="S333" i="1" s="1"/>
  <c r="C67" i="1"/>
  <c r="C272" i="1" s="1"/>
  <c r="C330" i="1" s="1"/>
  <c r="K68" i="1"/>
  <c r="K273" i="1" s="1"/>
  <c r="K331" i="1" s="1"/>
  <c r="W67" i="1"/>
  <c r="W272" i="1" s="1"/>
  <c r="W330" i="1" s="1"/>
  <c r="BO33" i="1"/>
  <c r="BO57" i="1" s="1"/>
  <c r="I68" i="1"/>
  <c r="I273" i="1" s="1"/>
  <c r="I331" i="1" s="1"/>
  <c r="BB38" i="1"/>
  <c r="AF70" i="1"/>
  <c r="AF275" i="1" s="1"/>
  <c r="AF333" i="1" s="1"/>
  <c r="BL30" i="1"/>
  <c r="X132" i="1"/>
  <c r="E68" i="1"/>
  <c r="E273" i="1" s="1"/>
  <c r="E331" i="1" s="1"/>
  <c r="BL32" i="1"/>
  <c r="BM80" i="1"/>
  <c r="AL70" i="1"/>
  <c r="AL275" i="1" s="1"/>
  <c r="AL333" i="1" s="1"/>
  <c r="BH31" i="1"/>
  <c r="BC132" i="1"/>
  <c r="BM40" i="1"/>
  <c r="BB40" i="1"/>
  <c r="AB70" i="1"/>
  <c r="AB275" i="1" s="1"/>
  <c r="AB333" i="1" s="1"/>
  <c r="AW70" i="1"/>
  <c r="BB33" i="1"/>
  <c r="BM30" i="1"/>
  <c r="AT67" i="1"/>
  <c r="AG67" i="1"/>
  <c r="AG272" i="1" s="1"/>
  <c r="AG330" i="1" s="1"/>
  <c r="AG332" i="1" s="1"/>
  <c r="AG274" i="1" s="1"/>
  <c r="AG69" i="1" s="1"/>
  <c r="BE33" i="1"/>
  <c r="BE57" i="1" s="1"/>
  <c r="BI30" i="1"/>
  <c r="M67" i="1"/>
  <c r="M272" i="1" s="1"/>
  <c r="M330" i="1" s="1"/>
  <c r="Y68" i="1"/>
  <c r="Y273" i="1" s="1"/>
  <c r="Y331" i="1" s="1"/>
  <c r="AM67" i="1"/>
  <c r="AM272" i="1" s="1"/>
  <c r="AM330" i="1" s="1"/>
  <c r="BK39" i="1"/>
  <c r="AB68" i="1"/>
  <c r="AB273" i="1" s="1"/>
  <c r="AB331" i="1" s="1"/>
  <c r="H67" i="1"/>
  <c r="H272" i="1" s="1"/>
  <c r="H330" i="1" s="1"/>
  <c r="BU32" i="1"/>
  <c r="BU46" i="1" s="1"/>
  <c r="AQ132" i="1"/>
  <c r="AQ636" i="1" s="1"/>
  <c r="AQ637" i="1" s="1"/>
  <c r="AQ739" i="1" s="1"/>
  <c r="AQ765" i="1" s="1"/>
  <c r="BQ80" i="1"/>
  <c r="Y67" i="1"/>
  <c r="Y272" i="1" s="1"/>
  <c r="Y330" i="1" s="1"/>
  <c r="BV32" i="1"/>
  <c r="BV46" i="1" s="1"/>
  <c r="BJ132" i="1"/>
  <c r="Q68" i="1"/>
  <c r="Q273" i="1" s="1"/>
  <c r="Q331" i="1" s="1"/>
  <c r="P68" i="1"/>
  <c r="P273" i="1" s="1"/>
  <c r="P331" i="1" s="1"/>
  <c r="X70" i="1"/>
  <c r="X275" i="1" s="1"/>
  <c r="X333" i="1" s="1"/>
  <c r="CM333" i="1" s="1"/>
  <c r="CM275" i="1" s="1"/>
  <c r="CM70" i="1" s="1"/>
  <c r="BL40" i="1"/>
  <c r="BP38" i="1"/>
  <c r="AX68" i="1"/>
  <c r="AT132" i="1"/>
  <c r="BJ33" i="1"/>
  <c r="BA32" i="1"/>
  <c r="BA56" i="1" s="1"/>
  <c r="U132" i="1"/>
  <c r="U636" i="1" s="1"/>
  <c r="U637" i="1" s="1"/>
  <c r="U739" i="1" s="1"/>
  <c r="U765" i="1" s="1"/>
  <c r="BL39" i="1"/>
  <c r="DG39" i="1" s="1"/>
  <c r="AD68" i="1"/>
  <c r="AD273" i="1" s="1"/>
  <c r="AD331" i="1" s="1"/>
  <c r="O67" i="1"/>
  <c r="O272" i="1" s="1"/>
  <c r="O330" i="1" s="1"/>
  <c r="BY32" i="1"/>
  <c r="BY46" i="1" s="1"/>
  <c r="AN70" i="1"/>
  <c r="AN275" i="1" s="1"/>
  <c r="AN333" i="1" s="1"/>
  <c r="BP29" i="1"/>
  <c r="BD132" i="1"/>
  <c r="O70" i="1"/>
  <c r="O275" i="1" s="1"/>
  <c r="O333" i="1" s="1"/>
  <c r="R67" i="1"/>
  <c r="R272" i="1" s="1"/>
  <c r="R330" i="1" s="1"/>
  <c r="N70" i="1"/>
  <c r="N275" i="1" s="1"/>
  <c r="N333" i="1" s="1"/>
  <c r="AO68" i="1"/>
  <c r="AO273" i="1" s="1"/>
  <c r="AO331" i="1" s="1"/>
  <c r="BL29" i="1"/>
  <c r="BF31" i="1"/>
  <c r="AH68" i="1"/>
  <c r="AH273" i="1" s="1"/>
  <c r="AH331" i="1" s="1"/>
  <c r="BJ40" i="1"/>
  <c r="AO70" i="1"/>
  <c r="AO275" i="1" s="1"/>
  <c r="AO333" i="1" s="1"/>
  <c r="BA132" i="1"/>
  <c r="R132" i="1"/>
  <c r="BO80" i="1"/>
  <c r="P67" i="1"/>
  <c r="P272" i="1" s="1"/>
  <c r="P330" i="1" s="1"/>
  <c r="BN132" i="1"/>
  <c r="BL132" i="1"/>
  <c r="BY33" i="1"/>
  <c r="BY47" i="1" s="1"/>
  <c r="AE68" i="1"/>
  <c r="AE273" i="1" s="1"/>
  <c r="AE331" i="1" s="1"/>
  <c r="AS70" i="1"/>
  <c r="BH30" i="1"/>
  <c r="BJ31" i="1"/>
  <c r="BQ39" i="1"/>
  <c r="U70" i="1"/>
  <c r="U275" i="1" s="1"/>
  <c r="U333" i="1" s="1"/>
  <c r="BF29" i="1"/>
  <c r="BG29" i="1"/>
  <c r="BI29" i="1"/>
  <c r="T132" i="1"/>
  <c r="AX67" i="1"/>
  <c r="AD70" i="1"/>
  <c r="AD275" i="1" s="1"/>
  <c r="AD333" i="1" s="1"/>
  <c r="BG32" i="1"/>
  <c r="BG56" i="1" s="1"/>
  <c r="BC32" i="1"/>
  <c r="BC56" i="1" s="1"/>
  <c r="BB80" i="1"/>
  <c r="AH70" i="1"/>
  <c r="AH275" i="1" s="1"/>
  <c r="AH333" i="1" s="1"/>
  <c r="AT70" i="1"/>
  <c r="BA38" i="1"/>
  <c r="BA64" i="1" s="1"/>
  <c r="AB67" i="1"/>
  <c r="AB272" i="1" s="1"/>
  <c r="AB330" i="1" s="1"/>
  <c r="F67" i="1"/>
  <c r="F272" i="1" s="1"/>
  <c r="F330" i="1" s="1"/>
  <c r="AC132" i="1"/>
  <c r="AC636" i="1" s="1"/>
  <c r="AC637" i="1" s="1"/>
  <c r="AC739" i="1" s="1"/>
  <c r="AC765" i="1" s="1"/>
  <c r="AU132" i="1"/>
  <c r="AU636" i="1" s="1"/>
  <c r="AU637" i="1" s="1"/>
  <c r="AU739" i="1" s="1"/>
  <c r="AU765" i="1" s="1"/>
  <c r="AH67" i="1"/>
  <c r="AH272" i="1" s="1"/>
  <c r="AH330" i="1" s="1"/>
  <c r="AC68" i="1"/>
  <c r="AC273" i="1" s="1"/>
  <c r="AC331" i="1" s="1"/>
  <c r="BJ29" i="1"/>
  <c r="BA31" i="1"/>
  <c r="BA54" i="1" s="1"/>
  <c r="BJ32" i="1"/>
  <c r="BX33" i="1"/>
  <c r="BX47" i="1" s="1"/>
  <c r="BO30" i="1"/>
  <c r="V132" i="1"/>
  <c r="AJ70" i="1"/>
  <c r="AJ275" i="1" s="1"/>
  <c r="AJ333" i="1" s="1"/>
  <c r="CS333" i="1" s="1"/>
  <c r="CS275" i="1" s="1"/>
  <c r="CS70" i="1" s="1"/>
  <c r="AD67" i="1"/>
  <c r="AD272" i="1" s="1"/>
  <c r="AD330" i="1" s="1"/>
  <c r="BB30" i="1"/>
  <c r="BL33" i="1"/>
  <c r="D67" i="1"/>
  <c r="D272" i="1" s="1"/>
  <c r="D330" i="1" s="1"/>
  <c r="BH32" i="1"/>
  <c r="BE128" i="1"/>
  <c r="BJ128" i="1"/>
  <c r="BM132" i="1"/>
  <c r="AI67" i="1"/>
  <c r="AI272" i="1" s="1"/>
  <c r="AI330" i="1" s="1"/>
  <c r="BL31" i="1"/>
  <c r="AN68" i="1"/>
  <c r="AN273" i="1" s="1"/>
  <c r="AN331" i="1" s="1"/>
  <c r="AL67" i="1"/>
  <c r="AL272" i="1" s="1"/>
  <c r="AL330" i="1" s="1"/>
  <c r="AM70" i="1"/>
  <c r="AM275" i="1" s="1"/>
  <c r="AM333" i="1" s="1"/>
  <c r="BG30" i="1"/>
  <c r="BE31" i="1"/>
  <c r="BE54" i="1" s="1"/>
  <c r="BK132" i="1"/>
  <c r="BL80" i="1"/>
  <c r="J67" i="1"/>
  <c r="J272" i="1" s="1"/>
  <c r="J330" i="1" s="1"/>
  <c r="AA132" i="1"/>
  <c r="AA636" i="1" s="1"/>
  <c r="AA637" i="1" s="1"/>
  <c r="AA739" i="1" s="1"/>
  <c r="AA765" i="1" s="1"/>
  <c r="AW132" i="1"/>
  <c r="AW636" i="1" s="1"/>
  <c r="AW637" i="1" s="1"/>
  <c r="AW739" i="1" s="1"/>
  <c r="AW765" i="1" s="1"/>
  <c r="AF68" i="1"/>
  <c r="AF273" i="1" s="1"/>
  <c r="AF331" i="1" s="1"/>
  <c r="BD30" i="1"/>
  <c r="M68" i="1"/>
  <c r="M273" i="1" s="1"/>
  <c r="M331" i="1" s="1"/>
  <c r="BB31" i="1"/>
  <c r="AN67" i="1"/>
  <c r="AN272" i="1" s="1"/>
  <c r="AN330" i="1" s="1"/>
  <c r="BI80" i="1"/>
  <c r="AH132" i="1"/>
  <c r="BH80" i="1"/>
  <c r="AW68" i="1"/>
  <c r="AK68" i="1"/>
  <c r="AK273" i="1" s="1"/>
  <c r="AK331" i="1" s="1"/>
  <c r="BO38" i="1"/>
  <c r="BO64" i="1" s="1"/>
  <c r="BJ39" i="1"/>
  <c r="BC29" i="1"/>
  <c r="BM29" i="1"/>
  <c r="H68" i="1"/>
  <c r="H273" i="1" s="1"/>
  <c r="H331" i="1" s="1"/>
  <c r="P70" i="1"/>
  <c r="P275" i="1" s="1"/>
  <c r="P333" i="1" s="1"/>
  <c r="BI39" i="1"/>
  <c r="BQ30" i="1"/>
  <c r="R68" i="1"/>
  <c r="R273" i="1" s="1"/>
  <c r="R331" i="1" s="1"/>
  <c r="O68" i="1"/>
  <c r="O273" i="1" s="1"/>
  <c r="O331" i="1" s="1"/>
  <c r="BQ29" i="1"/>
  <c r="BC39" i="1"/>
  <c r="BM38" i="1"/>
  <c r="BM64" i="1" s="1"/>
  <c r="BC38" i="1"/>
  <c r="BC64" i="1" s="1"/>
  <c r="E70" i="1"/>
  <c r="E275" i="1" s="1"/>
  <c r="E333" i="1" s="1"/>
  <c r="BD31" i="1"/>
  <c r="Q70" i="1"/>
  <c r="Q275" i="1" s="1"/>
  <c r="Q333" i="1" s="1"/>
  <c r="AR132" i="1"/>
  <c r="W70" i="1"/>
  <c r="W275" i="1" s="1"/>
  <c r="W333" i="1" s="1"/>
  <c r="BP39" i="1"/>
  <c r="BN30" i="1"/>
  <c r="AB132" i="1"/>
  <c r="G67" i="1"/>
  <c r="G272" i="1" s="1"/>
  <c r="G330" i="1" s="1"/>
  <c r="G332" i="1" s="1"/>
  <c r="G274" i="1" s="1"/>
  <c r="G69" i="1" s="1"/>
  <c r="BI132" i="1"/>
  <c r="AE132" i="1"/>
  <c r="AE636" i="1" s="1"/>
  <c r="AE637" i="1" s="1"/>
  <c r="AE739" i="1" s="1"/>
  <c r="AE765" i="1" s="1"/>
  <c r="Q67" i="1"/>
  <c r="Q272" i="1" s="1"/>
  <c r="Q330" i="1" s="1"/>
  <c r="AP132" i="1"/>
  <c r="BC80" i="1"/>
  <c r="BD40" i="1"/>
  <c r="BN33" i="1"/>
  <c r="BD39" i="1"/>
  <c r="BP132" i="1"/>
  <c r="BO32" i="1"/>
  <c r="BO56" i="1" s="1"/>
  <c r="J70" i="1"/>
  <c r="J275" i="1" s="1"/>
  <c r="J333" i="1" s="1"/>
  <c r="Z68" i="1"/>
  <c r="Z273" i="1" s="1"/>
  <c r="Z331" i="1" s="1"/>
  <c r="CN331" i="1" s="1"/>
  <c r="CN273" i="1" s="1"/>
  <c r="CN68" i="1" s="1"/>
  <c r="BE39" i="1"/>
  <c r="BF30" i="1"/>
  <c r="AF132" i="1"/>
  <c r="BN80" i="1"/>
  <c r="AC67" i="1"/>
  <c r="AC272" i="1" s="1"/>
  <c r="AC330" i="1" s="1"/>
  <c r="AV67" i="1"/>
  <c r="BN31" i="1"/>
  <c r="K70" i="1"/>
  <c r="K275" i="1" s="1"/>
  <c r="K333" i="1" s="1"/>
  <c r="I70" i="1"/>
  <c r="I275" i="1" s="1"/>
  <c r="I333" i="1" s="1"/>
  <c r="Z70" i="1"/>
  <c r="Z275" i="1" s="1"/>
  <c r="Z333" i="1" s="1"/>
  <c r="BF33" i="1"/>
  <c r="BK40" i="1"/>
  <c r="Q132" i="1"/>
  <c r="Q636" i="1" s="1"/>
  <c r="Q637" i="1" s="1"/>
  <c r="Q739" i="1" s="1"/>
  <c r="Q765" i="1" s="1"/>
  <c r="AT68" i="1"/>
  <c r="AC70" i="1"/>
  <c r="AC275" i="1" s="1"/>
  <c r="AC333" i="1" s="1"/>
  <c r="BG80" i="1"/>
  <c r="CR331" i="1" l="1"/>
  <c r="CR273" i="1" s="1"/>
  <c r="CR68" i="1" s="1"/>
  <c r="DH132" i="1"/>
  <c r="CE331" i="1"/>
  <c r="CE273" i="1" s="1"/>
  <c r="CE68" i="1" s="1"/>
  <c r="CQ333" i="1"/>
  <c r="CQ275" i="1" s="1"/>
  <c r="CQ70" i="1" s="1"/>
  <c r="DC132" i="1"/>
  <c r="S53" i="17" s="1"/>
  <c r="S54" i="17" s="1"/>
  <c r="CU331" i="1"/>
  <c r="CU68" i="1" s="1"/>
  <c r="AQ332" i="1"/>
  <c r="AQ274" i="1" s="1"/>
  <c r="AQ69" i="1" s="1"/>
  <c r="CQ331" i="1"/>
  <c r="CQ273" i="1" s="1"/>
  <c r="CQ68" i="1" s="1"/>
  <c r="CR333" i="1"/>
  <c r="CR275" i="1" s="1"/>
  <c r="CR70" i="1" s="1"/>
  <c r="CI331" i="1"/>
  <c r="CI273" i="1" s="1"/>
  <c r="CI68" i="1" s="1"/>
  <c r="DF39" i="1"/>
  <c r="CD333" i="1"/>
  <c r="CD275" i="1" s="1"/>
  <c r="CD70" i="1" s="1"/>
  <c r="DI132" i="1"/>
  <c r="CP333" i="1"/>
  <c r="CP275" i="1" s="1"/>
  <c r="CP70" i="1" s="1"/>
  <c r="DG40" i="1"/>
  <c r="DB40" i="1"/>
  <c r="CN333" i="1"/>
  <c r="CN275" i="1" s="1"/>
  <c r="CN70" i="1" s="1"/>
  <c r="DC39" i="1"/>
  <c r="CI333" i="1"/>
  <c r="CI275" i="1" s="1"/>
  <c r="CI70" i="1" s="1"/>
  <c r="CG333" i="1"/>
  <c r="CG275" i="1" s="1"/>
  <c r="CG70" i="1" s="1"/>
  <c r="I332" i="1"/>
  <c r="I274" i="1" s="1"/>
  <c r="I69" i="1" s="1"/>
  <c r="CE333" i="1"/>
  <c r="CE275" i="1" s="1"/>
  <c r="CE70" i="1" s="1"/>
  <c r="Y332" i="1"/>
  <c r="Y274" i="1" s="1"/>
  <c r="Y69" i="1" s="1"/>
  <c r="AO332" i="1"/>
  <c r="AO274" i="1" s="1"/>
  <c r="AO69" i="1" s="1"/>
  <c r="CF333" i="1"/>
  <c r="CF275" i="1" s="1"/>
  <c r="CF70" i="1" s="1"/>
  <c r="AM332" i="1"/>
  <c r="AM274" i="1" s="1"/>
  <c r="AM69" i="1" s="1"/>
  <c r="Q332" i="1"/>
  <c r="Q274" i="1" s="1"/>
  <c r="Q69" i="1" s="1"/>
  <c r="CV132" i="1"/>
  <c r="AP636" i="1"/>
  <c r="BQ53" i="1"/>
  <c r="BQ35" i="1"/>
  <c r="BQ60" i="1" s="1"/>
  <c r="BP64" i="1"/>
  <c r="DI38" i="1"/>
  <c r="CE330" i="1"/>
  <c r="CE272" i="1" s="1"/>
  <c r="CE67" i="1" s="1"/>
  <c r="H332" i="1"/>
  <c r="CP132" i="1"/>
  <c r="AD636" i="1"/>
  <c r="CG330" i="1"/>
  <c r="CG272" i="1" s="1"/>
  <c r="CG67" i="1" s="1"/>
  <c r="L332" i="1"/>
  <c r="CZ132" i="1"/>
  <c r="P53" i="17" s="1"/>
  <c r="P54" i="17" s="1"/>
  <c r="AX636" i="1"/>
  <c r="BD34" i="1"/>
  <c r="BD52" i="1"/>
  <c r="DC29" i="1"/>
  <c r="BK52" i="1"/>
  <c r="BK34" i="1"/>
  <c r="BK59" i="1" s="1"/>
  <c r="BF53" i="1"/>
  <c r="BF35" i="1"/>
  <c r="DD30" i="1"/>
  <c r="BN35" i="1"/>
  <c r="DH30" i="1"/>
  <c r="BN53" i="1"/>
  <c r="AR636" i="1"/>
  <c r="CW132" i="1"/>
  <c r="BO53" i="1"/>
  <c r="BO35" i="1"/>
  <c r="BO60" i="1" s="1"/>
  <c r="CD330" i="1"/>
  <c r="CD272" i="1" s="1"/>
  <c r="CD67" i="1" s="1"/>
  <c r="F332" i="1"/>
  <c r="DB80" i="1"/>
  <c r="BG52" i="1"/>
  <c r="BG34" i="1"/>
  <c r="BG59" i="1" s="1"/>
  <c r="DD31" i="1"/>
  <c r="BF54" i="1"/>
  <c r="CH333" i="1"/>
  <c r="CH275" i="1" s="1"/>
  <c r="CH70" i="1" s="1"/>
  <c r="CO331" i="1"/>
  <c r="CO273" i="1" s="1"/>
  <c r="CO68" i="1" s="1"/>
  <c r="DE31" i="1"/>
  <c r="BH54" i="1"/>
  <c r="DG32" i="1"/>
  <c r="BL56" i="1"/>
  <c r="BB64" i="1"/>
  <c r="DB38" i="1"/>
  <c r="BN737" i="1"/>
  <c r="BN763" i="1" s="1"/>
  <c r="DH128" i="1"/>
  <c r="BN636" i="1"/>
  <c r="BO737" i="1"/>
  <c r="BO763" i="1" s="1"/>
  <c r="BO636" i="1"/>
  <c r="BO637" i="1" s="1"/>
  <c r="BO739" i="1" s="1"/>
  <c r="BO765" i="1" s="1"/>
  <c r="DD80" i="1"/>
  <c r="DB128" i="1"/>
  <c r="BB636" i="1"/>
  <c r="BB737" i="1"/>
  <c r="BB763" i="1" s="1"/>
  <c r="CF331" i="1"/>
  <c r="CF273" i="1" s="1"/>
  <c r="CF68" i="1" s="1"/>
  <c r="BH737" i="1"/>
  <c r="BH763" i="1" s="1"/>
  <c r="DE128" i="1"/>
  <c r="BH636" i="1"/>
  <c r="BP53" i="1"/>
  <c r="DI30" i="1"/>
  <c r="BP35" i="1"/>
  <c r="DC80" i="1"/>
  <c r="BJ64" i="1"/>
  <c r="DF38" i="1"/>
  <c r="CH331" i="1"/>
  <c r="CH273" i="1" s="1"/>
  <c r="CH68" i="1" s="1"/>
  <c r="BO52" i="1"/>
  <c r="BO34" i="1"/>
  <c r="BO59" i="1" s="1"/>
  <c r="BK737" i="1"/>
  <c r="BK763" i="1" s="1"/>
  <c r="BK636" i="1"/>
  <c r="BK637" i="1" s="1"/>
  <c r="BK739" i="1" s="1"/>
  <c r="BK765" i="1" s="1"/>
  <c r="BI34" i="1"/>
  <c r="BI59" i="1" s="1"/>
  <c r="BI52" i="1"/>
  <c r="BM35" i="1"/>
  <c r="BM60" i="1" s="1"/>
  <c r="BM53" i="1"/>
  <c r="BD56" i="1"/>
  <c r="DC32" i="1"/>
  <c r="BG737" i="1"/>
  <c r="BG763" i="1" s="1"/>
  <c r="BG636" i="1"/>
  <c r="BG637" i="1" s="1"/>
  <c r="BG739" i="1" s="1"/>
  <c r="BG765" i="1" s="1"/>
  <c r="BN57" i="1"/>
  <c r="DH33" i="1"/>
  <c r="CJ331" i="1"/>
  <c r="CJ273" i="1" s="1"/>
  <c r="CJ68" i="1" s="1"/>
  <c r="CF330" i="1"/>
  <c r="CF272" i="1" s="1"/>
  <c r="CF67" i="1" s="1"/>
  <c r="J332" i="1"/>
  <c r="BG35" i="1"/>
  <c r="BG60" i="1" s="1"/>
  <c r="BG53" i="1"/>
  <c r="CT330" i="1"/>
  <c r="CT272" i="1" s="1"/>
  <c r="CT67" i="1" s="1"/>
  <c r="AL332" i="1"/>
  <c r="AI332" i="1"/>
  <c r="AI274" i="1" s="1"/>
  <c r="AI69" i="1" s="1"/>
  <c r="BH56" i="1"/>
  <c r="DE32" i="1"/>
  <c r="BB35" i="1"/>
  <c r="DB30" i="1"/>
  <c r="BB53" i="1"/>
  <c r="BJ54" i="1"/>
  <c r="DF31" i="1"/>
  <c r="R636" i="1"/>
  <c r="CJ132" i="1"/>
  <c r="DF40" i="1"/>
  <c r="R332" i="1"/>
  <c r="CJ330" i="1"/>
  <c r="CJ272" i="1" s="1"/>
  <c r="CJ67" i="1" s="1"/>
  <c r="O332" i="1"/>
  <c r="O274" i="1" s="1"/>
  <c r="O69" i="1" s="1"/>
  <c r="AT636" i="1"/>
  <c r="CX132" i="1"/>
  <c r="BA53" i="1"/>
  <c r="BA35" i="1"/>
  <c r="BA60" i="1" s="1"/>
  <c r="CL333" i="1"/>
  <c r="CL275" i="1" s="1"/>
  <c r="CL70" i="1" s="1"/>
  <c r="CS331" i="1"/>
  <c r="CS273" i="1" s="1"/>
  <c r="CS68" i="1" s="1"/>
  <c r="DB32" i="1"/>
  <c r="BB56" i="1"/>
  <c r="CG331" i="1"/>
  <c r="CG273" i="1" s="1"/>
  <c r="CG68" i="1" s="1"/>
  <c r="BF64" i="1"/>
  <c r="DD38" i="1"/>
  <c r="K332" i="1"/>
  <c r="K274" i="1" s="1"/>
  <c r="K69" i="1" s="1"/>
  <c r="Z636" i="1"/>
  <c r="CN132" i="1"/>
  <c r="DI33" i="1"/>
  <c r="BP57" i="1"/>
  <c r="BC53" i="1"/>
  <c r="BC35" i="1"/>
  <c r="BC60" i="1" s="1"/>
  <c r="DH38" i="1"/>
  <c r="BN64" i="1"/>
  <c r="AL636" i="1"/>
  <c r="CT132" i="1"/>
  <c r="CL331" i="1"/>
  <c r="CL273" i="1" s="1"/>
  <c r="CL68" i="1" s="1"/>
  <c r="DH39" i="1"/>
  <c r="BQ737" i="1"/>
  <c r="BQ763" i="1" s="1"/>
  <c r="BQ636" i="1"/>
  <c r="BQ637" i="1" s="1"/>
  <c r="BQ739" i="1" s="1"/>
  <c r="BQ765" i="1" s="1"/>
  <c r="BB52" i="1"/>
  <c r="BB34" i="1"/>
  <c r="DB29" i="1"/>
  <c r="CV331" i="1"/>
  <c r="CV68" i="1" s="1"/>
  <c r="AE332" i="1"/>
  <c r="AE274" i="1" s="1"/>
  <c r="AE69" i="1" s="1"/>
  <c r="S332" i="1"/>
  <c r="S274" i="1" s="1"/>
  <c r="S69" i="1" s="1"/>
  <c r="DF33" i="1"/>
  <c r="BJ57" i="1"/>
  <c r="BF56" i="1"/>
  <c r="DD32" i="1"/>
  <c r="BP737" i="1"/>
  <c r="BP763" i="1" s="1"/>
  <c r="DI128" i="1"/>
  <c r="BP636" i="1"/>
  <c r="N636" i="1"/>
  <c r="CH132" i="1"/>
  <c r="BA34" i="1"/>
  <c r="BA59" i="1" s="1"/>
  <c r="BA52" i="1"/>
  <c r="E332" i="1"/>
  <c r="E274" i="1" s="1"/>
  <c r="E69" i="1" s="1"/>
  <c r="BF57" i="1"/>
  <c r="DD33" i="1"/>
  <c r="AC332" i="1"/>
  <c r="AC274" i="1" s="1"/>
  <c r="AC69" i="1" s="1"/>
  <c r="BC34" i="1"/>
  <c r="BC59" i="1" s="1"/>
  <c r="BC52" i="1"/>
  <c r="DE80" i="1"/>
  <c r="AN332" i="1"/>
  <c r="CU330" i="1"/>
  <c r="CU67" i="1" s="1"/>
  <c r="DG80" i="1"/>
  <c r="AD332" i="1"/>
  <c r="CP330" i="1"/>
  <c r="CP272" i="1" s="1"/>
  <c r="CP67" i="1" s="1"/>
  <c r="BJ56" i="1"/>
  <c r="DF32" i="1"/>
  <c r="AH332" i="1"/>
  <c r="CR330" i="1"/>
  <c r="CR272" i="1" s="1"/>
  <c r="CR67" i="1" s="1"/>
  <c r="AB332" i="1"/>
  <c r="CO330" i="1"/>
  <c r="CO272" i="1" s="1"/>
  <c r="CO67" i="1" s="1"/>
  <c r="BL52" i="1"/>
  <c r="BL34" i="1"/>
  <c r="DG29" i="1"/>
  <c r="BP52" i="1"/>
  <c r="DI29" i="1"/>
  <c r="BP34" i="1"/>
  <c r="CP331" i="1"/>
  <c r="CP273" i="1" s="1"/>
  <c r="CP68" i="1" s="1"/>
  <c r="DF132" i="1"/>
  <c r="DB33" i="1"/>
  <c r="BB57" i="1"/>
  <c r="CO333" i="1"/>
  <c r="CO275" i="1" s="1"/>
  <c r="CO70" i="1" s="1"/>
  <c r="CT333" i="1"/>
  <c r="CT275" i="1" s="1"/>
  <c r="CT70" i="1" s="1"/>
  <c r="BH64" i="1"/>
  <c r="DE38" i="1"/>
  <c r="BP54" i="1"/>
  <c r="DI31" i="1"/>
  <c r="CJ333" i="1"/>
  <c r="CJ275" i="1" s="1"/>
  <c r="CJ70" i="1" s="1"/>
  <c r="DC128" i="1"/>
  <c r="BD737" i="1"/>
  <c r="BD763" i="1" s="1"/>
  <c r="BD636" i="1"/>
  <c r="CC331" i="1"/>
  <c r="CC273" i="1" s="1"/>
  <c r="CC68" i="1" s="1"/>
  <c r="AA332" i="1"/>
  <c r="AA274" i="1" s="1"/>
  <c r="AA69" i="1" s="1"/>
  <c r="DG38" i="1"/>
  <c r="BL64" i="1"/>
  <c r="BD64" i="1"/>
  <c r="DC38" i="1"/>
  <c r="Z332" i="1"/>
  <c r="CN330" i="1"/>
  <c r="CN272" i="1" s="1"/>
  <c r="CN67" i="1" s="1"/>
  <c r="CL330" i="1"/>
  <c r="CL272" i="1" s="1"/>
  <c r="CL67" i="1" s="1"/>
  <c r="V332" i="1"/>
  <c r="DE132" i="1"/>
  <c r="U53" i="17" s="1"/>
  <c r="CK330" i="1"/>
  <c r="CK272" i="1" s="1"/>
  <c r="CK67" i="1" s="1"/>
  <c r="T332" i="1"/>
  <c r="DB39" i="1"/>
  <c r="CM331" i="1"/>
  <c r="CM273" i="1" s="1"/>
  <c r="CM68" i="1" s="1"/>
  <c r="AP332" i="1"/>
  <c r="CV330" i="1"/>
  <c r="CV67" i="1" s="1"/>
  <c r="DF80" i="1"/>
  <c r="DH40" i="1"/>
  <c r="N332" i="1"/>
  <c r="CH330" i="1"/>
  <c r="CH272" i="1" s="1"/>
  <c r="CH67" i="1" s="1"/>
  <c r="BA636" i="1"/>
  <c r="BA637" i="1" s="1"/>
  <c r="BA739" i="1" s="1"/>
  <c r="BA765" i="1" s="1"/>
  <c r="BA737" i="1"/>
  <c r="BA763" i="1" s="1"/>
  <c r="AF332" i="1"/>
  <c r="CQ330" i="1"/>
  <c r="CQ272" i="1" s="1"/>
  <c r="CQ67" i="1" s="1"/>
  <c r="DH80" i="1"/>
  <c r="BQ52" i="1"/>
  <c r="BQ34" i="1"/>
  <c r="BQ59" i="1" s="1"/>
  <c r="BD35" i="1"/>
  <c r="BD53" i="1"/>
  <c r="DC30" i="1"/>
  <c r="AZ636" i="1"/>
  <c r="AZ737" i="1"/>
  <c r="AZ763" i="1" s="1"/>
  <c r="DA128" i="1"/>
  <c r="BI53" i="1"/>
  <c r="BI35" i="1"/>
  <c r="BI60" i="1" s="1"/>
  <c r="DG128" i="1"/>
  <c r="BL636" i="1"/>
  <c r="BL737" i="1"/>
  <c r="BL763" i="1" s="1"/>
  <c r="BI737" i="1"/>
  <c r="BI763" i="1" s="1"/>
  <c r="BI636" i="1"/>
  <c r="BI637" i="1" s="1"/>
  <c r="BI739" i="1" s="1"/>
  <c r="BI765" i="1" s="1"/>
  <c r="BK53" i="1"/>
  <c r="BK35" i="1"/>
  <c r="BK60" i="1" s="1"/>
  <c r="BE34" i="1"/>
  <c r="BE59" i="1" s="1"/>
  <c r="BE52" i="1"/>
  <c r="DI39" i="1"/>
  <c r="BD54" i="1"/>
  <c r="DC31" i="1"/>
  <c r="CR132" i="1"/>
  <c r="AH636" i="1"/>
  <c r="BB54" i="1"/>
  <c r="DB31" i="1"/>
  <c r="BL54" i="1"/>
  <c r="DG31" i="1"/>
  <c r="BJ737" i="1"/>
  <c r="BJ763" i="1" s="1"/>
  <c r="DF128" i="1"/>
  <c r="BJ636" i="1"/>
  <c r="D332" i="1"/>
  <c r="CC330" i="1"/>
  <c r="CC272" i="1" s="1"/>
  <c r="CC67" i="1" s="1"/>
  <c r="BJ52" i="1"/>
  <c r="BJ34" i="1"/>
  <c r="DF29" i="1"/>
  <c r="BH53" i="1"/>
  <c r="DE30" i="1"/>
  <c r="BH35" i="1"/>
  <c r="P332" i="1"/>
  <c r="CI330" i="1"/>
  <c r="CI272" i="1" s="1"/>
  <c r="CI67" i="1" s="1"/>
  <c r="X636" i="1"/>
  <c r="CM132" i="1"/>
  <c r="C332" i="1"/>
  <c r="C274" i="1" s="1"/>
  <c r="C69" i="1" s="1"/>
  <c r="BM737" i="1"/>
  <c r="BM763" i="1" s="1"/>
  <c r="BM636" i="1"/>
  <c r="BM637" i="1" s="1"/>
  <c r="BM739" i="1" s="1"/>
  <c r="BM765" i="1" s="1"/>
  <c r="AJ636" i="1"/>
  <c r="CS132" i="1"/>
  <c r="DD128" i="1"/>
  <c r="BF636" i="1"/>
  <c r="BF737" i="1"/>
  <c r="BF763" i="1" s="1"/>
  <c r="CM330" i="1"/>
  <c r="CM272" i="1" s="1"/>
  <c r="CM67" i="1" s="1"/>
  <c r="X332" i="1"/>
  <c r="CK331" i="1"/>
  <c r="CK273" i="1" s="1"/>
  <c r="CK68" i="1" s="1"/>
  <c r="BJ53" i="1"/>
  <c r="BJ35" i="1"/>
  <c r="DF30" i="1"/>
  <c r="DD40" i="1"/>
  <c r="M636" i="1"/>
  <c r="CG132" i="1"/>
  <c r="AJ332" i="1"/>
  <c r="CS330" i="1"/>
  <c r="CS272" i="1" s="1"/>
  <c r="CS67" i="1" s="1"/>
  <c r="AB636" i="1"/>
  <c r="CO132" i="1"/>
  <c r="CI132" i="1"/>
  <c r="P636" i="1"/>
  <c r="AF636" i="1"/>
  <c r="CQ132" i="1"/>
  <c r="DC40" i="1"/>
  <c r="BN54" i="1"/>
  <c r="DH31" i="1"/>
  <c r="BM52" i="1"/>
  <c r="BM34" i="1"/>
  <c r="BM59" i="1" s="1"/>
  <c r="BE737" i="1"/>
  <c r="BE763" i="1" s="1"/>
  <c r="BE636" i="1"/>
  <c r="BE637" i="1" s="1"/>
  <c r="BE739" i="1" s="1"/>
  <c r="BE765" i="1" s="1"/>
  <c r="BL57" i="1"/>
  <c r="DG33" i="1"/>
  <c r="CL132" i="1"/>
  <c r="V636" i="1"/>
  <c r="T636" i="1"/>
  <c r="CK132" i="1"/>
  <c r="BF34" i="1"/>
  <c r="BF52" i="1"/>
  <c r="DD29" i="1"/>
  <c r="DG132" i="1"/>
  <c r="CU333" i="1"/>
  <c r="CU70" i="1" s="1"/>
  <c r="M332" i="1"/>
  <c r="M274" i="1" s="1"/>
  <c r="M69" i="1" s="1"/>
  <c r="BL35" i="1"/>
  <c r="DG30" i="1"/>
  <c r="BL53" i="1"/>
  <c r="W332" i="1"/>
  <c r="W274" i="1" s="1"/>
  <c r="W69" i="1" s="1"/>
  <c r="AK332" i="1"/>
  <c r="AK274" i="1" s="1"/>
  <c r="AK69" i="1" s="1"/>
  <c r="DE29" i="1"/>
  <c r="BH52" i="1"/>
  <c r="BH34" i="1"/>
  <c r="BE53" i="1"/>
  <c r="BE35" i="1"/>
  <c r="BE60" i="1" s="1"/>
  <c r="BH57" i="1"/>
  <c r="DE33" i="1"/>
  <c r="U332" i="1"/>
  <c r="U274" i="1" s="1"/>
  <c r="U69" i="1" s="1"/>
  <c r="DI32" i="1"/>
  <c r="BP56" i="1"/>
  <c r="BD57" i="1"/>
  <c r="DC33" i="1"/>
  <c r="BN52" i="1"/>
  <c r="BN34" i="1"/>
  <c r="DH29" i="1"/>
  <c r="DI80" i="1"/>
  <c r="BC636" i="1"/>
  <c r="BC637" i="1" s="1"/>
  <c r="BC739" i="1" s="1"/>
  <c r="BC765" i="1" s="1"/>
  <c r="BC737" i="1"/>
  <c r="BC763" i="1" s="1"/>
  <c r="DE39" i="1"/>
  <c r="AV636" i="1"/>
  <c r="CY132" i="1"/>
  <c r="AN636" i="1"/>
  <c r="CU132" i="1"/>
  <c r="DB132" i="1"/>
  <c r="R53" i="17" s="1"/>
  <c r="R54" i="17" s="1"/>
  <c r="CK333" i="1"/>
  <c r="CK275" i="1" s="1"/>
  <c r="CK70" i="1" s="1"/>
  <c r="CC333" i="1"/>
  <c r="CC275" i="1" s="1"/>
  <c r="CC70" i="1" s="1"/>
  <c r="DA132" i="1"/>
  <c r="Q53" i="17" s="1"/>
  <c r="Q54" i="17" s="1"/>
  <c r="BN56" i="1"/>
  <c r="DH32" i="1"/>
  <c r="BA17" i="1"/>
  <c r="BA19" i="1"/>
  <c r="BA18" i="1"/>
  <c r="BA20" i="1"/>
  <c r="BB18" i="1"/>
  <c r="BB20" i="1"/>
  <c r="BB17" i="1"/>
  <c r="BB19" i="1"/>
  <c r="BC20" i="1"/>
  <c r="BC18" i="1"/>
  <c r="BC17" i="1"/>
  <c r="BC19" i="1"/>
  <c r="BD20" i="1"/>
  <c r="BD19" i="1"/>
  <c r="BD17" i="1"/>
  <c r="BD18" i="1"/>
  <c r="BE19" i="1"/>
  <c r="BF17" i="1"/>
  <c r="BF20" i="1"/>
  <c r="BE18" i="1"/>
  <c r="BE17" i="1"/>
  <c r="BE20" i="1"/>
  <c r="BF18" i="1"/>
  <c r="BF19" i="1"/>
  <c r="BG18" i="1"/>
  <c r="BG17" i="1"/>
  <c r="BG20" i="1"/>
  <c r="BG19" i="1"/>
  <c r="BH20" i="1"/>
  <c r="BH19" i="1"/>
  <c r="BH18" i="1"/>
  <c r="BH17" i="1"/>
  <c r="BI17" i="1"/>
  <c r="BI19" i="1"/>
  <c r="BI18" i="1"/>
  <c r="DE18" i="1" s="1"/>
  <c r="BI20" i="1"/>
  <c r="BJ18" i="1"/>
  <c r="BE26" i="1" l="1"/>
  <c r="BC24" i="1"/>
  <c r="DB17" i="1"/>
  <c r="BD23" i="1"/>
  <c r="CM332" i="1"/>
  <c r="CM274" i="1" s="1"/>
  <c r="CM69" i="1" s="1"/>
  <c r="X274" i="1"/>
  <c r="X69" i="1" s="1"/>
  <c r="AH274" i="1"/>
  <c r="AH69" i="1" s="1"/>
  <c r="CR332" i="1"/>
  <c r="CR274" i="1" s="1"/>
  <c r="CR69" i="1" s="1"/>
  <c r="BB60" i="1"/>
  <c r="DB35" i="1"/>
  <c r="DH35" i="1"/>
  <c r="BN60" i="1"/>
  <c r="L274" i="1"/>
  <c r="L69" i="1" s="1"/>
  <c r="CG332" i="1"/>
  <c r="CG274" i="1" s="1"/>
  <c r="CG69" i="1" s="1"/>
  <c r="BI23" i="1"/>
  <c r="BH25" i="1"/>
  <c r="DD19" i="1"/>
  <c r="BH24" i="1"/>
  <c r="DD18" i="1"/>
  <c r="BF23" i="1"/>
  <c r="DC17" i="1"/>
  <c r="DC19" i="1"/>
  <c r="BF25" i="1"/>
  <c r="BE25" i="1"/>
  <c r="DB18" i="1"/>
  <c r="BD24" i="1"/>
  <c r="BB24" i="1"/>
  <c r="DA18" i="1"/>
  <c r="AV637" i="1"/>
  <c r="AV739" i="1" s="1"/>
  <c r="AV765" i="1" s="1"/>
  <c r="CY636" i="1"/>
  <c r="AB637" i="1"/>
  <c r="AB739" i="1" s="1"/>
  <c r="AB765" i="1" s="1"/>
  <c r="CO636" i="1"/>
  <c r="CS636" i="1"/>
  <c r="AJ637" i="1"/>
  <c r="AJ739" i="1" s="1"/>
  <c r="AJ765" i="1" s="1"/>
  <c r="X637" i="1"/>
  <c r="X739" i="1" s="1"/>
  <c r="X765" i="1" s="1"/>
  <c r="CM636" i="1"/>
  <c r="DF737" i="1"/>
  <c r="DF763" i="1" s="1"/>
  <c r="AP274" i="1"/>
  <c r="AP69" i="1" s="1"/>
  <c r="CV332" i="1"/>
  <c r="CV69" i="1" s="1"/>
  <c r="CL332" i="1"/>
  <c r="CL274" i="1" s="1"/>
  <c r="CL69" i="1" s="1"/>
  <c r="V274" i="1"/>
  <c r="V69" i="1" s="1"/>
  <c r="DC737" i="1"/>
  <c r="DC763" i="1" s="1"/>
  <c r="BL59" i="1"/>
  <c r="DG34" i="1"/>
  <c r="Z637" i="1"/>
  <c r="Z739" i="1" s="1"/>
  <c r="Z765" i="1" s="1"/>
  <c r="CN636" i="1"/>
  <c r="AT637" i="1"/>
  <c r="AT739" i="1" s="1"/>
  <c r="AT765" i="1" s="1"/>
  <c r="CX636" i="1"/>
  <c r="CJ636" i="1"/>
  <c r="R637" i="1"/>
  <c r="R739" i="1" s="1"/>
  <c r="R765" i="1" s="1"/>
  <c r="BH637" i="1"/>
  <c r="BH739" i="1" s="1"/>
  <c r="BH765" i="1" s="1"/>
  <c r="DE636" i="1"/>
  <c r="BB637" i="1"/>
  <c r="BB739" i="1" s="1"/>
  <c r="BB765" i="1" s="1"/>
  <c r="DB636" i="1"/>
  <c r="V53" i="17"/>
  <c r="W53" i="17" s="1"/>
  <c r="X53" i="17" s="1"/>
  <c r="Y53" i="17" s="1"/>
  <c r="Z53" i="17" s="1"/>
  <c r="AA53" i="17" s="1"/>
  <c r="AB53" i="17" s="1"/>
  <c r="U54" i="17"/>
  <c r="BG25" i="1"/>
  <c r="BF24" i="1"/>
  <c r="DC18" i="1"/>
  <c r="BE24" i="1"/>
  <c r="BD26" i="1"/>
  <c r="DC26" i="1" s="1"/>
  <c r="DB20" i="1"/>
  <c r="BC23" i="1"/>
  <c r="BA25" i="1"/>
  <c r="BH59" i="1"/>
  <c r="DE34" i="1"/>
  <c r="AF637" i="1"/>
  <c r="AF739" i="1" s="1"/>
  <c r="AF765" i="1" s="1"/>
  <c r="CQ636" i="1"/>
  <c r="DF34" i="1"/>
  <c r="BJ59" i="1"/>
  <c r="AH637" i="1"/>
  <c r="AH739" i="1" s="1"/>
  <c r="AH765" i="1" s="1"/>
  <c r="CR636" i="1"/>
  <c r="CH332" i="1"/>
  <c r="CH274" i="1" s="1"/>
  <c r="CH69" i="1" s="1"/>
  <c r="N274" i="1"/>
  <c r="N69" i="1" s="1"/>
  <c r="CU332" i="1"/>
  <c r="CU69" i="1" s="1"/>
  <c r="AN274" i="1"/>
  <c r="AN69" i="1" s="1"/>
  <c r="N637" i="1"/>
  <c r="N739" i="1" s="1"/>
  <c r="N765" i="1" s="1"/>
  <c r="CH636" i="1"/>
  <c r="J274" i="1"/>
  <c r="J69" i="1" s="1"/>
  <c r="CF332" i="1"/>
  <c r="CF274" i="1" s="1"/>
  <c r="CF69" i="1" s="1"/>
  <c r="DE737" i="1"/>
  <c r="DE763" i="1" s="1"/>
  <c r="DB737" i="1"/>
  <c r="DB763" i="1" s="1"/>
  <c r="BF60" i="1"/>
  <c r="DD35" i="1"/>
  <c r="DC34" i="1"/>
  <c r="BD59" i="1"/>
  <c r="AD637" i="1"/>
  <c r="AD739" i="1" s="1"/>
  <c r="AD765" i="1" s="1"/>
  <c r="CP636" i="1"/>
  <c r="BA26" i="1"/>
  <c r="DE19" i="1"/>
  <c r="DE17" i="1"/>
  <c r="BI24" i="1"/>
  <c r="BI26" i="1"/>
  <c r="BG24" i="1"/>
  <c r="BE23" i="1"/>
  <c r="BB25" i="1"/>
  <c r="DA19" i="1"/>
  <c r="BA24" i="1"/>
  <c r="BN59" i="1"/>
  <c r="DH34" i="1"/>
  <c r="BL60" i="1"/>
  <c r="DG35" i="1"/>
  <c r="DD34" i="1"/>
  <c r="BF59" i="1"/>
  <c r="P637" i="1"/>
  <c r="P739" i="1" s="1"/>
  <c r="P765" i="1" s="1"/>
  <c r="CI636" i="1"/>
  <c r="BJ60" i="1"/>
  <c r="DF35" i="1"/>
  <c r="BF637" i="1"/>
  <c r="BF739" i="1" s="1"/>
  <c r="BF765" i="1" s="1"/>
  <c r="DD636" i="1"/>
  <c r="P274" i="1"/>
  <c r="P69" i="1" s="1"/>
  <c r="CI332" i="1"/>
  <c r="CI274" i="1" s="1"/>
  <c r="CI69" i="1" s="1"/>
  <c r="DA737" i="1"/>
  <c r="DA763" i="1" s="1"/>
  <c r="DC35" i="1"/>
  <c r="BD60" i="1"/>
  <c r="AF274" i="1"/>
  <c r="AF69" i="1" s="1"/>
  <c r="CQ332" i="1"/>
  <c r="CQ274" i="1" s="1"/>
  <c r="CQ69" i="1" s="1"/>
  <c r="DI34" i="1"/>
  <c r="BP59" i="1"/>
  <c r="BP637" i="1"/>
  <c r="BP739" i="1" s="1"/>
  <c r="BP765" i="1" s="1"/>
  <c r="DI636" i="1"/>
  <c r="BB59" i="1"/>
  <c r="DB34" i="1"/>
  <c r="BN637" i="1"/>
  <c r="BN739" i="1" s="1"/>
  <c r="BN765" i="1" s="1"/>
  <c r="DH636" i="1"/>
  <c r="AR637" i="1"/>
  <c r="AR739" i="1" s="1"/>
  <c r="AR765" i="1" s="1"/>
  <c r="CW636" i="1"/>
  <c r="CZ636" i="1"/>
  <c r="AX637" i="1"/>
  <c r="AX739" i="1" s="1"/>
  <c r="AX765" i="1" s="1"/>
  <c r="DA17" i="1"/>
  <c r="BB23" i="1"/>
  <c r="BJ637" i="1"/>
  <c r="BJ739" i="1" s="1"/>
  <c r="BJ765" i="1" s="1"/>
  <c r="DF636" i="1"/>
  <c r="AZ637" i="1"/>
  <c r="AZ739" i="1" s="1"/>
  <c r="AZ765" i="1" s="1"/>
  <c r="DA636" i="1"/>
  <c r="BJ24" i="1"/>
  <c r="BI25" i="1"/>
  <c r="DD20" i="1"/>
  <c r="BH26" i="1"/>
  <c r="BG26" i="1"/>
  <c r="CS332" i="1"/>
  <c r="CS274" i="1" s="1"/>
  <c r="CS69" i="1" s="1"/>
  <c r="AJ274" i="1"/>
  <c r="AJ69" i="1" s="1"/>
  <c r="DD737" i="1"/>
  <c r="DD763" i="1" s="1"/>
  <c r="BH60" i="1"/>
  <c r="DE35" i="1"/>
  <c r="BL637" i="1"/>
  <c r="BL739" i="1" s="1"/>
  <c r="BL765" i="1" s="1"/>
  <c r="DG636" i="1"/>
  <c r="CK332" i="1"/>
  <c r="CK274" i="1" s="1"/>
  <c r="CK69" i="1" s="1"/>
  <c r="T274" i="1"/>
  <c r="T69" i="1" s="1"/>
  <c r="CN332" i="1"/>
  <c r="CN274" i="1" s="1"/>
  <c r="CN69" i="1" s="1"/>
  <c r="Z274" i="1"/>
  <c r="Z69" i="1" s="1"/>
  <c r="AB274" i="1"/>
  <c r="AB69" i="1" s="1"/>
  <c r="CO332" i="1"/>
  <c r="CO274" i="1" s="1"/>
  <c r="CO69" i="1" s="1"/>
  <c r="AD274" i="1"/>
  <c r="AD69" i="1" s="1"/>
  <c r="CP332" i="1"/>
  <c r="CP274" i="1" s="1"/>
  <c r="CP69" i="1" s="1"/>
  <c r="DI737" i="1"/>
  <c r="DI763" i="1" s="1"/>
  <c r="R274" i="1"/>
  <c r="R69" i="1" s="1"/>
  <c r="CJ332" i="1"/>
  <c r="CJ274" i="1" s="1"/>
  <c r="CJ69" i="1" s="1"/>
  <c r="AL274" i="1"/>
  <c r="AL69" i="1" s="1"/>
  <c r="CT332" i="1"/>
  <c r="CT274" i="1" s="1"/>
  <c r="CT69" i="1" s="1"/>
  <c r="BP60" i="1"/>
  <c r="DI35" i="1"/>
  <c r="DI49" i="1" s="1"/>
  <c r="DH737" i="1"/>
  <c r="DH763" i="1" s="1"/>
  <c r="F274" i="1"/>
  <c r="F69" i="1" s="1"/>
  <c r="CD332" i="1"/>
  <c r="CD274" i="1" s="1"/>
  <c r="CD69" i="1" s="1"/>
  <c r="CE332" i="1"/>
  <c r="CE274" i="1" s="1"/>
  <c r="CE69" i="1" s="1"/>
  <c r="H274" i="1"/>
  <c r="H69" i="1" s="1"/>
  <c r="AP637" i="1"/>
  <c r="AP739" i="1" s="1"/>
  <c r="AP765" i="1" s="1"/>
  <c r="CV636" i="1"/>
  <c r="BC25" i="1"/>
  <c r="V637" i="1"/>
  <c r="V739" i="1" s="1"/>
  <c r="V765" i="1" s="1"/>
  <c r="CL636" i="1"/>
  <c r="CG636" i="1"/>
  <c r="M637" i="1"/>
  <c r="M739" i="1" s="1"/>
  <c r="M765" i="1" s="1"/>
  <c r="DE20" i="1"/>
  <c r="DD17" i="1"/>
  <c r="BH23" i="1"/>
  <c r="DC20" i="1"/>
  <c r="BF26" i="1"/>
  <c r="DD26" i="1" s="1"/>
  <c r="BG23" i="1"/>
  <c r="DB19" i="1"/>
  <c r="BD25" i="1"/>
  <c r="BC26" i="1"/>
  <c r="DA20" i="1"/>
  <c r="BB26" i="1"/>
  <c r="BA23" i="1"/>
  <c r="AN637" i="1"/>
  <c r="AN739" i="1" s="1"/>
  <c r="AN765" i="1" s="1"/>
  <c r="CU636" i="1"/>
  <c r="T637" i="1"/>
  <c r="T739" i="1" s="1"/>
  <c r="T765" i="1" s="1"/>
  <c r="CK636" i="1"/>
  <c r="D274" i="1"/>
  <c r="D69" i="1" s="1"/>
  <c r="CC332" i="1"/>
  <c r="CC274" i="1" s="1"/>
  <c r="CC69" i="1" s="1"/>
  <c r="DG737" i="1"/>
  <c r="DG763" i="1" s="1"/>
  <c r="BD637" i="1"/>
  <c r="BD739" i="1" s="1"/>
  <c r="BD765" i="1" s="1"/>
  <c r="DC636" i="1"/>
  <c r="CT636" i="1"/>
  <c r="AL637" i="1"/>
  <c r="AL739" i="1" s="1"/>
  <c r="AL765" i="1" s="1"/>
  <c r="DE23" i="1" l="1"/>
  <c r="DE26" i="1"/>
  <c r="DB24" i="1"/>
  <c r="DB23" i="1"/>
  <c r="DA23" i="1"/>
  <c r="DA24" i="1"/>
  <c r="CZ637" i="1"/>
  <c r="CZ739" i="1" s="1"/>
  <c r="CZ765" i="1" s="1"/>
  <c r="CY647" i="1"/>
  <c r="CQ637" i="1"/>
  <c r="CQ739" i="1" s="1"/>
  <c r="CQ765" i="1" s="1"/>
  <c r="CP647" i="1"/>
  <c r="DB647" i="1"/>
  <c r="DC637" i="1"/>
  <c r="DC739" i="1" s="1"/>
  <c r="DC765" i="1" s="1"/>
  <c r="CJ647" i="1"/>
  <c r="CK637" i="1"/>
  <c r="CK739" i="1" s="1"/>
  <c r="CK765" i="1" s="1"/>
  <c r="DB26" i="1"/>
  <c r="DF637" i="1"/>
  <c r="DF739" i="1" s="1"/>
  <c r="DF765" i="1" s="1"/>
  <c r="DE647" i="1"/>
  <c r="CW637" i="1"/>
  <c r="CW739" i="1" s="1"/>
  <c r="CW765" i="1" s="1"/>
  <c r="CV647" i="1"/>
  <c r="BT648" i="1"/>
  <c r="DC648" i="1"/>
  <c r="G136" i="2" s="1"/>
  <c r="DA648" i="1"/>
  <c r="E136" i="2" s="1"/>
  <c r="CT648" i="1"/>
  <c r="CA648" i="1"/>
  <c r="BZ648" i="1"/>
  <c r="CW648" i="1"/>
  <c r="CK648" i="1"/>
  <c r="DB648" i="1"/>
  <c r="F136" i="2" s="1"/>
  <c r="CV648" i="1"/>
  <c r="DD648" i="1"/>
  <c r="CX648" i="1"/>
  <c r="DH647" i="1"/>
  <c r="CD648" i="1"/>
  <c r="BS648" i="1"/>
  <c r="CH648" i="1"/>
  <c r="CY648" i="1"/>
  <c r="C136" i="2" s="1"/>
  <c r="CG648" i="1"/>
  <c r="BW648" i="1"/>
  <c r="CB648" i="1"/>
  <c r="CQ648" i="1"/>
  <c r="DI648" i="1"/>
  <c r="DI649" i="1" s="1"/>
  <c r="BV648" i="1"/>
  <c r="DE648" i="1"/>
  <c r="CR648" i="1"/>
  <c r="BY648" i="1"/>
  <c r="CN648" i="1"/>
  <c r="CJ648" i="1"/>
  <c r="CC648" i="1"/>
  <c r="DG648" i="1"/>
  <c r="CF648" i="1"/>
  <c r="CL648" i="1"/>
  <c r="CI648" i="1"/>
  <c r="DI637" i="1"/>
  <c r="DI739" i="1" s="1"/>
  <c r="DI765" i="1" s="1"/>
  <c r="DH648" i="1"/>
  <c r="CS648" i="1"/>
  <c r="BU648" i="1"/>
  <c r="BX648" i="1"/>
  <c r="CM648" i="1"/>
  <c r="CU648" i="1"/>
  <c r="CO648" i="1"/>
  <c r="DF648" i="1"/>
  <c r="CZ648" i="1"/>
  <c r="D136" i="2" s="1"/>
  <c r="CP648" i="1"/>
  <c r="CE648" i="1"/>
  <c r="DD637" i="1"/>
  <c r="DD739" i="1" s="1"/>
  <c r="DD765" i="1" s="1"/>
  <c r="DC647" i="1"/>
  <c r="DA26" i="1"/>
  <c r="DE24" i="1"/>
  <c r="CV637" i="1"/>
  <c r="CV739" i="1" s="1"/>
  <c r="CV765" i="1" s="1"/>
  <c r="CU647" i="1"/>
  <c r="DF647" i="1"/>
  <c r="DG637" i="1"/>
  <c r="DG739" i="1" s="1"/>
  <c r="DG765" i="1" s="1"/>
  <c r="DB25" i="1"/>
  <c r="CO647" i="1"/>
  <c r="CP637" i="1"/>
  <c r="CP739" i="1" s="1"/>
  <c r="CP765" i="1" s="1"/>
  <c r="CG647" i="1"/>
  <c r="CH637" i="1"/>
  <c r="CH739" i="1" s="1"/>
  <c r="CH765" i="1" s="1"/>
  <c r="CR637" i="1"/>
  <c r="CR739" i="1" s="1"/>
  <c r="CR765" i="1" s="1"/>
  <c r="CQ647" i="1"/>
  <c r="CJ637" i="1"/>
  <c r="CJ739" i="1" s="1"/>
  <c r="CJ765" i="1" s="1"/>
  <c r="CI647" i="1"/>
  <c r="CR647" i="1"/>
  <c r="CS637" i="1"/>
  <c r="CS739" i="1" s="1"/>
  <c r="CS765" i="1" s="1"/>
  <c r="DD25" i="1"/>
  <c r="CB647" i="1"/>
  <c r="CC647" i="1"/>
  <c r="BX647" i="1"/>
  <c r="BT647" i="1"/>
  <c r="BW647" i="1"/>
  <c r="CE647" i="1"/>
  <c r="CG637" i="1"/>
  <c r="CG739" i="1" s="1"/>
  <c r="CG765" i="1" s="1"/>
  <c r="CF647" i="1"/>
  <c r="CD647" i="1"/>
  <c r="BV647" i="1"/>
  <c r="BY647" i="1"/>
  <c r="BZ647" i="1"/>
  <c r="CA647" i="1"/>
  <c r="BS647" i="1"/>
  <c r="BU647" i="1"/>
  <c r="DH637" i="1"/>
  <c r="DH739" i="1" s="1"/>
  <c r="DH765" i="1" s="1"/>
  <c r="DG647" i="1"/>
  <c r="DB637" i="1"/>
  <c r="DB739" i="1" s="1"/>
  <c r="DB765" i="1" s="1"/>
  <c r="DA647" i="1"/>
  <c r="CW647" i="1"/>
  <c r="CX637" i="1"/>
  <c r="CX739" i="1" s="1"/>
  <c r="CX765" i="1" s="1"/>
  <c r="CO637" i="1"/>
  <c r="CO739" i="1" s="1"/>
  <c r="CO765" i="1" s="1"/>
  <c r="CN647" i="1"/>
  <c r="DC24" i="1"/>
  <c r="CT637" i="1"/>
  <c r="CT739" i="1" s="1"/>
  <c r="CT765" i="1" s="1"/>
  <c r="CS647" i="1"/>
  <c r="CL637" i="1"/>
  <c r="CL739" i="1" s="1"/>
  <c r="CL765" i="1" s="1"/>
  <c r="CK647" i="1"/>
  <c r="DA25" i="1"/>
  <c r="DD24" i="1"/>
  <c r="DE25" i="1"/>
  <c r="DC23" i="1"/>
  <c r="CU637" i="1"/>
  <c r="CU739" i="1" s="1"/>
  <c r="CU765" i="1" s="1"/>
  <c r="CT647" i="1"/>
  <c r="DC25" i="1"/>
  <c r="DA637" i="1"/>
  <c r="DA739" i="1" s="1"/>
  <c r="DA765" i="1" s="1"/>
  <c r="CZ647" i="1"/>
  <c r="CI637" i="1"/>
  <c r="CI739" i="1" s="1"/>
  <c r="CI765" i="1" s="1"/>
  <c r="CH647" i="1"/>
  <c r="DE637" i="1"/>
  <c r="DE739" i="1" s="1"/>
  <c r="DE765" i="1" s="1"/>
  <c r="DD647" i="1"/>
  <c r="CN637" i="1"/>
  <c r="CN739" i="1" s="1"/>
  <c r="CN765" i="1" s="1"/>
  <c r="CM647" i="1"/>
  <c r="CL647" i="1"/>
  <c r="CM637" i="1"/>
  <c r="CM739" i="1" s="1"/>
  <c r="CM765" i="1" s="1"/>
  <c r="CY637" i="1"/>
  <c r="CY739" i="1" s="1"/>
  <c r="CY765" i="1" s="1"/>
  <c r="CX647" i="1"/>
  <c r="DD23" i="1"/>
  <c r="BK18" i="1"/>
  <c r="BJ17" i="1"/>
  <c r="BJ19" i="1"/>
  <c r="BJ20" i="1"/>
  <c r="BJ26" i="1" s="1"/>
  <c r="CD649" i="1" l="1"/>
  <c r="BT649" i="1"/>
  <c r="CX649" i="1"/>
  <c r="CR649" i="1"/>
  <c r="CL649" i="1"/>
  <c r="CK649" i="1"/>
  <c r="CG649" i="1"/>
  <c r="CS649" i="1"/>
  <c r="CW649" i="1"/>
  <c r="BU649" i="1"/>
  <c r="CF649" i="1"/>
  <c r="BX649" i="1"/>
  <c r="BZ649" i="1"/>
  <c r="DG649" i="1"/>
  <c r="BW649" i="1"/>
  <c r="CE649" i="1"/>
  <c r="BY649" i="1"/>
  <c r="DF649" i="1"/>
  <c r="CH649" i="1"/>
  <c r="CI649" i="1"/>
  <c r="BS649" i="1"/>
  <c r="CT649" i="1"/>
  <c r="CU649" i="1"/>
  <c r="CM649" i="1"/>
  <c r="CB649" i="1"/>
  <c r="BJ25" i="1"/>
  <c r="CN649" i="1"/>
  <c r="DE649" i="1"/>
  <c r="DB649" i="1"/>
  <c r="F135" i="2"/>
  <c r="F137" i="2" s="1"/>
  <c r="F138" i="2" s="1"/>
  <c r="BV649" i="1"/>
  <c r="CP649" i="1"/>
  <c r="BJ23" i="1"/>
  <c r="CC649" i="1"/>
  <c r="CO649" i="1"/>
  <c r="DH649" i="1"/>
  <c r="CY649" i="1"/>
  <c r="C135" i="2"/>
  <c r="C137" i="2" s="1"/>
  <c r="DC649" i="1"/>
  <c r="G135" i="2"/>
  <c r="G137" i="2" s="1"/>
  <c r="G138" i="2" s="1"/>
  <c r="DF18" i="1"/>
  <c r="BK24" i="1"/>
  <c r="DF24" i="1" s="1"/>
  <c r="DD649" i="1"/>
  <c r="D135" i="2"/>
  <c r="D137" i="2" s="1"/>
  <c r="D138" i="2" s="1"/>
  <c r="CZ649" i="1"/>
  <c r="E135" i="2"/>
  <c r="E137" i="2" s="1"/>
  <c r="E138" i="2" s="1"/>
  <c r="DA649" i="1"/>
  <c r="CA649" i="1"/>
  <c r="CQ649" i="1"/>
  <c r="CV649" i="1"/>
  <c r="CJ649" i="1"/>
  <c r="C138" i="2" l="1"/>
  <c r="Q79" i="7"/>
  <c r="BK19" i="1"/>
  <c r="BK20" i="1"/>
  <c r="BL18" i="1"/>
  <c r="BK17" i="1"/>
  <c r="BL24" i="1" l="1"/>
  <c r="DF19" i="1"/>
  <c r="BK25" i="1"/>
  <c r="DF25" i="1" s="1"/>
  <c r="BK26" i="1"/>
  <c r="DF26" i="1" s="1"/>
  <c r="DF20" i="1"/>
  <c r="DF17" i="1"/>
  <c r="BK23" i="1"/>
  <c r="DF23" i="1" s="1"/>
  <c r="H124" i="2"/>
  <c r="BL19" i="1" l="1"/>
  <c r="BM18" i="1"/>
  <c r="BL17" i="1"/>
  <c r="BL20" i="1"/>
  <c r="DG18" i="1" l="1"/>
  <c r="BM24" i="1"/>
  <c r="DG24" i="1" s="1"/>
  <c r="BL23" i="1"/>
  <c r="BL26" i="1"/>
  <c r="BL25" i="1"/>
  <c r="BM19" i="1" l="1"/>
  <c r="BM20" i="1"/>
  <c r="BN18" i="1"/>
  <c r="BM17" i="1"/>
  <c r="DG19" i="1" l="1"/>
  <c r="BM25" i="1"/>
  <c r="DG25" i="1" s="1"/>
  <c r="DG17" i="1"/>
  <c r="BM23" i="1"/>
  <c r="DG23" i="1" s="1"/>
  <c r="BN24" i="1"/>
  <c r="DG20" i="1"/>
  <c r="BM26" i="1"/>
  <c r="DG26" i="1" s="1"/>
  <c r="BN20" i="1" l="1"/>
  <c r="BN17" i="1"/>
  <c r="BO18" i="1"/>
  <c r="BN19" i="1"/>
  <c r="DH18" i="1" l="1"/>
  <c r="BO24" i="1"/>
  <c r="DH24" i="1" s="1"/>
  <c r="BN23" i="1"/>
  <c r="BN25" i="1"/>
  <c r="BN26" i="1"/>
  <c r="BO17" i="1" l="1"/>
  <c r="BO19" i="1"/>
  <c r="BP18" i="1"/>
  <c r="BO20" i="1"/>
  <c r="BP24" i="1" l="1"/>
  <c r="DH19" i="1"/>
  <c r="BO25" i="1"/>
  <c r="DH25" i="1" s="1"/>
  <c r="DH20" i="1"/>
  <c r="BO26" i="1"/>
  <c r="DH26" i="1" s="1"/>
  <c r="DH17" i="1"/>
  <c r="BO23" i="1"/>
  <c r="DH23" i="1" s="1"/>
  <c r="BP20" i="1" l="1"/>
  <c r="BQ18" i="1"/>
  <c r="BP19" i="1"/>
  <c r="BP17" i="1"/>
  <c r="BP23" i="1" l="1"/>
  <c r="BP25" i="1"/>
  <c r="DI18" i="1"/>
  <c r="BQ24" i="1"/>
  <c r="DI24" i="1" s="1"/>
  <c r="BP26" i="1"/>
  <c r="BQ20" i="1" l="1"/>
  <c r="BQ17" i="1"/>
  <c r="BQ19" i="1"/>
  <c r="DI19" i="1" l="1"/>
  <c r="BQ25" i="1"/>
  <c r="DI25" i="1" s="1"/>
  <c r="DI20" i="1"/>
  <c r="BQ26" i="1"/>
  <c r="DI26" i="1" s="1"/>
  <c r="DI17" i="1"/>
  <c r="BQ23" i="1"/>
  <c r="DI23" i="1" s="1"/>
  <c r="F38" i="1" l="1"/>
  <c r="AV38" i="1"/>
  <c r="BS40" i="1"/>
  <c r="AR38" i="1"/>
  <c r="Q38" i="1"/>
  <c r="G39" i="1"/>
  <c r="AO39" i="1"/>
  <c r="Q40" i="1"/>
  <c r="AP38" i="1"/>
  <c r="BY39" i="1"/>
  <c r="R40" i="1"/>
  <c r="W40" i="1"/>
  <c r="P38" i="1"/>
  <c r="I38" i="1"/>
  <c r="BX38" i="1"/>
  <c r="E40" i="1"/>
  <c r="D38" i="1"/>
  <c r="N40" i="1"/>
  <c r="P39" i="1"/>
  <c r="BW39" i="1"/>
  <c r="AQ40" i="1"/>
  <c r="AB38" i="1"/>
  <c r="BW38" i="1"/>
  <c r="M38" i="1"/>
  <c r="AI39" i="1"/>
  <c r="AO40" i="1"/>
  <c r="O40" i="1"/>
  <c r="AU40" i="1"/>
  <c r="U40" i="1"/>
  <c r="X39" i="1"/>
  <c r="P40" i="1"/>
  <c r="AA38" i="1"/>
  <c r="AC40" i="1"/>
  <c r="AK39" i="1"/>
  <c r="AO38" i="1"/>
  <c r="AJ40" i="1"/>
  <c r="AA40" i="1"/>
  <c r="I40" i="1"/>
  <c r="AK40" i="1"/>
  <c r="AL252" i="9" s="1"/>
  <c r="AL260" i="9" s="1"/>
  <c r="AL261" i="9" s="1"/>
  <c r="AL253" i="9" s="1"/>
  <c r="BV40" i="1"/>
  <c r="D40" i="1"/>
  <c r="K38" i="1"/>
  <c r="CA38" i="1"/>
  <c r="J40" i="1"/>
  <c r="CA39" i="1"/>
  <c r="M39" i="1"/>
  <c r="BT40" i="1"/>
  <c r="BT39" i="1"/>
  <c r="AF39" i="1"/>
  <c r="E38" i="1"/>
  <c r="AG40" i="1"/>
  <c r="F40" i="1"/>
  <c r="H40" i="1"/>
  <c r="U38" i="1"/>
  <c r="L39" i="1"/>
  <c r="H38" i="1"/>
  <c r="CE38" i="1" s="1"/>
  <c r="AP39" i="1"/>
  <c r="F39" i="1"/>
  <c r="O39" i="1"/>
  <c r="BW40" i="1"/>
  <c r="AE40" i="1"/>
  <c r="Z39" i="1"/>
  <c r="BZ39" i="1"/>
  <c r="AS39" i="1"/>
  <c r="V40" i="1"/>
  <c r="G40" i="1"/>
  <c r="Y40" i="1"/>
  <c r="K40" i="1"/>
  <c r="AD38" i="1"/>
  <c r="BV38" i="1"/>
  <c r="AJ38" i="1"/>
  <c r="AT40" i="1"/>
  <c r="J38" i="1"/>
  <c r="AH40" i="1"/>
  <c r="U39" i="1"/>
  <c r="S38" i="1"/>
  <c r="AG38" i="1"/>
  <c r="CA40" i="1"/>
  <c r="AH38" i="1"/>
  <c r="S39" i="1"/>
  <c r="AG39" i="1"/>
  <c r="M40" i="1"/>
  <c r="AH39" i="1"/>
  <c r="AM38" i="1"/>
  <c r="AQ39" i="1"/>
  <c r="BY38" i="1"/>
  <c r="W38" i="1"/>
  <c r="AW39" i="1"/>
  <c r="H39" i="1"/>
  <c r="D39" i="1"/>
  <c r="BY40" i="1"/>
  <c r="BX39" i="1"/>
  <c r="I39" i="1"/>
  <c r="AN38" i="1"/>
  <c r="E39" i="1"/>
  <c r="AI38" i="1"/>
  <c r="AV39" i="1"/>
  <c r="T39" i="1"/>
  <c r="AD40" i="1"/>
  <c r="BS39" i="1"/>
  <c r="V38" i="1"/>
  <c r="AE38" i="1"/>
  <c r="BT38" i="1"/>
  <c r="K39" i="1"/>
  <c r="AN39" i="1"/>
  <c r="AW40" i="1"/>
  <c r="Y39" i="1"/>
  <c r="AR40" i="1"/>
  <c r="R39" i="1"/>
  <c r="S40" i="1"/>
  <c r="V39" i="1"/>
  <c r="AL38" i="1"/>
  <c r="W39" i="1"/>
  <c r="AM40" i="1"/>
  <c r="AO252" i="9" s="1"/>
  <c r="AO260" i="9" s="1"/>
  <c r="R38" i="1"/>
  <c r="L38" i="1"/>
  <c r="T40" i="1"/>
  <c r="AQ38" i="1"/>
  <c r="AK38" i="1"/>
  <c r="BV39" i="1"/>
  <c r="AT38" i="1"/>
  <c r="Z38" i="1"/>
  <c r="CN38" i="1" s="1"/>
  <c r="G38" i="1"/>
  <c r="AN40" i="1"/>
  <c r="CU40" i="1" s="1"/>
  <c r="AP40" i="1"/>
  <c r="CV40" i="1" s="1"/>
  <c r="AA39" i="1"/>
  <c r="AI40" i="1"/>
  <c r="AI252" i="9" s="1"/>
  <c r="AB40" i="1"/>
  <c r="Y38" i="1"/>
  <c r="BZ40" i="1"/>
  <c r="AY39" i="1"/>
  <c r="J39" i="1"/>
  <c r="CF39" i="1" s="1"/>
  <c r="X38" i="1"/>
  <c r="AU38" i="1"/>
  <c r="AS38" i="1"/>
  <c r="BX40" i="1"/>
  <c r="AD39" i="1"/>
  <c r="AE39" i="1"/>
  <c r="AF38" i="1"/>
  <c r="Q39" i="1"/>
  <c r="AM39" i="1"/>
  <c r="AC39" i="1"/>
  <c r="BU39" i="1"/>
  <c r="AJ39" i="1"/>
  <c r="CS39" i="1" s="1"/>
  <c r="AC38" i="1"/>
  <c r="BU40" i="1"/>
  <c r="N38" i="1"/>
  <c r="BU38" i="1"/>
  <c r="N39" i="1"/>
  <c r="CH39" i="1" s="1"/>
  <c r="AB39" i="1"/>
  <c r="O38" i="1"/>
  <c r="AL39" i="1"/>
  <c r="BZ38" i="1"/>
  <c r="L40" i="1"/>
  <c r="CG40" i="1" s="1"/>
  <c r="AU39" i="1"/>
  <c r="AY38" i="1"/>
  <c r="AY40" i="1"/>
  <c r="AW38" i="1"/>
  <c r="CY38" i="1" s="1"/>
  <c r="AT39" i="1"/>
  <c r="AF40" i="1"/>
  <c r="AX40" i="1"/>
  <c r="AS40" i="1"/>
  <c r="CW40" i="1" s="1"/>
  <c r="T38" i="1"/>
  <c r="AV40" i="1"/>
  <c r="AL40" i="1"/>
  <c r="X40" i="1"/>
  <c r="Z40" i="1"/>
  <c r="AX38" i="1"/>
  <c r="AR39" i="1"/>
  <c r="AX39" i="1"/>
  <c r="CQ40" i="1" l="1"/>
  <c r="CJ39" i="1"/>
  <c r="CI40" i="1"/>
  <c r="CN40" i="1"/>
  <c r="CR39" i="1"/>
  <c r="CU39" i="1"/>
  <c r="CC40" i="1"/>
  <c r="CO40" i="1"/>
  <c r="CO39" i="1"/>
  <c r="CX38" i="1"/>
  <c r="CW38" i="1"/>
  <c r="CK40" i="1"/>
  <c r="CU38" i="1"/>
  <c r="CQ38" i="1"/>
  <c r="CJ38" i="1"/>
  <c r="CL38" i="1"/>
  <c r="CL40" i="1"/>
  <c r="CT38" i="1"/>
  <c r="CD39" i="1"/>
  <c r="CG38" i="1"/>
  <c r="CK39" i="1"/>
  <c r="CK38" i="1"/>
  <c r="CM38" i="1"/>
  <c r="CF38" i="1"/>
  <c r="CG39" i="1"/>
  <c r="CH38" i="1"/>
  <c r="CM40" i="1"/>
  <c r="CP40" i="1"/>
  <c r="CE40" i="1"/>
  <c r="CI38" i="1"/>
  <c r="CT39" i="1"/>
  <c r="CZ40" i="1"/>
  <c r="CL39" i="1"/>
  <c r="AJ252" i="9"/>
  <c r="AI260" i="9"/>
  <c r="AI261" i="9" s="1"/>
  <c r="CC39" i="1"/>
  <c r="CP38" i="1"/>
  <c r="CX40" i="1"/>
  <c r="CO38" i="1"/>
  <c r="CC38" i="1"/>
  <c r="CD38" i="1"/>
  <c r="CT40" i="1"/>
  <c r="AN252" i="9"/>
  <c r="CR40" i="1"/>
  <c r="CI39" i="1"/>
  <c r="CH40" i="1"/>
  <c r="CB40" i="1"/>
  <c r="C40" i="1"/>
  <c r="CR38" i="1"/>
  <c r="CN39" i="1"/>
  <c r="CV39" i="1"/>
  <c r="AZ38" i="1"/>
  <c r="CF40" i="1"/>
  <c r="CB38" i="1"/>
  <c r="C38" i="1"/>
  <c r="CZ38" i="1"/>
  <c r="AZ40" i="1"/>
  <c r="DA40" i="1" s="1"/>
  <c r="CX39" i="1"/>
  <c r="CP39" i="1"/>
  <c r="CY40" i="1"/>
  <c r="CE39" i="1"/>
  <c r="CS38" i="1"/>
  <c r="CS40" i="1"/>
  <c r="AK252" i="9"/>
  <c r="CB39" i="1"/>
  <c r="C39" i="1"/>
  <c r="CV38" i="1"/>
  <c r="CZ39" i="1"/>
  <c r="CY39" i="1"/>
  <c r="CW39" i="1"/>
  <c r="CD40" i="1"/>
  <c r="CQ39" i="1"/>
  <c r="CM39" i="1"/>
  <c r="CJ40" i="1"/>
  <c r="DA38" i="1" l="1"/>
  <c r="AJ261" i="9"/>
  <c r="AJ253" i="9" s="1"/>
  <c r="AI253" i="9"/>
  <c r="AM252" i="9"/>
  <c r="AK260" i="9"/>
  <c r="AK261" i="9" s="1"/>
  <c r="DA80" i="1"/>
  <c r="AN251" i="9"/>
  <c r="AN260" i="9"/>
  <c r="AP252" i="9"/>
  <c r="BA39" i="1" l="1"/>
  <c r="AO251" i="9"/>
  <c r="AN259" i="9"/>
  <c r="AN261" i="9" s="1"/>
  <c r="AK13" i="9"/>
  <c r="AK14" i="9" s="1"/>
  <c r="AK15" i="9" s="1"/>
  <c r="AK16" i="9" s="1"/>
  <c r="AK24" i="9" s="1"/>
  <c r="AM261" i="9"/>
  <c r="AK253" i="9"/>
  <c r="AZ39" i="1"/>
  <c r="DA39" i="1" l="1"/>
  <c r="AP251" i="9"/>
  <c r="AO259" i="9"/>
  <c r="AO261" i="9" s="1"/>
  <c r="AO253" i="9" s="1"/>
  <c r="AQ251" i="9"/>
  <c r="AM253" i="9"/>
  <c r="AM13" i="9"/>
  <c r="AL13" i="9" s="1"/>
  <c r="AM14" i="9" s="1"/>
  <c r="AN13" i="9"/>
  <c r="AN14" i="9" s="1"/>
  <c r="AN15" i="9" s="1"/>
  <c r="AN16" i="9" s="1"/>
  <c r="AN24" i="9" s="1"/>
  <c r="AN253" i="9"/>
  <c r="AP261" i="9" l="1"/>
  <c r="AP13" i="9" s="1"/>
  <c r="AO13" i="9" s="1"/>
  <c r="AP14" i="9" s="1"/>
  <c r="AM15" i="9"/>
  <c r="AM16" i="9" s="1"/>
  <c r="AM24" i="9" s="1"/>
  <c r="AL14" i="9"/>
  <c r="AL15" i="9" s="1"/>
  <c r="AL16" i="9" s="1"/>
  <c r="AL24" i="9" s="1"/>
  <c r="AM26" i="9"/>
  <c r="AR251" i="9"/>
  <c r="AT251" i="9" s="1"/>
  <c r="AS29" i="1"/>
  <c r="S29" i="1"/>
  <c r="S43" i="1" s="1"/>
  <c r="BY29" i="1"/>
  <c r="BY43" i="1" s="1"/>
  <c r="BS30" i="1"/>
  <c r="BS44" i="1" s="1"/>
  <c r="AB31" i="1"/>
  <c r="AC30" i="1"/>
  <c r="BZ30" i="1"/>
  <c r="BZ44" i="1" s="1"/>
  <c r="AG31" i="1"/>
  <c r="AG45" i="1" s="1"/>
  <c r="BY30" i="1"/>
  <c r="BY44" i="1" s="1"/>
  <c r="AT30" i="1"/>
  <c r="Y30" i="1"/>
  <c r="Y44" i="1" s="1"/>
  <c r="AU31" i="1"/>
  <c r="AU45" i="1" s="1"/>
  <c r="Q29" i="1"/>
  <c r="Q43" i="1" s="1"/>
  <c r="AF29" i="1"/>
  <c r="R30" i="1"/>
  <c r="BS31" i="1"/>
  <c r="BS45" i="1" s="1"/>
  <c r="V30" i="1"/>
  <c r="X30" i="1"/>
  <c r="AY30" i="1"/>
  <c r="S31" i="1"/>
  <c r="S45" i="1" s="1"/>
  <c r="AD29" i="1"/>
  <c r="AR29" i="1"/>
  <c r="AT29" i="1"/>
  <c r="R31" i="1"/>
  <c r="AB30" i="1"/>
  <c r="AJ30" i="1"/>
  <c r="T31" i="1"/>
  <c r="V29" i="1"/>
  <c r="Z31" i="1"/>
  <c r="BW29" i="1"/>
  <c r="BW43" i="1" s="1"/>
  <c r="AI31" i="1"/>
  <c r="AI45" i="1" s="1"/>
  <c r="T30" i="1"/>
  <c r="BT29" i="1"/>
  <c r="BT43" i="1" s="1"/>
  <c r="F30" i="1"/>
  <c r="AL31" i="1"/>
  <c r="N30" i="1"/>
  <c r="AE31" i="1"/>
  <c r="AE45" i="1" s="1"/>
  <c r="X31" i="1"/>
  <c r="AE29" i="1"/>
  <c r="P29" i="1"/>
  <c r="AD30" i="1"/>
  <c r="AK31" i="1"/>
  <c r="AK45" i="1" s="1"/>
  <c r="D31" i="1"/>
  <c r="BX31" i="1"/>
  <c r="BX45" i="1" s="1"/>
  <c r="AJ31" i="1"/>
  <c r="AT31" i="1"/>
  <c r="AU29" i="1"/>
  <c r="AV30" i="1"/>
  <c r="Z30" i="1"/>
  <c r="H31" i="1"/>
  <c r="R29" i="1"/>
  <c r="AH31" i="1"/>
  <c r="AM30" i="1"/>
  <c r="K30" i="1"/>
  <c r="K44" i="1" s="1"/>
  <c r="H30" i="1"/>
  <c r="BZ31" i="1"/>
  <c r="BZ45" i="1" s="1"/>
  <c r="F29" i="1"/>
  <c r="W29" i="1"/>
  <c r="W43" i="1" s="1"/>
  <c r="AH30" i="1"/>
  <c r="I31" i="1"/>
  <c r="I45" i="1" s="1"/>
  <c r="BT30" i="1"/>
  <c r="BT44" i="1" s="1"/>
  <c r="AX30" i="1"/>
  <c r="D30" i="1"/>
  <c r="AV31" i="1"/>
  <c r="AQ31" i="1"/>
  <c r="AQ45" i="1" s="1"/>
  <c r="AC29" i="1"/>
  <c r="AP30" i="1"/>
  <c r="AI29" i="1"/>
  <c r="Y31" i="1"/>
  <c r="Y45" i="1" s="1"/>
  <c r="U29" i="1"/>
  <c r="U43" i="1" s="1"/>
  <c r="BX29" i="1"/>
  <c r="BX43" i="1" s="1"/>
  <c r="M31" i="1"/>
  <c r="M45" i="1" s="1"/>
  <c r="AJ29" i="1"/>
  <c r="L31" i="1"/>
  <c r="BU29" i="1"/>
  <c r="BU43" i="1" s="1"/>
  <c r="AX31" i="1"/>
  <c r="O31" i="1"/>
  <c r="O45" i="1" s="1"/>
  <c r="AL30" i="1"/>
  <c r="AS30" i="1"/>
  <c r="AX29" i="1"/>
  <c r="E29" i="1"/>
  <c r="E43" i="1" s="1"/>
  <c r="AW31" i="1"/>
  <c r="AW45" i="1" s="1"/>
  <c r="BU30" i="1"/>
  <c r="BU44" i="1" s="1"/>
  <c r="BV29" i="1"/>
  <c r="BV43" i="1" s="1"/>
  <c r="AR30" i="1"/>
  <c r="S30" i="1"/>
  <c r="S44" i="1" s="1"/>
  <c r="AQ29" i="1"/>
  <c r="O30" i="1"/>
  <c r="O44" i="1" s="1"/>
  <c r="H29" i="1"/>
  <c r="AN30" i="1"/>
  <c r="AN29" i="1"/>
  <c r="D29" i="1"/>
  <c r="AB29" i="1"/>
  <c r="P30" i="1"/>
  <c r="AR31" i="1"/>
  <c r="I30" i="1"/>
  <c r="I44" i="1" s="1"/>
  <c r="AN31" i="1"/>
  <c r="X29" i="1"/>
  <c r="AP31" i="1"/>
  <c r="J31" i="1"/>
  <c r="Q30" i="1"/>
  <c r="Q44" i="1" s="1"/>
  <c r="AU30" i="1"/>
  <c r="AY29" i="1"/>
  <c r="N29" i="1"/>
  <c r="J29" i="1"/>
  <c r="AF31" i="1"/>
  <c r="N31" i="1"/>
  <c r="E31" i="1"/>
  <c r="E45" i="1" s="1"/>
  <c r="AK29" i="1"/>
  <c r="L29" i="1"/>
  <c r="J30" i="1"/>
  <c r="BW31" i="1"/>
  <c r="BW45" i="1" s="1"/>
  <c r="AV29" i="1"/>
  <c r="AO29" i="1"/>
  <c r="AI30" i="1"/>
  <c r="K29" i="1"/>
  <c r="K43" i="1" s="1"/>
  <c r="L30" i="1"/>
  <c r="W31" i="1"/>
  <c r="W45" i="1" s="1"/>
  <c r="F31" i="1"/>
  <c r="K31" i="1"/>
  <c r="K45" i="1" s="1"/>
  <c r="T29" i="1"/>
  <c r="AM29" i="1"/>
  <c r="AP29" i="1"/>
  <c r="BZ29" i="1"/>
  <c r="BZ43" i="1" s="1"/>
  <c r="AO30" i="1"/>
  <c r="Q31" i="1"/>
  <c r="Q45" i="1" s="1"/>
  <c r="CA31" i="1"/>
  <c r="CA45" i="1" s="1"/>
  <c r="P31" i="1"/>
  <c r="BU31" i="1"/>
  <c r="BU45" i="1" s="1"/>
  <c r="G29" i="1"/>
  <c r="G43" i="1" s="1"/>
  <c r="Y29" i="1"/>
  <c r="Y43" i="1" s="1"/>
  <c r="G30" i="1"/>
  <c r="G44" i="1" s="1"/>
  <c r="BV30" i="1"/>
  <c r="BV44" i="1" s="1"/>
  <c r="Z29" i="1"/>
  <c r="BV31" i="1"/>
  <c r="BV45" i="1" s="1"/>
  <c r="BS29" i="1"/>
  <c r="BS43" i="1" s="1"/>
  <c r="AG30" i="1"/>
  <c r="AG29" i="1"/>
  <c r="W30" i="1"/>
  <c r="W44" i="1" s="1"/>
  <c r="AL29" i="1"/>
  <c r="AW29" i="1"/>
  <c r="U30" i="1"/>
  <c r="U44" i="1" s="1"/>
  <c r="BX30" i="1"/>
  <c r="BX44" i="1" s="1"/>
  <c r="AQ30" i="1"/>
  <c r="AS31" i="1"/>
  <c r="AS45" i="1" s="1"/>
  <c r="AY31" i="1"/>
  <c r="AY45" i="1" s="1"/>
  <c r="BY31" i="1"/>
  <c r="BY45" i="1" s="1"/>
  <c r="M29" i="1"/>
  <c r="M43" i="1" s="1"/>
  <c r="I29" i="1"/>
  <c r="I43" i="1" s="1"/>
  <c r="O29" i="1"/>
  <c r="O43" i="1" s="1"/>
  <c r="CA30" i="1"/>
  <c r="CA44" i="1" s="1"/>
  <c r="AK30" i="1"/>
  <c r="AM31" i="1"/>
  <c r="AM45" i="1" s="1"/>
  <c r="AW30" i="1"/>
  <c r="U31" i="1"/>
  <c r="U45" i="1" s="1"/>
  <c r="CA29" i="1"/>
  <c r="CA43" i="1" s="1"/>
  <c r="AE30" i="1"/>
  <c r="V31" i="1"/>
  <c r="AD31" i="1"/>
  <c r="BT31" i="1"/>
  <c r="BT45" i="1" s="1"/>
  <c r="G31" i="1"/>
  <c r="G45" i="1" s="1"/>
  <c r="AC31" i="1"/>
  <c r="AC45" i="1" s="1"/>
  <c r="AA30" i="1"/>
  <c r="AA44" i="1" s="1"/>
  <c r="E30" i="1"/>
  <c r="E44" i="1" s="1"/>
  <c r="AA29" i="1"/>
  <c r="AA43" i="1" s="1"/>
  <c r="M30" i="1"/>
  <c r="M44" i="1" s="1"/>
  <c r="AF30" i="1"/>
  <c r="AO31" i="1"/>
  <c r="AO45" i="1" s="1"/>
  <c r="AH29" i="1"/>
  <c r="BW30" i="1"/>
  <c r="BW44" i="1" s="1"/>
  <c r="AA31" i="1"/>
  <c r="AA45" i="1" s="1"/>
  <c r="AP253" i="9" l="1"/>
  <c r="AS251" i="9"/>
  <c r="G32" i="1"/>
  <c r="G46" i="1" s="1"/>
  <c r="AB33" i="1"/>
  <c r="L33" i="1"/>
  <c r="V33" i="1"/>
  <c r="S33" i="1"/>
  <c r="S47" i="1" s="1"/>
  <c r="AL32" i="1"/>
  <c r="AL34" i="1" s="1"/>
  <c r="X33" i="1"/>
  <c r="U33" i="1"/>
  <c r="U47" i="1" s="1"/>
  <c r="AG32" i="1"/>
  <c r="AG46" i="1" s="1"/>
  <c r="AH32" i="1"/>
  <c r="AH34" i="1" s="1"/>
  <c r="AA33" i="1"/>
  <c r="AA47" i="1" s="1"/>
  <c r="AS32" i="1"/>
  <c r="AS46" i="1" s="1"/>
  <c r="AA32" i="1"/>
  <c r="AA46" i="1" s="1"/>
  <c r="Y33" i="1"/>
  <c r="Y47" i="1" s="1"/>
  <c r="R32" i="1"/>
  <c r="K33" i="1"/>
  <c r="K47" i="1" s="1"/>
  <c r="AK32" i="1"/>
  <c r="AK46" i="1" s="1"/>
  <c r="AD33" i="1"/>
  <c r="AD35" i="1" s="1"/>
  <c r="H32" i="1"/>
  <c r="AS33" i="1"/>
  <c r="AS47" i="1" s="1"/>
  <c r="P32" i="1"/>
  <c r="I32" i="1"/>
  <c r="I46" i="1" s="1"/>
  <c r="E32" i="1"/>
  <c r="E46" i="1" s="1"/>
  <c r="AW32" i="1"/>
  <c r="AW46" i="1" s="1"/>
  <c r="AQ33" i="1"/>
  <c r="AQ47" i="1" s="1"/>
  <c r="AF32" i="1"/>
  <c r="AF34" i="1" s="1"/>
  <c r="Y32" i="1"/>
  <c r="Y46" i="1" s="1"/>
  <c r="CA32" i="1"/>
  <c r="CA46" i="1" s="1"/>
  <c r="D32" i="1"/>
  <c r="AD32" i="1"/>
  <c r="AD34" i="1" s="1"/>
  <c r="AN33" i="1"/>
  <c r="AO33" i="1"/>
  <c r="AO47" i="1" s="1"/>
  <c r="AE33" i="1"/>
  <c r="AE47" i="1" s="1"/>
  <c r="AI33" i="1"/>
  <c r="AI47" i="1" s="1"/>
  <c r="AE32" i="1"/>
  <c r="AE46" i="1" s="1"/>
  <c r="AR33" i="1"/>
  <c r="AR35" i="1" s="1"/>
  <c r="G33" i="1"/>
  <c r="G47" i="1" s="1"/>
  <c r="N33" i="1"/>
  <c r="AN32" i="1"/>
  <c r="AN34" i="1" s="1"/>
  <c r="AG33" i="1"/>
  <c r="AG47" i="1" s="1"/>
  <c r="AJ32" i="1"/>
  <c r="AJ34" i="1" s="1"/>
  <c r="AC33" i="1"/>
  <c r="AC47" i="1" s="1"/>
  <c r="F32" i="1"/>
  <c r="AV32" i="1"/>
  <c r="AV34" i="1" s="1"/>
  <c r="AR32" i="1"/>
  <c r="AR34" i="1" s="1"/>
  <c r="AP33" i="1"/>
  <c r="AP35" i="1" s="1"/>
  <c r="AT32" i="1"/>
  <c r="AT34" i="1" s="1"/>
  <c r="AT33" i="1"/>
  <c r="AT35" i="1" s="1"/>
  <c r="R33" i="1"/>
  <c r="AP32" i="1"/>
  <c r="AP34" i="1" s="1"/>
  <c r="AQ32" i="1"/>
  <c r="AQ46" i="1" s="1"/>
  <c r="AM33" i="1"/>
  <c r="AM47" i="1" s="1"/>
  <c r="L32" i="1"/>
  <c r="J33" i="1"/>
  <c r="Z33" i="1"/>
  <c r="I33" i="1"/>
  <c r="I47" i="1" s="1"/>
  <c r="J32" i="1"/>
  <c r="M32" i="1"/>
  <c r="M46" i="1" s="1"/>
  <c r="AL33" i="1"/>
  <c r="AL35" i="1" s="1"/>
  <c r="E33" i="1"/>
  <c r="E47" i="1" s="1"/>
  <c r="W33" i="1"/>
  <c r="W47" i="1" s="1"/>
  <c r="P33" i="1"/>
  <c r="AV33" i="1"/>
  <c r="AV35" i="1" s="1"/>
  <c r="AU32" i="1"/>
  <c r="AU46" i="1" s="1"/>
  <c r="Z32" i="1"/>
  <c r="V32" i="1"/>
  <c r="K32" i="1"/>
  <c r="K46" i="1" s="1"/>
  <c r="AK33" i="1"/>
  <c r="AK47" i="1" s="1"/>
  <c r="CA33" i="1"/>
  <c r="CA47" i="1" s="1"/>
  <c r="O33" i="1"/>
  <c r="O47" i="1" s="1"/>
  <c r="H33" i="1"/>
  <c r="AW33" i="1"/>
  <c r="AW47" i="1" s="1"/>
  <c r="T32" i="1"/>
  <c r="W32" i="1"/>
  <c r="W46" i="1" s="1"/>
  <c r="S32" i="1"/>
  <c r="S46" i="1" s="1"/>
  <c r="T33" i="1"/>
  <c r="AM32" i="1"/>
  <c r="AM46" i="1" s="1"/>
  <c r="M33" i="1"/>
  <c r="M47" i="1" s="1"/>
  <c r="AO32" i="1"/>
  <c r="AO46" i="1" s="1"/>
  <c r="AU33" i="1"/>
  <c r="AU47" i="1" s="1"/>
  <c r="AI32" i="1"/>
  <c r="AI46" i="1" s="1"/>
  <c r="X32" i="1"/>
  <c r="F33" i="1"/>
  <c r="BZ32" i="1"/>
  <c r="BZ46" i="1" s="1"/>
  <c r="AH33" i="1"/>
  <c r="AH35" i="1" s="1"/>
  <c r="N32" i="1"/>
  <c r="U32" i="1"/>
  <c r="U46" i="1" s="1"/>
  <c r="AB32" i="1"/>
  <c r="D33" i="1"/>
  <c r="Q32" i="1"/>
  <c r="Q46" i="1" s="1"/>
  <c r="O32" i="1"/>
  <c r="O46" i="1" s="1"/>
  <c r="AC32" i="1"/>
  <c r="AC46" i="1" s="1"/>
  <c r="AJ33" i="1"/>
  <c r="AJ35" i="1" s="1"/>
  <c r="BZ33" i="1"/>
  <c r="BZ47" i="1" s="1"/>
  <c r="Q33" i="1"/>
  <c r="Q47" i="1" s="1"/>
  <c r="AF33" i="1"/>
  <c r="AF35" i="1" s="1"/>
  <c r="AW44" i="1"/>
  <c r="AW43" i="1"/>
  <c r="AP43" i="1"/>
  <c r="CV29" i="1"/>
  <c r="CV43" i="1" s="1"/>
  <c r="CK29" i="1"/>
  <c r="CK43" i="1" s="1"/>
  <c r="T43" i="1"/>
  <c r="AO43" i="1"/>
  <c r="CM29" i="1"/>
  <c r="CM43" i="1" s="1"/>
  <c r="X43" i="1"/>
  <c r="CB29" i="1"/>
  <c r="CB43" i="1" s="1"/>
  <c r="C29" i="1"/>
  <c r="C43" i="1" s="1"/>
  <c r="AS44" i="1"/>
  <c r="AZ29" i="1"/>
  <c r="R43" i="1"/>
  <c r="CJ29" i="1"/>
  <c r="CJ43" i="1" s="1"/>
  <c r="CC31" i="1"/>
  <c r="CC45" i="1" s="1"/>
  <c r="D45" i="1"/>
  <c r="AE43" i="1"/>
  <c r="CT31" i="1"/>
  <c r="CT45" i="1" s="1"/>
  <c r="AL45" i="1"/>
  <c r="F44" i="1"/>
  <c r="CD30" i="1"/>
  <c r="CD44" i="1" s="1"/>
  <c r="AR43" i="1"/>
  <c r="CW29" i="1"/>
  <c r="CW43" i="1" s="1"/>
  <c r="R44" i="1"/>
  <c r="CJ30" i="1"/>
  <c r="CJ44" i="1" s="1"/>
  <c r="AO44" i="1"/>
  <c r="AM43" i="1"/>
  <c r="CG29" i="1"/>
  <c r="CG43" i="1" s="1"/>
  <c r="L43" i="1"/>
  <c r="AU44" i="1"/>
  <c r="J45" i="1"/>
  <c r="CF31" i="1"/>
  <c r="CF45" i="1" s="1"/>
  <c r="CO29" i="1"/>
  <c r="CO43" i="1" s="1"/>
  <c r="AB43" i="1"/>
  <c r="CB31" i="1"/>
  <c r="CB45" i="1" s="1"/>
  <c r="C31" i="1"/>
  <c r="C45" i="1" s="1"/>
  <c r="CT30" i="1"/>
  <c r="CT44" i="1" s="1"/>
  <c r="AL44" i="1"/>
  <c r="AJ43" i="1"/>
  <c r="CS29" i="1"/>
  <c r="CS43" i="1" s="1"/>
  <c r="CC30" i="1"/>
  <c r="CC44" i="1" s="1"/>
  <c r="D44" i="1"/>
  <c r="AU43" i="1"/>
  <c r="AJ45" i="1"/>
  <c r="CS31" i="1"/>
  <c r="CS45" i="1" s="1"/>
  <c r="CM31" i="1"/>
  <c r="CM45" i="1" s="1"/>
  <c r="X45" i="1"/>
  <c r="T44" i="1"/>
  <c r="CK30" i="1"/>
  <c r="CK44" i="1" s="1"/>
  <c r="Z45" i="1"/>
  <c r="CN31" i="1"/>
  <c r="CN45" i="1" s="1"/>
  <c r="CO30" i="1"/>
  <c r="CO44" i="1" s="1"/>
  <c r="AB44" i="1"/>
  <c r="AT44" i="1"/>
  <c r="CX30" i="1"/>
  <c r="CX44" i="1" s="1"/>
  <c r="AK44" i="1"/>
  <c r="AL43" i="1"/>
  <c r="CT29" i="1"/>
  <c r="CT43" i="1" s="1"/>
  <c r="P45" i="1"/>
  <c r="CI31" i="1"/>
  <c r="CI45" i="1" s="1"/>
  <c r="AV43" i="1"/>
  <c r="CY29" i="1"/>
  <c r="CY43" i="1" s="1"/>
  <c r="CC29" i="1"/>
  <c r="CC43" i="1" s="1"/>
  <c r="D43" i="1"/>
  <c r="AX45" i="1"/>
  <c r="CZ31" i="1"/>
  <c r="CZ45" i="1" s="1"/>
  <c r="AI43" i="1"/>
  <c r="AX44" i="1"/>
  <c r="CZ30" i="1"/>
  <c r="CZ44" i="1" s="1"/>
  <c r="AH44" i="1"/>
  <c r="CR30" i="1"/>
  <c r="CR44" i="1" s="1"/>
  <c r="AM44" i="1"/>
  <c r="CE31" i="1"/>
  <c r="CE45" i="1" s="1"/>
  <c r="H45" i="1"/>
  <c r="AC44" i="1"/>
  <c r="CL31" i="1"/>
  <c r="CL45" i="1" s="1"/>
  <c r="V45" i="1"/>
  <c r="AG43" i="1"/>
  <c r="CF30" i="1"/>
  <c r="CF44" i="1" s="1"/>
  <c r="J44" i="1"/>
  <c r="CI30" i="1"/>
  <c r="CI44" i="1" s="1"/>
  <c r="P44" i="1"/>
  <c r="CU29" i="1"/>
  <c r="CU43" i="1" s="1"/>
  <c r="AN43" i="1"/>
  <c r="AN35" i="1"/>
  <c r="CU30" i="1"/>
  <c r="CU44" i="1" s="1"/>
  <c r="AN44" i="1"/>
  <c r="CE29" i="1"/>
  <c r="CE43" i="1" s="1"/>
  <c r="H43" i="1"/>
  <c r="AX43" i="1"/>
  <c r="CZ29" i="1"/>
  <c r="CZ43" i="1" s="1"/>
  <c r="CG31" i="1"/>
  <c r="CG45" i="1" s="1"/>
  <c r="L45" i="1"/>
  <c r="CV30" i="1"/>
  <c r="CV44" i="1" s="1"/>
  <c r="AP44" i="1"/>
  <c r="AV45" i="1"/>
  <c r="CY31" i="1"/>
  <c r="CY45" i="1" s="1"/>
  <c r="CR31" i="1"/>
  <c r="CR45" i="1" s="1"/>
  <c r="AH45" i="1"/>
  <c r="AV44" i="1"/>
  <c r="CY30" i="1"/>
  <c r="CY44" i="1" s="1"/>
  <c r="AT45" i="1"/>
  <c r="CX31" i="1"/>
  <c r="CX45" i="1" s="1"/>
  <c r="P43" i="1"/>
  <c r="CI29" i="1"/>
  <c r="CI43" i="1" s="1"/>
  <c r="CH30" i="1"/>
  <c r="CH44" i="1" s="1"/>
  <c r="N44" i="1"/>
  <c r="CL29" i="1"/>
  <c r="CL43" i="1" s="1"/>
  <c r="V43" i="1"/>
  <c r="CJ31" i="1"/>
  <c r="CJ45" i="1" s="1"/>
  <c r="R45" i="1"/>
  <c r="AD43" i="1"/>
  <c r="CP29" i="1"/>
  <c r="CP43" i="1" s="1"/>
  <c r="AY44" i="1"/>
  <c r="AB45" i="1"/>
  <c r="CO31" i="1"/>
  <c r="CO45" i="1" s="1"/>
  <c r="AG44" i="1"/>
  <c r="Z43" i="1"/>
  <c r="CN29" i="1"/>
  <c r="CN43" i="1" s="1"/>
  <c r="C30" i="1"/>
  <c r="C44" i="1" s="1"/>
  <c r="CB30" i="1"/>
  <c r="CB44" i="1" s="1"/>
  <c r="CG30" i="1"/>
  <c r="CG44" i="1" s="1"/>
  <c r="L44" i="1"/>
  <c r="AK43" i="1"/>
  <c r="N45" i="1"/>
  <c r="CH31" i="1"/>
  <c r="CH45" i="1" s="1"/>
  <c r="CF29" i="1"/>
  <c r="CF43" i="1" s="1"/>
  <c r="J43" i="1"/>
  <c r="CH29" i="1"/>
  <c r="CH43" i="1" s="1"/>
  <c r="N43" i="1"/>
  <c r="AY43" i="1"/>
  <c r="AR45" i="1"/>
  <c r="CW31" i="1"/>
  <c r="CW45" i="1" s="1"/>
  <c r="AZ31" i="1"/>
  <c r="AC43" i="1"/>
  <c r="H44" i="1"/>
  <c r="CE30" i="1"/>
  <c r="CE44" i="1" s="1"/>
  <c r="AD44" i="1"/>
  <c r="CP30" i="1"/>
  <c r="CP44" i="1" s="1"/>
  <c r="CK31" i="1"/>
  <c r="CK45" i="1" s="1"/>
  <c r="T45" i="1"/>
  <c r="AS43" i="1"/>
  <c r="AU251" i="9"/>
  <c r="AW251" i="9" s="1"/>
  <c r="CR29" i="1"/>
  <c r="CR43" i="1" s="1"/>
  <c r="AH43" i="1"/>
  <c r="CQ30" i="1"/>
  <c r="CQ44" i="1" s="1"/>
  <c r="AF44" i="1"/>
  <c r="AD45" i="1"/>
  <c r="CP31" i="1"/>
  <c r="CP45" i="1" s="1"/>
  <c r="AE44" i="1"/>
  <c r="AQ44" i="1"/>
  <c r="CD31" i="1"/>
  <c r="CD45" i="1" s="1"/>
  <c r="F45" i="1"/>
  <c r="AI44" i="1"/>
  <c r="CQ31" i="1"/>
  <c r="CQ45" i="1" s="1"/>
  <c r="AF45" i="1"/>
  <c r="AZ30" i="1"/>
  <c r="CV31" i="1"/>
  <c r="CV45" i="1" s="1"/>
  <c r="AP45" i="1"/>
  <c r="CU31" i="1"/>
  <c r="CU45" i="1" s="1"/>
  <c r="AN45" i="1"/>
  <c r="AQ43" i="1"/>
  <c r="AR44" i="1"/>
  <c r="CW30" i="1"/>
  <c r="CW44" i="1" s="1"/>
  <c r="CD29" i="1"/>
  <c r="CD43" i="1" s="1"/>
  <c r="F43" i="1"/>
  <c r="Z44" i="1"/>
  <c r="CN30" i="1"/>
  <c r="CN44" i="1" s="1"/>
  <c r="AJ44" i="1"/>
  <c r="CS30" i="1"/>
  <c r="CS44" i="1" s="1"/>
  <c r="AT43" i="1"/>
  <c r="CX29" i="1"/>
  <c r="CX43" i="1" s="1"/>
  <c r="X44" i="1"/>
  <c r="CM30" i="1"/>
  <c r="CM44" i="1" s="1"/>
  <c r="CL30" i="1"/>
  <c r="CL44" i="1" s="1"/>
  <c r="V44" i="1"/>
  <c r="CQ29" i="1"/>
  <c r="CQ43" i="1" s="1"/>
  <c r="AF43" i="1"/>
  <c r="AP15" i="9"/>
  <c r="AP16" i="9" s="1"/>
  <c r="AP24" i="9" s="1"/>
  <c r="AP26" i="9"/>
  <c r="AO14" i="9"/>
  <c r="AO15" i="9" s="1"/>
  <c r="AO16" i="9" s="1"/>
  <c r="AX32" i="1"/>
  <c r="AX33" i="1"/>
  <c r="AY32" i="1"/>
  <c r="AY33" i="1"/>
  <c r="AG34" i="1" l="1"/>
  <c r="AG48" i="1" s="1"/>
  <c r="AS34" i="1"/>
  <c r="AS48" i="1" s="1"/>
  <c r="AW34" i="1"/>
  <c r="AW48" i="1" s="1"/>
  <c r="AO34" i="1"/>
  <c r="AO48" i="1" s="1"/>
  <c r="AK35" i="1"/>
  <c r="AK49" i="1" s="1"/>
  <c r="AS35" i="1"/>
  <c r="AS49" i="1" s="1"/>
  <c r="AU35" i="1"/>
  <c r="AU49" i="1" s="1"/>
  <c r="AO35" i="1"/>
  <c r="AO49" i="1" s="1"/>
  <c r="AW35" i="1"/>
  <c r="AW49" i="1" s="1"/>
  <c r="AM35" i="1"/>
  <c r="AM49" i="1" s="1"/>
  <c r="AG35" i="1"/>
  <c r="AG49" i="1" s="1"/>
  <c r="AI34" i="1"/>
  <c r="AI48" i="1" s="1"/>
  <c r="AI35" i="1"/>
  <c r="AI49" i="1" s="1"/>
  <c r="AV251" i="9"/>
  <c r="AK34" i="1"/>
  <c r="AK48" i="1" s="1"/>
  <c r="AM34" i="1"/>
  <c r="AM48" i="1" s="1"/>
  <c r="AQ35" i="1"/>
  <c r="AQ49" i="1" s="1"/>
  <c r="AC35" i="1"/>
  <c r="AC49" i="1" s="1"/>
  <c r="AE34" i="1"/>
  <c r="AE48" i="1" s="1"/>
  <c r="AQ34" i="1"/>
  <c r="AQ48" i="1" s="1"/>
  <c r="AE35" i="1"/>
  <c r="AE49" i="1" s="1"/>
  <c r="AC34" i="1"/>
  <c r="AC48" i="1" s="1"/>
  <c r="AU34" i="1"/>
  <c r="AU48" i="1" s="1"/>
  <c r="AX47" i="1"/>
  <c r="CZ33" i="1"/>
  <c r="CZ47" i="1" s="1"/>
  <c r="AX35" i="1"/>
  <c r="AX46" i="1"/>
  <c r="CZ32" i="1"/>
  <c r="CZ46" i="1" s="1"/>
  <c r="AX34" i="1"/>
  <c r="AY47" i="1"/>
  <c r="AY35" i="1"/>
  <c r="AY49" i="1" s="1"/>
  <c r="AY46" i="1"/>
  <c r="AY34" i="1"/>
  <c r="AY48" i="1" s="1"/>
  <c r="AT48" i="1"/>
  <c r="AO24" i="9"/>
  <c r="AP237" i="9"/>
  <c r="AR49" i="1"/>
  <c r="AF48" i="1"/>
  <c r="CQ34" i="1"/>
  <c r="CQ48" i="1" s="1"/>
  <c r="AF49" i="1"/>
  <c r="DA31" i="1"/>
  <c r="AR48" i="1"/>
  <c r="AB46" i="1"/>
  <c r="CO32" i="1"/>
  <c r="CO46" i="1" s="1"/>
  <c r="Z47" i="1"/>
  <c r="CN33" i="1"/>
  <c r="CN47" i="1" s="1"/>
  <c r="J47" i="1"/>
  <c r="CF33" i="1"/>
  <c r="CF47" i="1" s="1"/>
  <c r="AP46" i="1"/>
  <c r="CV32" i="1"/>
  <c r="CV46" i="1" s="1"/>
  <c r="AR46" i="1"/>
  <c r="CW32" i="1"/>
  <c r="CW46" i="1" s="1"/>
  <c r="CS32" i="1"/>
  <c r="CS46" i="1" s="1"/>
  <c r="AJ46" i="1"/>
  <c r="CC32" i="1"/>
  <c r="CC46" i="1" s="1"/>
  <c r="D46" i="1"/>
  <c r="AD47" i="1"/>
  <c r="CP33" i="1"/>
  <c r="CP47" i="1" s="1"/>
  <c r="CB32" i="1"/>
  <c r="CB46" i="1" s="1"/>
  <c r="C32" i="1"/>
  <c r="C46" i="1" s="1"/>
  <c r="AD48" i="1"/>
  <c r="AN49" i="1"/>
  <c r="AH49" i="1"/>
  <c r="C33" i="1"/>
  <c r="C47" i="1" s="1"/>
  <c r="CB33" i="1"/>
  <c r="CB47" i="1" s="1"/>
  <c r="F47" i="1"/>
  <c r="CD33" i="1"/>
  <c r="CD47" i="1" s="1"/>
  <c r="CE33" i="1"/>
  <c r="CE47" i="1" s="1"/>
  <c r="H47" i="1"/>
  <c r="Z46" i="1"/>
  <c r="CN32" i="1"/>
  <c r="CN46" i="1" s="1"/>
  <c r="P47" i="1"/>
  <c r="CI33" i="1"/>
  <c r="CI47" i="1" s="1"/>
  <c r="AL47" i="1"/>
  <c r="CT33" i="1"/>
  <c r="CT47" i="1" s="1"/>
  <c r="L46" i="1"/>
  <c r="CG32" i="1"/>
  <c r="CG46" i="1" s="1"/>
  <c r="AR47" i="1"/>
  <c r="CW33" i="1"/>
  <c r="CW47" i="1" s="1"/>
  <c r="CU33" i="1"/>
  <c r="CU47" i="1" s="1"/>
  <c r="AN47" i="1"/>
  <c r="AH46" i="1"/>
  <c r="CR32" i="1"/>
  <c r="CR46" i="1" s="1"/>
  <c r="AL46" i="1"/>
  <c r="CT32" i="1"/>
  <c r="CT46" i="1" s="1"/>
  <c r="V47" i="1"/>
  <c r="CL33" i="1"/>
  <c r="CL47" i="1" s="1"/>
  <c r="DA30" i="1"/>
  <c r="AJ49" i="1"/>
  <c r="AP49" i="1"/>
  <c r="AL48" i="1"/>
  <c r="AJ48" i="1"/>
  <c r="AJ47" i="1"/>
  <c r="CS33" i="1"/>
  <c r="CS47" i="1" s="1"/>
  <c r="CH32" i="1"/>
  <c r="CH46" i="1" s="1"/>
  <c r="N46" i="1"/>
  <c r="CM32" i="1"/>
  <c r="CM46" i="1" s="1"/>
  <c r="X46" i="1"/>
  <c r="T47" i="1"/>
  <c r="CK33" i="1"/>
  <c r="CK47" i="1" s="1"/>
  <c r="V46" i="1"/>
  <c r="CL32" i="1"/>
  <c r="CL46" i="1" s="1"/>
  <c r="J46" i="1"/>
  <c r="CF32" i="1"/>
  <c r="CF46" i="1" s="1"/>
  <c r="CV33" i="1"/>
  <c r="CV47" i="1" s="1"/>
  <c r="AP47" i="1"/>
  <c r="F46" i="1"/>
  <c r="CD32" i="1"/>
  <c r="CD46" i="1" s="1"/>
  <c r="AD46" i="1"/>
  <c r="CP32" i="1"/>
  <c r="CP46" i="1" s="1"/>
  <c r="L47" i="1"/>
  <c r="CG33" i="1"/>
  <c r="CG47" i="1" s="1"/>
  <c r="AN48" i="1"/>
  <c r="T46" i="1"/>
  <c r="CK32" i="1"/>
  <c r="CK46" i="1" s="1"/>
  <c r="AV46" i="1"/>
  <c r="CY32" i="1"/>
  <c r="CY46" i="1" s="1"/>
  <c r="CU32" i="1"/>
  <c r="CU46" i="1" s="1"/>
  <c r="AN46" i="1"/>
  <c r="CQ32" i="1"/>
  <c r="CQ46" i="1" s="1"/>
  <c r="AF46" i="1"/>
  <c r="R46" i="1"/>
  <c r="CJ32" i="1"/>
  <c r="CJ46" i="1" s="1"/>
  <c r="AH48" i="1"/>
  <c r="AX251" i="9"/>
  <c r="AZ251" i="9" s="1"/>
  <c r="AV49" i="1"/>
  <c r="AV48" i="1"/>
  <c r="CY34" i="1"/>
  <c r="CY48" i="1" s="1"/>
  <c r="AT49" i="1"/>
  <c r="AF47" i="1"/>
  <c r="CQ33" i="1"/>
  <c r="CQ47" i="1" s="1"/>
  <c r="D47" i="1"/>
  <c r="CC33" i="1"/>
  <c r="CC47" i="1" s="1"/>
  <c r="AV47" i="1"/>
  <c r="CY33" i="1"/>
  <c r="CY47" i="1" s="1"/>
  <c r="CJ33" i="1"/>
  <c r="CJ47" i="1" s="1"/>
  <c r="R47" i="1"/>
  <c r="AT47" i="1"/>
  <c r="CX33" i="1"/>
  <c r="CX47" i="1" s="1"/>
  <c r="AZ32" i="1"/>
  <c r="AZ34" i="1" s="1"/>
  <c r="CH33" i="1"/>
  <c r="CH47" i="1" s="1"/>
  <c r="N47" i="1"/>
  <c r="P46" i="1"/>
  <c r="CI32" i="1"/>
  <c r="CI46" i="1" s="1"/>
  <c r="AD49" i="1"/>
  <c r="AL49" i="1"/>
  <c r="DA29" i="1"/>
  <c r="AP48" i="1"/>
  <c r="CR33" i="1"/>
  <c r="CR47" i="1" s="1"/>
  <c r="AH47" i="1"/>
  <c r="AZ33" i="1"/>
  <c r="AT46" i="1"/>
  <c r="CX32" i="1"/>
  <c r="CX46" i="1" s="1"/>
  <c r="H46" i="1"/>
  <c r="CE32" i="1"/>
  <c r="CE46" i="1" s="1"/>
  <c r="CM33" i="1"/>
  <c r="CM47" i="1" s="1"/>
  <c r="X47" i="1"/>
  <c r="AB47" i="1"/>
  <c r="CO33" i="1"/>
  <c r="CO47" i="1" s="1"/>
  <c r="CQ35" i="1" l="1"/>
  <c r="CQ49" i="1" s="1"/>
  <c r="CX34" i="1"/>
  <c r="CX48" i="1" s="1"/>
  <c r="CS35" i="1"/>
  <c r="CS49" i="1" s="1"/>
  <c r="CW34" i="1"/>
  <c r="CW48" i="1" s="1"/>
  <c r="CU34" i="1"/>
  <c r="CU48" i="1" s="1"/>
  <c r="CP34" i="1"/>
  <c r="CP48" i="1" s="1"/>
  <c r="CV35" i="1"/>
  <c r="CV49" i="1" s="1"/>
  <c r="CR34" i="1"/>
  <c r="CR48" i="1" s="1"/>
  <c r="CO35" i="1"/>
  <c r="CO49" i="1" s="1"/>
  <c r="CW35" i="1"/>
  <c r="CW49" i="1" s="1"/>
  <c r="CR35" i="1"/>
  <c r="CR49" i="1" s="1"/>
  <c r="CU35" i="1"/>
  <c r="CU49" i="1" s="1"/>
  <c r="AY251" i="9"/>
  <c r="CX35" i="1"/>
  <c r="CX49" i="1" s="1"/>
  <c r="CT35" i="1"/>
  <c r="CT49" i="1" s="1"/>
  <c r="CT34" i="1"/>
  <c r="CT48" i="1" s="1"/>
  <c r="CO34" i="1"/>
  <c r="CO48" i="1" s="1"/>
  <c r="CY35" i="1"/>
  <c r="CY49" i="1" s="1"/>
  <c r="CP35" i="1"/>
  <c r="CP49" i="1" s="1"/>
  <c r="CS34" i="1"/>
  <c r="CS48" i="1" s="1"/>
  <c r="CV34" i="1"/>
  <c r="CV48" i="1" s="1"/>
  <c r="DA34" i="1"/>
  <c r="DA33" i="1"/>
  <c r="AX48" i="1"/>
  <c r="CZ34" i="1"/>
  <c r="CZ48" i="1" s="1"/>
  <c r="DA32" i="1"/>
  <c r="BA251" i="9"/>
  <c r="BC251" i="9" s="1"/>
  <c r="BD251" i="9" s="1"/>
  <c r="BE251" i="9" s="1"/>
  <c r="BA180" i="1"/>
  <c r="AX49" i="1"/>
  <c r="CZ35" i="1"/>
  <c r="CZ49" i="1" s="1"/>
  <c r="AZ35" i="1"/>
  <c r="AP234" i="9"/>
  <c r="AQ258" i="9" s="1"/>
  <c r="AP235" i="9"/>
  <c r="AQ259" i="9" s="1"/>
  <c r="AP236" i="9"/>
  <c r="AQ260" i="9" s="1"/>
  <c r="AP232" i="9"/>
  <c r="AQ256" i="9" s="1"/>
  <c r="AP233" i="9"/>
  <c r="AQ257" i="9" s="1"/>
  <c r="BA160" i="1"/>
  <c r="K62" i="2" s="1"/>
  <c r="BB251" i="9" l="1"/>
  <c r="BA159" i="1"/>
  <c r="BA218" i="1"/>
  <c r="DA218" i="1" s="1"/>
  <c r="BA164" i="1"/>
  <c r="BA165" i="1"/>
  <c r="BB160" i="1"/>
  <c r="L62" i="2" s="1"/>
  <c r="DA160" i="1"/>
  <c r="DA180" i="1"/>
  <c r="BB180" i="1"/>
  <c r="BC180" i="1" s="1"/>
  <c r="BA170" i="1"/>
  <c r="BA157" i="1"/>
  <c r="BA158" i="1"/>
  <c r="AQ261" i="9"/>
  <c r="DA35" i="1"/>
  <c r="BA179" i="1"/>
  <c r="K60" i="2" l="1"/>
  <c r="BA222" i="1"/>
  <c r="DA222" i="1" s="1"/>
  <c r="DA54" i="1"/>
  <c r="DA45" i="1" s="1"/>
  <c r="E62" i="2"/>
  <c r="O36" i="7"/>
  <c r="BA217" i="1"/>
  <c r="DA217" i="1" s="1"/>
  <c r="AQ253" i="9"/>
  <c r="AQ13" i="9"/>
  <c r="BC160" i="1"/>
  <c r="BB159" i="1"/>
  <c r="BC159" i="1" s="1"/>
  <c r="DA159" i="1"/>
  <c r="BB179" i="1"/>
  <c r="DA179" i="1"/>
  <c r="J38" i="2"/>
  <c r="BA215" i="1"/>
  <c r="BD180" i="1"/>
  <c r="BE180" i="1" s="1"/>
  <c r="DB180" i="1"/>
  <c r="BB218" i="1"/>
  <c r="BA161" i="1"/>
  <c r="BA55" i="1" s="1"/>
  <c r="BB157" i="1"/>
  <c r="DA157" i="1"/>
  <c r="BA176" i="1"/>
  <c r="DA170" i="1"/>
  <c r="DA59" i="1" s="1"/>
  <c r="DA48" i="1" s="1"/>
  <c r="BB170" i="1"/>
  <c r="DA164" i="1"/>
  <c r="DA56" i="1" s="1"/>
  <c r="DA46" i="1" s="1"/>
  <c r="BB164" i="1"/>
  <c r="BB158" i="1"/>
  <c r="DA158" i="1"/>
  <c r="BA227" i="1"/>
  <c r="DA227" i="1" s="1"/>
  <c r="BA166" i="1"/>
  <c r="BA172" i="1"/>
  <c r="BA216" i="1"/>
  <c r="BB165" i="1"/>
  <c r="BC165" i="1" s="1"/>
  <c r="DA165" i="1"/>
  <c r="L60" i="2" l="1"/>
  <c r="BC218" i="1"/>
  <c r="DB218" i="1" s="1"/>
  <c r="BB216" i="1"/>
  <c r="BB222" i="1"/>
  <c r="DA216" i="1"/>
  <c r="DA166" i="1"/>
  <c r="DA57" i="1" s="1"/>
  <c r="DA47" i="1" s="1"/>
  <c r="BB166" i="1"/>
  <c r="BB167" i="1" s="1"/>
  <c r="O34" i="7"/>
  <c r="E60" i="2"/>
  <c r="DA52" i="1"/>
  <c r="DA43" i="1" s="1"/>
  <c r="BB172" i="1"/>
  <c r="BC172" i="1" s="1"/>
  <c r="DA172" i="1"/>
  <c r="DA49" i="1" s="1"/>
  <c r="DA53" i="1"/>
  <c r="DA44" i="1" s="1"/>
  <c r="BA167" i="1"/>
  <c r="BA58" i="1" s="1"/>
  <c r="BB176" i="1"/>
  <c r="BB610" i="1" s="1"/>
  <c r="BB161" i="1"/>
  <c r="BC157" i="1"/>
  <c r="DA215" i="1"/>
  <c r="BB215" i="1"/>
  <c r="BA232" i="1"/>
  <c r="BA578" i="1"/>
  <c r="DB165" i="1"/>
  <c r="BD165" i="1"/>
  <c r="BE165" i="1" s="1"/>
  <c r="BA171" i="1"/>
  <c r="BC158" i="1"/>
  <c r="DA161" i="1"/>
  <c r="BA186" i="1"/>
  <c r="K65" i="2" s="1"/>
  <c r="BA399" i="1"/>
  <c r="DA399" i="1" s="1"/>
  <c r="BA219" i="1"/>
  <c r="DA219" i="1" s="1"/>
  <c r="AQ14" i="9"/>
  <c r="AQ15" i="9" s="1"/>
  <c r="AQ16" i="9" s="1"/>
  <c r="AQ75" i="9"/>
  <c r="BB227" i="1"/>
  <c r="BD159" i="1"/>
  <c r="BE159" i="1" s="1"/>
  <c r="DB159" i="1"/>
  <c r="BA224" i="1"/>
  <c r="BC164" i="1"/>
  <c r="BC170" i="1"/>
  <c r="DA176" i="1"/>
  <c r="BA610" i="1"/>
  <c r="DC180" i="1"/>
  <c r="BF180" i="1"/>
  <c r="BG180" i="1" s="1"/>
  <c r="BC179" i="1"/>
  <c r="BD160" i="1"/>
  <c r="DB160" i="1"/>
  <c r="BB217" i="1"/>
  <c r="K66" i="2" l="1"/>
  <c r="K67" i="2" s="1"/>
  <c r="K38" i="2"/>
  <c r="BC166" i="1"/>
  <c r="BC167" i="1" s="1"/>
  <c r="DA232" i="1"/>
  <c r="O13" i="7"/>
  <c r="E38" i="2"/>
  <c r="BA187" i="1"/>
  <c r="DA610" i="1"/>
  <c r="BF159" i="1"/>
  <c r="BG159" i="1" s="1"/>
  <c r="DC159" i="1"/>
  <c r="BB232" i="1"/>
  <c r="BC215" i="1"/>
  <c r="DB215" i="1" s="1"/>
  <c r="BC176" i="1"/>
  <c r="BD157" i="1"/>
  <c r="DB157" i="1"/>
  <c r="BC161" i="1"/>
  <c r="AQ24" i="9"/>
  <c r="AQ237" i="9"/>
  <c r="BB578" i="1"/>
  <c r="DA578" i="1"/>
  <c r="DA585" i="1" s="1"/>
  <c r="BA585" i="1"/>
  <c r="DB54" i="1"/>
  <c r="DB45" i="1" s="1"/>
  <c r="F62" i="2"/>
  <c r="P36" i="7"/>
  <c r="DA224" i="1"/>
  <c r="BA223" i="1"/>
  <c r="DA223" i="1" s="1"/>
  <c r="BB224" i="1"/>
  <c r="BE160" i="1"/>
  <c r="BA244" i="1"/>
  <c r="DD180" i="1"/>
  <c r="BH180" i="1"/>
  <c r="BI180" i="1" s="1"/>
  <c r="DB170" i="1"/>
  <c r="DB59" i="1" s="1"/>
  <c r="DB48" i="1" s="1"/>
  <c r="BD170" i="1"/>
  <c r="AQ76" i="9"/>
  <c r="BB399" i="1"/>
  <c r="L38" i="2" s="1"/>
  <c r="DB158" i="1"/>
  <c r="BD158" i="1"/>
  <c r="BF165" i="1"/>
  <c r="BG165" i="1" s="1"/>
  <c r="DC165" i="1"/>
  <c r="BB55" i="1"/>
  <c r="BB186" i="1" s="1"/>
  <c r="L65" i="2" s="1"/>
  <c r="BD179" i="1"/>
  <c r="DB179" i="1"/>
  <c r="DB164" i="1"/>
  <c r="DB56" i="1" s="1"/>
  <c r="DB46" i="1" s="1"/>
  <c r="BD164" i="1"/>
  <c r="BA228" i="1"/>
  <c r="DA228" i="1" s="1"/>
  <c r="BC216" i="1"/>
  <c r="BC217" i="1"/>
  <c r="BD217" i="1" s="1"/>
  <c r="BD218" i="1"/>
  <c r="BC227" i="1"/>
  <c r="BB219" i="1"/>
  <c r="DA186" i="1"/>
  <c r="DA171" i="1"/>
  <c r="BB171" i="1"/>
  <c r="BA173" i="1"/>
  <c r="K69" i="2" s="1"/>
  <c r="K70" i="2" s="1"/>
  <c r="L66" i="2"/>
  <c r="L67" i="2" s="1"/>
  <c r="DA167" i="1"/>
  <c r="BA192" i="1"/>
  <c r="DB172" i="1"/>
  <c r="DB49" i="1" s="1"/>
  <c r="BD172" i="1"/>
  <c r="BE172" i="1" s="1"/>
  <c r="BC222" i="1"/>
  <c r="BA249" i="1" l="1"/>
  <c r="K68" i="2"/>
  <c r="BD166" i="1"/>
  <c r="BE166" i="1" s="1"/>
  <c r="DC166" i="1" s="1"/>
  <c r="DB166" i="1"/>
  <c r="DB57" i="1" s="1"/>
  <c r="DB47" i="1" s="1"/>
  <c r="BC219" i="1"/>
  <c r="DB219" i="1" s="1"/>
  <c r="DB217" i="1"/>
  <c r="BB58" i="1"/>
  <c r="BB192" i="1" s="1"/>
  <c r="BC58" i="1" s="1"/>
  <c r="BC192" i="1" s="1"/>
  <c r="DB192" i="1" s="1"/>
  <c r="F68" i="2" s="1"/>
  <c r="DA249" i="1"/>
  <c r="BD216" i="1"/>
  <c r="DB216" i="1"/>
  <c r="AQ77" i="9"/>
  <c r="BE170" i="1"/>
  <c r="BA242" i="1"/>
  <c r="BC578" i="1"/>
  <c r="BB585" i="1"/>
  <c r="AQ233" i="9"/>
  <c r="AR257" i="9" s="1"/>
  <c r="AQ234" i="9"/>
  <c r="AR258" i="9" s="1"/>
  <c r="AQ235" i="9"/>
  <c r="AR259" i="9" s="1"/>
  <c r="AQ236" i="9"/>
  <c r="AR260" i="9" s="1"/>
  <c r="AQ232" i="9"/>
  <c r="AR256" i="9" s="1"/>
  <c r="AR261" i="9" s="1"/>
  <c r="BD161" i="1"/>
  <c r="BD176" i="1"/>
  <c r="BD610" i="1" s="1"/>
  <c r="BE157" i="1"/>
  <c r="BA248" i="1"/>
  <c r="DA145" i="1"/>
  <c r="DB227" i="1"/>
  <c r="BD227" i="1"/>
  <c r="BH165" i="1"/>
  <c r="BI165" i="1" s="1"/>
  <c r="DD165" i="1"/>
  <c r="BE158" i="1"/>
  <c r="DA244" i="1"/>
  <c r="BB244" i="1"/>
  <c r="DB176" i="1"/>
  <c r="BC610" i="1"/>
  <c r="BD215" i="1"/>
  <c r="BC232" i="1"/>
  <c r="DA192" i="1"/>
  <c r="DA58" i="1" s="1"/>
  <c r="BE218" i="1"/>
  <c r="DC218" i="1" s="1"/>
  <c r="BE179" i="1"/>
  <c r="U59" i="24"/>
  <c r="U60" i="24" s="1"/>
  <c r="J72" i="2"/>
  <c r="BA247" i="1"/>
  <c r="BB187" i="1"/>
  <c r="DA187" i="1"/>
  <c r="E65" i="2"/>
  <c r="O39" i="7"/>
  <c r="DB53" i="1"/>
  <c r="DB44" i="1" s="1"/>
  <c r="BJ180" i="1"/>
  <c r="BK180" i="1" s="1"/>
  <c r="DE180" i="1"/>
  <c r="DB161" i="1"/>
  <c r="BC55" i="1"/>
  <c r="BC186" i="1" s="1"/>
  <c r="BH159" i="1"/>
  <c r="BI159" i="1" s="1"/>
  <c r="DD159" i="1"/>
  <c r="DA173" i="1"/>
  <c r="BA61" i="1"/>
  <c r="BA198" i="1" s="1"/>
  <c r="K71" i="2" s="1"/>
  <c r="BA178" i="1"/>
  <c r="BE217" i="1"/>
  <c r="BF217" i="1" s="1"/>
  <c r="BE164" i="1"/>
  <c r="BA229" i="1"/>
  <c r="BF160" i="1"/>
  <c r="DC160" i="1"/>
  <c r="DA55" i="1"/>
  <c r="DB222" i="1"/>
  <c r="BD222" i="1"/>
  <c r="E66" i="2"/>
  <c r="E67" i="2" s="1"/>
  <c r="O40" i="7"/>
  <c r="O41" i="7" s="1"/>
  <c r="BA193" i="1"/>
  <c r="DC172" i="1"/>
  <c r="DC49" i="1" s="1"/>
  <c r="BF172" i="1"/>
  <c r="BG172" i="1" s="1"/>
  <c r="BC171" i="1"/>
  <c r="BB173" i="1"/>
  <c r="L69" i="2" s="1"/>
  <c r="L70" i="2" s="1"/>
  <c r="BB228" i="1"/>
  <c r="DB167" i="1"/>
  <c r="BC399" i="1"/>
  <c r="BA243" i="1"/>
  <c r="BB223" i="1"/>
  <c r="BC224" i="1"/>
  <c r="DB224" i="1" s="1"/>
  <c r="DB52" i="1"/>
  <c r="DB43" i="1" s="1"/>
  <c r="P34" i="7"/>
  <c r="F60" i="2"/>
  <c r="J73" i="2" l="1"/>
  <c r="J63" i="2"/>
  <c r="L68" i="2"/>
  <c r="BD167" i="1"/>
  <c r="BD58" i="1" s="1"/>
  <c r="BD192" i="1" s="1"/>
  <c r="DC57" i="1"/>
  <c r="DC47" i="1" s="1"/>
  <c r="BF166" i="1"/>
  <c r="BG166" i="1" s="1"/>
  <c r="BH166" i="1" s="1"/>
  <c r="BI166" i="1" s="1"/>
  <c r="DB232" i="1"/>
  <c r="DC217" i="1"/>
  <c r="BB249" i="1"/>
  <c r="BB247" i="1" s="1"/>
  <c r="P42" i="7"/>
  <c r="BB243" i="1"/>
  <c r="DB399" i="1"/>
  <c r="BD399" i="1"/>
  <c r="DB58" i="1"/>
  <c r="F66" i="2"/>
  <c r="F67" i="2" s="1"/>
  <c r="P40" i="7"/>
  <c r="P41" i="7" s="1"/>
  <c r="BF164" i="1"/>
  <c r="BE167" i="1"/>
  <c r="DC164" i="1"/>
  <c r="DC56" i="1" s="1"/>
  <c r="DC46" i="1" s="1"/>
  <c r="DA198" i="1"/>
  <c r="BD55" i="1"/>
  <c r="BD186" i="1" s="1"/>
  <c r="DB578" i="1"/>
  <c r="DB585" i="1" s="1"/>
  <c r="BD578" i="1"/>
  <c r="BC585" i="1"/>
  <c r="U61" i="24"/>
  <c r="BB61" i="1"/>
  <c r="BB198" i="1" s="1"/>
  <c r="L71" i="2" s="1"/>
  <c r="BB178" i="1"/>
  <c r="O43" i="7"/>
  <c r="O44" i="7" s="1"/>
  <c r="E69" i="2"/>
  <c r="E70" i="2" s="1"/>
  <c r="DB610" i="1"/>
  <c r="DE165" i="1"/>
  <c r="BJ165" i="1"/>
  <c r="BK165" i="1" s="1"/>
  <c r="DA248" i="1"/>
  <c r="AR253" i="9"/>
  <c r="AS261" i="9"/>
  <c r="BE216" i="1"/>
  <c r="DC216" i="1" s="1"/>
  <c r="DF180" i="1"/>
  <c r="BL180" i="1"/>
  <c r="BM180" i="1" s="1"/>
  <c r="BF218" i="1"/>
  <c r="BC244" i="1"/>
  <c r="G62" i="2"/>
  <c r="DC54" i="1"/>
  <c r="DC45" i="1" s="1"/>
  <c r="Q36" i="7"/>
  <c r="DA229" i="1"/>
  <c r="BB229" i="1"/>
  <c r="BA234" i="1"/>
  <c r="DA234" i="1" s="1"/>
  <c r="DB186" i="1"/>
  <c r="DB55" i="1" s="1"/>
  <c r="BC187" i="1"/>
  <c r="AZ154" i="1"/>
  <c r="BE215" i="1"/>
  <c r="BD232" i="1"/>
  <c r="DC157" i="1"/>
  <c r="BE176" i="1"/>
  <c r="BE161" i="1"/>
  <c r="BF157" i="1"/>
  <c r="DB171" i="1"/>
  <c r="BD171" i="1"/>
  <c r="BC173" i="1"/>
  <c r="BA254" i="1"/>
  <c r="DD172" i="1"/>
  <c r="DD49" i="1" s="1"/>
  <c r="BH172" i="1"/>
  <c r="BI172" i="1" s="1"/>
  <c r="BE222" i="1"/>
  <c r="BG160" i="1"/>
  <c r="BA204" i="1"/>
  <c r="BE227" i="1"/>
  <c r="DC227" i="1" s="1"/>
  <c r="DA242" i="1"/>
  <c r="BB242" i="1"/>
  <c r="AQ78" i="9"/>
  <c r="BD224" i="1"/>
  <c r="BC223" i="1"/>
  <c r="DB223" i="1" s="1"/>
  <c r="BA199" i="1"/>
  <c r="AZ795" i="1"/>
  <c r="J92" i="2" s="1"/>
  <c r="DA243" i="1"/>
  <c r="BC228" i="1"/>
  <c r="DA193" i="1"/>
  <c r="BB193" i="1"/>
  <c r="BC193" i="1" s="1"/>
  <c r="BG217" i="1"/>
  <c r="BH217" i="1" s="1"/>
  <c r="V59" i="24"/>
  <c r="V60" i="24" s="1"/>
  <c r="BA181" i="1"/>
  <c r="DA178" i="1"/>
  <c r="BA177" i="1"/>
  <c r="BJ159" i="1"/>
  <c r="BK159" i="1" s="1"/>
  <c r="DE159" i="1"/>
  <c r="DA247" i="1"/>
  <c r="DC179" i="1"/>
  <c r="BF179" i="1"/>
  <c r="E68" i="2"/>
  <c r="O42" i="7"/>
  <c r="DC158" i="1"/>
  <c r="BF158" i="1"/>
  <c r="BF170" i="1"/>
  <c r="DC170" i="1"/>
  <c r="DC59" i="1" s="1"/>
  <c r="DC48" i="1" s="1"/>
  <c r="BD219" i="1"/>
  <c r="K72" i="2" l="1"/>
  <c r="K73" i="2" s="1"/>
  <c r="J61" i="2"/>
  <c r="J64" i="2"/>
  <c r="BB248" i="1"/>
  <c r="DD166" i="1"/>
  <c r="DD57" i="1" s="1"/>
  <c r="DD47" i="1" s="1"/>
  <c r="BC249" i="1"/>
  <c r="DB249" i="1" s="1"/>
  <c r="BF222" i="1"/>
  <c r="BD244" i="1"/>
  <c r="BD228" i="1"/>
  <c r="BA111" i="1"/>
  <c r="BA469" i="1" s="1"/>
  <c r="DC222" i="1"/>
  <c r="DB228" i="1"/>
  <c r="DD217" i="1"/>
  <c r="O55" i="7"/>
  <c r="O56" i="7" s="1"/>
  <c r="BA252" i="1"/>
  <c r="DB173" i="1"/>
  <c r="BC178" i="1"/>
  <c r="BE610" i="1"/>
  <c r="DC176" i="1"/>
  <c r="DF165" i="1"/>
  <c r="BL165" i="1"/>
  <c r="BM165" i="1" s="1"/>
  <c r="W59" i="24"/>
  <c r="W60" i="24" s="1"/>
  <c r="BB181" i="1"/>
  <c r="BB177" i="1"/>
  <c r="DA61" i="1"/>
  <c r="E71" i="2"/>
  <c r="BC243" i="1"/>
  <c r="BG179" i="1"/>
  <c r="BC242" i="1"/>
  <c r="BF227" i="1"/>
  <c r="BH160" i="1"/>
  <c r="DD160" i="1"/>
  <c r="BA253" i="1"/>
  <c r="BE171" i="1"/>
  <c r="BD173" i="1"/>
  <c r="Q34" i="7"/>
  <c r="DC52" i="1"/>
  <c r="DC43" i="1" s="1"/>
  <c r="G60" i="2"/>
  <c r="DB244" i="1"/>
  <c r="BN180" i="1"/>
  <c r="BO180" i="1" s="1"/>
  <c r="DG180" i="1"/>
  <c r="BF216" i="1"/>
  <c r="BC61" i="1"/>
  <c r="BC198" i="1" s="1"/>
  <c r="BB204" i="1"/>
  <c r="BA203" i="1"/>
  <c r="BA196" i="1"/>
  <c r="BE399" i="1"/>
  <c r="DB193" i="1"/>
  <c r="BD193" i="1"/>
  <c r="DA199" i="1"/>
  <c r="BB199" i="1"/>
  <c r="BA660" i="1"/>
  <c r="U68" i="24"/>
  <c r="U69" i="24" s="1"/>
  <c r="AS253" i="9"/>
  <c r="AS13" i="9"/>
  <c r="BA197" i="1"/>
  <c r="BE58" i="1"/>
  <c r="BE192" i="1" s="1"/>
  <c r="DC192" i="1" s="1"/>
  <c r="DC167" i="1"/>
  <c r="F38" i="2"/>
  <c r="P13" i="7"/>
  <c r="BG158" i="1"/>
  <c r="DA177" i="1"/>
  <c r="BA611" i="1"/>
  <c r="BI217" i="1"/>
  <c r="BJ217" i="1" s="1"/>
  <c r="DB187" i="1"/>
  <c r="BD187" i="1"/>
  <c r="BA237" i="1"/>
  <c r="BA233" i="1"/>
  <c r="BG218" i="1"/>
  <c r="DB145" i="1"/>
  <c r="BA670" i="1"/>
  <c r="BA185" i="1"/>
  <c r="BE578" i="1"/>
  <c r="BD585" i="1"/>
  <c r="BF167" i="1"/>
  <c r="BG164" i="1"/>
  <c r="BE219" i="1"/>
  <c r="BG170" i="1"/>
  <c r="AW59" i="24"/>
  <c r="AW60" i="24" s="1"/>
  <c r="BD223" i="1"/>
  <c r="BE224" i="1"/>
  <c r="V61" i="24"/>
  <c r="DA204" i="1"/>
  <c r="DE172" i="1"/>
  <c r="DE49" i="1" s="1"/>
  <c r="BJ172" i="1"/>
  <c r="BK172" i="1" s="1"/>
  <c r="BF176" i="1"/>
  <c r="BF610" i="1" s="1"/>
  <c r="BF161" i="1"/>
  <c r="BG157" i="1"/>
  <c r="P39" i="7"/>
  <c r="F65" i="2"/>
  <c r="BB234" i="1"/>
  <c r="BB111" i="1" s="1"/>
  <c r="BC229" i="1"/>
  <c r="BA184" i="1"/>
  <c r="BA202" i="1"/>
  <c r="DC53" i="1"/>
  <c r="DC44" i="1" s="1"/>
  <c r="DF159" i="1"/>
  <c r="BL159" i="1"/>
  <c r="BM159" i="1" s="1"/>
  <c r="DA181" i="1"/>
  <c r="BA154" i="1"/>
  <c r="BJ166" i="1"/>
  <c r="BK166" i="1" s="1"/>
  <c r="DE166" i="1"/>
  <c r="DA254" i="1"/>
  <c r="BB254" i="1"/>
  <c r="DC161" i="1"/>
  <c r="BE55" i="1"/>
  <c r="BE186" i="1" s="1"/>
  <c r="DC215" i="1"/>
  <c r="BF215" i="1"/>
  <c r="BE232" i="1"/>
  <c r="BA190" i="1"/>
  <c r="BA191" i="1"/>
  <c r="BA205" i="1"/>
  <c r="K63" i="2" l="1"/>
  <c r="L72" i="2"/>
  <c r="L63" i="2" s="1"/>
  <c r="J74" i="2"/>
  <c r="BC248" i="1"/>
  <c r="DB248" i="1" s="1"/>
  <c r="BD249" i="1"/>
  <c r="BE249" i="1" s="1"/>
  <c r="DC249" i="1" s="1"/>
  <c r="DE57" i="1"/>
  <c r="DE47" i="1" s="1"/>
  <c r="BE228" i="1"/>
  <c r="DC228" i="1" s="1"/>
  <c r="BC247" i="1"/>
  <c r="DB247" i="1" s="1"/>
  <c r="U62" i="24"/>
  <c r="BA86" i="1"/>
  <c r="BA397" i="1" s="1"/>
  <c r="AZ625" i="1"/>
  <c r="DE217" i="1"/>
  <c r="BA669" i="1"/>
  <c r="DA669" i="1" s="1"/>
  <c r="BA664" i="1"/>
  <c r="DA664" i="1" s="1"/>
  <c r="BC199" i="1"/>
  <c r="BC205" i="1" s="1"/>
  <c r="DB205" i="1" s="1"/>
  <c r="DC186" i="1"/>
  <c r="DC55" i="1" s="1"/>
  <c r="DF166" i="1"/>
  <c r="DF57" i="1" s="1"/>
  <c r="DF47" i="1" s="1"/>
  <c r="BL166" i="1"/>
  <c r="BM166" i="1" s="1"/>
  <c r="BB202" i="1"/>
  <c r="DA202" i="1"/>
  <c r="BD229" i="1"/>
  <c r="BC234" i="1"/>
  <c r="DB234" i="1" s="1"/>
  <c r="BG161" i="1"/>
  <c r="BG176" i="1"/>
  <c r="BH157" i="1"/>
  <c r="DD157" i="1"/>
  <c r="DA185" i="1"/>
  <c r="BB185" i="1"/>
  <c r="DA233" i="1"/>
  <c r="DD218" i="1"/>
  <c r="BH218" i="1"/>
  <c r="BE187" i="1"/>
  <c r="DA611" i="1"/>
  <c r="BA613" i="1"/>
  <c r="K74" i="2" s="1"/>
  <c r="G68" i="2"/>
  <c r="Q42" i="7"/>
  <c r="BB660" i="1"/>
  <c r="DA660" i="1"/>
  <c r="BA147" i="1"/>
  <c r="DB198" i="1"/>
  <c r="BC204" i="1"/>
  <c r="BD61" i="1"/>
  <c r="BD198" i="1" s="1"/>
  <c r="BD204" i="1" s="1"/>
  <c r="BD178" i="1"/>
  <c r="DB243" i="1"/>
  <c r="BD243" i="1"/>
  <c r="DA252" i="1"/>
  <c r="BB252" i="1"/>
  <c r="BA257" i="1"/>
  <c r="DA257" i="1" s="1"/>
  <c r="BB237" i="1"/>
  <c r="BB233" i="1"/>
  <c r="BB86" i="1" s="1"/>
  <c r="DA670" i="1"/>
  <c r="BB670" i="1"/>
  <c r="DA197" i="1"/>
  <c r="BB197" i="1"/>
  <c r="AR13" i="9"/>
  <c r="BE193" i="1"/>
  <c r="BF171" i="1"/>
  <c r="DC171" i="1"/>
  <c r="BE173" i="1"/>
  <c r="K61" i="2"/>
  <c r="K64" i="2"/>
  <c r="BC254" i="1"/>
  <c r="DB254" i="1" s="1"/>
  <c r="BB184" i="1"/>
  <c r="DA184" i="1"/>
  <c r="BF55" i="1"/>
  <c r="BF186" i="1" s="1"/>
  <c r="BH170" i="1"/>
  <c r="DD170" i="1"/>
  <c r="DD59" i="1" s="1"/>
  <c r="DD48" i="1" s="1"/>
  <c r="V68" i="24"/>
  <c r="V69" i="24" s="1"/>
  <c r="BA666" i="1"/>
  <c r="DA196" i="1"/>
  <c r="BB196" i="1"/>
  <c r="DD54" i="1"/>
  <c r="DD45" i="1" s="1"/>
  <c r="DG165" i="1"/>
  <c r="BN165" i="1"/>
  <c r="BO165" i="1" s="1"/>
  <c r="DA205" i="1"/>
  <c r="DA795" i="1" s="1"/>
  <c r="BA795" i="1"/>
  <c r="BA662" i="1"/>
  <c r="DA203" i="1"/>
  <c r="BB203" i="1"/>
  <c r="BG216" i="1"/>
  <c r="DD216" i="1" s="1"/>
  <c r="BI160" i="1"/>
  <c r="BG227" i="1"/>
  <c r="DC610" i="1"/>
  <c r="X59" i="24"/>
  <c r="X60" i="24" s="1"/>
  <c r="BC177" i="1"/>
  <c r="DB178" i="1"/>
  <c r="BC181" i="1"/>
  <c r="BN159" i="1"/>
  <c r="BO159" i="1" s="1"/>
  <c r="DG159" i="1"/>
  <c r="DC224" i="1"/>
  <c r="BE223" i="1"/>
  <c r="DC223" i="1" s="1"/>
  <c r="BF224" i="1"/>
  <c r="DA191" i="1"/>
  <c r="BB191" i="1"/>
  <c r="DC232" i="1"/>
  <c r="DF172" i="1"/>
  <c r="DF49" i="1" s="1"/>
  <c r="BL172" i="1"/>
  <c r="BM172" i="1" s="1"/>
  <c r="E25" i="23"/>
  <c r="E26" i="23" s="1"/>
  <c r="O48" i="7"/>
  <c r="AW61" i="24"/>
  <c r="DC219" i="1"/>
  <c r="BF219" i="1"/>
  <c r="BH164" i="1"/>
  <c r="BG167" i="1"/>
  <c r="DD164" i="1"/>
  <c r="DD56" i="1" s="1"/>
  <c r="DD46" i="1" s="1"/>
  <c r="BG222" i="1"/>
  <c r="BK217" i="1"/>
  <c r="BL217" i="1" s="1"/>
  <c r="BE244" i="1"/>
  <c r="BA668" i="1"/>
  <c r="DC399" i="1"/>
  <c r="BF399" i="1"/>
  <c r="BB611" i="1"/>
  <c r="F69" i="2"/>
  <c r="F70" i="2" s="1"/>
  <c r="P43" i="7"/>
  <c r="P44" i="7" s="1"/>
  <c r="DA190" i="1"/>
  <c r="BB190" i="1"/>
  <c r="BG215" i="1"/>
  <c r="BF232" i="1"/>
  <c r="E23" i="23"/>
  <c r="E72" i="2"/>
  <c r="O46" i="7"/>
  <c r="DA154" i="1"/>
  <c r="DB229" i="1"/>
  <c r="BF58" i="1"/>
  <c r="BF192" i="1" s="1"/>
  <c r="DC578" i="1"/>
  <c r="DC585" i="1" s="1"/>
  <c r="BF578" i="1"/>
  <c r="BE585" i="1"/>
  <c r="DD158" i="1"/>
  <c r="BH158" i="1"/>
  <c r="Q40" i="7"/>
  <c r="Q41" i="7" s="1"/>
  <c r="DC58" i="1"/>
  <c r="G66" i="2"/>
  <c r="G67" i="2" s="1"/>
  <c r="DA237" i="1"/>
  <c r="BB205" i="1"/>
  <c r="BB795" i="1" s="1"/>
  <c r="BA665" i="1"/>
  <c r="BA663" i="1"/>
  <c r="W61" i="24"/>
  <c r="DH180" i="1"/>
  <c r="BP180" i="1"/>
  <c r="BQ180" i="1" s="1"/>
  <c r="DI180" i="1" s="1"/>
  <c r="DA253" i="1"/>
  <c r="BB253" i="1"/>
  <c r="BA258" i="1"/>
  <c r="DA258" i="1" s="1"/>
  <c r="DB242" i="1"/>
  <c r="BD242" i="1"/>
  <c r="BH179" i="1"/>
  <c r="DD179" i="1"/>
  <c r="BB154" i="1"/>
  <c r="L73" i="2" l="1"/>
  <c r="K36" i="2"/>
  <c r="BD248" i="1"/>
  <c r="L92" i="2"/>
  <c r="K92" i="2"/>
  <c r="BF249" i="1"/>
  <c r="BD247" i="1"/>
  <c r="BE247" i="1" s="1"/>
  <c r="DB199" i="1"/>
  <c r="BB669" i="1"/>
  <c r="BD199" i="1"/>
  <c r="BD205" i="1" s="1"/>
  <c r="BD795" i="1" s="1"/>
  <c r="U66" i="24"/>
  <c r="U67" i="24" s="1"/>
  <c r="V12" i="24"/>
  <c r="AZ212" i="1"/>
  <c r="J31" i="2" s="1"/>
  <c r="BC795" i="1"/>
  <c r="BA238" i="1"/>
  <c r="BA239" i="1" s="1"/>
  <c r="BC111" i="1"/>
  <c r="BC469" i="1" s="1"/>
  <c r="BC190" i="1"/>
  <c r="DB190" i="1" s="1"/>
  <c r="BB613" i="1"/>
  <c r="BC197" i="1"/>
  <c r="DB197" i="1" s="1"/>
  <c r="BC196" i="1"/>
  <c r="DB196" i="1" s="1"/>
  <c r="BC184" i="1"/>
  <c r="DB184" i="1" s="1"/>
  <c r="BC191" i="1"/>
  <c r="DB191" i="1" s="1"/>
  <c r="BD254" i="1"/>
  <c r="DF217" i="1"/>
  <c r="BB664" i="1"/>
  <c r="BC185" i="1"/>
  <c r="DB185" i="1" s="1"/>
  <c r="BC154" i="1"/>
  <c r="DB181" i="1"/>
  <c r="DC145" i="1"/>
  <c r="E92" i="2"/>
  <c r="H55" i="7"/>
  <c r="BB397" i="1"/>
  <c r="L36" i="2" s="1"/>
  <c r="BA259" i="1"/>
  <c r="BC660" i="1"/>
  <c r="BB147" i="1"/>
  <c r="V62" i="24"/>
  <c r="BA625" i="1"/>
  <c r="DA625" i="1" s="1"/>
  <c r="BA703" i="1"/>
  <c r="DA703" i="1" s="1"/>
  <c r="DD222" i="1"/>
  <c r="BH222" i="1"/>
  <c r="BH167" i="1"/>
  <c r="BI164" i="1"/>
  <c r="BG224" i="1"/>
  <c r="BF223" i="1"/>
  <c r="AX59" i="24"/>
  <c r="AX60" i="24" s="1"/>
  <c r="DE160" i="1"/>
  <c r="DE54" i="1" s="1"/>
  <c r="DE45" i="1" s="1"/>
  <c r="BJ160" i="1"/>
  <c r="BH216" i="1"/>
  <c r="BP165" i="1"/>
  <c r="BQ165" i="1" s="1"/>
  <c r="DI165" i="1" s="1"/>
  <c r="DH165" i="1"/>
  <c r="BI170" i="1"/>
  <c r="W68" i="24"/>
  <c r="W69" i="24" s="1"/>
  <c r="BC252" i="1"/>
  <c r="BB257" i="1"/>
  <c r="BE243" i="1"/>
  <c r="X61" i="24"/>
  <c r="DB204" i="1"/>
  <c r="DA146" i="1"/>
  <c r="DA613" i="1"/>
  <c r="DD161" i="1"/>
  <c r="BG55" i="1"/>
  <c r="BG186" i="1" s="1"/>
  <c r="BC202" i="1"/>
  <c r="G65" i="2"/>
  <c r="Q39" i="7"/>
  <c r="DD53" i="1"/>
  <c r="DD44" i="1" s="1"/>
  <c r="BI179" i="1"/>
  <c r="BC253" i="1"/>
  <c r="DB253" i="1" s="1"/>
  <c r="BB258" i="1"/>
  <c r="BA677" i="1"/>
  <c r="DA665" i="1"/>
  <c r="BB665" i="1"/>
  <c r="DD215" i="1"/>
  <c r="BH215" i="1"/>
  <c r="BG232" i="1"/>
  <c r="BG399" i="1"/>
  <c r="DD399" i="1" s="1"/>
  <c r="DC244" i="1"/>
  <c r="BF244" i="1"/>
  <c r="BG219" i="1"/>
  <c r="DD219" i="1" s="1"/>
  <c r="O49" i="7"/>
  <c r="O45" i="7"/>
  <c r="DB177" i="1"/>
  <c r="BC611" i="1"/>
  <c r="BC203" i="1"/>
  <c r="DA662" i="1"/>
  <c r="BB662" i="1"/>
  <c r="DA666" i="1"/>
  <c r="BB666" i="1"/>
  <c r="DC173" i="1"/>
  <c r="BE61" i="1"/>
  <c r="BE198" i="1" s="1"/>
  <c r="BE178" i="1"/>
  <c r="AR75" i="9"/>
  <c r="AS14" i="9"/>
  <c r="DB61" i="1"/>
  <c r="F71" i="2"/>
  <c r="BF187" i="1"/>
  <c r="DC187" i="1"/>
  <c r="BC233" i="1"/>
  <c r="BC237" i="1"/>
  <c r="E33" i="23"/>
  <c r="E34" i="23" s="1"/>
  <c r="AW68" i="24"/>
  <c r="AW69" i="24" s="1"/>
  <c r="DD167" i="1"/>
  <c r="BG58" i="1"/>
  <c r="BG192" i="1" s="1"/>
  <c r="DD192" i="1" s="1"/>
  <c r="O47" i="7"/>
  <c r="O37" i="7"/>
  <c r="G38" i="2"/>
  <c r="Q13" i="7"/>
  <c r="BE248" i="1"/>
  <c r="DH159" i="1"/>
  <c r="BP159" i="1"/>
  <c r="BQ159" i="1" s="1"/>
  <c r="DI159" i="1" s="1"/>
  <c r="Y59" i="24"/>
  <c r="Y60" i="24" s="1"/>
  <c r="BD181" i="1"/>
  <c r="BD177" i="1"/>
  <c r="BI218" i="1"/>
  <c r="DD52" i="1"/>
  <c r="DD43" i="1" s="1"/>
  <c r="BE229" i="1"/>
  <c r="BD234" i="1"/>
  <c r="BD111" i="1" s="1"/>
  <c r="BE242" i="1"/>
  <c r="BI158" i="1"/>
  <c r="BB668" i="1"/>
  <c r="DA668" i="1"/>
  <c r="BN172" i="1"/>
  <c r="BO172" i="1" s="1"/>
  <c r="DG172" i="1"/>
  <c r="DG49" i="1" s="1"/>
  <c r="DD227" i="1"/>
  <c r="BH227" i="1"/>
  <c r="BG171" i="1"/>
  <c r="BF173" i="1"/>
  <c r="BC670" i="1"/>
  <c r="BB469" i="1"/>
  <c r="Y61" i="24"/>
  <c r="BF228" i="1"/>
  <c r="BI157" i="1"/>
  <c r="BH161" i="1"/>
  <c r="BH176" i="1"/>
  <c r="BH610" i="1" s="1"/>
  <c r="L64" i="2"/>
  <c r="L61" i="2"/>
  <c r="E24" i="23"/>
  <c r="M48" i="23"/>
  <c r="BB663" i="1"/>
  <c r="DA663" i="1"/>
  <c r="BG578" i="1"/>
  <c r="BF585" i="1"/>
  <c r="E73" i="2"/>
  <c r="E63" i="2"/>
  <c r="BM217" i="1"/>
  <c r="BN217" i="1" s="1"/>
  <c r="BF193" i="1"/>
  <c r="DC193" i="1"/>
  <c r="P55" i="7"/>
  <c r="P56" i="7" s="1"/>
  <c r="Q13" i="17"/>
  <c r="DA147" i="1"/>
  <c r="BG610" i="1"/>
  <c r="DD176" i="1"/>
  <c r="DG166" i="1"/>
  <c r="DG57" i="1" s="1"/>
  <c r="DG47" i="1" s="1"/>
  <c r="BN166" i="1"/>
  <c r="BO166" i="1" s="1"/>
  <c r="BF248" i="1" l="1"/>
  <c r="BF247" i="1"/>
  <c r="DC247" i="1"/>
  <c r="BD184" i="1"/>
  <c r="L74" i="2"/>
  <c r="BE199" i="1"/>
  <c r="DC199" i="1" s="1"/>
  <c r="BC669" i="1"/>
  <c r="DB669" i="1" s="1"/>
  <c r="BD190" i="1"/>
  <c r="BC664" i="1"/>
  <c r="DB664" i="1" s="1"/>
  <c r="BD185" i="1"/>
  <c r="BD197" i="1"/>
  <c r="BD196" i="1"/>
  <c r="BD191" i="1"/>
  <c r="BA696" i="1"/>
  <c r="BA697" i="1" s="1"/>
  <c r="DA697" i="1" s="1"/>
  <c r="DA238" i="1"/>
  <c r="DA239" i="1" s="1"/>
  <c r="BB625" i="1"/>
  <c r="BA212" i="1"/>
  <c r="K31" i="2" s="1"/>
  <c r="BB238" i="1"/>
  <c r="BB239" i="1" s="1"/>
  <c r="DB237" i="1"/>
  <c r="AX68" i="24" s="1"/>
  <c r="AX69" i="24" s="1"/>
  <c r="V66" i="24"/>
  <c r="V67" i="24" s="1"/>
  <c r="BC86" i="1"/>
  <c r="BC397" i="1" s="1"/>
  <c r="DA259" i="1"/>
  <c r="BA89" i="1"/>
  <c r="BA405" i="1" s="1"/>
  <c r="BA262" i="1"/>
  <c r="DA262" i="1" s="1"/>
  <c r="W62" i="24"/>
  <c r="BB703" i="1"/>
  <c r="BI227" i="1"/>
  <c r="DE227" i="1" s="1"/>
  <c r="BG193" i="1"/>
  <c r="DD193" i="1" s="1"/>
  <c r="BE254" i="1"/>
  <c r="DC254" i="1" s="1"/>
  <c r="DD58" i="1"/>
  <c r="DB469" i="1"/>
  <c r="DB111" i="1" s="1"/>
  <c r="DG217" i="1"/>
  <c r="BG244" i="1"/>
  <c r="DD244" i="1" s="1"/>
  <c r="BG228" i="1"/>
  <c r="DD228" i="1" s="1"/>
  <c r="DE218" i="1"/>
  <c r="BJ218" i="1"/>
  <c r="BD611" i="1"/>
  <c r="BC666" i="1"/>
  <c r="DB611" i="1"/>
  <c r="BC613" i="1"/>
  <c r="BD202" i="1"/>
  <c r="DB202" i="1"/>
  <c r="AW62" i="24"/>
  <c r="O50" i="7"/>
  <c r="O51" i="7" s="1"/>
  <c r="E27" i="23"/>
  <c r="E28" i="23" s="1"/>
  <c r="Q32" i="17"/>
  <c r="Q33" i="17" s="1"/>
  <c r="E74" i="2"/>
  <c r="F25" i="23"/>
  <c r="F26" i="23" s="1"/>
  <c r="AX61" i="24"/>
  <c r="P48" i="7"/>
  <c r="DB795" i="1"/>
  <c r="DD224" i="1"/>
  <c r="BH224" i="1"/>
  <c r="BG223" i="1"/>
  <c r="DD223" i="1" s="1"/>
  <c r="E64" i="2"/>
  <c r="E61" i="2"/>
  <c r="DB670" i="1"/>
  <c r="BD670" i="1"/>
  <c r="DH172" i="1"/>
  <c r="DH49" i="1" s="1"/>
  <c r="BP172" i="1"/>
  <c r="BQ172" i="1" s="1"/>
  <c r="DI172" i="1" s="1"/>
  <c r="BD154" i="1"/>
  <c r="Z59" i="24"/>
  <c r="Z60" i="24" s="1"/>
  <c r="BE177" i="1"/>
  <c r="BE181" i="1"/>
  <c r="DC178" i="1"/>
  <c r="BH399" i="1"/>
  <c r="DA677" i="1"/>
  <c r="BI216" i="1"/>
  <c r="BI167" i="1"/>
  <c r="DE164" i="1"/>
  <c r="DE56" i="1" s="1"/>
  <c r="DE46" i="1" s="1"/>
  <c r="BJ164" i="1"/>
  <c r="DD232" i="1"/>
  <c r="BD660" i="1"/>
  <c r="DB660" i="1"/>
  <c r="BC147" i="1"/>
  <c r="DD610" i="1"/>
  <c r="BH55" i="1"/>
  <c r="BI55" i="1" s="1"/>
  <c r="BJ55" i="1" s="1"/>
  <c r="BK55" i="1" s="1"/>
  <c r="BL55" i="1" s="1"/>
  <c r="BM55" i="1" s="1"/>
  <c r="BN55" i="1" s="1"/>
  <c r="BO55" i="1" s="1"/>
  <c r="BP55" i="1" s="1"/>
  <c r="BQ55" i="1" s="1"/>
  <c r="DC242" i="1"/>
  <c r="BF242" i="1"/>
  <c r="BD237" i="1"/>
  <c r="BD233" i="1"/>
  <c r="BD86" i="1" s="1"/>
  <c r="DC198" i="1"/>
  <c r="G71" i="2" s="1"/>
  <c r="BE204" i="1"/>
  <c r="DB203" i="1"/>
  <c r="BD203" i="1"/>
  <c r="BH219" i="1"/>
  <c r="DD186" i="1"/>
  <c r="DD55" i="1" s="1"/>
  <c r="BH58" i="1"/>
  <c r="BI58" i="1" s="1"/>
  <c r="BJ58" i="1" s="1"/>
  <c r="BK58" i="1" s="1"/>
  <c r="BL58" i="1" s="1"/>
  <c r="BM58" i="1" s="1"/>
  <c r="BN58" i="1" s="1"/>
  <c r="BO58" i="1" s="1"/>
  <c r="BP58" i="1" s="1"/>
  <c r="BQ58" i="1" s="1"/>
  <c r="F23" i="23"/>
  <c r="P46" i="7"/>
  <c r="F72" i="2"/>
  <c r="DB154" i="1"/>
  <c r="BC663" i="1"/>
  <c r="BI176" i="1"/>
  <c r="DE157" i="1"/>
  <c r="BI161" i="1"/>
  <c r="BJ157" i="1"/>
  <c r="BF61" i="1"/>
  <c r="BF198" i="1" s="1"/>
  <c r="BF204" i="1" s="1"/>
  <c r="BF178" i="1"/>
  <c r="BJ158" i="1"/>
  <c r="DE158" i="1"/>
  <c r="DC229" i="1"/>
  <c r="BF229" i="1"/>
  <c r="BE234" i="1"/>
  <c r="DC234" i="1" s="1"/>
  <c r="BG187" i="1"/>
  <c r="G69" i="2"/>
  <c r="G70" i="2" s="1"/>
  <c r="Q43" i="7"/>
  <c r="Q44" i="7" s="1"/>
  <c r="BH232" i="1"/>
  <c r="BI215" i="1"/>
  <c r="DE215" i="1" s="1"/>
  <c r="DC243" i="1"/>
  <c r="BF243" i="1"/>
  <c r="BJ170" i="1"/>
  <c r="DE170" i="1"/>
  <c r="DE59" i="1" s="1"/>
  <c r="DE48" i="1" s="1"/>
  <c r="BK160" i="1"/>
  <c r="BH171" i="1"/>
  <c r="DD171" i="1"/>
  <c r="BG173" i="1"/>
  <c r="O35" i="7"/>
  <c r="O38" i="7"/>
  <c r="X68" i="24"/>
  <c r="X69" i="24" s="1"/>
  <c r="AR14" i="9"/>
  <c r="AR15" i="9" s="1"/>
  <c r="AR16" i="9" s="1"/>
  <c r="AS26" i="9"/>
  <c r="AS15" i="9"/>
  <c r="AS16" i="9" s="1"/>
  <c r="AS24" i="9" s="1"/>
  <c r="BD253" i="1"/>
  <c r="BC258" i="1"/>
  <c r="DB258" i="1" s="1"/>
  <c r="BB259" i="1"/>
  <c r="BB89" i="1" s="1"/>
  <c r="DB233" i="1"/>
  <c r="DH166" i="1"/>
  <c r="DH57" i="1" s="1"/>
  <c r="DH47" i="1" s="1"/>
  <c r="BP166" i="1"/>
  <c r="BQ166" i="1" s="1"/>
  <c r="DI166" i="1" s="1"/>
  <c r="Q14" i="17"/>
  <c r="BO217" i="1"/>
  <c r="BP217" i="1" s="1"/>
  <c r="BQ217" i="1" s="1"/>
  <c r="DI217" i="1" s="1"/>
  <c r="BH578" i="1"/>
  <c r="DD578" i="1"/>
  <c r="DD585" i="1" s="1"/>
  <c r="BG585" i="1"/>
  <c r="BC668" i="1"/>
  <c r="DC248" i="1"/>
  <c r="AS75" i="9"/>
  <c r="AR76" i="9"/>
  <c r="BC662" i="1"/>
  <c r="BB677" i="1"/>
  <c r="BC665" i="1"/>
  <c r="DE179" i="1"/>
  <c r="BJ179" i="1"/>
  <c r="DB252" i="1"/>
  <c r="BD252" i="1"/>
  <c r="BC257" i="1"/>
  <c r="BI222" i="1"/>
  <c r="W12" i="24"/>
  <c r="BG249" i="1"/>
  <c r="BG248" i="1" l="1"/>
  <c r="BD669" i="1"/>
  <c r="BE205" i="1"/>
  <c r="DC205" i="1" s="1"/>
  <c r="DA696" i="1"/>
  <c r="F33" i="23"/>
  <c r="F34" i="23" s="1"/>
  <c r="BE196" i="1"/>
  <c r="BF196" i="1" s="1"/>
  <c r="DB397" i="1"/>
  <c r="X12" i="24"/>
  <c r="BC238" i="1"/>
  <c r="DB238" i="1" s="1"/>
  <c r="DB239" i="1" s="1"/>
  <c r="DC61" i="1"/>
  <c r="BE111" i="1"/>
  <c r="BE469" i="1" s="1"/>
  <c r="BE190" i="1"/>
  <c r="BF190" i="1" s="1"/>
  <c r="BD613" i="1"/>
  <c r="Y62" i="24" s="1"/>
  <c r="BE191" i="1"/>
  <c r="BF191" i="1" s="1"/>
  <c r="BF254" i="1"/>
  <c r="DI57" i="1"/>
  <c r="DI47" i="1" s="1"/>
  <c r="BC259" i="1"/>
  <c r="BC89" i="1" s="1"/>
  <c r="BC405" i="1" s="1"/>
  <c r="BH186" i="1"/>
  <c r="BH244" i="1" s="1"/>
  <c r="Q55" i="7"/>
  <c r="Q56" i="7" s="1"/>
  <c r="DD248" i="1"/>
  <c r="DB257" i="1"/>
  <c r="BE253" i="1"/>
  <c r="BD258" i="1"/>
  <c r="V14" i="24"/>
  <c r="DD187" i="1"/>
  <c r="BG229" i="1"/>
  <c r="DD229" i="1" s="1"/>
  <c r="BF234" i="1"/>
  <c r="BF111" i="1" s="1"/>
  <c r="BF469" i="1" s="1"/>
  <c r="DE53" i="1"/>
  <c r="DE44" i="1" s="1"/>
  <c r="DE52" i="1"/>
  <c r="DE43" i="1" s="1"/>
  <c r="P47" i="7"/>
  <c r="P37" i="7"/>
  <c r="BD147" i="1"/>
  <c r="BE660" i="1"/>
  <c r="BJ216" i="1"/>
  <c r="BC677" i="1"/>
  <c r="DB665" i="1"/>
  <c r="BD665" i="1"/>
  <c r="E5" i="23"/>
  <c r="DA212" i="1"/>
  <c r="AW66" i="24"/>
  <c r="AW67" i="24" s="1"/>
  <c r="O57" i="7"/>
  <c r="O58" i="7" s="1"/>
  <c r="E35" i="23"/>
  <c r="E36" i="23" s="1"/>
  <c r="DH217" i="1"/>
  <c r="BB405" i="1"/>
  <c r="DD173" i="1"/>
  <c r="BG61" i="1"/>
  <c r="BG198" i="1" s="1"/>
  <c r="BG178" i="1"/>
  <c r="BL160" i="1"/>
  <c r="DF160" i="1"/>
  <c r="BD664" i="1"/>
  <c r="BK158" i="1"/>
  <c r="AA59" i="24"/>
  <c r="AA60" i="24" s="1"/>
  <c r="BF177" i="1"/>
  <c r="BF181" i="1"/>
  <c r="BI610" i="1"/>
  <c r="DE176" i="1"/>
  <c r="F24" i="23"/>
  <c r="N48" i="23"/>
  <c r="BI219" i="1"/>
  <c r="DE219" i="1" s="1"/>
  <c r="Z61" i="24"/>
  <c r="DC204" i="1"/>
  <c r="BI224" i="1"/>
  <c r="DE224" i="1" s="1"/>
  <c r="BH223" i="1"/>
  <c r="BB262" i="1"/>
  <c r="BB212" i="1"/>
  <c r="L31" i="2" s="1"/>
  <c r="W66" i="24"/>
  <c r="W67" i="24" s="1"/>
  <c r="X62" i="24"/>
  <c r="BC625" i="1"/>
  <c r="DB625" i="1" s="1"/>
  <c r="BC703" i="1"/>
  <c r="DB703" i="1" s="1"/>
  <c r="BI232" i="1"/>
  <c r="BJ215" i="1"/>
  <c r="AA61" i="24"/>
  <c r="BG247" i="1"/>
  <c r="BD469" i="1"/>
  <c r="BG242" i="1"/>
  <c r="BK164" i="1"/>
  <c r="BJ167" i="1"/>
  <c r="BI399" i="1"/>
  <c r="AY59" i="24"/>
  <c r="AY60" i="24" s="1"/>
  <c r="DA698" i="1"/>
  <c r="M46" i="23"/>
  <c r="H52" i="7"/>
  <c r="P49" i="7"/>
  <c r="P45" i="7"/>
  <c r="DB146" i="1"/>
  <c r="DB613" i="1"/>
  <c r="BF199" i="1"/>
  <c r="BI578" i="1"/>
  <c r="BH585" i="1"/>
  <c r="AR77" i="9"/>
  <c r="AS76" i="9"/>
  <c r="AR24" i="9"/>
  <c r="AS237" i="9"/>
  <c r="BI171" i="1"/>
  <c r="BH173" i="1"/>
  <c r="DC181" i="1"/>
  <c r="BE154" i="1"/>
  <c r="F92" i="2"/>
  <c r="I55" i="7"/>
  <c r="BD666" i="1"/>
  <c r="DB666" i="1"/>
  <c r="BE252" i="1"/>
  <c r="BD257" i="1"/>
  <c r="DB668" i="1"/>
  <c r="BD668" i="1"/>
  <c r="DD249" i="1"/>
  <c r="BK179" i="1"/>
  <c r="DE222" i="1"/>
  <c r="BJ222" i="1"/>
  <c r="BK170" i="1"/>
  <c r="BE197" i="1"/>
  <c r="BJ176" i="1"/>
  <c r="BJ610" i="1" s="1"/>
  <c r="BJ161" i="1"/>
  <c r="BK157" i="1"/>
  <c r="DB663" i="1"/>
  <c r="BD663" i="1"/>
  <c r="BE185" i="1"/>
  <c r="BH192" i="1"/>
  <c r="BH193" i="1" s="1"/>
  <c r="BE203" i="1"/>
  <c r="BD397" i="1"/>
  <c r="DD145" i="1"/>
  <c r="R13" i="17"/>
  <c r="DB147" i="1"/>
  <c r="BI192" i="1"/>
  <c r="DE192" i="1" s="1"/>
  <c r="DE167" i="1"/>
  <c r="DC177" i="1"/>
  <c r="BE611" i="1"/>
  <c r="BE670" i="1"/>
  <c r="BE184" i="1"/>
  <c r="BA698" i="1"/>
  <c r="BD662" i="1"/>
  <c r="DB662" i="1"/>
  <c r="BG243" i="1"/>
  <c r="DD243" i="1" s="1"/>
  <c r="BE237" i="1"/>
  <c r="BE233" i="1"/>
  <c r="DE161" i="1"/>
  <c r="BI186" i="1"/>
  <c r="F63" i="2"/>
  <c r="F73" i="2"/>
  <c r="Y68" i="24"/>
  <c r="Y69" i="24" s="1"/>
  <c r="DE216" i="1"/>
  <c r="BE202" i="1"/>
  <c r="BB696" i="1"/>
  <c r="BK218" i="1"/>
  <c r="BJ227" i="1"/>
  <c r="BH228" i="1"/>
  <c r="BE795" i="1" l="1"/>
  <c r="DC795" i="1"/>
  <c r="G92" i="2" s="1"/>
  <c r="DB259" i="1"/>
  <c r="P11" i="7"/>
  <c r="AX12" i="24"/>
  <c r="DC196" i="1"/>
  <c r="DC190" i="1"/>
  <c r="DB86" i="1"/>
  <c r="F36" i="2"/>
  <c r="BC239" i="1"/>
  <c r="BE86" i="1"/>
  <c r="BE397" i="1" s="1"/>
  <c r="BD703" i="1"/>
  <c r="BD625" i="1"/>
  <c r="DC237" i="1"/>
  <c r="AY68" i="24" s="1"/>
  <c r="AY69" i="24" s="1"/>
  <c r="BH187" i="1"/>
  <c r="BI187" i="1" s="1"/>
  <c r="DC191" i="1"/>
  <c r="DE232" i="1"/>
  <c r="BG254" i="1"/>
  <c r="DD254" i="1" s="1"/>
  <c r="BK222" i="1"/>
  <c r="DF222" i="1" s="1"/>
  <c r="BE664" i="1"/>
  <c r="DC664" i="1" s="1"/>
  <c r="BL218" i="1"/>
  <c r="AS232" i="9"/>
  <c r="AT256" i="9" s="1"/>
  <c r="AT261" i="9" s="1"/>
  <c r="AS233" i="9"/>
  <c r="AT257" i="9" s="1"/>
  <c r="AS236" i="9"/>
  <c r="AT260" i="9" s="1"/>
  <c r="AS235" i="9"/>
  <c r="AT259" i="9" s="1"/>
  <c r="AS234" i="9"/>
  <c r="AT258" i="9" s="1"/>
  <c r="DE578" i="1"/>
  <c r="DE585" i="1" s="1"/>
  <c r="BJ578" i="1"/>
  <c r="BI585" i="1"/>
  <c r="BD677" i="1"/>
  <c r="BE665" i="1"/>
  <c r="BK216" i="1"/>
  <c r="DC660" i="1"/>
  <c r="BF660" i="1"/>
  <c r="BE147" i="1"/>
  <c r="BF233" i="1"/>
  <c r="BF86" i="1" s="1"/>
  <c r="BF237" i="1"/>
  <c r="BI228" i="1"/>
  <c r="DE228" i="1" s="1"/>
  <c r="BF184" i="1"/>
  <c r="DC184" i="1"/>
  <c r="BE663" i="1"/>
  <c r="DF179" i="1"/>
  <c r="BL179" i="1"/>
  <c r="DC154" i="1"/>
  <c r="G72" i="2"/>
  <c r="G23" i="23"/>
  <c r="G24" i="23" s="1"/>
  <c r="Q46" i="7"/>
  <c r="BF611" i="1"/>
  <c r="DF54" i="1"/>
  <c r="DF45" i="1" s="1"/>
  <c r="F61" i="2"/>
  <c r="F64" i="2"/>
  <c r="X14" i="24"/>
  <c r="DC203" i="1"/>
  <c r="BF203" i="1"/>
  <c r="BL170" i="1"/>
  <c r="DF170" i="1"/>
  <c r="DF59" i="1" s="1"/>
  <c r="DF48" i="1" s="1"/>
  <c r="BD259" i="1"/>
  <c r="BD89" i="1" s="1"/>
  <c r="BE666" i="1"/>
  <c r="BJ224" i="1"/>
  <c r="BI223" i="1"/>
  <c r="DE223" i="1" s="1"/>
  <c r="BJ219" i="1"/>
  <c r="BM160" i="1"/>
  <c r="E31" i="2"/>
  <c r="O6" i="7"/>
  <c r="DB677" i="1"/>
  <c r="BH229" i="1"/>
  <c r="BG234" i="1"/>
  <c r="BG111" i="1" s="1"/>
  <c r="DF218" i="1"/>
  <c r="DC202" i="1"/>
  <c r="BF202" i="1"/>
  <c r="Z68" i="24"/>
  <c r="Z69" i="24" s="1"/>
  <c r="DE58" i="1"/>
  <c r="BL157" i="1"/>
  <c r="BK161" i="1"/>
  <c r="BK176" i="1"/>
  <c r="DF157" i="1"/>
  <c r="DC197" i="1"/>
  <c r="BF197" i="1"/>
  <c r="BH249" i="1"/>
  <c r="BH247" i="1" s="1"/>
  <c r="DC252" i="1"/>
  <c r="BF252" i="1"/>
  <c r="BE257" i="1"/>
  <c r="AR78" i="9"/>
  <c r="AS77" i="9"/>
  <c r="AS78" i="9" s="1"/>
  <c r="DE399" i="1"/>
  <c r="BJ399" i="1"/>
  <c r="DD242" i="1"/>
  <c r="BH242" i="1"/>
  <c r="DD247" i="1"/>
  <c r="BK215" i="1"/>
  <c r="DF215" i="1" s="1"/>
  <c r="BJ232" i="1"/>
  <c r="DE610" i="1"/>
  <c r="AB59" i="24"/>
  <c r="AB60" i="24" s="1"/>
  <c r="DD178" i="1"/>
  <c r="BG181" i="1"/>
  <c r="BG177" i="1"/>
  <c r="W14" i="24"/>
  <c r="DB405" i="1"/>
  <c r="DC253" i="1"/>
  <c r="BF253" i="1"/>
  <c r="BE258" i="1"/>
  <c r="DC258" i="1" s="1"/>
  <c r="AX66" i="24"/>
  <c r="AX67" i="24" s="1"/>
  <c r="DB212" i="1"/>
  <c r="P57" i="7"/>
  <c r="P58" i="7" s="1"/>
  <c r="F35" i="23"/>
  <c r="F36" i="23" s="1"/>
  <c r="F5" i="23"/>
  <c r="BF670" i="1"/>
  <c r="DC670" i="1"/>
  <c r="R14" i="17"/>
  <c r="DC233" i="1"/>
  <c r="BI193" i="1"/>
  <c r="BJ186" i="1"/>
  <c r="BH243" i="1"/>
  <c r="BI244" i="1"/>
  <c r="BH61" i="1"/>
  <c r="BI61" i="1" s="1"/>
  <c r="BJ61" i="1" s="1"/>
  <c r="BK61" i="1" s="1"/>
  <c r="BL61" i="1" s="1"/>
  <c r="BM61" i="1" s="1"/>
  <c r="BN61" i="1" s="1"/>
  <c r="BO61" i="1" s="1"/>
  <c r="BP61" i="1" s="1"/>
  <c r="BQ61" i="1" s="1"/>
  <c r="BH178" i="1"/>
  <c r="BG199" i="1"/>
  <c r="BF205" i="1"/>
  <c r="BF795" i="1" s="1"/>
  <c r="BJ192" i="1"/>
  <c r="G25" i="23"/>
  <c r="AY61" i="24"/>
  <c r="Q48" i="7"/>
  <c r="BL158" i="1"/>
  <c r="DF158" i="1"/>
  <c r="DD198" i="1"/>
  <c r="DD61" i="1" s="1"/>
  <c r="BG204" i="1"/>
  <c r="P35" i="7"/>
  <c r="P38" i="7"/>
  <c r="BB697" i="1"/>
  <c r="BK227" i="1"/>
  <c r="DE186" i="1"/>
  <c r="DE55" i="1" s="1"/>
  <c r="BE662" i="1"/>
  <c r="DC611" i="1"/>
  <c r="BE613" i="1"/>
  <c r="Y12" i="24"/>
  <c r="DC185" i="1"/>
  <c r="BF185" i="1"/>
  <c r="BE668" i="1"/>
  <c r="DE171" i="1"/>
  <c r="BJ171" i="1"/>
  <c r="BI173" i="1"/>
  <c r="AX62" i="24"/>
  <c r="F27" i="23"/>
  <c r="F28" i="23" s="1"/>
  <c r="F74" i="2"/>
  <c r="P50" i="7"/>
  <c r="P51" i="7" s="1"/>
  <c r="R32" i="17"/>
  <c r="R33" i="17" s="1"/>
  <c r="BK167" i="1"/>
  <c r="DF164" i="1"/>
  <c r="DF56" i="1" s="1"/>
  <c r="DF46" i="1" s="1"/>
  <c r="BL164" i="1"/>
  <c r="DC469" i="1"/>
  <c r="DC111" i="1" s="1"/>
  <c r="BF154" i="1"/>
  <c r="BE669" i="1"/>
  <c r="J55" i="7" l="1"/>
  <c r="G33" i="23"/>
  <c r="G34" i="23" s="1"/>
  <c r="BM218" i="1"/>
  <c r="DG218" i="1" s="1"/>
  <c r="BC696" i="1"/>
  <c r="DB696" i="1" s="1"/>
  <c r="X66" i="24"/>
  <c r="X67" i="24" s="1"/>
  <c r="BF664" i="1"/>
  <c r="BG185" i="1"/>
  <c r="DD185" i="1" s="1"/>
  <c r="BC212" i="1"/>
  <c r="BD238" i="1"/>
  <c r="BL227" i="1"/>
  <c r="BC262" i="1"/>
  <c r="DB262" i="1" s="1"/>
  <c r="Z12" i="24"/>
  <c r="DC397" i="1"/>
  <c r="AY12" i="24" s="1"/>
  <c r="BL222" i="1"/>
  <c r="BF613" i="1"/>
  <c r="BJ244" i="1"/>
  <c r="BK171" i="1"/>
  <c r="BJ173" i="1"/>
  <c r="DC668" i="1"/>
  <c r="BF668" i="1"/>
  <c r="AB61" i="24"/>
  <c r="DD204" i="1"/>
  <c r="BH198" i="1"/>
  <c r="BG670" i="1"/>
  <c r="DE145" i="1"/>
  <c r="BK399" i="1"/>
  <c r="BG197" i="1"/>
  <c r="BD405" i="1"/>
  <c r="BM170" i="1"/>
  <c r="BF397" i="1"/>
  <c r="BL216" i="1"/>
  <c r="BK192" i="1"/>
  <c r="DF192" i="1" s="1"/>
  <c r="DF167" i="1"/>
  <c r="Z62" i="24"/>
  <c r="BE703" i="1"/>
  <c r="DC703" i="1" s="1"/>
  <c r="BE625" i="1"/>
  <c r="DC625" i="1" s="1"/>
  <c r="DF227" i="1"/>
  <c r="O48" i="23"/>
  <c r="G26" i="23"/>
  <c r="BJ193" i="1"/>
  <c r="DE193" i="1"/>
  <c r="BG253" i="1"/>
  <c r="BF258" i="1"/>
  <c r="AX14" i="24"/>
  <c r="F9" i="23"/>
  <c r="DB89" i="1"/>
  <c r="DD177" i="1"/>
  <c r="BG611" i="1"/>
  <c r="DG160" i="1"/>
  <c r="BN160" i="1"/>
  <c r="BG190" i="1"/>
  <c r="BG203" i="1"/>
  <c r="DC665" i="1"/>
  <c r="BE677" i="1"/>
  <c r="BF665" i="1"/>
  <c r="BK578" i="1"/>
  <c r="BJ585" i="1"/>
  <c r="DC146" i="1"/>
  <c r="DC613" i="1"/>
  <c r="DE244" i="1"/>
  <c r="BG154" i="1"/>
  <c r="DD181" i="1"/>
  <c r="BL215" i="1"/>
  <c r="BK232" i="1"/>
  <c r="BI242" i="1"/>
  <c r="BE259" i="1"/>
  <c r="BE89" i="1" s="1"/>
  <c r="DF52" i="1"/>
  <c r="DF43" i="1" s="1"/>
  <c r="Q37" i="7"/>
  <c r="Q47" i="7"/>
  <c r="BM179" i="1"/>
  <c r="BF147" i="1"/>
  <c r="BG660" i="1"/>
  <c r="DF53" i="1"/>
  <c r="DF44" i="1" s="1"/>
  <c r="F31" i="2"/>
  <c r="P6" i="7"/>
  <c r="DE187" i="1"/>
  <c r="BJ187" i="1"/>
  <c r="AZ59" i="24"/>
  <c r="AZ60" i="24" s="1"/>
  <c r="BG252" i="1"/>
  <c r="BF257" i="1"/>
  <c r="BK610" i="1"/>
  <c r="DF176" i="1"/>
  <c r="BG202" i="1"/>
  <c r="BG237" i="1"/>
  <c r="BG233" i="1"/>
  <c r="BK219" i="1"/>
  <c r="DC666" i="1"/>
  <c r="BF666" i="1"/>
  <c r="BG184" i="1"/>
  <c r="BB698" i="1"/>
  <c r="BM158" i="1"/>
  <c r="BG191" i="1"/>
  <c r="BI243" i="1"/>
  <c r="DF161" i="1"/>
  <c r="BK186" i="1"/>
  <c r="BI229" i="1"/>
  <c r="DE229" i="1" s="1"/>
  <c r="BH234" i="1"/>
  <c r="BH111" i="1" s="1"/>
  <c r="BG196" i="1"/>
  <c r="G73" i="2"/>
  <c r="G63" i="2"/>
  <c r="DC663" i="1"/>
  <c r="BF663" i="1"/>
  <c r="BJ228" i="1"/>
  <c r="DD234" i="1"/>
  <c r="DC147" i="1"/>
  <c r="S13" i="17"/>
  <c r="AT253" i="9"/>
  <c r="AT13" i="9"/>
  <c r="BF669" i="1"/>
  <c r="DC669" i="1"/>
  <c r="BL167" i="1"/>
  <c r="BM164" i="1"/>
  <c r="BI198" i="1"/>
  <c r="DE173" i="1"/>
  <c r="BI178" i="1"/>
  <c r="DC662" i="1"/>
  <c r="BF662" i="1"/>
  <c r="Q45" i="7"/>
  <c r="Q49" i="7"/>
  <c r="DD199" i="1"/>
  <c r="BG205" i="1"/>
  <c r="DD205" i="1" s="1"/>
  <c r="AC59" i="24"/>
  <c r="AC60" i="24" s="1"/>
  <c r="BH181" i="1"/>
  <c r="BH177" i="1"/>
  <c r="BI249" i="1"/>
  <c r="BJ249" i="1" s="1"/>
  <c r="BH248" i="1"/>
  <c r="BM157" i="1"/>
  <c r="BL161" i="1"/>
  <c r="BL176" i="1"/>
  <c r="BL610" i="1" s="1"/>
  <c r="BK224" i="1"/>
  <c r="BJ223" i="1"/>
  <c r="DC257" i="1"/>
  <c r="AA68" i="24"/>
  <c r="AA69" i="24" s="1"/>
  <c r="DF216" i="1"/>
  <c r="G36" i="2" l="1"/>
  <c r="BN218" i="1"/>
  <c r="Q11" i="7"/>
  <c r="BC697" i="1"/>
  <c r="DB697" i="1" s="1"/>
  <c r="BM227" i="1"/>
  <c r="DG227" i="1" s="1"/>
  <c r="DC86" i="1"/>
  <c r="BF625" i="1"/>
  <c r="BG664" i="1"/>
  <c r="DD664" i="1" s="1"/>
  <c r="AA62" i="24"/>
  <c r="DD795" i="1"/>
  <c r="BD239" i="1"/>
  <c r="BF703" i="1"/>
  <c r="BK249" i="1"/>
  <c r="DF249" i="1" s="1"/>
  <c r="DD237" i="1"/>
  <c r="AZ68" i="24" s="1"/>
  <c r="AZ69" i="24" s="1"/>
  <c r="BG669" i="1"/>
  <c r="DD669" i="1" s="1"/>
  <c r="BG86" i="1"/>
  <c r="BG397" i="1" s="1"/>
  <c r="BG795" i="1"/>
  <c r="DF58" i="1"/>
  <c r="BK193" i="1"/>
  <c r="DF193" i="1" s="1"/>
  <c r="G64" i="2"/>
  <c r="G61" i="2"/>
  <c r="BJ243" i="1"/>
  <c r="BN158" i="1"/>
  <c r="DG158" i="1"/>
  <c r="DD184" i="1"/>
  <c r="DD202" i="1"/>
  <c r="Q35" i="7"/>
  <c r="Q38" i="7"/>
  <c r="DD154" i="1"/>
  <c r="DD203" i="1"/>
  <c r="DF399" i="1"/>
  <c r="BL399" i="1"/>
  <c r="AZ61" i="24"/>
  <c r="BL171" i="1"/>
  <c r="DF171" i="1"/>
  <c r="BK173" i="1"/>
  <c r="BH611" i="1"/>
  <c r="BG662" i="1"/>
  <c r="DF186" i="1"/>
  <c r="DF55" i="1" s="1"/>
  <c r="DF219" i="1"/>
  <c r="BL219" i="1"/>
  <c r="BE405" i="1"/>
  <c r="DC405" i="1" s="1"/>
  <c r="BJ242" i="1"/>
  <c r="BI247" i="1"/>
  <c r="DD253" i="1"/>
  <c r="BG258" i="1"/>
  <c r="DD258" i="1" s="1"/>
  <c r="Y14" i="24"/>
  <c r="BK228" i="1"/>
  <c r="BH233" i="1"/>
  <c r="BH86" i="1" s="1"/>
  <c r="BH237" i="1"/>
  <c r="BH469" i="1"/>
  <c r="DD191" i="1"/>
  <c r="BG666" i="1"/>
  <c r="BK187" i="1"/>
  <c r="BK244" i="1"/>
  <c r="AY62" i="24"/>
  <c r="Q50" i="7"/>
  <c r="Q51" i="7" s="1"/>
  <c r="S32" i="17"/>
  <c r="S33" i="17" s="1"/>
  <c r="G74" i="2"/>
  <c r="G27" i="23"/>
  <c r="G28" i="23" s="1"/>
  <c r="DD190" i="1"/>
  <c r="DF232" i="1"/>
  <c r="BM216" i="1"/>
  <c r="BM161" i="1"/>
  <c r="DG157" i="1"/>
  <c r="BM176" i="1"/>
  <c r="BN157" i="1"/>
  <c r="DF610" i="1"/>
  <c r="BM215" i="1"/>
  <c r="DG215" i="1" s="1"/>
  <c r="BL232" i="1"/>
  <c r="BO160" i="1"/>
  <c r="DD233" i="1"/>
  <c r="DG170" i="1"/>
  <c r="DG59" i="1" s="1"/>
  <c r="DG48" i="1" s="1"/>
  <c r="BN170" i="1"/>
  <c r="DD670" i="1"/>
  <c r="BG668" i="1"/>
  <c r="BL186" i="1"/>
  <c r="BH154" i="1"/>
  <c r="AD59" i="24"/>
  <c r="AD60" i="24" s="1"/>
  <c r="BI177" i="1"/>
  <c r="DE178" i="1"/>
  <c r="BI181" i="1"/>
  <c r="BN164" i="1"/>
  <c r="BM167" i="1"/>
  <c r="DG164" i="1"/>
  <c r="DG56" i="1" s="1"/>
  <c r="DG46" i="1" s="1"/>
  <c r="BI248" i="1"/>
  <c r="BJ248" i="1" s="1"/>
  <c r="BL192" i="1"/>
  <c r="AT14" i="9"/>
  <c r="AT15" i="9" s="1"/>
  <c r="AT16" i="9" s="1"/>
  <c r="AT75" i="9"/>
  <c r="BG663" i="1"/>
  <c r="BJ229" i="1"/>
  <c r="BI234" i="1"/>
  <c r="BI111" i="1" s="1"/>
  <c r="AB68" i="24"/>
  <c r="AB69" i="24" s="1"/>
  <c r="BF259" i="1"/>
  <c r="BF89" i="1" s="1"/>
  <c r="DD660" i="1"/>
  <c r="BH660" i="1"/>
  <c r="BG147" i="1"/>
  <c r="DG179" i="1"/>
  <c r="BN179" i="1"/>
  <c r="BL578" i="1"/>
  <c r="DF578" i="1"/>
  <c r="BF677" i="1"/>
  <c r="BG665" i="1"/>
  <c r="DG54" i="1"/>
  <c r="DG45" i="1" s="1"/>
  <c r="AA12" i="24"/>
  <c r="BH199" i="1"/>
  <c r="BH204" i="1"/>
  <c r="BH202" i="1" s="1"/>
  <c r="BH254" i="1"/>
  <c r="BH253" i="1" s="1"/>
  <c r="DF224" i="1"/>
  <c r="BL224" i="1"/>
  <c r="BK223" i="1"/>
  <c r="DF223" i="1" s="1"/>
  <c r="DE249" i="1"/>
  <c r="DE198" i="1"/>
  <c r="DE61" i="1" s="1"/>
  <c r="BI204" i="1"/>
  <c r="S14" i="17"/>
  <c r="DD196" i="1"/>
  <c r="DE243" i="1"/>
  <c r="BG469" i="1"/>
  <c r="DD252" i="1"/>
  <c r="BG257" i="1"/>
  <c r="DE242" i="1"/>
  <c r="DC677" i="1"/>
  <c r="DD611" i="1"/>
  <c r="BG613" i="1"/>
  <c r="DC259" i="1"/>
  <c r="DD197" i="1"/>
  <c r="BJ198" i="1"/>
  <c r="BJ204" i="1" s="1"/>
  <c r="BJ178" i="1"/>
  <c r="BM222" i="1"/>
  <c r="BO218" i="1" l="1"/>
  <c r="DH218" i="1" s="1"/>
  <c r="BC698" i="1"/>
  <c r="BN227" i="1"/>
  <c r="BH664" i="1"/>
  <c r="AB12" i="24"/>
  <c r="DD397" i="1"/>
  <c r="DD86" i="1" s="1"/>
  <c r="BD212" i="1"/>
  <c r="Y66" i="24"/>
  <c r="Y67" i="24" s="1"/>
  <c r="BD262" i="1"/>
  <c r="BD696" i="1"/>
  <c r="BL193" i="1"/>
  <c r="BN216" i="1"/>
  <c r="BE238" i="1"/>
  <c r="BH197" i="1"/>
  <c r="BI197" i="1" s="1"/>
  <c r="BJ197" i="1" s="1"/>
  <c r="BH669" i="1"/>
  <c r="BL249" i="1"/>
  <c r="BL228" i="1"/>
  <c r="BH613" i="1"/>
  <c r="BG259" i="1"/>
  <c r="BG89" i="1" s="1"/>
  <c r="BG405" i="1" s="1"/>
  <c r="DG216" i="1"/>
  <c r="BH252" i="1"/>
  <c r="BH257" i="1" s="1"/>
  <c r="BH258" i="1"/>
  <c r="BI202" i="1"/>
  <c r="AT24" i="9"/>
  <c r="AT237" i="9"/>
  <c r="BI199" i="1"/>
  <c r="BH205" i="1"/>
  <c r="BH795" i="1" s="1"/>
  <c r="T13" i="17"/>
  <c r="DD147" i="1"/>
  <c r="DG52" i="1"/>
  <c r="DG43" i="1" s="1"/>
  <c r="BL187" i="1"/>
  <c r="DF187" i="1"/>
  <c r="BM171" i="1"/>
  <c r="BL173" i="1"/>
  <c r="BH184" i="1"/>
  <c r="BI184" i="1" s="1"/>
  <c r="BO158" i="1"/>
  <c r="AE59" i="24"/>
  <c r="AE60" i="24" s="1"/>
  <c r="BJ181" i="1"/>
  <c r="BJ177" i="1"/>
  <c r="DD469" i="1"/>
  <c r="DD111" i="1" s="1"/>
  <c r="BH196" i="1"/>
  <c r="BI196" i="1" s="1"/>
  <c r="BL223" i="1"/>
  <c r="BM224" i="1"/>
  <c r="BM578" i="1"/>
  <c r="BH663" i="1"/>
  <c r="DD663" i="1"/>
  <c r="DG167" i="1"/>
  <c r="BM192" i="1"/>
  <c r="DG192" i="1" s="1"/>
  <c r="BA59" i="24"/>
  <c r="BA60" i="24" s="1"/>
  <c r="DH160" i="1"/>
  <c r="BP160" i="1"/>
  <c r="BP218" i="1" s="1"/>
  <c r="DG161" i="1"/>
  <c r="BM186" i="1"/>
  <c r="BH191" i="1"/>
  <c r="BI191" i="1" s="1"/>
  <c r="BN222" i="1"/>
  <c r="DG222" i="1"/>
  <c r="DB698" i="1"/>
  <c r="N46" i="23"/>
  <c r="I52" i="7"/>
  <c r="DD257" i="1"/>
  <c r="BI233" i="1"/>
  <c r="BI86" i="1" s="1"/>
  <c r="BI237" i="1"/>
  <c r="DE237" i="1" s="1"/>
  <c r="AT76" i="9"/>
  <c r="BO164" i="1"/>
  <c r="BN167" i="1"/>
  <c r="DE177" i="1"/>
  <c r="BI611" i="1"/>
  <c r="BH670" i="1"/>
  <c r="BK242" i="1"/>
  <c r="DF242" i="1" s="1"/>
  <c r="DD146" i="1"/>
  <c r="DD613" i="1"/>
  <c r="AE61" i="24"/>
  <c r="BG677" i="1"/>
  <c r="DD665" i="1"/>
  <c r="BH665" i="1"/>
  <c r="BO179" i="1"/>
  <c r="BF405" i="1"/>
  <c r="BK229" i="1"/>
  <c r="BJ234" i="1"/>
  <c r="DE248" i="1"/>
  <c r="BN176" i="1"/>
  <c r="BN610" i="1" s="1"/>
  <c r="BN161" i="1"/>
  <c r="BO157" i="1"/>
  <c r="BH190" i="1"/>
  <c r="BI190" i="1" s="1"/>
  <c r="DE234" i="1"/>
  <c r="DF228" i="1"/>
  <c r="AY14" i="24"/>
  <c r="DC89" i="1"/>
  <c r="G9" i="23"/>
  <c r="DD662" i="1"/>
  <c r="BH662" i="1"/>
  <c r="BH203" i="1"/>
  <c r="BK243" i="1"/>
  <c r="DF243" i="1" s="1"/>
  <c r="AB62" i="24"/>
  <c r="BG625" i="1"/>
  <c r="DD625" i="1" s="1"/>
  <c r="BG703" i="1"/>
  <c r="DD703" i="1" s="1"/>
  <c r="BI254" i="1"/>
  <c r="BJ254" i="1" s="1"/>
  <c r="BK248" i="1"/>
  <c r="BO170" i="1"/>
  <c r="BM232" i="1"/>
  <c r="BN215" i="1"/>
  <c r="DF145" i="1"/>
  <c r="BM610" i="1"/>
  <c r="DG176" i="1"/>
  <c r="AC68" i="24"/>
  <c r="AC69" i="24" s="1"/>
  <c r="BK198" i="1"/>
  <c r="DF173" i="1"/>
  <c r="BK178" i="1"/>
  <c r="BM399" i="1"/>
  <c r="AD61" i="24"/>
  <c r="DE204" i="1"/>
  <c r="AC61" i="24"/>
  <c r="BH185" i="1"/>
  <c r="BI185" i="1" s="1"/>
  <c r="BH147" i="1"/>
  <c r="BI660" i="1"/>
  <c r="BI154" i="1"/>
  <c r="DE181" i="1"/>
  <c r="BH668" i="1"/>
  <c r="DD668" i="1"/>
  <c r="DF244" i="1"/>
  <c r="BL244" i="1"/>
  <c r="BH666" i="1"/>
  <c r="DD666" i="1"/>
  <c r="BJ247" i="1"/>
  <c r="DE247" i="1"/>
  <c r="Z14" i="24"/>
  <c r="BM219" i="1"/>
  <c r="DG53" i="1"/>
  <c r="DG44" i="1" s="1"/>
  <c r="BO227" i="1" l="1"/>
  <c r="DH227" i="1" s="1"/>
  <c r="BL248" i="1"/>
  <c r="AZ12" i="24"/>
  <c r="BM228" i="1"/>
  <c r="DG228" i="1" s="1"/>
  <c r="DD259" i="1"/>
  <c r="BO216" i="1"/>
  <c r="DH216" i="1" s="1"/>
  <c r="DE197" i="1"/>
  <c r="DC238" i="1"/>
  <c r="DC239" i="1" s="1"/>
  <c r="BE239" i="1"/>
  <c r="AC62" i="24"/>
  <c r="BD697" i="1"/>
  <c r="BM193" i="1"/>
  <c r="DG193" i="1" s="1"/>
  <c r="BH703" i="1"/>
  <c r="BH625" i="1"/>
  <c r="DE233" i="1"/>
  <c r="DE254" i="1"/>
  <c r="DF248" i="1"/>
  <c r="DG232" i="1"/>
  <c r="BJ86" i="1"/>
  <c r="BH397" i="1"/>
  <c r="BN186" i="1"/>
  <c r="BJ111" i="1"/>
  <c r="BI469" i="1"/>
  <c r="DG186" i="1"/>
  <c r="DG55" i="1" s="1"/>
  <c r="BM187" i="1"/>
  <c r="BK247" i="1"/>
  <c r="BL247" i="1" s="1"/>
  <c r="BI668" i="1"/>
  <c r="DE154" i="1"/>
  <c r="BI147" i="1"/>
  <c r="BJ147" i="1" s="1"/>
  <c r="BK147" i="1" s="1"/>
  <c r="BL147" i="1" s="1"/>
  <c r="BM147" i="1" s="1"/>
  <c r="BN147" i="1" s="1"/>
  <c r="BO147" i="1" s="1"/>
  <c r="BP147" i="1" s="1"/>
  <c r="BQ147" i="1" s="1"/>
  <c r="BJ660" i="1"/>
  <c r="DE660" i="1"/>
  <c r="BH259" i="1"/>
  <c r="BH89" i="1" s="1"/>
  <c r="BI662" i="1"/>
  <c r="DH179" i="1"/>
  <c r="BP179" i="1"/>
  <c r="AT77" i="9"/>
  <c r="BJ191" i="1"/>
  <c r="DE191" i="1"/>
  <c r="DG58" i="1"/>
  <c r="DH158" i="1"/>
  <c r="BP158" i="1"/>
  <c r="BJ199" i="1"/>
  <c r="DE199" i="1"/>
  <c r="BI205" i="1"/>
  <c r="BI253" i="1"/>
  <c r="DH170" i="1"/>
  <c r="DH59" i="1" s="1"/>
  <c r="DH48" i="1" s="1"/>
  <c r="BP170" i="1"/>
  <c r="BL243" i="1"/>
  <c r="BH677" i="1"/>
  <c r="BI665" i="1"/>
  <c r="BN192" i="1"/>
  <c r="BJ184" i="1"/>
  <c r="DE184" i="1"/>
  <c r="DG219" i="1"/>
  <c r="BN219" i="1"/>
  <c r="AF59" i="24"/>
  <c r="AF60" i="24" s="1"/>
  <c r="BK181" i="1"/>
  <c r="BK177" i="1"/>
  <c r="DF178" i="1"/>
  <c r="BO215" i="1"/>
  <c r="DH215" i="1" s="1"/>
  <c r="BN232" i="1"/>
  <c r="BI252" i="1"/>
  <c r="AA14" i="24"/>
  <c r="DD405" i="1"/>
  <c r="BI664" i="1"/>
  <c r="AZ62" i="24"/>
  <c r="T32" i="17"/>
  <c r="T33" i="17" s="1"/>
  <c r="BI670" i="1"/>
  <c r="DH164" i="1"/>
  <c r="DH56" i="1" s="1"/>
  <c r="DH46" i="1" s="1"/>
  <c r="BO167" i="1"/>
  <c r="BP164" i="1"/>
  <c r="BO222" i="1"/>
  <c r="DH222" i="1" s="1"/>
  <c r="BL198" i="1"/>
  <c r="BL204" i="1" s="1"/>
  <c r="BL178" i="1"/>
  <c r="BI669" i="1"/>
  <c r="DG610" i="1"/>
  <c r="BK254" i="1"/>
  <c r="DF254" i="1" s="1"/>
  <c r="DF229" i="1"/>
  <c r="BL229" i="1"/>
  <c r="BK234" i="1"/>
  <c r="DF234" i="1" s="1"/>
  <c r="BI666" i="1"/>
  <c r="BM249" i="1"/>
  <c r="DG399" i="1"/>
  <c r="BN399" i="1"/>
  <c r="BN578" i="1"/>
  <c r="DG578" i="1"/>
  <c r="DG224" i="1"/>
  <c r="BN224" i="1"/>
  <c r="BM223" i="1"/>
  <c r="DG223" i="1" s="1"/>
  <c r="BM244" i="1"/>
  <c r="DE185" i="1"/>
  <c r="BJ185" i="1"/>
  <c r="BI203" i="1"/>
  <c r="DD677" i="1"/>
  <c r="AD68" i="24"/>
  <c r="AD69" i="24" s="1"/>
  <c r="BQ160" i="1"/>
  <c r="BI663" i="1"/>
  <c r="BJ196" i="1"/>
  <c r="DE196" i="1"/>
  <c r="BJ611" i="1"/>
  <c r="BJ613" i="1" s="1"/>
  <c r="DG171" i="1"/>
  <c r="BN171" i="1"/>
  <c r="BM173" i="1"/>
  <c r="T14" i="17"/>
  <c r="AT233" i="9"/>
  <c r="AU257" i="9" s="1"/>
  <c r="AT236" i="9"/>
  <c r="AU260" i="9" s="1"/>
  <c r="AT235" i="9"/>
  <c r="AU259" i="9" s="1"/>
  <c r="AT232" i="9"/>
  <c r="AU256" i="9" s="1"/>
  <c r="AU261" i="9" s="1"/>
  <c r="AT234" i="9"/>
  <c r="AU258" i="9" s="1"/>
  <c r="BJ202" i="1"/>
  <c r="DE202" i="1"/>
  <c r="BA61" i="24"/>
  <c r="DF198" i="1"/>
  <c r="DF61" i="1" s="1"/>
  <c r="BK204" i="1"/>
  <c r="BA68" i="24"/>
  <c r="BA69" i="24" s="1"/>
  <c r="DE190" i="1"/>
  <c r="BJ190" i="1"/>
  <c r="BO161" i="1"/>
  <c r="BO176" i="1"/>
  <c r="DH157" i="1"/>
  <c r="BP157" i="1"/>
  <c r="BJ237" i="1"/>
  <c r="BJ233" i="1"/>
  <c r="AB14" i="24"/>
  <c r="BL242" i="1"/>
  <c r="DE611" i="1"/>
  <c r="BI613" i="1"/>
  <c r="BK86" i="1"/>
  <c r="BI397" i="1"/>
  <c r="DH54" i="1"/>
  <c r="DH45" i="1" s="1"/>
  <c r="BJ154" i="1"/>
  <c r="BF238" i="1" l="1"/>
  <c r="BF239" i="1" s="1"/>
  <c r="BN228" i="1"/>
  <c r="BP216" i="1"/>
  <c r="BE696" i="1"/>
  <c r="DC696" i="1" s="1"/>
  <c r="BN193" i="1"/>
  <c r="BD698" i="1"/>
  <c r="DC212" i="1"/>
  <c r="Q57" i="7"/>
  <c r="Q58" i="7" s="1"/>
  <c r="G5" i="23"/>
  <c r="AY66" i="24"/>
  <c r="AY67" i="24" s="1"/>
  <c r="G35" i="23"/>
  <c r="G36" i="23" s="1"/>
  <c r="BE262" i="1"/>
  <c r="DC262" i="1" s="1"/>
  <c r="BE212" i="1"/>
  <c r="Z66" i="24"/>
  <c r="Z67" i="24" s="1"/>
  <c r="BO399" i="1"/>
  <c r="DH399" i="1" s="1"/>
  <c r="DF247" i="1"/>
  <c r="BK196" i="1"/>
  <c r="BL196" i="1" s="1"/>
  <c r="BK190" i="1"/>
  <c r="BL190" i="1" s="1"/>
  <c r="BK185" i="1"/>
  <c r="BL185" i="1" s="1"/>
  <c r="AE62" i="24"/>
  <c r="DH52" i="1"/>
  <c r="DH43" i="1" s="1"/>
  <c r="AF61" i="24"/>
  <c r="DF204" i="1"/>
  <c r="BK202" i="1"/>
  <c r="DE203" i="1"/>
  <c r="BJ203" i="1"/>
  <c r="BO578" i="1"/>
  <c r="DG249" i="1"/>
  <c r="BN249" i="1"/>
  <c r="BL254" i="1"/>
  <c r="BP222" i="1"/>
  <c r="DF177" i="1"/>
  <c r="BK611" i="1"/>
  <c r="DE665" i="1"/>
  <c r="BI677" i="1"/>
  <c r="BJ665" i="1"/>
  <c r="BK199" i="1"/>
  <c r="BJ205" i="1"/>
  <c r="BJ795" i="1" s="1"/>
  <c r="DH53" i="1"/>
  <c r="DH44" i="1" s="1"/>
  <c r="BQ179" i="1"/>
  <c r="BK660" i="1"/>
  <c r="BM247" i="1"/>
  <c r="BO610" i="1"/>
  <c r="DH176" i="1"/>
  <c r="BQ164" i="1"/>
  <c r="BP167" i="1"/>
  <c r="DE664" i="1"/>
  <c r="BJ664" i="1"/>
  <c r="BK197" i="1"/>
  <c r="DF181" i="1"/>
  <c r="BK154" i="1"/>
  <c r="BM243" i="1"/>
  <c r="DE668" i="1"/>
  <c r="BJ668" i="1"/>
  <c r="BN187" i="1"/>
  <c r="DG187" i="1"/>
  <c r="AD12" i="24"/>
  <c r="AE68" i="24"/>
  <c r="AE69" i="24" s="1"/>
  <c r="DH161" i="1"/>
  <c r="BO186" i="1"/>
  <c r="DI160" i="1"/>
  <c r="BN223" i="1"/>
  <c r="BO224" i="1"/>
  <c r="BK237" i="1"/>
  <c r="BK233" i="1"/>
  <c r="DF233" i="1" s="1"/>
  <c r="DG145" i="1"/>
  <c r="DE669" i="1"/>
  <c r="BJ669" i="1"/>
  <c r="BO192" i="1"/>
  <c r="DH192" i="1" s="1"/>
  <c r="DH167" i="1"/>
  <c r="AZ14" i="24"/>
  <c r="DD89" i="1"/>
  <c r="BJ252" i="1"/>
  <c r="DE252" i="1"/>
  <c r="BI257" i="1"/>
  <c r="BK191" i="1"/>
  <c r="BH405" i="1"/>
  <c r="DE469" i="1"/>
  <c r="DE111" i="1" s="1"/>
  <c r="AC12" i="24"/>
  <c r="DE397" i="1"/>
  <c r="BO219" i="1"/>
  <c r="BK184" i="1"/>
  <c r="BM248" i="1"/>
  <c r="BK111" i="1"/>
  <c r="BJ469" i="1"/>
  <c r="BL86" i="1"/>
  <c r="BJ397" i="1"/>
  <c r="BM86" i="1"/>
  <c r="BM229" i="1"/>
  <c r="DG229" i="1" s="1"/>
  <c r="BL234" i="1"/>
  <c r="AD62" i="24"/>
  <c r="BJ625" i="1"/>
  <c r="BJ703" i="1"/>
  <c r="BI703" i="1"/>
  <c r="DE703" i="1" s="1"/>
  <c r="BI625" i="1"/>
  <c r="DE625" i="1" s="1"/>
  <c r="BM242" i="1"/>
  <c r="BP161" i="1"/>
  <c r="BQ157" i="1"/>
  <c r="BP176" i="1"/>
  <c r="BP610" i="1" s="1"/>
  <c r="AU253" i="9"/>
  <c r="AV261" i="9"/>
  <c r="BM198" i="1"/>
  <c r="DG173" i="1"/>
  <c r="BM178" i="1"/>
  <c r="DE666" i="1"/>
  <c r="BJ666" i="1"/>
  <c r="AG59" i="24"/>
  <c r="AG60" i="24" s="1"/>
  <c r="BL181" i="1"/>
  <c r="BL177" i="1"/>
  <c r="DE670" i="1"/>
  <c r="BJ670" i="1"/>
  <c r="BQ170" i="1"/>
  <c r="BP227" i="1"/>
  <c r="DE205" i="1"/>
  <c r="DE795" i="1" s="1"/>
  <c r="BI795" i="1"/>
  <c r="U13" i="17"/>
  <c r="DE147" i="1"/>
  <c r="DG244" i="1"/>
  <c r="BN244" i="1"/>
  <c r="DE146" i="1"/>
  <c r="DE613" i="1"/>
  <c r="BO171" i="1"/>
  <c r="BN173" i="1"/>
  <c r="BJ663" i="1"/>
  <c r="DE663" i="1"/>
  <c r="AG61" i="24"/>
  <c r="BP215" i="1"/>
  <c r="BO232" i="1"/>
  <c r="BB59" i="24"/>
  <c r="DE253" i="1"/>
  <c r="BJ253" i="1"/>
  <c r="BI258" i="1"/>
  <c r="DE258" i="1" s="1"/>
  <c r="BQ158" i="1"/>
  <c r="AT78" i="9"/>
  <c r="DE662" i="1"/>
  <c r="BJ662" i="1"/>
  <c r="BQ218" i="1"/>
  <c r="DI218" i="1" s="1"/>
  <c r="BQ216" i="1" l="1"/>
  <c r="DI216" i="1" s="1"/>
  <c r="BG238" i="1"/>
  <c r="DD238" i="1" s="1"/>
  <c r="BO228" i="1"/>
  <c r="DH228" i="1" s="1"/>
  <c r="BE697" i="1"/>
  <c r="BE698" i="1" s="1"/>
  <c r="BP399" i="1"/>
  <c r="DF196" i="1"/>
  <c r="Q6" i="7"/>
  <c r="G31" i="2"/>
  <c r="BF262" i="1"/>
  <c r="BF696" i="1"/>
  <c r="AA66" i="24"/>
  <c r="AA67" i="24" s="1"/>
  <c r="BF212" i="1"/>
  <c r="DF190" i="1"/>
  <c r="DF185" i="1"/>
  <c r="BK664" i="1"/>
  <c r="DF664" i="1" s="1"/>
  <c r="BN247" i="1"/>
  <c r="BK669" i="1"/>
  <c r="DF669" i="1" s="1"/>
  <c r="BK397" i="1"/>
  <c r="AF12" i="24" s="1"/>
  <c r="DH58" i="1"/>
  <c r="BO193" i="1"/>
  <c r="DH193" i="1" s="1"/>
  <c r="BK670" i="1"/>
  <c r="BP171" i="1"/>
  <c r="DH171" i="1"/>
  <c r="BO173" i="1"/>
  <c r="DG198" i="1"/>
  <c r="DG61" i="1" s="1"/>
  <c r="BM204" i="1"/>
  <c r="BM196" i="1" s="1"/>
  <c r="BQ161" i="1"/>
  <c r="BQ176" i="1"/>
  <c r="DI157" i="1"/>
  <c r="BO86" i="1"/>
  <c r="BK252" i="1"/>
  <c r="DF252" i="1" s="1"/>
  <c r="BJ257" i="1"/>
  <c r="DF154" i="1"/>
  <c r="BL197" i="1"/>
  <c r="DF197" i="1"/>
  <c r="DG247" i="1"/>
  <c r="BM254" i="1"/>
  <c r="DG254" i="1" s="1"/>
  <c r="BK253" i="1"/>
  <c r="DF253" i="1" s="1"/>
  <c r="BJ258" i="1"/>
  <c r="BK663" i="1"/>
  <c r="DI170" i="1"/>
  <c r="DI59" i="1" s="1"/>
  <c r="DI48" i="1" s="1"/>
  <c r="BL237" i="1"/>
  <c r="BL233" i="1"/>
  <c r="BL397" i="1" s="1"/>
  <c r="DF184" i="1"/>
  <c r="BL184" i="1"/>
  <c r="BL191" i="1"/>
  <c r="DF191" i="1"/>
  <c r="DF660" i="1"/>
  <c r="BL660" i="1"/>
  <c r="BO249" i="1"/>
  <c r="BK203" i="1"/>
  <c r="BN86" i="1"/>
  <c r="DG248" i="1"/>
  <c r="BN248" i="1"/>
  <c r="BP186" i="1"/>
  <c r="BL111" i="1"/>
  <c r="BK469" i="1"/>
  <c r="AC14" i="24"/>
  <c r="AF68" i="24"/>
  <c r="AF69" i="24" s="1"/>
  <c r="DI54" i="1"/>
  <c r="DI45" i="1" s="1"/>
  <c r="BB61" i="24"/>
  <c r="BN198" i="1"/>
  <c r="BN204" i="1" s="1"/>
  <c r="BN178" i="1"/>
  <c r="BA12" i="24"/>
  <c r="DE86" i="1"/>
  <c r="BQ167" i="1"/>
  <c r="DI164" i="1"/>
  <c r="DI56" i="1" s="1"/>
  <c r="DI46" i="1" s="1"/>
  <c r="DE677" i="1"/>
  <c r="BA62" i="24"/>
  <c r="U32" i="17"/>
  <c r="U33" i="17" s="1"/>
  <c r="V33" i="17" s="1"/>
  <c r="BP232" i="1"/>
  <c r="BQ215" i="1"/>
  <c r="DH232" i="1"/>
  <c r="BL611" i="1"/>
  <c r="BL613" i="1" s="1"/>
  <c r="AV253" i="9"/>
  <c r="AV13" i="9"/>
  <c r="BN229" i="1"/>
  <c r="BM234" i="1"/>
  <c r="DH219" i="1"/>
  <c r="BP219" i="1"/>
  <c r="DF237" i="1"/>
  <c r="BO187" i="1"/>
  <c r="DG243" i="1"/>
  <c r="BN243" i="1"/>
  <c r="BL199" i="1"/>
  <c r="DF199" i="1"/>
  <c r="BK205" i="1"/>
  <c r="BQ222" i="1"/>
  <c r="DI222" i="1" s="1"/>
  <c r="DH224" i="1"/>
  <c r="BO223" i="1"/>
  <c r="DH223" i="1" s="1"/>
  <c r="BP224" i="1"/>
  <c r="DH186" i="1"/>
  <c r="DH55" i="1" s="1"/>
  <c r="BK668" i="1"/>
  <c r="DI158" i="1"/>
  <c r="BK662" i="1"/>
  <c r="BO244" i="1"/>
  <c r="U14" i="17"/>
  <c r="V14" i="17" s="1"/>
  <c r="W14" i="17" s="1"/>
  <c r="X14" i="17" s="1"/>
  <c r="Y14" i="17" s="1"/>
  <c r="Z14" i="17" s="1"/>
  <c r="BQ227" i="1"/>
  <c r="DI227" i="1" s="1"/>
  <c r="BL154" i="1"/>
  <c r="BK666" i="1"/>
  <c r="AH59" i="24"/>
  <c r="AH60" i="24" s="1"/>
  <c r="DG178" i="1"/>
  <c r="BM181" i="1"/>
  <c r="BM177" i="1"/>
  <c r="DG242" i="1"/>
  <c r="BN242" i="1"/>
  <c r="AE12" i="24"/>
  <c r="DE257" i="1"/>
  <c r="BI259" i="1"/>
  <c r="BI89" i="1" s="1"/>
  <c r="BP192" i="1"/>
  <c r="DH610" i="1"/>
  <c r="DI179" i="1"/>
  <c r="BJ677" i="1"/>
  <c r="BK665" i="1"/>
  <c r="DF611" i="1"/>
  <c r="BK613" i="1"/>
  <c r="BP578" i="1"/>
  <c r="DH578" i="1"/>
  <c r="DF202" i="1"/>
  <c r="BL202" i="1"/>
  <c r="BG239" i="1" l="1"/>
  <c r="DC697" i="1"/>
  <c r="J52" i="7" s="1"/>
  <c r="BM191" i="1"/>
  <c r="BN191" i="1" s="1"/>
  <c r="DF397" i="1"/>
  <c r="BB12" i="24" s="1"/>
  <c r="BM185" i="1"/>
  <c r="BN185" i="1" s="1"/>
  <c r="BP193" i="1"/>
  <c r="BL664" i="1"/>
  <c r="BF697" i="1"/>
  <c r="BM190" i="1"/>
  <c r="BN190" i="1" s="1"/>
  <c r="BM184" i="1"/>
  <c r="DG184" i="1" s="1"/>
  <c r="V13" i="17"/>
  <c r="V32" i="17" s="1"/>
  <c r="BQ232" i="1"/>
  <c r="BP249" i="1"/>
  <c r="BM197" i="1"/>
  <c r="BN197" i="1" s="1"/>
  <c r="AG12" i="24"/>
  <c r="DG181" i="1"/>
  <c r="BM154" i="1"/>
  <c r="BM199" i="1"/>
  <c r="BL205" i="1"/>
  <c r="BL795" i="1" s="1"/>
  <c r="DF663" i="1"/>
  <c r="BL663" i="1"/>
  <c r="BQ86" i="1"/>
  <c r="DI52" i="1"/>
  <c r="DI43" i="1" s="1"/>
  <c r="BN196" i="1"/>
  <c r="DG196" i="1"/>
  <c r="DE259" i="1"/>
  <c r="BC59" i="24"/>
  <c r="BL662" i="1"/>
  <c r="DF662" i="1"/>
  <c r="BL668" i="1"/>
  <c r="DF668" i="1"/>
  <c r="BP187" i="1"/>
  <c r="DH187" i="1"/>
  <c r="BO229" i="1"/>
  <c r="BN234" i="1"/>
  <c r="AU13" i="9"/>
  <c r="BM660" i="1"/>
  <c r="AG68" i="24"/>
  <c r="AG69" i="24" s="1"/>
  <c r="BN254" i="1"/>
  <c r="BJ259" i="1"/>
  <c r="DI176" i="1"/>
  <c r="BQ610" i="1"/>
  <c r="BO198" i="1"/>
  <c r="DH173" i="1"/>
  <c r="BO178" i="1"/>
  <c r="BL670" i="1"/>
  <c r="DF670" i="1"/>
  <c r="BM233" i="1"/>
  <c r="BM397" i="1" s="1"/>
  <c r="BM237" i="1"/>
  <c r="DH244" i="1"/>
  <c r="BP244" i="1"/>
  <c r="AI61" i="24"/>
  <c r="BL469" i="1"/>
  <c r="BM111" i="1"/>
  <c r="DF469" i="1"/>
  <c r="DF111" i="1" s="1"/>
  <c r="BQ399" i="1"/>
  <c r="DI399" i="1" s="1"/>
  <c r="DF665" i="1"/>
  <c r="BK677" i="1"/>
  <c r="BL665" i="1"/>
  <c r="BO248" i="1"/>
  <c r="BO247" i="1"/>
  <c r="BP86" i="1"/>
  <c r="BL203" i="1"/>
  <c r="DF203" i="1"/>
  <c r="DF147" i="1"/>
  <c r="BL252" i="1"/>
  <c r="BK257" i="1"/>
  <c r="DI161" i="1"/>
  <c r="BQ186" i="1"/>
  <c r="BQ171" i="1"/>
  <c r="BP173" i="1"/>
  <c r="AI59" i="24"/>
  <c r="AI60" i="24" s="1"/>
  <c r="BN177" i="1"/>
  <c r="BN181" i="1"/>
  <c r="BM202" i="1"/>
  <c r="AF62" i="24"/>
  <c r="BL703" i="1"/>
  <c r="BL625" i="1"/>
  <c r="BK625" i="1"/>
  <c r="DF625" i="1" s="1"/>
  <c r="BK703" i="1"/>
  <c r="DF703" i="1" s="1"/>
  <c r="BQ224" i="1"/>
  <c r="BQ223" i="1" s="1"/>
  <c r="BP223" i="1"/>
  <c r="DF205" i="1"/>
  <c r="DF795" i="1" s="1"/>
  <c r="BK795" i="1"/>
  <c r="BO243" i="1"/>
  <c r="BB68" i="24"/>
  <c r="BQ219" i="1"/>
  <c r="W33" i="17"/>
  <c r="AH61" i="24"/>
  <c r="DG204" i="1"/>
  <c r="BP228" i="1"/>
  <c r="BO242" i="1"/>
  <c r="DH145" i="1"/>
  <c r="BQ578" i="1"/>
  <c r="BL666" i="1"/>
  <c r="DF666" i="1"/>
  <c r="DI53" i="1"/>
  <c r="DI44" i="1" s="1"/>
  <c r="DF146" i="1"/>
  <c r="DF613" i="1"/>
  <c r="DG177" i="1"/>
  <c r="BM611" i="1"/>
  <c r="AG62" i="24"/>
  <c r="DI215" i="1"/>
  <c r="DI167" i="1"/>
  <c r="BQ192" i="1"/>
  <c r="DI192" i="1" s="1"/>
  <c r="DH249" i="1"/>
  <c r="DG234" i="1"/>
  <c r="BL253" i="1"/>
  <c r="BK258" i="1"/>
  <c r="DF258" i="1" s="1"/>
  <c r="BL669" i="1"/>
  <c r="BG262" i="1" l="1"/>
  <c r="DD262" i="1" s="1"/>
  <c r="AB66" i="24"/>
  <c r="AB67" i="24" s="1"/>
  <c r="BG212" i="1"/>
  <c r="BG696" i="1"/>
  <c r="BG697" i="1" s="1"/>
  <c r="BG698" i="1" s="1"/>
  <c r="DD239" i="1"/>
  <c r="AZ66" i="24" s="1"/>
  <c r="AZ67" i="24" s="1"/>
  <c r="BH238" i="1"/>
  <c r="O46" i="23"/>
  <c r="DC698" i="1"/>
  <c r="DF86" i="1"/>
  <c r="DG185" i="1"/>
  <c r="BP248" i="1"/>
  <c r="DG191" i="1"/>
  <c r="DG197" i="1"/>
  <c r="BM664" i="1"/>
  <c r="DG664" i="1" s="1"/>
  <c r="BF698" i="1"/>
  <c r="W13" i="17"/>
  <c r="X13" i="17" s="1"/>
  <c r="BN184" i="1"/>
  <c r="DG190" i="1"/>
  <c r="DI232" i="1"/>
  <c r="BM669" i="1"/>
  <c r="DG669" i="1" s="1"/>
  <c r="DH248" i="1"/>
  <c r="BM668" i="1"/>
  <c r="BI405" i="1"/>
  <c r="BJ89" i="1"/>
  <c r="BM663" i="1"/>
  <c r="DG154" i="1"/>
  <c r="BB62" i="24"/>
  <c r="BN154" i="1"/>
  <c r="BP198" i="1"/>
  <c r="BP204" i="1" s="1"/>
  <c r="BP178" i="1"/>
  <c r="BM252" i="1"/>
  <c r="BL257" i="1"/>
  <c r="DF677" i="1"/>
  <c r="AH68" i="24"/>
  <c r="AH69" i="24" s="1"/>
  <c r="AJ59" i="24"/>
  <c r="AJ60" i="24" s="1"/>
  <c r="BO177" i="1"/>
  <c r="BO181" i="1"/>
  <c r="DH178" i="1"/>
  <c r="BO254" i="1"/>
  <c r="BL677" i="1"/>
  <c r="BM665" i="1"/>
  <c r="DI219" i="1"/>
  <c r="BN611" i="1"/>
  <c r="BN613" i="1" s="1"/>
  <c r="DI171" i="1"/>
  <c r="BQ173" i="1"/>
  <c r="AH12" i="24"/>
  <c r="DG397" i="1"/>
  <c r="BM666" i="1"/>
  <c r="BP229" i="1"/>
  <c r="BO234" i="1"/>
  <c r="DH234" i="1" s="1"/>
  <c r="BM253" i="1"/>
  <c r="BL258" i="1"/>
  <c r="DI578" i="1"/>
  <c r="DI186" i="1"/>
  <c r="DI55" i="1" s="1"/>
  <c r="BM469" i="1"/>
  <c r="BN111" i="1"/>
  <c r="BQ244" i="1"/>
  <c r="DI244" i="1" s="1"/>
  <c r="DH198" i="1"/>
  <c r="DH61" i="1" s="1"/>
  <c r="BO204" i="1"/>
  <c r="BO185" i="1" s="1"/>
  <c r="DG660" i="1"/>
  <c r="BN660" i="1"/>
  <c r="AU75" i="9"/>
  <c r="AV14" i="9"/>
  <c r="BQ187" i="1"/>
  <c r="DG199" i="1"/>
  <c r="BN199" i="1"/>
  <c r="BM205" i="1"/>
  <c r="BP242" i="1"/>
  <c r="DH243" i="1"/>
  <c r="BP243" i="1"/>
  <c r="DF257" i="1"/>
  <c r="BK259" i="1"/>
  <c r="DG611" i="1"/>
  <c r="BM613" i="1"/>
  <c r="BQ228" i="1"/>
  <c r="DI228" i="1" s="1"/>
  <c r="DI224" i="1"/>
  <c r="DG202" i="1"/>
  <c r="BN202" i="1"/>
  <c r="BQ249" i="1"/>
  <c r="DI249" i="1" s="1"/>
  <c r="BM203" i="1"/>
  <c r="DG233" i="1"/>
  <c r="BN237" i="1"/>
  <c r="BN233" i="1"/>
  <c r="BN397" i="1" s="1"/>
  <c r="BM662" i="1"/>
  <c r="DI58" i="1"/>
  <c r="DH242" i="1"/>
  <c r="BC61" i="24"/>
  <c r="X33" i="17"/>
  <c r="DI223" i="1"/>
  <c r="BP247" i="1"/>
  <c r="DH247" i="1"/>
  <c r="BM670" i="1"/>
  <c r="DI610" i="1"/>
  <c r="DG237" i="1"/>
  <c r="DH229" i="1"/>
  <c r="BQ193" i="1"/>
  <c r="DI193" i="1" s="1"/>
  <c r="DD697" i="1" l="1"/>
  <c r="DD696" i="1"/>
  <c r="DD212" i="1"/>
  <c r="BH239" i="1"/>
  <c r="BN664" i="1"/>
  <c r="W32" i="17"/>
  <c r="BP254" i="1"/>
  <c r="BQ247" i="1"/>
  <c r="DI247" i="1" s="1"/>
  <c r="DG469" i="1"/>
  <c r="DG111" i="1" s="1"/>
  <c r="DF259" i="1"/>
  <c r="AJ61" i="24"/>
  <c r="DH204" i="1"/>
  <c r="BN253" i="1"/>
  <c r="BM258" i="1"/>
  <c r="DG258" i="1" s="1"/>
  <c r="BQ229" i="1"/>
  <c r="BQ234" i="1" s="1"/>
  <c r="BP234" i="1"/>
  <c r="BN665" i="1"/>
  <c r="DG665" i="1"/>
  <c r="BM677" i="1"/>
  <c r="BO154" i="1"/>
  <c r="DH181" i="1"/>
  <c r="BN252" i="1"/>
  <c r="BM257" i="1"/>
  <c r="DI145" i="1"/>
  <c r="BN203" i="1"/>
  <c r="DG203" i="1"/>
  <c r="AV75" i="9"/>
  <c r="AU76" i="9"/>
  <c r="AU77" i="9" s="1"/>
  <c r="DG147" i="1"/>
  <c r="BN669" i="1"/>
  <c r="BO190" i="1"/>
  <c r="DH177" i="1"/>
  <c r="BO611" i="1"/>
  <c r="AK59" i="24"/>
  <c r="AK60" i="24" s="1"/>
  <c r="BP177" i="1"/>
  <c r="BP181" i="1"/>
  <c r="BK89" i="1"/>
  <c r="BJ405" i="1"/>
  <c r="BO197" i="1"/>
  <c r="BC12" i="24"/>
  <c r="DG86" i="1"/>
  <c r="AI62" i="24"/>
  <c r="BO191" i="1"/>
  <c r="AD14" i="24"/>
  <c r="DE405" i="1"/>
  <c r="AV26" i="9"/>
  <c r="AU14" i="9"/>
  <c r="AU15" i="9" s="1"/>
  <c r="AU16" i="9" s="1"/>
  <c r="AV15" i="9"/>
  <c r="AV16" i="9" s="1"/>
  <c r="AV24" i="9" s="1"/>
  <c r="BN670" i="1"/>
  <c r="DG670" i="1"/>
  <c r="AI68" i="24"/>
  <c r="AI69" i="24" s="1"/>
  <c r="AH62" i="24"/>
  <c r="BN625" i="1"/>
  <c r="BN703" i="1"/>
  <c r="BM625" i="1"/>
  <c r="DG625" i="1" s="1"/>
  <c r="BM703" i="1"/>
  <c r="DG703" i="1" s="1"/>
  <c r="BO111" i="1"/>
  <c r="BN469" i="1"/>
  <c r="BN666" i="1"/>
  <c r="DG666" i="1"/>
  <c r="BO196" i="1"/>
  <c r="BQ248" i="1"/>
  <c r="DI248" i="1" s="1"/>
  <c r="AK61" i="24"/>
  <c r="DG668" i="1"/>
  <c r="BN668" i="1"/>
  <c r="X32" i="17"/>
  <c r="Y33" i="17"/>
  <c r="AI12" i="24"/>
  <c r="Y13" i="17"/>
  <c r="BQ242" i="1"/>
  <c r="DI242" i="1" s="1"/>
  <c r="BO202" i="1"/>
  <c r="DG146" i="1"/>
  <c r="DG613" i="1"/>
  <c r="DG205" i="1"/>
  <c r="DG795" i="1" s="1"/>
  <c r="BM795" i="1"/>
  <c r="DI187" i="1"/>
  <c r="BQ198" i="1"/>
  <c r="DI173" i="1"/>
  <c r="BQ178" i="1"/>
  <c r="BO184" i="1"/>
  <c r="DH254" i="1"/>
  <c r="BL259" i="1"/>
  <c r="BN663" i="1"/>
  <c r="DG663" i="1"/>
  <c r="DH185" i="1"/>
  <c r="BP185" i="1"/>
  <c r="BO660" i="1"/>
  <c r="BC68" i="24"/>
  <c r="DG662" i="1"/>
  <c r="BN662" i="1"/>
  <c r="BQ243" i="1"/>
  <c r="DI243" i="1" s="1"/>
  <c r="BO199" i="1"/>
  <c r="BN205" i="1"/>
  <c r="BN795" i="1" s="1"/>
  <c r="DG253" i="1"/>
  <c r="BO237" i="1"/>
  <c r="BO233" i="1"/>
  <c r="BD59" i="24"/>
  <c r="DG252" i="1"/>
  <c r="DD698" i="1" l="1"/>
  <c r="BI238" i="1"/>
  <c r="DE238" i="1" s="1"/>
  <c r="BH262" i="1"/>
  <c r="AC66" i="24"/>
  <c r="AC67" i="24" s="1"/>
  <c r="BH212" i="1"/>
  <c r="BH696" i="1"/>
  <c r="BQ254" i="1"/>
  <c r="DI254" i="1" s="1"/>
  <c r="DI229" i="1"/>
  <c r="AU78" i="9"/>
  <c r="AV77" i="9"/>
  <c r="AV78" i="9" s="1"/>
  <c r="BO668" i="1"/>
  <c r="AU24" i="9"/>
  <c r="AV237" i="9"/>
  <c r="BO252" i="1"/>
  <c r="BN257" i="1"/>
  <c r="AL59" i="24"/>
  <c r="AL60" i="24" s="1"/>
  <c r="DI178" i="1"/>
  <c r="BQ181" i="1"/>
  <c r="BQ177" i="1"/>
  <c r="BC62" i="24"/>
  <c r="DH196" i="1"/>
  <c r="BP196" i="1"/>
  <c r="BO670" i="1"/>
  <c r="AE14" i="24"/>
  <c r="DG677" i="1"/>
  <c r="BQ233" i="1"/>
  <c r="BQ237" i="1"/>
  <c r="BP191" i="1"/>
  <c r="DH191" i="1"/>
  <c r="BL89" i="1"/>
  <c r="BK405" i="1"/>
  <c r="DF405" i="1" s="1"/>
  <c r="DH154" i="1"/>
  <c r="DI198" i="1"/>
  <c r="DI61" i="1" s="1"/>
  <c r="BQ204" i="1"/>
  <c r="BQ185" i="1" s="1"/>
  <c r="DI185" i="1" s="1"/>
  <c r="DH197" i="1"/>
  <c r="BP197" i="1"/>
  <c r="BP154" i="1"/>
  <c r="BP190" i="1"/>
  <c r="DH190" i="1"/>
  <c r="BO665" i="1"/>
  <c r="BN677" i="1"/>
  <c r="BO253" i="1"/>
  <c r="BN258" i="1"/>
  <c r="DH202" i="1"/>
  <c r="BP202" i="1"/>
  <c r="BO469" i="1"/>
  <c r="DH469" i="1" s="1"/>
  <c r="DH111" i="1" s="1"/>
  <c r="BP111" i="1"/>
  <c r="BA14" i="24"/>
  <c r="DE89" i="1"/>
  <c r="DH233" i="1"/>
  <c r="BO397" i="1"/>
  <c r="AJ68" i="24"/>
  <c r="AJ69" i="24" s="1"/>
  <c r="BO662" i="1"/>
  <c r="DH660" i="1"/>
  <c r="BP660" i="1"/>
  <c r="BO666" i="1"/>
  <c r="DH237" i="1"/>
  <c r="BP611" i="1"/>
  <c r="BP613" i="1" s="1"/>
  <c r="DH611" i="1"/>
  <c r="BO613" i="1"/>
  <c r="BO669" i="1"/>
  <c r="AV76" i="9"/>
  <c r="BD61" i="24"/>
  <c r="BO664" i="1"/>
  <c r="BP184" i="1"/>
  <c r="DH184" i="1"/>
  <c r="DH199" i="1"/>
  <c r="BP199" i="1"/>
  <c r="BO205" i="1"/>
  <c r="BO663" i="1"/>
  <c r="Z13" i="17"/>
  <c r="Y32" i="17"/>
  <c r="Z33" i="17"/>
  <c r="BO203" i="1"/>
  <c r="DG257" i="1"/>
  <c r="BM259" i="1"/>
  <c r="BP233" i="1"/>
  <c r="BP397" i="1" s="1"/>
  <c r="BP237" i="1"/>
  <c r="DI234" i="1"/>
  <c r="BI239" i="1" l="1"/>
  <c r="BH697" i="1"/>
  <c r="BQ190" i="1"/>
  <c r="DI190" i="1" s="1"/>
  <c r="BQ184" i="1"/>
  <c r="DI184" i="1" s="1"/>
  <c r="BQ197" i="1"/>
  <c r="DI197" i="1" s="1"/>
  <c r="BB14" i="24"/>
  <c r="DF89" i="1"/>
  <c r="BP252" i="1"/>
  <c r="BO257" i="1"/>
  <c r="DH668" i="1"/>
  <c r="BP668" i="1"/>
  <c r="AK12" i="24"/>
  <c r="BD68" i="24"/>
  <c r="DH666" i="1"/>
  <c r="BP666" i="1"/>
  <c r="BQ111" i="1"/>
  <c r="BP469" i="1"/>
  <c r="AL61" i="24"/>
  <c r="DI204" i="1"/>
  <c r="BQ191" i="1"/>
  <c r="DI191" i="1" s="1"/>
  <c r="AL68" i="24"/>
  <c r="AK62" i="24"/>
  <c r="BP664" i="1"/>
  <c r="DH664" i="1"/>
  <c r="BQ660" i="1"/>
  <c r="AF14" i="24"/>
  <c r="AV232" i="9"/>
  <c r="AW256" i="9" s="1"/>
  <c r="AW261" i="9" s="1"/>
  <c r="AV235" i="9"/>
  <c r="AW259" i="9" s="1"/>
  <c r="AV234" i="9"/>
  <c r="AW258" i="9" s="1"/>
  <c r="AV233" i="9"/>
  <c r="AW257" i="9" s="1"/>
  <c r="AV236" i="9"/>
  <c r="AW260" i="9" s="1"/>
  <c r="BQ199" i="1"/>
  <c r="BP205" i="1"/>
  <c r="BP795" i="1" s="1"/>
  <c r="BP670" i="1"/>
  <c r="DH670" i="1"/>
  <c r="DH147" i="1"/>
  <c r="BP662" i="1"/>
  <c r="DH662" i="1"/>
  <c r="BQ202" i="1"/>
  <c r="DH253" i="1"/>
  <c r="BP253" i="1"/>
  <c r="BO258" i="1"/>
  <c r="DH258" i="1" s="1"/>
  <c r="BM89" i="1"/>
  <c r="BL405" i="1"/>
  <c r="DI233" i="1"/>
  <c r="BQ397" i="1"/>
  <c r="DI397" i="1" s="1"/>
  <c r="DI177" i="1"/>
  <c r="BQ611" i="1"/>
  <c r="DG259" i="1"/>
  <c r="AK68" i="24"/>
  <c r="AK69" i="24" s="1"/>
  <c r="DI237" i="1"/>
  <c r="AA13" i="17"/>
  <c r="DH663" i="1"/>
  <c r="BP663" i="1"/>
  <c r="DH669" i="1"/>
  <c r="BP669" i="1"/>
  <c r="AJ62" i="24"/>
  <c r="BP703" i="1"/>
  <c r="BP625" i="1"/>
  <c r="BO703" i="1"/>
  <c r="DH703" i="1" s="1"/>
  <c r="BO625" i="1"/>
  <c r="DH625" i="1" s="1"/>
  <c r="DI181" i="1"/>
  <c r="BQ154" i="1"/>
  <c r="BN259" i="1"/>
  <c r="BP203" i="1"/>
  <c r="DH203" i="1"/>
  <c r="Z32" i="17"/>
  <c r="AA33" i="17"/>
  <c r="DH205" i="1"/>
  <c r="DH795" i="1" s="1"/>
  <c r="BO795" i="1"/>
  <c r="DH146" i="1"/>
  <c r="DH613" i="1"/>
  <c r="AJ12" i="24"/>
  <c r="DH397" i="1"/>
  <c r="BP665" i="1"/>
  <c r="DH665" i="1"/>
  <c r="BO677" i="1"/>
  <c r="BQ196" i="1"/>
  <c r="DI196" i="1" s="1"/>
  <c r="BE59" i="24"/>
  <c r="DH252" i="1"/>
  <c r="DE239" i="1" l="1"/>
  <c r="BI262" i="1"/>
  <c r="DE262" i="1" s="1"/>
  <c r="BI212" i="1"/>
  <c r="BJ238" i="1"/>
  <c r="BJ239" i="1" s="1"/>
  <c r="BK238" i="1" s="1"/>
  <c r="BK239" i="1" s="1"/>
  <c r="BI696" i="1"/>
  <c r="BI697" i="1" s="1"/>
  <c r="AD66" i="24"/>
  <c r="AD67" i="24" s="1"/>
  <c r="BH698" i="1"/>
  <c r="BQ669" i="1"/>
  <c r="DI669" i="1" s="1"/>
  <c r="AA32" i="17"/>
  <c r="BE12" i="24"/>
  <c r="DI86" i="1"/>
  <c r="DH677" i="1"/>
  <c r="BQ668" i="1"/>
  <c r="BD12" i="24"/>
  <c r="DH86" i="1"/>
  <c r="BD62" i="24"/>
  <c r="BQ203" i="1"/>
  <c r="AG14" i="24"/>
  <c r="DI202" i="1"/>
  <c r="DH257" i="1"/>
  <c r="BO259" i="1"/>
  <c r="DH259" i="1" s="1"/>
  <c r="BP677" i="1"/>
  <c r="BQ665" i="1"/>
  <c r="BM405" i="1"/>
  <c r="DG405" i="1" s="1"/>
  <c r="BN89" i="1"/>
  <c r="BQ662" i="1"/>
  <c r="DI660" i="1"/>
  <c r="BE61" i="24"/>
  <c r="BQ252" i="1"/>
  <c r="BP257" i="1"/>
  <c r="DI611" i="1"/>
  <c r="BQ613" i="1"/>
  <c r="DI199" i="1"/>
  <c r="BQ205" i="1"/>
  <c r="BQ469" i="1"/>
  <c r="BQ666" i="1"/>
  <c r="DI154" i="1"/>
  <c r="BQ253" i="1"/>
  <c r="BP258" i="1"/>
  <c r="BQ670" i="1"/>
  <c r="BQ664" i="1"/>
  <c r="AL69" i="24"/>
  <c r="BQ663" i="1"/>
  <c r="AD13" i="17"/>
  <c r="BE68" i="24"/>
  <c r="AL12" i="24"/>
  <c r="AW13" i="9"/>
  <c r="AW253" i="9"/>
  <c r="BA66" i="24" l="1"/>
  <c r="BA67" i="24" s="1"/>
  <c r="DE212" i="1"/>
  <c r="DE696" i="1"/>
  <c r="DF239" i="1"/>
  <c r="BB66" i="24" s="1"/>
  <c r="AE66" i="24"/>
  <c r="AE67" i="24" s="1"/>
  <c r="BK212" i="1"/>
  <c r="BL238" i="1"/>
  <c r="BL239" i="1" s="1"/>
  <c r="BK262" i="1"/>
  <c r="AF66" i="24"/>
  <c r="AF67" i="24" s="1"/>
  <c r="DF238" i="1"/>
  <c r="BJ696" i="1"/>
  <c r="BJ697" i="1" s="1"/>
  <c r="BJ212" i="1"/>
  <c r="BJ262" i="1"/>
  <c r="BI698" i="1"/>
  <c r="DE697" i="1"/>
  <c r="DI252" i="1"/>
  <c r="BQ257" i="1"/>
  <c r="DI257" i="1" s="1"/>
  <c r="DI147" i="1"/>
  <c r="DI205" i="1"/>
  <c r="DI795" i="1" s="1"/>
  <c r="BQ795" i="1"/>
  <c r="DI469" i="1"/>
  <c r="DI111" i="1" s="1"/>
  <c r="DI668" i="1"/>
  <c r="DI664" i="1"/>
  <c r="BO89" i="1"/>
  <c r="BN405" i="1"/>
  <c r="BC14" i="24"/>
  <c r="DG89" i="1"/>
  <c r="DI666" i="1"/>
  <c r="AH14" i="24"/>
  <c r="AW14" i="9"/>
  <c r="AW15" i="9" s="1"/>
  <c r="AW16" i="9" s="1"/>
  <c r="AW75" i="9"/>
  <c r="DI663" i="1"/>
  <c r="DI253" i="1"/>
  <c r="BQ258" i="1"/>
  <c r="DI258" i="1" s="1"/>
  <c r="AL62" i="24"/>
  <c r="BQ703" i="1"/>
  <c r="DI703" i="1" s="1"/>
  <c r="BQ625" i="1"/>
  <c r="DI625" i="1" s="1"/>
  <c r="BQ677" i="1"/>
  <c r="DI665" i="1"/>
  <c r="DI670" i="1"/>
  <c r="DI146" i="1"/>
  <c r="DI613" i="1"/>
  <c r="BP259" i="1"/>
  <c r="DI662" i="1"/>
  <c r="DI203" i="1"/>
  <c r="DF262" i="1" l="1"/>
  <c r="DF212" i="1"/>
  <c r="BK696" i="1"/>
  <c r="BK697" i="1" s="1"/>
  <c r="BJ698" i="1"/>
  <c r="DE698" i="1"/>
  <c r="AW24" i="9"/>
  <c r="AW237" i="9"/>
  <c r="BM238" i="1"/>
  <c r="AG66" i="24"/>
  <c r="AG67" i="24" s="1"/>
  <c r="BL212" i="1"/>
  <c r="BL262" i="1"/>
  <c r="BL696" i="1"/>
  <c r="AI14" i="24"/>
  <c r="BP89" i="1"/>
  <c r="BO405" i="1"/>
  <c r="AW76" i="9"/>
  <c r="BQ259" i="1"/>
  <c r="BE62" i="24"/>
  <c r="DI677" i="1"/>
  <c r="DF696" i="1" l="1"/>
  <c r="DF697" i="1"/>
  <c r="BK698" i="1"/>
  <c r="DH405" i="1"/>
  <c r="AW232" i="9"/>
  <c r="AX256" i="9" s="1"/>
  <c r="AX261" i="9" s="1"/>
  <c r="AW236" i="9"/>
  <c r="AX260" i="9" s="1"/>
  <c r="AW233" i="9"/>
  <c r="AX257" i="9" s="1"/>
  <c r="AW235" i="9"/>
  <c r="AX259" i="9" s="1"/>
  <c r="AW234" i="9"/>
  <c r="AX258" i="9" s="1"/>
  <c r="AW77" i="9"/>
  <c r="DI259" i="1"/>
  <c r="AJ14" i="24"/>
  <c r="BM239" i="1"/>
  <c r="BM696" i="1" s="1"/>
  <c r="DG238" i="1"/>
  <c r="BQ89" i="1"/>
  <c r="BQ405" i="1" s="1"/>
  <c r="BP405" i="1"/>
  <c r="BL697" i="1"/>
  <c r="DF698" i="1" l="1"/>
  <c r="BL698" i="1"/>
  <c r="BM697" i="1"/>
  <c r="AX253" i="9"/>
  <c r="AY261" i="9"/>
  <c r="AW78" i="9"/>
  <c r="AK14" i="24"/>
  <c r="DI405" i="1"/>
  <c r="BD14" i="24"/>
  <c r="DH89" i="1"/>
  <c r="AL14" i="24"/>
  <c r="DG696" i="1"/>
  <c r="BN238" i="1"/>
  <c r="AH66" i="24"/>
  <c r="AH67" i="24" s="1"/>
  <c r="BM262" i="1"/>
  <c r="BM212" i="1"/>
  <c r="DG239" i="1"/>
  <c r="BE14" i="24" l="1"/>
  <c r="DI89" i="1"/>
  <c r="BM698" i="1"/>
  <c r="AY13" i="9"/>
  <c r="AY253" i="9"/>
  <c r="DG212" i="1"/>
  <c r="BC66" i="24"/>
  <c r="DG262" i="1"/>
  <c r="BN239" i="1"/>
  <c r="DG697" i="1"/>
  <c r="DG698" i="1" l="1"/>
  <c r="AX13" i="9"/>
  <c r="BO238" i="1"/>
  <c r="BN262" i="1"/>
  <c r="BN212" i="1"/>
  <c r="AI66" i="24"/>
  <c r="AI67" i="24" s="1"/>
  <c r="BN696" i="1"/>
  <c r="BO239" i="1" l="1"/>
  <c r="BO696" i="1" s="1"/>
  <c r="DH238" i="1"/>
  <c r="BN697" i="1"/>
  <c r="AX75" i="9"/>
  <c r="AY14" i="9"/>
  <c r="BO697" i="1" l="1"/>
  <c r="DH697" i="1" s="1"/>
  <c r="AX14" i="9"/>
  <c r="AX15" i="9" s="1"/>
  <c r="AX16" i="9" s="1"/>
  <c r="AY26" i="9"/>
  <c r="AY15" i="9"/>
  <c r="AY16" i="9" s="1"/>
  <c r="AY24" i="9" s="1"/>
  <c r="DH696" i="1"/>
  <c r="AY75" i="9"/>
  <c r="AX76" i="9"/>
  <c r="BN698" i="1"/>
  <c r="BP238" i="1"/>
  <c r="BO212" i="1"/>
  <c r="AJ66" i="24"/>
  <c r="AJ67" i="24" s="1"/>
  <c r="BO262" i="1"/>
  <c r="DH239" i="1"/>
  <c r="DH212" i="1" l="1"/>
  <c r="BD66" i="24"/>
  <c r="BO698" i="1"/>
  <c r="AX24" i="9"/>
  <c r="AY237" i="9"/>
  <c r="DH698" i="1"/>
  <c r="AX77" i="9"/>
  <c r="AY76" i="9"/>
  <c r="DH262" i="1"/>
  <c r="BP239" i="1"/>
  <c r="AY235" i="9" l="1"/>
  <c r="AZ259" i="9" s="1"/>
  <c r="AY233" i="9"/>
  <c r="AZ257" i="9" s="1"/>
  <c r="AY234" i="9"/>
  <c r="AZ258" i="9" s="1"/>
  <c r="AY236" i="9"/>
  <c r="AZ260" i="9" s="1"/>
  <c r="AY232" i="9"/>
  <c r="AZ256" i="9" s="1"/>
  <c r="AZ261" i="9" s="1"/>
  <c r="BQ238" i="1"/>
  <c r="AK66" i="24"/>
  <c r="AK67" i="24" s="1"/>
  <c r="BP262" i="1"/>
  <c r="BP212" i="1"/>
  <c r="BP696" i="1"/>
  <c r="AX78" i="9"/>
  <c r="AY77" i="9"/>
  <c r="AY78" i="9" s="1"/>
  <c r="BQ239" i="1" l="1"/>
  <c r="DI238" i="1"/>
  <c r="BP697" i="1"/>
  <c r="AZ13" i="9"/>
  <c r="AZ253" i="9"/>
  <c r="BQ262" i="1" l="1"/>
  <c r="BQ212" i="1"/>
  <c r="AL66" i="24"/>
  <c r="AL67" i="24" s="1"/>
  <c r="DI239" i="1"/>
  <c r="AZ14" i="9"/>
  <c r="AZ75" i="9"/>
  <c r="BP698" i="1"/>
  <c r="BQ696" i="1"/>
  <c r="AZ15" i="9" l="1"/>
  <c r="AZ16" i="9" s="1"/>
  <c r="BE66" i="24"/>
  <c r="DI212" i="1"/>
  <c r="DI262" i="1"/>
  <c r="BQ697" i="1"/>
  <c r="DI696" i="1"/>
  <c r="AZ76" i="9"/>
  <c r="AZ77" i="9" s="1"/>
  <c r="AZ78" i="9" l="1"/>
  <c r="AZ24" i="9"/>
  <c r="AZ237" i="9"/>
  <c r="BQ698" i="1"/>
  <c r="DI697" i="1"/>
  <c r="AZ232" i="9" l="1"/>
  <c r="BA256" i="9" s="1"/>
  <c r="BA261" i="9" s="1"/>
  <c r="AZ234" i="9"/>
  <c r="BA258" i="9" s="1"/>
  <c r="AZ235" i="9"/>
  <c r="BA259" i="9" s="1"/>
  <c r="AZ236" i="9"/>
  <c r="BA260" i="9" s="1"/>
  <c r="AZ233" i="9"/>
  <c r="BA257" i="9" s="1"/>
  <c r="DI698" i="1"/>
  <c r="BA253" i="9" l="1"/>
  <c r="BB261" i="9"/>
  <c r="BB253" i="9" l="1"/>
  <c r="BB13" i="9"/>
  <c r="BA13" i="9" l="1"/>
  <c r="BA75" i="9" l="1"/>
  <c r="BB14" i="9"/>
  <c r="BB26" i="9" l="1"/>
  <c r="BA14" i="9"/>
  <c r="BA15" i="9" s="1"/>
  <c r="BA16" i="9" s="1"/>
  <c r="BB15" i="9"/>
  <c r="BB16" i="9" s="1"/>
  <c r="BB24" i="9" s="1"/>
  <c r="BB75" i="9"/>
  <c r="BA76" i="9"/>
  <c r="BA77" i="9" l="1"/>
  <c r="BB76" i="9"/>
  <c r="BA24" i="9"/>
  <c r="BB237" i="9"/>
  <c r="BA78" i="9" l="1"/>
  <c r="BB77" i="9"/>
  <c r="BB78" i="9" s="1"/>
  <c r="BB234" i="9"/>
  <c r="BC258" i="9" s="1"/>
  <c r="BB236" i="9"/>
  <c r="BC260" i="9" s="1"/>
  <c r="BB232" i="9"/>
  <c r="BC256" i="9" s="1"/>
  <c r="BC261" i="9" s="1"/>
  <c r="BB233" i="9"/>
  <c r="BC257" i="9" s="1"/>
  <c r="BB235" i="9"/>
  <c r="BC259" i="9" s="1"/>
  <c r="BC253" i="9" l="1"/>
  <c r="BC13" i="9"/>
  <c r="BC14" i="9" l="1"/>
  <c r="BC75" i="9"/>
  <c r="BC76" i="9" l="1"/>
  <c r="BC77" i="9" s="1"/>
  <c r="BC15" i="9"/>
  <c r="BC16" i="9" s="1"/>
  <c r="BC78" i="9" l="1"/>
  <c r="BC24" i="9"/>
  <c r="BC237" i="9"/>
  <c r="BC236" i="9" l="1"/>
  <c r="BD260" i="9" s="1"/>
  <c r="BC234" i="9"/>
  <c r="BD258" i="9" s="1"/>
  <c r="BC233" i="9"/>
  <c r="BD257" i="9" s="1"/>
  <c r="BC235" i="9"/>
  <c r="BD259" i="9" s="1"/>
  <c r="BC232" i="9"/>
  <c r="BD256" i="9" s="1"/>
  <c r="BD261" i="9" s="1"/>
  <c r="BD253" i="9" l="1"/>
  <c r="BE261" i="9"/>
  <c r="BE13" i="9" l="1"/>
  <c r="BE253" i="9"/>
  <c r="BD13" i="9" l="1"/>
  <c r="BE14" i="9" l="1"/>
  <c r="BD75" i="9"/>
  <c r="BE75" i="9" l="1"/>
  <c r="BD76" i="9"/>
  <c r="BE76" i="9" s="1"/>
  <c r="BE26" i="9"/>
  <c r="BD14" i="9"/>
  <c r="BD15" i="9" s="1"/>
  <c r="BD16" i="9" s="1"/>
  <c r="BE15" i="9"/>
  <c r="BE16" i="9" s="1"/>
  <c r="BE24" i="9" s="1"/>
  <c r="BD24" i="9" l="1"/>
  <c r="BE237" i="9"/>
  <c r="BD77" i="9"/>
  <c r="BD78" i="9" l="1"/>
  <c r="BE77" i="9"/>
  <c r="BE78" i="9" s="1"/>
  <c r="BE232" i="9"/>
  <c r="BE236" i="9"/>
  <c r="BE233" i="9"/>
  <c r="BE235" i="9"/>
  <c r="BE234" i="9"/>
  <c r="AS323" i="1" l="1"/>
  <c r="AT323" i="1"/>
  <c r="AU323" i="1"/>
  <c r="AV323" i="1"/>
  <c r="AW323" i="1"/>
  <c r="AX323" i="1"/>
  <c r="AR323" i="1"/>
  <c r="AV81" i="1" l="1"/>
  <c r="Q70" i="24"/>
  <c r="AV269" i="1"/>
  <c r="AV322" i="1"/>
  <c r="AV319" i="1"/>
  <c r="AV325" i="1" s="1"/>
  <c r="AV4" i="1" s="1"/>
  <c r="AU81" i="1"/>
  <c r="P70" i="24"/>
  <c r="AU269" i="1"/>
  <c r="AU322" i="1"/>
  <c r="AU319" i="1"/>
  <c r="AU325" i="1" s="1"/>
  <c r="AU4" i="1" s="1"/>
  <c r="AR319" i="1"/>
  <c r="AR325" i="1" s="1"/>
  <c r="AR4" i="1" s="1"/>
  <c r="AR81" i="1"/>
  <c r="AR322" i="1"/>
  <c r="AR269" i="1"/>
  <c r="M70" i="24"/>
  <c r="AS322" i="1"/>
  <c r="AS81" i="1"/>
  <c r="AS269" i="1"/>
  <c r="N70" i="24"/>
  <c r="AS319" i="1"/>
  <c r="AS325" i="1" s="1"/>
  <c r="AS4" i="1" s="1"/>
  <c r="AW81" i="1"/>
  <c r="AW269" i="1"/>
  <c r="AW319" i="1"/>
  <c r="AW325" i="1" s="1"/>
  <c r="AW4" i="1" s="1"/>
  <c r="R70" i="24"/>
  <c r="AW322" i="1"/>
  <c r="AT81" i="1"/>
  <c r="O70" i="24"/>
  <c r="AT322" i="1"/>
  <c r="AT269" i="1"/>
  <c r="AT319" i="1"/>
  <c r="AT325" i="1" s="1"/>
  <c r="AT4" i="1" s="1"/>
  <c r="S70" i="24"/>
  <c r="AX319" i="1"/>
  <c r="AX325" i="1" s="1"/>
  <c r="AX4" i="1" s="1"/>
  <c r="AX269" i="1"/>
  <c r="AX322" i="1"/>
  <c r="AX81" i="1"/>
  <c r="CX323" i="1" l="1"/>
  <c r="CY323" i="1"/>
  <c r="CW323" i="1"/>
  <c r="CX81" i="1" l="1"/>
  <c r="CX319" i="1"/>
  <c r="CX322" i="1" s="1"/>
  <c r="AT70" i="24"/>
  <c r="CX269" i="1"/>
  <c r="CX325" i="1"/>
  <c r="AS70" i="24"/>
  <c r="CW319" i="1"/>
  <c r="CW322" i="1" s="1"/>
  <c r="CW269" i="1"/>
  <c r="CW81" i="1"/>
  <c r="CW325" i="1"/>
  <c r="CY269" i="1"/>
  <c r="CY81" i="1"/>
  <c r="AU70" i="24"/>
  <c r="CY319" i="1"/>
  <c r="CY322" i="1" s="1"/>
  <c r="CY325" i="1"/>
  <c r="M7" i="7" l="1"/>
  <c r="C6" i="23"/>
  <c r="K44" i="23" s="1"/>
  <c r="C32" i="2"/>
  <c r="F49" i="7"/>
  <c r="AY323" i="1" l="1"/>
  <c r="T70" i="24" l="1"/>
  <c r="AY269" i="1"/>
  <c r="I32" i="2" s="1"/>
  <c r="AY381" i="1"/>
  <c r="AY322" i="1"/>
  <c r="AY81" i="1"/>
  <c r="AY319" i="1"/>
  <c r="AY325" i="1" s="1"/>
  <c r="AY419" i="1" l="1"/>
  <c r="I41" i="2" s="1"/>
  <c r="T8" i="24"/>
  <c r="T9" i="24" s="1"/>
  <c r="AY515" i="1"/>
  <c r="AY327" i="1"/>
  <c r="I33" i="2" s="1"/>
  <c r="CZ381" i="1"/>
  <c r="AY377" i="1"/>
  <c r="CZ377" i="1" s="1"/>
  <c r="AY380" i="1"/>
  <c r="AY99" i="1"/>
  <c r="CZ323" i="1"/>
  <c r="AY391" i="1" l="1"/>
  <c r="I40" i="2"/>
  <c r="CZ269" i="1"/>
  <c r="AV70" i="24"/>
  <c r="CZ319" i="1"/>
  <c r="CZ322" i="1" s="1"/>
  <c r="CZ81" i="1"/>
  <c r="CZ391" i="1"/>
  <c r="CZ99" i="1"/>
  <c r="CZ327" i="1"/>
  <c r="CZ515" i="1"/>
  <c r="AV8" i="24"/>
  <c r="AV9" i="24" s="1"/>
  <c r="CZ419" i="1"/>
  <c r="CZ129" i="1"/>
  <c r="AY732" i="1"/>
  <c r="AY789" i="1"/>
  <c r="CZ136" i="1"/>
  <c r="G31" i="7" s="1"/>
  <c r="AY788" i="1"/>
  <c r="I85" i="2" s="1"/>
  <c r="AY620" i="1"/>
  <c r="AY521" i="1"/>
  <c r="AY787" i="1"/>
  <c r="AY136" i="1"/>
  <c r="AY741" i="1"/>
  <c r="AY767" i="1" s="1"/>
  <c r="AY730" i="1"/>
  <c r="AY785" i="1"/>
  <c r="AY525" i="1"/>
  <c r="AY783" i="1"/>
  <c r="I82" i="2" s="1"/>
  <c r="T44" i="24"/>
  <c r="T47" i="24" s="1"/>
  <c r="T48" i="24" s="1"/>
  <c r="AY513" i="1"/>
  <c r="I15" i="2" s="1"/>
  <c r="AY740" i="1"/>
  <c r="AY766" i="1" s="1"/>
  <c r="T7" i="24"/>
  <c r="CZ380" i="1"/>
  <c r="AY792" i="1"/>
  <c r="AY426" i="1"/>
  <c r="AY454" i="1"/>
  <c r="I43" i="2" s="1"/>
  <c r="I42" i="2" s="1"/>
  <c r="AY793" i="1"/>
  <c r="I90" i="2" s="1"/>
  <c r="AY794" i="1"/>
  <c r="CZ325" i="1" l="1"/>
  <c r="I83" i="2"/>
  <c r="I84" i="2"/>
  <c r="I86" i="2"/>
  <c r="I91" i="2"/>
  <c r="I89" i="2"/>
  <c r="I16" i="2"/>
  <c r="I52" i="2"/>
  <c r="CZ732" i="1"/>
  <c r="CZ787" i="1"/>
  <c r="CZ788" i="1"/>
  <c r="CZ620" i="1"/>
  <c r="CZ783" i="1"/>
  <c r="CZ740" i="1"/>
  <c r="CZ766" i="1" s="1"/>
  <c r="CZ741" i="1"/>
  <c r="CZ767" i="1" s="1"/>
  <c r="CZ785" i="1"/>
  <c r="CZ789" i="1"/>
  <c r="CZ730" i="1"/>
  <c r="AV44" i="24"/>
  <c r="AV47" i="24" s="1"/>
  <c r="AV48" i="24" s="1"/>
  <c r="CZ513" i="1"/>
  <c r="AY483" i="1"/>
  <c r="I45" i="2" s="1"/>
  <c r="AY734" i="1"/>
  <c r="AY761" i="1" s="1"/>
  <c r="AY461" i="1"/>
  <c r="T19" i="24"/>
  <c r="T20" i="24" s="1"/>
  <c r="AY428" i="1"/>
  <c r="AV7" i="24"/>
  <c r="AY840" i="1"/>
  <c r="AY838" i="1"/>
  <c r="I112" i="2" s="1"/>
  <c r="AY759" i="1"/>
  <c r="T54" i="24"/>
  <c r="AY731" i="1"/>
  <c r="T72" i="24"/>
  <c r="N15" i="7"/>
  <c r="CZ454" i="1"/>
  <c r="CZ426" i="1"/>
  <c r="CZ793" i="1"/>
  <c r="CZ792" i="1"/>
  <c r="D89" i="2" s="1"/>
  <c r="D41" i="2"/>
  <c r="CZ794" i="1"/>
  <c r="D91" i="2" s="1"/>
  <c r="T73" i="24"/>
  <c r="N8" i="7"/>
  <c r="D7" i="23"/>
  <c r="D10" i="23" s="1"/>
  <c r="D33" i="2"/>
  <c r="D32" i="2"/>
  <c r="G49" i="7"/>
  <c r="N7" i="7"/>
  <c r="D6" i="23"/>
  <c r="L44" i="23" s="1"/>
  <c r="T71" i="24"/>
  <c r="AY728" i="1"/>
  <c r="AY527" i="1"/>
  <c r="AY729" i="1"/>
  <c r="AY782" i="1"/>
  <c r="CZ525" i="1"/>
  <c r="T51" i="24"/>
  <c r="T50" i="24" s="1"/>
  <c r="CZ521" i="1"/>
  <c r="AY760" i="1"/>
  <c r="T55" i="24"/>
  <c r="AY733" i="1"/>
  <c r="I114" i="2" l="1"/>
  <c r="I17" i="2"/>
  <c r="I19" i="2"/>
  <c r="I81" i="2"/>
  <c r="I44" i="2"/>
  <c r="I49" i="2"/>
  <c r="I50" i="2" s="1"/>
  <c r="I53" i="2"/>
  <c r="I18" i="2"/>
  <c r="D40" i="2"/>
  <c r="AY758" i="1"/>
  <c r="T74" i="24"/>
  <c r="D83" i="2"/>
  <c r="G45" i="7"/>
  <c r="G62" i="7"/>
  <c r="G59" i="7"/>
  <c r="D85" i="2"/>
  <c r="P16" i="17"/>
  <c r="AC16" i="17" s="1" a="1"/>
  <c r="AC16" i="17" s="1"/>
  <c r="AV72" i="24"/>
  <c r="AY841" i="1"/>
  <c r="G61" i="7"/>
  <c r="D84" i="2"/>
  <c r="AY490" i="1"/>
  <c r="AY129" i="1"/>
  <c r="D82" i="2"/>
  <c r="AV73" i="24"/>
  <c r="AV74" i="24" s="1"/>
  <c r="G44" i="7"/>
  <c r="G58" i="7"/>
  <c r="D90" i="2"/>
  <c r="AV71" i="24"/>
  <c r="AY757" i="1"/>
  <c r="T32" i="24"/>
  <c r="T33" i="24" s="1"/>
  <c r="AY463" i="1"/>
  <c r="P18" i="17"/>
  <c r="D15" i="2"/>
  <c r="CZ733" i="1"/>
  <c r="CZ760" i="1"/>
  <c r="G22" i="7"/>
  <c r="D16" i="2"/>
  <c r="D43" i="23"/>
  <c r="D44" i="23" s="1"/>
  <c r="D52" i="2"/>
  <c r="AV55" i="24"/>
  <c r="CZ483" i="1"/>
  <c r="CZ461" i="1"/>
  <c r="D43" i="2"/>
  <c r="D42" i="2" s="1"/>
  <c r="CZ734" i="1"/>
  <c r="G20" i="7"/>
  <c r="G21" i="7" s="1"/>
  <c r="AV54" i="24"/>
  <c r="D41" i="23"/>
  <c r="CZ731" i="1"/>
  <c r="CZ840" i="1"/>
  <c r="D114" i="2" s="1"/>
  <c r="CZ759" i="1"/>
  <c r="CZ838" i="1"/>
  <c r="N17" i="7"/>
  <c r="G53" i="7"/>
  <c r="G51" i="7"/>
  <c r="G50" i="7"/>
  <c r="D86" i="2"/>
  <c r="G63" i="7"/>
  <c r="AY529" i="1"/>
  <c r="AY622" i="1"/>
  <c r="CZ527" i="1"/>
  <c r="CZ782" i="1"/>
  <c r="AV51" i="24"/>
  <c r="AV50" i="24" s="1"/>
  <c r="CZ729" i="1"/>
  <c r="CZ728" i="1"/>
  <c r="L45" i="23"/>
  <c r="D12" i="23"/>
  <c r="AV19" i="24"/>
  <c r="AV20" i="24" s="1"/>
  <c r="CZ428" i="1"/>
  <c r="I115" i="2" l="1"/>
  <c r="P19" i="17"/>
  <c r="AC18" i="17"/>
  <c r="P21" i="17"/>
  <c r="AC21" i="17" s="1" a="1"/>
  <c r="AC21" i="17" s="1"/>
  <c r="D14" i="23"/>
  <c r="L21" i="23"/>
  <c r="D47" i="23"/>
  <c r="D48" i="23" s="1"/>
  <c r="CZ758" i="1"/>
  <c r="D19" i="2"/>
  <c r="D17" i="2"/>
  <c r="G39" i="7"/>
  <c r="G23" i="7"/>
  <c r="CZ622" i="1"/>
  <c r="CZ624" i="1" s="1"/>
  <c r="AY624" i="1"/>
  <c r="L20" i="23"/>
  <c r="D42" i="23"/>
  <c r="CZ463" i="1"/>
  <c r="AV32" i="24"/>
  <c r="AV33" i="24" s="1"/>
  <c r="CZ490" i="1"/>
  <c r="D45" i="2"/>
  <c r="D45" i="23"/>
  <c r="D46" i="23" s="1"/>
  <c r="G26" i="7"/>
  <c r="G27" i="7" s="1"/>
  <c r="CZ757" i="1"/>
  <c r="AY534" i="1"/>
  <c r="CZ529" i="1"/>
  <c r="N20" i="7"/>
  <c r="G15" i="7"/>
  <c r="CZ761" i="1"/>
  <c r="G16" i="7"/>
  <c r="G57" i="7"/>
  <c r="D81" i="2"/>
  <c r="D51" i="23"/>
  <c r="CZ841" i="1"/>
  <c r="D115" i="2" s="1"/>
  <c r="D112" i="2"/>
  <c r="D53" i="2"/>
  <c r="D18" i="2"/>
  <c r="G60" i="7"/>
  <c r="AY493" i="1"/>
  <c r="AY510" i="1" s="1"/>
  <c r="T38" i="24"/>
  <c r="T41" i="24" s="1"/>
  <c r="D17" i="23" l="1"/>
  <c r="L47" i="23"/>
  <c r="G54" i="7"/>
  <c r="N24" i="7"/>
  <c r="CZ493" i="1"/>
  <c r="CZ510" i="1" s="1"/>
  <c r="AV38" i="24"/>
  <c r="AV41" i="24" s="1"/>
  <c r="AY538" i="1"/>
  <c r="AZ533" i="1" s="1"/>
  <c r="AZ527" i="1" s="1"/>
  <c r="CZ534" i="1"/>
  <c r="CZ538" i="1" s="1"/>
  <c r="G40" i="7"/>
  <c r="G17" i="7"/>
  <c r="D49" i="2"/>
  <c r="D50" i="2" s="1"/>
  <c r="D44" i="2"/>
  <c r="DA527" i="1" l="1"/>
  <c r="AZ622" i="1"/>
  <c r="DA622" i="1" s="1"/>
  <c r="AZ529" i="1"/>
  <c r="AZ534" i="1" s="1"/>
  <c r="AZ538" i="1" s="1"/>
  <c r="AZ541" i="1" s="1"/>
  <c r="AZ550" i="1" s="1"/>
  <c r="BC129" i="1"/>
  <c r="N28" i="7"/>
  <c r="G24" i="7" s="1"/>
  <c r="G25" i="7" s="1"/>
  <c r="G18" i="7"/>
  <c r="G19" i="7" s="1"/>
  <c r="AV63" i="24"/>
  <c r="DA533" i="1"/>
  <c r="CZ742" i="1"/>
  <c r="N53" i="7"/>
  <c r="CZ541" i="1"/>
  <c r="CZ531" i="1"/>
  <c r="CZ743" i="1"/>
  <c r="P23" i="17"/>
  <c r="AY743" i="1"/>
  <c r="T63" i="24"/>
  <c r="AY531" i="1"/>
  <c r="AY541" i="1"/>
  <c r="AY742" i="1"/>
  <c r="I23" i="2" s="1"/>
  <c r="L36" i="23"/>
  <c r="L37" i="23"/>
  <c r="L34" i="23"/>
  <c r="L35" i="23"/>
  <c r="D20" i="23"/>
  <c r="AZ562" i="1" l="1"/>
  <c r="AZ561" i="1" s="1"/>
  <c r="AZ564" i="1"/>
  <c r="AZ568" i="1" s="1"/>
  <c r="AZ587" i="1" s="1"/>
  <c r="AY674" i="1"/>
  <c r="AZ674" i="1" s="1"/>
  <c r="AY550" i="1"/>
  <c r="AY769" i="1"/>
  <c r="CZ769" i="1"/>
  <c r="G33" i="7"/>
  <c r="G41" i="7" s="1"/>
  <c r="D54" i="23"/>
  <c r="L23" i="23" s="1"/>
  <c r="CZ768" i="1"/>
  <c r="G34" i="7"/>
  <c r="G42" i="7" s="1"/>
  <c r="D53" i="23"/>
  <c r="L22" i="23" s="1"/>
  <c r="D23" i="2"/>
  <c r="P34" i="17"/>
  <c r="AC34" i="17" s="1"/>
  <c r="P37" i="17"/>
  <c r="P25" i="17"/>
  <c r="P26" i="17" s="1"/>
  <c r="P30" i="17"/>
  <c r="AC30" i="17" s="1"/>
  <c r="L41" i="23"/>
  <c r="L42" i="23"/>
  <c r="L40" i="23"/>
  <c r="L39" i="23"/>
  <c r="AZ621" i="1"/>
  <c r="CZ550" i="1"/>
  <c r="D29" i="23" s="1"/>
  <c r="N52" i="7"/>
  <c r="BD129" i="1"/>
  <c r="AY768" i="1"/>
  <c r="AZ590" i="1" l="1"/>
  <c r="AZ593" i="1" s="1"/>
  <c r="AZ591" i="1" s="1"/>
  <c r="AZ592" i="1" s="1"/>
  <c r="AZ607" i="1"/>
  <c r="AY562" i="1"/>
  <c r="AY561" i="1" s="1"/>
  <c r="BE129" i="1"/>
  <c r="CZ674" i="1"/>
  <c r="P27" i="17"/>
  <c r="P28" i="17"/>
  <c r="AY564" i="1" l="1"/>
  <c r="AY568" i="1" s="1"/>
  <c r="AY587" i="1" s="1"/>
  <c r="AY836" i="1"/>
  <c r="I110" i="2" s="1"/>
  <c r="AY607" i="1"/>
  <c r="AY590" i="1"/>
  <c r="BF129" i="1"/>
  <c r="CZ561" i="1"/>
  <c r="CZ562" i="1" s="1"/>
  <c r="CZ564" i="1" s="1"/>
  <c r="CZ568" i="1" s="1"/>
  <c r="CZ587" i="1" s="1"/>
  <c r="AY628" i="1"/>
  <c r="BG129" i="1" l="1"/>
  <c r="AY261" i="1"/>
  <c r="CZ628" i="1"/>
  <c r="CZ629" i="1" s="1"/>
  <c r="AY629" i="1"/>
  <c r="CZ590" i="1"/>
  <c r="CZ607" i="1"/>
  <c r="CZ836" i="1"/>
  <c r="AY834" i="1"/>
  <c r="I109" i="2" s="1"/>
  <c r="AY150" i="1"/>
  <c r="AY548" i="1"/>
  <c r="AY593" i="1"/>
  <c r="AY595" i="1"/>
  <c r="AY837" i="1"/>
  <c r="I111" i="2" s="1"/>
  <c r="BA561" i="1"/>
  <c r="AZ628" i="1"/>
  <c r="AZ261" i="1" l="1"/>
  <c r="CZ150" i="1"/>
  <c r="CZ548" i="1"/>
  <c r="D30" i="23"/>
  <c r="D31" i="23" s="1"/>
  <c r="CZ595" i="1"/>
  <c r="CZ834" i="1"/>
  <c r="BA562" i="1"/>
  <c r="DA561" i="1"/>
  <c r="DA562" i="1" s="1"/>
  <c r="BB561" i="1"/>
  <c r="BA628" i="1"/>
  <c r="DA628" i="1" s="1"/>
  <c r="T77" i="24"/>
  <c r="CZ261" i="1"/>
  <c r="AY630" i="1"/>
  <c r="CZ630" i="1" s="1"/>
  <c r="CZ631" i="1" s="1"/>
  <c r="AY784" i="1"/>
  <c r="AY786" i="1"/>
  <c r="AY744" i="1"/>
  <c r="CZ744" i="1" s="1"/>
  <c r="D110" i="2"/>
  <c r="P36" i="17"/>
  <c r="P38" i="17" s="1"/>
  <c r="G81" i="7"/>
  <c r="L56" i="23"/>
  <c r="BH129" i="1"/>
  <c r="T78" i="24"/>
  <c r="AY616" i="1"/>
  <c r="AY615" i="1" s="1"/>
  <c r="AY591" i="1"/>
  <c r="CZ591" i="1" s="1"/>
  <c r="CZ837" i="1"/>
  <c r="AY631" i="1" l="1"/>
  <c r="AY639" i="1"/>
  <c r="AY4" i="1" s="1"/>
  <c r="AY618" i="1"/>
  <c r="CZ618" i="1"/>
  <c r="CZ639" i="1"/>
  <c r="CZ615" i="1"/>
  <c r="CZ616" i="1" s="1"/>
  <c r="L55" i="23"/>
  <c r="AV77" i="24"/>
  <c r="D109" i="2"/>
  <c r="G80" i="7"/>
  <c r="G82" i="7"/>
  <c r="AV78" i="24"/>
  <c r="D111" i="2"/>
  <c r="L57" i="23"/>
  <c r="CZ784" i="1"/>
  <c r="CZ786" i="1"/>
  <c r="AY835" i="1"/>
  <c r="BI129" i="1"/>
  <c r="BC561" i="1"/>
  <c r="BB562" i="1"/>
  <c r="BB628" i="1"/>
  <c r="AY592" i="1"/>
  <c r="BJ129" i="1" l="1"/>
  <c r="BA592" i="1"/>
  <c r="CZ592" i="1"/>
  <c r="CZ593" i="1" s="1"/>
  <c r="CZ835" i="1" s="1"/>
  <c r="BD561" i="1"/>
  <c r="BC562" i="1"/>
  <c r="DB561" i="1"/>
  <c r="DB562" i="1" s="1"/>
  <c r="BC628" i="1"/>
  <c r="DB628" i="1" s="1"/>
  <c r="DA592" i="1" l="1"/>
  <c r="BB592" i="1"/>
  <c r="BC592" i="1" s="1"/>
  <c r="BK129" i="1"/>
  <c r="BD562" i="1"/>
  <c r="BE561" i="1"/>
  <c r="BD628" i="1"/>
  <c r="BL129" i="1" l="1"/>
  <c r="BD592" i="1"/>
  <c r="BE592" i="1" s="1"/>
  <c r="DB592" i="1"/>
  <c r="DC561" i="1"/>
  <c r="DC562" i="1" s="1"/>
  <c r="BE562" i="1"/>
  <c r="BF561" i="1"/>
  <c r="BE628" i="1"/>
  <c r="DC628" i="1" s="1"/>
  <c r="BG561" i="1" l="1"/>
  <c r="BF562" i="1"/>
  <c r="BF628" i="1"/>
  <c r="BM129" i="1"/>
  <c r="BF592" i="1"/>
  <c r="BG592" i="1" s="1"/>
  <c r="DC592" i="1"/>
  <c r="BH592" i="1" l="1"/>
  <c r="BI592" i="1" s="1"/>
  <c r="DD592" i="1"/>
  <c r="BN129" i="1"/>
  <c r="BH561" i="1"/>
  <c r="DD561" i="1"/>
  <c r="DD562" i="1" s="1"/>
  <c r="BG562" i="1"/>
  <c r="BG628" i="1"/>
  <c r="DD628" i="1" s="1"/>
  <c r="BO129" i="1" l="1"/>
  <c r="BH562" i="1"/>
  <c r="BI561" i="1"/>
  <c r="BH628" i="1"/>
  <c r="BJ592" i="1"/>
  <c r="BK592" i="1" s="1"/>
  <c r="DE592" i="1"/>
  <c r="BL592" i="1" l="1"/>
  <c r="BM592" i="1" s="1"/>
  <c r="DF592" i="1"/>
  <c r="BJ561" i="1"/>
  <c r="DE561" i="1"/>
  <c r="DE562" i="1" s="1"/>
  <c r="BI562" i="1"/>
  <c r="BI628" i="1"/>
  <c r="DE628" i="1" s="1"/>
  <c r="BP129" i="1"/>
  <c r="BQ129" i="1" l="1"/>
  <c r="DG592" i="1"/>
  <c r="BN592" i="1"/>
  <c r="BO592" i="1" s="1"/>
  <c r="BK561" i="1"/>
  <c r="BJ628" i="1"/>
  <c r="DH592" i="1" l="1"/>
  <c r="BP592" i="1"/>
  <c r="BQ592" i="1" s="1"/>
  <c r="DI592" i="1" s="1"/>
  <c r="DF561" i="1"/>
  <c r="BL561" i="1"/>
  <c r="BK628" i="1"/>
  <c r="DF628" i="1" s="1"/>
  <c r="BM561" i="1" l="1"/>
  <c r="BL628" i="1"/>
  <c r="BN561" i="1" l="1"/>
  <c r="DG561" i="1"/>
  <c r="BM628" i="1"/>
  <c r="DG628" i="1" s="1"/>
  <c r="BO561" i="1" l="1"/>
  <c r="BN628" i="1"/>
  <c r="BP561" i="1" l="1"/>
  <c r="DH561" i="1"/>
  <c r="BO628" i="1"/>
  <c r="DH628" i="1" s="1"/>
  <c r="BQ561" i="1" l="1"/>
  <c r="BP628" i="1"/>
  <c r="DI561" i="1" l="1"/>
  <c r="BQ628" i="1"/>
  <c r="DI628" i="1" s="1"/>
  <c r="AZ812" i="1" l="1"/>
  <c r="AZ814" i="1"/>
  <c r="AZ813" i="1"/>
  <c r="BA124" i="1"/>
  <c r="J99" i="2" l="1"/>
  <c r="J100" i="2"/>
  <c r="J98" i="2"/>
  <c r="BA679" i="1"/>
  <c r="BA125" i="1"/>
  <c r="DA125" i="1" s="1"/>
  <c r="DA124" i="1"/>
  <c r="BA812" i="1"/>
  <c r="BA114" i="1"/>
  <c r="K98" i="2" l="1"/>
  <c r="BB124" i="1"/>
  <c r="BB679" i="1" s="1"/>
  <c r="AZ321" i="1"/>
  <c r="DA679" i="1"/>
  <c r="DA814" i="1"/>
  <c r="DA114" i="1"/>
  <c r="DA813" i="1"/>
  <c r="DA812" i="1"/>
  <c r="BA814" i="1"/>
  <c r="BA813" i="1"/>
  <c r="BA296" i="1"/>
  <c r="K100" i="2" l="1"/>
  <c r="K99" i="2"/>
  <c r="DA296" i="1"/>
  <c r="BA354" i="1"/>
  <c r="DA354" i="1" s="1"/>
  <c r="BA379" i="1"/>
  <c r="H71" i="7"/>
  <c r="E100" i="2"/>
  <c r="U6" i="24"/>
  <c r="E98" i="2"/>
  <c r="H69" i="7"/>
  <c r="M51" i="23"/>
  <c r="H70" i="7"/>
  <c r="E99" i="2"/>
  <c r="BA321" i="1"/>
  <c r="BB812" i="1"/>
  <c r="L98" i="2" s="1"/>
  <c r="BB114" i="1"/>
  <c r="BB125" i="1"/>
  <c r="BB814" i="1" s="1"/>
  <c r="L100" i="2" s="1"/>
  <c r="BB296" i="1"/>
  <c r="BB354" i="1" l="1"/>
  <c r="BB379" i="1"/>
  <c r="DA321" i="1"/>
  <c r="BB321" i="1"/>
  <c r="BC124" i="1"/>
  <c r="BB813" i="1"/>
  <c r="L99" i="2" s="1"/>
  <c r="DA379" i="1"/>
  <c r="V6" i="24"/>
  <c r="AW6" i="24" l="1"/>
  <c r="BC114" i="1"/>
  <c r="DB124" i="1"/>
  <c r="BC812" i="1"/>
  <c r="BC679" i="1"/>
  <c r="BC125" i="1"/>
  <c r="DB125" i="1" s="1"/>
  <c r="W6" i="24"/>
  <c r="AZ323" i="1"/>
  <c r="BC296" i="1"/>
  <c r="BC321" i="1" s="1"/>
  <c r="BC814" i="1" l="1"/>
  <c r="DB321" i="1"/>
  <c r="DB679" i="1"/>
  <c r="DB814" i="1"/>
  <c r="DB812" i="1"/>
  <c r="DB813" i="1"/>
  <c r="DB114" i="1"/>
  <c r="BD124" i="1"/>
  <c r="AZ319" i="1"/>
  <c r="AZ325" i="1" s="1"/>
  <c r="AZ81" i="1"/>
  <c r="AZ322" i="1"/>
  <c r="U70" i="24"/>
  <c r="AZ269" i="1"/>
  <c r="J32" i="2" s="1"/>
  <c r="BC379" i="1"/>
  <c r="BC354" i="1"/>
  <c r="DB354" i="1" s="1"/>
  <c r="DB296" i="1"/>
  <c r="BC813" i="1"/>
  <c r="BA323" i="1" l="1"/>
  <c r="I71" i="7"/>
  <c r="F100" i="2"/>
  <c r="AZ391" i="1"/>
  <c r="AZ327" i="1"/>
  <c r="J33" i="2" s="1"/>
  <c r="U8" i="24"/>
  <c r="U9" i="24" s="1"/>
  <c r="AZ390" i="1"/>
  <c r="I69" i="7"/>
  <c r="F98" i="2"/>
  <c r="X6" i="24"/>
  <c r="DB379" i="1"/>
  <c r="BD679" i="1"/>
  <c r="BD114" i="1"/>
  <c r="BD812" i="1"/>
  <c r="BD125" i="1"/>
  <c r="I70" i="7"/>
  <c r="N51" i="23"/>
  <c r="F99" i="2"/>
  <c r="BD296" i="1"/>
  <c r="BD814" i="1" l="1"/>
  <c r="BE124" i="1"/>
  <c r="BE114" i="1" s="1"/>
  <c r="BD813" i="1"/>
  <c r="BD354" i="1"/>
  <c r="BD379" i="1"/>
  <c r="BD321" i="1"/>
  <c r="DA323" i="1"/>
  <c r="U7" i="24"/>
  <c r="AX6" i="24"/>
  <c r="BA319" i="1"/>
  <c r="BA325" i="1" s="1"/>
  <c r="BA322" i="1"/>
  <c r="BA381" i="1"/>
  <c r="BA81" i="1"/>
  <c r="BA269" i="1"/>
  <c r="K32" i="2" s="1"/>
  <c r="V70" i="24"/>
  <c r="BE812" i="1" l="1"/>
  <c r="DC124" i="1"/>
  <c r="BE125" i="1"/>
  <c r="BF124" i="1" s="1"/>
  <c r="BE679" i="1"/>
  <c r="DC679" i="1" s="1"/>
  <c r="Y6" i="24"/>
  <c r="BA387" i="1"/>
  <c r="BA380" i="1"/>
  <c r="V8" i="24"/>
  <c r="V9" i="24" s="1"/>
  <c r="BA377" i="1"/>
  <c r="DA377" i="1" s="1"/>
  <c r="BA390" i="1"/>
  <c r="BA327" i="1"/>
  <c r="K33" i="2" s="1"/>
  <c r="DA381" i="1"/>
  <c r="BB323" i="1"/>
  <c r="DC812" i="1"/>
  <c r="DC114" i="1"/>
  <c r="AW70" i="24"/>
  <c r="DA319" i="1"/>
  <c r="DA322" i="1" s="1"/>
  <c r="DA269" i="1"/>
  <c r="DA81" i="1"/>
  <c r="BE296" i="1"/>
  <c r="DC125" i="1" l="1"/>
  <c r="BE814" i="1"/>
  <c r="BE813" i="1"/>
  <c r="BF679" i="1"/>
  <c r="DC813" i="1"/>
  <c r="O51" i="23" s="1"/>
  <c r="BA391" i="1"/>
  <c r="BA389" i="1"/>
  <c r="DA387" i="1"/>
  <c r="DA389" i="1" s="1"/>
  <c r="E32" i="2"/>
  <c r="H49" i="7"/>
  <c r="E6" i="23"/>
  <c r="M44" i="23" s="1"/>
  <c r="O7" i="7"/>
  <c r="V7" i="24"/>
  <c r="DA380" i="1"/>
  <c r="DA325" i="1"/>
  <c r="DC814" i="1"/>
  <c r="J69" i="7"/>
  <c r="G98" i="2"/>
  <c r="BB269" i="1"/>
  <c r="L32" i="2" s="1"/>
  <c r="BB381" i="1"/>
  <c r="BB81" i="1"/>
  <c r="BB322" i="1"/>
  <c r="W70" i="24"/>
  <c r="BB319" i="1"/>
  <c r="BB325" i="1" s="1"/>
  <c r="DA391" i="1"/>
  <c r="DA327" i="1"/>
  <c r="AW8" i="24"/>
  <c r="AW9" i="24" s="1"/>
  <c r="BF114" i="1"/>
  <c r="BF812" i="1"/>
  <c r="BF125" i="1"/>
  <c r="BF814" i="1" s="1"/>
  <c r="BE321" i="1"/>
  <c r="DC321" i="1" s="1"/>
  <c r="BE354" i="1"/>
  <c r="DC354" i="1" s="1"/>
  <c r="BE379" i="1"/>
  <c r="DC296" i="1"/>
  <c r="BF296" i="1"/>
  <c r="J70" i="7" l="1"/>
  <c r="G99" i="2"/>
  <c r="BG124" i="1"/>
  <c r="BG679" i="1" s="1"/>
  <c r="DD679" i="1" s="1"/>
  <c r="BF813" i="1"/>
  <c r="BF321" i="1"/>
  <c r="BF379" i="1"/>
  <c r="BF354" i="1"/>
  <c r="DB323" i="1"/>
  <c r="BC323" i="1"/>
  <c r="Z6" i="24"/>
  <c r="DC379" i="1"/>
  <c r="E33" i="2"/>
  <c r="O8" i="7"/>
  <c r="E7" i="23"/>
  <c r="G100" i="2"/>
  <c r="J71" i="7"/>
  <c r="AW7" i="24"/>
  <c r="BB327" i="1"/>
  <c r="BB390" i="1"/>
  <c r="BB380" i="1"/>
  <c r="BB387" i="1"/>
  <c r="W8" i="24"/>
  <c r="W9" i="24" s="1"/>
  <c r="BB377" i="1"/>
  <c r="BB391" i="1" s="1"/>
  <c r="DD124" i="1" l="1"/>
  <c r="BG812" i="1"/>
  <c r="BG114" i="1"/>
  <c r="L33" i="2"/>
  <c r="BG125" i="1"/>
  <c r="DD125" i="1" s="1"/>
  <c r="DB269" i="1"/>
  <c r="DB319" i="1"/>
  <c r="DB322" i="1" s="1"/>
  <c r="AX70" i="24"/>
  <c r="DB81" i="1"/>
  <c r="W7" i="24"/>
  <c r="DD812" i="1"/>
  <c r="DD114" i="1"/>
  <c r="AY6" i="24"/>
  <c r="X70" i="24"/>
  <c r="BC322" i="1"/>
  <c r="BC319" i="1"/>
  <c r="BC325" i="1" s="1"/>
  <c r="BC81" i="1"/>
  <c r="BC381" i="1"/>
  <c r="BC269" i="1"/>
  <c r="AA6" i="24"/>
  <c r="BB389" i="1"/>
  <c r="BG814" i="1" l="1"/>
  <c r="BG813" i="1"/>
  <c r="BH124" i="1"/>
  <c r="BH812" i="1" s="1"/>
  <c r="DB325" i="1"/>
  <c r="X8" i="24"/>
  <c r="X9" i="24" s="1"/>
  <c r="BC387" i="1"/>
  <c r="BC390" i="1"/>
  <c r="BC380" i="1"/>
  <c r="BC327" i="1"/>
  <c r="BC377" i="1"/>
  <c r="DB377" i="1" s="1"/>
  <c r="DB381" i="1"/>
  <c r="DD813" i="1"/>
  <c r="DD814" i="1"/>
  <c r="I49" i="7"/>
  <c r="P7" i="7"/>
  <c r="F32" i="2"/>
  <c r="F6" i="23"/>
  <c r="N44" i="23" s="1"/>
  <c r="BG296" i="1"/>
  <c r="BH679" i="1" l="1"/>
  <c r="BH125" i="1"/>
  <c r="BH814" i="1" s="1"/>
  <c r="BH114" i="1"/>
  <c r="BC391" i="1"/>
  <c r="BG379" i="1"/>
  <c r="BG354" i="1"/>
  <c r="DD354" i="1" s="1"/>
  <c r="BH296" i="1"/>
  <c r="DD296" i="1"/>
  <c r="BG321" i="1"/>
  <c r="X7" i="24"/>
  <c r="DB380" i="1"/>
  <c r="BD323" i="1"/>
  <c r="BC389" i="1"/>
  <c r="DB387" i="1"/>
  <c r="DB389" i="1" s="1"/>
  <c r="AX8" i="24"/>
  <c r="AX9" i="24" s="1"/>
  <c r="DB391" i="1"/>
  <c r="DB327" i="1"/>
  <c r="BI124" i="1"/>
  <c r="BH813" i="1" l="1"/>
  <c r="BI125" i="1"/>
  <c r="BI813" i="1" s="1"/>
  <c r="DE124" i="1"/>
  <c r="BI114" i="1"/>
  <c r="BJ114" i="1" s="1"/>
  <c r="BI812" i="1"/>
  <c r="BH379" i="1"/>
  <c r="BI296" i="1"/>
  <c r="BH354" i="1"/>
  <c r="BD381" i="1"/>
  <c r="BD81" i="1"/>
  <c r="BD269" i="1"/>
  <c r="BD322" i="1"/>
  <c r="Y70" i="24"/>
  <c r="BD319" i="1"/>
  <c r="BD325" i="1" s="1"/>
  <c r="DD379" i="1"/>
  <c r="AB6" i="24"/>
  <c r="AX7" i="24"/>
  <c r="F7" i="23"/>
  <c r="F33" i="2"/>
  <c r="P8" i="7"/>
  <c r="BI679" i="1"/>
  <c r="DD321" i="1"/>
  <c r="BH321" i="1"/>
  <c r="DE296" i="1" l="1"/>
  <c r="BJ296" i="1"/>
  <c r="BI379" i="1"/>
  <c r="DE379" i="1" s="1"/>
  <c r="BI354" i="1"/>
  <c r="DE354" i="1" s="1"/>
  <c r="AC6" i="24"/>
  <c r="BJ124" i="1"/>
  <c r="BJ125" i="1" s="1"/>
  <c r="BK114" i="1"/>
  <c r="BI321" i="1"/>
  <c r="BJ321" i="1" s="1"/>
  <c r="DE679" i="1"/>
  <c r="AZ6" i="24"/>
  <c r="BD390" i="1"/>
  <c r="BD377" i="1"/>
  <c r="BD391" i="1" s="1"/>
  <c r="BD387" i="1"/>
  <c r="BD327" i="1"/>
  <c r="Y8" i="24"/>
  <c r="Y9" i="24" s="1"/>
  <c r="BD380" i="1"/>
  <c r="DE812" i="1"/>
  <c r="DE114" i="1"/>
  <c r="BI814" i="1"/>
  <c r="DE125" i="1"/>
  <c r="DE813" i="1" s="1"/>
  <c r="BJ679" i="1" l="1"/>
  <c r="DE321" i="1"/>
  <c r="DE814" i="1"/>
  <c r="BD389" i="1"/>
  <c r="BK321" i="1"/>
  <c r="BL321" i="1" s="1"/>
  <c r="Y7" i="24"/>
  <c r="BE323" i="1"/>
  <c r="BA6" i="24"/>
  <c r="BK124" i="1"/>
  <c r="BL114" i="1"/>
  <c r="BK296" i="1"/>
  <c r="BJ379" i="1"/>
  <c r="BJ354" i="1"/>
  <c r="BJ814" i="1"/>
  <c r="BJ812" i="1"/>
  <c r="BJ813" i="1"/>
  <c r="AD6" i="24"/>
  <c r="BK125" i="1" l="1"/>
  <c r="DF125" i="1" s="1"/>
  <c r="BL124" i="1"/>
  <c r="BM114" i="1"/>
  <c r="BM321" i="1"/>
  <c r="BN321" i="1" s="1"/>
  <c r="DC323" i="1"/>
  <c r="BK812" i="1"/>
  <c r="DF124" i="1"/>
  <c r="AE6" i="24"/>
  <c r="DF296" i="1"/>
  <c r="BK354" i="1"/>
  <c r="DF354" i="1" s="1"/>
  <c r="BL296" i="1"/>
  <c r="BK379" i="1"/>
  <c r="BK679" i="1"/>
  <c r="BE269" i="1"/>
  <c r="BE381" i="1"/>
  <c r="BE81" i="1"/>
  <c r="BE319" i="1"/>
  <c r="BE325" i="1" s="1"/>
  <c r="BE322" i="1"/>
  <c r="Z70" i="24"/>
  <c r="DF321" i="1"/>
  <c r="BK814" i="1" l="1"/>
  <c r="BK813" i="1"/>
  <c r="BL125" i="1"/>
  <c r="BL814" i="1" s="1"/>
  <c r="DG321" i="1"/>
  <c r="BL379" i="1"/>
  <c r="BL354" i="1"/>
  <c r="BM296" i="1"/>
  <c r="BO321" i="1"/>
  <c r="BP321" i="1" s="1"/>
  <c r="BQ321" i="1" s="1"/>
  <c r="DI321" i="1" s="1"/>
  <c r="DF814" i="1"/>
  <c r="DF679" i="1"/>
  <c r="BL679" i="1"/>
  <c r="DC269" i="1"/>
  <c r="DC81" i="1"/>
  <c r="DC319" i="1"/>
  <c r="DC322" i="1" s="1"/>
  <c r="AY70" i="24"/>
  <c r="BN114" i="1"/>
  <c r="BM124" i="1"/>
  <c r="DF379" i="1"/>
  <c r="AF6" i="24"/>
  <c r="BE390" i="1"/>
  <c r="BE387" i="1"/>
  <c r="BE380" i="1"/>
  <c r="BE377" i="1"/>
  <c r="DC377" i="1" s="1"/>
  <c r="BE327" i="1"/>
  <c r="Z8" i="24"/>
  <c r="Z9" i="24" s="1"/>
  <c r="DC381" i="1"/>
  <c r="DF114" i="1"/>
  <c r="DF812" i="1"/>
  <c r="DF813" i="1"/>
  <c r="BL812" i="1"/>
  <c r="BL813" i="1" l="1"/>
  <c r="DC325" i="1"/>
  <c r="DH321" i="1"/>
  <c r="Z7" i="24"/>
  <c r="DC380" i="1"/>
  <c r="BN296" i="1"/>
  <c r="BM379" i="1"/>
  <c r="BM354" i="1"/>
  <c r="DG354" i="1" s="1"/>
  <c r="BE389" i="1"/>
  <c r="DC387" i="1"/>
  <c r="DC389" i="1" s="1"/>
  <c r="DG124" i="1"/>
  <c r="BM812" i="1"/>
  <c r="J49" i="7"/>
  <c r="Q7" i="7"/>
  <c r="G32" i="2"/>
  <c r="G6" i="23"/>
  <c r="O44" i="23" s="1"/>
  <c r="AG6" i="24"/>
  <c r="BE391" i="1"/>
  <c r="BB6" i="24"/>
  <c r="DC327" i="1"/>
  <c r="DC391" i="1"/>
  <c r="AY8" i="24"/>
  <c r="AY9" i="24" s="1"/>
  <c r="BN124" i="1"/>
  <c r="BO114" i="1"/>
  <c r="BM679" i="1"/>
  <c r="DG296" i="1"/>
  <c r="BM125" i="1"/>
  <c r="BN125" i="1" l="1"/>
  <c r="DG125" i="1"/>
  <c r="DG813" i="1" s="1"/>
  <c r="AY7" i="24"/>
  <c r="BF323" i="1"/>
  <c r="BN812" i="1"/>
  <c r="AH6" i="24"/>
  <c r="G7" i="23"/>
  <c r="G33" i="2"/>
  <c r="Q8" i="7"/>
  <c r="DG812" i="1"/>
  <c r="DG114" i="1"/>
  <c r="BO296" i="1"/>
  <c r="DH296" i="1" s="1"/>
  <c r="BN354" i="1"/>
  <c r="BN379" i="1"/>
  <c r="DG379" i="1"/>
  <c r="BN679" i="1"/>
  <c r="DG679" i="1"/>
  <c r="BM813" i="1"/>
  <c r="BP114" i="1"/>
  <c r="BO124" i="1"/>
  <c r="BM814" i="1"/>
  <c r="DG814" i="1" l="1"/>
  <c r="BQ114" i="1"/>
  <c r="BQ124" i="1" s="1"/>
  <c r="BP124" i="1"/>
  <c r="AA70" i="24"/>
  <c r="BF269" i="1"/>
  <c r="BF81" i="1"/>
  <c r="BF322" i="1"/>
  <c r="BF381" i="1"/>
  <c r="BF319" i="1"/>
  <c r="BF325" i="1" s="1"/>
  <c r="BO679" i="1"/>
  <c r="BN814" i="1"/>
  <c r="BO125" i="1"/>
  <c r="BO814" i="1" s="1"/>
  <c r="BO812" i="1"/>
  <c r="DH124" i="1"/>
  <c r="AI6" i="24"/>
  <c r="BC6" i="24"/>
  <c r="BP296" i="1"/>
  <c r="BO354" i="1"/>
  <c r="DH354" i="1" s="1"/>
  <c r="BO379" i="1"/>
  <c r="DH379" i="1" s="1"/>
  <c r="BN813" i="1"/>
  <c r="BD6" i="24" l="1"/>
  <c r="DH114" i="1"/>
  <c r="DH812" i="1"/>
  <c r="DH679" i="1"/>
  <c r="BP679" i="1"/>
  <c r="BQ812" i="1"/>
  <c r="DI124" i="1"/>
  <c r="BP125" i="1"/>
  <c r="BQ125" i="1" s="1"/>
  <c r="DI125" i="1" s="1"/>
  <c r="DH125" i="1"/>
  <c r="DH813" i="1" s="1"/>
  <c r="BG323" i="1"/>
  <c r="BF390" i="1"/>
  <c r="BF377" i="1"/>
  <c r="BF391" i="1" s="1"/>
  <c r="AA8" i="24"/>
  <c r="AA9" i="24" s="1"/>
  <c r="BF380" i="1"/>
  <c r="BF327" i="1"/>
  <c r="BF387" i="1"/>
  <c r="BQ296" i="1"/>
  <c r="BP354" i="1"/>
  <c r="BP379" i="1"/>
  <c r="BO813" i="1"/>
  <c r="AJ6" i="24"/>
  <c r="BP812" i="1"/>
  <c r="BP814" i="1" l="1"/>
  <c r="BP813" i="1"/>
  <c r="BQ814" i="1"/>
  <c r="BG381" i="1"/>
  <c r="BG81" i="1"/>
  <c r="AB70" i="24"/>
  <c r="BG322" i="1"/>
  <c r="BG319" i="1"/>
  <c r="BG325" i="1" s="1"/>
  <c r="BG269" i="1"/>
  <c r="AA7" i="24"/>
  <c r="DD323" i="1"/>
  <c r="BF389" i="1"/>
  <c r="BQ679" i="1"/>
  <c r="DI296" i="1"/>
  <c r="BQ354" i="1"/>
  <c r="DI354" i="1" s="1"/>
  <c r="BQ379" i="1"/>
  <c r="DI379" i="1" s="1"/>
  <c r="BA725" i="1"/>
  <c r="BQ813" i="1"/>
  <c r="AK6" i="24"/>
  <c r="DI114" i="1"/>
  <c r="DI814" i="1"/>
  <c r="DI813" i="1"/>
  <c r="DI812" i="1"/>
  <c r="DH814" i="1"/>
  <c r="BE6" i="24" l="1"/>
  <c r="AB8" i="24"/>
  <c r="AB9" i="24" s="1"/>
  <c r="BG387" i="1"/>
  <c r="BG377" i="1"/>
  <c r="DD377" i="1" s="1"/>
  <c r="BG390" i="1"/>
  <c r="BG380" i="1"/>
  <c r="BG327" i="1"/>
  <c r="DD381" i="1"/>
  <c r="DI679" i="1"/>
  <c r="DD81" i="1"/>
  <c r="DD269" i="1"/>
  <c r="AZ70" i="24"/>
  <c r="DD319" i="1"/>
  <c r="DD322" i="1" s="1"/>
  <c r="AL6" i="24"/>
  <c r="BG391" i="1" l="1"/>
  <c r="DD391" i="1"/>
  <c r="BG389" i="1"/>
  <c r="DD387" i="1"/>
  <c r="DD389" i="1" s="1"/>
  <c r="DD327" i="1"/>
  <c r="AZ8" i="24"/>
  <c r="AZ9" i="24" s="1"/>
  <c r="AB7" i="24"/>
  <c r="DD380" i="1"/>
  <c r="DD325" i="1"/>
  <c r="BH323" i="1" l="1"/>
  <c r="AZ7" i="24"/>
  <c r="BH81" i="1" l="1"/>
  <c r="BH269" i="1"/>
  <c r="BH381" i="1"/>
  <c r="AC70" i="24"/>
  <c r="BH319" i="1"/>
  <c r="BH325" i="1" s="1"/>
  <c r="BH322" i="1"/>
  <c r="BH387" i="1" l="1"/>
  <c r="BH377" i="1"/>
  <c r="BH391" i="1" s="1"/>
  <c r="BH380" i="1"/>
  <c r="BH390" i="1"/>
  <c r="AC8" i="24"/>
  <c r="AC9" i="24" s="1"/>
  <c r="BH327" i="1"/>
  <c r="BH389" i="1" l="1"/>
  <c r="DE323" i="1"/>
  <c r="BI323" i="1"/>
  <c r="AC7" i="24"/>
  <c r="BI322" i="1" l="1"/>
  <c r="BJ323" i="1"/>
  <c r="BI319" i="1"/>
  <c r="BI325" i="1" s="1"/>
  <c r="AD70" i="24"/>
  <c r="BI381" i="1"/>
  <c r="BI81" i="1"/>
  <c r="BI269" i="1"/>
  <c r="DE81" i="1"/>
  <c r="BA70" i="24"/>
  <c r="DE319" i="1"/>
  <c r="DE322" i="1" s="1"/>
  <c r="DE269" i="1"/>
  <c r="DE325" i="1" l="1"/>
  <c r="AD8" i="24"/>
  <c r="AD9" i="24" s="1"/>
  <c r="BI390" i="1"/>
  <c r="BI377" i="1"/>
  <c r="DE377" i="1" s="1"/>
  <c r="BI387" i="1"/>
  <c r="BI380" i="1"/>
  <c r="BI327" i="1"/>
  <c r="DE381" i="1"/>
  <c r="BJ322" i="1"/>
  <c r="AE70" i="24"/>
  <c r="BJ269" i="1"/>
  <c r="BK323" i="1"/>
  <c r="BJ381" i="1"/>
  <c r="BJ81" i="1"/>
  <c r="BJ319" i="1"/>
  <c r="BJ377" i="1" s="1"/>
  <c r="DF323" i="1" l="1"/>
  <c r="BL323" i="1"/>
  <c r="BM323" i="1" s="1"/>
  <c r="BN323" i="1" s="1"/>
  <c r="BO323" i="1" s="1"/>
  <c r="BP323" i="1" s="1"/>
  <c r="BQ323" i="1" s="1"/>
  <c r="BJ325" i="1"/>
  <c r="BI391" i="1"/>
  <c r="BA8" i="24"/>
  <c r="BA9" i="24" s="1"/>
  <c r="DE391" i="1"/>
  <c r="DE327" i="1"/>
  <c r="BI389" i="1"/>
  <c r="DE387" i="1"/>
  <c r="DE389" i="1" s="1"/>
  <c r="BK319" i="1"/>
  <c r="BK377" i="1" s="1"/>
  <c r="DF377" i="1" s="1"/>
  <c r="BK269" i="1"/>
  <c r="BK81" i="1"/>
  <c r="BK322" i="1"/>
  <c r="AF70" i="24"/>
  <c r="BK381" i="1"/>
  <c r="AD7" i="24"/>
  <c r="DE380" i="1"/>
  <c r="BJ380" i="1"/>
  <c r="AE8" i="24"/>
  <c r="AE9" i="24" s="1"/>
  <c r="BJ327" i="1"/>
  <c r="BJ391" i="1"/>
  <c r="BJ387" i="1"/>
  <c r="BK325" i="1" l="1"/>
  <c r="AE7" i="24"/>
  <c r="BB70" i="24"/>
  <c r="DF319" i="1"/>
  <c r="DF322" i="1" s="1"/>
  <c r="DF81" i="1"/>
  <c r="DF269" i="1"/>
  <c r="DF381" i="1"/>
  <c r="AF8" i="24"/>
  <c r="AF9" i="24" s="1"/>
  <c r="BK387" i="1"/>
  <c r="BK389" i="1" s="1"/>
  <c r="BK327" i="1"/>
  <c r="BK391" i="1"/>
  <c r="BK380" i="1"/>
  <c r="BJ389" i="1"/>
  <c r="BA7" i="24"/>
  <c r="BL381" i="1"/>
  <c r="BL269" i="1"/>
  <c r="BL319" i="1"/>
  <c r="BL377" i="1" s="1"/>
  <c r="AG70" i="24"/>
  <c r="BL322" i="1"/>
  <c r="BL81" i="1"/>
  <c r="DF387" i="1" l="1"/>
  <c r="DF389" i="1" s="1"/>
  <c r="DF325" i="1"/>
  <c r="DF380" i="1"/>
  <c r="AF7" i="24"/>
  <c r="DF327" i="1"/>
  <c r="DF391" i="1"/>
  <c r="BB8" i="24"/>
  <c r="BL325" i="1"/>
  <c r="BL380" i="1"/>
  <c r="BL391" i="1"/>
  <c r="AG8" i="24"/>
  <c r="AG9" i="24" s="1"/>
  <c r="BL387" i="1"/>
  <c r="BL327" i="1"/>
  <c r="DG323" i="1"/>
  <c r="BM322" i="1"/>
  <c r="BM319" i="1"/>
  <c r="BM377" i="1" s="1"/>
  <c r="DG377" i="1" s="1"/>
  <c r="BM381" i="1"/>
  <c r="DG381" i="1" s="1"/>
  <c r="AH70" i="24"/>
  <c r="BM81" i="1"/>
  <c r="BM269" i="1"/>
  <c r="BM325" i="1" l="1"/>
  <c r="BC8" i="24"/>
  <c r="DG327" i="1"/>
  <c r="DG391" i="1"/>
  <c r="AG7" i="24"/>
  <c r="BB7" i="24"/>
  <c r="BN381" i="1"/>
  <c r="BN319" i="1"/>
  <c r="BN377" i="1" s="1"/>
  <c r="BN269" i="1"/>
  <c r="BN81" i="1"/>
  <c r="AI70" i="24"/>
  <c r="BN322" i="1"/>
  <c r="DG81" i="1"/>
  <c r="DG319" i="1"/>
  <c r="DG322" i="1" s="1"/>
  <c r="DG269" i="1"/>
  <c r="BC70" i="24"/>
  <c r="BL389" i="1"/>
  <c r="AH8" i="24"/>
  <c r="AH9" i="24" s="1"/>
  <c r="BM391" i="1"/>
  <c r="BM327" i="1"/>
  <c r="BM387" i="1"/>
  <c r="BM389" i="1" s="1"/>
  <c r="BM380" i="1"/>
  <c r="DG387" i="1" l="1"/>
  <c r="DG389" i="1" s="1"/>
  <c r="BN325" i="1"/>
  <c r="DG380" i="1"/>
  <c r="AH7" i="24"/>
  <c r="BN387" i="1"/>
  <c r="BN327" i="1"/>
  <c r="BN391" i="1"/>
  <c r="BN380" i="1"/>
  <c r="AI8" i="24"/>
  <c r="AI9" i="24" s="1"/>
  <c r="DG325" i="1"/>
  <c r="DH323" i="1"/>
  <c r="AJ70" i="24"/>
  <c r="BO381" i="1"/>
  <c r="BO269" i="1"/>
  <c r="BO81" i="1"/>
  <c r="BO319" i="1"/>
  <c r="BO377" i="1" s="1"/>
  <c r="DH377" i="1" s="1"/>
  <c r="BO322" i="1"/>
  <c r="BO325" i="1" l="1"/>
  <c r="BP322" i="1"/>
  <c r="BP81" i="1"/>
  <c r="BP319" i="1"/>
  <c r="BP377" i="1" s="1"/>
  <c r="BP381" i="1"/>
  <c r="AK70" i="24"/>
  <c r="BP269" i="1"/>
  <c r="DI323" i="1"/>
  <c r="BC7" i="24"/>
  <c r="DH381" i="1"/>
  <c r="BO391" i="1"/>
  <c r="BO380" i="1"/>
  <c r="BO387" i="1"/>
  <c r="BO389" i="1" s="1"/>
  <c r="BO327" i="1"/>
  <c r="AJ8" i="24"/>
  <c r="AJ9" i="24" s="1"/>
  <c r="AI7" i="24"/>
  <c r="BD70" i="24"/>
  <c r="DH319" i="1"/>
  <c r="DH322" i="1" s="1"/>
  <c r="DH269" i="1"/>
  <c r="DH81" i="1"/>
  <c r="BN389" i="1"/>
  <c r="BP325" i="1" l="1"/>
  <c r="DH387" i="1"/>
  <c r="DH389" i="1" s="1"/>
  <c r="DI81" i="1"/>
  <c r="BE70" i="24"/>
  <c r="DI319" i="1"/>
  <c r="DI322" i="1" s="1"/>
  <c r="DI269" i="1"/>
  <c r="BQ381" i="1"/>
  <c r="DI381" i="1" s="1"/>
  <c r="AL70" i="24"/>
  <c r="BQ319" i="1"/>
  <c r="BQ377" i="1" s="1"/>
  <c r="DI377" i="1" s="1"/>
  <c r="BQ269" i="1"/>
  <c r="BQ81" i="1"/>
  <c r="BQ322" i="1"/>
  <c r="DH325" i="1"/>
  <c r="BD8" i="24"/>
  <c r="DH391" i="1"/>
  <c r="DH327" i="1"/>
  <c r="DH380" i="1"/>
  <c r="AJ7" i="24"/>
  <c r="BP380" i="1"/>
  <c r="AK8" i="24"/>
  <c r="AK9" i="24" s="1"/>
  <c r="BP387" i="1"/>
  <c r="BP391" i="1"/>
  <c r="BP327" i="1"/>
  <c r="DI325" i="1" l="1"/>
  <c r="BD7" i="24"/>
  <c r="BQ325" i="1"/>
  <c r="AL8" i="24"/>
  <c r="AL9" i="24" s="1"/>
  <c r="BQ387" i="1"/>
  <c r="BQ389" i="1" s="1"/>
  <c r="BQ391" i="1"/>
  <c r="BQ327" i="1"/>
  <c r="BQ380" i="1"/>
  <c r="BP389" i="1"/>
  <c r="AK7" i="24"/>
  <c r="DI327" i="1"/>
  <c r="BE8" i="24"/>
  <c r="DI391" i="1"/>
  <c r="DI387" i="1" l="1"/>
  <c r="DI389" i="1" s="1"/>
  <c r="DI380" i="1"/>
  <c r="AL7" i="24"/>
  <c r="BE7" i="24" l="1"/>
  <c r="AZ210" i="1" l="1"/>
  <c r="AZ209" i="1" s="1"/>
  <c r="AZ64" i="1" s="1"/>
  <c r="BA209" i="1" l="1"/>
  <c r="BA266" i="1" s="1"/>
  <c r="DA266" i="1" s="1"/>
  <c r="AZ208" i="1"/>
  <c r="AZ152" i="1" s="1"/>
  <c r="BA265" i="1" l="1"/>
  <c r="BB209" i="1"/>
  <c r="DA209" i="1"/>
  <c r="BA210" i="1"/>
  <c r="DA210" i="1" s="1"/>
  <c r="BC209" i="1" l="1"/>
  <c r="BC266" i="1" s="1"/>
  <c r="BC267" i="1" s="1"/>
  <c r="BC87" i="1" s="1"/>
  <c r="BB210" i="1"/>
  <c r="BB266" i="1"/>
  <c r="DA265" i="1"/>
  <c r="BA267" i="1"/>
  <c r="BA87" i="1" l="1"/>
  <c r="DA267" i="1"/>
  <c r="DA87" i="1" s="1"/>
  <c r="BB267" i="1"/>
  <c r="DB266" i="1"/>
  <c r="BC210" i="1"/>
  <c r="DB210" i="1" s="1"/>
  <c r="BD209" i="1"/>
  <c r="DB209" i="1"/>
  <c r="DB267" i="1" l="1"/>
  <c r="DB87" i="1" s="1"/>
  <c r="BB87" i="1"/>
  <c r="BE209" i="1"/>
  <c r="BD210" i="1"/>
  <c r="BD266" i="1"/>
  <c r="DC209" i="1" l="1"/>
  <c r="BE210" i="1"/>
  <c r="DC210" i="1" s="1"/>
  <c r="BF209" i="1"/>
  <c r="BD267" i="1"/>
  <c r="BE266" i="1"/>
  <c r="BE267" i="1" s="1"/>
  <c r="BE87" i="1" s="1"/>
  <c r="DC266" i="1" l="1"/>
  <c r="DC267" i="1"/>
  <c r="DC87" i="1" s="1"/>
  <c r="BD87" i="1"/>
  <c r="BF210" i="1"/>
  <c r="BG209" i="1"/>
  <c r="BG266" i="1"/>
  <c r="BG267" i="1" s="1"/>
  <c r="BG87" i="1" s="1"/>
  <c r="BF266" i="1"/>
  <c r="BF267" i="1" l="1"/>
  <c r="DD266" i="1"/>
  <c r="BG210" i="1"/>
  <c r="DD210" i="1" s="1"/>
  <c r="BH209" i="1"/>
  <c r="DD209" i="1"/>
  <c r="BH266" i="1"/>
  <c r="BH267" i="1" l="1"/>
  <c r="BI209" i="1"/>
  <c r="BI266" i="1" s="1"/>
  <c r="BI267" i="1" s="1"/>
  <c r="BI87" i="1" s="1"/>
  <c r="BH210" i="1"/>
  <c r="DD267" i="1"/>
  <c r="DD87" i="1" s="1"/>
  <c r="BF87" i="1"/>
  <c r="DE267" i="1" l="1"/>
  <c r="DE87" i="1" s="1"/>
  <c r="BH87" i="1"/>
  <c r="BI210" i="1"/>
  <c r="DE210" i="1" s="1"/>
  <c r="BJ209" i="1"/>
  <c r="DE209" i="1"/>
  <c r="DE266" i="1"/>
  <c r="BK209" i="1" l="1"/>
  <c r="BK266" i="1" s="1"/>
  <c r="BK267" i="1" s="1"/>
  <c r="BJ210" i="1"/>
  <c r="BJ266" i="1"/>
  <c r="BJ267" i="1" l="1"/>
  <c r="DF266" i="1"/>
  <c r="BK210" i="1"/>
  <c r="DF210" i="1" s="1"/>
  <c r="DF209" i="1"/>
  <c r="BL209" i="1"/>
  <c r="BL210" i="1" l="1"/>
  <c r="BM209" i="1"/>
  <c r="BM266" i="1" s="1"/>
  <c r="BM267" i="1" s="1"/>
  <c r="BL266" i="1"/>
  <c r="DF267" i="1"/>
  <c r="BL267" i="1" l="1"/>
  <c r="DG266" i="1"/>
  <c r="BM210" i="1"/>
  <c r="DG210" i="1" s="1"/>
  <c r="DG209" i="1"/>
  <c r="BN209" i="1"/>
  <c r="BO209" i="1" l="1"/>
  <c r="BO266" i="1"/>
  <c r="BO267" i="1" s="1"/>
  <c r="BN210" i="1"/>
  <c r="BN266" i="1"/>
  <c r="DG267" i="1"/>
  <c r="BN267" i="1" l="1"/>
  <c r="DH266" i="1"/>
  <c r="BP209" i="1"/>
  <c r="BO210" i="1"/>
  <c r="DH210" i="1" s="1"/>
  <c r="DH209" i="1"/>
  <c r="BP210" i="1" l="1"/>
  <c r="BQ209" i="1"/>
  <c r="BP266" i="1"/>
  <c r="DH267" i="1"/>
  <c r="BP267" i="1" l="1"/>
  <c r="DI209" i="1"/>
  <c r="BQ210" i="1"/>
  <c r="DI210" i="1" s="1"/>
  <c r="BQ266" i="1"/>
  <c r="BQ267" i="1" s="1"/>
  <c r="DI267" i="1" l="1"/>
  <c r="DI266" i="1"/>
  <c r="AZ49" i="1"/>
  <c r="AZ46" i="1"/>
  <c r="AZ48" i="1"/>
  <c r="AZ47" i="1"/>
  <c r="AZ45" i="1"/>
  <c r="AZ43" i="1"/>
  <c r="AZ44" i="1"/>
  <c r="AZ818" i="1"/>
  <c r="J104" i="2" s="1"/>
  <c r="AZ815" i="1"/>
  <c r="J101" i="2" s="1"/>
  <c r="AZ816" i="1"/>
  <c r="J102" i="2" s="1"/>
  <c r="AZ817" i="1"/>
  <c r="J103" i="2" s="1"/>
  <c r="AZ824" i="1"/>
  <c r="J107" i="2" s="1"/>
  <c r="AZ823" i="1"/>
  <c r="J106" i="2" s="1"/>
  <c r="AZ822" i="1"/>
  <c r="J105" i="2" s="1"/>
  <c r="BA116" i="1" l="1"/>
  <c r="BA121" i="1" s="1"/>
  <c r="AZ115" i="1"/>
  <c r="AZ821" i="1"/>
  <c r="AZ826" i="1"/>
  <c r="AZ825" i="1"/>
  <c r="AZ827" i="1"/>
  <c r="AZ820" i="1"/>
  <c r="AZ116" i="1"/>
  <c r="AZ819" i="1"/>
  <c r="BB116" i="1" l="1"/>
  <c r="BB121" i="1" s="1"/>
  <c r="BA712" i="1"/>
  <c r="BA816" i="1"/>
  <c r="K102" i="2" s="1"/>
  <c r="BA818" i="1"/>
  <c r="K104" i="2" s="1"/>
  <c r="BA821" i="1"/>
  <c r="BA817" i="1"/>
  <c r="K103" i="2" s="1"/>
  <c r="BA819" i="1"/>
  <c r="BA820" i="1"/>
  <c r="DA121" i="1"/>
  <c r="BA598" i="1"/>
  <c r="DA712" i="1" l="1"/>
  <c r="DA816" i="1"/>
  <c r="DA818" i="1"/>
  <c r="DA821" i="1"/>
  <c r="DA819" i="1"/>
  <c r="DA817" i="1"/>
  <c r="DA820" i="1"/>
  <c r="DA116" i="1"/>
  <c r="DA598" i="1"/>
  <c r="DA604" i="1" s="1"/>
  <c r="BA604" i="1"/>
  <c r="BB598" i="1"/>
  <c r="BC116" i="1"/>
  <c r="BC121" i="1" s="1"/>
  <c r="BB818" i="1"/>
  <c r="L104" i="2" s="1"/>
  <c r="BB712" i="1"/>
  <c r="BB817" i="1"/>
  <c r="L103" i="2" s="1"/>
  <c r="BB816" i="1"/>
  <c r="L102" i="2" s="1"/>
  <c r="BB819" i="1"/>
  <c r="BB821" i="1"/>
  <c r="BB820" i="1"/>
  <c r="E104" i="2" l="1"/>
  <c r="H75" i="7"/>
  <c r="E102" i="2"/>
  <c r="H73" i="7"/>
  <c r="BD116" i="1"/>
  <c r="BD121" i="1" s="1"/>
  <c r="BC817" i="1"/>
  <c r="BC820" i="1"/>
  <c r="BC819" i="1"/>
  <c r="BC712" i="1"/>
  <c r="BC816" i="1"/>
  <c r="BC821" i="1"/>
  <c r="BC818" i="1"/>
  <c r="DB121" i="1"/>
  <c r="BB604" i="1"/>
  <c r="BC598" i="1"/>
  <c r="H74" i="7"/>
  <c r="E103" i="2"/>
  <c r="M52" i="23"/>
  <c r="DB712" i="1" l="1"/>
  <c r="DB598" i="1"/>
  <c r="DB604" i="1" s="1"/>
  <c r="BC604" i="1"/>
  <c r="BD598" i="1"/>
  <c r="BE116" i="1"/>
  <c r="BE121" i="1" s="1"/>
  <c r="BD818" i="1"/>
  <c r="BD817" i="1"/>
  <c r="BD819" i="1"/>
  <c r="BD821" i="1"/>
  <c r="BD820" i="1"/>
  <c r="BD712" i="1"/>
  <c r="BD816" i="1"/>
  <c r="DB817" i="1"/>
  <c r="DB816" i="1"/>
  <c r="DB819" i="1"/>
  <c r="DB821" i="1"/>
  <c r="DB820" i="1"/>
  <c r="DB116" i="1"/>
  <c r="DB818" i="1"/>
  <c r="F104" i="2" l="1"/>
  <c r="I75" i="7"/>
  <c r="BF116" i="1"/>
  <c r="BF121" i="1" s="1"/>
  <c r="I74" i="7"/>
  <c r="N52" i="23"/>
  <c r="F103" i="2"/>
  <c r="BE712" i="1"/>
  <c r="BE816" i="1"/>
  <c r="BE819" i="1"/>
  <c r="BE821" i="1"/>
  <c r="BE817" i="1"/>
  <c r="BE820" i="1"/>
  <c r="BE818" i="1"/>
  <c r="DC121" i="1"/>
  <c r="BD604" i="1"/>
  <c r="BE598" i="1"/>
  <c r="I73" i="7"/>
  <c r="F102" i="2"/>
  <c r="DC817" i="1" l="1"/>
  <c r="DC816" i="1"/>
  <c r="DC818" i="1"/>
  <c r="DC820" i="1"/>
  <c r="DC819" i="1"/>
  <c r="DC821" i="1"/>
  <c r="DC116" i="1"/>
  <c r="BG116" i="1"/>
  <c r="BG121" i="1" s="1"/>
  <c r="BF819" i="1"/>
  <c r="BF816" i="1"/>
  <c r="BF818" i="1"/>
  <c r="BF817" i="1"/>
  <c r="BF712" i="1"/>
  <c r="BF821" i="1"/>
  <c r="BF820" i="1"/>
  <c r="DC712" i="1"/>
  <c r="DC598" i="1"/>
  <c r="DC604" i="1" s="1"/>
  <c r="BE604" i="1"/>
  <c r="BF598" i="1"/>
  <c r="BH116" i="1" l="1"/>
  <c r="BH121" i="1" s="1"/>
  <c r="BI116" i="1"/>
  <c r="G104" i="2"/>
  <c r="J75" i="7"/>
  <c r="G102" i="2"/>
  <c r="J73" i="7"/>
  <c r="BF604" i="1"/>
  <c r="BG598" i="1"/>
  <c r="BG712" i="1"/>
  <c r="BG820" i="1"/>
  <c r="BG821" i="1"/>
  <c r="BG817" i="1"/>
  <c r="DD121" i="1"/>
  <c r="BG816" i="1"/>
  <c r="BG819" i="1"/>
  <c r="BG818" i="1"/>
  <c r="O52" i="23"/>
  <c r="G103" i="2"/>
  <c r="J74" i="7"/>
  <c r="DD712" i="1" l="1"/>
  <c r="BG604" i="1"/>
  <c r="DD598" i="1"/>
  <c r="DD604" i="1" s="1"/>
  <c r="BH598" i="1"/>
  <c r="DD820" i="1"/>
  <c r="DD821" i="1"/>
  <c r="DD817" i="1"/>
  <c r="DD818" i="1"/>
  <c r="DD819" i="1"/>
  <c r="DD116" i="1"/>
  <c r="DD816" i="1"/>
  <c r="BI121" i="1"/>
  <c r="BJ116" i="1"/>
  <c r="BH820" i="1"/>
  <c r="BH818" i="1"/>
  <c r="BH816" i="1"/>
  <c r="BH819" i="1"/>
  <c r="BH821" i="1"/>
  <c r="BH817" i="1"/>
  <c r="BH712" i="1"/>
  <c r="BH604" i="1" l="1"/>
  <c r="BI598" i="1"/>
  <c r="BJ121" i="1"/>
  <c r="BK116" i="1"/>
  <c r="BI712" i="1"/>
  <c r="BI816" i="1"/>
  <c r="BI817" i="1"/>
  <c r="BI818" i="1"/>
  <c r="BI819" i="1"/>
  <c r="BI821" i="1"/>
  <c r="DE121" i="1"/>
  <c r="BI820" i="1"/>
  <c r="DE816" i="1" l="1"/>
  <c r="DE818" i="1"/>
  <c r="DE116" i="1"/>
  <c r="DE821" i="1"/>
  <c r="DE817" i="1"/>
  <c r="DE819" i="1"/>
  <c r="DE820" i="1"/>
  <c r="BK121" i="1"/>
  <c r="BL116" i="1"/>
  <c r="DE598" i="1"/>
  <c r="DE604" i="1" s="1"/>
  <c r="BI604" i="1"/>
  <c r="BJ598" i="1"/>
  <c r="BJ819" i="1"/>
  <c r="BJ818" i="1"/>
  <c r="BJ816" i="1"/>
  <c r="BJ817" i="1"/>
  <c r="BJ820" i="1"/>
  <c r="BJ821" i="1"/>
  <c r="BJ712" i="1"/>
  <c r="DE712" i="1"/>
  <c r="BL121" i="1" l="1"/>
  <c r="BM116" i="1"/>
  <c r="BK712" i="1"/>
  <c r="BK818" i="1"/>
  <c r="BK817" i="1"/>
  <c r="BK819" i="1"/>
  <c r="DF121" i="1"/>
  <c r="BK816" i="1"/>
  <c r="BK820" i="1"/>
  <c r="BK821" i="1"/>
  <c r="BJ604" i="1"/>
  <c r="BK598" i="1"/>
  <c r="BM121" i="1" l="1"/>
  <c r="BN116" i="1"/>
  <c r="BL818" i="1"/>
  <c r="BL820" i="1"/>
  <c r="BL817" i="1"/>
  <c r="BL819" i="1"/>
  <c r="BL816" i="1"/>
  <c r="BL712" i="1"/>
  <c r="BL821" i="1"/>
  <c r="DF821" i="1"/>
  <c r="DF818" i="1"/>
  <c r="DF116" i="1"/>
  <c r="DF817" i="1"/>
  <c r="DF819" i="1"/>
  <c r="DF816" i="1"/>
  <c r="DF820" i="1"/>
  <c r="DF712" i="1"/>
  <c r="DF598" i="1"/>
  <c r="DF604" i="1" s="1"/>
  <c r="BK604" i="1"/>
  <c r="BL598" i="1"/>
  <c r="BL604" i="1" l="1"/>
  <c r="BM598" i="1"/>
  <c r="BN121" i="1"/>
  <c r="BO116" i="1"/>
  <c r="BM712" i="1"/>
  <c r="BM817" i="1"/>
  <c r="BM821" i="1"/>
  <c r="BM818" i="1"/>
  <c r="BM819" i="1"/>
  <c r="BM820" i="1"/>
  <c r="BM816" i="1"/>
  <c r="DG121" i="1"/>
  <c r="BO121" i="1" l="1"/>
  <c r="BP116" i="1"/>
  <c r="BN712" i="1"/>
  <c r="BN818" i="1"/>
  <c r="BN817" i="1"/>
  <c r="BN820" i="1"/>
  <c r="BN816" i="1"/>
  <c r="BN819" i="1"/>
  <c r="BN821" i="1"/>
  <c r="DG819" i="1"/>
  <c r="DG816" i="1"/>
  <c r="DG817" i="1"/>
  <c r="DG821" i="1"/>
  <c r="DG818" i="1"/>
  <c r="DG116" i="1"/>
  <c r="DG820" i="1"/>
  <c r="DG598" i="1"/>
  <c r="DG604" i="1" s="1"/>
  <c r="BM604" i="1"/>
  <c r="BN598" i="1"/>
  <c r="DG712" i="1"/>
  <c r="BN604" i="1" l="1"/>
  <c r="BO598" i="1"/>
  <c r="BQ116" i="1"/>
  <c r="BQ121" i="1" s="1"/>
  <c r="BP121" i="1"/>
  <c r="BO712" i="1"/>
  <c r="BO820" i="1"/>
  <c r="BO818" i="1"/>
  <c r="BO819" i="1"/>
  <c r="BO821" i="1"/>
  <c r="BO816" i="1"/>
  <c r="BO817" i="1"/>
  <c r="DH121" i="1"/>
  <c r="BP820" i="1" l="1"/>
  <c r="BP712" i="1"/>
  <c r="BP816" i="1"/>
  <c r="BP818" i="1"/>
  <c r="BP821" i="1"/>
  <c r="BP817" i="1"/>
  <c r="BP819" i="1"/>
  <c r="BQ712" i="1"/>
  <c r="BQ819" i="1"/>
  <c r="BQ821" i="1"/>
  <c r="BQ818" i="1"/>
  <c r="BQ817" i="1"/>
  <c r="DI121" i="1"/>
  <c r="BQ816" i="1"/>
  <c r="BQ820" i="1"/>
  <c r="DH817" i="1"/>
  <c r="DH816" i="1"/>
  <c r="DH819" i="1"/>
  <c r="DH818" i="1"/>
  <c r="DH821" i="1"/>
  <c r="DH820" i="1"/>
  <c r="DH116" i="1"/>
  <c r="DH712" i="1"/>
  <c r="BO604" i="1"/>
  <c r="DH598" i="1"/>
  <c r="DH604" i="1" s="1"/>
  <c r="BP598" i="1"/>
  <c r="BP604" i="1" l="1"/>
  <c r="BQ598" i="1"/>
  <c r="DI820" i="1"/>
  <c r="DI819" i="1"/>
  <c r="DI816" i="1"/>
  <c r="DI818" i="1"/>
  <c r="DI116" i="1"/>
  <c r="DI821" i="1"/>
  <c r="DI817" i="1"/>
  <c r="DI712" i="1"/>
  <c r="DI598" i="1" l="1"/>
  <c r="DI604" i="1" s="1"/>
  <c r="BQ604" i="1"/>
  <c r="AZ839" i="1"/>
  <c r="U11" i="24"/>
  <c r="J34" i="2"/>
  <c r="J35" i="2"/>
  <c r="U12" i="24"/>
  <c r="J36" i="2"/>
  <c r="DA397" i="1"/>
  <c r="DA86" i="1" s="1"/>
  <c r="AZ85" i="1"/>
  <c r="BA85" i="1"/>
  <c r="BA396" i="1" s="1"/>
  <c r="AW12" i="24" l="1"/>
  <c r="DA396" i="1"/>
  <c r="K35" i="2"/>
  <c r="O11" i="7"/>
  <c r="E36" i="2"/>
  <c r="AZ86" i="1"/>
  <c r="AZ84" i="1"/>
  <c r="BA84" i="1"/>
  <c r="BA395" i="1" s="1"/>
  <c r="V11" i="24" l="1"/>
  <c r="K34" i="2"/>
  <c r="DA395" i="1"/>
  <c r="BB85" i="1"/>
  <c r="BB396" i="1" s="1"/>
  <c r="BA406" i="1"/>
  <c r="BB84" i="1"/>
  <c r="BB395" i="1" s="1"/>
  <c r="O10" i="7"/>
  <c r="E35" i="2"/>
  <c r="DA85" i="1"/>
  <c r="BA705" i="1"/>
  <c r="DA705" i="1" s="1"/>
  <c r="L35" i="2" l="1"/>
  <c r="BC85" i="1"/>
  <c r="BC396" i="1" s="1"/>
  <c r="BB705" i="1"/>
  <c r="L34" i="2"/>
  <c r="W11" i="24"/>
  <c r="BC84" i="1"/>
  <c r="BC395" i="1" s="1"/>
  <c r="DB395" i="1" s="1"/>
  <c r="BB406" i="1"/>
  <c r="E8" i="23"/>
  <c r="O9" i="7"/>
  <c r="DA84" i="1"/>
  <c r="E34" i="2"/>
  <c r="AW11" i="24"/>
  <c r="V15" i="24"/>
  <c r="BA408" i="1"/>
  <c r="X11" i="24" l="1"/>
  <c r="BD84" i="1"/>
  <c r="BD395" i="1" s="1"/>
  <c r="BC406" i="1"/>
  <c r="DB406" i="1" s="1"/>
  <c r="AX15" i="24" s="1"/>
  <c r="BC705" i="1"/>
  <c r="DB705" i="1" s="1"/>
  <c r="V17" i="24"/>
  <c r="BA393" i="1"/>
  <c r="BA414" i="1"/>
  <c r="BA99" i="1"/>
  <c r="BA419" i="1"/>
  <c r="BD85" i="1"/>
  <c r="BD396" i="1" s="1"/>
  <c r="P9" i="7"/>
  <c r="DB84" i="1"/>
  <c r="F34" i="2"/>
  <c r="DB396" i="1"/>
  <c r="F8" i="23" s="1"/>
  <c r="F10" i="23" s="1"/>
  <c r="W15" i="24"/>
  <c r="BB408" i="1"/>
  <c r="AX11" i="24" l="1"/>
  <c r="N45" i="23"/>
  <c r="F12" i="23"/>
  <c r="BA416" i="1"/>
  <c r="BA418" i="1" s="1"/>
  <c r="BA792" i="1"/>
  <c r="K89" i="2" s="1"/>
  <c r="X15" i="24"/>
  <c r="BC408" i="1"/>
  <c r="DB408" i="1" s="1"/>
  <c r="BE85" i="1"/>
  <c r="BE396" i="1" s="1"/>
  <c r="DC396" i="1" s="1"/>
  <c r="Y11" i="24"/>
  <c r="BD406" i="1"/>
  <c r="BE84" i="1"/>
  <c r="BE395" i="1" s="1"/>
  <c r="BB99" i="1"/>
  <c r="W17" i="24"/>
  <c r="BB393" i="1"/>
  <c r="BB414" i="1"/>
  <c r="BB419" i="1"/>
  <c r="BD705" i="1"/>
  <c r="P10" i="7"/>
  <c r="DB85" i="1"/>
  <c r="F35" i="2"/>
  <c r="BA793" i="1"/>
  <c r="BA426" i="1"/>
  <c r="K41" i="2"/>
  <c r="K40" i="2" s="1"/>
  <c r="BA454" i="1"/>
  <c r="L41" i="2" l="1"/>
  <c r="L40" i="2" s="1"/>
  <c r="BB794" i="1"/>
  <c r="L91" i="2" s="1"/>
  <c r="BB793" i="1"/>
  <c r="BB454" i="1"/>
  <c r="BB426" i="1"/>
  <c r="Z11" i="24"/>
  <c r="BF84" i="1"/>
  <c r="BF395" i="1" s="1"/>
  <c r="BE406" i="1"/>
  <c r="DC406" i="1" s="1"/>
  <c r="AY15" i="24" s="1"/>
  <c r="BF85" i="1"/>
  <c r="BF396" i="1" s="1"/>
  <c r="BB416" i="1"/>
  <c r="BB418" i="1" s="1"/>
  <c r="Y15" i="24"/>
  <c r="BD408" i="1"/>
  <c r="DC85" i="1"/>
  <c r="Q10" i="7"/>
  <c r="G35" i="2"/>
  <c r="BB792" i="1"/>
  <c r="L89" i="2" s="1"/>
  <c r="DC395" i="1"/>
  <c r="V71" i="24"/>
  <c r="K90" i="2"/>
  <c r="BE705" i="1"/>
  <c r="BC393" i="1"/>
  <c r="BC99" i="1"/>
  <c r="X17" i="24"/>
  <c r="BC414" i="1"/>
  <c r="DB414" i="1" s="1"/>
  <c r="BC419" i="1"/>
  <c r="BA428" i="1"/>
  <c r="V19" i="24"/>
  <c r="N21" i="23"/>
  <c r="K43" i="2"/>
  <c r="K42" i="2" s="1"/>
  <c r="BA734" i="1"/>
  <c r="BA761" i="1" s="1"/>
  <c r="BA461" i="1"/>
  <c r="DB99" i="1"/>
  <c r="AX17" i="24"/>
  <c r="DB393" i="1"/>
  <c r="DB419" i="1"/>
  <c r="DB416" i="1" l="1"/>
  <c r="BC792" i="1"/>
  <c r="AA11" i="24"/>
  <c r="BF406" i="1"/>
  <c r="BG84" i="1"/>
  <c r="BG395" i="1" s="1"/>
  <c r="BB734" i="1"/>
  <c r="BB761" i="1" s="1"/>
  <c r="BB461" i="1"/>
  <c r="L43" i="2"/>
  <c r="L42" i="2" s="1"/>
  <c r="V32" i="24"/>
  <c r="BA463" i="1"/>
  <c r="G8" i="23"/>
  <c r="G10" i="23" s="1"/>
  <c r="Q9" i="7"/>
  <c r="AY11" i="24"/>
  <c r="G34" i="2"/>
  <c r="DC84" i="1"/>
  <c r="L90" i="2"/>
  <c r="W71" i="24"/>
  <c r="P15" i="7"/>
  <c r="DB793" i="1"/>
  <c r="F41" i="2"/>
  <c r="F40" i="2" s="1"/>
  <c r="DB426" i="1"/>
  <c r="DB454" i="1"/>
  <c r="BD99" i="1"/>
  <c r="Y17" i="24"/>
  <c r="BD393" i="1"/>
  <c r="BD419" i="1"/>
  <c r="BD414" i="1"/>
  <c r="BG85" i="1"/>
  <c r="BG396" i="1" s="1"/>
  <c r="DD396" i="1" s="1"/>
  <c r="BC426" i="1"/>
  <c r="BC793" i="1"/>
  <c r="X71" i="24" s="1"/>
  <c r="BC454" i="1"/>
  <c r="BC794" i="1"/>
  <c r="BF705" i="1"/>
  <c r="DB792" i="1"/>
  <c r="F89" i="2" s="1"/>
  <c r="P14" i="7"/>
  <c r="BC416" i="1"/>
  <c r="BC418" i="1" s="1"/>
  <c r="W19" i="24"/>
  <c r="W20" i="24" s="1"/>
  <c r="BB428" i="1"/>
  <c r="DC705" i="1"/>
  <c r="Z15" i="24"/>
  <c r="BE408" i="1"/>
  <c r="DC408" i="1" s="1"/>
  <c r="I50" i="7" l="1"/>
  <c r="AY17" i="24"/>
  <c r="DC99" i="1"/>
  <c r="DC393" i="1"/>
  <c r="DC419" i="1"/>
  <c r="BH85" i="1"/>
  <c r="I51" i="7"/>
  <c r="P17" i="7"/>
  <c r="O45" i="23"/>
  <c r="G12" i="23"/>
  <c r="AB11" i="24"/>
  <c r="BH84" i="1"/>
  <c r="BG406" i="1"/>
  <c r="DD406" i="1" s="1"/>
  <c r="AZ15" i="24" s="1"/>
  <c r="AA15" i="24"/>
  <c r="BF408" i="1"/>
  <c r="BE393" i="1"/>
  <c r="Z17" i="24"/>
  <c r="BE99" i="1"/>
  <c r="BE419" i="1"/>
  <c r="BE414" i="1"/>
  <c r="DC414" i="1" s="1"/>
  <c r="BD416" i="1"/>
  <c r="BD418" i="1" s="1"/>
  <c r="BB463" i="1"/>
  <c r="W32" i="24"/>
  <c r="W33" i="24" s="1"/>
  <c r="BC461" i="1"/>
  <c r="BC734" i="1"/>
  <c r="BC761" i="1" s="1"/>
  <c r="AX19" i="24"/>
  <c r="DB428" i="1"/>
  <c r="BG705" i="1"/>
  <c r="BD426" i="1"/>
  <c r="BD793" i="1"/>
  <c r="Y71" i="24" s="1"/>
  <c r="BD794" i="1"/>
  <c r="BD454" i="1"/>
  <c r="F43" i="2"/>
  <c r="F42" i="2" s="1"/>
  <c r="DB734" i="1"/>
  <c r="DB461" i="1"/>
  <c r="DD85" i="1"/>
  <c r="BC428" i="1"/>
  <c r="X19" i="24"/>
  <c r="X20" i="24" s="1"/>
  <c r="BD792" i="1"/>
  <c r="F90" i="2"/>
  <c r="AX71" i="24"/>
  <c r="DD395" i="1"/>
  <c r="DC416" i="1" l="1"/>
  <c r="BE416" i="1"/>
  <c r="BE418" i="1" s="1"/>
  <c r="BF419" i="1"/>
  <c r="BF393" i="1"/>
  <c r="BF414" i="1"/>
  <c r="BF99" i="1"/>
  <c r="AA17" i="24"/>
  <c r="Q15" i="7"/>
  <c r="DC794" i="1"/>
  <c r="G91" i="2" s="1"/>
  <c r="G41" i="2"/>
  <c r="G40" i="2" s="1"/>
  <c r="DC793" i="1"/>
  <c r="DC426" i="1"/>
  <c r="DC454" i="1"/>
  <c r="BD428" i="1"/>
  <c r="Y19" i="24"/>
  <c r="Y20" i="24" s="1"/>
  <c r="BE794" i="1"/>
  <c r="BE426" i="1"/>
  <c r="BE793" i="1"/>
  <c r="Z71" i="24" s="1"/>
  <c r="BE454" i="1"/>
  <c r="DC792" i="1"/>
  <c r="G89" i="2" s="1"/>
  <c r="Q14" i="7"/>
  <c r="AX32" i="24"/>
  <c r="DB463" i="1"/>
  <c r="O21" i="23"/>
  <c r="BH705" i="1"/>
  <c r="BC463" i="1"/>
  <c r="X32" i="24"/>
  <c r="X33" i="24" s="1"/>
  <c r="AB15" i="24"/>
  <c r="BG408" i="1"/>
  <c r="BD734" i="1"/>
  <c r="BD761" i="1" s="1"/>
  <c r="BD461" i="1"/>
  <c r="AZ11" i="24"/>
  <c r="DD84" i="1"/>
  <c r="DB761" i="1"/>
  <c r="I16" i="7"/>
  <c r="C123" i="2"/>
  <c r="DD705" i="1"/>
  <c r="BE792" i="1"/>
  <c r="BJ84" i="1"/>
  <c r="BH395" i="1"/>
  <c r="I15" i="7"/>
  <c r="BJ85" i="1"/>
  <c r="BH396" i="1"/>
  <c r="J50" i="7" l="1"/>
  <c r="BG414" i="1"/>
  <c r="BG99" i="1"/>
  <c r="BG393" i="1"/>
  <c r="AB17" i="24"/>
  <c r="BG419" i="1"/>
  <c r="G90" i="2"/>
  <c r="AY71" i="24"/>
  <c r="I40" i="7"/>
  <c r="DD414" i="1"/>
  <c r="BF416" i="1"/>
  <c r="BF418" i="1" s="1"/>
  <c r="BJ395" i="1"/>
  <c r="BL84" i="1"/>
  <c r="BI705" i="1"/>
  <c r="G43" i="2"/>
  <c r="G42" i="2" s="1"/>
  <c r="DC734" i="1"/>
  <c r="DC461" i="1"/>
  <c r="BF792" i="1"/>
  <c r="AC11" i="24"/>
  <c r="BH406" i="1"/>
  <c r="BI84" i="1"/>
  <c r="Y32" i="24"/>
  <c r="Y33" i="24" s="1"/>
  <c r="BD463" i="1"/>
  <c r="BE734" i="1"/>
  <c r="BE761" i="1" s="1"/>
  <c r="BE461" i="1"/>
  <c r="AY19" i="24"/>
  <c r="AY20" i="24" s="1"/>
  <c r="DC428" i="1"/>
  <c r="DD408" i="1"/>
  <c r="BI85" i="1"/>
  <c r="BJ396" i="1"/>
  <c r="BL85" i="1"/>
  <c r="J51" i="7"/>
  <c r="J53" i="7"/>
  <c r="Q17" i="7"/>
  <c r="BF426" i="1"/>
  <c r="BF794" i="1"/>
  <c r="BF793" i="1"/>
  <c r="AA71" i="24" s="1"/>
  <c r="BF454" i="1"/>
  <c r="Z19" i="24"/>
  <c r="Z20" i="24" s="1"/>
  <c r="BE428" i="1"/>
  <c r="DD393" i="1" l="1"/>
  <c r="DD99" i="1"/>
  <c r="AZ17" i="24"/>
  <c r="DD419" i="1"/>
  <c r="AC15" i="24"/>
  <c r="BH408" i="1"/>
  <c r="DC761" i="1"/>
  <c r="J16" i="7"/>
  <c r="D123" i="2"/>
  <c r="E123" i="2" s="1"/>
  <c r="BL395" i="1"/>
  <c r="BN84" i="1"/>
  <c r="BN85" i="1"/>
  <c r="BL396" i="1"/>
  <c r="AE11" i="24"/>
  <c r="DD416" i="1"/>
  <c r="AY32" i="24"/>
  <c r="AY33" i="24" s="1"/>
  <c r="DC463" i="1"/>
  <c r="BG792" i="1"/>
  <c r="AA19" i="24"/>
  <c r="AA20" i="24" s="1"/>
  <c r="BF428" i="1"/>
  <c r="BI396" i="1"/>
  <c r="BK85" i="1"/>
  <c r="BJ705" i="1"/>
  <c r="BE463" i="1"/>
  <c r="Z32" i="24"/>
  <c r="Z33" i="24" s="1"/>
  <c r="DE705" i="1"/>
  <c r="BG416" i="1"/>
  <c r="BG418" i="1" s="1"/>
  <c r="BF734" i="1"/>
  <c r="BF761" i="1" s="1"/>
  <c r="BF461" i="1"/>
  <c r="J15" i="7"/>
  <c r="BI395" i="1"/>
  <c r="BJ398" i="1" s="1"/>
  <c r="BJ556" i="1" s="1"/>
  <c r="BK84" i="1"/>
  <c r="BG793" i="1"/>
  <c r="AB71" i="24" s="1"/>
  <c r="BG454" i="1"/>
  <c r="BG794" i="1"/>
  <c r="BG426" i="1"/>
  <c r="BJ626" i="1" l="1"/>
  <c r="BJ152" i="1"/>
  <c r="BJ562" i="1"/>
  <c r="BJ87" i="1"/>
  <c r="AE13" i="24"/>
  <c r="BJ406" i="1"/>
  <c r="AG11" i="24"/>
  <c r="AB19" i="24"/>
  <c r="AB20" i="24" s="1"/>
  <c r="BG428" i="1"/>
  <c r="DD454" i="1"/>
  <c r="DD426" i="1"/>
  <c r="DD794" i="1"/>
  <c r="DD793" i="1"/>
  <c r="AZ71" i="24" s="1"/>
  <c r="J40" i="7"/>
  <c r="J17" i="7"/>
  <c r="BK705" i="1"/>
  <c r="DF705" i="1" s="1"/>
  <c r="DE396" i="1"/>
  <c r="BG734" i="1"/>
  <c r="BG761" i="1" s="1"/>
  <c r="BG461" i="1"/>
  <c r="BK395" i="1"/>
  <c r="BM84" i="1"/>
  <c r="BF463" i="1"/>
  <c r="AA32" i="24"/>
  <c r="AA33" i="24" s="1"/>
  <c r="BN396" i="1"/>
  <c r="BP85" i="1"/>
  <c r="BP396" i="1" s="1"/>
  <c r="AD11" i="24"/>
  <c r="BI406" i="1"/>
  <c r="DE395" i="1"/>
  <c r="BK396" i="1"/>
  <c r="BM85" i="1"/>
  <c r="BN395" i="1"/>
  <c r="BP84" i="1"/>
  <c r="BP395" i="1" s="1"/>
  <c r="BH393" i="1"/>
  <c r="AC17" i="24"/>
  <c r="BH99" i="1"/>
  <c r="BH414" i="1"/>
  <c r="BH419" i="1"/>
  <c r="DD792" i="1"/>
  <c r="BH416" i="1" l="1"/>
  <c r="BH418" i="1" s="1"/>
  <c r="BM396" i="1"/>
  <c r="BO85" i="1"/>
  <c r="DD734" i="1"/>
  <c r="DD761" i="1" s="1"/>
  <c r="DD461" i="1"/>
  <c r="AE15" i="24"/>
  <c r="BJ440" i="1"/>
  <c r="BJ408" i="1"/>
  <c r="DF396" i="1"/>
  <c r="BL705" i="1"/>
  <c r="DE85" i="1"/>
  <c r="BH426" i="1"/>
  <c r="BH794" i="1"/>
  <c r="BH454" i="1"/>
  <c r="BH793" i="1"/>
  <c r="AC71" i="24" s="1"/>
  <c r="BA11" i="24"/>
  <c r="DE84" i="1"/>
  <c r="BM395" i="1"/>
  <c r="BO84" i="1"/>
  <c r="BH792" i="1"/>
  <c r="AD15" i="24"/>
  <c r="BI408" i="1"/>
  <c r="DE406" i="1"/>
  <c r="BA15" i="24" s="1"/>
  <c r="AF11" i="24"/>
  <c r="DF395" i="1"/>
  <c r="AK11" i="24"/>
  <c r="BG463" i="1"/>
  <c r="AB32" i="24"/>
  <c r="AB33" i="24" s="1"/>
  <c r="AI11" i="24"/>
  <c r="AZ19" i="24"/>
  <c r="AZ20" i="24" s="1"/>
  <c r="DD428" i="1"/>
  <c r="BK398" i="1"/>
  <c r="BK556" i="1" s="1"/>
  <c r="DF556" i="1" l="1"/>
  <c r="BK626" i="1"/>
  <c r="DF626" i="1" s="1"/>
  <c r="BK152" i="1"/>
  <c r="BK562" i="1"/>
  <c r="BH734" i="1"/>
  <c r="BH761" i="1" s="1"/>
  <c r="BH461" i="1"/>
  <c r="BQ85" i="1"/>
  <c r="BQ396" i="1" s="1"/>
  <c r="BO396" i="1"/>
  <c r="BO395" i="1"/>
  <c r="BQ84" i="1"/>
  <c r="BQ395" i="1" s="1"/>
  <c r="BM705" i="1"/>
  <c r="DG705" i="1" s="1"/>
  <c r="DF85" i="1"/>
  <c r="DD463" i="1"/>
  <c r="AZ32" i="24"/>
  <c r="AZ33" i="24" s="1"/>
  <c r="DG396" i="1"/>
  <c r="AF13" i="24"/>
  <c r="BK87" i="1"/>
  <c r="BL398" i="1"/>
  <c r="BL556" i="1" s="1"/>
  <c r="DF398" i="1"/>
  <c r="BK406" i="1"/>
  <c r="BJ414" i="1"/>
  <c r="BJ393" i="1"/>
  <c r="AE17" i="24"/>
  <c r="BJ419" i="1"/>
  <c r="BB11" i="24"/>
  <c r="DF84" i="1"/>
  <c r="BI414" i="1"/>
  <c r="AD17" i="24"/>
  <c r="BI99" i="1"/>
  <c r="BI393" i="1"/>
  <c r="BI419" i="1"/>
  <c r="DE408" i="1"/>
  <c r="AH11" i="24"/>
  <c r="DG395" i="1"/>
  <c r="AC19" i="24"/>
  <c r="AC20" i="24" s="1"/>
  <c r="BH428" i="1"/>
  <c r="BJ441" i="1"/>
  <c r="BK102" i="1"/>
  <c r="BL626" i="1" l="1"/>
  <c r="BL152" i="1"/>
  <c r="BL562" i="1"/>
  <c r="DF152" i="1"/>
  <c r="DF562" i="1"/>
  <c r="DI396" i="1"/>
  <c r="AL11" i="24"/>
  <c r="DI395" i="1"/>
  <c r="BJ416" i="1"/>
  <c r="AJ11" i="24"/>
  <c r="DH395" i="1"/>
  <c r="AC32" i="24"/>
  <c r="AC33" i="24" s="1"/>
  <c r="BH463" i="1"/>
  <c r="BI416" i="1"/>
  <c r="BI418" i="1" s="1"/>
  <c r="DE414" i="1"/>
  <c r="BJ792" i="1"/>
  <c r="AF15" i="24"/>
  <c r="BK408" i="1"/>
  <c r="DF406" i="1"/>
  <c r="BB15" i="24" s="1"/>
  <c r="DG85" i="1"/>
  <c r="BK103" i="1"/>
  <c r="BK106" i="1" s="1"/>
  <c r="DF102" i="1"/>
  <c r="DF96" i="1" s="1"/>
  <c r="BJ426" i="1"/>
  <c r="BI792" i="1"/>
  <c r="DF87" i="1"/>
  <c r="BB13" i="24"/>
  <c r="DE393" i="1"/>
  <c r="BA17" i="24"/>
  <c r="DE99" i="1"/>
  <c r="DE419" i="1"/>
  <c r="DG84" i="1"/>
  <c r="BC11" i="24"/>
  <c r="AE26" i="24"/>
  <c r="BJ443" i="1"/>
  <c r="BI793" i="1"/>
  <c r="AD71" i="24" s="1"/>
  <c r="BI794" i="1"/>
  <c r="BI426" i="1"/>
  <c r="BI454" i="1"/>
  <c r="BK440" i="1"/>
  <c r="BL87" i="1"/>
  <c r="AG13" i="24"/>
  <c r="BM398" i="1"/>
  <c r="BL406" i="1"/>
  <c r="BN705" i="1"/>
  <c r="DH396" i="1"/>
  <c r="DG398" i="1" l="1"/>
  <c r="DG87" i="1" s="1"/>
  <c r="BM556" i="1"/>
  <c r="BK790" i="1"/>
  <c r="DF106" i="1"/>
  <c r="BK572" i="1"/>
  <c r="BL101" i="1"/>
  <c r="DE416" i="1"/>
  <c r="BD11" i="24"/>
  <c r="DH84" i="1"/>
  <c r="AG15" i="24"/>
  <c r="BL408" i="1"/>
  <c r="BI734" i="1"/>
  <c r="BI761" i="1" s="1"/>
  <c r="BI461" i="1"/>
  <c r="BJ430" i="1"/>
  <c r="BJ99" i="1"/>
  <c r="BJ791" i="1"/>
  <c r="BJ98" i="1"/>
  <c r="BJ449" i="1"/>
  <c r="AE28" i="24"/>
  <c r="AE30" i="24" s="1"/>
  <c r="DH85" i="1"/>
  <c r="BI428" i="1"/>
  <c r="AD19" i="24"/>
  <c r="AD20" i="24" s="1"/>
  <c r="DE792" i="1"/>
  <c r="AF17" i="24"/>
  <c r="BK414" i="1"/>
  <c r="BK393" i="1"/>
  <c r="BK419" i="1"/>
  <c r="DF408" i="1"/>
  <c r="BJ454" i="1"/>
  <c r="DI84" i="1"/>
  <c r="BE11" i="24"/>
  <c r="BL440" i="1"/>
  <c r="DF440" i="1"/>
  <c r="BM87" i="1"/>
  <c r="AH13" i="24"/>
  <c r="BN398" i="1"/>
  <c r="BN556" i="1" s="1"/>
  <c r="BM406" i="1"/>
  <c r="BO705" i="1"/>
  <c r="DE793" i="1"/>
  <c r="BA71" i="24" s="1"/>
  <c r="DE794" i="1"/>
  <c r="DE426" i="1"/>
  <c r="DE454" i="1"/>
  <c r="BJ428" i="1"/>
  <c r="AE19" i="24"/>
  <c r="DF103" i="1"/>
  <c r="BK434" i="1"/>
  <c r="DI85" i="1"/>
  <c r="BC13" i="24" l="1"/>
  <c r="AE20" i="24"/>
  <c r="BN626" i="1"/>
  <c r="BN152" i="1"/>
  <c r="BN562" i="1"/>
  <c r="DG556" i="1"/>
  <c r="BM152" i="1"/>
  <c r="BM626" i="1"/>
  <c r="DG626" i="1" s="1"/>
  <c r="BM562" i="1"/>
  <c r="AH15" i="24"/>
  <c r="BM408" i="1"/>
  <c r="DG408" i="1" s="1"/>
  <c r="BM440" i="1"/>
  <c r="BK792" i="1"/>
  <c r="BJ451" i="1"/>
  <c r="BJ793" i="1"/>
  <c r="AE71" i="24" s="1"/>
  <c r="BJ794" i="1"/>
  <c r="DF434" i="1"/>
  <c r="BK441" i="1"/>
  <c r="BL102" i="1"/>
  <c r="DE428" i="1"/>
  <c r="BA19" i="24"/>
  <c r="BA20" i="24" s="1"/>
  <c r="BN87" i="1"/>
  <c r="AI13" i="24"/>
  <c r="BO398" i="1"/>
  <c r="BN406" i="1"/>
  <c r="BK416" i="1"/>
  <c r="DF414" i="1"/>
  <c r="BL393" i="1"/>
  <c r="AG17" i="24"/>
  <c r="BL414" i="1"/>
  <c r="BL419" i="1"/>
  <c r="DF572" i="1"/>
  <c r="DF585" i="1" s="1"/>
  <c r="BK627" i="1"/>
  <c r="DF627" i="1" s="1"/>
  <c r="BK585" i="1"/>
  <c r="BJ734" i="1"/>
  <c r="BJ761" i="1" s="1"/>
  <c r="BJ461" i="1"/>
  <c r="AD32" i="24"/>
  <c r="AD33" i="24" s="1"/>
  <c r="BI463" i="1"/>
  <c r="DG101" i="1"/>
  <c r="DF97" i="1"/>
  <c r="DF790" i="1"/>
  <c r="BP705" i="1"/>
  <c r="BB17" i="24"/>
  <c r="DF393" i="1"/>
  <c r="DF419" i="1"/>
  <c r="DG406" i="1"/>
  <c r="BC15" i="24" s="1"/>
  <c r="DE734" i="1"/>
  <c r="DE761" i="1" s="1"/>
  <c r="DE461" i="1"/>
  <c r="DH705" i="1"/>
  <c r="BK426" i="1"/>
  <c r="DG152" i="1" l="1"/>
  <c r="DG562" i="1"/>
  <c r="DH398" i="1"/>
  <c r="BO556" i="1"/>
  <c r="DF792" i="1"/>
  <c r="BL792" i="1"/>
  <c r="BQ705" i="1"/>
  <c r="BL426" i="1"/>
  <c r="BN440" i="1"/>
  <c r="BK428" i="1"/>
  <c r="AF19" i="24"/>
  <c r="AF20" i="24" s="1"/>
  <c r="DG393" i="1"/>
  <c r="BC17" i="24"/>
  <c r="DG419" i="1"/>
  <c r="DG440" i="1"/>
  <c r="AI15" i="24"/>
  <c r="BN408" i="1"/>
  <c r="AF26" i="24"/>
  <c r="BK443" i="1"/>
  <c r="DF441" i="1"/>
  <c r="BB26" i="24" s="1"/>
  <c r="DE463" i="1"/>
  <c r="BA32" i="24"/>
  <c r="BA33" i="24" s="1"/>
  <c r="DF426" i="1"/>
  <c r="DF416" i="1"/>
  <c r="BO87" i="1"/>
  <c r="AJ13" i="24"/>
  <c r="BP398" i="1"/>
  <c r="BP556" i="1" s="1"/>
  <c r="BO406" i="1"/>
  <c r="DH406" i="1" s="1"/>
  <c r="BD15" i="24" s="1"/>
  <c r="BM393" i="1"/>
  <c r="AH17" i="24"/>
  <c r="BM414" i="1"/>
  <c r="DG414" i="1" s="1"/>
  <c r="BM419" i="1"/>
  <c r="BJ463" i="1"/>
  <c r="AE32" i="24"/>
  <c r="AE33" i="24" s="1"/>
  <c r="BL416" i="1"/>
  <c r="BD13" i="24"/>
  <c r="DH87" i="1"/>
  <c r="BL103" i="1"/>
  <c r="DH556" i="1" l="1"/>
  <c r="BO626" i="1"/>
  <c r="DH626" i="1" s="1"/>
  <c r="BO152" i="1"/>
  <c r="BO562" i="1"/>
  <c r="BP626" i="1"/>
  <c r="BP152" i="1"/>
  <c r="BP562" i="1"/>
  <c r="BM792" i="1"/>
  <c r="DF428" i="1"/>
  <c r="BB19" i="24"/>
  <c r="BN393" i="1"/>
  <c r="AI17" i="24"/>
  <c r="BN414" i="1"/>
  <c r="BN419" i="1"/>
  <c r="BO440" i="1"/>
  <c r="DG426" i="1"/>
  <c r="BL428" i="1"/>
  <c r="AG19" i="24"/>
  <c r="AG20" i="24" s="1"/>
  <c r="BQ398" i="1"/>
  <c r="BQ556" i="1" s="1"/>
  <c r="DI398" i="1"/>
  <c r="BP87" i="1"/>
  <c r="AK13" i="24"/>
  <c r="BP406" i="1"/>
  <c r="DI705" i="1"/>
  <c r="BL434" i="1"/>
  <c r="BL106" i="1"/>
  <c r="BM426" i="1"/>
  <c r="BM416" i="1"/>
  <c r="DG792" i="1"/>
  <c r="DG416" i="1"/>
  <c r="AJ15" i="24"/>
  <c r="BO408" i="1"/>
  <c r="DH408" i="1" s="1"/>
  <c r="BK449" i="1"/>
  <c r="AF28" i="24"/>
  <c r="AF30" i="24" s="1"/>
  <c r="BK98" i="1"/>
  <c r="BK430" i="1"/>
  <c r="BK99" i="1"/>
  <c r="BK791" i="1"/>
  <c r="DF443" i="1"/>
  <c r="BK454" i="1"/>
  <c r="DI556" i="1" l="1"/>
  <c r="BQ626" i="1"/>
  <c r="DI626" i="1" s="1"/>
  <c r="BQ152" i="1"/>
  <c r="BQ562" i="1"/>
  <c r="BP440" i="1"/>
  <c r="DH152" i="1"/>
  <c r="DH562" i="1"/>
  <c r="BD17" i="24"/>
  <c r="DH393" i="1"/>
  <c r="DH419" i="1"/>
  <c r="BM101" i="1"/>
  <c r="BL572" i="1"/>
  <c r="BL790" i="1"/>
  <c r="AK15" i="24"/>
  <c r="BP408" i="1"/>
  <c r="DF430" i="1"/>
  <c r="BB28" i="24"/>
  <c r="DF99" i="1"/>
  <c r="DF98" i="1"/>
  <c r="DF791" i="1"/>
  <c r="DF454" i="1"/>
  <c r="BO393" i="1"/>
  <c r="BO414" i="1"/>
  <c r="DH414" i="1" s="1"/>
  <c r="AJ17" i="24"/>
  <c r="BO419" i="1"/>
  <c r="BM102" i="1"/>
  <c r="DG102" i="1" s="1"/>
  <c r="DG96" i="1" s="1"/>
  <c r="BL441" i="1"/>
  <c r="AH19" i="24"/>
  <c r="AH20" i="24" s="1"/>
  <c r="BM428" i="1"/>
  <c r="BC19" i="24"/>
  <c r="DG428" i="1"/>
  <c r="BN416" i="1"/>
  <c r="BK451" i="1"/>
  <c r="DF449" i="1"/>
  <c r="DF451" i="1" s="1"/>
  <c r="BK793" i="1"/>
  <c r="AF71" i="24" s="1"/>
  <c r="BK794" i="1"/>
  <c r="DI87" i="1"/>
  <c r="BE13" i="24"/>
  <c r="DH440" i="1"/>
  <c r="BN792" i="1"/>
  <c r="BK461" i="1"/>
  <c r="BK734" i="1"/>
  <c r="BK761" i="1" s="1"/>
  <c r="AL13" i="24"/>
  <c r="BQ87" i="1"/>
  <c r="BQ406" i="1"/>
  <c r="BN426" i="1"/>
  <c r="BQ440" i="1" l="1"/>
  <c r="DI440" i="1" s="1"/>
  <c r="DI152" i="1"/>
  <c r="DI562" i="1"/>
  <c r="AI19" i="24"/>
  <c r="AI20" i="24" s="1"/>
  <c r="BN428" i="1"/>
  <c r="DH416" i="1"/>
  <c r="DF734" i="1"/>
  <c r="DF761" i="1" s="1"/>
  <c r="DF461" i="1"/>
  <c r="BM103" i="1"/>
  <c r="BM106" i="1" s="1"/>
  <c r="AF32" i="24"/>
  <c r="AF33" i="24" s="1"/>
  <c r="BK463" i="1"/>
  <c r="AG26" i="24"/>
  <c r="BL443" i="1"/>
  <c r="BP393" i="1"/>
  <c r="AK17" i="24"/>
  <c r="BP414" i="1"/>
  <c r="BP419" i="1"/>
  <c r="BO426" i="1"/>
  <c r="DF793" i="1"/>
  <c r="BB71" i="24" s="1"/>
  <c r="DF794" i="1"/>
  <c r="DI406" i="1"/>
  <c r="BE15" i="24" s="1"/>
  <c r="DH426" i="1"/>
  <c r="BO416" i="1"/>
  <c r="DH792" i="1"/>
  <c r="AL15" i="24"/>
  <c r="BQ408" i="1"/>
  <c r="BO792" i="1"/>
  <c r="BL627" i="1"/>
  <c r="BL585" i="1"/>
  <c r="DG106" i="1" l="1"/>
  <c r="BN101" i="1"/>
  <c r="BM572" i="1"/>
  <c r="BM790" i="1"/>
  <c r="BB32" i="24"/>
  <c r="DF463" i="1"/>
  <c r="BM434" i="1"/>
  <c r="DG103" i="1"/>
  <c r="BO428" i="1"/>
  <c r="AJ19" i="24"/>
  <c r="AJ20" i="24" s="1"/>
  <c r="BP792" i="1"/>
  <c r="BD19" i="24"/>
  <c r="DH428" i="1"/>
  <c r="BP426" i="1"/>
  <c r="BQ393" i="1"/>
  <c r="AL17" i="24"/>
  <c r="BQ414" i="1"/>
  <c r="DI414" i="1" s="1"/>
  <c r="BQ419" i="1"/>
  <c r="AG28" i="24"/>
  <c r="AG30" i="24" s="1"/>
  <c r="BL99" i="1"/>
  <c r="BL98" i="1"/>
  <c r="BL430" i="1"/>
  <c r="BL449" i="1"/>
  <c r="BL454" i="1"/>
  <c r="BL791" i="1"/>
  <c r="DI408" i="1"/>
  <c r="BP416" i="1"/>
  <c r="BQ792" i="1" l="1"/>
  <c r="BN102" i="1"/>
  <c r="BN103" i="1" s="1"/>
  <c r="BM441" i="1"/>
  <c r="DG434" i="1"/>
  <c r="DG572" i="1"/>
  <c r="DG585" i="1" s="1"/>
  <c r="BM627" i="1"/>
  <c r="DG627" i="1" s="1"/>
  <c r="BM585" i="1"/>
  <c r="DI416" i="1"/>
  <c r="BL451" i="1"/>
  <c r="DI393" i="1"/>
  <c r="BE17" i="24"/>
  <c r="DI419" i="1"/>
  <c r="BL793" i="1"/>
  <c r="AG71" i="24" s="1"/>
  <c r="BL794" i="1"/>
  <c r="BQ426" i="1"/>
  <c r="BL734" i="1"/>
  <c r="BL761" i="1" s="1"/>
  <c r="BL461" i="1"/>
  <c r="BQ416" i="1"/>
  <c r="AK19" i="24"/>
  <c r="AK20" i="24" s="1"/>
  <c r="BP428" i="1"/>
  <c r="DH101" i="1"/>
  <c r="DG97" i="1"/>
  <c r="DG790" i="1"/>
  <c r="BN106" i="1" l="1"/>
  <c r="BO101" i="1" s="1"/>
  <c r="AH26" i="24"/>
  <c r="BM443" i="1"/>
  <c r="DG441" i="1"/>
  <c r="BC26" i="24" s="1"/>
  <c r="BN434" i="1"/>
  <c r="DI792" i="1"/>
  <c r="BL463" i="1"/>
  <c r="AG32" i="24"/>
  <c r="AG33" i="24" s="1"/>
  <c r="BQ428" i="1"/>
  <c r="AL19" i="24"/>
  <c r="AL20" i="24" s="1"/>
  <c r="BN790" i="1"/>
  <c r="DI426" i="1"/>
  <c r="BN572" i="1" l="1"/>
  <c r="BN627" i="1" s="1"/>
  <c r="BM430" i="1"/>
  <c r="AH28" i="24"/>
  <c r="AH30" i="24" s="1"/>
  <c r="BM98" i="1"/>
  <c r="BM449" i="1"/>
  <c r="BM99" i="1"/>
  <c r="BM454" i="1"/>
  <c r="BM791" i="1"/>
  <c r="DG443" i="1"/>
  <c r="BE19" i="24"/>
  <c r="DI428" i="1"/>
  <c r="BO102" i="1"/>
  <c r="DH102" i="1" s="1"/>
  <c r="DH96" i="1" s="1"/>
  <c r="BN441" i="1"/>
  <c r="BN585" i="1" l="1"/>
  <c r="BO103" i="1"/>
  <c r="BO106" i="1" s="1"/>
  <c r="BM451" i="1"/>
  <c r="DG449" i="1"/>
  <c r="DG451" i="1" s="1"/>
  <c r="BM734" i="1"/>
  <c r="BM761" i="1" s="1"/>
  <c r="BM461" i="1"/>
  <c r="BC28" i="24"/>
  <c r="DG98" i="1"/>
  <c r="DG99" i="1"/>
  <c r="DG430" i="1"/>
  <c r="DG454" i="1"/>
  <c r="DG791" i="1"/>
  <c r="AI26" i="24"/>
  <c r="BN443" i="1"/>
  <c r="BM793" i="1"/>
  <c r="AH71" i="24" s="1"/>
  <c r="BM794" i="1"/>
  <c r="BO434" i="1" l="1"/>
  <c r="DH103" i="1"/>
  <c r="BO790" i="1"/>
  <c r="BO572" i="1"/>
  <c r="DH572" i="1" s="1"/>
  <c r="DH585" i="1" s="1"/>
  <c r="BP101" i="1"/>
  <c r="DH106" i="1"/>
  <c r="BM463" i="1"/>
  <c r="AH32" i="24"/>
  <c r="AH33" i="24" s="1"/>
  <c r="DG793" i="1"/>
  <c r="BC71" i="24" s="1"/>
  <c r="DG794" i="1"/>
  <c r="BN449" i="1"/>
  <c r="BN99" i="1"/>
  <c r="BN98" i="1"/>
  <c r="BN430" i="1"/>
  <c r="AI28" i="24"/>
  <c r="AI30" i="24" s="1"/>
  <c r="BN454" i="1"/>
  <c r="BN791" i="1"/>
  <c r="DG461" i="1"/>
  <c r="DG734" i="1"/>
  <c r="DG761" i="1" s="1"/>
  <c r="DH434" i="1" l="1"/>
  <c r="BP102" i="1"/>
  <c r="BP103" i="1" s="1"/>
  <c r="BP106" i="1" s="1"/>
  <c r="BO441" i="1"/>
  <c r="DH441" i="1" s="1"/>
  <c r="BD26" i="24" s="1"/>
  <c r="DH97" i="1"/>
  <c r="BO627" i="1"/>
  <c r="DH627" i="1" s="1"/>
  <c r="BO585" i="1"/>
  <c r="DH790" i="1"/>
  <c r="DI101" i="1"/>
  <c r="BN734" i="1"/>
  <c r="BN761" i="1" s="1"/>
  <c r="BN461" i="1"/>
  <c r="BN793" i="1"/>
  <c r="AI71" i="24" s="1"/>
  <c r="BN794" i="1"/>
  <c r="BN451" i="1"/>
  <c r="AJ26" i="24"/>
  <c r="BO443" i="1"/>
  <c r="DG463" i="1"/>
  <c r="BC32" i="24"/>
  <c r="BQ101" i="1" l="1"/>
  <c r="BP572" i="1"/>
  <c r="BP790" i="1"/>
  <c r="AI32" i="24"/>
  <c r="AI33" i="24" s="1"/>
  <c r="BN463" i="1"/>
  <c r="BO430" i="1"/>
  <c r="AJ28" i="24"/>
  <c r="AJ30" i="24" s="1"/>
  <c r="BO99" i="1"/>
  <c r="BO449" i="1"/>
  <c r="BO98" i="1"/>
  <c r="BO454" i="1"/>
  <c r="BO791" i="1"/>
  <c r="DH443" i="1"/>
  <c r="BP434" i="1"/>
  <c r="BO451" i="1" l="1"/>
  <c r="DH449" i="1"/>
  <c r="DH451" i="1" s="1"/>
  <c r="BD28" i="24"/>
  <c r="DH99" i="1"/>
  <c r="DH98" i="1"/>
  <c r="DH430" i="1"/>
  <c r="DH454" i="1"/>
  <c r="DH791" i="1"/>
  <c r="BQ102" i="1"/>
  <c r="DI102" i="1" s="1"/>
  <c r="DI96" i="1" s="1"/>
  <c r="BP441" i="1"/>
  <c r="BO461" i="1"/>
  <c r="BO734" i="1"/>
  <c r="BO761" i="1" s="1"/>
  <c r="BP627" i="1"/>
  <c r="BP585" i="1"/>
  <c r="BO793" i="1"/>
  <c r="AJ71" i="24" s="1"/>
  <c r="BO794" i="1"/>
  <c r="DH461" i="1" l="1"/>
  <c r="DH734" i="1"/>
  <c r="DH761" i="1" s="1"/>
  <c r="DH793" i="1"/>
  <c r="BD71" i="24" s="1"/>
  <c r="DH794" i="1"/>
  <c r="AJ32" i="24"/>
  <c r="AJ33" i="24" s="1"/>
  <c r="BO463" i="1"/>
  <c r="BQ103" i="1"/>
  <c r="BQ106" i="1" s="1"/>
  <c r="AK26" i="24"/>
  <c r="BP443" i="1"/>
  <c r="DH463" i="1" l="1"/>
  <c r="BD32" i="24"/>
  <c r="DI106" i="1"/>
  <c r="BQ572" i="1"/>
  <c r="BQ790" i="1"/>
  <c r="BQ434" i="1"/>
  <c r="DI103" i="1"/>
  <c r="BP430" i="1"/>
  <c r="AK28" i="24"/>
  <c r="AK30" i="24" s="1"/>
  <c r="BP99" i="1"/>
  <c r="BP449" i="1"/>
  <c r="BP98" i="1"/>
  <c r="BP454" i="1"/>
  <c r="BP791" i="1"/>
  <c r="DI97" i="1" l="1"/>
  <c r="DI790" i="1"/>
  <c r="BP461" i="1"/>
  <c r="BP734" i="1"/>
  <c r="BP761" i="1" s="1"/>
  <c r="BP451" i="1"/>
  <c r="BQ441" i="1"/>
  <c r="DI434" i="1"/>
  <c r="BP793" i="1"/>
  <c r="AK71" i="24" s="1"/>
  <c r="BP794" i="1"/>
  <c r="BQ627" i="1"/>
  <c r="DI627" i="1" s="1"/>
  <c r="DI572" i="1"/>
  <c r="DI585" i="1" s="1"/>
  <c r="BQ585" i="1"/>
  <c r="AL26" i="24" l="1"/>
  <c r="BQ443" i="1"/>
  <c r="DI441" i="1"/>
  <c r="BE26" i="24" s="1"/>
  <c r="AK32" i="24"/>
  <c r="AK33" i="24" s="1"/>
  <c r="BP463" i="1"/>
  <c r="BQ430" i="1" l="1"/>
  <c r="AL28" i="24"/>
  <c r="AL30" i="24" s="1"/>
  <c r="BQ449" i="1"/>
  <c r="BQ99" i="1"/>
  <c r="BQ98" i="1"/>
  <c r="BQ454" i="1"/>
  <c r="BQ791" i="1"/>
  <c r="DI443" i="1"/>
  <c r="DI98" i="1" l="1"/>
  <c r="BE28" i="24"/>
  <c r="DI99" i="1"/>
  <c r="DI430" i="1"/>
  <c r="DI454" i="1"/>
  <c r="DI791" i="1"/>
  <c r="BQ451" i="1"/>
  <c r="DI449" i="1"/>
  <c r="DI451" i="1" s="1"/>
  <c r="BQ734" i="1"/>
  <c r="BQ761" i="1" s="1"/>
  <c r="BQ461" i="1"/>
  <c r="BQ793" i="1"/>
  <c r="AL71" i="24" s="1"/>
  <c r="BQ794" i="1"/>
  <c r="DI793" i="1" l="1"/>
  <c r="BE71" i="24" s="1"/>
  <c r="DI794" i="1"/>
  <c r="AL32" i="24"/>
  <c r="AL33" i="24" s="1"/>
  <c r="BQ463" i="1"/>
  <c r="DI461" i="1"/>
  <c r="DI734" i="1"/>
  <c r="DI761" i="1" s="1"/>
  <c r="BE32" i="24" l="1"/>
  <c r="DI463" i="1"/>
  <c r="AZ418" i="1" l="1"/>
  <c r="DA406" i="1"/>
  <c r="AW15" i="24" s="1"/>
  <c r="DA414" i="1"/>
  <c r="DA416" i="1" s="1"/>
  <c r="U15" i="24"/>
  <c r="U17" i="24"/>
  <c r="AZ99" i="1"/>
  <c r="AZ393" i="1" l="1"/>
  <c r="U14" i="24"/>
  <c r="DA405" i="1" l="1"/>
  <c r="E9" i="23" s="1"/>
  <c r="E10" i="23" s="1"/>
  <c r="M45" i="23" s="1"/>
  <c r="E12" i="23" l="1"/>
  <c r="DA89" i="1"/>
  <c r="AW14" i="24"/>
  <c r="AZ419" i="1"/>
  <c r="AZ454" i="1" l="1"/>
  <c r="AZ734" i="1"/>
  <c r="AZ761" i="1" s="1"/>
  <c r="J43" i="2"/>
  <c r="AZ461" i="1"/>
  <c r="AZ426" i="1"/>
  <c r="BA794" i="1"/>
  <c r="K91" i="2" s="1"/>
  <c r="AZ793" i="1"/>
  <c r="J41" i="2"/>
  <c r="J40" i="2" s="1"/>
  <c r="AZ794" i="1"/>
  <c r="J91" i="2" s="1"/>
  <c r="AZ792" i="1"/>
  <c r="J89" i="2" s="1"/>
  <c r="M21" i="23"/>
  <c r="DA408" i="1"/>
  <c r="DA419" i="1" s="1"/>
  <c r="AZ89" i="1"/>
  <c r="J42" i="2" l="1"/>
  <c r="DA794" i="1"/>
  <c r="E91" i="2" s="1"/>
  <c r="DB794" i="1"/>
  <c r="F91" i="2" s="1"/>
  <c r="DA426" i="1"/>
  <c r="E41" i="2"/>
  <c r="E40" i="2" s="1"/>
  <c r="DA793" i="1"/>
  <c r="O15" i="7"/>
  <c r="DA454" i="1"/>
  <c r="U19" i="24"/>
  <c r="AZ428" i="1"/>
  <c r="AZ463" i="1"/>
  <c r="U32" i="24"/>
  <c r="DA99" i="1"/>
  <c r="AW17" i="24"/>
  <c r="DA393" i="1"/>
  <c r="U71" i="24"/>
  <c r="J90" i="2"/>
  <c r="V20" i="24" l="1"/>
  <c r="U20" i="24"/>
  <c r="E90" i="2"/>
  <c r="AW71" i="24"/>
  <c r="O14" i="7"/>
  <c r="H50" i="7" s="1"/>
  <c r="DA792" i="1"/>
  <c r="E89" i="2" s="1"/>
  <c r="DA734" i="1"/>
  <c r="DA461" i="1"/>
  <c r="E43" i="2"/>
  <c r="E42" i="2" s="1"/>
  <c r="DA428" i="1"/>
  <c r="AW19" i="24"/>
  <c r="H51" i="7"/>
  <c r="I53" i="7"/>
  <c r="O17" i="7"/>
  <c r="H53" i="7"/>
  <c r="U33" i="24"/>
  <c r="V33" i="24"/>
  <c r="AX20" i="24" l="1"/>
  <c r="AW20" i="24"/>
  <c r="DA463" i="1"/>
  <c r="AW32" i="24"/>
  <c r="H16" i="7"/>
  <c r="DA761" i="1"/>
  <c r="H15" i="7"/>
  <c r="H40" i="7" l="1"/>
  <c r="H17" i="7"/>
  <c r="I17" i="7"/>
  <c r="AX33" i="24"/>
  <c r="AW33" i="24"/>
  <c r="BA708" i="1"/>
  <c r="DA432" i="1"/>
  <c r="DA93" i="1" l="1"/>
  <c r="BB708" i="1"/>
  <c r="BC708" i="1" s="1"/>
  <c r="BD708" i="1" s="1"/>
  <c r="DA708" i="1"/>
  <c r="BA709" i="1"/>
  <c r="AZ93" i="1"/>
  <c r="DB708" i="1" l="1"/>
  <c r="BB709" i="1"/>
  <c r="BC709" i="1" s="1"/>
  <c r="DA440" i="1"/>
  <c r="DB96" i="1" s="1"/>
  <c r="BA96" i="1"/>
  <c r="DA709" i="1"/>
  <c r="BE708" i="1"/>
  <c r="DC708" i="1" s="1"/>
  <c r="BF708" i="1" l="1"/>
  <c r="BD709" i="1"/>
  <c r="BA710" i="1"/>
  <c r="DB709" i="1"/>
  <c r="BB710" i="1" l="1"/>
  <c r="BE709" i="1"/>
  <c r="DA710" i="1"/>
  <c r="BG708" i="1"/>
  <c r="DD708" i="1" s="1"/>
  <c r="BF709" i="1" l="1"/>
  <c r="DC709" i="1"/>
  <c r="BH708" i="1"/>
  <c r="BC710" i="1"/>
  <c r="DB710" i="1" s="1"/>
  <c r="BG709" i="1" l="1"/>
  <c r="DD709" i="1" s="1"/>
  <c r="BD710" i="1"/>
  <c r="BI708" i="1"/>
  <c r="BJ708" i="1" l="1"/>
  <c r="DE708" i="1"/>
  <c r="BE710" i="1"/>
  <c r="DC710" i="1" s="1"/>
  <c r="BH709" i="1"/>
  <c r="BI709" i="1" l="1"/>
  <c r="DE709" i="1" s="1"/>
  <c r="BF710" i="1"/>
  <c r="BK708" i="1"/>
  <c r="BL708" i="1" l="1"/>
  <c r="DF708" i="1"/>
  <c r="BG710" i="1"/>
  <c r="BJ709" i="1"/>
  <c r="BK709" i="1" l="1"/>
  <c r="DF709" i="1" s="1"/>
  <c r="BH710" i="1"/>
  <c r="DD710" i="1"/>
  <c r="BM708" i="1"/>
  <c r="BN708" i="1" l="1"/>
  <c r="BL709" i="1"/>
  <c r="BI710" i="1"/>
  <c r="DG708" i="1"/>
  <c r="BM709" i="1" l="1"/>
  <c r="BJ710" i="1"/>
  <c r="DE710" i="1"/>
  <c r="BO708" i="1"/>
  <c r="BP708" i="1" l="1"/>
  <c r="DH708" i="1"/>
  <c r="BN709" i="1"/>
  <c r="BK710" i="1"/>
  <c r="DG709" i="1"/>
  <c r="BL710" i="1" l="1"/>
  <c r="DF710" i="1"/>
  <c r="BQ708" i="1"/>
  <c r="BO709" i="1"/>
  <c r="DH709" i="1" s="1"/>
  <c r="DI708" i="1" l="1"/>
  <c r="BP709" i="1"/>
  <c r="BM710" i="1"/>
  <c r="BQ709" i="1" l="1"/>
  <c r="BN710" i="1"/>
  <c r="DG710" i="1"/>
  <c r="DI709" i="1" l="1"/>
  <c r="BO710" i="1"/>
  <c r="DH710" i="1" s="1"/>
  <c r="BP710" i="1" l="1"/>
  <c r="BQ710" i="1" l="1"/>
  <c r="DI710" i="1" s="1"/>
  <c r="AZ810" i="1" l="1"/>
  <c r="J96" i="2" s="1"/>
  <c r="U35" i="24"/>
  <c r="U36" i="24" s="1"/>
  <c r="AZ117" i="1"/>
  <c r="AZ118" i="1"/>
  <c r="AZ482" i="1"/>
  <c r="AZ811" i="1"/>
  <c r="J97" i="2" s="1"/>
  <c r="AZ465" i="1"/>
  <c r="DA469" i="1"/>
  <c r="DA111" i="1" s="1"/>
  <c r="AZ483" i="1"/>
  <c r="AZ808" i="1"/>
  <c r="J94" i="2" s="1"/>
  <c r="AZ809" i="1"/>
  <c r="J95" i="2" s="1"/>
  <c r="AZ711" i="1" l="1"/>
  <c r="AZ490" i="1"/>
  <c r="J45" i="2"/>
  <c r="AZ111" i="1"/>
  <c r="F111" i="1" s="1"/>
  <c r="AZ110" i="1"/>
  <c r="BA110" i="1" s="1"/>
  <c r="BB110" i="1" s="1"/>
  <c r="BA468" i="1" l="1"/>
  <c r="DA468" i="1" s="1"/>
  <c r="DA110" i="1" s="1"/>
  <c r="J44" i="2"/>
  <c r="U38" i="24"/>
  <c r="AZ493" i="1"/>
  <c r="AZ112" i="1"/>
  <c r="AZ113" i="1"/>
  <c r="AZ109" i="1"/>
  <c r="BA109" i="1" s="1"/>
  <c r="BB109" i="1" l="1"/>
  <c r="BA467" i="1"/>
  <c r="BB468" i="1"/>
  <c r="BC110" i="1"/>
  <c r="BC468" i="1" l="1"/>
  <c r="DB468" i="1" s="1"/>
  <c r="DB110" i="1" s="1"/>
  <c r="BD110" i="1"/>
  <c r="DA467" i="1"/>
  <c r="DA109" i="1" s="1"/>
  <c r="BA470" i="1"/>
  <c r="BB467" i="1"/>
  <c r="BC109" i="1"/>
  <c r="BB470" i="1" l="1"/>
  <c r="BD468" i="1"/>
  <c r="BE110" i="1"/>
  <c r="BA808" i="1"/>
  <c r="K94" i="2" s="1"/>
  <c r="DA470" i="1"/>
  <c r="BA809" i="1"/>
  <c r="K95" i="2" s="1"/>
  <c r="BA113" i="1"/>
  <c r="BA112" i="1"/>
  <c r="BA120" i="1"/>
  <c r="BA713" i="1"/>
  <c r="BC467" i="1"/>
  <c r="BC470" i="1" s="1"/>
  <c r="BD109" i="1"/>
  <c r="BA822" i="1" l="1"/>
  <c r="K105" i="2" s="1"/>
  <c r="BA471" i="1"/>
  <c r="BA815" i="1"/>
  <c r="K101" i="2" s="1"/>
  <c r="BA122" i="1"/>
  <c r="BA823" i="1"/>
  <c r="K106" i="2" s="1"/>
  <c r="BA115" i="1"/>
  <c r="BA825" i="1"/>
  <c r="DA120" i="1"/>
  <c r="BA667" i="1"/>
  <c r="BA827" i="1"/>
  <c r="BA824" i="1"/>
  <c r="K107" i="2" s="1"/>
  <c r="BA826" i="1"/>
  <c r="BB120" i="1"/>
  <c r="BE468" i="1"/>
  <c r="DC468" i="1" s="1"/>
  <c r="DC110" i="1" s="1"/>
  <c r="BF110" i="1"/>
  <c r="BD467" i="1"/>
  <c r="BE109" i="1"/>
  <c r="BC808" i="1"/>
  <c r="BC113" i="1"/>
  <c r="BC809" i="1"/>
  <c r="BC112" i="1"/>
  <c r="BB809" i="1"/>
  <c r="L95" i="2" s="1"/>
  <c r="BB113" i="1"/>
  <c r="BB112" i="1"/>
  <c r="DB470" i="1"/>
  <c r="BB808" i="1"/>
  <c r="L94" i="2" s="1"/>
  <c r="BB713" i="1"/>
  <c r="DA713" i="1"/>
  <c r="O18" i="7"/>
  <c r="DA809" i="1"/>
  <c r="DA113" i="1"/>
  <c r="DA112" i="1"/>
  <c r="DA808" i="1"/>
  <c r="DB467" i="1"/>
  <c r="DB109" i="1" s="1"/>
  <c r="H66" i="7" l="1"/>
  <c r="E95" i="2"/>
  <c r="BB823" i="1"/>
  <c r="L106" i="2" s="1"/>
  <c r="BB815" i="1"/>
  <c r="L101" i="2" s="1"/>
  <c r="BB822" i="1"/>
  <c r="L105" i="2" s="1"/>
  <c r="BB667" i="1"/>
  <c r="BB122" i="1"/>
  <c r="BB826" i="1"/>
  <c r="BB827" i="1"/>
  <c r="BB824" i="1"/>
  <c r="L107" i="2" s="1"/>
  <c r="BB825" i="1"/>
  <c r="BB115" i="1"/>
  <c r="BC120" i="1"/>
  <c r="BC471" i="1" s="1"/>
  <c r="BC472" i="1" s="1"/>
  <c r="DA824" i="1"/>
  <c r="DA815" i="1"/>
  <c r="DA122" i="1"/>
  <c r="DA822" i="1"/>
  <c r="DA823" i="1"/>
  <c r="DA826" i="1"/>
  <c r="DA825" i="1"/>
  <c r="DA115" i="1"/>
  <c r="DA827" i="1"/>
  <c r="BB471" i="1"/>
  <c r="DA667" i="1"/>
  <c r="DA471" i="1"/>
  <c r="O19" i="7" s="1"/>
  <c r="O20" i="7" s="1"/>
  <c r="BA472" i="1"/>
  <c r="P18" i="7"/>
  <c r="DB809" i="1"/>
  <c r="DB808" i="1"/>
  <c r="DB112" i="1"/>
  <c r="DB113" i="1"/>
  <c r="BE467" i="1"/>
  <c r="BE470" i="1" s="1"/>
  <c r="BF109" i="1"/>
  <c r="E94" i="2"/>
  <c r="H65" i="7"/>
  <c r="BD470" i="1"/>
  <c r="BC713" i="1"/>
  <c r="BF468" i="1"/>
  <c r="BG110" i="1"/>
  <c r="DC467" i="1" l="1"/>
  <c r="DC109" i="1" s="1"/>
  <c r="BG468" i="1"/>
  <c r="BH110" i="1"/>
  <c r="BD808" i="1"/>
  <c r="BD113" i="1"/>
  <c r="BD809" i="1"/>
  <c r="BD112" i="1"/>
  <c r="DC470" i="1"/>
  <c r="BE112" i="1"/>
  <c r="BE809" i="1"/>
  <c r="BE808" i="1"/>
  <c r="BE113" i="1"/>
  <c r="DB471" i="1"/>
  <c r="P19" i="7" s="1"/>
  <c r="P20" i="7" s="1"/>
  <c r="BB472" i="1"/>
  <c r="BC667" i="1"/>
  <c r="BC122" i="1"/>
  <c r="BC827" i="1"/>
  <c r="BC115" i="1"/>
  <c r="BC824" i="1"/>
  <c r="DB120" i="1"/>
  <c r="BC815" i="1"/>
  <c r="BC826" i="1"/>
  <c r="BC822" i="1"/>
  <c r="BC823" i="1"/>
  <c r="BC825" i="1"/>
  <c r="BD120" i="1"/>
  <c r="E107" i="2"/>
  <c r="H78" i="7"/>
  <c r="DD468" i="1"/>
  <c r="DD110" i="1" s="1"/>
  <c r="M53" i="23"/>
  <c r="H77" i="7"/>
  <c r="E106" i="2"/>
  <c r="F95" i="2"/>
  <c r="I66" i="7"/>
  <c r="BA811" i="1"/>
  <c r="K97" i="2" s="1"/>
  <c r="BA810" i="1"/>
  <c r="K96" i="2" s="1"/>
  <c r="V35" i="24"/>
  <c r="V36" i="24" s="1"/>
  <c r="BA117" i="1"/>
  <c r="BA482" i="1"/>
  <c r="BA478" i="1"/>
  <c r="BA465" i="1"/>
  <c r="BA118" i="1"/>
  <c r="DA472" i="1"/>
  <c r="BA483" i="1"/>
  <c r="E105" i="2"/>
  <c r="H76" i="7"/>
  <c r="I65" i="7"/>
  <c r="F94" i="2"/>
  <c r="X35" i="24"/>
  <c r="X36" i="24" s="1"/>
  <c r="BC465" i="1"/>
  <c r="BC810" i="1"/>
  <c r="BC117" i="1"/>
  <c r="BC478" i="1"/>
  <c r="BC480" i="1" s="1"/>
  <c r="BC482" i="1"/>
  <c r="BC811" i="1"/>
  <c r="BC118" i="1"/>
  <c r="BC483" i="1"/>
  <c r="BG109" i="1"/>
  <c r="BF467" i="1"/>
  <c r="BD713" i="1"/>
  <c r="DB713" i="1"/>
  <c r="E101" i="2"/>
  <c r="H72" i="7"/>
  <c r="K45" i="2" l="1"/>
  <c r="BA490" i="1"/>
  <c r="BA497" i="1"/>
  <c r="AW35" i="24"/>
  <c r="AW36" i="24" s="1"/>
  <c r="DA810" i="1"/>
  <c r="DA117" i="1"/>
  <c r="DA465" i="1"/>
  <c r="DA811" i="1"/>
  <c r="DA118" i="1"/>
  <c r="DA483" i="1"/>
  <c r="BF470" i="1"/>
  <c r="BD122" i="1"/>
  <c r="BD115" i="1"/>
  <c r="BD815" i="1"/>
  <c r="BD826" i="1"/>
  <c r="BD824" i="1"/>
  <c r="BD827" i="1"/>
  <c r="BD823" i="1"/>
  <c r="BD825" i="1"/>
  <c r="BD667" i="1"/>
  <c r="BD822" i="1"/>
  <c r="BE120" i="1"/>
  <c r="Q18" i="7"/>
  <c r="DC112" i="1"/>
  <c r="DC113" i="1"/>
  <c r="DC809" i="1"/>
  <c r="DC808" i="1"/>
  <c r="BC711" i="1"/>
  <c r="DB823" i="1"/>
  <c r="DB824" i="1"/>
  <c r="DB822" i="1"/>
  <c r="DB815" i="1"/>
  <c r="DB826" i="1"/>
  <c r="DB115" i="1"/>
  <c r="DB827" i="1"/>
  <c r="DB825" i="1"/>
  <c r="DB122" i="1"/>
  <c r="BH468" i="1"/>
  <c r="BI110" i="1"/>
  <c r="BE713" i="1"/>
  <c r="BH109" i="1"/>
  <c r="BG467" i="1"/>
  <c r="BG470" i="1" s="1"/>
  <c r="BA711" i="1"/>
  <c r="BD471" i="1"/>
  <c r="DB667" i="1"/>
  <c r="BC490" i="1"/>
  <c r="BC497" i="1"/>
  <c r="BA480" i="1"/>
  <c r="DA478" i="1"/>
  <c r="DA480" i="1" s="1"/>
  <c r="BB811" i="1"/>
  <c r="L97" i="2" s="1"/>
  <c r="BB478" i="1"/>
  <c r="BB810" i="1"/>
  <c r="L96" i="2" s="1"/>
  <c r="BB465" i="1"/>
  <c r="W35" i="24"/>
  <c r="W36" i="24" s="1"/>
  <c r="BB482" i="1"/>
  <c r="BB118" i="1"/>
  <c r="BB117" i="1"/>
  <c r="BB483" i="1"/>
  <c r="DB472" i="1"/>
  <c r="X40" i="24" l="1"/>
  <c r="BC130" i="1"/>
  <c r="BC500" i="1"/>
  <c r="DA711" i="1"/>
  <c r="BF713" i="1"/>
  <c r="DC713" i="1"/>
  <c r="I77" i="7"/>
  <c r="F106" i="2"/>
  <c r="N53" i="23"/>
  <c r="G94" i="2"/>
  <c r="J65" i="7"/>
  <c r="BE667" i="1"/>
  <c r="BE122" i="1"/>
  <c r="DC120" i="1"/>
  <c r="BE823" i="1"/>
  <c r="BE825" i="1"/>
  <c r="BE822" i="1"/>
  <c r="BE827" i="1"/>
  <c r="BE826" i="1"/>
  <c r="BE115" i="1"/>
  <c r="BE824" i="1"/>
  <c r="BE815" i="1"/>
  <c r="BF120" i="1"/>
  <c r="DA490" i="1"/>
  <c r="E45" i="2"/>
  <c r="H67" i="7"/>
  <c r="E96" i="2"/>
  <c r="BB480" i="1"/>
  <c r="DB478" i="1"/>
  <c r="DB480" i="1" s="1"/>
  <c r="BC493" i="1"/>
  <c r="X38" i="24"/>
  <c r="BI468" i="1"/>
  <c r="DE468" i="1" s="1"/>
  <c r="DE110" i="1" s="1"/>
  <c r="BJ110" i="1"/>
  <c r="G95" i="2"/>
  <c r="J66" i="7"/>
  <c r="BA493" i="1"/>
  <c r="V38" i="24"/>
  <c r="BG808" i="1"/>
  <c r="BG112" i="1"/>
  <c r="BG809" i="1"/>
  <c r="BG113" i="1"/>
  <c r="I72" i="7"/>
  <c r="F101" i="2"/>
  <c r="BF809" i="1"/>
  <c r="DD470" i="1"/>
  <c r="BF808" i="1"/>
  <c r="BF112" i="1"/>
  <c r="BF113" i="1"/>
  <c r="E97" i="2"/>
  <c r="H68" i="7"/>
  <c r="M50" i="23"/>
  <c r="V40" i="24"/>
  <c r="K46" i="2"/>
  <c r="K49" i="2" s="1"/>
  <c r="BA130" i="1"/>
  <c r="BA500" i="1"/>
  <c r="BB711" i="1"/>
  <c r="AX35" i="24"/>
  <c r="AX36" i="24" s="1"/>
  <c r="DB811" i="1"/>
  <c r="DB117" i="1"/>
  <c r="DB810" i="1"/>
  <c r="DB118" i="1"/>
  <c r="DB483" i="1"/>
  <c r="DB465" i="1"/>
  <c r="BH467" i="1"/>
  <c r="BI109" i="1"/>
  <c r="I76" i="7"/>
  <c r="F105" i="2"/>
  <c r="DD467" i="1"/>
  <c r="DD109" i="1" s="1"/>
  <c r="E13" i="23"/>
  <c r="E14" i="23" s="1"/>
  <c r="K44" i="2"/>
  <c r="BB490" i="1"/>
  <c r="L45" i="2"/>
  <c r="BB497" i="1"/>
  <c r="BD472" i="1"/>
  <c r="I78" i="7"/>
  <c r="F107" i="2"/>
  <c r="BE471" i="1"/>
  <c r="BE472" i="1" s="1"/>
  <c r="V41" i="24" l="1"/>
  <c r="DC471" i="1"/>
  <c r="Q19" i="7" s="1"/>
  <c r="Q20" i="7" s="1"/>
  <c r="L44" i="2"/>
  <c r="BF667" i="1"/>
  <c r="BF827" i="1"/>
  <c r="BF825" i="1"/>
  <c r="BF115" i="1"/>
  <c r="BF826" i="1"/>
  <c r="BF823" i="1"/>
  <c r="BF822" i="1"/>
  <c r="BF824" i="1"/>
  <c r="BF815" i="1"/>
  <c r="BF122" i="1"/>
  <c r="BG120" i="1"/>
  <c r="BG471" i="1" s="1"/>
  <c r="BG472" i="1" s="1"/>
  <c r="BD465" i="1"/>
  <c r="Y35" i="24"/>
  <c r="Y36" i="24" s="1"/>
  <c r="BD811" i="1"/>
  <c r="BD810" i="1"/>
  <c r="BD118" i="1"/>
  <c r="BD482" i="1"/>
  <c r="BD117" i="1"/>
  <c r="BD478" i="1"/>
  <c r="BD483" i="1"/>
  <c r="DC472" i="1"/>
  <c r="F13" i="23"/>
  <c r="F14" i="23" s="1"/>
  <c r="BA495" i="1"/>
  <c r="BA506" i="1"/>
  <c r="BA509" i="1" s="1"/>
  <c r="BA515" i="1"/>
  <c r="BJ468" i="1"/>
  <c r="BK110" i="1"/>
  <c r="DC667" i="1"/>
  <c r="BC495" i="1"/>
  <c r="BC506" i="1"/>
  <c r="BC509" i="1" s="1"/>
  <c r="BC515" i="1"/>
  <c r="I68" i="7"/>
  <c r="N50" i="23"/>
  <c r="F97" i="2"/>
  <c r="F45" i="2"/>
  <c r="DB490" i="1"/>
  <c r="DB497" i="1"/>
  <c r="BB130" i="1"/>
  <c r="L46" i="2"/>
  <c r="L49" i="2" s="1"/>
  <c r="W40" i="24"/>
  <c r="BB500" i="1"/>
  <c r="DD112" i="1"/>
  <c r="DD809" i="1"/>
  <c r="DD113" i="1"/>
  <c r="DD808" i="1"/>
  <c r="E44" i="2"/>
  <c r="BG713" i="1"/>
  <c r="BI467" i="1"/>
  <c r="BI470" i="1" s="1"/>
  <c r="BJ109" i="1"/>
  <c r="F96" i="2"/>
  <c r="I67" i="7"/>
  <c r="DB711" i="1"/>
  <c r="AW38" i="24"/>
  <c r="DA493" i="1"/>
  <c r="BF471" i="1"/>
  <c r="W38" i="24"/>
  <c r="BB493" i="1"/>
  <c r="BE478" i="1"/>
  <c r="BE480" i="1" s="1"/>
  <c r="BE465" i="1"/>
  <c r="BE811" i="1"/>
  <c r="BE117" i="1"/>
  <c r="BE483" i="1"/>
  <c r="BE482" i="1"/>
  <c r="Z35" i="24"/>
  <c r="Z36" i="24" s="1"/>
  <c r="BE810" i="1"/>
  <c r="BE118" i="1"/>
  <c r="BH470" i="1"/>
  <c r="DC823" i="1"/>
  <c r="DC822" i="1"/>
  <c r="DC827" i="1"/>
  <c r="DC826" i="1"/>
  <c r="DC122" i="1"/>
  <c r="DC825" i="1"/>
  <c r="DC115" i="1"/>
  <c r="DC824" i="1"/>
  <c r="DC815" i="1"/>
  <c r="X41" i="24"/>
  <c r="DE467" i="1" l="1"/>
  <c r="DE109" i="1" s="1"/>
  <c r="BH713" i="1"/>
  <c r="J72" i="7"/>
  <c r="G101" i="2"/>
  <c r="BG667" i="1"/>
  <c r="BG815" i="1"/>
  <c r="BG824" i="1"/>
  <c r="BG825" i="1"/>
  <c r="BG822" i="1"/>
  <c r="BG827" i="1"/>
  <c r="BG122" i="1"/>
  <c r="BG823" i="1"/>
  <c r="DD120" i="1"/>
  <c r="BG826" i="1"/>
  <c r="BG115" i="1"/>
  <c r="BH120" i="1"/>
  <c r="BH471" i="1" s="1"/>
  <c r="BK109" i="1"/>
  <c r="BJ467" i="1"/>
  <c r="DD713" i="1"/>
  <c r="AX38" i="24"/>
  <c r="DB493" i="1"/>
  <c r="F44" i="2"/>
  <c r="AY35" i="24"/>
  <c r="AY36" i="24" s="1"/>
  <c r="DC811" i="1"/>
  <c r="DC118" i="1"/>
  <c r="DC810" i="1"/>
  <c r="DC117" i="1"/>
  <c r="DC465" i="1"/>
  <c r="DC483" i="1"/>
  <c r="G105" i="2"/>
  <c r="J76" i="7"/>
  <c r="BI113" i="1"/>
  <c r="BI808" i="1"/>
  <c r="BI809" i="1"/>
  <c r="BI112" i="1"/>
  <c r="BD490" i="1"/>
  <c r="BD497" i="1"/>
  <c r="AB35" i="24"/>
  <c r="AB36" i="24" s="1"/>
  <c r="BG810" i="1"/>
  <c r="BG478" i="1"/>
  <c r="BG480" i="1" s="1"/>
  <c r="BG811" i="1"/>
  <c r="BG117" i="1"/>
  <c r="BG118" i="1"/>
  <c r="BG482" i="1"/>
  <c r="BG483" i="1"/>
  <c r="BG465" i="1"/>
  <c r="V44" i="24"/>
  <c r="V47" i="24" s="1"/>
  <c r="BA740" i="1"/>
  <c r="BA766" i="1" s="1"/>
  <c r="BA620" i="1"/>
  <c r="BA787" i="1"/>
  <c r="K84" i="2" s="1"/>
  <c r="BA789" i="1"/>
  <c r="K86" i="2" s="1"/>
  <c r="BA521" i="1"/>
  <c r="BA513" i="1"/>
  <c r="BA788" i="1"/>
  <c r="BA741" i="1"/>
  <c r="BA767" i="1" s="1"/>
  <c r="BA732" i="1"/>
  <c r="BA136" i="1"/>
  <c r="BA525" i="1"/>
  <c r="BA730" i="1"/>
  <c r="G107" i="2"/>
  <c r="J78" i="7"/>
  <c r="G106" i="2"/>
  <c r="J77" i="7"/>
  <c r="O53" i="23"/>
  <c r="DB500" i="1"/>
  <c r="BB506" i="1"/>
  <c r="BB495" i="1"/>
  <c r="BB515" i="1"/>
  <c r="DB129" i="1"/>
  <c r="AX40" i="24"/>
  <c r="P21" i="7"/>
  <c r="F46" i="2"/>
  <c r="F49" i="2" s="1"/>
  <c r="DB130" i="1"/>
  <c r="BK468" i="1"/>
  <c r="DF468" i="1" s="1"/>
  <c r="DF110" i="1" s="1"/>
  <c r="BL110" i="1"/>
  <c r="DC478" i="1"/>
  <c r="DC480" i="1" s="1"/>
  <c r="BD480" i="1"/>
  <c r="BD711" i="1"/>
  <c r="BH112" i="1"/>
  <c r="BH809" i="1"/>
  <c r="BH113" i="1"/>
  <c r="BH808" i="1"/>
  <c r="DE470" i="1"/>
  <c r="BE711" i="1"/>
  <c r="BE497" i="1"/>
  <c r="BE490" i="1"/>
  <c r="DD471" i="1"/>
  <c r="BF472" i="1"/>
  <c r="W41" i="24"/>
  <c r="BC741" i="1"/>
  <c r="BC767" i="1" s="1"/>
  <c r="BC521" i="1"/>
  <c r="BC788" i="1"/>
  <c r="X72" i="24" s="1"/>
  <c r="BC732" i="1"/>
  <c r="BC513" i="1"/>
  <c r="BC740" i="1"/>
  <c r="BC766" i="1" s="1"/>
  <c r="BC620" i="1"/>
  <c r="BC789" i="1"/>
  <c r="BC787" i="1"/>
  <c r="BC525" i="1"/>
  <c r="BC136" i="1"/>
  <c r="X44" i="24"/>
  <c r="X47" i="24" s="1"/>
  <c r="BC730" i="1"/>
  <c r="AX41" i="24" l="1"/>
  <c r="BH472" i="1"/>
  <c r="BL468" i="1"/>
  <c r="BM110" i="1"/>
  <c r="I54" i="7"/>
  <c r="P24" i="7"/>
  <c r="DB495" i="1"/>
  <c r="DB515" i="1"/>
  <c r="AA35" i="24"/>
  <c r="AA36" i="24" s="1"/>
  <c r="BF483" i="1"/>
  <c r="BF465" i="1"/>
  <c r="BF118" i="1"/>
  <c r="BF482" i="1"/>
  <c r="BF810" i="1"/>
  <c r="BF811" i="1"/>
  <c r="BF117" i="1"/>
  <c r="BF478" i="1"/>
  <c r="DD472" i="1"/>
  <c r="G96" i="2"/>
  <c r="J67" i="7"/>
  <c r="BH667" i="1"/>
  <c r="BH122" i="1"/>
  <c r="BH824" i="1"/>
  <c r="BH115" i="1"/>
  <c r="BH825" i="1"/>
  <c r="BH827" i="1"/>
  <c r="BI120" i="1"/>
  <c r="BI471" i="1" s="1"/>
  <c r="BI472" i="1" s="1"/>
  <c r="BH822" i="1"/>
  <c r="BH826" i="1"/>
  <c r="BH823" i="1"/>
  <c r="BH815" i="1"/>
  <c r="G97" i="2"/>
  <c r="J68" i="7"/>
  <c r="O50" i="23"/>
  <c r="K52" i="2"/>
  <c r="K50" i="2" s="1"/>
  <c r="K16" i="2"/>
  <c r="V55" i="24"/>
  <c r="BA760" i="1"/>
  <c r="G45" i="2"/>
  <c r="DC490" i="1"/>
  <c r="DD115" i="1"/>
  <c r="DD825" i="1"/>
  <c r="DD827" i="1"/>
  <c r="DD815" i="1"/>
  <c r="DD823" i="1"/>
  <c r="DD122" i="1"/>
  <c r="DD824" i="1"/>
  <c r="DD826" i="1"/>
  <c r="DD822" i="1"/>
  <c r="BI713" i="1"/>
  <c r="BB509" i="1"/>
  <c r="DB506" i="1"/>
  <c r="DB509" i="1" s="1"/>
  <c r="K15" i="2"/>
  <c r="BG497" i="1"/>
  <c r="BG490" i="1"/>
  <c r="DD667" i="1"/>
  <c r="DE809" i="1"/>
  <c r="DE113" i="1"/>
  <c r="DE112" i="1"/>
  <c r="DE808" i="1"/>
  <c r="X54" i="24"/>
  <c r="BC759" i="1"/>
  <c r="BC840" i="1"/>
  <c r="BC838" i="1"/>
  <c r="X51" i="24"/>
  <c r="X50" i="24" s="1"/>
  <c r="BC728" i="1"/>
  <c r="BC729" i="1"/>
  <c r="BE493" i="1"/>
  <c r="Z38" i="24"/>
  <c r="BA840" i="1"/>
  <c r="K114" i="2" s="1"/>
  <c r="BA838" i="1"/>
  <c r="V54" i="24"/>
  <c r="BA759" i="1"/>
  <c r="BC760" i="1"/>
  <c r="X55" i="24"/>
  <c r="BE500" i="1"/>
  <c r="BE130" i="1"/>
  <c r="Z40" i="24"/>
  <c r="DB136" i="1"/>
  <c r="I31" i="7" s="1"/>
  <c r="BB741" i="1"/>
  <c r="BB767" i="1" s="1"/>
  <c r="W44" i="24"/>
  <c r="W47" i="24" s="1"/>
  <c r="W48" i="24" s="1"/>
  <c r="BB521" i="1"/>
  <c r="BB740" i="1"/>
  <c r="BB766" i="1" s="1"/>
  <c r="BB788" i="1"/>
  <c r="BB787" i="1"/>
  <c r="L84" i="2" s="1"/>
  <c r="BB730" i="1"/>
  <c r="BB789" i="1"/>
  <c r="L86" i="2" s="1"/>
  <c r="BB513" i="1"/>
  <c r="BB732" i="1"/>
  <c r="BB620" i="1"/>
  <c r="BB525" i="1"/>
  <c r="BB136" i="1"/>
  <c r="BA729" i="1"/>
  <c r="V51" i="24"/>
  <c r="V50" i="24" s="1"/>
  <c r="BA728" i="1"/>
  <c r="BA510" i="1"/>
  <c r="G13" i="23"/>
  <c r="G14" i="23" s="1"/>
  <c r="BJ470" i="1"/>
  <c r="DC711" i="1"/>
  <c r="V72" i="24"/>
  <c r="K85" i="2"/>
  <c r="BG711" i="1"/>
  <c r="BD500" i="1"/>
  <c r="Y40" i="24"/>
  <c r="BD130" i="1"/>
  <c r="DC497" i="1"/>
  <c r="BD493" i="1"/>
  <c r="Y38" i="24"/>
  <c r="BL109" i="1"/>
  <c r="BK467" i="1"/>
  <c r="BK470" i="1" s="1"/>
  <c r="BC510" i="1"/>
  <c r="Z41" i="24" l="1"/>
  <c r="DD465" i="1"/>
  <c r="AZ35" i="24"/>
  <c r="AZ36" i="24" s="1"/>
  <c r="DD118" i="1"/>
  <c r="DD117" i="1"/>
  <c r="DD810" i="1"/>
  <c r="DD811" i="1"/>
  <c r="DD483" i="1"/>
  <c r="BC757" i="1"/>
  <c r="BJ713" i="1"/>
  <c r="BM109" i="1"/>
  <c r="BL467" i="1"/>
  <c r="L52" i="2"/>
  <c r="L50" i="2" s="1"/>
  <c r="L16" i="2"/>
  <c r="BB760" i="1"/>
  <c r="W55" i="24"/>
  <c r="BB733" i="1"/>
  <c r="W72" i="24"/>
  <c r="L85" i="2"/>
  <c r="BC733" i="1"/>
  <c r="AD35" i="24"/>
  <c r="AD36" i="24" s="1"/>
  <c r="BI483" i="1"/>
  <c r="BI811" i="1"/>
  <c r="BI117" i="1"/>
  <c r="BI482" i="1"/>
  <c r="BI810" i="1"/>
  <c r="BI478" i="1"/>
  <c r="BI480" i="1" s="1"/>
  <c r="BI465" i="1"/>
  <c r="BI118" i="1"/>
  <c r="BI667" i="1"/>
  <c r="DE120" i="1"/>
  <c r="BI122" i="1"/>
  <c r="BI115" i="1"/>
  <c r="BJ115" i="1" s="1"/>
  <c r="BI827" i="1"/>
  <c r="BI823" i="1"/>
  <c r="BI826" i="1"/>
  <c r="BI824" i="1"/>
  <c r="BI825" i="1"/>
  <c r="BI815" i="1"/>
  <c r="BI822" i="1"/>
  <c r="DD478" i="1"/>
  <c r="DD480" i="1" s="1"/>
  <c r="BF480" i="1"/>
  <c r="BF711" i="1"/>
  <c r="BM468" i="1"/>
  <c r="DG468" i="1" s="1"/>
  <c r="DG110" i="1" s="1"/>
  <c r="BN110" i="1"/>
  <c r="BJ809" i="1"/>
  <c r="BJ112" i="1"/>
  <c r="BJ808" i="1"/>
  <c r="BJ113" i="1"/>
  <c r="DF470" i="1"/>
  <c r="BA758" i="1"/>
  <c r="L15" i="2"/>
  <c r="DE713" i="1"/>
  <c r="BF490" i="1"/>
  <c r="BF497" i="1"/>
  <c r="BK113" i="1"/>
  <c r="BK809" i="1"/>
  <c r="BK808" i="1"/>
  <c r="BK112" i="1"/>
  <c r="Y41" i="24"/>
  <c r="DF467" i="1"/>
  <c r="DF109" i="1" s="1"/>
  <c r="BA757" i="1"/>
  <c r="DB521" i="1"/>
  <c r="G44" i="2"/>
  <c r="DB787" i="1"/>
  <c r="AX44" i="24"/>
  <c r="AX47" i="24" s="1"/>
  <c r="DB789" i="1"/>
  <c r="DB730" i="1"/>
  <c r="DB732" i="1"/>
  <c r="DB788" i="1"/>
  <c r="DB741" i="1"/>
  <c r="DB767" i="1" s="1"/>
  <c r="DB740" i="1"/>
  <c r="DB766" i="1" s="1"/>
  <c r="DB620" i="1"/>
  <c r="DB513" i="1"/>
  <c r="BB840" i="1"/>
  <c r="L114" i="2" s="1"/>
  <c r="BB838" i="1"/>
  <c r="BB759" i="1"/>
  <c r="W54" i="24"/>
  <c r="BB731" i="1"/>
  <c r="K112" i="2"/>
  <c r="BG130" i="1"/>
  <c r="AB40" i="24"/>
  <c r="BG500" i="1"/>
  <c r="DC493" i="1"/>
  <c r="AY38" i="24"/>
  <c r="K19" i="2"/>
  <c r="K17" i="2"/>
  <c r="F15" i="23"/>
  <c r="BH465" i="1"/>
  <c r="BH478" i="1"/>
  <c r="BH118" i="1"/>
  <c r="BH482" i="1"/>
  <c r="AC35" i="24"/>
  <c r="AC36" i="24" s="1"/>
  <c r="BH117" i="1"/>
  <c r="BH483" i="1"/>
  <c r="BH810" i="1"/>
  <c r="BH811" i="1"/>
  <c r="DE472" i="1"/>
  <c r="DC500" i="1"/>
  <c r="BD495" i="1"/>
  <c r="BD506" i="1"/>
  <c r="BD515" i="1"/>
  <c r="W51" i="24"/>
  <c r="W50" i="24" s="1"/>
  <c r="BB728" i="1"/>
  <c r="BB729" i="1"/>
  <c r="DB525" i="1"/>
  <c r="Q21" i="7"/>
  <c r="DC129" i="1"/>
  <c r="AY40" i="24"/>
  <c r="DC130" i="1"/>
  <c r="G46" i="2"/>
  <c r="G49" i="2" s="1"/>
  <c r="X48" i="24"/>
  <c r="BE506" i="1"/>
  <c r="BE509" i="1" s="1"/>
  <c r="BE495" i="1"/>
  <c r="BE515" i="1"/>
  <c r="BC758" i="1"/>
  <c r="BC731" i="1"/>
  <c r="BG493" i="1"/>
  <c r="AB38" i="24"/>
  <c r="BB510" i="1"/>
  <c r="P28" i="7"/>
  <c r="I24" i="7" s="1"/>
  <c r="I18" i="7"/>
  <c r="DE471" i="1"/>
  <c r="F85" i="2" l="1"/>
  <c r="I59" i="7"/>
  <c r="R16" i="17"/>
  <c r="AX72" i="24"/>
  <c r="DE825" i="1"/>
  <c r="DE826" i="1"/>
  <c r="DE827" i="1"/>
  <c r="DE822" i="1"/>
  <c r="DE815" i="1"/>
  <c r="DE122" i="1"/>
  <c r="DE823" i="1"/>
  <c r="DE824" i="1"/>
  <c r="DE115" i="1"/>
  <c r="L53" i="2"/>
  <c r="L18" i="2"/>
  <c r="AY41" i="24"/>
  <c r="DC506" i="1"/>
  <c r="DC509" i="1" s="1"/>
  <c r="BD509" i="1"/>
  <c r="BG495" i="1"/>
  <c r="BG506" i="1"/>
  <c r="BG509" i="1" s="1"/>
  <c r="BG515" i="1"/>
  <c r="L112" i="2"/>
  <c r="F43" i="23"/>
  <c r="F52" i="2"/>
  <c r="F50" i="2" s="1"/>
  <c r="C122" i="2"/>
  <c r="F16" i="2"/>
  <c r="I22" i="7"/>
  <c r="AX55" i="24"/>
  <c r="DB760" i="1"/>
  <c r="AA40" i="24"/>
  <c r="DD497" i="1"/>
  <c r="BF500" i="1"/>
  <c r="BF130" i="1"/>
  <c r="BO110" i="1"/>
  <c r="BN468" i="1"/>
  <c r="DC136" i="1"/>
  <c r="J31" i="7" s="1"/>
  <c r="BD620" i="1"/>
  <c r="BD740" i="1"/>
  <c r="BD766" i="1" s="1"/>
  <c r="Y44" i="24"/>
  <c r="Y47" i="24" s="1"/>
  <c r="Y48" i="24" s="1"/>
  <c r="BD741" i="1"/>
  <c r="BD767" i="1" s="1"/>
  <c r="BD732" i="1"/>
  <c r="BD513" i="1"/>
  <c r="BD788" i="1"/>
  <c r="Y72" i="24" s="1"/>
  <c r="BD730" i="1"/>
  <c r="BD789" i="1"/>
  <c r="BD136" i="1"/>
  <c r="BD787" i="1"/>
  <c r="BD525" i="1"/>
  <c r="BD521" i="1"/>
  <c r="BH480" i="1"/>
  <c r="DE478" i="1"/>
  <c r="DE480" i="1" s="1"/>
  <c r="AB41" i="24"/>
  <c r="I20" i="7"/>
  <c r="DB840" i="1"/>
  <c r="F114" i="2" s="1"/>
  <c r="DB759" i="1"/>
  <c r="DB838" i="1"/>
  <c r="F41" i="23"/>
  <c r="AX54" i="24"/>
  <c r="DE667" i="1"/>
  <c r="BL470" i="1"/>
  <c r="J54" i="7"/>
  <c r="Q24" i="7"/>
  <c r="F15" i="2"/>
  <c r="R18" i="17"/>
  <c r="F86" i="2"/>
  <c r="I63" i="7"/>
  <c r="AA38" i="24"/>
  <c r="BF493" i="1"/>
  <c r="BJ120" i="1"/>
  <c r="BK115" i="1"/>
  <c r="BM467" i="1"/>
  <c r="BM470" i="1" s="1"/>
  <c r="BN109" i="1"/>
  <c r="DC495" i="1"/>
  <c r="DC515" i="1"/>
  <c r="BH490" i="1"/>
  <c r="BH497" i="1"/>
  <c r="BH711" i="1"/>
  <c r="DD711" i="1"/>
  <c r="DD490" i="1"/>
  <c r="Z44" i="24"/>
  <c r="Z47" i="24" s="1"/>
  <c r="BE741" i="1"/>
  <c r="BE767" i="1" s="1"/>
  <c r="BE730" i="1"/>
  <c r="BE513" i="1"/>
  <c r="BE788" i="1"/>
  <c r="Z72" i="24" s="1"/>
  <c r="BE521" i="1"/>
  <c r="BE620" i="1"/>
  <c r="BE787" i="1"/>
  <c r="BE136" i="1"/>
  <c r="BE740" i="1"/>
  <c r="BE766" i="1" s="1"/>
  <c r="BE789" i="1"/>
  <c r="BE732" i="1"/>
  <c r="BE525" i="1"/>
  <c r="DB729" i="1"/>
  <c r="DB728" i="1"/>
  <c r="AX51" i="24"/>
  <c r="AX50" i="24" s="1"/>
  <c r="DB510" i="1"/>
  <c r="BB757" i="1"/>
  <c r="BB758" i="1"/>
  <c r="BA35" i="24"/>
  <c r="BA36" i="24" s="1"/>
  <c r="DE117" i="1"/>
  <c r="DE810" i="1"/>
  <c r="DE465" i="1"/>
  <c r="DE118" i="1"/>
  <c r="DE811" i="1"/>
  <c r="DE483" i="1"/>
  <c r="N47" i="23"/>
  <c r="F17" i="23"/>
  <c r="F84" i="2"/>
  <c r="I61" i="7"/>
  <c r="DF112" i="1"/>
  <c r="DF809" i="1"/>
  <c r="DF113" i="1"/>
  <c r="DF808" i="1"/>
  <c r="BI711" i="1"/>
  <c r="BI490" i="1"/>
  <c r="BI497" i="1"/>
  <c r="L19" i="2"/>
  <c r="L17" i="2"/>
  <c r="BK713" i="1"/>
  <c r="DF713" i="1" s="1"/>
  <c r="DE490" i="1" l="1"/>
  <c r="I26" i="7"/>
  <c r="F45" i="23"/>
  <c r="DB757" i="1"/>
  <c r="BE760" i="1"/>
  <c r="Z55" i="24"/>
  <c r="BE733" i="1"/>
  <c r="Z54" i="24"/>
  <c r="BE838" i="1"/>
  <c r="BE840" i="1"/>
  <c r="BE759" i="1"/>
  <c r="BE731" i="1"/>
  <c r="DG467" i="1"/>
  <c r="DG109" i="1" s="1"/>
  <c r="Y54" i="24"/>
  <c r="BD731" i="1"/>
  <c r="BD759" i="1"/>
  <c r="BD840" i="1"/>
  <c r="BD838" i="1"/>
  <c r="I39" i="7"/>
  <c r="BG732" i="1"/>
  <c r="AB44" i="24"/>
  <c r="AB47" i="24" s="1"/>
  <c r="BG513" i="1"/>
  <c r="BG740" i="1"/>
  <c r="BG766" i="1" s="1"/>
  <c r="BG525" i="1"/>
  <c r="BG788" i="1"/>
  <c r="AB72" i="24" s="1"/>
  <c r="BG741" i="1"/>
  <c r="BG767" i="1" s="1"/>
  <c r="BG521" i="1"/>
  <c r="BG787" i="1"/>
  <c r="BG136" i="1"/>
  <c r="BG789" i="1"/>
  <c r="BG730" i="1"/>
  <c r="BG620" i="1"/>
  <c r="G15" i="23"/>
  <c r="F47" i="23"/>
  <c r="DB758" i="1"/>
  <c r="BN467" i="1"/>
  <c r="BO109" i="1"/>
  <c r="R21" i="17"/>
  <c r="J18" i="7"/>
  <c r="J19" i="7" s="1"/>
  <c r="Q28" i="7"/>
  <c r="J24" i="7" s="1"/>
  <c r="J25" i="7" s="1"/>
  <c r="AZ40" i="24"/>
  <c r="DD129" i="1"/>
  <c r="DD130" i="1"/>
  <c r="F17" i="2"/>
  <c r="F19" i="2"/>
  <c r="DG470" i="1"/>
  <c r="BL808" i="1"/>
  <c r="BL113" i="1"/>
  <c r="BL112" i="1"/>
  <c r="BL809" i="1"/>
  <c r="BI500" i="1"/>
  <c r="BI130" i="1"/>
  <c r="AD40" i="24"/>
  <c r="BM808" i="1"/>
  <c r="BM112" i="1"/>
  <c r="BM809" i="1"/>
  <c r="BM113" i="1"/>
  <c r="BO468" i="1"/>
  <c r="DH468" i="1" s="1"/>
  <c r="DH110" i="1" s="1"/>
  <c r="BP110" i="1"/>
  <c r="AA41" i="24"/>
  <c r="Z51" i="24"/>
  <c r="Z50" i="24" s="1"/>
  <c r="BE729" i="1"/>
  <c r="BE728" i="1"/>
  <c r="BL713" i="1"/>
  <c r="Z48" i="24"/>
  <c r="DE711" i="1"/>
  <c r="BH130" i="1"/>
  <c r="AC40" i="24"/>
  <c r="BH500" i="1"/>
  <c r="DE497" i="1"/>
  <c r="BK120" i="1"/>
  <c r="BL115" i="1"/>
  <c r="DC521" i="1"/>
  <c r="Y55" i="24"/>
  <c r="BD733" i="1"/>
  <c r="BD760" i="1"/>
  <c r="BD510" i="1"/>
  <c r="F112" i="2"/>
  <c r="F51" i="23"/>
  <c r="BI493" i="1"/>
  <c r="AD38" i="24"/>
  <c r="N37" i="23"/>
  <c r="F20" i="23"/>
  <c r="N36" i="23"/>
  <c r="DD493" i="1"/>
  <c r="AZ38" i="24"/>
  <c r="BH493" i="1"/>
  <c r="AC38" i="24"/>
  <c r="AY44" i="24"/>
  <c r="AY47" i="24" s="1"/>
  <c r="AY48" i="24" s="1"/>
  <c r="DC741" i="1"/>
  <c r="DC767" i="1" s="1"/>
  <c r="DC789" i="1"/>
  <c r="DC740" i="1"/>
  <c r="DC766" i="1" s="1"/>
  <c r="DC788" i="1"/>
  <c r="DC787" i="1"/>
  <c r="DC732" i="1"/>
  <c r="DC513" i="1"/>
  <c r="DC730" i="1"/>
  <c r="DC620" i="1"/>
  <c r="BJ667" i="1"/>
  <c r="BJ825" i="1"/>
  <c r="BJ823" i="1"/>
  <c r="BJ822" i="1"/>
  <c r="BJ815" i="1"/>
  <c r="BJ826" i="1"/>
  <c r="BJ824" i="1"/>
  <c r="BJ827" i="1"/>
  <c r="BJ122" i="1"/>
  <c r="BJ471" i="1"/>
  <c r="N20" i="23"/>
  <c r="BD729" i="1"/>
  <c r="BD728" i="1"/>
  <c r="DC525" i="1"/>
  <c r="Y51" i="24"/>
  <c r="Y50" i="24" s="1"/>
  <c r="BF506" i="1"/>
  <c r="DD500" i="1"/>
  <c r="BF495" i="1"/>
  <c r="BF515" i="1"/>
  <c r="BE510" i="1"/>
  <c r="DE500" i="1" l="1"/>
  <c r="BH506" i="1"/>
  <c r="BH495" i="1"/>
  <c r="BH515" i="1"/>
  <c r="DD495" i="1"/>
  <c r="DD515" i="1"/>
  <c r="G84" i="2"/>
  <c r="J61" i="7"/>
  <c r="AC41" i="24"/>
  <c r="BN470" i="1"/>
  <c r="AB51" i="24"/>
  <c r="AB50" i="24" s="1"/>
  <c r="BG728" i="1"/>
  <c r="BG729" i="1"/>
  <c r="BG510" i="1"/>
  <c r="J20" i="7"/>
  <c r="J21" i="7" s="1"/>
  <c r="DC840" i="1"/>
  <c r="G114" i="2" s="1"/>
  <c r="G41" i="23"/>
  <c r="DC731" i="1"/>
  <c r="AY54" i="24"/>
  <c r="DC759" i="1"/>
  <c r="DC838" i="1"/>
  <c r="BF509" i="1"/>
  <c r="DD506" i="1"/>
  <c r="DD509" i="1" s="1"/>
  <c r="AY51" i="24"/>
  <c r="AY50" i="24" s="1"/>
  <c r="DC729" i="1"/>
  <c r="DC728" i="1"/>
  <c r="G15" i="2"/>
  <c r="S18" i="17"/>
  <c r="S16" i="17"/>
  <c r="G85" i="2"/>
  <c r="AY72" i="24"/>
  <c r="J59" i="7"/>
  <c r="BL120" i="1"/>
  <c r="BM115" i="1"/>
  <c r="BP468" i="1"/>
  <c r="BQ110" i="1"/>
  <c r="BQ468" i="1" s="1"/>
  <c r="DG808" i="1"/>
  <c r="DG113" i="1"/>
  <c r="DG809" i="1"/>
  <c r="DG112" i="1"/>
  <c r="BK122" i="1"/>
  <c r="BK827" i="1"/>
  <c r="BK825" i="1"/>
  <c r="BK826" i="1"/>
  <c r="BK824" i="1"/>
  <c r="BK823" i="1"/>
  <c r="DF120" i="1"/>
  <c r="BK815" i="1"/>
  <c r="BK822" i="1"/>
  <c r="BK667" i="1"/>
  <c r="AD41" i="24"/>
  <c r="BD758" i="1"/>
  <c r="BP109" i="1"/>
  <c r="BO467" i="1"/>
  <c r="BO470" i="1" s="1"/>
  <c r="BD757" i="1"/>
  <c r="BJ472" i="1"/>
  <c r="BK471" i="1"/>
  <c r="BK472" i="1" s="1"/>
  <c r="G52" i="2"/>
  <c r="G50" i="2" s="1"/>
  <c r="G16" i="2"/>
  <c r="G43" i="23"/>
  <c r="G44" i="23" s="1"/>
  <c r="J22" i="7"/>
  <c r="D122" i="2"/>
  <c r="E122" i="2" s="1"/>
  <c r="AY55" i="24"/>
  <c r="DC733" i="1"/>
  <c r="DC760" i="1"/>
  <c r="N42" i="23"/>
  <c r="N41" i="23"/>
  <c r="BE757" i="1"/>
  <c r="AZ41" i="24"/>
  <c r="BA38" i="24"/>
  <c r="DE493" i="1"/>
  <c r="BI495" i="1"/>
  <c r="BI506" i="1"/>
  <c r="BI509" i="1" s="1"/>
  <c r="BI515" i="1"/>
  <c r="O47" i="23"/>
  <c r="G17" i="23"/>
  <c r="BG760" i="1"/>
  <c r="AB55" i="24"/>
  <c r="BF741" i="1"/>
  <c r="BF767" i="1" s="1"/>
  <c r="BF620" i="1"/>
  <c r="BF732" i="1"/>
  <c r="BF513" i="1"/>
  <c r="BF740" i="1"/>
  <c r="BF766" i="1" s="1"/>
  <c r="BF730" i="1"/>
  <c r="BG731" i="1" s="1"/>
  <c r="AA44" i="24"/>
  <c r="AA47" i="24" s="1"/>
  <c r="AA48" i="24" s="1"/>
  <c r="BF521" i="1"/>
  <c r="BF788" i="1"/>
  <c r="AA72" i="24" s="1"/>
  <c r="DD136" i="1"/>
  <c r="BF789" i="1"/>
  <c r="BF787" i="1"/>
  <c r="BF136" i="1"/>
  <c r="BF525" i="1"/>
  <c r="G86" i="2"/>
  <c r="J63" i="7"/>
  <c r="DE129" i="1"/>
  <c r="DE130" i="1"/>
  <c r="BA40" i="24"/>
  <c r="BM713" i="1"/>
  <c r="BE758" i="1"/>
  <c r="BG759" i="1"/>
  <c r="BG840" i="1"/>
  <c r="BG838" i="1"/>
  <c r="AB54" i="24"/>
  <c r="DC510" i="1"/>
  <c r="AB48" i="24" l="1"/>
  <c r="BA41" i="24"/>
  <c r="BJ811" i="1"/>
  <c r="BJ478" i="1"/>
  <c r="BJ118" i="1"/>
  <c r="BJ117" i="1"/>
  <c r="BJ810" i="1"/>
  <c r="AE35" i="24"/>
  <c r="BJ465" i="1"/>
  <c r="BJ483" i="1"/>
  <c r="DF472" i="1"/>
  <c r="DF122" i="1"/>
  <c r="DF815" i="1"/>
  <c r="DF827" i="1"/>
  <c r="DF825" i="1"/>
  <c r="DF826" i="1"/>
  <c r="DF115" i="1"/>
  <c r="DF822" i="1"/>
  <c r="DF823" i="1"/>
  <c r="DF824" i="1"/>
  <c r="S21" i="17"/>
  <c r="S19" i="17"/>
  <c r="DH467" i="1"/>
  <c r="DH109" i="1" s="1"/>
  <c r="DD521" i="1"/>
  <c r="BF760" i="1"/>
  <c r="AA55" i="24"/>
  <c r="BF733" i="1"/>
  <c r="BI788" i="1"/>
  <c r="AD72" i="24" s="1"/>
  <c r="BI513" i="1"/>
  <c r="BI732" i="1"/>
  <c r="BI741" i="1"/>
  <c r="BI767" i="1" s="1"/>
  <c r="AD44" i="24"/>
  <c r="AD47" i="24" s="1"/>
  <c r="BI730" i="1"/>
  <c r="BI740" i="1"/>
  <c r="BI766" i="1" s="1"/>
  <c r="BI620" i="1"/>
  <c r="BI789" i="1"/>
  <c r="BI136" i="1"/>
  <c r="BI525" i="1"/>
  <c r="BI787" i="1"/>
  <c r="BI521" i="1"/>
  <c r="G19" i="2"/>
  <c r="G17" i="2"/>
  <c r="DF471" i="1"/>
  <c r="G47" i="23"/>
  <c r="G48" i="23" s="1"/>
  <c r="DC758" i="1"/>
  <c r="BG758" i="1"/>
  <c r="BH740" i="1"/>
  <c r="BH766" i="1" s="1"/>
  <c r="BH521" i="1"/>
  <c r="BH513" i="1"/>
  <c r="AC44" i="24"/>
  <c r="AC47" i="24" s="1"/>
  <c r="AC48" i="24" s="1"/>
  <c r="BH730" i="1"/>
  <c r="BH732" i="1"/>
  <c r="BH788" i="1"/>
  <c r="AC72" i="24" s="1"/>
  <c r="BH620" i="1"/>
  <c r="DE136" i="1"/>
  <c r="BH741" i="1"/>
  <c r="BH767" i="1" s="1"/>
  <c r="BH789" i="1"/>
  <c r="BH787" i="1"/>
  <c r="BH136" i="1"/>
  <c r="BH525" i="1"/>
  <c r="G20" i="23"/>
  <c r="O36" i="23"/>
  <c r="O37" i="23"/>
  <c r="BL122" i="1"/>
  <c r="BL827" i="1"/>
  <c r="BL825" i="1"/>
  <c r="BL823" i="1"/>
  <c r="BL815" i="1"/>
  <c r="BL667" i="1"/>
  <c r="BL822" i="1"/>
  <c r="BL826" i="1"/>
  <c r="BL824" i="1"/>
  <c r="G45" i="23"/>
  <c r="G46" i="23" s="1"/>
  <c r="DC757" i="1"/>
  <c r="J26" i="7"/>
  <c r="J27" i="7" s="1"/>
  <c r="G112" i="2"/>
  <c r="G51" i="23"/>
  <c r="BO112" i="1"/>
  <c r="BO113" i="1"/>
  <c r="BO809" i="1"/>
  <c r="BO808" i="1"/>
  <c r="BG757" i="1"/>
  <c r="G53" i="2"/>
  <c r="G18" i="2"/>
  <c r="BN809" i="1"/>
  <c r="BN112" i="1"/>
  <c r="BN808" i="1"/>
  <c r="DH470" i="1"/>
  <c r="BN113" i="1"/>
  <c r="BF838" i="1"/>
  <c r="BF759" i="1"/>
  <c r="AA54" i="24"/>
  <c r="BF731" i="1"/>
  <c r="BF840" i="1"/>
  <c r="BP467" i="1"/>
  <c r="BQ109" i="1"/>
  <c r="DF667" i="1"/>
  <c r="BL471" i="1"/>
  <c r="DI468" i="1"/>
  <c r="DI110" i="1" s="1"/>
  <c r="BF510" i="1"/>
  <c r="DE506" i="1"/>
  <c r="DE509" i="1" s="1"/>
  <c r="BH509" i="1"/>
  <c r="BK465" i="1"/>
  <c r="BK478" i="1"/>
  <c r="BK480" i="1" s="1"/>
  <c r="BK811" i="1"/>
  <c r="BK118" i="1"/>
  <c r="BK117" i="1"/>
  <c r="BK810" i="1"/>
  <c r="AF35" i="24"/>
  <c r="BK483" i="1"/>
  <c r="DD740" i="1"/>
  <c r="DD766" i="1" s="1"/>
  <c r="AZ44" i="24"/>
  <c r="AZ47" i="24" s="1"/>
  <c r="AZ48" i="24" s="1"/>
  <c r="DD741" i="1"/>
  <c r="DD767" i="1" s="1"/>
  <c r="DD788" i="1"/>
  <c r="DD730" i="1"/>
  <c r="DD620" i="1"/>
  <c r="DD787" i="1"/>
  <c r="DD789" i="1"/>
  <c r="DD513" i="1"/>
  <c r="DD732" i="1"/>
  <c r="BN713" i="1"/>
  <c r="DG713" i="1"/>
  <c r="AA51" i="24"/>
  <c r="AA50" i="24" s="1"/>
  <c r="BF729" i="1"/>
  <c r="BF728" i="1"/>
  <c r="DD525" i="1"/>
  <c r="BG733" i="1"/>
  <c r="J23" i="7"/>
  <c r="J39" i="7"/>
  <c r="BM120" i="1"/>
  <c r="BM471" i="1" s="1"/>
  <c r="BM472" i="1" s="1"/>
  <c r="BN115" i="1"/>
  <c r="G42" i="23"/>
  <c r="O20" i="23"/>
  <c r="DE495" i="1"/>
  <c r="DE515" i="1"/>
  <c r="BH510" i="1" l="1"/>
  <c r="BF757" i="1"/>
  <c r="T16" i="17"/>
  <c r="AZ72" i="24"/>
  <c r="AC51" i="24"/>
  <c r="AC50" i="24" s="1"/>
  <c r="BH729" i="1"/>
  <c r="DE525" i="1"/>
  <c r="BH728" i="1"/>
  <c r="BH733" i="1"/>
  <c r="BH760" i="1"/>
  <c r="AC55" i="24"/>
  <c r="BI838" i="1"/>
  <c r="BI840" i="1"/>
  <c r="BI759" i="1"/>
  <c r="AD54" i="24"/>
  <c r="BI731" i="1"/>
  <c r="BJ490" i="1"/>
  <c r="BJ497" i="1"/>
  <c r="BM465" i="1"/>
  <c r="AH35" i="24"/>
  <c r="BM118" i="1"/>
  <c r="BM811" i="1"/>
  <c r="BM478" i="1"/>
  <c r="BM480" i="1" s="1"/>
  <c r="BM117" i="1"/>
  <c r="BM810" i="1"/>
  <c r="BM483" i="1"/>
  <c r="BH840" i="1"/>
  <c r="BH731" i="1"/>
  <c r="BH838" i="1"/>
  <c r="BH759" i="1"/>
  <c r="AC54" i="24"/>
  <c r="AD48" i="24"/>
  <c r="BJ711" i="1"/>
  <c r="DF478" i="1"/>
  <c r="DF480" i="1" s="1"/>
  <c r="BJ480" i="1"/>
  <c r="DF465" i="1"/>
  <c r="BB35" i="24"/>
  <c r="BB36" i="24" s="1"/>
  <c r="DF810" i="1"/>
  <c r="DF811" i="1"/>
  <c r="DF118" i="1"/>
  <c r="DF117" i="1"/>
  <c r="DF483" i="1"/>
  <c r="BK711" i="1"/>
  <c r="BQ467" i="1"/>
  <c r="BQ470" i="1" s="1"/>
  <c r="F109" i="1"/>
  <c r="BM122" i="1"/>
  <c r="DG120" i="1"/>
  <c r="BM827" i="1"/>
  <c r="BM822" i="1"/>
  <c r="BM824" i="1"/>
  <c r="BM667" i="1"/>
  <c r="BM826" i="1"/>
  <c r="BM823" i="1"/>
  <c r="BM825" i="1"/>
  <c r="BM815" i="1"/>
  <c r="AZ51" i="24"/>
  <c r="AZ50" i="24" s="1"/>
  <c r="DD729" i="1"/>
  <c r="DD728" i="1"/>
  <c r="DD510" i="1"/>
  <c r="BP470" i="1"/>
  <c r="DH808" i="1"/>
  <c r="DH112" i="1"/>
  <c r="DH809" i="1"/>
  <c r="DH113" i="1"/>
  <c r="O41" i="23"/>
  <c r="O42" i="23"/>
  <c r="BI729" i="1"/>
  <c r="AD51" i="24"/>
  <c r="AD50" i="24" s="1"/>
  <c r="BI728" i="1"/>
  <c r="AD55" i="24"/>
  <c r="BI760" i="1"/>
  <c r="BI733" i="1"/>
  <c r="DG471" i="1"/>
  <c r="BL472" i="1"/>
  <c r="BF758" i="1"/>
  <c r="DD760" i="1"/>
  <c r="DD733" i="1"/>
  <c r="AZ55" i="24"/>
  <c r="T18" i="17"/>
  <c r="BA44" i="24"/>
  <c r="BA47" i="24" s="1"/>
  <c r="BA48" i="24" s="1"/>
  <c r="DE741" i="1"/>
  <c r="DE767" i="1" s="1"/>
  <c r="DE732" i="1"/>
  <c r="DE513" i="1"/>
  <c r="DE787" i="1"/>
  <c r="DE740" i="1"/>
  <c r="DE766" i="1" s="1"/>
  <c r="DE730" i="1"/>
  <c r="DE789" i="1"/>
  <c r="DE620" i="1"/>
  <c r="DE788" i="1"/>
  <c r="BN120" i="1"/>
  <c r="BN471" i="1" s="1"/>
  <c r="BO115" i="1"/>
  <c r="BO713" i="1"/>
  <c r="DH713" i="1" s="1"/>
  <c r="DD838" i="1"/>
  <c r="AZ54" i="24"/>
  <c r="DD731" i="1"/>
  <c r="DD840" i="1"/>
  <c r="DD759" i="1"/>
  <c r="BK490" i="1"/>
  <c r="BK497" i="1"/>
  <c r="DE521" i="1"/>
  <c r="BI510" i="1"/>
  <c r="BN472" i="1" l="1"/>
  <c r="U18" i="17"/>
  <c r="BQ808" i="1"/>
  <c r="BQ112" i="1"/>
  <c r="BQ113" i="1"/>
  <c r="BQ809" i="1"/>
  <c r="AE40" i="24"/>
  <c r="BJ130" i="1"/>
  <c r="DF497" i="1"/>
  <c r="BJ500" i="1"/>
  <c r="BO120" i="1"/>
  <c r="BO471" i="1" s="1"/>
  <c r="BO472" i="1" s="1"/>
  <c r="BP115" i="1"/>
  <c r="DE733" i="1"/>
  <c r="DE760" i="1"/>
  <c r="BA55" i="24"/>
  <c r="DD757" i="1"/>
  <c r="DG122" i="1"/>
  <c r="DG823" i="1"/>
  <c r="DG815" i="1"/>
  <c r="DG824" i="1"/>
  <c r="DG115" i="1"/>
  <c r="DG822" i="1"/>
  <c r="DG826" i="1"/>
  <c r="DG825" i="1"/>
  <c r="DG827" i="1"/>
  <c r="BH758" i="1"/>
  <c r="BL465" i="1"/>
  <c r="BL118" i="1"/>
  <c r="AG35" i="24"/>
  <c r="BL478" i="1"/>
  <c r="BL811" i="1"/>
  <c r="BL117" i="1"/>
  <c r="BL810" i="1"/>
  <c r="BL483" i="1"/>
  <c r="DG472" i="1"/>
  <c r="DD758" i="1"/>
  <c r="BM497" i="1"/>
  <c r="BM490" i="1"/>
  <c r="DE759" i="1"/>
  <c r="DE838" i="1"/>
  <c r="DE731" i="1"/>
  <c r="BA54" i="24"/>
  <c r="DE840" i="1"/>
  <c r="DG667" i="1"/>
  <c r="BJ493" i="1"/>
  <c r="AE38" i="24"/>
  <c r="BK500" i="1"/>
  <c r="AF40" i="24"/>
  <c r="BK130" i="1"/>
  <c r="T21" i="17"/>
  <c r="T19" i="17"/>
  <c r="BI758" i="1"/>
  <c r="BN122" i="1"/>
  <c r="BN667" i="1"/>
  <c r="BN826" i="1"/>
  <c r="BN827" i="1"/>
  <c r="BN823" i="1"/>
  <c r="BN822" i="1"/>
  <c r="BN824" i="1"/>
  <c r="BN825" i="1"/>
  <c r="BN815" i="1"/>
  <c r="DI467" i="1"/>
  <c r="DI109" i="1" s="1"/>
  <c r="DF711" i="1"/>
  <c r="BM711" i="1"/>
  <c r="BK493" i="1"/>
  <c r="AF38" i="24"/>
  <c r="BP713" i="1"/>
  <c r="BA72" i="24"/>
  <c r="U16" i="17"/>
  <c r="V16" i="17" s="1"/>
  <c r="DI470" i="1"/>
  <c r="BP113" i="1"/>
  <c r="BP808" i="1"/>
  <c r="BP809" i="1"/>
  <c r="BP112" i="1"/>
  <c r="BI757" i="1"/>
  <c r="DF490" i="1"/>
  <c r="BH757" i="1"/>
  <c r="BA51" i="24"/>
  <c r="BA50" i="24" s="1"/>
  <c r="DE729" i="1"/>
  <c r="DE728" i="1"/>
  <c r="DE510" i="1"/>
  <c r="DF500" i="1" l="1"/>
  <c r="BJ495" i="1"/>
  <c r="BJ506" i="1"/>
  <c r="BJ515" i="1"/>
  <c r="U21" i="17"/>
  <c r="V21" i="17" s="1"/>
  <c r="W21" i="17" s="1"/>
  <c r="X21" i="17" s="1"/>
  <c r="Y21" i="17" s="1"/>
  <c r="Z21" i="17" s="1"/>
  <c r="AA21" i="17" s="1"/>
  <c r="U19" i="17"/>
  <c r="BQ713" i="1"/>
  <c r="DF493" i="1"/>
  <c r="BB38" i="24"/>
  <c r="AF41" i="24"/>
  <c r="DF129" i="1"/>
  <c r="DF130" i="1"/>
  <c r="BB40" i="24"/>
  <c r="BO478" i="1"/>
  <c r="BO480" i="1" s="1"/>
  <c r="AJ35" i="24"/>
  <c r="BO810" i="1"/>
  <c r="BO118" i="1"/>
  <c r="BO465" i="1"/>
  <c r="BO811" i="1"/>
  <c r="BO117" i="1"/>
  <c r="BO483" i="1"/>
  <c r="BC35" i="24"/>
  <c r="BC36" i="24" s="1"/>
  <c r="DG465" i="1"/>
  <c r="DG117" i="1"/>
  <c r="DG483" i="1"/>
  <c r="DG811" i="1"/>
  <c r="DG810" i="1"/>
  <c r="DG118" i="1"/>
  <c r="DG478" i="1"/>
  <c r="DG480" i="1" s="1"/>
  <c r="BL480" i="1"/>
  <c r="DE757" i="1"/>
  <c r="DI112" i="1"/>
  <c r="DI808" i="1"/>
  <c r="DI113" i="1"/>
  <c r="DI809" i="1"/>
  <c r="BL490" i="1"/>
  <c r="BL497" i="1"/>
  <c r="BP120" i="1"/>
  <c r="BP471" i="1" s="1"/>
  <c r="BQ115" i="1"/>
  <c r="BQ120" i="1" s="1"/>
  <c r="BK506" i="1"/>
  <c r="BK509" i="1" s="1"/>
  <c r="BK495" i="1"/>
  <c r="BK515" i="1"/>
  <c r="BO667" i="1"/>
  <c r="DH120" i="1"/>
  <c r="BO823" i="1"/>
  <c r="BO825" i="1"/>
  <c r="BO826" i="1"/>
  <c r="BO827" i="1"/>
  <c r="BO822" i="1"/>
  <c r="BO815" i="1"/>
  <c r="BO122" i="1"/>
  <c r="BO824" i="1"/>
  <c r="BN465" i="1"/>
  <c r="BN811" i="1"/>
  <c r="AI35" i="24"/>
  <c r="BN810" i="1"/>
  <c r="BN478" i="1"/>
  <c r="BN117" i="1"/>
  <c r="BN118" i="1"/>
  <c r="BN483" i="1"/>
  <c r="DH472" i="1"/>
  <c r="V18" i="17"/>
  <c r="W16" i="17"/>
  <c r="DE758" i="1"/>
  <c r="BM493" i="1"/>
  <c r="AH38" i="24"/>
  <c r="AH40" i="24"/>
  <c r="BM500" i="1"/>
  <c r="BM130" i="1"/>
  <c r="BL711" i="1"/>
  <c r="AE41" i="24"/>
  <c r="DH471" i="1"/>
  <c r="BB41" i="24" l="1"/>
  <c r="AH41" i="24"/>
  <c r="DG490" i="1"/>
  <c r="DI713" i="1"/>
  <c r="BJ509" i="1"/>
  <c r="DF506" i="1"/>
  <c r="DF509" i="1" s="1"/>
  <c r="BP472" i="1"/>
  <c r="DH822" i="1"/>
  <c r="DH826" i="1"/>
  <c r="DH827" i="1"/>
  <c r="DH824" i="1"/>
  <c r="DH825" i="1"/>
  <c r="DH115" i="1"/>
  <c r="DH815" i="1"/>
  <c r="DH122" i="1"/>
  <c r="DH823" i="1"/>
  <c r="BK740" i="1"/>
  <c r="BK766" i="1" s="1"/>
  <c r="BK741" i="1"/>
  <c r="BK767" i="1" s="1"/>
  <c r="AF44" i="24"/>
  <c r="AF47" i="24" s="1"/>
  <c r="BK521" i="1"/>
  <c r="BK513" i="1"/>
  <c r="BK732" i="1"/>
  <c r="BK788" i="1"/>
  <c r="AF72" i="24" s="1"/>
  <c r="BK525" i="1"/>
  <c r="BK730" i="1"/>
  <c r="BK136" i="1"/>
  <c r="BK620" i="1"/>
  <c r="BK787" i="1"/>
  <c r="BK789" i="1"/>
  <c r="BL493" i="1"/>
  <c r="AG38" i="24"/>
  <c r="BN711" i="1"/>
  <c r="BN480" i="1"/>
  <c r="DH478" i="1"/>
  <c r="DH480" i="1" s="1"/>
  <c r="BQ122" i="1"/>
  <c r="DI120" i="1"/>
  <c r="BQ823" i="1"/>
  <c r="BQ815" i="1"/>
  <c r="BQ822" i="1"/>
  <c r="BQ827" i="1"/>
  <c r="BQ825" i="1"/>
  <c r="BQ826" i="1"/>
  <c r="BQ824" i="1"/>
  <c r="BQ667" i="1"/>
  <c r="BO711" i="1"/>
  <c r="DF495" i="1"/>
  <c r="DF515" i="1"/>
  <c r="DH667" i="1"/>
  <c r="DG711" i="1"/>
  <c r="BJ788" i="1"/>
  <c r="AE72" i="24" s="1"/>
  <c r="BJ741" i="1"/>
  <c r="BJ767" i="1" s="1"/>
  <c r="BJ513" i="1"/>
  <c r="BJ521" i="1"/>
  <c r="BJ620" i="1"/>
  <c r="AE44" i="24"/>
  <c r="AE47" i="24" s="1"/>
  <c r="AE48" i="24" s="1"/>
  <c r="BJ525" i="1"/>
  <c r="BJ732" i="1"/>
  <c r="BJ789" i="1"/>
  <c r="BJ136" i="1"/>
  <c r="BJ740" i="1"/>
  <c r="BJ766" i="1" s="1"/>
  <c r="DF136" i="1"/>
  <c r="BJ787" i="1"/>
  <c r="BJ730" i="1"/>
  <c r="BM506" i="1"/>
  <c r="BM509" i="1" s="1"/>
  <c r="BM495" i="1"/>
  <c r="BM515" i="1"/>
  <c r="W18" i="17"/>
  <c r="X16" i="17"/>
  <c r="BD35" i="24"/>
  <c r="BD36" i="24" s="1"/>
  <c r="DH810" i="1"/>
  <c r="DH811" i="1"/>
  <c r="DH118" i="1"/>
  <c r="DH465" i="1"/>
  <c r="DH483" i="1"/>
  <c r="DH117" i="1"/>
  <c r="BP667" i="1"/>
  <c r="BP122" i="1"/>
  <c r="BP826" i="1"/>
  <c r="BP827" i="1"/>
  <c r="BP824" i="1"/>
  <c r="BP822" i="1"/>
  <c r="BP815" i="1"/>
  <c r="BQ471" i="1"/>
  <c r="BQ472" i="1" s="1"/>
  <c r="BP825" i="1"/>
  <c r="BP823" i="1"/>
  <c r="V20" i="17"/>
  <c r="V22" i="17" s="1"/>
  <c r="V52" i="17" s="1"/>
  <c r="V54" i="17" s="1"/>
  <c r="V19" i="17"/>
  <c r="BN497" i="1"/>
  <c r="BN490" i="1"/>
  <c r="AG40" i="24"/>
  <c r="BL130" i="1"/>
  <c r="DG497" i="1"/>
  <c r="BL500" i="1"/>
  <c r="BO490" i="1"/>
  <c r="BO497" i="1"/>
  <c r="AG41" i="24" l="1"/>
  <c r="AF54" i="24"/>
  <c r="BK838" i="1"/>
  <c r="BK759" i="1"/>
  <c r="BK731" i="1"/>
  <c r="BK840" i="1"/>
  <c r="BB44" i="24"/>
  <c r="BB47" i="24" s="1"/>
  <c r="DF513" i="1"/>
  <c r="DF788" i="1"/>
  <c r="BB72" i="24" s="1"/>
  <c r="DF741" i="1"/>
  <c r="DF767" i="1" s="1"/>
  <c r="DF740" i="1"/>
  <c r="DF766" i="1" s="1"/>
  <c r="DF730" i="1"/>
  <c r="DF620" i="1"/>
  <c r="DF789" i="1"/>
  <c r="DF732" i="1"/>
  <c r="DF787" i="1"/>
  <c r="DI827" i="1"/>
  <c r="DI826" i="1"/>
  <c r="DI822" i="1"/>
  <c r="DI115" i="1"/>
  <c r="DI823" i="1"/>
  <c r="DI824" i="1"/>
  <c r="DI825" i="1"/>
  <c r="DI815" i="1"/>
  <c r="DI122" i="1"/>
  <c r="AF51" i="24"/>
  <c r="AF50" i="24" s="1"/>
  <c r="BK728" i="1"/>
  <c r="BK729" i="1"/>
  <c r="BK510" i="1"/>
  <c r="BJ510" i="1"/>
  <c r="BM740" i="1"/>
  <c r="BM766" i="1" s="1"/>
  <c r="BM788" i="1"/>
  <c r="AH72" i="24" s="1"/>
  <c r="BM741" i="1"/>
  <c r="BM767" i="1" s="1"/>
  <c r="BM513" i="1"/>
  <c r="AH44" i="24"/>
  <c r="AH47" i="24" s="1"/>
  <c r="BM521" i="1"/>
  <c r="BM525" i="1"/>
  <c r="BM620" i="1"/>
  <c r="BM789" i="1"/>
  <c r="BM136" i="1"/>
  <c r="BM732" i="1"/>
  <c r="BM787" i="1"/>
  <c r="BM730" i="1"/>
  <c r="BJ733" i="1"/>
  <c r="AE55" i="24"/>
  <c r="BJ760" i="1"/>
  <c r="DF521" i="1"/>
  <c r="DH711" i="1"/>
  <c r="AF48" i="24"/>
  <c r="W20" i="17"/>
  <c r="W22" i="17" s="1"/>
  <c r="W52" i="17" s="1"/>
  <c r="W54" i="17" s="1"/>
  <c r="W19" i="17"/>
  <c r="DG130" i="1"/>
  <c r="BC40" i="24"/>
  <c r="DG129" i="1"/>
  <c r="AI40" i="24"/>
  <c r="BN130" i="1"/>
  <c r="DH497" i="1"/>
  <c r="BN500" i="1"/>
  <c r="AE51" i="24"/>
  <c r="AE50" i="24" s="1"/>
  <c r="BJ729" i="1"/>
  <c r="BJ728" i="1"/>
  <c r="DF525" i="1"/>
  <c r="BN493" i="1"/>
  <c r="AI38" i="24"/>
  <c r="DI667" i="1"/>
  <c r="BK760" i="1"/>
  <c r="AF55" i="24"/>
  <c r="BK733" i="1"/>
  <c r="BP465" i="1"/>
  <c r="BP117" i="1"/>
  <c r="BP118" i="1"/>
  <c r="BP810" i="1"/>
  <c r="BP811" i="1"/>
  <c r="BP478" i="1"/>
  <c r="AK35" i="24"/>
  <c r="DI472" i="1"/>
  <c r="BP483" i="1"/>
  <c r="DG493" i="1"/>
  <c r="BC38" i="24"/>
  <c r="BL506" i="1"/>
  <c r="BL495" i="1"/>
  <c r="DG500" i="1"/>
  <c r="BL515" i="1"/>
  <c r="BO500" i="1"/>
  <c r="AJ40" i="24"/>
  <c r="BO130" i="1"/>
  <c r="DH490" i="1"/>
  <c r="AJ38" i="24"/>
  <c r="BO493" i="1"/>
  <c r="BQ478" i="1"/>
  <c r="BQ480" i="1" s="1"/>
  <c r="BQ810" i="1"/>
  <c r="BQ811" i="1"/>
  <c r="BQ465" i="1"/>
  <c r="AL35" i="24"/>
  <c r="BQ117" i="1"/>
  <c r="BQ118" i="1"/>
  <c r="BQ483" i="1"/>
  <c r="X18" i="17"/>
  <c r="Y16" i="17"/>
  <c r="BJ838" i="1"/>
  <c r="BJ731" i="1"/>
  <c r="BJ840" i="1"/>
  <c r="AE54" i="24"/>
  <c r="BJ759" i="1"/>
  <c r="DI471" i="1"/>
  <c r="AJ41" i="24" l="1"/>
  <c r="BP480" i="1"/>
  <c r="DI478" i="1"/>
  <c r="DI480" i="1" s="1"/>
  <c r="BP711" i="1"/>
  <c r="DF728" i="1"/>
  <c r="DF729" i="1"/>
  <c r="BB51" i="24"/>
  <c r="BB50" i="24" s="1"/>
  <c r="DF510" i="1"/>
  <c r="DH500" i="1"/>
  <c r="BN495" i="1"/>
  <c r="BN506" i="1"/>
  <c r="BN515" i="1"/>
  <c r="AH55" i="24"/>
  <c r="BM760" i="1"/>
  <c r="BK757" i="1"/>
  <c r="X20" i="17"/>
  <c r="X22" i="17" s="1"/>
  <c r="X52" i="17" s="1"/>
  <c r="X54" i="17" s="1"/>
  <c r="X19" i="17"/>
  <c r="DG506" i="1"/>
  <c r="DG509" i="1" s="1"/>
  <c r="BL509" i="1"/>
  <c r="DH129" i="1"/>
  <c r="DH130" i="1"/>
  <c r="BD40" i="24"/>
  <c r="BL732" i="1"/>
  <c r="BM733" i="1" s="1"/>
  <c r="BL740" i="1"/>
  <c r="BL766" i="1" s="1"/>
  <c r="BL741" i="1"/>
  <c r="BL767" i="1" s="1"/>
  <c r="BL788" i="1"/>
  <c r="AG72" i="24" s="1"/>
  <c r="BL521" i="1"/>
  <c r="AG44" i="24"/>
  <c r="AG47" i="24" s="1"/>
  <c r="AG48" i="24" s="1"/>
  <c r="BL513" i="1"/>
  <c r="BL730" i="1"/>
  <c r="BL136" i="1"/>
  <c r="DG136" i="1"/>
  <c r="BL620" i="1"/>
  <c r="BL787" i="1"/>
  <c r="BL789" i="1"/>
  <c r="BL525" i="1"/>
  <c r="BC41" i="24"/>
  <c r="BM838" i="1"/>
  <c r="BM759" i="1"/>
  <c r="BM840" i="1"/>
  <c r="AH54" i="24"/>
  <c r="BO506" i="1"/>
  <c r="BO509" i="1" s="1"/>
  <c r="BO495" i="1"/>
  <c r="BO515" i="1"/>
  <c r="BJ757" i="1"/>
  <c r="BP490" i="1"/>
  <c r="BP497" i="1"/>
  <c r="AH51" i="24"/>
  <c r="AH50" i="24" s="1"/>
  <c r="BM729" i="1"/>
  <c r="BM728" i="1"/>
  <c r="DF760" i="1"/>
  <c r="DF733" i="1"/>
  <c r="BB55" i="24"/>
  <c r="DF731" i="1"/>
  <c r="DF838" i="1"/>
  <c r="BB54" i="24"/>
  <c r="DF759" i="1"/>
  <c r="DF840" i="1"/>
  <c r="AI41" i="24"/>
  <c r="BK758" i="1"/>
  <c r="BQ711" i="1"/>
  <c r="BQ490" i="1"/>
  <c r="BQ497" i="1"/>
  <c r="DG495" i="1"/>
  <c r="DG515" i="1"/>
  <c r="Y18" i="17"/>
  <c r="Z16" i="17"/>
  <c r="DH493" i="1"/>
  <c r="BD38" i="24"/>
  <c r="DI810" i="1"/>
  <c r="DI465" i="1"/>
  <c r="DI118" i="1"/>
  <c r="BE35" i="24"/>
  <c r="BE36" i="24" s="1"/>
  <c r="DI811" i="1"/>
  <c r="DI117" i="1"/>
  <c r="DI483" i="1"/>
  <c r="BJ758" i="1"/>
  <c r="BM510" i="1"/>
  <c r="BL510" i="1" l="1"/>
  <c r="DI711" i="1"/>
  <c r="BQ493" i="1"/>
  <c r="AL38" i="24"/>
  <c r="BP493" i="1"/>
  <c r="AK38" i="24"/>
  <c r="AG51" i="24"/>
  <c r="AG50" i="24" s="1"/>
  <c r="BL729" i="1"/>
  <c r="DG525" i="1"/>
  <c r="BL728" i="1"/>
  <c r="BL760" i="1"/>
  <c r="BL733" i="1"/>
  <c r="AG55" i="24"/>
  <c r="DH495" i="1"/>
  <c r="DH515" i="1"/>
  <c r="DG521" i="1"/>
  <c r="DF758" i="1"/>
  <c r="AJ44" i="24"/>
  <c r="AJ47" i="24" s="1"/>
  <c r="BO788" i="1"/>
  <c r="AJ72" i="24" s="1"/>
  <c r="BO732" i="1"/>
  <c r="BO741" i="1"/>
  <c r="BO767" i="1" s="1"/>
  <c r="BO521" i="1"/>
  <c r="BO525" i="1"/>
  <c r="BO730" i="1"/>
  <c r="BO787" i="1"/>
  <c r="BO513" i="1"/>
  <c r="BO620" i="1"/>
  <c r="BO740" i="1"/>
  <c r="BO766" i="1" s="1"/>
  <c r="BO789" i="1"/>
  <c r="BO136" i="1"/>
  <c r="Y20" i="17"/>
  <c r="Y22" i="17" s="1"/>
  <c r="Y52" i="17" s="1"/>
  <c r="Y54" i="17" s="1"/>
  <c r="Y19" i="17"/>
  <c r="AH48" i="24"/>
  <c r="BM757" i="1"/>
  <c r="AK40" i="24"/>
  <c r="AK41" i="24" s="1"/>
  <c r="BP130" i="1"/>
  <c r="DI497" i="1"/>
  <c r="BP500" i="1"/>
  <c r="BL838" i="1"/>
  <c r="BL731" i="1"/>
  <c r="BL840" i="1"/>
  <c r="AG54" i="24"/>
  <c r="BL759" i="1"/>
  <c r="BN788" i="1"/>
  <c r="AI72" i="24" s="1"/>
  <c r="AI44" i="24"/>
  <c r="AI47" i="24" s="1"/>
  <c r="AI48" i="24" s="1"/>
  <c r="BN732" i="1"/>
  <c r="BN521" i="1"/>
  <c r="BN620" i="1"/>
  <c r="BN740" i="1"/>
  <c r="BN766" i="1" s="1"/>
  <c r="BN741" i="1"/>
  <c r="BN767" i="1" s="1"/>
  <c r="BN525" i="1"/>
  <c r="BN730" i="1"/>
  <c r="BN136" i="1"/>
  <c r="BN789" i="1"/>
  <c r="BN787" i="1"/>
  <c r="DH136" i="1"/>
  <c r="BN513" i="1"/>
  <c r="DF757" i="1"/>
  <c r="BQ500" i="1"/>
  <c r="AL40" i="24"/>
  <c r="BQ130" i="1"/>
  <c r="AA16" i="17"/>
  <c r="AA18" i="17" s="1"/>
  <c r="Z18" i="17"/>
  <c r="DI490" i="1"/>
  <c r="DG732" i="1"/>
  <c r="DG730" i="1"/>
  <c r="DG788" i="1"/>
  <c r="BC72" i="24" s="1"/>
  <c r="DG741" i="1"/>
  <c r="DG767" i="1" s="1"/>
  <c r="DG740" i="1"/>
  <c r="DG766" i="1" s="1"/>
  <c r="DG789" i="1"/>
  <c r="BC44" i="24"/>
  <c r="BC47" i="24" s="1"/>
  <c r="DG787" i="1"/>
  <c r="DG513" i="1"/>
  <c r="DG620" i="1"/>
  <c r="BM758" i="1"/>
  <c r="BM731" i="1"/>
  <c r="BD41" i="24"/>
  <c r="DH506" i="1"/>
  <c r="DH509" i="1" s="1"/>
  <c r="BN509" i="1"/>
  <c r="BN510" i="1" l="1"/>
  <c r="AI51" i="24"/>
  <c r="AI50" i="24" s="1"/>
  <c r="BN728" i="1"/>
  <c r="BN729" i="1"/>
  <c r="DH525" i="1"/>
  <c r="AI55" i="24"/>
  <c r="BN733" i="1"/>
  <c r="BN760" i="1"/>
  <c r="AJ48" i="24"/>
  <c r="DG728" i="1"/>
  <c r="DG729" i="1"/>
  <c r="BC51" i="24"/>
  <c r="BC50" i="24" s="1"/>
  <c r="DG510" i="1"/>
  <c r="BL757" i="1"/>
  <c r="BN838" i="1"/>
  <c r="BN759" i="1"/>
  <c r="AI54" i="24"/>
  <c r="BN731" i="1"/>
  <c r="BN840" i="1"/>
  <c r="DH521" i="1"/>
  <c r="BE40" i="24"/>
  <c r="DI129" i="1"/>
  <c r="DI130" i="1"/>
  <c r="BE38" i="24"/>
  <c r="DI493" i="1"/>
  <c r="Z19" i="17"/>
  <c r="Z20" i="17"/>
  <c r="Z22" i="17" s="1"/>
  <c r="Z52" i="17" s="1"/>
  <c r="Z54" i="17" s="1"/>
  <c r="AL41" i="24"/>
  <c r="BO733" i="1"/>
  <c r="BO760" i="1"/>
  <c r="AJ55" i="24"/>
  <c r="DH788" i="1"/>
  <c r="BD72" i="24" s="1"/>
  <c r="DH513" i="1"/>
  <c r="BD44" i="24"/>
  <c r="BD47" i="24" s="1"/>
  <c r="DH732" i="1"/>
  <c r="DH741" i="1"/>
  <c r="DH767" i="1" s="1"/>
  <c r="DH620" i="1"/>
  <c r="DH740" i="1"/>
  <c r="DH766" i="1" s="1"/>
  <c r="DH730" i="1"/>
  <c r="DH789" i="1"/>
  <c r="DH787" i="1"/>
  <c r="BL758" i="1"/>
  <c r="BO729" i="1"/>
  <c r="BO728" i="1"/>
  <c r="AJ51" i="24"/>
  <c r="AJ50" i="24" s="1"/>
  <c r="DG759" i="1"/>
  <c r="BC54" i="24"/>
  <c r="DG838" i="1"/>
  <c r="DG731" i="1"/>
  <c r="DG840" i="1"/>
  <c r="DG760" i="1"/>
  <c r="BC55" i="24"/>
  <c r="DG733" i="1"/>
  <c r="AA20" i="17"/>
  <c r="AA22" i="17" s="1"/>
  <c r="AA52" i="17" s="1"/>
  <c r="AA54" i="17" s="1"/>
  <c r="AB18" i="17"/>
  <c r="AA19" i="17"/>
  <c r="BQ495" i="1"/>
  <c r="BQ506" i="1"/>
  <c r="BQ509" i="1" s="1"/>
  <c r="BQ515" i="1"/>
  <c r="BP506" i="1"/>
  <c r="BP495" i="1"/>
  <c r="DI500" i="1"/>
  <c r="BP515" i="1"/>
  <c r="BO838" i="1"/>
  <c r="BO840" i="1"/>
  <c r="BO759" i="1"/>
  <c r="BO731" i="1"/>
  <c r="AJ54" i="24"/>
  <c r="BO510" i="1"/>
  <c r="DG757" i="1" l="1"/>
  <c r="BN757" i="1"/>
  <c r="AB23" i="17"/>
  <c r="AB20" i="17"/>
  <c r="AB22" i="17" s="1"/>
  <c r="AB52" i="17" s="1"/>
  <c r="AB54" i="17" s="1"/>
  <c r="BP509" i="1"/>
  <c r="DI506" i="1"/>
  <c r="DI509" i="1" s="1"/>
  <c r="DH759" i="1"/>
  <c r="DH840" i="1"/>
  <c r="DH731" i="1"/>
  <c r="DH838" i="1"/>
  <c r="BD54" i="24"/>
  <c r="DH728" i="1"/>
  <c r="DH729" i="1"/>
  <c r="BD51" i="24"/>
  <c r="BD50" i="24" s="1"/>
  <c r="BN758" i="1"/>
  <c r="DI495" i="1"/>
  <c r="DI515" i="1"/>
  <c r="AL44" i="24"/>
  <c r="AL47" i="24" s="1"/>
  <c r="BQ741" i="1"/>
  <c r="BQ767" i="1" s="1"/>
  <c r="BQ788" i="1"/>
  <c r="AL72" i="24" s="1"/>
  <c r="BQ740" i="1"/>
  <c r="BQ766" i="1" s="1"/>
  <c r="BQ620" i="1"/>
  <c r="BQ513" i="1"/>
  <c r="BQ730" i="1"/>
  <c r="BQ525" i="1"/>
  <c r="BQ521" i="1"/>
  <c r="BQ787" i="1"/>
  <c r="BQ789" i="1"/>
  <c r="BQ136" i="1"/>
  <c r="BQ732" i="1"/>
  <c r="BO757" i="1"/>
  <c r="BD55" i="24"/>
  <c r="DH733" i="1"/>
  <c r="DH760" i="1"/>
  <c r="BP732" i="1"/>
  <c r="BP740" i="1"/>
  <c r="BP766" i="1" s="1"/>
  <c r="BP741" i="1"/>
  <c r="BP767" i="1" s="1"/>
  <c r="BP521" i="1"/>
  <c r="BP513" i="1"/>
  <c r="BP788" i="1"/>
  <c r="AK72" i="24" s="1"/>
  <c r="AK44" i="24"/>
  <c r="AK47" i="24" s="1"/>
  <c r="AK48" i="24" s="1"/>
  <c r="BP730" i="1"/>
  <c r="BP136" i="1"/>
  <c r="DI136" i="1"/>
  <c r="BP787" i="1"/>
  <c r="BP789" i="1"/>
  <c r="BP525" i="1"/>
  <c r="BP620" i="1"/>
  <c r="BO758" i="1"/>
  <c r="BE41" i="24"/>
  <c r="DG758" i="1"/>
  <c r="DH510" i="1"/>
  <c r="BQ838" i="1" l="1"/>
  <c r="AL54" i="24"/>
  <c r="BQ731" i="1"/>
  <c r="BQ840" i="1"/>
  <c r="BQ759" i="1"/>
  <c r="AL48" i="24"/>
  <c r="BP733" i="1"/>
  <c r="AK55" i="24"/>
  <c r="BP760" i="1"/>
  <c r="AL55" i="24"/>
  <c r="BQ733" i="1"/>
  <c r="BQ760" i="1"/>
  <c r="AK51" i="24"/>
  <c r="AK50" i="24" s="1"/>
  <c r="BP729" i="1"/>
  <c r="BP728" i="1"/>
  <c r="DI525" i="1"/>
  <c r="DH758" i="1"/>
  <c r="DI732" i="1"/>
  <c r="DI740" i="1"/>
  <c r="DI766" i="1" s="1"/>
  <c r="BE44" i="24"/>
  <c r="BE47" i="24" s="1"/>
  <c r="DI730" i="1"/>
  <c r="DI620" i="1"/>
  <c r="DI788" i="1"/>
  <c r="BE72" i="24" s="1"/>
  <c r="DI513" i="1"/>
  <c r="DI741" i="1"/>
  <c r="DI767" i="1" s="1"/>
  <c r="DI787" i="1"/>
  <c r="DI789" i="1"/>
  <c r="AL51" i="24"/>
  <c r="AL50" i="24" s="1"/>
  <c r="BQ729" i="1"/>
  <c r="BQ728" i="1"/>
  <c r="DH757" i="1"/>
  <c r="BP731" i="1"/>
  <c r="BP840" i="1"/>
  <c r="AK54" i="24"/>
  <c r="BP759" i="1"/>
  <c r="BP838" i="1"/>
  <c r="DI521" i="1"/>
  <c r="BP510" i="1"/>
  <c r="BQ510" i="1"/>
  <c r="BQ758" i="1" l="1"/>
  <c r="DI840" i="1"/>
  <c r="DI759" i="1"/>
  <c r="DI838" i="1"/>
  <c r="DI731" i="1"/>
  <c r="BE54" i="24"/>
  <c r="BE55" i="24"/>
  <c r="DI733" i="1"/>
  <c r="DI760" i="1"/>
  <c r="BP758" i="1"/>
  <c r="BP757" i="1"/>
  <c r="BQ757" i="1"/>
  <c r="DI729" i="1"/>
  <c r="DI728" i="1"/>
  <c r="BE51" i="24"/>
  <c r="BE50" i="24" s="1"/>
  <c r="DI510" i="1"/>
  <c r="DI757" i="1" l="1"/>
  <c r="DI758" i="1"/>
  <c r="DA506" i="1" l="1"/>
  <c r="DA509" i="1" s="1"/>
  <c r="J46" i="2"/>
  <c r="J49" i="2" s="1"/>
  <c r="AZ495" i="1"/>
  <c r="AZ130" i="1"/>
  <c r="U40" i="24"/>
  <c r="U41" i="24" s="1"/>
  <c r="DA497" i="1" l="1"/>
  <c r="O21" i="7" s="1"/>
  <c r="H54" i="7" s="1"/>
  <c r="DA500" i="1"/>
  <c r="DA515" i="1" s="1"/>
  <c r="AZ131" i="1"/>
  <c r="BA131" i="1" s="1"/>
  <c r="BB131" i="1" s="1"/>
  <c r="BC131" i="1" s="1"/>
  <c r="BD131" i="1" s="1"/>
  <c r="BE131" i="1" s="1"/>
  <c r="BF131" i="1" s="1"/>
  <c r="BG131" i="1" s="1"/>
  <c r="BH131" i="1" s="1"/>
  <c r="BI131" i="1" s="1"/>
  <c r="BJ131" i="1" s="1"/>
  <c r="BK131" i="1" s="1"/>
  <c r="BL131" i="1" s="1"/>
  <c r="BM131" i="1" s="1"/>
  <c r="BN131" i="1" s="1"/>
  <c r="BO131" i="1" s="1"/>
  <c r="BP131" i="1" s="1"/>
  <c r="BQ131" i="1" s="1"/>
  <c r="AZ129" i="1"/>
  <c r="AZ787" i="1"/>
  <c r="J84" i="2" s="1"/>
  <c r="DA495" i="1" l="1"/>
  <c r="BA137" i="1"/>
  <c r="BB137" i="1" s="1"/>
  <c r="BC137" i="1" s="1"/>
  <c r="BD137" i="1" s="1"/>
  <c r="O24" i="7"/>
  <c r="H18" i="7" s="1"/>
  <c r="H19" i="7" s="1"/>
  <c r="DA788" i="1"/>
  <c r="DA740" i="1"/>
  <c r="DA766" i="1" s="1"/>
  <c r="DA787" i="1"/>
  <c r="DA741" i="1"/>
  <c r="DA767" i="1" s="1"/>
  <c r="AW44" i="24"/>
  <c r="AW47" i="24" s="1"/>
  <c r="DA789" i="1"/>
  <c r="DA513" i="1"/>
  <c r="DA732" i="1"/>
  <c r="E15" i="23"/>
  <c r="AZ620" i="1"/>
  <c r="AZ624" i="1" s="1"/>
  <c r="AZ629" i="1" s="1"/>
  <c r="DA136" i="1"/>
  <c r="H31" i="7" s="1"/>
  <c r="AZ513" i="1"/>
  <c r="AZ788" i="1"/>
  <c r="AZ741" i="1"/>
  <c r="AZ767" i="1" s="1"/>
  <c r="DA521" i="1"/>
  <c r="AZ789" i="1"/>
  <c r="J86" i="2" s="1"/>
  <c r="AZ740" i="1"/>
  <c r="AZ766" i="1" s="1"/>
  <c r="U44" i="24"/>
  <c r="U47" i="24" s="1"/>
  <c r="AZ730" i="1"/>
  <c r="AZ136" i="1"/>
  <c r="DA620" i="1"/>
  <c r="AZ732" i="1"/>
  <c r="DA730" i="1"/>
  <c r="E46" i="2"/>
  <c r="E49" i="2" s="1"/>
  <c r="AW40" i="24"/>
  <c r="AW41" i="24" s="1"/>
  <c r="DA129" i="1"/>
  <c r="DA130" i="1"/>
  <c r="DB137" i="1" l="1"/>
  <c r="BA839" i="1"/>
  <c r="BC839" i="1"/>
  <c r="DA137" i="1"/>
  <c r="I19" i="7"/>
  <c r="O28" i="7"/>
  <c r="H24" i="7" s="1"/>
  <c r="I25" i="7" s="1"/>
  <c r="BB839" i="1"/>
  <c r="J15" i="2"/>
  <c r="M47" i="23"/>
  <c r="E17" i="23"/>
  <c r="E43" i="23"/>
  <c r="E52" i="2"/>
  <c r="E50" i="2" s="1"/>
  <c r="H22" i="7"/>
  <c r="DA733" i="1"/>
  <c r="E16" i="2"/>
  <c r="DA760" i="1"/>
  <c r="DB733" i="1"/>
  <c r="AW55" i="24"/>
  <c r="AX48" i="24"/>
  <c r="AW48" i="24"/>
  <c r="H59" i="7"/>
  <c r="Q16" i="17"/>
  <c r="AD16" i="17" s="1"/>
  <c r="AW72" i="24"/>
  <c r="E85" i="2"/>
  <c r="E15" i="2"/>
  <c r="Q18" i="17"/>
  <c r="BD839" i="1"/>
  <c r="BE137" i="1"/>
  <c r="E86" i="2"/>
  <c r="H63" i="7"/>
  <c r="I32" i="7"/>
  <c r="V48" i="24"/>
  <c r="U48" i="24"/>
  <c r="H61" i="7"/>
  <c r="E84" i="2"/>
  <c r="H20" i="7"/>
  <c r="DA838" i="1"/>
  <c r="DA759" i="1"/>
  <c r="DA731" i="1"/>
  <c r="DB731" i="1"/>
  <c r="AW54" i="24"/>
  <c r="E41" i="23"/>
  <c r="DA840" i="1"/>
  <c r="E114" i="2" s="1"/>
  <c r="AZ840" i="1"/>
  <c r="J114" i="2" s="1"/>
  <c r="BA731" i="1"/>
  <c r="AZ731" i="1"/>
  <c r="AZ759" i="1"/>
  <c r="U54" i="24"/>
  <c r="AZ838" i="1"/>
  <c r="J52" i="2"/>
  <c r="J50" i="2" s="1"/>
  <c r="J16" i="2"/>
  <c r="AZ760" i="1"/>
  <c r="AZ733" i="1"/>
  <c r="U55" i="24"/>
  <c r="BA733" i="1"/>
  <c r="AZ510" i="1"/>
  <c r="AZ728" i="1"/>
  <c r="U51" i="24"/>
  <c r="U50" i="24" s="1"/>
  <c r="AZ729" i="1"/>
  <c r="BA676" i="1"/>
  <c r="DA525" i="1"/>
  <c r="J85" i="2"/>
  <c r="U72" i="24"/>
  <c r="DB839" i="1" l="1"/>
  <c r="F113" i="2" s="1"/>
  <c r="AZ758" i="1"/>
  <c r="DB131" i="1"/>
  <c r="H32" i="7"/>
  <c r="DA839" i="1"/>
  <c r="E113" i="2" s="1"/>
  <c r="DA131" i="1"/>
  <c r="H25" i="7"/>
  <c r="J17" i="2"/>
  <c r="J19" i="2"/>
  <c r="E44" i="23"/>
  <c r="F44" i="23"/>
  <c r="K18" i="2"/>
  <c r="K53" i="2"/>
  <c r="F53" i="2"/>
  <c r="F18" i="2"/>
  <c r="Q21" i="17"/>
  <c r="AD21" i="17" s="1"/>
  <c r="Q19" i="17"/>
  <c r="R19" i="17"/>
  <c r="AD18" i="17"/>
  <c r="DA510" i="1"/>
  <c r="AW51" i="24"/>
  <c r="AW50" i="24" s="1"/>
  <c r="DA729" i="1"/>
  <c r="DA728" i="1"/>
  <c r="J112" i="2"/>
  <c r="DC137" i="1"/>
  <c r="BE839" i="1"/>
  <c r="BF137" i="1"/>
  <c r="E112" i="2"/>
  <c r="E51" i="23"/>
  <c r="I23" i="7"/>
  <c r="H23" i="7"/>
  <c r="H39" i="7"/>
  <c r="E20" i="23"/>
  <c r="M37" i="23"/>
  <c r="M36" i="23"/>
  <c r="AZ757" i="1"/>
  <c r="J53" i="2"/>
  <c r="J18" i="2"/>
  <c r="DA676" i="1"/>
  <c r="BB676" i="1"/>
  <c r="M20" i="23"/>
  <c r="F42" i="23"/>
  <c r="E42" i="23"/>
  <c r="E17" i="2"/>
  <c r="E19" i="2"/>
  <c r="H21" i="7"/>
  <c r="I21" i="7"/>
  <c r="E18" i="2"/>
  <c r="E53" i="2"/>
  <c r="DA758" i="1" l="1"/>
  <c r="E47" i="23"/>
  <c r="BC676" i="1"/>
  <c r="BF839" i="1"/>
  <c r="BG137" i="1"/>
  <c r="H26" i="7"/>
  <c r="E45" i="23"/>
  <c r="DA757" i="1"/>
  <c r="M41" i="23"/>
  <c r="M42" i="23"/>
  <c r="DC839" i="1"/>
  <c r="G113" i="2" s="1"/>
  <c r="J32" i="7"/>
  <c r="DC131" i="1"/>
  <c r="H27" i="7" l="1"/>
  <c r="I27" i="7"/>
  <c r="DB676" i="1"/>
  <c r="BD676" i="1"/>
  <c r="F48" i="23"/>
  <c r="E48" i="23"/>
  <c r="BH137" i="1"/>
  <c r="DD137" i="1"/>
  <c r="BG839" i="1"/>
  <c r="AZ743" i="1"/>
  <c r="BA526" i="1"/>
  <c r="AZ742" i="1"/>
  <c r="AZ531" i="1"/>
  <c r="U63" i="24"/>
  <c r="BA533" i="1"/>
  <c r="E46" i="23"/>
  <c r="F46" i="23"/>
  <c r="AZ769" i="1" l="1"/>
  <c r="DD839" i="1"/>
  <c r="DD131" i="1"/>
  <c r="AZ768" i="1"/>
  <c r="J23" i="2"/>
  <c r="BH839" i="1"/>
  <c r="BI137" i="1"/>
  <c r="BE676" i="1"/>
  <c r="AZ785" i="1"/>
  <c r="AZ783" i="1"/>
  <c r="AZ782" i="1"/>
  <c r="J81" i="2" s="1"/>
  <c r="BA529" i="1"/>
  <c r="DA526" i="1"/>
  <c r="BA675" i="1"/>
  <c r="BA621" i="1"/>
  <c r="J83" i="2" l="1"/>
  <c r="AZ841" i="1"/>
  <c r="J115" i="2" s="1"/>
  <c r="AZ837" i="1"/>
  <c r="AZ836" i="1"/>
  <c r="BA534" i="1"/>
  <c r="DA529" i="1"/>
  <c r="BF676" i="1"/>
  <c r="DC676" i="1"/>
  <c r="U73" i="24"/>
  <c r="U74" i="24" s="1"/>
  <c r="J82" i="2"/>
  <c r="DA621" i="1"/>
  <c r="DA624" i="1" s="1"/>
  <c r="DA629" i="1" s="1"/>
  <c r="BA624" i="1"/>
  <c r="BA629" i="1" s="1"/>
  <c r="BA261" i="1"/>
  <c r="BJ137" i="1"/>
  <c r="BI839" i="1"/>
  <c r="DE137" i="1"/>
  <c r="DA675" i="1"/>
  <c r="J110" i="2" l="1"/>
  <c r="BA260" i="1"/>
  <c r="DA260" i="1" s="1"/>
  <c r="DA261" i="1"/>
  <c r="AZ595" i="1"/>
  <c r="AZ834" i="1"/>
  <c r="AZ150" i="1"/>
  <c r="AZ548" i="1"/>
  <c r="J111" i="2"/>
  <c r="U78" i="24"/>
  <c r="BG676" i="1"/>
  <c r="DE839" i="1"/>
  <c r="DE131" i="1"/>
  <c r="BJ839" i="1"/>
  <c r="BK137" i="1"/>
  <c r="DA534" i="1"/>
  <c r="DA538" i="1" s="1"/>
  <c r="BA538" i="1"/>
  <c r="U77" i="24" l="1"/>
  <c r="J109" i="2"/>
  <c r="AZ630" i="1"/>
  <c r="AZ786" i="1"/>
  <c r="AZ784" i="1"/>
  <c r="AZ744" i="1"/>
  <c r="BL137" i="1"/>
  <c r="BK839" i="1"/>
  <c r="DF137" i="1"/>
  <c r="AZ616" i="1"/>
  <c r="AZ615" i="1" s="1"/>
  <c r="BA615" i="1" s="1"/>
  <c r="AW63" i="24"/>
  <c r="DA742" i="1"/>
  <c r="O53" i="7"/>
  <c r="Q23" i="17"/>
  <c r="DA531" i="1"/>
  <c r="DA743" i="1"/>
  <c r="DB533" i="1"/>
  <c r="DA541" i="1"/>
  <c r="BA743" i="1"/>
  <c r="BA742" i="1"/>
  <c r="V63" i="24"/>
  <c r="BA541" i="1"/>
  <c r="BA531" i="1"/>
  <c r="BB526" i="1"/>
  <c r="BB533" i="1"/>
  <c r="BA701" i="1"/>
  <c r="DD676" i="1"/>
  <c r="BH676" i="1"/>
  <c r="BA769" i="1" l="1"/>
  <c r="E53" i="23"/>
  <c r="M22" i="23" s="1"/>
  <c r="E23" i="2"/>
  <c r="DA768" i="1"/>
  <c r="H34" i="7"/>
  <c r="H42" i="7" s="1"/>
  <c r="DF839" i="1"/>
  <c r="DF131" i="1"/>
  <c r="AZ631" i="1"/>
  <c r="BA550" i="1"/>
  <c r="BA564" i="1" s="1"/>
  <c r="BA568" i="1" s="1"/>
  <c r="BA587" i="1" s="1"/>
  <c r="BA671" i="1"/>
  <c r="BA673" i="1"/>
  <c r="BA674" i="1"/>
  <c r="O52" i="7"/>
  <c r="DA550" i="1"/>
  <c r="BI676" i="1"/>
  <c r="BL839" i="1"/>
  <c r="BM137" i="1"/>
  <c r="E54" i="23"/>
  <c r="M23" i="23" s="1"/>
  <c r="DA769" i="1"/>
  <c r="H33" i="7"/>
  <c r="H41" i="7" s="1"/>
  <c r="BA616" i="1"/>
  <c r="DA615" i="1"/>
  <c r="DA616" i="1" s="1"/>
  <c r="BB615" i="1"/>
  <c r="BB529" i="1"/>
  <c r="BB621" i="1"/>
  <c r="BB675" i="1"/>
  <c r="BA702" i="1"/>
  <c r="BA785" i="1" s="1"/>
  <c r="BA782" i="1"/>
  <c r="K81" i="2" s="1"/>
  <c r="BA783" i="1"/>
  <c r="BA700" i="1"/>
  <c r="DA701" i="1"/>
  <c r="BA768" i="1"/>
  <c r="K23" i="2"/>
  <c r="Q37" i="17"/>
  <c r="Q34" i="17"/>
  <c r="Q25" i="17"/>
  <c r="Q26" i="17" s="1"/>
  <c r="Q30" i="17"/>
  <c r="AZ835" i="1"/>
  <c r="Q27" i="17" l="1"/>
  <c r="Q28" i="17"/>
  <c r="V73" i="24"/>
  <c r="V74" i="24" s="1"/>
  <c r="K82" i="2"/>
  <c r="DA673" i="1"/>
  <c r="BA607" i="1"/>
  <c r="BA836" i="1"/>
  <c r="BA590" i="1"/>
  <c r="DA671" i="1"/>
  <c r="O59" i="7"/>
  <c r="O60" i="7" s="1"/>
  <c r="DA702" i="1"/>
  <c r="E37" i="23"/>
  <c r="DA783" i="1"/>
  <c r="DA782" i="1"/>
  <c r="BA841" i="1"/>
  <c r="K115" i="2" s="1"/>
  <c r="K83" i="2"/>
  <c r="BB616" i="1"/>
  <c r="BC615" i="1"/>
  <c r="DE676" i="1"/>
  <c r="BJ676" i="1"/>
  <c r="BA672" i="1"/>
  <c r="AZ639" i="1"/>
  <c r="AZ4" i="1" s="1"/>
  <c r="AZ618" i="1"/>
  <c r="BA699" i="1"/>
  <c r="DA700" i="1"/>
  <c r="BB624" i="1"/>
  <c r="BB629" i="1" s="1"/>
  <c r="BB261" i="1"/>
  <c r="E29" i="23"/>
  <c r="DA564" i="1"/>
  <c r="DA568" i="1" s="1"/>
  <c r="DA587" i="1" s="1"/>
  <c r="BB534" i="1"/>
  <c r="BM839" i="1"/>
  <c r="DG137" i="1"/>
  <c r="BN137" i="1"/>
  <c r="DA674" i="1"/>
  <c r="BB260" i="1" l="1"/>
  <c r="BD615" i="1"/>
  <c r="DB615" i="1"/>
  <c r="DB616" i="1" s="1"/>
  <c r="BC616" i="1"/>
  <c r="E38" i="23"/>
  <c r="M34" i="23"/>
  <c r="M39" i="23"/>
  <c r="BA548" i="1"/>
  <c r="BA834" i="1"/>
  <c r="BA591" i="1"/>
  <c r="DA591" i="1" s="1"/>
  <c r="BA150" i="1"/>
  <c r="BA595" i="1"/>
  <c r="BA704" i="1"/>
  <c r="DA672" i="1"/>
  <c r="DA785" i="1"/>
  <c r="M35" i="23"/>
  <c r="M40" i="23"/>
  <c r="K110" i="2"/>
  <c r="BN839" i="1"/>
  <c r="BO137" i="1"/>
  <c r="BB538" i="1"/>
  <c r="E81" i="2"/>
  <c r="H57" i="7"/>
  <c r="BA837" i="1"/>
  <c r="DA699" i="1"/>
  <c r="BK676" i="1"/>
  <c r="DG839" i="1"/>
  <c r="DG131" i="1"/>
  <c r="DA607" i="1"/>
  <c r="DA590" i="1"/>
  <c r="DA836" i="1"/>
  <c r="AW73" i="24"/>
  <c r="AW74" i="24" s="1"/>
  <c r="H58" i="7"/>
  <c r="H60" i="7" s="1"/>
  <c r="E82" i="2"/>
  <c r="H44" i="7"/>
  <c r="BA593" i="1" l="1"/>
  <c r="BA835" i="1" s="1"/>
  <c r="K109" i="2"/>
  <c r="V77" i="24"/>
  <c r="DF676" i="1"/>
  <c r="BL676" i="1"/>
  <c r="DA837" i="1"/>
  <c r="K111" i="2"/>
  <c r="V78" i="24"/>
  <c r="DH137" i="1"/>
  <c r="BO839" i="1"/>
  <c r="BP137" i="1"/>
  <c r="BD616" i="1"/>
  <c r="BE615" i="1"/>
  <c r="H62" i="7"/>
  <c r="E83" i="2"/>
  <c r="H45" i="7"/>
  <c r="DA841" i="1"/>
  <c r="E115" i="2" s="1"/>
  <c r="BA784" i="1"/>
  <c r="BA786" i="1"/>
  <c r="BA630" i="1"/>
  <c r="BA744" i="1"/>
  <c r="DA744" i="1" s="1"/>
  <c r="Q36" i="17"/>
  <c r="Q38" i="17" s="1"/>
  <c r="H81" i="7"/>
  <c r="M56" i="23"/>
  <c r="E110" i="2"/>
  <c r="DA548" i="1"/>
  <c r="DA593" i="1"/>
  <c r="DA835" i="1" s="1"/>
  <c r="E30" i="23"/>
  <c r="E31" i="23" s="1"/>
  <c r="DA150" i="1"/>
  <c r="DA595" i="1"/>
  <c r="DA834" i="1"/>
  <c r="BB531" i="1"/>
  <c r="W63" i="24"/>
  <c r="BB742" i="1"/>
  <c r="BB743" i="1"/>
  <c r="BC526" i="1"/>
  <c r="BC533" i="1"/>
  <c r="BB541" i="1"/>
  <c r="BB701" i="1"/>
  <c r="DA704" i="1"/>
  <c r="BB769" i="1" l="1"/>
  <c r="DA784" i="1"/>
  <c r="DA786" i="1"/>
  <c r="DH839" i="1"/>
  <c r="DH131" i="1"/>
  <c r="BM676" i="1"/>
  <c r="BE616" i="1"/>
  <c r="BF615" i="1"/>
  <c r="DC615" i="1"/>
  <c r="DC616" i="1" s="1"/>
  <c r="BB702" i="1"/>
  <c r="BB785" i="1" s="1"/>
  <c r="BB782" i="1"/>
  <c r="L81" i="2" s="1"/>
  <c r="BB783" i="1"/>
  <c r="BB700" i="1"/>
  <c r="BP839" i="1"/>
  <c r="BQ137" i="1"/>
  <c r="AW78" i="24"/>
  <c r="M57" i="23"/>
  <c r="E111" i="2"/>
  <c r="H82" i="7"/>
  <c r="BB550" i="1"/>
  <c r="BB564" i="1" s="1"/>
  <c r="BB568" i="1" s="1"/>
  <c r="BB587" i="1" s="1"/>
  <c r="BB671" i="1"/>
  <c r="BB674" i="1"/>
  <c r="BB673" i="1"/>
  <c r="BB768" i="1"/>
  <c r="L23" i="2"/>
  <c r="BC529" i="1"/>
  <c r="BC621" i="1"/>
  <c r="DB526" i="1"/>
  <c r="BC675" i="1"/>
  <c r="AW77" i="24"/>
  <c r="M55" i="23"/>
  <c r="H80" i="7"/>
  <c r="E109" i="2"/>
  <c r="BA631" i="1"/>
  <c r="DA630" i="1"/>
  <c r="DA631" i="1" s="1"/>
  <c r="BB672" i="1" l="1"/>
  <c r="BC624" i="1"/>
  <c r="BC629" i="1" s="1"/>
  <c r="DB621" i="1"/>
  <c r="DB624" i="1" s="1"/>
  <c r="DB629" i="1" s="1"/>
  <c r="BC261" i="1"/>
  <c r="BB607" i="1"/>
  <c r="BB836" i="1"/>
  <c r="BB590" i="1"/>
  <c r="BB699" i="1"/>
  <c r="BQ839" i="1"/>
  <c r="DI137" i="1"/>
  <c r="L82" i="2"/>
  <c r="W73" i="24"/>
  <c r="W74" i="24" s="1"/>
  <c r="DG676" i="1"/>
  <c r="BN676" i="1"/>
  <c r="BC534" i="1"/>
  <c r="DB529" i="1"/>
  <c r="BB841" i="1"/>
  <c r="L115" i="2" s="1"/>
  <c r="L83" i="2"/>
  <c r="BA639" i="1"/>
  <c r="BA4" i="1" s="1"/>
  <c r="BA618" i="1"/>
  <c r="DB675" i="1"/>
  <c r="DA639" i="1"/>
  <c r="DA618" i="1"/>
  <c r="BF616" i="1"/>
  <c r="BG615" i="1"/>
  <c r="L110" i="2" l="1"/>
  <c r="BB837" i="1"/>
  <c r="DB534" i="1"/>
  <c r="DB538" i="1" s="1"/>
  <c r="BC538" i="1"/>
  <c r="DI839" i="1"/>
  <c r="DI131" i="1"/>
  <c r="BO676" i="1"/>
  <c r="BC260" i="1"/>
  <c r="DB260" i="1" s="1"/>
  <c r="DB261" i="1"/>
  <c r="DD615" i="1"/>
  <c r="DD616" i="1" s="1"/>
  <c r="BG616" i="1"/>
  <c r="BH615" i="1"/>
  <c r="BB725" i="1"/>
  <c r="BB704" i="1"/>
  <c r="BB595" i="1"/>
  <c r="BB548" i="1"/>
  <c r="BB834" i="1"/>
  <c r="BB150" i="1"/>
  <c r="BB591" i="1"/>
  <c r="BB593" i="1" s="1"/>
  <c r="BB835" i="1" s="1"/>
  <c r="W77" i="24" l="1"/>
  <c r="L109" i="2"/>
  <c r="BB786" i="1"/>
  <c r="BB784" i="1"/>
  <c r="BB744" i="1"/>
  <c r="BB630" i="1"/>
  <c r="BC742" i="1"/>
  <c r="X63" i="24"/>
  <c r="BC531" i="1"/>
  <c r="BC743" i="1"/>
  <c r="BC541" i="1"/>
  <c r="BD526" i="1"/>
  <c r="BD533" i="1"/>
  <c r="BC701" i="1"/>
  <c r="DH676" i="1"/>
  <c r="BP676" i="1"/>
  <c r="DB531" i="1"/>
  <c r="P53" i="7"/>
  <c r="AX63" i="24"/>
  <c r="DB742" i="1"/>
  <c r="R23" i="17"/>
  <c r="DB743" i="1"/>
  <c r="DB541" i="1"/>
  <c r="DC533" i="1"/>
  <c r="L111" i="2"/>
  <c r="W78" i="24"/>
  <c r="BH616" i="1"/>
  <c r="BI615" i="1"/>
  <c r="R37" i="17" l="1"/>
  <c r="R25" i="17"/>
  <c r="R26" i="17" s="1"/>
  <c r="R34" i="17"/>
  <c r="R30" i="17"/>
  <c r="F54" i="23"/>
  <c r="N23" i="23" s="1"/>
  <c r="DB769" i="1"/>
  <c r="D125" i="2"/>
  <c r="I33" i="7"/>
  <c r="I41" i="7" s="1"/>
  <c r="C125" i="2"/>
  <c r="BQ676" i="1"/>
  <c r="BC550" i="1"/>
  <c r="BC564" i="1" s="1"/>
  <c r="BC568" i="1" s="1"/>
  <c r="BC587" i="1" s="1"/>
  <c r="BC673" i="1"/>
  <c r="BC674" i="1"/>
  <c r="BC671" i="1"/>
  <c r="BB631" i="1"/>
  <c r="BC769" i="1"/>
  <c r="I34" i="7"/>
  <c r="I42" i="7" s="1"/>
  <c r="F53" i="23"/>
  <c r="N22" i="23" s="1"/>
  <c r="DB768" i="1"/>
  <c r="F23" i="2"/>
  <c r="BC768" i="1"/>
  <c r="BC702" i="1"/>
  <c r="BC785" i="1" s="1"/>
  <c r="BC841" i="1" s="1"/>
  <c r="BC700" i="1"/>
  <c r="BC782" i="1"/>
  <c r="BC783" i="1"/>
  <c r="X73" i="24" s="1"/>
  <c r="X74" i="24" s="1"/>
  <c r="DB701" i="1"/>
  <c r="DE615" i="1"/>
  <c r="DE616" i="1" s="1"/>
  <c r="BI616" i="1"/>
  <c r="BJ615" i="1"/>
  <c r="P52" i="7"/>
  <c r="DB550" i="1"/>
  <c r="BD529" i="1"/>
  <c r="BD621" i="1"/>
  <c r="BD675" i="1"/>
  <c r="E125" i="2" l="1"/>
  <c r="J125" i="2" s="1"/>
  <c r="C148" i="2" s="1"/>
  <c r="N70" i="7" s="1"/>
  <c r="DB671" i="1"/>
  <c r="BD534" i="1"/>
  <c r="F29" i="23"/>
  <c r="DB564" i="1"/>
  <c r="DB568" i="1" s="1"/>
  <c r="DB587" i="1" s="1"/>
  <c r="DB674" i="1"/>
  <c r="DB673" i="1"/>
  <c r="BC672" i="1"/>
  <c r="BJ616" i="1"/>
  <c r="BK615" i="1"/>
  <c r="BC699" i="1"/>
  <c r="DB700" i="1"/>
  <c r="BC836" i="1"/>
  <c r="BC607" i="1"/>
  <c r="BC590" i="1"/>
  <c r="BD624" i="1"/>
  <c r="BD629" i="1" s="1"/>
  <c r="BD261" i="1"/>
  <c r="BB639" i="1"/>
  <c r="BB4" i="1" s="1"/>
  <c r="BB618" i="1"/>
  <c r="R27" i="17"/>
  <c r="R28" i="17"/>
  <c r="DB782" i="1"/>
  <c r="P59" i="7"/>
  <c r="P60" i="7" s="1"/>
  <c r="DB783" i="1"/>
  <c r="DB702" i="1"/>
  <c r="F37" i="23"/>
  <c r="DI676" i="1"/>
  <c r="N39" i="23" l="1"/>
  <c r="N34" i="23"/>
  <c r="F38" i="23"/>
  <c r="BC725" i="1"/>
  <c r="BC704" i="1"/>
  <c r="DB672" i="1"/>
  <c r="N35" i="23"/>
  <c r="N40" i="23"/>
  <c r="DB785" i="1"/>
  <c r="DB699" i="1"/>
  <c r="DB607" i="1"/>
  <c r="DB836" i="1"/>
  <c r="DB590" i="1"/>
  <c r="I57" i="7"/>
  <c r="F81" i="2"/>
  <c r="BD260" i="1"/>
  <c r="BC837" i="1"/>
  <c r="I58" i="7"/>
  <c r="I60" i="7" s="1"/>
  <c r="I44" i="7"/>
  <c r="F82" i="2"/>
  <c r="AX73" i="24"/>
  <c r="AX74" i="24" s="1"/>
  <c r="BC548" i="1"/>
  <c r="BC591" i="1"/>
  <c r="DB591" i="1" s="1"/>
  <c r="BC834" i="1"/>
  <c r="BC595" i="1"/>
  <c r="BC150" i="1"/>
  <c r="DF615" i="1"/>
  <c r="DF616" i="1" s="1"/>
  <c r="BK616" i="1"/>
  <c r="BL615" i="1"/>
  <c r="BD538" i="1"/>
  <c r="BC593" i="1" l="1"/>
  <c r="BC835" i="1" s="1"/>
  <c r="X78" i="24"/>
  <c r="BC784" i="1"/>
  <c r="BC786" i="1"/>
  <c r="BC744" i="1"/>
  <c r="DB744" i="1" s="1"/>
  <c r="BC630" i="1"/>
  <c r="DB725" i="1"/>
  <c r="R36" i="17"/>
  <c r="R38" i="17" s="1"/>
  <c r="N56" i="23"/>
  <c r="F110" i="2"/>
  <c r="I81" i="7"/>
  <c r="BD742" i="1"/>
  <c r="BD531" i="1"/>
  <c r="Y63" i="24"/>
  <c r="BE526" i="1"/>
  <c r="BD743" i="1"/>
  <c r="BD541" i="1"/>
  <c r="BE533" i="1"/>
  <c r="BD701" i="1"/>
  <c r="BL616" i="1"/>
  <c r="BM615" i="1"/>
  <c r="X77" i="24"/>
  <c r="DB593" i="1"/>
  <c r="DB835" i="1" s="1"/>
  <c r="DB548" i="1"/>
  <c r="DB595" i="1"/>
  <c r="DB150" i="1"/>
  <c r="F30" i="23"/>
  <c r="F31" i="23" s="1"/>
  <c r="DB834" i="1"/>
  <c r="DB837" i="1"/>
  <c r="I45" i="7"/>
  <c r="I62" i="7"/>
  <c r="F83" i="2"/>
  <c r="DB841" i="1"/>
  <c r="F115" i="2" s="1"/>
  <c r="DB704" i="1"/>
  <c r="C124" i="2" l="1"/>
  <c r="D124" i="2"/>
  <c r="BD702" i="1"/>
  <c r="BD785" i="1" s="1"/>
  <c r="BD841" i="1" s="1"/>
  <c r="BD700" i="1"/>
  <c r="BD783" i="1"/>
  <c r="Y73" i="24" s="1"/>
  <c r="Y74" i="24" s="1"/>
  <c r="BD782" i="1"/>
  <c r="BD550" i="1"/>
  <c r="BD564" i="1" s="1"/>
  <c r="BD568" i="1" s="1"/>
  <c r="BD587" i="1" s="1"/>
  <c r="BD671" i="1"/>
  <c r="BD673" i="1"/>
  <c r="BD674" i="1"/>
  <c r="BD768" i="1"/>
  <c r="F109" i="2"/>
  <c r="N55" i="23"/>
  <c r="AX77" i="24"/>
  <c r="I80" i="7"/>
  <c r="DB784" i="1"/>
  <c r="DB786" i="1"/>
  <c r="BD769" i="1"/>
  <c r="F111" i="2"/>
  <c r="I82" i="7"/>
  <c r="AX78" i="24"/>
  <c r="N57" i="23"/>
  <c r="DG615" i="1"/>
  <c r="DG616" i="1" s="1"/>
  <c r="BM616" i="1"/>
  <c r="BN615" i="1"/>
  <c r="BE529" i="1"/>
  <c r="BE621" i="1"/>
  <c r="DC526" i="1"/>
  <c r="BE675" i="1"/>
  <c r="BC631" i="1"/>
  <c r="DB630" i="1"/>
  <c r="DB631" i="1" s="1"/>
  <c r="BD672" i="1" l="1"/>
  <c r="BE534" i="1"/>
  <c r="DC529" i="1"/>
  <c r="DB618" i="1"/>
  <c r="DB639" i="1"/>
  <c r="BC639" i="1"/>
  <c r="BC4" i="1" s="1"/>
  <c r="BC618" i="1"/>
  <c r="BD699" i="1"/>
  <c r="BD836" i="1"/>
  <c r="BD607" i="1"/>
  <c r="BD590" i="1"/>
  <c r="BO615" i="1"/>
  <c r="BN616" i="1"/>
  <c r="DC675" i="1"/>
  <c r="BE624" i="1"/>
  <c r="BE629" i="1" s="1"/>
  <c r="DC621" i="1"/>
  <c r="DC624" i="1" s="1"/>
  <c r="DC629" i="1" s="1"/>
  <c r="BE261" i="1"/>
  <c r="E124" i="2"/>
  <c r="DH615" i="1" l="1"/>
  <c r="DH616" i="1" s="1"/>
  <c r="BO616" i="1"/>
  <c r="BP615" i="1"/>
  <c r="BE260" i="1"/>
  <c r="DC260" i="1" s="1"/>
  <c r="DC261" i="1"/>
  <c r="BD595" i="1"/>
  <c r="BD834" i="1"/>
  <c r="BD591" i="1"/>
  <c r="BD593" i="1" s="1"/>
  <c r="BD835" i="1" s="1"/>
  <c r="BD150" i="1"/>
  <c r="BD548" i="1"/>
  <c r="BD837" i="1"/>
  <c r="BD725" i="1"/>
  <c r="BD704" i="1"/>
  <c r="DC534" i="1"/>
  <c r="DC538" i="1" s="1"/>
  <c r="BE538" i="1"/>
  <c r="BE742" i="1" l="1"/>
  <c r="BE743" i="1"/>
  <c r="BE531" i="1"/>
  <c r="BE541" i="1"/>
  <c r="BF526" i="1"/>
  <c r="Z63" i="24"/>
  <c r="BF533" i="1"/>
  <c r="BE701" i="1"/>
  <c r="Y78" i="24"/>
  <c r="BP616" i="1"/>
  <c r="BQ615" i="1"/>
  <c r="DC743" i="1"/>
  <c r="DC531" i="1"/>
  <c r="Q53" i="7"/>
  <c r="AY63" i="24"/>
  <c r="DC742" i="1"/>
  <c r="DC541" i="1"/>
  <c r="S23" i="17"/>
  <c r="DD533" i="1"/>
  <c r="Y77" i="24"/>
  <c r="BD786" i="1"/>
  <c r="BD784" i="1"/>
  <c r="BD630" i="1"/>
  <c r="BD744" i="1"/>
  <c r="S25" i="17" l="1"/>
  <c r="S26" i="17" s="1"/>
  <c r="S30" i="17"/>
  <c r="S34" i="17"/>
  <c r="S37" i="17"/>
  <c r="J33" i="7"/>
  <c r="J41" i="7" s="1"/>
  <c r="G54" i="23"/>
  <c r="O23" i="23" s="1"/>
  <c r="DC769" i="1"/>
  <c r="BE768" i="1"/>
  <c r="DI615" i="1"/>
  <c r="DI616" i="1" s="1"/>
  <c r="BQ616" i="1"/>
  <c r="J34" i="7"/>
  <c r="J42" i="7" s="1"/>
  <c r="G53" i="23"/>
  <c r="O22" i="23" s="1"/>
  <c r="DC768" i="1"/>
  <c r="G23" i="2"/>
  <c r="BE769" i="1"/>
  <c r="Q52" i="7"/>
  <c r="DC550" i="1"/>
  <c r="BF529" i="1"/>
  <c r="BF621" i="1"/>
  <c r="BF675" i="1"/>
  <c r="BD631" i="1"/>
  <c r="BE702" i="1"/>
  <c r="BE785" i="1" s="1"/>
  <c r="BE841" i="1" s="1"/>
  <c r="BE782" i="1"/>
  <c r="BE700" i="1"/>
  <c r="BE783" i="1"/>
  <c r="Z73" i="24" s="1"/>
  <c r="Z74" i="24" s="1"/>
  <c r="DC701" i="1"/>
  <c r="BE550" i="1"/>
  <c r="BE564" i="1" s="1"/>
  <c r="BE568" i="1" s="1"/>
  <c r="BE587" i="1" s="1"/>
  <c r="BE673" i="1"/>
  <c r="BE674" i="1"/>
  <c r="BE671" i="1"/>
  <c r="G37" i="23" l="1"/>
  <c r="Q59" i="7"/>
  <c r="Q60" i="7" s="1"/>
  <c r="DC702" i="1"/>
  <c r="DC782" i="1"/>
  <c r="DC783" i="1"/>
  <c r="BF534" i="1"/>
  <c r="DC671" i="1"/>
  <c r="BD639" i="1"/>
  <c r="BD4" i="1" s="1"/>
  <c r="BD618" i="1"/>
  <c r="DC674" i="1"/>
  <c r="BE699" i="1"/>
  <c r="DC700" i="1"/>
  <c r="DC673" i="1"/>
  <c r="BE607" i="1"/>
  <c r="BE836" i="1"/>
  <c r="BE590" i="1"/>
  <c r="G29" i="23"/>
  <c r="DC564" i="1"/>
  <c r="DC568" i="1" s="1"/>
  <c r="DC587" i="1" s="1"/>
  <c r="BE672" i="1"/>
  <c r="BF624" i="1"/>
  <c r="BF629" i="1" s="1"/>
  <c r="BF261" i="1"/>
  <c r="S27" i="17"/>
  <c r="S28" i="17"/>
  <c r="J44" i="7" l="1"/>
  <c r="G82" i="2"/>
  <c r="AY73" i="24"/>
  <c r="AY74" i="24" s="1"/>
  <c r="J58" i="7"/>
  <c r="J60" i="7" s="1"/>
  <c r="J57" i="7"/>
  <c r="G81" i="2"/>
  <c r="BE725" i="1"/>
  <c r="BE704" i="1"/>
  <c r="DC785" i="1"/>
  <c r="O40" i="23"/>
  <c r="O35" i="23"/>
  <c r="DC607" i="1"/>
  <c r="DC590" i="1"/>
  <c r="DC836" i="1"/>
  <c r="BE837" i="1"/>
  <c r="DC672" i="1"/>
  <c r="BF260" i="1"/>
  <c r="BE834" i="1"/>
  <c r="BE591" i="1"/>
  <c r="DC591" i="1" s="1"/>
  <c r="BE548" i="1"/>
  <c r="BE150" i="1"/>
  <c r="BE595" i="1"/>
  <c r="DC699" i="1"/>
  <c r="BF538" i="1"/>
  <c r="O39" i="23"/>
  <c r="O34" i="23"/>
  <c r="G38" i="23"/>
  <c r="G122" i="2"/>
  <c r="BE593" i="1" l="1"/>
  <c r="BE835" i="1" s="1"/>
  <c r="G123" i="2"/>
  <c r="J123" i="2" s="1"/>
  <c r="C152" i="2" s="1"/>
  <c r="N74" i="7" s="1"/>
  <c r="J122" i="2"/>
  <c r="C151" i="2" s="1"/>
  <c r="DC595" i="1"/>
  <c r="G30" i="23"/>
  <c r="G31" i="23" s="1"/>
  <c r="DC548" i="1"/>
  <c r="DC834" i="1"/>
  <c r="DC150" i="1"/>
  <c r="DC593" i="1"/>
  <c r="DC835" i="1" s="1"/>
  <c r="DC837" i="1"/>
  <c r="BE786" i="1"/>
  <c r="BE784" i="1"/>
  <c r="BE630" i="1"/>
  <c r="BE744" i="1"/>
  <c r="DC744" i="1" s="1"/>
  <c r="DC704" i="1"/>
  <c r="Z78" i="24"/>
  <c r="S36" i="17"/>
  <c r="S38" i="17" s="1"/>
  <c r="G110" i="2"/>
  <c r="O56" i="23"/>
  <c r="J81" i="7"/>
  <c r="DC841" i="1"/>
  <c r="G115" i="2" s="1"/>
  <c r="J45" i="7"/>
  <c r="J62" i="7"/>
  <c r="G83" i="2"/>
  <c r="BF742" i="1"/>
  <c r="AA63" i="24"/>
  <c r="BF531" i="1"/>
  <c r="BF743" i="1"/>
  <c r="BG526" i="1"/>
  <c r="BG533" i="1"/>
  <c r="BF541" i="1"/>
  <c r="BF701" i="1"/>
  <c r="DC725" i="1"/>
  <c r="Z77" i="24"/>
  <c r="BF769" i="1" l="1"/>
  <c r="AY77" i="24"/>
  <c r="G109" i="2"/>
  <c r="O55" i="23"/>
  <c r="J80" i="7"/>
  <c r="BF702" i="1"/>
  <c r="BF785" i="1" s="1"/>
  <c r="BF841" i="1" s="1"/>
  <c r="BF700" i="1"/>
  <c r="BF783" i="1"/>
  <c r="AA73" i="24" s="1"/>
  <c r="AA74" i="24" s="1"/>
  <c r="BF782" i="1"/>
  <c r="O57" i="23"/>
  <c r="AY78" i="24"/>
  <c r="J82" i="7"/>
  <c r="G111" i="2"/>
  <c r="DC786" i="1"/>
  <c r="DC784" i="1"/>
  <c r="I124" i="2"/>
  <c r="BF550" i="1"/>
  <c r="BF564" i="1" s="1"/>
  <c r="BF568" i="1" s="1"/>
  <c r="BF587" i="1" s="1"/>
  <c r="BF674" i="1"/>
  <c r="BF673" i="1"/>
  <c r="BF671" i="1"/>
  <c r="BF768" i="1"/>
  <c r="BE631" i="1"/>
  <c r="DC630" i="1"/>
  <c r="DC631" i="1" s="1"/>
  <c r="N73" i="7"/>
  <c r="K12" i="23"/>
  <c r="BG621" i="1"/>
  <c r="BG529" i="1"/>
  <c r="DD526" i="1"/>
  <c r="BG675" i="1"/>
  <c r="DD675" i="1" l="1"/>
  <c r="BG624" i="1"/>
  <c r="BG629" i="1" s="1"/>
  <c r="DD621" i="1"/>
  <c r="DD624" i="1" s="1"/>
  <c r="DD629" i="1" s="1"/>
  <c r="BG261" i="1"/>
  <c r="DC639" i="1"/>
  <c r="DC618" i="1"/>
  <c r="BF607" i="1"/>
  <c r="BF836" i="1"/>
  <c r="BF590" i="1"/>
  <c r="BF672" i="1"/>
  <c r="BF699" i="1"/>
  <c r="BE639" i="1"/>
  <c r="BE4" i="1" s="1"/>
  <c r="BE618" i="1"/>
  <c r="BG534" i="1"/>
  <c r="DD529" i="1"/>
  <c r="BF837" i="1" l="1"/>
  <c r="DD534" i="1"/>
  <c r="DD538" i="1" s="1"/>
  <c r="BG538" i="1"/>
  <c r="BF725" i="1"/>
  <c r="BF704" i="1"/>
  <c r="BG260" i="1"/>
  <c r="DD260" i="1" s="1"/>
  <c r="DD261" i="1"/>
  <c r="BF834" i="1"/>
  <c r="BF548" i="1"/>
  <c r="BF591" i="1"/>
  <c r="BF593" i="1" s="1"/>
  <c r="BF835" i="1" s="1"/>
  <c r="BF150" i="1"/>
  <c r="BF595" i="1"/>
  <c r="BG743" i="1" l="1"/>
  <c r="AB63" i="24"/>
  <c r="BG742" i="1"/>
  <c r="BG531" i="1"/>
  <c r="BH526" i="1"/>
  <c r="BG541" i="1"/>
  <c r="BH533" i="1"/>
  <c r="BG701" i="1"/>
  <c r="T23" i="17"/>
  <c r="DD742" i="1"/>
  <c r="AZ63" i="24"/>
  <c r="DD531" i="1"/>
  <c r="DD743" i="1"/>
  <c r="DE533" i="1"/>
  <c r="DD541" i="1"/>
  <c r="AA77" i="24"/>
  <c r="AA78" i="24"/>
  <c r="BF786" i="1"/>
  <c r="BF784" i="1"/>
  <c r="BF630" i="1"/>
  <c r="BF744" i="1"/>
  <c r="BH529" i="1" l="1"/>
  <c r="BH621" i="1"/>
  <c r="BH675" i="1"/>
  <c r="DD768" i="1"/>
  <c r="DD550" i="1"/>
  <c r="DD564" i="1" s="1"/>
  <c r="DD568" i="1" s="1"/>
  <c r="DD587" i="1" s="1"/>
  <c r="BG702" i="1"/>
  <c r="BG785" i="1" s="1"/>
  <c r="BG841" i="1" s="1"/>
  <c r="BG700" i="1"/>
  <c r="BG782" i="1"/>
  <c r="BG783" i="1"/>
  <c r="AB73" i="24" s="1"/>
  <c r="AB74" i="24" s="1"/>
  <c r="DD701" i="1"/>
  <c r="BF631" i="1"/>
  <c r="T25" i="17"/>
  <c r="T26" i="17" s="1"/>
  <c r="T34" i="17"/>
  <c r="T37" i="17"/>
  <c r="T30" i="17"/>
  <c r="DD769" i="1"/>
  <c r="BG550" i="1"/>
  <c r="BG564" i="1" s="1"/>
  <c r="BG568" i="1" s="1"/>
  <c r="BG587" i="1" s="1"/>
  <c r="BG673" i="1"/>
  <c r="BG674" i="1"/>
  <c r="BG671" i="1"/>
  <c r="BG768" i="1"/>
  <c r="BG769" i="1"/>
  <c r="DD673" i="1" l="1"/>
  <c r="BG836" i="1"/>
  <c r="BG607" i="1"/>
  <c r="BG590" i="1"/>
  <c r="BF639" i="1"/>
  <c r="BF4" i="1" s="1"/>
  <c r="BF618" i="1"/>
  <c r="DD783" i="1"/>
  <c r="AZ73" i="24" s="1"/>
  <c r="AZ74" i="24" s="1"/>
  <c r="DD702" i="1"/>
  <c r="DD785" i="1" s="1"/>
  <c r="DD841" i="1" s="1"/>
  <c r="DD782" i="1"/>
  <c r="BH624" i="1"/>
  <c r="BH629" i="1" s="1"/>
  <c r="BH261" i="1"/>
  <c r="BG672" i="1"/>
  <c r="BG699" i="1"/>
  <c r="DD700" i="1"/>
  <c r="DD671" i="1"/>
  <c r="DD674" i="1"/>
  <c r="T27" i="17"/>
  <c r="T28" i="17"/>
  <c r="DD607" i="1"/>
  <c r="DD836" i="1"/>
  <c r="DD590" i="1"/>
  <c r="BH534" i="1"/>
  <c r="BG725" i="1" l="1"/>
  <c r="BG704" i="1"/>
  <c r="BG837" i="1"/>
  <c r="BH538" i="1"/>
  <c r="DD548" i="1"/>
  <c r="DD595" i="1"/>
  <c r="DD150" i="1"/>
  <c r="DD834" i="1"/>
  <c r="DD699" i="1"/>
  <c r="DD672" i="1"/>
  <c r="T36" i="17"/>
  <c r="T38" i="17" s="1"/>
  <c r="BH260" i="1"/>
  <c r="DD837" i="1"/>
  <c r="BG595" i="1"/>
  <c r="BG591" i="1"/>
  <c r="DD591" i="1" s="1"/>
  <c r="DD593" i="1" s="1"/>
  <c r="DD835" i="1" s="1"/>
  <c r="BG150" i="1"/>
  <c r="BG548" i="1"/>
  <c r="BG834" i="1"/>
  <c r="DD725" i="1" l="1"/>
  <c r="DD786" i="1"/>
  <c r="DD784" i="1"/>
  <c r="DD704" i="1"/>
  <c r="AB77" i="24"/>
  <c r="AZ78" i="24"/>
  <c r="BH742" i="1"/>
  <c r="BH541" i="1"/>
  <c r="BI526" i="1"/>
  <c r="BH743" i="1"/>
  <c r="AC63" i="24"/>
  <c r="BH531" i="1"/>
  <c r="BI533" i="1"/>
  <c r="BH701" i="1"/>
  <c r="BG593" i="1"/>
  <c r="BG835" i="1" s="1"/>
  <c r="AZ77" i="24"/>
  <c r="BG786" i="1"/>
  <c r="BG784" i="1"/>
  <c r="BG630" i="1"/>
  <c r="BG744" i="1"/>
  <c r="DD744" i="1" s="1"/>
  <c r="AB78" i="24"/>
  <c r="BH769" i="1" l="1"/>
  <c r="BI621" i="1"/>
  <c r="BI529" i="1"/>
  <c r="DE526" i="1"/>
  <c r="BI675" i="1"/>
  <c r="BH550" i="1"/>
  <c r="BH564" i="1" s="1"/>
  <c r="BH568" i="1" s="1"/>
  <c r="BH587" i="1" s="1"/>
  <c r="BH673" i="1"/>
  <c r="BH674" i="1"/>
  <c r="BH671" i="1"/>
  <c r="BG631" i="1"/>
  <c r="DD630" i="1"/>
  <c r="DD631" i="1" s="1"/>
  <c r="BH702" i="1"/>
  <c r="BH785" i="1" s="1"/>
  <c r="BH841" i="1" s="1"/>
  <c r="BH782" i="1"/>
  <c r="BH783" i="1"/>
  <c r="AC73" i="24" s="1"/>
  <c r="AC74" i="24" s="1"/>
  <c r="BH700" i="1"/>
  <c r="BH768" i="1"/>
  <c r="BH699" i="1" l="1"/>
  <c r="DD618" i="1"/>
  <c r="DD639" i="1"/>
  <c r="BH607" i="1"/>
  <c r="BH836" i="1"/>
  <c r="BH590" i="1"/>
  <c r="DE675" i="1"/>
  <c r="BG639" i="1"/>
  <c r="BG4" i="1" s="1"/>
  <c r="BG618" i="1"/>
  <c r="BI534" i="1"/>
  <c r="DE529" i="1"/>
  <c r="BI624" i="1"/>
  <c r="BI629" i="1" s="1"/>
  <c r="DE621" i="1"/>
  <c r="DE624" i="1" s="1"/>
  <c r="DE629" i="1" s="1"/>
  <c r="BI261" i="1"/>
  <c r="BH672" i="1"/>
  <c r="BH837" i="1" l="1"/>
  <c r="BI260" i="1"/>
  <c r="DE260" i="1" s="1"/>
  <c r="DE261" i="1"/>
  <c r="DE534" i="1"/>
  <c r="DE538" i="1" s="1"/>
  <c r="BI538" i="1"/>
  <c r="BH595" i="1"/>
  <c r="BH834" i="1"/>
  <c r="BH548" i="1"/>
  <c r="BH150" i="1"/>
  <c r="BH591" i="1"/>
  <c r="BH593" i="1" s="1"/>
  <c r="BH835" i="1" s="1"/>
  <c r="BH725" i="1"/>
  <c r="BH704" i="1"/>
  <c r="BH786" i="1" l="1"/>
  <c r="BH784" i="1"/>
  <c r="BH630" i="1"/>
  <c r="BH744" i="1"/>
  <c r="BI743" i="1"/>
  <c r="BJ526" i="1"/>
  <c r="BI742" i="1"/>
  <c r="AD63" i="24"/>
  <c r="BJ533" i="1"/>
  <c r="BI541" i="1"/>
  <c r="BI531" i="1"/>
  <c r="BI701" i="1"/>
  <c r="DE743" i="1"/>
  <c r="DE531" i="1"/>
  <c r="BA63" i="24"/>
  <c r="U23" i="17"/>
  <c r="DE742" i="1"/>
  <c r="DF533" i="1"/>
  <c r="DE541" i="1"/>
  <c r="AC77" i="24"/>
  <c r="AC78" i="24"/>
  <c r="BI769" i="1" l="1"/>
  <c r="BI550" i="1"/>
  <c r="BI564" i="1" s="1"/>
  <c r="BI568" i="1" s="1"/>
  <c r="BI587" i="1" s="1"/>
  <c r="BI671" i="1"/>
  <c r="BI674" i="1"/>
  <c r="BI673" i="1"/>
  <c r="BH631" i="1"/>
  <c r="DE768" i="1"/>
  <c r="BI700" i="1"/>
  <c r="BI783" i="1"/>
  <c r="AD73" i="24" s="1"/>
  <c r="AD74" i="24" s="1"/>
  <c r="BI782" i="1"/>
  <c r="BI702" i="1"/>
  <c r="BI785" i="1" s="1"/>
  <c r="BI841" i="1" s="1"/>
  <c r="DE701" i="1"/>
  <c r="BI768" i="1"/>
  <c r="U30" i="17"/>
  <c r="U34" i="17"/>
  <c r="U37" i="17"/>
  <c r="U25" i="17"/>
  <c r="U26" i="17" s="1"/>
  <c r="V23" i="17"/>
  <c r="DE550" i="1"/>
  <c r="DE564" i="1" s="1"/>
  <c r="DE568" i="1" s="1"/>
  <c r="DE587" i="1" s="1"/>
  <c r="DE769" i="1"/>
  <c r="BJ529" i="1"/>
  <c r="BJ621" i="1"/>
  <c r="BJ675" i="1"/>
  <c r="DE671" i="1" l="1"/>
  <c r="V34" i="17"/>
  <c r="V37" i="17"/>
  <c r="V30" i="17"/>
  <c r="W23" i="17"/>
  <c r="V25" i="17"/>
  <c r="V26" i="17" s="1"/>
  <c r="BI672" i="1"/>
  <c r="U27" i="17"/>
  <c r="U28" i="17"/>
  <c r="BH639" i="1"/>
  <c r="BH4" i="1" s="1"/>
  <c r="BH618" i="1"/>
  <c r="DE836" i="1"/>
  <c r="DE607" i="1"/>
  <c r="DE590" i="1"/>
  <c r="BJ624" i="1"/>
  <c r="BJ629" i="1" s="1"/>
  <c r="BJ261" i="1"/>
  <c r="DE702" i="1"/>
  <c r="DE785" i="1" s="1"/>
  <c r="DE841" i="1" s="1"/>
  <c r="DE783" i="1"/>
  <c r="BA73" i="24" s="1"/>
  <c r="BA74" i="24" s="1"/>
  <c r="DE782" i="1"/>
  <c r="BI699" i="1"/>
  <c r="DE700" i="1"/>
  <c r="DE673" i="1"/>
  <c r="BJ534" i="1"/>
  <c r="DE674" i="1"/>
  <c r="BI836" i="1"/>
  <c r="BI607" i="1"/>
  <c r="BI590" i="1"/>
  <c r="BJ260" i="1" l="1"/>
  <c r="U36" i="17"/>
  <c r="U38" i="17" s="1"/>
  <c r="V38" i="17" s="1"/>
  <c r="BI725" i="1"/>
  <c r="BI704" i="1"/>
  <c r="BI548" i="1"/>
  <c r="BI595" i="1"/>
  <c r="BI591" i="1"/>
  <c r="DE591" i="1" s="1"/>
  <c r="DE593" i="1" s="1"/>
  <c r="DE835" i="1" s="1"/>
  <c r="BI834" i="1"/>
  <c r="BI150" i="1"/>
  <c r="DE699" i="1"/>
  <c r="DE834" i="1"/>
  <c r="DE548" i="1"/>
  <c r="DE595" i="1"/>
  <c r="DE150" i="1"/>
  <c r="DE672" i="1"/>
  <c r="BI837" i="1"/>
  <c r="BJ538" i="1"/>
  <c r="DE837" i="1"/>
  <c r="V28" i="17"/>
  <c r="V27" i="17"/>
  <c r="W37" i="17"/>
  <c r="W25" i="17"/>
  <c r="W26" i="17" s="1"/>
  <c r="W34" i="17"/>
  <c r="W30" i="17"/>
  <c r="X23" i="17"/>
  <c r="BI593" i="1" l="1"/>
  <c r="BI835" i="1" s="1"/>
  <c r="BA77" i="24"/>
  <c r="W38" i="17"/>
  <c r="V36" i="17"/>
  <c r="DE704" i="1"/>
  <c r="AD77" i="24"/>
  <c r="BJ743" i="1"/>
  <c r="BK526" i="1"/>
  <c r="AE63" i="24"/>
  <c r="BJ531" i="1"/>
  <c r="BJ742" i="1"/>
  <c r="BJ541" i="1"/>
  <c r="BK533" i="1"/>
  <c r="BJ701" i="1"/>
  <c r="X25" i="17"/>
  <c r="X26" i="17" s="1"/>
  <c r="Y23" i="17"/>
  <c r="X30" i="17"/>
  <c r="X37" i="17"/>
  <c r="X34" i="17"/>
  <c r="DE786" i="1"/>
  <c r="DE784" i="1"/>
  <c r="BI784" i="1"/>
  <c r="BI786" i="1"/>
  <c r="BI630" i="1"/>
  <c r="BI744" i="1"/>
  <c r="DE744" i="1" s="1"/>
  <c r="W28" i="17"/>
  <c r="W27" i="17"/>
  <c r="BA78" i="24"/>
  <c r="AD78" i="24"/>
  <c r="DE725" i="1"/>
  <c r="BJ550" i="1" l="1"/>
  <c r="BJ564" i="1" s="1"/>
  <c r="BJ568" i="1" s="1"/>
  <c r="BJ587" i="1" s="1"/>
  <c r="BJ673" i="1"/>
  <c r="BJ671" i="1"/>
  <c r="BJ674" i="1"/>
  <c r="BJ769" i="1"/>
  <c r="Y37" i="17"/>
  <c r="Y30" i="17"/>
  <c r="Y34" i="17"/>
  <c r="Y25" i="17"/>
  <c r="Y26" i="17" s="1"/>
  <c r="Z23" i="17"/>
  <c r="X27" i="17"/>
  <c r="X28" i="17"/>
  <c r="W36" i="17"/>
  <c r="X38" i="17"/>
  <c r="BJ768" i="1"/>
  <c r="BJ702" i="1"/>
  <c r="BJ785" i="1" s="1"/>
  <c r="BJ841" i="1" s="1"/>
  <c r="BJ783" i="1"/>
  <c r="AE73" i="24" s="1"/>
  <c r="AE74" i="24" s="1"/>
  <c r="BJ782" i="1"/>
  <c r="BJ700" i="1"/>
  <c r="BI631" i="1"/>
  <c r="DE630" i="1"/>
  <c r="DE631" i="1" s="1"/>
  <c r="BK621" i="1"/>
  <c r="BK529" i="1"/>
  <c r="DF526" i="1"/>
  <c r="BK675" i="1"/>
  <c r="X36" i="17" l="1"/>
  <c r="Y38" i="17"/>
  <c r="Z25" i="17"/>
  <c r="Z26" i="17" s="1"/>
  <c r="Z34" i="17"/>
  <c r="Z30" i="17"/>
  <c r="Z37" i="17"/>
  <c r="AA23" i="17"/>
  <c r="BJ672" i="1"/>
  <c r="BJ699" i="1"/>
  <c r="Y28" i="17"/>
  <c r="Y27" i="17"/>
  <c r="BK624" i="1"/>
  <c r="BK629" i="1" s="1"/>
  <c r="DF621" i="1"/>
  <c r="DF624" i="1" s="1"/>
  <c r="DF629" i="1" s="1"/>
  <c r="BK261" i="1"/>
  <c r="DE618" i="1"/>
  <c r="DE639" i="1"/>
  <c r="BK534" i="1"/>
  <c r="DF529" i="1"/>
  <c r="DF675" i="1"/>
  <c r="BI618" i="1"/>
  <c r="BI639" i="1"/>
  <c r="BI4" i="1" s="1"/>
  <c r="BJ607" i="1"/>
  <c r="BJ836" i="1"/>
  <c r="BJ590" i="1"/>
  <c r="BJ837" i="1" l="1"/>
  <c r="BK260" i="1"/>
  <c r="DF260" i="1" s="1"/>
  <c r="DF261" i="1"/>
  <c r="Z28" i="17"/>
  <c r="Z27" i="17"/>
  <c r="Y36" i="17"/>
  <c r="Z38" i="17"/>
  <c r="AB25" i="17"/>
  <c r="AB26" i="17" s="1"/>
  <c r="AB28" i="17" s="1"/>
  <c r="AB42" i="17" s="1"/>
  <c r="AA30" i="17"/>
  <c r="AD30" i="17" s="1"/>
  <c r="AA25" i="17"/>
  <c r="AA26" i="17" s="1"/>
  <c r="AA37" i="17"/>
  <c r="AA34" i="17"/>
  <c r="AD34" i="17" s="1"/>
  <c r="AB40" i="17"/>
  <c r="BJ548" i="1"/>
  <c r="BJ834" i="1"/>
  <c r="BJ150" i="1"/>
  <c r="BJ591" i="1"/>
  <c r="BJ593" i="1" s="1"/>
  <c r="BJ835" i="1" s="1"/>
  <c r="BJ595" i="1"/>
  <c r="DF534" i="1"/>
  <c r="DF538" i="1" s="1"/>
  <c r="BK538" i="1"/>
  <c r="BJ725" i="1"/>
  <c r="BJ704" i="1"/>
  <c r="AA38" i="17" l="1"/>
  <c r="AA36" i="17" s="1"/>
  <c r="Z36" i="17"/>
  <c r="AA28" i="17"/>
  <c r="AB41" i="17" s="1"/>
  <c r="AA27" i="17"/>
  <c r="BK742" i="1"/>
  <c r="BK743" i="1"/>
  <c r="AF63" i="24"/>
  <c r="BK531" i="1"/>
  <c r="BL526" i="1"/>
  <c r="BK541" i="1"/>
  <c r="BL533" i="1"/>
  <c r="BK701" i="1"/>
  <c r="AE77" i="24"/>
  <c r="DF743" i="1"/>
  <c r="DF531" i="1"/>
  <c r="DF742" i="1"/>
  <c r="BB63" i="24"/>
  <c r="DF541" i="1"/>
  <c r="DG533" i="1"/>
  <c r="BJ786" i="1"/>
  <c r="BJ784" i="1"/>
  <c r="BJ630" i="1"/>
  <c r="BJ744" i="1"/>
  <c r="AE78" i="24"/>
  <c r="BJ631" i="1" l="1"/>
  <c r="DF550" i="1"/>
  <c r="DF564" i="1" s="1"/>
  <c r="DF568" i="1" s="1"/>
  <c r="DF587" i="1" s="1"/>
  <c r="BK783" i="1"/>
  <c r="AF73" i="24" s="1"/>
  <c r="AF74" i="24" s="1"/>
  <c r="BK702" i="1"/>
  <c r="BK785" i="1" s="1"/>
  <c r="BK841" i="1" s="1"/>
  <c r="BK782" i="1"/>
  <c r="BK700" i="1"/>
  <c r="DF701" i="1"/>
  <c r="BK550" i="1"/>
  <c r="BK564" i="1" s="1"/>
  <c r="BK568" i="1" s="1"/>
  <c r="BK587" i="1" s="1"/>
  <c r="BK673" i="1"/>
  <c r="BK671" i="1"/>
  <c r="BK674" i="1"/>
  <c r="BK768" i="1"/>
  <c r="DF768" i="1"/>
  <c r="DF769" i="1"/>
  <c r="BL621" i="1"/>
  <c r="BL529" i="1"/>
  <c r="BL675" i="1"/>
  <c r="BK769" i="1"/>
  <c r="AB43" i="17"/>
  <c r="AC41" i="17" s="1"/>
  <c r="BK672" i="1" l="1"/>
  <c r="DF672" i="1" s="1"/>
  <c r="DF590" i="1"/>
  <c r="DF607" i="1"/>
  <c r="DF836" i="1"/>
  <c r="BK607" i="1"/>
  <c r="BK836" i="1"/>
  <c r="BK590" i="1"/>
  <c r="DF702" i="1"/>
  <c r="DF785" i="1" s="1"/>
  <c r="DF841" i="1" s="1"/>
  <c r="DF782" i="1"/>
  <c r="DF783" i="1"/>
  <c r="BB73" i="24" s="1"/>
  <c r="BB74" i="24" s="1"/>
  <c r="BL534" i="1"/>
  <c r="BK699" i="1"/>
  <c r="DF700" i="1"/>
  <c r="DF674" i="1"/>
  <c r="BL624" i="1"/>
  <c r="BL629" i="1" s="1"/>
  <c r="BL261" i="1"/>
  <c r="DF671" i="1"/>
  <c r="BJ639" i="1"/>
  <c r="BJ4" i="1" s="1"/>
  <c r="BJ618" i="1"/>
  <c r="AB44" i="17"/>
  <c r="AB48" i="17"/>
  <c r="AC42" i="17"/>
  <c r="AC40" i="17"/>
  <c r="DF673" i="1"/>
  <c r="BL260" i="1" l="1"/>
  <c r="DF699" i="1"/>
  <c r="BL538" i="1"/>
  <c r="BK548" i="1"/>
  <c r="BK591" i="1"/>
  <c r="DF591" i="1" s="1"/>
  <c r="DF593" i="1" s="1"/>
  <c r="DF835" i="1" s="1"/>
  <c r="BK834" i="1"/>
  <c r="BK595" i="1"/>
  <c r="BK150" i="1"/>
  <c r="DF837" i="1"/>
  <c r="DF595" i="1"/>
  <c r="DF548" i="1"/>
  <c r="DF150" i="1"/>
  <c r="DF834" i="1"/>
  <c r="C150" i="2"/>
  <c r="N72" i="7" s="1"/>
  <c r="AB46" i="17"/>
  <c r="BK725" i="1"/>
  <c r="BK704" i="1"/>
  <c r="BK837" i="1"/>
  <c r="AF77" i="24" l="1"/>
  <c r="DF784" i="1"/>
  <c r="DF786" i="1"/>
  <c r="AF78" i="24"/>
  <c r="BB77" i="24"/>
  <c r="BM526" i="1"/>
  <c r="BL743" i="1"/>
  <c r="BL541" i="1"/>
  <c r="BL531" i="1"/>
  <c r="AG63" i="24"/>
  <c r="BL742" i="1"/>
  <c r="BM533" i="1"/>
  <c r="BL701" i="1"/>
  <c r="BB78" i="24"/>
  <c r="BK593" i="1"/>
  <c r="BK835" i="1" s="1"/>
  <c r="DF704" i="1"/>
  <c r="BK784" i="1"/>
  <c r="BK786" i="1"/>
  <c r="BK630" i="1"/>
  <c r="BK744" i="1"/>
  <c r="DF744" i="1" s="1"/>
  <c r="DF725" i="1"/>
  <c r="BL702" i="1" l="1"/>
  <c r="BL785" i="1" s="1"/>
  <c r="BL841" i="1" s="1"/>
  <c r="BL783" i="1"/>
  <c r="AG73" i="24" s="1"/>
  <c r="AG74" i="24" s="1"/>
  <c r="BL782" i="1"/>
  <c r="BL700" i="1"/>
  <c r="BL550" i="1"/>
  <c r="BL564" i="1" s="1"/>
  <c r="BL568" i="1" s="1"/>
  <c r="BL587" i="1" s="1"/>
  <c r="BL674" i="1"/>
  <c r="BL673" i="1"/>
  <c r="BL671" i="1"/>
  <c r="BL769" i="1"/>
  <c r="BM529" i="1"/>
  <c r="BM621" i="1"/>
  <c r="DG526" i="1"/>
  <c r="BM675" i="1"/>
  <c r="BK631" i="1"/>
  <c r="DF630" i="1"/>
  <c r="DF631" i="1" s="1"/>
  <c r="BL768" i="1"/>
  <c r="BK618" i="1" l="1"/>
  <c r="BK639" i="1"/>
  <c r="BK4" i="1" s="1"/>
  <c r="BM624" i="1"/>
  <c r="BM629" i="1" s="1"/>
  <c r="DG621" i="1"/>
  <c r="DG624" i="1" s="1"/>
  <c r="DG629" i="1" s="1"/>
  <c r="BM261" i="1"/>
  <c r="BL607" i="1"/>
  <c r="BL836" i="1"/>
  <c r="BL590" i="1"/>
  <c r="BM534" i="1"/>
  <c r="DG529" i="1"/>
  <c r="BL672" i="1"/>
  <c r="DF618" i="1"/>
  <c r="DF639" i="1"/>
  <c r="BL699" i="1"/>
  <c r="DG675" i="1"/>
  <c r="BL837" i="1" l="1"/>
  <c r="DG534" i="1"/>
  <c r="DG538" i="1" s="1"/>
  <c r="BM538" i="1"/>
  <c r="BL725" i="1"/>
  <c r="BL704" i="1"/>
  <c r="BL548" i="1"/>
  <c r="BL595" i="1"/>
  <c r="BL834" i="1"/>
  <c r="BL591" i="1"/>
  <c r="BL593" i="1" s="1"/>
  <c r="BL835" i="1" s="1"/>
  <c r="BL150" i="1"/>
  <c r="BM260" i="1"/>
  <c r="DG260" i="1" s="1"/>
  <c r="DG261" i="1"/>
  <c r="DG742" i="1" l="1"/>
  <c r="BC63" i="24"/>
  <c r="DG531" i="1"/>
  <c r="DG743" i="1"/>
  <c r="DH533" i="1"/>
  <c r="DG541" i="1"/>
  <c r="AG78" i="24"/>
  <c r="AG77" i="24"/>
  <c r="BL786" i="1"/>
  <c r="BL784" i="1"/>
  <c r="BL630" i="1"/>
  <c r="BL744" i="1"/>
  <c r="BM742" i="1"/>
  <c r="AH63" i="24"/>
  <c r="BM531" i="1"/>
  <c r="BM743" i="1"/>
  <c r="BN526" i="1"/>
  <c r="BM541" i="1"/>
  <c r="BN533" i="1"/>
  <c r="BM701" i="1"/>
  <c r="DG550" i="1" l="1"/>
  <c r="DG564" i="1" s="1"/>
  <c r="DG568" i="1" s="1"/>
  <c r="DG587" i="1" s="1"/>
  <c r="DG769" i="1"/>
  <c r="BM550" i="1"/>
  <c r="BM564" i="1" s="1"/>
  <c r="BM568" i="1" s="1"/>
  <c r="BM587" i="1" s="1"/>
  <c r="BM671" i="1"/>
  <c r="BM673" i="1"/>
  <c r="BM674" i="1"/>
  <c r="BM768" i="1"/>
  <c r="BL631" i="1"/>
  <c r="BM702" i="1"/>
  <c r="BM785" i="1" s="1"/>
  <c r="BM841" i="1" s="1"/>
  <c r="BM783" i="1"/>
  <c r="AH73" i="24" s="1"/>
  <c r="AH74" i="24" s="1"/>
  <c r="BM782" i="1"/>
  <c r="BM700" i="1"/>
  <c r="DG701" i="1"/>
  <c r="BN529" i="1"/>
  <c r="BN621" i="1"/>
  <c r="BN675" i="1"/>
  <c r="BM769" i="1"/>
  <c r="DG768" i="1"/>
  <c r="BM672" i="1" l="1"/>
  <c r="DG672" i="1" s="1"/>
  <c r="BN624" i="1"/>
  <c r="BN629" i="1" s="1"/>
  <c r="BN261" i="1"/>
  <c r="DG836" i="1"/>
  <c r="DG590" i="1"/>
  <c r="DG607" i="1"/>
  <c r="BN534" i="1"/>
  <c r="DG674" i="1"/>
  <c r="DG702" i="1"/>
  <c r="DG785" i="1" s="1"/>
  <c r="DG841" i="1" s="1"/>
  <c r="DG783" i="1"/>
  <c r="BC73" i="24" s="1"/>
  <c r="BC74" i="24" s="1"/>
  <c r="DG782" i="1"/>
  <c r="BM699" i="1"/>
  <c r="DG700" i="1"/>
  <c r="BL639" i="1"/>
  <c r="BL4" i="1" s="1"/>
  <c r="BL618" i="1"/>
  <c r="DG673" i="1"/>
  <c r="DG671" i="1"/>
  <c r="BM836" i="1"/>
  <c r="BM607" i="1"/>
  <c r="BM590" i="1"/>
  <c r="DG699" i="1" l="1"/>
  <c r="BN538" i="1"/>
  <c r="BN260" i="1"/>
  <c r="BM725" i="1"/>
  <c r="BM704" i="1"/>
  <c r="DG837" i="1"/>
  <c r="BM595" i="1"/>
  <c r="BM548" i="1"/>
  <c r="BM834" i="1"/>
  <c r="BM150" i="1"/>
  <c r="BM591" i="1"/>
  <c r="DG591" i="1" s="1"/>
  <c r="DG593" i="1" s="1"/>
  <c r="DG835" i="1" s="1"/>
  <c r="BM837" i="1"/>
  <c r="DG548" i="1"/>
  <c r="DG595" i="1"/>
  <c r="DG150" i="1"/>
  <c r="DG834" i="1"/>
  <c r="DG786" i="1" l="1"/>
  <c r="DG784" i="1"/>
  <c r="AH77" i="24"/>
  <c r="BC78" i="24"/>
  <c r="AH78" i="24"/>
  <c r="BM786" i="1"/>
  <c r="BM784" i="1"/>
  <c r="BM630" i="1"/>
  <c r="BM744" i="1"/>
  <c r="DG744" i="1" s="1"/>
  <c r="DG704" i="1"/>
  <c r="DG725" i="1"/>
  <c r="BC77" i="24"/>
  <c r="BM593" i="1"/>
  <c r="BM835" i="1" s="1"/>
  <c r="BN742" i="1"/>
  <c r="BO526" i="1"/>
  <c r="BN541" i="1"/>
  <c r="BN531" i="1"/>
  <c r="AI63" i="24"/>
  <c r="BN743" i="1"/>
  <c r="BO533" i="1"/>
  <c r="BN701" i="1"/>
  <c r="BN769" i="1" l="1"/>
  <c r="BN550" i="1"/>
  <c r="BN564" i="1" s="1"/>
  <c r="BN568" i="1" s="1"/>
  <c r="BN587" i="1" s="1"/>
  <c r="BN673" i="1"/>
  <c r="BN674" i="1"/>
  <c r="BN671" i="1"/>
  <c r="BN768" i="1"/>
  <c r="BN702" i="1"/>
  <c r="BN785" i="1" s="1"/>
  <c r="BN841" i="1" s="1"/>
  <c r="BN782" i="1"/>
  <c r="BN783" i="1"/>
  <c r="AI73" i="24" s="1"/>
  <c r="AI74" i="24" s="1"/>
  <c r="BN700" i="1"/>
  <c r="BO621" i="1"/>
  <c r="BO529" i="1"/>
  <c r="DH526" i="1"/>
  <c r="BO675" i="1"/>
  <c r="BM631" i="1"/>
  <c r="DG630" i="1"/>
  <c r="DG631" i="1" s="1"/>
  <c r="BN672" i="1" l="1"/>
  <c r="BM618" i="1"/>
  <c r="BM639" i="1"/>
  <c r="BM4" i="1" s="1"/>
  <c r="BN699" i="1"/>
  <c r="DG618" i="1"/>
  <c r="DG639" i="1"/>
  <c r="BN836" i="1"/>
  <c r="BN590" i="1"/>
  <c r="BN607" i="1"/>
  <c r="DH675" i="1"/>
  <c r="BO534" i="1"/>
  <c r="DH529" i="1"/>
  <c r="BO624" i="1"/>
  <c r="BO629" i="1" s="1"/>
  <c r="DH621" i="1"/>
  <c r="DH624" i="1" s="1"/>
  <c r="DH629" i="1" s="1"/>
  <c r="BO261" i="1"/>
  <c r="BN837" i="1" l="1"/>
  <c r="BN834" i="1"/>
  <c r="BN595" i="1"/>
  <c r="BN591" i="1"/>
  <c r="BN593" i="1" s="1"/>
  <c r="BN835" i="1" s="1"/>
  <c r="BN150" i="1"/>
  <c r="BN548" i="1"/>
  <c r="BN725" i="1"/>
  <c r="BN704" i="1"/>
  <c r="BO260" i="1"/>
  <c r="DH260" i="1" s="1"/>
  <c r="DH261" i="1"/>
  <c r="DH534" i="1"/>
  <c r="DH538" i="1" s="1"/>
  <c r="BO538" i="1"/>
  <c r="BN784" i="1" l="1"/>
  <c r="BN786" i="1"/>
  <c r="BN744" i="1"/>
  <c r="DH744" i="1" s="1"/>
  <c r="BN630" i="1"/>
  <c r="AI78" i="24"/>
  <c r="AI77" i="24"/>
  <c r="DH742" i="1"/>
  <c r="DH743" i="1"/>
  <c r="DH541" i="1"/>
  <c r="BD63" i="24"/>
  <c r="DH531" i="1"/>
  <c r="DI533" i="1"/>
  <c r="BO742" i="1"/>
  <c r="BO531" i="1"/>
  <c r="AJ63" i="24"/>
  <c r="BO743" i="1"/>
  <c r="BP526" i="1"/>
  <c r="BO541" i="1"/>
  <c r="BP533" i="1"/>
  <c r="BO701" i="1"/>
  <c r="BO550" i="1" l="1"/>
  <c r="BO564" i="1" s="1"/>
  <c r="BO568" i="1" s="1"/>
  <c r="BO587" i="1" s="1"/>
  <c r="BO671" i="1"/>
  <c r="BO674" i="1"/>
  <c r="BO673" i="1"/>
  <c r="BO702" i="1"/>
  <c r="BO785" i="1" s="1"/>
  <c r="BO841" i="1" s="1"/>
  <c r="BO700" i="1"/>
  <c r="BO783" i="1"/>
  <c r="AJ73" i="24" s="1"/>
  <c r="AJ74" i="24" s="1"/>
  <c r="BO782" i="1"/>
  <c r="DH701" i="1"/>
  <c r="BO768" i="1"/>
  <c r="DH769" i="1"/>
  <c r="BN631" i="1"/>
  <c r="DH768" i="1"/>
  <c r="BP621" i="1"/>
  <c r="BP529" i="1"/>
  <c r="BP675" i="1"/>
  <c r="BO769" i="1"/>
  <c r="DH550" i="1"/>
  <c r="DH564" i="1" s="1"/>
  <c r="DH568" i="1" s="1"/>
  <c r="DH587" i="1" s="1"/>
  <c r="BO699" i="1" l="1"/>
  <c r="DH700" i="1"/>
  <c r="DH702" i="1"/>
  <c r="DH785" i="1" s="1"/>
  <c r="DH841" i="1" s="1"/>
  <c r="DH782" i="1"/>
  <c r="DH783" i="1"/>
  <c r="BD73" i="24" s="1"/>
  <c r="BD74" i="24" s="1"/>
  <c r="DH673" i="1"/>
  <c r="DH674" i="1"/>
  <c r="DH836" i="1"/>
  <c r="DH590" i="1"/>
  <c r="DH607" i="1"/>
  <c r="DH671" i="1"/>
  <c r="BO607" i="1"/>
  <c r="BO836" i="1"/>
  <c r="BO590" i="1"/>
  <c r="BP624" i="1"/>
  <c r="BP629" i="1" s="1"/>
  <c r="BP261" i="1"/>
  <c r="BP534" i="1"/>
  <c r="BN639" i="1"/>
  <c r="BN4" i="1" s="1"/>
  <c r="BN618" i="1"/>
  <c r="BO672" i="1"/>
  <c r="BO591" i="1" l="1"/>
  <c r="DH591" i="1" s="1"/>
  <c r="DH593" i="1" s="1"/>
  <c r="DH835" i="1" s="1"/>
  <c r="BO595" i="1"/>
  <c r="BO548" i="1"/>
  <c r="BO150" i="1"/>
  <c r="BO834" i="1"/>
  <c r="DH699" i="1"/>
  <c r="DH672" i="1"/>
  <c r="BP538" i="1"/>
  <c r="BO837" i="1"/>
  <c r="BO725" i="1"/>
  <c r="BO704" i="1"/>
  <c r="BP260" i="1"/>
  <c r="DH837" i="1"/>
  <c r="DH548" i="1"/>
  <c r="DH595" i="1"/>
  <c r="DH834" i="1"/>
  <c r="DH150" i="1"/>
  <c r="BO593" i="1" l="1"/>
  <c r="BO835" i="1" s="1"/>
  <c r="AJ77" i="24"/>
  <c r="DH786" i="1"/>
  <c r="DH784" i="1"/>
  <c r="AJ78" i="24"/>
  <c r="BO786" i="1"/>
  <c r="BO784" i="1"/>
  <c r="BO630" i="1"/>
  <c r="BO744" i="1"/>
  <c r="BD77" i="24"/>
  <c r="BP743" i="1"/>
  <c r="BP742" i="1"/>
  <c r="AK63" i="24"/>
  <c r="BP531" i="1"/>
  <c r="BQ533" i="1"/>
  <c r="BQ526" i="1"/>
  <c r="BP541" i="1"/>
  <c r="BP701" i="1"/>
  <c r="DH704" i="1"/>
  <c r="BD78" i="24"/>
  <c r="DH725" i="1"/>
  <c r="BO631" i="1" l="1"/>
  <c r="DH630" i="1"/>
  <c r="DH631" i="1" s="1"/>
  <c r="BP550" i="1"/>
  <c r="BP564" i="1" s="1"/>
  <c r="BP568" i="1" s="1"/>
  <c r="BP587" i="1" s="1"/>
  <c r="BP671" i="1"/>
  <c r="BP674" i="1"/>
  <c r="BP673" i="1"/>
  <c r="BP768" i="1"/>
  <c r="BP769" i="1"/>
  <c r="BP702" i="1"/>
  <c r="BP785" i="1" s="1"/>
  <c r="BP841" i="1" s="1"/>
  <c r="BP783" i="1"/>
  <c r="AK73" i="24" s="1"/>
  <c r="AK74" i="24" s="1"/>
  <c r="BP782" i="1"/>
  <c r="BP700" i="1"/>
  <c r="BQ529" i="1"/>
  <c r="BQ621" i="1"/>
  <c r="DI526" i="1"/>
  <c r="BQ675" i="1"/>
  <c r="BQ534" i="1" l="1"/>
  <c r="DI529" i="1"/>
  <c r="BP699" i="1"/>
  <c r="BP607" i="1"/>
  <c r="BP836" i="1"/>
  <c r="BP590" i="1"/>
  <c r="DI675" i="1"/>
  <c r="BP672" i="1"/>
  <c r="DH639" i="1"/>
  <c r="DH618" i="1"/>
  <c r="BQ624" i="1"/>
  <c r="BQ629" i="1" s="1"/>
  <c r="DI621" i="1"/>
  <c r="DI624" i="1" s="1"/>
  <c r="DI629" i="1" s="1"/>
  <c r="BQ261" i="1"/>
  <c r="BO639" i="1"/>
  <c r="BO4" i="1" s="1"/>
  <c r="BO618" i="1"/>
  <c r="BP595" i="1" l="1"/>
  <c r="BP548" i="1"/>
  <c r="BP834" i="1"/>
  <c r="BP591" i="1"/>
  <c r="BP593" i="1" s="1"/>
  <c r="BP835" i="1" s="1"/>
  <c r="BP150" i="1"/>
  <c r="BQ260" i="1"/>
  <c r="DI260" i="1" s="1"/>
  <c r="DI261" i="1"/>
  <c r="BP837" i="1"/>
  <c r="BP725" i="1"/>
  <c r="BP704" i="1"/>
  <c r="DI534" i="1"/>
  <c r="DI538" i="1" s="1"/>
  <c r="BQ538" i="1"/>
  <c r="AK78" i="24" l="1"/>
  <c r="AK77" i="24"/>
  <c r="BQ742" i="1"/>
  <c r="AL63" i="24"/>
  <c r="BQ541" i="1"/>
  <c r="BQ531" i="1"/>
  <c r="BQ743" i="1"/>
  <c r="BQ701" i="1"/>
  <c r="DI742" i="1"/>
  <c r="DI531" i="1"/>
  <c r="DI743" i="1"/>
  <c r="BE63" i="24"/>
  <c r="DI541" i="1"/>
  <c r="BP784" i="1"/>
  <c r="BP786" i="1"/>
  <c r="BP744" i="1"/>
  <c r="DI744" i="1" s="1"/>
  <c r="BP630" i="1"/>
  <c r="BQ550" i="1" l="1"/>
  <c r="BQ564" i="1" s="1"/>
  <c r="BQ568" i="1" s="1"/>
  <c r="BQ587" i="1" s="1"/>
  <c r="BQ671" i="1"/>
  <c r="BQ673" i="1"/>
  <c r="BQ674" i="1"/>
  <c r="DI769" i="1"/>
  <c r="DI768" i="1"/>
  <c r="BQ769" i="1"/>
  <c r="BQ702" i="1"/>
  <c r="BQ785" i="1" s="1"/>
  <c r="BQ841" i="1" s="1"/>
  <c r="BQ700" i="1"/>
  <c r="BQ782" i="1"/>
  <c r="BQ783" i="1"/>
  <c r="AL73" i="24" s="1"/>
  <c r="AL74" i="24" s="1"/>
  <c r="DI701" i="1"/>
  <c r="BQ768" i="1"/>
  <c r="DI550" i="1"/>
  <c r="DI564" i="1" s="1"/>
  <c r="DI568" i="1" s="1"/>
  <c r="DI587" i="1" s="1"/>
  <c r="BP631" i="1"/>
  <c r="BQ672" i="1" l="1"/>
  <c r="DI672" i="1" s="1"/>
  <c r="BQ699" i="1"/>
  <c r="DI700" i="1"/>
  <c r="DI607" i="1"/>
  <c r="DI836" i="1"/>
  <c r="DI590" i="1"/>
  <c r="DI674" i="1"/>
  <c r="DI702" i="1"/>
  <c r="DI785" i="1" s="1"/>
  <c r="DI783" i="1"/>
  <c r="BE73" i="24" s="1"/>
  <c r="BE74" i="24" s="1"/>
  <c r="DI782" i="1"/>
  <c r="DI673" i="1"/>
  <c r="BP639" i="1"/>
  <c r="BP4" i="1" s="1"/>
  <c r="BP618" i="1"/>
  <c r="DI671" i="1"/>
  <c r="BQ836" i="1"/>
  <c r="BQ607" i="1"/>
  <c r="BQ590" i="1"/>
  <c r="DI834" i="1" l="1"/>
  <c r="DI150" i="1"/>
  <c r="DI548" i="1"/>
  <c r="DI595" i="1"/>
  <c r="BQ595" i="1"/>
  <c r="BQ591" i="1"/>
  <c r="DI591" i="1" s="1"/>
  <c r="DI593" i="1" s="1"/>
  <c r="DI835" i="1" s="1"/>
  <c r="BQ834" i="1"/>
  <c r="BQ548" i="1"/>
  <c r="BQ150" i="1"/>
  <c r="BQ837" i="1"/>
  <c r="BQ725" i="1"/>
  <c r="BQ704" i="1"/>
  <c r="K125" i="2"/>
  <c r="P70" i="7" s="1"/>
  <c r="DI841" i="1"/>
  <c r="DI837" i="1"/>
  <c r="DI699" i="1"/>
  <c r="BQ593" i="1" l="1"/>
  <c r="BQ835" i="1" s="1"/>
  <c r="BQ784" i="1"/>
  <c r="BQ786" i="1"/>
  <c r="BQ744" i="1"/>
  <c r="BQ630" i="1"/>
  <c r="DI644" i="1"/>
  <c r="DI645" i="1" s="1"/>
  <c r="DI651" i="1" s="1"/>
  <c r="DC644" i="1"/>
  <c r="G131" i="2" s="1"/>
  <c r="DI786" i="1"/>
  <c r="DA644" i="1"/>
  <c r="E131" i="2" s="1"/>
  <c r="CY644" i="1"/>
  <c r="C131" i="2" s="1"/>
  <c r="CZ644" i="1"/>
  <c r="D131" i="2" s="1"/>
  <c r="BU644" i="1"/>
  <c r="CJ644" i="1"/>
  <c r="CK644" i="1"/>
  <c r="CB644" i="1"/>
  <c r="CO644" i="1"/>
  <c r="CX644" i="1"/>
  <c r="DD644" i="1"/>
  <c r="CS644" i="1"/>
  <c r="BV644" i="1"/>
  <c r="CE644" i="1"/>
  <c r="DI784" i="1"/>
  <c r="CN644" i="1"/>
  <c r="BW644" i="1"/>
  <c r="CD644" i="1"/>
  <c r="CH644" i="1"/>
  <c r="BX644" i="1"/>
  <c r="DF644" i="1"/>
  <c r="CR644" i="1"/>
  <c r="CQ644" i="1"/>
  <c r="DH644" i="1"/>
  <c r="CC644" i="1"/>
  <c r="BZ644" i="1"/>
  <c r="CT644" i="1"/>
  <c r="CI644" i="1"/>
  <c r="CV644" i="1"/>
  <c r="CL644" i="1"/>
  <c r="BY644" i="1"/>
  <c r="CF644" i="1"/>
  <c r="CP644" i="1"/>
  <c r="CU644" i="1"/>
  <c r="CA644" i="1"/>
  <c r="CW644" i="1"/>
  <c r="CM644" i="1"/>
  <c r="CG644" i="1"/>
  <c r="BS644" i="1"/>
  <c r="BT644" i="1"/>
  <c r="DE644" i="1"/>
  <c r="DG644" i="1"/>
  <c r="DB644" i="1"/>
  <c r="F131" i="2" s="1"/>
  <c r="DI725" i="1"/>
  <c r="AL77" i="24"/>
  <c r="DI704" i="1"/>
  <c r="BE78" i="24"/>
  <c r="AL78" i="24"/>
  <c r="BE77" i="24"/>
  <c r="DI653" i="1" l="1"/>
  <c r="DI641" i="1" s="1"/>
  <c r="BQ631" i="1"/>
  <c r="DI630" i="1"/>
  <c r="DI631" i="1" s="1"/>
  <c r="O124" i="2"/>
  <c r="F124" i="2"/>
  <c r="J124" i="2" s="1"/>
  <c r="DH643" i="1" l="1"/>
  <c r="DH645" i="1" s="1"/>
  <c r="DH651" i="1" s="1"/>
  <c r="DI618" i="1"/>
  <c r="DI639" i="1"/>
  <c r="CB643" i="1"/>
  <c r="CB645" i="1" s="1"/>
  <c r="CB651" i="1" s="1"/>
  <c r="CR643" i="1"/>
  <c r="CR645" i="1" s="1"/>
  <c r="CR651" i="1" s="1"/>
  <c r="CD643" i="1"/>
  <c r="CD645" i="1" s="1"/>
  <c r="CD651" i="1" s="1"/>
  <c r="CY643" i="1"/>
  <c r="CU643" i="1"/>
  <c r="CU645" i="1" s="1"/>
  <c r="CU651" i="1" s="1"/>
  <c r="CP643" i="1"/>
  <c r="CP645" i="1" s="1"/>
  <c r="CP651" i="1" s="1"/>
  <c r="BT643" i="1"/>
  <c r="BT645" i="1" s="1"/>
  <c r="BT651" i="1" s="1"/>
  <c r="CI643" i="1"/>
  <c r="CI645" i="1" s="1"/>
  <c r="CI651" i="1" s="1"/>
  <c r="CK643" i="1"/>
  <c r="CK645" i="1" s="1"/>
  <c r="CK651" i="1" s="1"/>
  <c r="CF643" i="1"/>
  <c r="CF645" i="1" s="1"/>
  <c r="CF651" i="1" s="1"/>
  <c r="BX643" i="1"/>
  <c r="BX645" i="1" s="1"/>
  <c r="BX651" i="1" s="1"/>
  <c r="BS643" i="1"/>
  <c r="BS645" i="1" s="1"/>
  <c r="BS651" i="1" s="1"/>
  <c r="CM643" i="1"/>
  <c r="CM645" i="1" s="1"/>
  <c r="CM651" i="1" s="1"/>
  <c r="CO643" i="1"/>
  <c r="CO645" i="1" s="1"/>
  <c r="CO651" i="1" s="1"/>
  <c r="CN643" i="1"/>
  <c r="CN645" i="1" s="1"/>
  <c r="CN651" i="1" s="1"/>
  <c r="BU643" i="1"/>
  <c r="BU645" i="1" s="1"/>
  <c r="BU651" i="1" s="1"/>
  <c r="CH643" i="1"/>
  <c r="CH645" i="1" s="1"/>
  <c r="CH651" i="1" s="1"/>
  <c r="CS643" i="1"/>
  <c r="CS645" i="1" s="1"/>
  <c r="CS651" i="1" s="1"/>
  <c r="CQ643" i="1"/>
  <c r="CQ645" i="1" s="1"/>
  <c r="CQ651" i="1" s="1"/>
  <c r="BY643" i="1"/>
  <c r="BY645" i="1" s="1"/>
  <c r="BY651" i="1" s="1"/>
  <c r="CW643" i="1"/>
  <c r="CW645" i="1" s="1"/>
  <c r="CW651" i="1" s="1"/>
  <c r="BV643" i="1"/>
  <c r="BV645" i="1" s="1"/>
  <c r="BV651" i="1" s="1"/>
  <c r="CG643" i="1"/>
  <c r="CG645" i="1" s="1"/>
  <c r="CG651" i="1" s="1"/>
  <c r="CL643" i="1"/>
  <c r="CL645" i="1" s="1"/>
  <c r="CL651" i="1" s="1"/>
  <c r="CE643" i="1"/>
  <c r="CE645" i="1" s="1"/>
  <c r="CE651" i="1" s="1"/>
  <c r="CT643" i="1"/>
  <c r="CT645" i="1" s="1"/>
  <c r="CT651" i="1" s="1"/>
  <c r="CJ643" i="1"/>
  <c r="CJ645" i="1" s="1"/>
  <c r="CJ651" i="1" s="1"/>
  <c r="BZ643" i="1"/>
  <c r="BZ645" i="1" s="1"/>
  <c r="BZ651" i="1" s="1"/>
  <c r="CX643" i="1"/>
  <c r="CX645" i="1" s="1"/>
  <c r="CX651" i="1" s="1"/>
  <c r="CV643" i="1"/>
  <c r="CV645" i="1" s="1"/>
  <c r="CV651" i="1" s="1"/>
  <c r="CA643" i="1"/>
  <c r="CA645" i="1" s="1"/>
  <c r="CA651" i="1" s="1"/>
  <c r="CC643" i="1"/>
  <c r="CC645" i="1" s="1"/>
  <c r="CC651" i="1" s="1"/>
  <c r="CZ643" i="1"/>
  <c r="BW643" i="1"/>
  <c r="BW645" i="1" s="1"/>
  <c r="BW651" i="1" s="1"/>
  <c r="DA643" i="1"/>
  <c r="DB643" i="1"/>
  <c r="DC643" i="1"/>
  <c r="DE643" i="1"/>
  <c r="DE645" i="1" s="1"/>
  <c r="DE651" i="1" s="1"/>
  <c r="DF643" i="1"/>
  <c r="DF645" i="1" s="1"/>
  <c r="DF651" i="1" s="1"/>
  <c r="DD643" i="1"/>
  <c r="DD645" i="1" s="1"/>
  <c r="DD651" i="1" s="1"/>
  <c r="DG643" i="1"/>
  <c r="DG645" i="1" s="1"/>
  <c r="DG651" i="1" s="1"/>
  <c r="BQ618" i="1"/>
  <c r="BQ639" i="1"/>
  <c r="BQ4" i="1" s="1"/>
  <c r="DC645" i="1" l="1"/>
  <c r="DC651" i="1" s="1"/>
  <c r="DD655" i="1" s="1"/>
  <c r="DD4" i="1" s="1"/>
  <c r="G130" i="2"/>
  <c r="G132" i="2" s="1"/>
  <c r="CA653" i="1"/>
  <c r="CA641" i="1" s="1"/>
  <c r="CA655" i="1"/>
  <c r="CA4" i="1" s="1"/>
  <c r="CE653" i="1"/>
  <c r="CE641" i="1" s="1"/>
  <c r="CE655" i="1"/>
  <c r="CE4" i="1" s="1"/>
  <c r="CQ655" i="1"/>
  <c r="CQ4" i="1" s="1"/>
  <c r="CQ653" i="1"/>
  <c r="CQ641" i="1" s="1"/>
  <c r="CM655" i="1"/>
  <c r="CM4" i="1" s="1"/>
  <c r="CM653" i="1"/>
  <c r="CM641" i="1" s="1"/>
  <c r="BT653" i="1"/>
  <c r="BT641" i="1" s="1"/>
  <c r="BT655" i="1"/>
  <c r="CB655" i="1"/>
  <c r="CB4" i="1" s="1"/>
  <c r="CB653" i="1"/>
  <c r="CB641" i="1" s="1"/>
  <c r="CL655" i="1"/>
  <c r="CL4" i="1" s="1"/>
  <c r="CL653" i="1"/>
  <c r="CL641" i="1" s="1"/>
  <c r="CS655" i="1"/>
  <c r="CS4" i="1" s="1"/>
  <c r="CS653" i="1"/>
  <c r="CS641" i="1" s="1"/>
  <c r="BS653" i="1"/>
  <c r="BS641" i="1" s="1"/>
  <c r="BS655" i="1"/>
  <c r="CP655" i="1"/>
  <c r="CP4" i="1" s="1"/>
  <c r="CP653" i="1"/>
  <c r="CP641" i="1" s="1"/>
  <c r="CG653" i="1"/>
  <c r="CG641" i="1" s="1"/>
  <c r="CG655" i="1"/>
  <c r="CG4" i="1" s="1"/>
  <c r="BX653" i="1"/>
  <c r="BX641" i="1" s="1"/>
  <c r="BX655" i="1"/>
  <c r="BX4" i="1" s="1"/>
  <c r="CU653" i="1"/>
  <c r="CU641" i="1" s="1"/>
  <c r="CU655" i="1"/>
  <c r="CU4" i="1" s="1"/>
  <c r="DG653" i="1"/>
  <c r="DG641" i="1" s="1"/>
  <c r="DG655" i="1"/>
  <c r="DG4" i="1" s="1"/>
  <c r="BZ655" i="1"/>
  <c r="BZ4" i="1" s="1"/>
  <c r="BZ653" i="1"/>
  <c r="BZ641" i="1" s="1"/>
  <c r="CF655" i="1"/>
  <c r="CF4" i="1" s="1"/>
  <c r="CF653" i="1"/>
  <c r="CF641" i="1" s="1"/>
  <c r="C130" i="2"/>
  <c r="CY645" i="1"/>
  <c r="CY651" i="1" s="1"/>
  <c r="DB645" i="1"/>
  <c r="DB651" i="1" s="1"/>
  <c r="F130" i="2"/>
  <c r="F132" i="2" s="1"/>
  <c r="E130" i="2"/>
  <c r="E132" i="2" s="1"/>
  <c r="DA645" i="1"/>
  <c r="DA651" i="1" s="1"/>
  <c r="CX655" i="1"/>
  <c r="CX4" i="1" s="1"/>
  <c r="CX653" i="1"/>
  <c r="CX641" i="1" s="1"/>
  <c r="DD653" i="1"/>
  <c r="DD641" i="1" s="1"/>
  <c r="BV653" i="1"/>
  <c r="BV641" i="1" s="1"/>
  <c r="BV655" i="1"/>
  <c r="BV4" i="1" s="1"/>
  <c r="DF653" i="1"/>
  <c r="DF641" i="1" s="1"/>
  <c r="DF655" i="1"/>
  <c r="DF4" i="1" s="1"/>
  <c r="CZ645" i="1"/>
  <c r="CZ651" i="1" s="1"/>
  <c r="D130" i="2"/>
  <c r="D132" i="2" s="1"/>
  <c r="CJ655" i="1"/>
  <c r="CJ4" i="1" s="1"/>
  <c r="CJ653" i="1"/>
  <c r="CJ641" i="1" s="1"/>
  <c r="CW655" i="1"/>
  <c r="CW4" i="1" s="1"/>
  <c r="CW653" i="1"/>
  <c r="CW641" i="1" s="1"/>
  <c r="CN653" i="1"/>
  <c r="CN641" i="1" s="1"/>
  <c r="CN655" i="1"/>
  <c r="CN4" i="1" s="1"/>
  <c r="CK655" i="1"/>
  <c r="CK4" i="1" s="1"/>
  <c r="CK653" i="1"/>
  <c r="CK641" i="1" s="1"/>
  <c r="CD655" i="1"/>
  <c r="CD4" i="1" s="1"/>
  <c r="CD653" i="1"/>
  <c r="CD641" i="1" s="1"/>
  <c r="CV653" i="1"/>
  <c r="CV641" i="1" s="1"/>
  <c r="CV655" i="1"/>
  <c r="CV4" i="1" s="1"/>
  <c r="CH653" i="1"/>
  <c r="CH641" i="1" s="1"/>
  <c r="CH655" i="1"/>
  <c r="CH4" i="1" s="1"/>
  <c r="BW655" i="1"/>
  <c r="BW4" i="1" s="1"/>
  <c r="BW653" i="1"/>
  <c r="BW641" i="1" s="1"/>
  <c r="BU653" i="1"/>
  <c r="BU641" i="1" s="1"/>
  <c r="BU655" i="1"/>
  <c r="BU4" i="1" s="1"/>
  <c r="DE653" i="1"/>
  <c r="DE641" i="1" s="1"/>
  <c r="DE655" i="1"/>
  <c r="DE4" i="1" s="1"/>
  <c r="CC655" i="1"/>
  <c r="CC4" i="1" s="1"/>
  <c r="CC653" i="1"/>
  <c r="CC641" i="1" s="1"/>
  <c r="CT653" i="1"/>
  <c r="CT641" i="1" s="1"/>
  <c r="CT655" i="1"/>
  <c r="CT4" i="1" s="1"/>
  <c r="BY653" i="1"/>
  <c r="BY641" i="1" s="1"/>
  <c r="BY655" i="1"/>
  <c r="BY4" i="1" s="1"/>
  <c r="CO655" i="1"/>
  <c r="CO4" i="1" s="1"/>
  <c r="CO653" i="1"/>
  <c r="CO641" i="1" s="1"/>
  <c r="CI653" i="1"/>
  <c r="CI641" i="1" s="1"/>
  <c r="CI655" i="1"/>
  <c r="CI4" i="1" s="1"/>
  <c r="CR653" i="1"/>
  <c r="CR641" i="1" s="1"/>
  <c r="CR655" i="1"/>
  <c r="CR4" i="1" s="1"/>
  <c r="DH653" i="1"/>
  <c r="DH641" i="1" s="1"/>
  <c r="DH655" i="1"/>
  <c r="DH4" i="1" s="1"/>
  <c r="DI655" i="1"/>
  <c r="DI4" i="1" s="1"/>
  <c r="C132" i="2" l="1"/>
  <c r="DA653" i="1"/>
  <c r="DA641" i="1" s="1"/>
  <c r="DA655" i="1"/>
  <c r="DA4" i="1" s="1"/>
  <c r="E140" i="2"/>
  <c r="E141" i="2" s="1"/>
  <c r="E133" i="2"/>
  <c r="F140" i="2"/>
  <c r="F141" i="2" s="1"/>
  <c r="F133" i="2"/>
  <c r="CZ653" i="1"/>
  <c r="CZ641" i="1" s="1"/>
  <c r="CZ655" i="1"/>
  <c r="CZ4" i="1" s="1"/>
  <c r="DB653" i="1"/>
  <c r="DB641" i="1" s="1"/>
  <c r="DB655" i="1"/>
  <c r="DB4" i="1" s="1"/>
  <c r="G133" i="2"/>
  <c r="G140" i="2"/>
  <c r="G141" i="2" s="1"/>
  <c r="D140" i="2"/>
  <c r="D141" i="2" s="1"/>
  <c r="D133" i="2"/>
  <c r="CY653" i="1"/>
  <c r="CY641" i="1" s="1"/>
  <c r="CY655" i="1"/>
  <c r="CY4" i="1" s="1"/>
  <c r="DC653" i="1"/>
  <c r="DC641" i="1" s="1"/>
  <c r="DC655" i="1"/>
  <c r="DC4" i="1" s="1"/>
  <c r="C140" i="2" l="1"/>
  <c r="C133" i="2"/>
  <c r="Q78" i="7"/>
  <c r="C141" i="2" l="1"/>
  <c r="Q80" i="7"/>
  <c r="Q82" i="7" l="1"/>
  <c r="G145" i="2"/>
  <c r="C149" i="2" l="1"/>
  <c r="N71" i="7" l="1"/>
  <c r="K11" i="23"/>
  <c r="C153" i="2"/>
  <c r="K13" i="23" l="1"/>
  <c r="C154" i="2"/>
  <c r="N75" i="7"/>
  <c r="G9" i="2"/>
  <c r="J9" i="7" l="1"/>
  <c r="J10" i="7" l="1"/>
  <c r="C8" i="22"/>
  <c r="O6" i="23"/>
  <c r="M29" i="23" l="1"/>
  <c r="L27" i="23"/>
  <c r="M28" i="23"/>
  <c r="N30" i="23"/>
  <c r="M27" i="23"/>
  <c r="L26" i="23"/>
  <c r="O28" i="23"/>
  <c r="K28" i="23"/>
  <c r="O27" i="23"/>
  <c r="K29" i="23"/>
  <c r="M26" i="23"/>
  <c r="O30" i="23"/>
  <c r="K26" i="23"/>
  <c r="O26" i="23"/>
  <c r="M30" i="23"/>
  <c r="N27" i="23"/>
  <c r="L29" i="23"/>
  <c r="O7" i="23"/>
  <c r="L28" i="23"/>
  <c r="N29" i="23"/>
  <c r="N28" i="23"/>
  <c r="O29" i="23"/>
  <c r="N26" i="23"/>
  <c r="K30" i="23"/>
  <c r="L30" i="23"/>
  <c r="K27" i="23"/>
  <c r="J12" i="7"/>
  <c r="J1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J-Lo</author>
  </authors>
  <commentList>
    <comment ref="AB111" authorId="0" shapeId="0" xr:uid="{00000000-0006-0000-0900-000001000000}">
      <text>
        <r>
          <rPr>
            <b/>
            <sz val="8"/>
            <color indexed="81"/>
            <rFont val="Tahoma"/>
            <family val="2"/>
          </rPr>
          <t>J-Lo:</t>
        </r>
        <r>
          <rPr>
            <sz val="8"/>
            <color indexed="81"/>
            <rFont val="Tahoma"/>
            <family val="2"/>
          </rPr>
          <t xml:space="preserve">
only OEIs, not prefs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Lyons</author>
  </authors>
  <commentList>
    <comment ref="I124" authorId="0" shapeId="0" xr:uid="{00000000-0006-0000-0A00-000001000000}">
      <text>
        <r>
          <rPr>
            <b/>
            <sz val="9"/>
            <color indexed="81"/>
            <rFont val="Tahoma"/>
            <family val="2"/>
          </rPr>
          <t>Andrew Lyons:</t>
        </r>
        <r>
          <rPr>
            <sz val="9"/>
            <color indexed="81"/>
            <rFont val="Tahoma"/>
            <family val="2"/>
          </rPr>
          <t xml:space="preserve">
=VLOOKUP("CET1_Surplus",Model!$1:$1048576,MATCH("FY"&amp;RIGHT(Summary!C$121-1,2)&amp;"E",Model!$1:$1,0),FALSE) / VLOOKUP("OrdEqu_SOIEOP",Model!$1:$1048576,MATCH("FY"&amp;RIGHT(Summary!C$121-1,2)&amp;"E",Model!$1:$1,0),FALSE) * Summary!C120 +
VLOOKUP("CET1_Surplus",Model!$1:$1048576,MATCH("FY"&amp;RIGHT(Summary!D$121-1,2)&amp;"E",Model!$1:$1,0),FALSE) / VLOOKUP("OrdEqu_SOIEOP",Model!$1:$1048576,MATCH("FY"&amp;RIGHT(Summary!D$121-1,2)&amp;"E",Model!$1:$1,0),FALSE) * Summary!D120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Chu, Dylan [GIR]</author>
    <author>Lyons, Andrew [GIR]</author>
    <author>Authorized User</author>
    <author>Andrew Lyons</author>
    <author>Tsao, Desmond [GIR]</author>
    <author>Vaghani, Rushil [GIR]</author>
    <author>J-Lo</author>
    <author>Jien Goh</author>
    <author>Leong, YuChuan [GIR]</author>
    <author>Li, John Y [GIR]</author>
    <author>Dalziell, Ashley [GIR]</author>
  </authors>
  <commentList>
    <comment ref="K17" authorId="0" shapeId="0" xr:uid="{00000000-0006-0000-0B00-000001000000}">
      <text>
        <r>
          <rPr>
            <b/>
            <sz val="9"/>
            <color indexed="81"/>
            <rFont val="Tahoma"/>
            <family val="2"/>
          </rPr>
          <t>Chu, Dylan [GIR]:</t>
        </r>
        <r>
          <rPr>
            <sz val="9"/>
            <color indexed="81"/>
            <rFont val="Tahoma"/>
            <family val="2"/>
          </rPr>
          <t xml:space="preserve">
Source: IRESS.</t>
        </r>
      </text>
    </comment>
    <comment ref="BZ17" authorId="0" shapeId="0" xr:uid="{00000000-0006-0000-0B00-000002000000}">
      <text>
        <r>
          <rPr>
            <b/>
            <sz val="9"/>
            <color indexed="81"/>
            <rFont val="Tahoma"/>
            <family val="2"/>
          </rPr>
          <t>Chu, Dylan [GIR]:</t>
        </r>
        <r>
          <rPr>
            <sz val="9"/>
            <color indexed="81"/>
            <rFont val="Tahoma"/>
            <family val="2"/>
          </rPr>
          <t xml:space="preserve">
Source: IRESS, consistent with company disclosure of period end numbers</t>
        </r>
      </text>
    </comment>
    <comment ref="AR85" authorId="1" shapeId="0" xr:uid="{00000000-0006-0000-0B00-000004000000}">
      <text>
        <r>
          <rPr>
            <b/>
            <sz val="9"/>
            <color indexed="81"/>
            <rFont val="Tahoma"/>
            <family val="2"/>
          </rPr>
          <t>Lyons, Andrew [GIR]:</t>
        </r>
        <r>
          <rPr>
            <sz val="9"/>
            <color indexed="81"/>
            <rFont val="Tahoma"/>
            <family val="2"/>
          </rPr>
          <t xml:space="preserve">
Sale of AHL ("Aussie")</t>
        </r>
      </text>
    </comment>
    <comment ref="AA86" authorId="2" shapeId="0" xr:uid="{00000000-0006-0000-0B00-000005000000}">
      <text>
        <r>
          <rPr>
            <b/>
            <sz val="8"/>
            <color indexed="81"/>
            <rFont val="Tahoma"/>
            <family val="2"/>
          </rPr>
          <t>Authorized User:</t>
        </r>
        <r>
          <rPr>
            <sz val="8"/>
            <color indexed="81"/>
            <rFont val="Tahoma"/>
            <family val="2"/>
          </rPr>
          <t xml:space="preserve">
Higher 3Q13 performance</t>
        </r>
      </text>
    </comment>
    <comment ref="AJ88" authorId="3" shapeId="0" xr:uid="{00000000-0006-0000-0B00-000006000000}">
      <text>
        <r>
          <rPr>
            <b/>
            <sz val="9"/>
            <color indexed="81"/>
            <rFont val="Tahoma"/>
            <family val="2"/>
          </rPr>
          <t>Andrew Lyons:</t>
        </r>
        <r>
          <rPr>
            <sz val="9"/>
            <color indexed="81"/>
            <rFont val="Tahoma"/>
            <family val="2"/>
          </rPr>
          <t xml:space="preserve">
Now model insurance as a function of housing credit growth, given its largely GI</t>
        </r>
      </text>
    </comment>
    <comment ref="AH92" authorId="3" shapeId="0" xr:uid="{00000000-0006-0000-0B00-000007000000}">
      <text>
        <r>
          <rPr>
            <b/>
            <sz val="9"/>
            <color indexed="81"/>
            <rFont val="Tahoma"/>
            <family val="2"/>
          </rPr>
          <t>Andrew Lyons:</t>
        </r>
        <r>
          <rPr>
            <sz val="9"/>
            <color indexed="81"/>
            <rFont val="Tahoma"/>
            <family val="2"/>
          </rPr>
          <t xml:space="preserve">
Restatement at 1H18</t>
        </r>
      </text>
    </comment>
    <comment ref="AJ92" authorId="4" shapeId="0" xr:uid="{00000000-0006-0000-0B00-000008000000}">
      <text>
        <r>
          <rPr>
            <b/>
            <sz val="9"/>
            <color indexed="81"/>
            <rFont val="Tahoma"/>
            <family val="2"/>
          </rPr>
          <t>Tsao, Desmond [GIR]:</t>
        </r>
        <r>
          <rPr>
            <sz val="9"/>
            <color indexed="81"/>
            <rFont val="Tahoma"/>
            <family val="2"/>
          </rPr>
          <t xml:space="preserve">
Restated at 1H19</t>
        </r>
      </text>
    </comment>
    <comment ref="AL92" authorId="1" shapeId="0" xr:uid="{00000000-0006-0000-0B00-000009000000}">
      <text>
        <r>
          <rPr>
            <b/>
            <sz val="9"/>
            <color indexed="81"/>
            <rFont val="Tahoma"/>
            <family val="2"/>
          </rPr>
          <t>Lyons, Andrew [GIR]:</t>
        </r>
        <r>
          <rPr>
            <sz val="9"/>
            <color indexed="81"/>
            <rFont val="Tahoma"/>
            <family val="2"/>
          </rPr>
          <t xml:space="preserve">
Attempt to attribute removal of KKR per 2H20 results</t>
        </r>
      </text>
    </comment>
    <comment ref="AY92" authorId="5" shapeId="0" xr:uid="{7B5CB5CD-0385-4788-B4C4-F875F981AF8B}">
      <text>
        <r>
          <rPr>
            <b/>
            <sz val="9"/>
            <color indexed="81"/>
            <rFont val="Tahoma"/>
            <family val="2"/>
          </rPr>
          <t>Vaghani, Rushil [GIR]:</t>
        </r>
        <r>
          <rPr>
            <sz val="9"/>
            <color indexed="81"/>
            <rFont val="Tahoma"/>
            <family val="2"/>
          </rPr>
          <t xml:space="preserve">
Found in KPI of result pack pg 4</t>
        </r>
      </text>
    </comment>
    <comment ref="AC96" authorId="2" shapeId="0" xr:uid="{00000000-0006-0000-0B00-00000A000000}">
      <text>
        <r>
          <rPr>
            <b/>
            <sz val="8"/>
            <color indexed="81"/>
            <rFont val="Tahoma"/>
            <family val="2"/>
          </rPr>
          <t>Authorized User:</t>
        </r>
        <r>
          <rPr>
            <sz val="8"/>
            <color indexed="81"/>
            <rFont val="Tahoma"/>
            <family val="2"/>
          </rPr>
          <t xml:space="preserve">
Peak in capitalised expenses likely sometime in FY14, per WB from welcome back catch up meeting</t>
        </r>
      </text>
    </comment>
    <comment ref="AY103" authorId="5" shapeId="0" xr:uid="{B7F42ECA-138B-4380-8C82-971D3107372D}">
      <text>
        <r>
          <rPr>
            <b/>
            <sz val="9"/>
            <color indexed="81"/>
            <rFont val="Tahoma"/>
            <family val="2"/>
          </rPr>
          <t>Vaghani, Rushil [GIR]:</t>
        </r>
        <r>
          <rPr>
            <sz val="9"/>
            <color indexed="81"/>
            <rFont val="Tahoma"/>
            <family val="2"/>
          </rPr>
          <t xml:space="preserve">
same page as below
</t>
        </r>
      </text>
    </comment>
    <comment ref="AH104" authorId="4" shapeId="0" xr:uid="{00000000-0006-0000-0B00-00000B000000}">
      <text>
        <r>
          <rPr>
            <b/>
            <sz val="9"/>
            <color indexed="81"/>
            <rFont val="Tahoma"/>
            <family val="2"/>
          </rPr>
          <t>Tsao, Desmond [GIR]:</t>
        </r>
        <r>
          <rPr>
            <sz val="9"/>
            <color indexed="81"/>
            <rFont val="Tahoma"/>
            <family val="2"/>
          </rPr>
          <t xml:space="preserve">
</t>
        </r>
        <r>
          <rPr>
            <sz val="8"/>
            <color indexed="81"/>
            <rFont val="Tahoma"/>
            <family val="2"/>
          </rPr>
          <t>The half year ended 31 December 2016 includes a $393 million one-off expense for acceleration of amortisation on certain software assets.</t>
        </r>
      </text>
    </comment>
    <comment ref="AS104" authorId="1" shapeId="0" xr:uid="{00000000-0006-0000-0B00-00000C000000}">
      <text>
        <r>
          <rPr>
            <b/>
            <sz val="9"/>
            <color indexed="81"/>
            <rFont val="Tahoma"/>
            <family val="2"/>
          </rPr>
          <t>Lyons, Andrew [GIR]:</t>
        </r>
        <r>
          <rPr>
            <sz val="9"/>
            <color indexed="81"/>
            <rFont val="Tahoma"/>
            <family val="2"/>
          </rPr>
          <t xml:space="preserve">
Per 8/8/20 announcment: accelerated amortisation. FY23 amortisation now expected to be in line with FY22 (x-one-off)</t>
        </r>
      </text>
    </comment>
    <comment ref="H105" authorId="0" shapeId="0" xr:uid="{00000000-0006-0000-0B00-00000D000000}">
      <text>
        <r>
          <rPr>
            <b/>
            <sz val="9"/>
            <color indexed="81"/>
            <rFont val="Tahoma"/>
            <family val="2"/>
          </rPr>
          <t>Chu, Dylan [GIR]:</t>
        </r>
        <r>
          <rPr>
            <sz val="9"/>
            <color indexed="81"/>
            <rFont val="Tahoma"/>
            <family val="2"/>
          </rPr>
          <t xml:space="preserve">
The criteria for information technology software
capitalisation has been amended, such that only computer
software projects costing $10 million or more are being
capitalised and capitalisation is limited to those
investments that will deliver identifiable and sustainable
customer value and an increase in returns, in a significant
line of business.
This change has been applied retrospectively and
has resulted in the expensing of $219 million of previously
capitalised software at 1 July 2003.</t>
        </r>
      </text>
    </comment>
    <comment ref="C106" authorId="0" shapeId="0" xr:uid="{00000000-0006-0000-0B00-00000E000000}">
      <text>
        <r>
          <rPr>
            <b/>
            <sz val="9"/>
            <color indexed="81"/>
            <rFont val="Tahoma"/>
            <family val="2"/>
          </rPr>
          <t>Chu, Dylan [GIR]:</t>
        </r>
        <r>
          <rPr>
            <sz val="9"/>
            <color indexed="81"/>
            <rFont val="Tahoma"/>
            <family val="2"/>
          </rPr>
          <t xml:space="preserve">
2001 ann rep pdf p.57</t>
        </r>
      </text>
    </comment>
    <comment ref="E106" authorId="0" shapeId="0" xr:uid="{00000000-0006-0000-0B00-00000F000000}">
      <text>
        <r>
          <rPr>
            <b/>
            <sz val="9"/>
            <color indexed="81"/>
            <rFont val="Tahoma"/>
            <family val="2"/>
          </rPr>
          <t>Chu, Dylan [GIR]:</t>
        </r>
        <r>
          <rPr>
            <sz val="9"/>
            <color indexed="81"/>
            <rFont val="Tahoma"/>
            <family val="2"/>
          </rPr>
          <t xml:space="preserve">
2002 ann rep Note 1</t>
        </r>
      </text>
    </comment>
    <comment ref="G106" authorId="0" shapeId="0" xr:uid="{00000000-0006-0000-0B00-000010000000}">
      <text>
        <r>
          <rPr>
            <b/>
            <sz val="9"/>
            <color indexed="81"/>
            <rFont val="Tahoma"/>
            <family val="2"/>
          </rPr>
          <t>Chu, Dylan [GIR]:</t>
        </r>
        <r>
          <rPr>
            <sz val="9"/>
            <color indexed="81"/>
            <rFont val="Tahoma"/>
            <family val="2"/>
          </rPr>
          <t xml:space="preserve">
2003 ann rep Note 1</t>
        </r>
      </text>
    </comment>
    <comment ref="AY106" authorId="5" shapeId="0" xr:uid="{186F8E3A-C80C-4C94-B054-449DAB8D03C3}">
      <text>
        <r>
          <rPr>
            <b/>
            <sz val="9"/>
            <color indexed="81"/>
            <rFont val="Tahoma"/>
            <family val="2"/>
          </rPr>
          <t>Vaghani, Rushil [GIR]:</t>
        </r>
        <r>
          <rPr>
            <sz val="9"/>
            <color indexed="81"/>
            <rFont val="Tahoma"/>
            <family val="2"/>
          </rPr>
          <t xml:space="preserve">
Capitalised software table in result pack pg 17</t>
        </r>
      </text>
    </comment>
    <comment ref="BY106" authorId="0" shapeId="0" xr:uid="{00000000-0006-0000-0B00-000011000000}">
      <text>
        <r>
          <rPr>
            <b/>
            <sz val="9"/>
            <color indexed="81"/>
            <rFont val="Tahoma"/>
            <family val="2"/>
          </rPr>
          <t>Chu, Dylan [GIR]:</t>
        </r>
        <r>
          <rPr>
            <sz val="9"/>
            <color indexed="81"/>
            <rFont val="Tahoma"/>
            <family val="2"/>
          </rPr>
          <t xml:space="preserve">
Not disclosed</t>
        </r>
      </text>
    </comment>
    <comment ref="AY120" authorId="5" shapeId="0" xr:uid="{0DEFFF70-717D-43A6-A343-CC027E323C7E}">
      <text>
        <r>
          <rPr>
            <b/>
            <sz val="9"/>
            <color indexed="81"/>
            <rFont val="Tahoma"/>
            <family val="2"/>
          </rPr>
          <t>Vaghani, Rushil [GIR]:</t>
        </r>
        <r>
          <rPr>
            <sz val="9"/>
            <color indexed="81"/>
            <rFont val="Tahoma"/>
            <family val="2"/>
          </rPr>
          <t xml:space="preserve">
loan impairment provisions and cedit quality table result pack pg 24</t>
        </r>
      </text>
    </comment>
    <comment ref="AI123" authorId="4" shapeId="0" xr:uid="{00000000-0006-0000-0B00-000012000000}">
      <text>
        <r>
          <rPr>
            <b/>
            <sz val="9"/>
            <color indexed="81"/>
            <rFont val="Tahoma"/>
            <family val="2"/>
          </rPr>
          <t>Tsao, Desmond [GIR]:</t>
        </r>
        <r>
          <rPr>
            <sz val="9"/>
            <color indexed="81"/>
            <rFont val="Tahoma"/>
            <family val="2"/>
          </rPr>
          <t xml:space="preserve">
PILLAR 3</t>
        </r>
      </text>
    </comment>
    <comment ref="AN123" authorId="4" shapeId="0" xr:uid="{00000000-0006-0000-0B00-000013000000}">
      <text>
        <r>
          <rPr>
            <b/>
            <sz val="9"/>
            <color indexed="81"/>
            <rFont val="Tahoma"/>
            <family val="2"/>
          </rPr>
          <t>Tsao, Desmond [GIR]:</t>
        </r>
        <r>
          <rPr>
            <sz val="9"/>
            <color indexed="81"/>
            <rFont val="Tahoma"/>
            <family val="2"/>
          </rPr>
          <t xml:space="preserve">
Effective 31 December 2019, the Group’s GRCL methodology results in an amount lower than the provision recognised for accounting purposes, resulting in no
additional GRCL requirement.</t>
        </r>
      </text>
    </comment>
    <comment ref="AY124" authorId="5" shapeId="0" xr:uid="{9E2F87B9-3731-400D-AE67-41B1B524D4E2}">
      <text>
        <r>
          <rPr>
            <b/>
            <sz val="9"/>
            <color indexed="81"/>
            <rFont val="Tahoma"/>
            <family val="2"/>
          </rPr>
          <t>Vaghani, Rushil [GIR]:</t>
        </r>
        <r>
          <rPr>
            <sz val="9"/>
            <color indexed="81"/>
            <rFont val="Tahoma"/>
            <family val="2"/>
          </rPr>
          <t xml:space="preserve">
11,002 is gross non-performing exposures found inc redit quality result pack pg 25</t>
        </r>
      </text>
    </comment>
    <comment ref="L125" authorId="0" shapeId="0" xr:uid="{00000000-0006-0000-0B00-000014000000}">
      <text>
        <r>
          <rPr>
            <b/>
            <sz val="9"/>
            <color indexed="81"/>
            <rFont val="Tahoma"/>
            <family val="2"/>
          </rPr>
          <t>Chu, Dylan [GIR]:</t>
        </r>
        <r>
          <rPr>
            <sz val="9"/>
            <color indexed="81"/>
            <rFont val="Tahoma"/>
            <family val="2"/>
          </rPr>
          <t xml:space="preserve">
Only consumer segment</t>
        </r>
      </text>
    </comment>
    <comment ref="AI125" authorId="4" shapeId="0" xr:uid="{00000000-0006-0000-0B00-000015000000}">
      <text>
        <r>
          <rPr>
            <b/>
            <sz val="9"/>
            <color indexed="81"/>
            <rFont val="Tahoma"/>
            <family val="2"/>
          </rPr>
          <t>Tsao, Desmond [GIR]:</t>
        </r>
        <r>
          <rPr>
            <sz val="9"/>
            <color indexed="81"/>
            <rFont val="Tahoma"/>
            <family val="2"/>
          </rPr>
          <t xml:space="preserve">
pillar 3</t>
        </r>
      </text>
    </comment>
    <comment ref="AS129" authorId="1" shapeId="0" xr:uid="{00000000-0006-0000-0B00-000016000000}">
      <text>
        <r>
          <rPr>
            <b/>
            <sz val="9"/>
            <color indexed="81"/>
            <rFont val="Tahoma"/>
            <family val="2"/>
          </rPr>
          <t>Lyons, Andrew [GIR]:</t>
        </r>
        <r>
          <rPr>
            <sz val="9"/>
            <color indexed="81"/>
            <rFont val="Tahoma"/>
            <family val="2"/>
          </rPr>
          <t xml:space="preserve">
Have this going higher as we have minoirty interest contribution falling</t>
        </r>
      </text>
    </comment>
    <comment ref="AT129" authorId="1" shapeId="0" xr:uid="{00000000-0006-0000-0B00-000017000000}">
      <text>
        <r>
          <rPr>
            <b/>
            <sz val="9"/>
            <color indexed="81"/>
            <rFont val="Tahoma"/>
            <family val="2"/>
          </rPr>
          <t>Lyons, Andrew [GIR]:</t>
        </r>
        <r>
          <rPr>
            <sz val="9"/>
            <color indexed="81"/>
            <rFont val="Tahoma"/>
            <family val="2"/>
          </rPr>
          <t xml:space="preserve">
Have this going higher as we have minoirty interest contribution falling</t>
        </r>
      </text>
    </comment>
    <comment ref="AV129" authorId="1" shapeId="0" xr:uid="{17177EC0-6313-45E6-9025-C5D354335F64}">
      <text>
        <r>
          <rPr>
            <b/>
            <sz val="9"/>
            <color indexed="81"/>
            <rFont val="Tahoma"/>
            <family val="2"/>
          </rPr>
          <t>Lyons, Andrew [GIR]:</t>
        </r>
        <r>
          <rPr>
            <sz val="9"/>
            <color indexed="81"/>
            <rFont val="Tahoma"/>
            <family val="2"/>
          </rPr>
          <t xml:space="preserve">
OBU finished on 1-Jul and CFO suggested rate will move "above 30%"</t>
        </r>
      </text>
    </comment>
    <comment ref="AR131" authorId="1" shapeId="0" xr:uid="{00000000-0006-0000-0B00-000018000000}">
      <text>
        <r>
          <rPr>
            <b/>
            <sz val="9"/>
            <color indexed="81"/>
            <rFont val="Tahoma"/>
            <family val="2"/>
          </rPr>
          <t>Lyons, Andrew [GIR]:</t>
        </r>
        <r>
          <rPr>
            <sz val="9"/>
            <color indexed="81"/>
            <rFont val="Tahoma"/>
            <family val="2"/>
          </rPr>
          <t xml:space="preserve">
Impact of off-market buyback</t>
        </r>
      </text>
    </comment>
    <comment ref="AY137" authorId="5" shapeId="0" xr:uid="{BB2957C8-73BD-4A94-AC9F-3840C68144D1}">
      <text>
        <r>
          <rPr>
            <b/>
            <sz val="9"/>
            <color indexed="81"/>
            <rFont val="Tahoma"/>
            <family val="2"/>
          </rPr>
          <t>Vaghani, Rushil [GIR]:</t>
        </r>
        <r>
          <rPr>
            <sz val="9"/>
            <color indexed="81"/>
            <rFont val="Tahoma"/>
            <family val="2"/>
          </rPr>
          <t xml:space="preserve">
share capital appendix result pack page 98</t>
        </r>
      </text>
    </comment>
    <comment ref="AU146" authorId="1" shapeId="0" xr:uid="{400A99FF-8789-4681-90A2-616860250A8B}">
      <text>
        <r>
          <rPr>
            <b/>
            <sz val="9"/>
            <color indexed="81"/>
            <rFont val="Tahoma"/>
            <family val="2"/>
          </rPr>
          <t>Lyons, Andrew [GIR]:</t>
        </r>
        <r>
          <rPr>
            <sz val="9"/>
            <color indexed="81"/>
            <rFont val="Tahoma"/>
            <family val="2"/>
          </rPr>
          <t xml:space="preserve">
New capital framework</t>
        </r>
      </text>
    </comment>
    <comment ref="AT147" authorId="1" shapeId="0" xr:uid="{00000000-0006-0000-0B00-000019000000}">
      <text>
        <r>
          <rPr>
            <b/>
            <sz val="9"/>
            <color indexed="81"/>
            <rFont val="Tahoma"/>
            <family val="2"/>
          </rPr>
          <t>Lyons, Andrew [GIR]:</t>
        </r>
        <r>
          <rPr>
            <sz val="9"/>
            <color indexed="81"/>
            <rFont val="Tahoma"/>
            <family val="2"/>
          </rPr>
          <t xml:space="preserve">
Amounts to about A$1 bn per half, consistent with Slide 31, FY22 result</t>
        </r>
      </text>
    </comment>
    <comment ref="X157" authorId="2" shapeId="0" xr:uid="{00000000-0006-0000-0B00-00001A000000}">
      <text>
        <r>
          <rPr>
            <b/>
            <sz val="8"/>
            <color indexed="81"/>
            <rFont val="Tahoma"/>
            <family val="2"/>
          </rPr>
          <t>Authorized User:</t>
        </r>
        <r>
          <rPr>
            <sz val="8"/>
            <color indexed="81"/>
            <rFont val="Tahoma"/>
            <family val="2"/>
          </rPr>
          <t xml:space="preserve">
Restatement</t>
        </r>
      </text>
    </comment>
    <comment ref="G158" authorId="0" shapeId="0" xr:uid="{00000000-0006-0000-0B00-00001B000000}">
      <text>
        <r>
          <rPr>
            <b/>
            <sz val="9"/>
            <color indexed="81"/>
            <rFont val="Tahoma"/>
            <family val="2"/>
          </rPr>
          <t>Chu, Dylan [GIR]:</t>
        </r>
        <r>
          <rPr>
            <sz val="9"/>
            <color indexed="81"/>
            <rFont val="Tahoma"/>
            <family val="2"/>
          </rPr>
          <t xml:space="preserve">
Disclosure of interest earning lending assets discontinued; here we assume that SME stayed as a fixed proportion of commercial lending.</t>
        </r>
      </text>
    </comment>
    <comment ref="Q158" authorId="6" shapeId="0" xr:uid="{00000000-0006-0000-0B00-00001C000000}">
      <text>
        <r>
          <rPr>
            <b/>
            <sz val="8"/>
            <color indexed="81"/>
            <rFont val="Tahoma"/>
            <family val="2"/>
          </rPr>
          <t>J-Lo:</t>
        </r>
        <r>
          <rPr>
            <sz val="8"/>
            <color indexed="81"/>
            <rFont val="Tahoma"/>
            <family val="2"/>
          </rPr>
          <t xml:space="preserve">
divisional disclosure changed from Inst &amp; BB to segregated divs</t>
        </r>
      </text>
    </comment>
    <comment ref="R158" authorId="6" shapeId="0" xr:uid="{00000000-0006-0000-0B00-00001D000000}">
      <text>
        <r>
          <rPr>
            <b/>
            <sz val="8"/>
            <color indexed="81"/>
            <rFont val="Tahoma"/>
            <family val="2"/>
          </rPr>
          <t>J-Lo:</t>
        </r>
        <r>
          <rPr>
            <sz val="8"/>
            <color indexed="81"/>
            <rFont val="Tahoma"/>
            <family val="2"/>
          </rPr>
          <t xml:space="preserve">
Bankwest acquisition this period</t>
        </r>
      </text>
    </comment>
    <comment ref="X158" authorId="2" shapeId="0" xr:uid="{00000000-0006-0000-0B00-00001E000000}">
      <text>
        <r>
          <rPr>
            <b/>
            <sz val="8"/>
            <color indexed="81"/>
            <rFont val="Tahoma"/>
            <family val="2"/>
          </rPr>
          <t>Authorized User:</t>
        </r>
        <r>
          <rPr>
            <sz val="8"/>
            <color indexed="81"/>
            <rFont val="Tahoma"/>
            <family val="2"/>
          </rPr>
          <t xml:space="preserve">
Restatement</t>
        </r>
      </text>
    </comment>
    <comment ref="Z158" authorId="2" shapeId="0" xr:uid="{00000000-0006-0000-0B00-00001F000000}">
      <text>
        <r>
          <rPr>
            <b/>
            <sz val="8"/>
            <color indexed="81"/>
            <rFont val="Tahoma"/>
            <family val="2"/>
          </rPr>
          <t>Authorized User:</t>
        </r>
        <r>
          <rPr>
            <sz val="8"/>
            <color indexed="81"/>
            <rFont val="Tahoma"/>
            <family val="2"/>
          </rPr>
          <t xml:space="preserve">
Mel Kirk suggests 85%-90% of acceptances sit within BPB</t>
        </r>
      </text>
    </comment>
    <comment ref="AB158" authorId="7" shapeId="0" xr:uid="{00000000-0006-0000-0B00-000020000000}">
      <text>
        <r>
          <rPr>
            <b/>
            <sz val="9"/>
            <color indexed="81"/>
            <rFont val="Tahoma"/>
            <family val="2"/>
          </rPr>
          <t>Jien Goh:</t>
        </r>
        <r>
          <rPr>
            <sz val="9"/>
            <color indexed="81"/>
            <rFont val="Tahoma"/>
            <family val="2"/>
          </rPr>
          <t xml:space="preserve">
restated at 1H15</t>
        </r>
      </text>
    </comment>
    <comment ref="AC158" authorId="7" shapeId="0" xr:uid="{00000000-0006-0000-0B00-000021000000}">
      <text>
        <r>
          <rPr>
            <b/>
            <sz val="9"/>
            <color indexed="81"/>
            <rFont val="Tahoma"/>
            <family val="2"/>
          </rPr>
          <t>Jien Goh:</t>
        </r>
        <r>
          <rPr>
            <sz val="9"/>
            <color indexed="81"/>
            <rFont val="Tahoma"/>
            <family val="2"/>
          </rPr>
          <t xml:space="preserve">
restated at 1H15</t>
        </r>
      </text>
    </comment>
    <comment ref="AD158" authorId="8" shapeId="0" xr:uid="{00000000-0006-0000-0B00-000022000000}">
      <text>
        <r>
          <rPr>
            <b/>
            <sz val="9"/>
            <color indexed="81"/>
            <rFont val="Tahoma"/>
            <family val="2"/>
          </rPr>
          <t>Leong, YuChuan [GIR]:</t>
        </r>
        <r>
          <rPr>
            <sz val="9"/>
            <color indexed="81"/>
            <rFont val="Tahoma"/>
            <family val="2"/>
          </rPr>
          <t xml:space="preserve">
BPB business loans restated at 1H16, p40
Bankwest other interest earning lending assets restated at 1H16, p52</t>
        </r>
      </text>
    </comment>
    <comment ref="AE158" authorId="8" shapeId="0" xr:uid="{00000000-0006-0000-0B00-000023000000}">
      <text>
        <r>
          <rPr>
            <b/>
            <sz val="9"/>
            <color indexed="81"/>
            <rFont val="Tahoma"/>
            <family val="2"/>
          </rPr>
          <t>Leong, YuChuan [GIR]:</t>
        </r>
        <r>
          <rPr>
            <sz val="9"/>
            <color indexed="81"/>
            <rFont val="Tahoma"/>
            <family val="2"/>
          </rPr>
          <t xml:space="preserve">
BPB business loans restated at 1H16, p40
Bankwest other interest earning lending assets restated at 1H16, p52</t>
        </r>
      </text>
    </comment>
    <comment ref="AJ158" authorId="3" shapeId="0" xr:uid="{00000000-0006-0000-0B00-000024000000}">
      <text>
        <r>
          <rPr>
            <b/>
            <sz val="9"/>
            <color indexed="81"/>
            <rFont val="Tahoma"/>
            <family val="2"/>
          </rPr>
          <t>Andrew Lyons:</t>
        </r>
        <r>
          <rPr>
            <sz val="9"/>
            <color indexed="81"/>
            <rFont val="Tahoma"/>
            <family val="2"/>
          </rPr>
          <t xml:space="preserve">
Restated at 1H19 result</t>
        </r>
      </text>
    </comment>
    <comment ref="AL158" authorId="1" shapeId="0" xr:uid="{00000000-0006-0000-0B00-000025000000}">
      <text>
        <r>
          <rPr>
            <b/>
            <sz val="9"/>
            <color indexed="81"/>
            <rFont val="Tahoma"/>
            <family val="2"/>
          </rPr>
          <t>Lyons, Andrew [GIR]:</t>
        </r>
        <r>
          <rPr>
            <sz val="9"/>
            <color indexed="81"/>
            <rFont val="Tahoma"/>
            <family val="2"/>
          </rPr>
          <t xml:space="preserve">
Restated at 1H20</t>
        </r>
      </text>
    </comment>
    <comment ref="BZ158" authorId="0" shapeId="0" xr:uid="{00000000-0006-0000-0B00-000026000000}">
      <text>
        <r>
          <rPr>
            <b/>
            <sz val="9"/>
            <color indexed="81"/>
            <rFont val="Tahoma"/>
            <family val="2"/>
          </rPr>
          <t>Chu, Dylan [GIR]:</t>
        </r>
        <r>
          <rPr>
            <sz val="9"/>
            <color indexed="81"/>
            <rFont val="Tahoma"/>
            <family val="2"/>
          </rPr>
          <t xml:space="preserve">
We assume that SME is a fixed portion of commercial loans</t>
        </r>
      </text>
    </comment>
    <comment ref="C160" authorId="0" shapeId="0" xr:uid="{00000000-0006-0000-0B00-000027000000}">
      <text>
        <r>
          <rPr>
            <b/>
            <sz val="9"/>
            <color indexed="81"/>
            <rFont val="Tahoma"/>
            <family val="2"/>
          </rPr>
          <t>Chu, Dylan [GIR]:</t>
        </r>
        <r>
          <rPr>
            <sz val="9"/>
            <color indexed="81"/>
            <rFont val="Tahoma"/>
            <family val="2"/>
          </rPr>
          <t xml:space="preserve">
Ann rep 2002, gross credit risk by industry</t>
        </r>
      </text>
    </comment>
    <comment ref="AD160" authorId="8" shapeId="0" xr:uid="{00000000-0006-0000-0B00-000028000000}">
      <text>
        <r>
          <rPr>
            <b/>
            <sz val="9"/>
            <color indexed="81"/>
            <rFont val="Tahoma"/>
            <family val="2"/>
          </rPr>
          <t>Leong, YuChuan [GIR]:</t>
        </r>
        <r>
          <rPr>
            <sz val="9"/>
            <color indexed="81"/>
            <rFont val="Tahoma"/>
            <family val="2"/>
          </rPr>
          <t xml:space="preserve">
Retail Banking consumer finance restated at 1H16 p38
BPB consumer finance &amp; margin loans restated at 1H16, p40</t>
        </r>
      </text>
    </comment>
    <comment ref="AE160" authorId="8" shapeId="0" xr:uid="{00000000-0006-0000-0B00-000029000000}">
      <text>
        <r>
          <rPr>
            <b/>
            <sz val="9"/>
            <color indexed="81"/>
            <rFont val="Tahoma"/>
            <family val="2"/>
          </rPr>
          <t>Leong, YuChuan [GIR]:</t>
        </r>
        <r>
          <rPr>
            <sz val="9"/>
            <color indexed="81"/>
            <rFont val="Tahoma"/>
            <family val="2"/>
          </rPr>
          <t xml:space="preserve">
Retail Banking consumer finance restated at 1H16 p38
BPB consumer finance restated at 1H16, p40</t>
        </r>
      </text>
    </comment>
    <comment ref="BZ160" authorId="8" shapeId="0" xr:uid="{00000000-0006-0000-0B00-00002A000000}">
      <text>
        <r>
          <rPr>
            <b/>
            <sz val="9"/>
            <color indexed="81"/>
            <rFont val="Tahoma"/>
            <family val="2"/>
          </rPr>
          <t>Leong, YuChuan [GIR]:</t>
        </r>
        <r>
          <rPr>
            <sz val="9"/>
            <color indexed="81"/>
            <rFont val="Tahoma"/>
            <family val="2"/>
          </rPr>
          <t xml:space="preserve">
2H00 result p92</t>
        </r>
      </text>
    </comment>
    <comment ref="AM161" authorId="4" shapeId="0" xr:uid="{00000000-0006-0000-0B00-00002B000000}">
      <text>
        <r>
          <rPr>
            <b/>
            <sz val="9"/>
            <color indexed="81"/>
            <rFont val="Tahoma"/>
            <family val="2"/>
          </rPr>
          <t>Tsao, Desmond [GIR]:</t>
        </r>
        <r>
          <rPr>
            <sz val="9"/>
            <color indexed="81"/>
            <rFont val="Tahoma"/>
            <family val="2"/>
          </rPr>
          <t xml:space="preserve">
restated in 1H20</t>
        </r>
      </text>
    </comment>
    <comment ref="T167" authorId="2" shapeId="0" xr:uid="{00000000-0006-0000-0B00-00002C000000}">
      <text>
        <r>
          <rPr>
            <b/>
            <sz val="8"/>
            <color indexed="81"/>
            <rFont val="Tahoma"/>
            <family val="2"/>
          </rPr>
          <t>Authorized User:</t>
        </r>
        <r>
          <rPr>
            <sz val="8"/>
            <color indexed="81"/>
            <rFont val="Tahoma"/>
            <family val="2"/>
          </rPr>
          <t xml:space="preserve">
Started splitting out other overseas</t>
        </r>
      </text>
    </comment>
    <comment ref="AN179" authorId="4" shapeId="0" xr:uid="{00000000-0006-0000-0B00-00002D000000}">
      <text>
        <r>
          <rPr>
            <b/>
            <sz val="9"/>
            <color indexed="81"/>
            <rFont val="Tahoma"/>
            <family val="2"/>
          </rPr>
          <t>Tsao, Desmond [GIR]:</t>
        </r>
        <r>
          <rPr>
            <sz val="9"/>
            <color indexed="81"/>
            <rFont val="Tahoma"/>
            <family val="2"/>
          </rPr>
          <t xml:space="preserve">
as at 1H20, now included in CDs</t>
        </r>
      </text>
    </comment>
    <comment ref="BZ180" authorId="0" shapeId="0" xr:uid="{00000000-0006-0000-0B00-00002E000000}">
      <text>
        <r>
          <rPr>
            <b/>
            <sz val="9"/>
            <color indexed="81"/>
            <rFont val="Tahoma"/>
            <family val="2"/>
          </rPr>
          <t>Chu, Dylan [GIR]:</t>
        </r>
        <r>
          <rPr>
            <sz val="9"/>
            <color indexed="81"/>
            <rFont val="Tahoma"/>
            <family val="2"/>
          </rPr>
          <t xml:space="preserve">
Did not find disclosure on "securitisation"</t>
        </r>
      </text>
    </comment>
    <comment ref="AD184" authorId="8" shapeId="0" xr:uid="{00000000-0006-0000-0B00-00002F000000}">
      <text>
        <r>
          <rPr>
            <b/>
            <sz val="9"/>
            <color indexed="81"/>
            <rFont val="Tahoma"/>
            <family val="2"/>
          </rPr>
          <t>Leong, YuChuan [GIR]:</t>
        </r>
        <r>
          <rPr>
            <sz val="9"/>
            <color indexed="81"/>
            <rFont val="Tahoma"/>
            <family val="2"/>
          </rPr>
          <t xml:space="preserve">
Restated at 1H16 p73</t>
        </r>
      </text>
    </comment>
    <comment ref="AE184" authorId="8" shapeId="0" xr:uid="{00000000-0006-0000-0B00-000030000000}">
      <text>
        <r>
          <rPr>
            <b/>
            <sz val="9"/>
            <color indexed="81"/>
            <rFont val="Tahoma"/>
            <family val="2"/>
          </rPr>
          <t>Leong, YuChuan [GIR]:</t>
        </r>
        <r>
          <rPr>
            <sz val="9"/>
            <color indexed="81"/>
            <rFont val="Tahoma"/>
            <family val="2"/>
          </rPr>
          <t xml:space="preserve">
Restated at 1H16 p73</t>
        </r>
      </text>
    </comment>
    <comment ref="BV187" authorId="0" shapeId="0" xr:uid="{00000000-0006-0000-0B00-000031000000}">
      <text>
        <r>
          <rPr>
            <b/>
            <sz val="9"/>
            <color indexed="81"/>
            <rFont val="Tahoma"/>
            <family val="2"/>
          </rPr>
          <t>Chu, Dylan [GIR]:</t>
        </r>
        <r>
          <rPr>
            <sz val="9"/>
            <color indexed="81"/>
            <rFont val="Tahoma"/>
            <family val="2"/>
          </rPr>
          <t xml:space="preserve">
CD disclosure was available in FY97 but not in FY96 - this could be a reclassification given the difference between FY96 total AU deposit in FY96 and FY97 disclosure is close to the amount of CD disclosed in FY96.</t>
        </r>
      </text>
    </comment>
    <comment ref="T192" authorId="2" shapeId="0" xr:uid="{00000000-0006-0000-0B00-000032000000}">
      <text>
        <r>
          <rPr>
            <b/>
            <sz val="8"/>
            <color indexed="81"/>
            <rFont val="Tahoma"/>
            <family val="2"/>
          </rPr>
          <t>Authorized User:</t>
        </r>
        <r>
          <rPr>
            <sz val="8"/>
            <color indexed="81"/>
            <rFont val="Tahoma"/>
            <family val="2"/>
          </rPr>
          <t xml:space="preserve">
Started splitting out other overseas</t>
        </r>
      </text>
    </comment>
    <comment ref="N208" authorId="6" shapeId="0" xr:uid="{00000000-0006-0000-0B00-000033000000}">
      <text>
        <r>
          <rPr>
            <b/>
            <sz val="8"/>
            <color indexed="81"/>
            <rFont val="Tahoma"/>
            <family val="2"/>
          </rPr>
          <t>J-Lo:</t>
        </r>
        <r>
          <rPr>
            <sz val="8"/>
            <color indexed="81"/>
            <rFont val="Tahoma"/>
            <family val="2"/>
          </rPr>
          <t xml:space="preserve">
moved to insurance policy liabilities (rather than insurance FUA) given disclosure</t>
        </r>
      </text>
    </comment>
    <comment ref="BZ209" authorId="0" shapeId="0" xr:uid="{00000000-0006-0000-0B00-000034000000}">
      <text>
        <r>
          <rPr>
            <b/>
            <sz val="9"/>
            <color indexed="81"/>
            <rFont val="Tahoma"/>
            <family val="2"/>
          </rPr>
          <t>Chu, Dylan [GIR]:</t>
        </r>
        <r>
          <rPr>
            <sz val="9"/>
            <color indexed="81"/>
            <rFont val="Tahoma"/>
            <family val="2"/>
          </rPr>
          <t xml:space="preserve">
Life insurance liability was zero</t>
        </r>
      </text>
    </comment>
    <comment ref="Y210" authorId="3" shapeId="0" xr:uid="{00000000-0006-0000-0B00-000035000000}">
      <text>
        <r>
          <rPr>
            <b/>
            <sz val="9"/>
            <color indexed="81"/>
            <rFont val="Tahoma"/>
            <family val="2"/>
          </rPr>
          <t>Andrew Lyons:</t>
        </r>
        <r>
          <rPr>
            <sz val="9"/>
            <color indexed="81"/>
            <rFont val="Tahoma"/>
            <family val="2"/>
          </rPr>
          <t xml:space="preserve">
2H13 restatement
</t>
        </r>
      </text>
    </comment>
    <comment ref="Z210" authorId="7" shapeId="0" xr:uid="{00000000-0006-0000-0B00-000036000000}">
      <text>
        <r>
          <rPr>
            <b/>
            <sz val="9"/>
            <color indexed="81"/>
            <rFont val="Tahoma"/>
            <family val="2"/>
          </rPr>
          <t>Jien Goh:</t>
        </r>
        <r>
          <rPr>
            <sz val="9"/>
            <color indexed="81"/>
            <rFont val="Tahoma"/>
            <family val="2"/>
          </rPr>
          <t xml:space="preserve">
2H13 restated at FY14 result. Average FY13A should be 202,259 </t>
        </r>
      </text>
    </comment>
    <comment ref="AA210" authorId="7" shapeId="0" xr:uid="{00000000-0006-0000-0B00-000037000000}">
      <text>
        <r>
          <rPr>
            <b/>
            <sz val="9"/>
            <color indexed="81"/>
            <rFont val="Tahoma"/>
            <family val="2"/>
          </rPr>
          <t>Jien Goh:</t>
        </r>
        <r>
          <rPr>
            <sz val="9"/>
            <color indexed="81"/>
            <rFont val="Tahoma"/>
            <family val="2"/>
          </rPr>
          <t xml:space="preserve">
restated at FY14, incl. Property</t>
        </r>
      </text>
    </comment>
    <comment ref="AB210" authorId="7" shapeId="0" xr:uid="{00000000-0006-0000-0B00-000038000000}">
      <text>
        <r>
          <rPr>
            <b/>
            <sz val="9"/>
            <color indexed="81"/>
            <rFont val="Tahoma"/>
            <family val="2"/>
          </rPr>
          <t>Jien Goh:</t>
        </r>
        <r>
          <rPr>
            <sz val="9"/>
            <color indexed="81"/>
            <rFont val="Tahoma"/>
            <family val="2"/>
          </rPr>
          <t xml:space="preserve">
244,996 ex property</t>
        </r>
      </text>
    </comment>
    <comment ref="AC210" authorId="7" shapeId="0" xr:uid="{00000000-0006-0000-0B00-000039000000}">
      <text>
        <r>
          <rPr>
            <b/>
            <sz val="9"/>
            <color indexed="81"/>
            <rFont val="Tahoma"/>
            <family val="2"/>
          </rPr>
          <t>Jien Goh:</t>
        </r>
        <r>
          <rPr>
            <sz val="9"/>
            <color indexed="81"/>
            <rFont val="Tahoma"/>
            <family val="2"/>
          </rPr>
          <t xml:space="preserve">
excl. property</t>
        </r>
      </text>
    </comment>
    <comment ref="AD210" authorId="8" shapeId="0" xr:uid="{00000000-0006-0000-0B00-00003A000000}">
      <text>
        <r>
          <rPr>
            <b/>
            <sz val="9"/>
            <color indexed="81"/>
            <rFont val="Tahoma"/>
            <family val="2"/>
          </rPr>
          <t>Leong, YuChuan [GIR]:</t>
        </r>
        <r>
          <rPr>
            <sz val="9"/>
            <color indexed="81"/>
            <rFont val="Tahoma"/>
            <family val="2"/>
          </rPr>
          <t xml:space="preserve">
Restated at 1H16 p44</t>
        </r>
      </text>
    </comment>
    <comment ref="AE210" authorId="8" shapeId="0" xr:uid="{00000000-0006-0000-0B00-00003B000000}">
      <text>
        <r>
          <rPr>
            <b/>
            <sz val="9"/>
            <color indexed="81"/>
            <rFont val="Tahoma"/>
            <family val="2"/>
          </rPr>
          <t>Leong, YuChuan [GIR]:</t>
        </r>
        <r>
          <rPr>
            <sz val="9"/>
            <color indexed="81"/>
            <rFont val="Tahoma"/>
            <family val="2"/>
          </rPr>
          <t xml:space="preserve">
Restated at 1H16 p44</t>
        </r>
      </text>
    </comment>
    <comment ref="AH210" authorId="4" shapeId="0" xr:uid="{00000000-0006-0000-0B00-00003C000000}">
      <text>
        <r>
          <rPr>
            <b/>
            <sz val="9"/>
            <color indexed="81"/>
            <rFont val="Tahoma"/>
            <family val="2"/>
          </rPr>
          <t>Tsao, Desmond [GIR]:</t>
        </r>
        <r>
          <rPr>
            <sz val="9"/>
            <color indexed="81"/>
            <rFont val="Tahoma"/>
            <family val="2"/>
          </rPr>
          <t xml:space="preserve">
128, 953 in 1h18</t>
        </r>
      </text>
    </comment>
    <comment ref="AI210" authorId="4" shapeId="0" xr:uid="{00000000-0006-0000-0B00-00003D000000}">
      <text>
        <r>
          <rPr>
            <b/>
            <sz val="9"/>
            <color indexed="81"/>
            <rFont val="Tahoma"/>
            <family val="2"/>
          </rPr>
          <t>Tsao, Desmond [GIR]:</t>
        </r>
        <r>
          <rPr>
            <sz val="9"/>
            <color indexed="81"/>
            <rFont val="Tahoma"/>
            <family val="2"/>
          </rPr>
          <t xml:space="preserve">
135,447 in 1H18</t>
        </r>
      </text>
    </comment>
    <comment ref="BW210" authorId="0" shapeId="0" xr:uid="{00000000-0006-0000-0B00-00003E000000}">
      <text>
        <r>
          <rPr>
            <b/>
            <sz val="9"/>
            <color indexed="81"/>
            <rFont val="Tahoma"/>
            <family val="2"/>
          </rPr>
          <t>Chu, Dylan [GIR]:</t>
        </r>
        <r>
          <rPr>
            <sz val="9"/>
            <color indexed="81"/>
            <rFont val="Tahoma"/>
            <family val="2"/>
          </rPr>
          <t xml:space="preserve">
From 1997 fin rep</t>
        </r>
      </text>
    </comment>
    <comment ref="BY210" authorId="0" shapeId="0" xr:uid="{00000000-0006-0000-0B00-00003F000000}">
      <text>
        <r>
          <rPr>
            <b/>
            <sz val="9"/>
            <color indexed="81"/>
            <rFont val="Tahoma"/>
            <family val="2"/>
          </rPr>
          <t>Chu, Dylan [GIR]:</t>
        </r>
        <r>
          <rPr>
            <sz val="9"/>
            <color indexed="81"/>
            <rFont val="Tahoma"/>
            <family val="2"/>
          </rPr>
          <t xml:space="preserve">
FUM in comments</t>
        </r>
      </text>
    </comment>
    <comment ref="BZ210" authorId="0" shapeId="0" xr:uid="{00000000-0006-0000-0B00-000040000000}">
      <text>
        <r>
          <rPr>
            <b/>
            <sz val="9"/>
            <color indexed="81"/>
            <rFont val="Tahoma"/>
            <family val="2"/>
          </rPr>
          <t>Chu, Dylan [GIR]:</t>
        </r>
        <r>
          <rPr>
            <sz val="9"/>
            <color indexed="81"/>
            <rFont val="Tahoma"/>
            <family val="2"/>
          </rPr>
          <t xml:space="preserve">
Disclosure format changed</t>
        </r>
      </text>
    </comment>
    <comment ref="AX214" authorId="9" shapeId="0" xr:uid="{1E914AD1-4D33-442B-B65A-2E35100BD402}">
      <text>
        <r>
          <rPr>
            <b/>
            <sz val="9"/>
            <color indexed="81"/>
            <rFont val="Tahoma"/>
            <family val="2"/>
          </rPr>
          <t>Li, John Y [GIR]:</t>
        </r>
        <r>
          <rPr>
            <sz val="9"/>
            <color indexed="81"/>
            <rFont val="Tahoma"/>
            <family val="2"/>
          </rPr>
          <t xml:space="preserve">
make row 238 the same as these numbers</t>
        </r>
      </text>
    </comment>
    <comment ref="V216" authorId="2" shapeId="0" xr:uid="{00000000-0006-0000-0B00-000041000000}">
      <text>
        <r>
          <rPr>
            <b/>
            <sz val="8"/>
            <color indexed="81"/>
            <rFont val="Tahoma"/>
            <family val="2"/>
          </rPr>
          <t>Authorized User:</t>
        </r>
        <r>
          <rPr>
            <sz val="8"/>
            <color indexed="81"/>
            <rFont val="Tahoma"/>
            <family val="2"/>
          </rPr>
          <t xml:space="preserve">
Bank acceptances now included as IEA</t>
        </r>
      </text>
    </comment>
    <comment ref="I219" authorId="0" shapeId="0" xr:uid="{00000000-0006-0000-0B00-000042000000}">
      <text>
        <r>
          <rPr>
            <b/>
            <sz val="9"/>
            <color indexed="81"/>
            <rFont val="Tahoma"/>
            <family val="2"/>
          </rPr>
          <t>Chu, Dylan [GIR]:</t>
        </r>
        <r>
          <rPr>
            <sz val="9"/>
            <color indexed="81"/>
            <rFont val="Tahoma"/>
            <family val="2"/>
          </rPr>
          <t xml:space="preserve">
disclosure of securitisation home loan discontinued</t>
        </r>
      </text>
    </comment>
    <comment ref="AD239" authorId="8" shapeId="0" xr:uid="{00000000-0006-0000-0B00-000043000000}">
      <text>
        <r>
          <rPr>
            <b/>
            <sz val="9"/>
            <color indexed="81"/>
            <rFont val="Tahoma"/>
            <family val="2"/>
          </rPr>
          <t>Leong, YuChuan [GIR]:</t>
        </r>
        <r>
          <rPr>
            <sz val="9"/>
            <color indexed="81"/>
            <rFont val="Tahoma"/>
            <family val="2"/>
          </rPr>
          <t xml:space="preserve">
Restated at 1H16 p88</t>
        </r>
      </text>
    </comment>
    <comment ref="AE239" authorId="8" shapeId="0" xr:uid="{00000000-0006-0000-0B00-000044000000}">
      <text>
        <r>
          <rPr>
            <b/>
            <sz val="9"/>
            <color indexed="81"/>
            <rFont val="Tahoma"/>
            <family val="2"/>
          </rPr>
          <t>Leong, YuChuan [GIR]:</t>
        </r>
        <r>
          <rPr>
            <sz val="9"/>
            <color indexed="81"/>
            <rFont val="Tahoma"/>
            <family val="2"/>
          </rPr>
          <t xml:space="preserve">
Restated at 1H16 p88</t>
        </r>
      </text>
    </comment>
    <comment ref="AL239" authorId="1" shapeId="0" xr:uid="{00000000-0006-0000-0B00-000045000000}">
      <text>
        <r>
          <rPr>
            <b/>
            <sz val="9"/>
            <color indexed="81"/>
            <rFont val="Tahoma"/>
            <family val="2"/>
          </rPr>
          <t>Lyons, Andrew [GIR]:</t>
        </r>
        <r>
          <rPr>
            <sz val="9"/>
            <color indexed="81"/>
            <rFont val="Tahoma"/>
            <family val="2"/>
          </rPr>
          <t xml:space="preserve">
Attempt to attribute removal of KKR per 2H20 results</t>
        </r>
      </text>
    </comment>
    <comment ref="CZ239" authorId="5" shapeId="0" xr:uid="{646C0CED-4542-4716-AE0A-CE95A43F3C6F}">
      <text>
        <r>
          <rPr>
            <b/>
            <sz val="9"/>
            <color indexed="81"/>
            <rFont val="Tahoma"/>
            <family val="2"/>
          </rPr>
          <t>Vaghani, Rushil [GIR]:</t>
        </r>
        <r>
          <rPr>
            <sz val="9"/>
            <color indexed="81"/>
            <rFont val="Tahoma"/>
            <family val="2"/>
          </rPr>
          <t xml:space="preserve">
result pack, avg balances</t>
        </r>
      </text>
    </comment>
    <comment ref="CX243" authorId="9" shapeId="0" xr:uid="{5259D859-81ED-4077-A650-82C4EFB19E0A}">
      <text>
        <r>
          <rPr>
            <b/>
            <sz val="9"/>
            <color indexed="81"/>
            <rFont val="Tahoma"/>
            <family val="2"/>
          </rPr>
          <t>Li, John Y [GIR]:</t>
        </r>
        <r>
          <rPr>
            <sz val="9"/>
            <color indexed="81"/>
            <rFont val="Tahoma"/>
            <family val="2"/>
          </rPr>
          <t xml:space="preserve">
annual reports</t>
        </r>
      </text>
    </comment>
    <comment ref="CY243" authorId="9" shapeId="0" xr:uid="{C951E4B2-E9A6-45F3-B618-DA337B7F4621}">
      <text>
        <r>
          <rPr>
            <b/>
            <sz val="9"/>
            <color indexed="81"/>
            <rFont val="Tahoma"/>
            <family val="2"/>
          </rPr>
          <t>Li, John Y [GIR]:</t>
        </r>
        <r>
          <rPr>
            <sz val="9"/>
            <color indexed="81"/>
            <rFont val="Tahoma"/>
            <family val="2"/>
          </rPr>
          <t xml:space="preserve">
annual reports</t>
        </r>
      </text>
    </comment>
    <comment ref="G244" authorId="0" shapeId="0" xr:uid="{00000000-0006-0000-0B00-000046000000}">
      <text>
        <r>
          <rPr>
            <b/>
            <sz val="9"/>
            <color indexed="81"/>
            <rFont val="Tahoma"/>
            <family val="2"/>
          </rPr>
          <t>Chu, Dylan [GIR]:</t>
        </r>
        <r>
          <rPr>
            <sz val="9"/>
            <color indexed="81"/>
            <rFont val="Tahoma"/>
            <family val="2"/>
          </rPr>
          <t xml:space="preserve">
Disclosure more detailed at this point</t>
        </r>
      </text>
    </comment>
    <comment ref="AD244" authorId="8" shapeId="0" xr:uid="{00000000-0006-0000-0B00-000047000000}">
      <text>
        <r>
          <rPr>
            <b/>
            <sz val="9"/>
            <color indexed="81"/>
            <rFont val="Tahoma"/>
            <family val="2"/>
          </rPr>
          <t>Leong, YuChuan [GIR]:</t>
        </r>
        <r>
          <rPr>
            <sz val="9"/>
            <color indexed="81"/>
            <rFont val="Tahoma"/>
            <family val="2"/>
          </rPr>
          <t xml:space="preserve">
Restated at 1H16 p88, p73</t>
        </r>
      </text>
    </comment>
    <comment ref="AE244" authorId="8" shapeId="0" xr:uid="{00000000-0006-0000-0B00-000048000000}">
      <text>
        <r>
          <rPr>
            <b/>
            <sz val="9"/>
            <color indexed="81"/>
            <rFont val="Tahoma"/>
            <family val="2"/>
          </rPr>
          <t>Leong, YuChuan [GIR]:</t>
        </r>
        <r>
          <rPr>
            <sz val="9"/>
            <color indexed="81"/>
            <rFont val="Tahoma"/>
            <family val="2"/>
          </rPr>
          <t xml:space="preserve">
Restated at 1H16 p88, p73</t>
        </r>
      </text>
    </comment>
    <comment ref="CX244" authorId="9" shapeId="0" xr:uid="{4CDA6F70-EC4D-4CDB-A081-8B0B36EC0125}">
      <text>
        <r>
          <rPr>
            <b/>
            <sz val="9"/>
            <color indexed="81"/>
            <rFont val="Tahoma"/>
            <family val="2"/>
          </rPr>
          <t>Li, John Y [GIR]:</t>
        </r>
        <r>
          <rPr>
            <sz val="9"/>
            <color indexed="81"/>
            <rFont val="Tahoma"/>
            <family val="2"/>
          </rPr>
          <t xml:space="preserve">
annuals report and result pdf</t>
        </r>
      </text>
    </comment>
    <comment ref="CX248" authorId="9" shapeId="0" xr:uid="{BF7BE469-3BAC-4C29-8ABA-5DAF8572C1AC}">
      <text>
        <r>
          <rPr>
            <b/>
            <sz val="9"/>
            <color indexed="81"/>
            <rFont val="Tahoma"/>
            <family val="2"/>
          </rPr>
          <t>Li, John Y [GIR]:</t>
        </r>
        <r>
          <rPr>
            <sz val="9"/>
            <color indexed="81"/>
            <rFont val="Tahoma"/>
            <family val="2"/>
          </rPr>
          <t xml:space="preserve">
annual report</t>
        </r>
      </text>
    </comment>
    <comment ref="CX253" authorId="9" shapeId="0" xr:uid="{C440927F-27C1-4C5B-87FB-92135312D8E1}">
      <text>
        <r>
          <rPr>
            <b/>
            <sz val="9"/>
            <color indexed="81"/>
            <rFont val="Tahoma"/>
            <family val="2"/>
          </rPr>
          <t>Li, John Y [GIR]:</t>
        </r>
        <r>
          <rPr>
            <sz val="9"/>
            <color indexed="81"/>
            <rFont val="Tahoma"/>
            <family val="2"/>
          </rPr>
          <t xml:space="preserve">
annual reports</t>
        </r>
      </text>
    </comment>
    <comment ref="AD260" authorId="10" shapeId="0" xr:uid="{00000000-0006-0000-0B00-000049000000}">
      <text>
        <r>
          <rPr>
            <b/>
            <sz val="9"/>
            <color indexed="81"/>
            <rFont val="Tahoma"/>
            <family val="2"/>
          </rPr>
          <t>Dalziell, Ashley [GIR]:</t>
        </r>
        <r>
          <rPr>
            <sz val="9"/>
            <color indexed="81"/>
            <rFont val="Tahoma"/>
            <family val="2"/>
          </rPr>
          <t xml:space="preserve">
Total non-interest bearing liabilitiets restated at 1H16 p87
Australia deposits not bearing interest restated at 1H16 p73</t>
        </r>
      </text>
    </comment>
    <comment ref="AE260" authorId="8" shapeId="0" xr:uid="{00000000-0006-0000-0B00-00004A000000}">
      <text>
        <r>
          <rPr>
            <b/>
            <sz val="9"/>
            <color indexed="81"/>
            <rFont val="Tahoma"/>
            <family val="2"/>
          </rPr>
          <t>Leong, YuChuan [GIR]:</t>
        </r>
        <r>
          <rPr>
            <sz val="9"/>
            <color indexed="81"/>
            <rFont val="Tahoma"/>
            <family val="2"/>
          </rPr>
          <t xml:space="preserve">
Total non-interest bearing liabilitiets restated at 1H16 p87
Australia deposits not bearing interest restated at 1H16 p73</t>
        </r>
      </text>
    </comment>
    <comment ref="AJ260" authorId="4" shapeId="0" xr:uid="{00000000-0006-0000-0B00-00004B000000}">
      <text>
        <r>
          <rPr>
            <b/>
            <sz val="9"/>
            <color indexed="81"/>
            <rFont val="Tahoma"/>
            <family val="2"/>
          </rPr>
          <t>Tsao, Desmond [GIR]:</t>
        </r>
        <r>
          <rPr>
            <sz val="9"/>
            <color indexed="81"/>
            <rFont val="Tahoma"/>
            <family val="2"/>
          </rPr>
          <t xml:space="preserve">
pg145 of result.
14,543 of liabilities held for sale not included in our numbers </t>
        </r>
      </text>
    </comment>
    <comment ref="AL267" authorId="1" shapeId="0" xr:uid="{00000000-0006-0000-0B00-00004C000000}">
      <text>
        <r>
          <rPr>
            <b/>
            <sz val="9"/>
            <color indexed="81"/>
            <rFont val="Tahoma"/>
            <family val="2"/>
          </rPr>
          <t>Lyons, Andrew [GIR]:</t>
        </r>
        <r>
          <rPr>
            <sz val="9"/>
            <color indexed="81"/>
            <rFont val="Tahoma"/>
            <family val="2"/>
          </rPr>
          <t xml:space="preserve">
Attributing restatements at 2H20
</t>
        </r>
      </text>
    </comment>
    <comment ref="AO267" authorId="4" shapeId="0" xr:uid="{00000000-0006-0000-0B00-00004D000000}">
      <text>
        <r>
          <rPr>
            <b/>
            <sz val="9"/>
            <color indexed="81"/>
            <rFont val="Tahoma"/>
            <family val="2"/>
          </rPr>
          <t>Tsao, Desmond [GIR]:</t>
        </r>
        <r>
          <rPr>
            <sz val="9"/>
            <color indexed="81"/>
            <rFont val="Tahoma"/>
            <family val="2"/>
          </rPr>
          <t xml:space="preserve">
Average FUA (continuing operations) has been calculated using the average for the period the Group owned Aegis up until 2 December 2019.</t>
        </r>
      </text>
    </comment>
    <comment ref="AE276" authorId="8" shapeId="0" xr:uid="{00000000-0006-0000-0B00-00004E000000}">
      <text>
        <r>
          <rPr>
            <b/>
            <sz val="9"/>
            <color indexed="81"/>
            <rFont val="Tahoma"/>
            <family val="2"/>
          </rPr>
          <t>Leong, YuChuan [GIR]:</t>
        </r>
        <r>
          <rPr>
            <sz val="9"/>
            <color indexed="81"/>
            <rFont val="Tahoma"/>
            <family val="2"/>
          </rPr>
          <t xml:space="preserve">
Restated FY16</t>
        </r>
      </text>
    </comment>
    <comment ref="AF276" authorId="8" shapeId="0" xr:uid="{00000000-0006-0000-0B00-00004F000000}">
      <text>
        <r>
          <rPr>
            <b/>
            <sz val="9"/>
            <color indexed="81"/>
            <rFont val="Tahoma"/>
            <family val="2"/>
          </rPr>
          <t>Leong, YuChuan [GIR]:</t>
        </r>
        <r>
          <rPr>
            <sz val="9"/>
            <color indexed="81"/>
            <rFont val="Tahoma"/>
            <family val="2"/>
          </rPr>
          <t xml:space="preserve">
Restated FY16</t>
        </r>
      </text>
    </comment>
    <comment ref="AK276" authorId="4" shapeId="0" xr:uid="{00000000-0006-0000-0B00-000050000000}">
      <text>
        <r>
          <rPr>
            <b/>
            <sz val="9"/>
            <color indexed="81"/>
            <rFont val="Tahoma"/>
            <family val="2"/>
          </rPr>
          <t>Tsao, Desmond [GIR]:</t>
        </r>
        <r>
          <rPr>
            <sz val="9"/>
            <color indexed="81"/>
            <rFont val="Tahoma"/>
            <family val="2"/>
          </rPr>
          <t xml:space="preserve">
restated in 2H19: previously was 13,550</t>
        </r>
      </text>
    </comment>
    <comment ref="AL276" authorId="4" shapeId="0" xr:uid="{00000000-0006-0000-0B00-000051000000}">
      <text>
        <r>
          <rPr>
            <b/>
            <sz val="9"/>
            <color indexed="81"/>
            <rFont val="Tahoma"/>
            <family val="2"/>
          </rPr>
          <t>Tsao, Desmond [GIR]:</t>
        </r>
        <r>
          <rPr>
            <sz val="9"/>
            <color indexed="81"/>
            <rFont val="Tahoma"/>
            <family val="2"/>
          </rPr>
          <t xml:space="preserve">
restated in 2H19: previously was 13,742</t>
        </r>
      </text>
    </comment>
    <comment ref="AE281" authorId="8" shapeId="0" xr:uid="{00000000-0006-0000-0B00-000052000000}">
      <text>
        <r>
          <rPr>
            <b/>
            <sz val="9"/>
            <color indexed="81"/>
            <rFont val="Tahoma"/>
            <family val="2"/>
          </rPr>
          <t>Leong, YuChuan [GIR]:</t>
        </r>
        <r>
          <rPr>
            <sz val="9"/>
            <color indexed="81"/>
            <rFont val="Tahoma"/>
            <family val="2"/>
          </rPr>
          <t xml:space="preserve">
Restated FY16</t>
        </r>
      </text>
    </comment>
    <comment ref="AF281" authorId="8" shapeId="0" xr:uid="{00000000-0006-0000-0B00-000053000000}">
      <text>
        <r>
          <rPr>
            <b/>
            <sz val="9"/>
            <color indexed="81"/>
            <rFont val="Tahoma"/>
            <family val="2"/>
          </rPr>
          <t>Leong, YuChuan [GIR]:</t>
        </r>
        <r>
          <rPr>
            <sz val="9"/>
            <color indexed="81"/>
            <rFont val="Tahoma"/>
            <family val="2"/>
          </rPr>
          <t xml:space="preserve">
Restated FY16</t>
        </r>
      </text>
    </comment>
    <comment ref="AJ286" authorId="4" shapeId="0" xr:uid="{00000000-0006-0000-0B00-000054000000}">
      <text>
        <r>
          <rPr>
            <b/>
            <sz val="9"/>
            <color indexed="81"/>
            <rFont val="Tahoma"/>
            <family val="2"/>
          </rPr>
          <t>Tsao, Desmond [GIR]:</t>
        </r>
        <r>
          <rPr>
            <sz val="9"/>
            <color indexed="81"/>
            <rFont val="Tahoma"/>
            <family val="2"/>
          </rPr>
          <t xml:space="preserve">
restated in 2H18
The New Zealand and Other Overseas components comprise overseas branches of the group and overseas domiciled controlled entities. Overseas intragroup
borrowings have been adjusted into the interest spread and margin calculations to more appropriately reflect the overseas cost of funds.</t>
        </r>
      </text>
    </comment>
    <comment ref="AI296" authorId="4" shapeId="0" xr:uid="{00000000-0006-0000-0B00-000055000000}">
      <text>
        <r>
          <rPr>
            <b/>
            <sz val="9"/>
            <color indexed="81"/>
            <rFont val="Tahoma"/>
            <family val="2"/>
          </rPr>
          <t>Tsao, Desmond [GIR]:</t>
        </r>
        <r>
          <rPr>
            <sz val="9"/>
            <color indexed="81"/>
            <rFont val="Tahoma"/>
            <family val="2"/>
          </rPr>
          <t xml:space="preserve">
restated in 2H18</t>
        </r>
      </text>
    </comment>
    <comment ref="AJ296" authorId="4" shapeId="0" xr:uid="{00000000-0006-0000-0B00-000056000000}">
      <text>
        <r>
          <rPr>
            <b/>
            <sz val="9"/>
            <color indexed="81"/>
            <rFont val="Tahoma"/>
            <family val="2"/>
          </rPr>
          <t>Tsao, Desmond [GIR]:</t>
        </r>
        <r>
          <rPr>
            <sz val="9"/>
            <color indexed="81"/>
            <rFont val="Tahoma"/>
            <family val="2"/>
          </rPr>
          <t xml:space="preserve">
restated in 2h18</t>
        </r>
      </text>
    </comment>
    <comment ref="AK296" authorId="4" shapeId="0" xr:uid="{00000000-0006-0000-0B00-000057000000}">
      <text>
        <r>
          <rPr>
            <b/>
            <sz val="9"/>
            <color indexed="81"/>
            <rFont val="Tahoma"/>
            <family val="2"/>
          </rPr>
          <t>Tsao, Desmond [GIR]:</t>
        </r>
        <r>
          <rPr>
            <sz val="9"/>
            <color indexed="81"/>
            <rFont val="Tahoma"/>
            <family val="2"/>
          </rPr>
          <t xml:space="preserve">
restated in 2H19: previously 17,362</t>
        </r>
      </text>
    </comment>
    <comment ref="AL296" authorId="4" shapeId="0" xr:uid="{00000000-0006-0000-0B00-000058000000}">
      <text>
        <r>
          <rPr>
            <b/>
            <sz val="9"/>
            <color indexed="81"/>
            <rFont val="Tahoma"/>
            <family val="2"/>
          </rPr>
          <t>Tsao, Desmond [GIR]:</t>
        </r>
        <r>
          <rPr>
            <sz val="9"/>
            <color indexed="81"/>
            <rFont val="Tahoma"/>
            <family val="2"/>
          </rPr>
          <t xml:space="preserve">
restated in 2H19: 17,836</t>
        </r>
      </text>
    </comment>
    <comment ref="AN296" authorId="4" shapeId="0" xr:uid="{00000000-0006-0000-0B00-000059000000}">
      <text>
        <r>
          <rPr>
            <b/>
            <sz val="9"/>
            <color indexed="81"/>
            <rFont val="Tahoma"/>
            <family val="2"/>
          </rPr>
          <t>Tsao, Desmond [GIR]:</t>
        </r>
        <r>
          <rPr>
            <sz val="9"/>
            <color indexed="81"/>
            <rFont val="Tahoma"/>
            <family val="2"/>
          </rPr>
          <t xml:space="preserve">
restated in 2H20</t>
        </r>
      </text>
    </comment>
    <comment ref="K299" authorId="0" shapeId="0" xr:uid="{00000000-0006-0000-0B00-00005A000000}">
      <text>
        <r>
          <rPr>
            <b/>
            <sz val="9"/>
            <color indexed="81"/>
            <rFont val="Tahoma"/>
            <family val="2"/>
          </rPr>
          <t>Chu, Dylan [GIR]:</t>
        </r>
        <r>
          <rPr>
            <sz val="9"/>
            <color indexed="81"/>
            <rFont val="Tahoma"/>
            <family val="2"/>
          </rPr>
          <t xml:space="preserve">
Not entirely sure about this entry</t>
        </r>
      </text>
    </comment>
    <comment ref="AJ301" authorId="4" shapeId="0" xr:uid="{00000000-0006-0000-0B00-00005B000000}">
      <text>
        <r>
          <rPr>
            <b/>
            <sz val="9"/>
            <color indexed="81"/>
            <rFont val="Tahoma"/>
            <family val="2"/>
          </rPr>
          <t>Tsao, Desmond [GIR]:</t>
        </r>
        <r>
          <rPr>
            <sz val="9"/>
            <color indexed="81"/>
            <rFont val="Tahoma"/>
            <family val="2"/>
          </rPr>
          <t xml:space="preserve">
restated in 2h18</t>
        </r>
      </text>
    </comment>
    <comment ref="R327" authorId="6" shapeId="0" xr:uid="{00000000-0006-0000-0B00-00005C000000}">
      <text>
        <r>
          <rPr>
            <b/>
            <sz val="8"/>
            <color indexed="81"/>
            <rFont val="Tahoma"/>
            <family val="2"/>
          </rPr>
          <t>J-Lo:</t>
        </r>
        <r>
          <rPr>
            <sz val="8"/>
            <color indexed="81"/>
            <rFont val="Tahoma"/>
            <family val="2"/>
          </rPr>
          <t xml:space="preserve">
pro-forma including Bankwest</t>
        </r>
      </text>
    </comment>
    <comment ref="AH387" authorId="3" shapeId="0" xr:uid="{00000000-0006-0000-0B00-00005D000000}">
      <text>
        <r>
          <rPr>
            <b/>
            <sz val="9"/>
            <color indexed="81"/>
            <rFont val="Tahoma"/>
            <family val="2"/>
          </rPr>
          <t>Andrew Lyons:</t>
        </r>
        <r>
          <rPr>
            <sz val="9"/>
            <color indexed="81"/>
            <rFont val="Tahoma"/>
            <family val="2"/>
          </rPr>
          <t xml:space="preserve">
Restated from 1H18</t>
        </r>
      </text>
    </comment>
    <comment ref="AJ387" authorId="4" shapeId="0" xr:uid="{00000000-0006-0000-0B00-00005E000000}">
      <text>
        <r>
          <rPr>
            <b/>
            <sz val="9"/>
            <color indexed="81"/>
            <rFont val="Tahoma"/>
            <family val="2"/>
          </rPr>
          <t>Tsao, Desmond [GIR]:</t>
        </r>
        <r>
          <rPr>
            <sz val="9"/>
            <color indexed="81"/>
            <rFont val="Tahoma"/>
            <family val="2"/>
          </rPr>
          <t xml:space="preserve">
Restated 1H19</t>
        </r>
      </text>
    </comment>
    <comment ref="AL387" authorId="1" shapeId="0" xr:uid="{00000000-0006-0000-0B00-00005F000000}">
      <text>
        <r>
          <rPr>
            <b/>
            <sz val="9"/>
            <color indexed="81"/>
            <rFont val="Tahoma"/>
            <family val="2"/>
          </rPr>
          <t>Lyons, Andrew [GIR]:</t>
        </r>
        <r>
          <rPr>
            <sz val="9"/>
            <color indexed="81"/>
            <rFont val="Tahoma"/>
            <family val="2"/>
          </rPr>
          <t xml:space="preserve">
Attempt to apportion of restatement done at 2H20 as part of CFS sale</t>
        </r>
      </text>
    </comment>
    <comment ref="AP387" authorId="1" shapeId="0" xr:uid="{00000000-0006-0000-0B00-000060000000}">
      <text>
        <r>
          <rPr>
            <b/>
            <sz val="9"/>
            <color indexed="81"/>
            <rFont val="Tahoma"/>
            <family val="2"/>
          </rPr>
          <t>Lyons, Andrew [GIR]:</t>
        </r>
        <r>
          <rPr>
            <sz val="9"/>
            <color indexed="81"/>
            <rFont val="Tahoma"/>
            <family val="2"/>
          </rPr>
          <t xml:space="preserve">
Restated at 1H22</t>
        </r>
      </text>
    </comment>
    <comment ref="AD389" authorId="8" shapeId="0" xr:uid="{00000000-0006-0000-0B00-000061000000}">
      <text>
        <r>
          <rPr>
            <b/>
            <sz val="9"/>
            <color indexed="81"/>
            <rFont val="Tahoma"/>
            <family val="2"/>
          </rPr>
          <t>Leong, YuChuan [GIR]:</t>
        </r>
        <r>
          <rPr>
            <sz val="9"/>
            <color indexed="81"/>
            <rFont val="Tahoma"/>
            <family val="2"/>
          </rPr>
          <t xml:space="preserve">
Restated at 1H16 p61</t>
        </r>
      </text>
    </comment>
    <comment ref="AE389" authorId="8" shapeId="0" xr:uid="{00000000-0006-0000-0B00-000062000000}">
      <text>
        <r>
          <rPr>
            <b/>
            <sz val="9"/>
            <color indexed="81"/>
            <rFont val="Tahoma"/>
            <family val="2"/>
          </rPr>
          <t>Leong, YuChuan [GIR]:</t>
        </r>
        <r>
          <rPr>
            <sz val="9"/>
            <color indexed="81"/>
            <rFont val="Tahoma"/>
            <family val="2"/>
          </rPr>
          <t xml:space="preserve">
Restated FY16</t>
        </r>
      </text>
    </comment>
    <comment ref="AJ389" authorId="4" shapeId="0" xr:uid="{00000000-0006-0000-0B00-000063000000}">
      <text>
        <r>
          <rPr>
            <b/>
            <sz val="9"/>
            <color indexed="81"/>
            <rFont val="Tahoma"/>
            <family val="2"/>
          </rPr>
          <t>Tsao, Desmond [GIR]:</t>
        </r>
        <r>
          <rPr>
            <sz val="9"/>
            <color indexed="81"/>
            <rFont val="Tahoma"/>
            <family val="2"/>
          </rPr>
          <t xml:space="preserve">
Restated 1H19</t>
        </r>
      </text>
    </comment>
    <comment ref="AP395" authorId="1" shapeId="0" xr:uid="{00000000-0006-0000-0B00-000064000000}">
      <text>
        <r>
          <rPr>
            <b/>
            <sz val="9"/>
            <color indexed="81"/>
            <rFont val="Tahoma"/>
            <family val="2"/>
          </rPr>
          <t>Lyons, Andrew [GIR]:</t>
        </r>
        <r>
          <rPr>
            <sz val="9"/>
            <color indexed="81"/>
            <rFont val="Tahoma"/>
            <family val="2"/>
          </rPr>
          <t xml:space="preserve">
Restated at 1H22 given utilisaiton rates</t>
        </r>
      </text>
    </comment>
    <comment ref="AR395" authorId="1" shapeId="0" xr:uid="{1F8B9846-5B4A-48B4-85D5-182CFB044DB3}">
      <text>
        <r>
          <rPr>
            <b/>
            <sz val="9"/>
            <color indexed="81"/>
            <rFont val="Tahoma"/>
            <family val="2"/>
          </rPr>
          <t>Lyons, Andrew [GIR]:</t>
        </r>
        <r>
          <rPr>
            <sz val="9"/>
            <color indexed="81"/>
            <rFont val="Tahoma"/>
            <family val="2"/>
          </rPr>
          <t xml:space="preserve">
Restated at 1H23 result</t>
        </r>
      </text>
    </comment>
    <comment ref="AH396" authorId="4" shapeId="0" xr:uid="{00000000-0006-0000-0B00-000065000000}">
      <text>
        <r>
          <rPr>
            <b/>
            <sz val="9"/>
            <color indexed="81"/>
            <rFont val="Tahoma"/>
            <family val="2"/>
          </rPr>
          <t>Tsao, Desmond [GIR]:</t>
        </r>
        <r>
          <rPr>
            <sz val="9"/>
            <color indexed="81"/>
            <rFont val="Tahoma"/>
            <family val="2"/>
          </rPr>
          <t xml:space="preserve">
restated at 1H18
was 1,254</t>
        </r>
      </text>
    </comment>
    <comment ref="AI396" authorId="4" shapeId="0" xr:uid="{00000000-0006-0000-0B00-000066000000}">
      <text>
        <r>
          <rPr>
            <b/>
            <sz val="9"/>
            <color indexed="81"/>
            <rFont val="Tahoma"/>
            <family val="2"/>
          </rPr>
          <t>Tsao, Desmond [GIR]:</t>
        </r>
        <r>
          <rPr>
            <sz val="9"/>
            <color indexed="81"/>
            <rFont val="Tahoma"/>
            <family val="2"/>
          </rPr>
          <t xml:space="preserve">
restated at 1h18
was 1,228</t>
        </r>
      </text>
    </comment>
    <comment ref="AJ396" authorId="3" shapeId="0" xr:uid="{00000000-0006-0000-0B00-000067000000}">
      <text>
        <r>
          <rPr>
            <b/>
            <sz val="9"/>
            <color indexed="81"/>
            <rFont val="Tahoma"/>
            <family val="2"/>
          </rPr>
          <t>Andrew Lyons:</t>
        </r>
        <r>
          <rPr>
            <sz val="9"/>
            <color indexed="81"/>
            <rFont val="Tahoma"/>
            <family val="2"/>
          </rPr>
          <t xml:space="preserve">
Mel Kirk expects that Mortgage Broking consolidation would go into commissions</t>
        </r>
      </text>
    </comment>
    <comment ref="AL396" authorId="4" shapeId="0" xr:uid="{00000000-0006-0000-0B00-000068000000}">
      <text>
        <r>
          <rPr>
            <b/>
            <sz val="9"/>
            <color indexed="81"/>
            <rFont val="Tahoma"/>
            <family val="2"/>
          </rPr>
          <t>Tsao, Desmond [GIR]:</t>
        </r>
        <r>
          <rPr>
            <sz val="9"/>
            <color indexed="81"/>
            <rFont val="Tahoma"/>
            <family val="2"/>
          </rPr>
          <t xml:space="preserve">
restated in 1H20</t>
        </r>
      </text>
    </comment>
    <comment ref="AM396" authorId="4" shapeId="0" xr:uid="{00000000-0006-0000-0B00-000069000000}">
      <text>
        <r>
          <rPr>
            <b/>
            <sz val="9"/>
            <color indexed="81"/>
            <rFont val="Tahoma"/>
            <family val="2"/>
          </rPr>
          <t>Tsao, Desmond [GIR]:</t>
        </r>
        <r>
          <rPr>
            <sz val="9"/>
            <color indexed="81"/>
            <rFont val="Tahoma"/>
            <family val="2"/>
          </rPr>
          <t xml:space="preserve">
restated in 1H20</t>
        </r>
      </text>
    </comment>
    <comment ref="AN396" authorId="4" shapeId="0" xr:uid="{00000000-0006-0000-0B00-00006A000000}">
      <text>
        <r>
          <rPr>
            <b/>
            <sz val="9"/>
            <color indexed="81"/>
            <rFont val="Tahoma"/>
            <family val="2"/>
          </rPr>
          <t>Tsao, Desmond [GIR]:</t>
        </r>
        <r>
          <rPr>
            <sz val="9"/>
            <color indexed="81"/>
            <rFont val="Tahoma"/>
            <family val="2"/>
          </rPr>
          <t xml:space="preserve">
restated in 2H20</t>
        </r>
      </text>
    </comment>
    <comment ref="AR396" authorId="1" shapeId="0" xr:uid="{C8B61B86-398B-4969-8192-51F6F059E1CB}">
      <text>
        <r>
          <rPr>
            <b/>
            <sz val="9"/>
            <color indexed="81"/>
            <rFont val="Tahoma"/>
            <family val="2"/>
          </rPr>
          <t>Lyons, Andrew [GIR]:</t>
        </r>
        <r>
          <rPr>
            <sz val="9"/>
            <color indexed="81"/>
            <rFont val="Tahoma"/>
            <family val="2"/>
          </rPr>
          <t xml:space="preserve">
Restated at 1H23 result</t>
        </r>
      </text>
    </comment>
    <comment ref="AD397" authorId="8" shapeId="0" xr:uid="{00000000-0006-0000-0B00-00006B000000}">
      <text>
        <r>
          <rPr>
            <b/>
            <sz val="9"/>
            <color indexed="81"/>
            <rFont val="Tahoma"/>
            <family val="2"/>
          </rPr>
          <t>Leong, YuChuan [GIR]:</t>
        </r>
        <r>
          <rPr>
            <sz val="9"/>
            <color indexed="81"/>
            <rFont val="Tahoma"/>
            <family val="2"/>
          </rPr>
          <t xml:space="preserve">
Restated at 1H16 p90</t>
        </r>
      </text>
    </comment>
    <comment ref="AE397" authorId="8" shapeId="0" xr:uid="{00000000-0006-0000-0B00-00006C000000}">
      <text>
        <r>
          <rPr>
            <b/>
            <sz val="9"/>
            <color indexed="81"/>
            <rFont val="Tahoma"/>
            <family val="2"/>
          </rPr>
          <t>Leong, YuChuan [GIR]:</t>
        </r>
        <r>
          <rPr>
            <sz val="9"/>
            <color indexed="81"/>
            <rFont val="Tahoma"/>
            <family val="2"/>
          </rPr>
          <t xml:space="preserve">
Restated at 1H16 p90</t>
        </r>
      </text>
    </comment>
    <comment ref="AB398" authorId="7" shapeId="0" xr:uid="{00000000-0006-0000-0B00-00006D000000}">
      <text>
        <r>
          <rPr>
            <b/>
            <sz val="9"/>
            <color indexed="81"/>
            <rFont val="Tahoma"/>
            <family val="2"/>
          </rPr>
          <t>Jien Goh:</t>
        </r>
        <r>
          <rPr>
            <sz val="9"/>
            <color indexed="81"/>
            <rFont val="Tahoma"/>
            <family val="2"/>
          </rPr>
          <t xml:space="preserve">
A$1,003 incl Property pg21 of FY14 result</t>
        </r>
      </text>
    </comment>
    <comment ref="AJ398" authorId="3" shapeId="0" xr:uid="{00000000-0006-0000-0B00-00006E000000}">
      <text>
        <r>
          <rPr>
            <b/>
            <sz val="9"/>
            <color indexed="81"/>
            <rFont val="Tahoma"/>
            <family val="2"/>
          </rPr>
          <t>Andrew Lyons:</t>
        </r>
        <r>
          <rPr>
            <sz val="9"/>
            <color indexed="81"/>
            <rFont val="Tahoma"/>
            <family val="2"/>
          </rPr>
          <t xml:space="preserve">
Restated at 1H19</t>
        </r>
      </text>
    </comment>
    <comment ref="AL398" authorId="1" shapeId="0" xr:uid="{00000000-0006-0000-0B00-00006F000000}">
      <text>
        <r>
          <rPr>
            <b/>
            <sz val="9"/>
            <color indexed="81"/>
            <rFont val="Tahoma"/>
            <family val="2"/>
          </rPr>
          <t>Lyons, Andrew [GIR]:</t>
        </r>
        <r>
          <rPr>
            <sz val="9"/>
            <color indexed="81"/>
            <rFont val="Tahoma"/>
            <family val="2"/>
          </rPr>
          <t xml:space="preserve">
Attempt to apportion of restatement done at 2H20 as part of CFS sale</t>
        </r>
      </text>
    </comment>
    <comment ref="AN398" authorId="1" shapeId="0" xr:uid="{00000000-0006-0000-0B00-000070000000}">
      <text>
        <r>
          <rPr>
            <b/>
            <sz val="9"/>
            <color indexed="81"/>
            <rFont val="Tahoma"/>
            <family val="2"/>
          </rPr>
          <t>Lyons, Andrew [GIR]:</t>
        </r>
        <r>
          <rPr>
            <sz val="9"/>
            <color indexed="81"/>
            <rFont val="Tahoma"/>
            <family val="2"/>
          </rPr>
          <t xml:space="preserve">
Restated at 1H21 pre release</t>
        </r>
      </text>
    </comment>
    <comment ref="AR398" authorId="1" shapeId="0" xr:uid="{BECD841E-44DA-4727-B4B8-F3344FD6FF4C}">
      <text>
        <r>
          <rPr>
            <b/>
            <sz val="9"/>
            <color indexed="81"/>
            <rFont val="Tahoma"/>
            <family val="2"/>
          </rPr>
          <t>Lyons, Andrew [GIR]:</t>
        </r>
        <r>
          <rPr>
            <sz val="9"/>
            <color indexed="81"/>
            <rFont val="Tahoma"/>
            <family val="2"/>
          </rPr>
          <t xml:space="preserve">
Restated at 1H23 result</t>
        </r>
      </text>
    </comment>
    <comment ref="BU398" authorId="0" shapeId="0" xr:uid="{00000000-0006-0000-0B00-000071000000}">
      <text>
        <r>
          <rPr>
            <b/>
            <sz val="9"/>
            <color indexed="81"/>
            <rFont val="Tahoma"/>
            <family val="2"/>
          </rPr>
          <t>Chu, Dylan [GIR]:</t>
        </r>
        <r>
          <rPr>
            <sz val="9"/>
            <color indexed="81"/>
            <rFont val="Tahoma"/>
            <family val="2"/>
          </rPr>
          <t xml:space="preserve">
No separate disclosure of wealth management income in FY95 Ann rep</t>
        </r>
      </text>
    </comment>
    <comment ref="AH399" authorId="3" shapeId="0" xr:uid="{00000000-0006-0000-0B00-000072000000}">
      <text>
        <r>
          <rPr>
            <b/>
            <sz val="9"/>
            <color indexed="81"/>
            <rFont val="Tahoma"/>
            <family val="2"/>
          </rPr>
          <t>Andrew Lyons:</t>
        </r>
        <r>
          <rPr>
            <sz val="9"/>
            <color indexed="81"/>
            <rFont val="Tahoma"/>
            <family val="2"/>
          </rPr>
          <t xml:space="preserve">
Have set this so other income is unchanged</t>
        </r>
      </text>
    </comment>
    <comment ref="AJ399" authorId="3" shapeId="0" xr:uid="{00000000-0006-0000-0B00-000073000000}">
      <text>
        <r>
          <rPr>
            <b/>
            <sz val="9"/>
            <color indexed="81"/>
            <rFont val="Tahoma"/>
            <family val="2"/>
          </rPr>
          <t>Andrew Lyons:</t>
        </r>
        <r>
          <rPr>
            <sz val="9"/>
            <color indexed="81"/>
            <rFont val="Tahoma"/>
            <family val="2"/>
          </rPr>
          <t xml:space="preserve">
Restated at 1H19</t>
        </r>
      </text>
    </comment>
    <comment ref="AN399" authorId="1" shapeId="0" xr:uid="{00000000-0006-0000-0B00-000074000000}">
      <text>
        <r>
          <rPr>
            <b/>
            <sz val="9"/>
            <color indexed="81"/>
            <rFont val="Tahoma"/>
            <family val="2"/>
          </rPr>
          <t>Lyons, Andrew [GIR]:</t>
        </r>
        <r>
          <rPr>
            <sz val="9"/>
            <color indexed="81"/>
            <rFont val="Tahoma"/>
            <family val="2"/>
          </rPr>
          <t xml:space="preserve">
Restated at 1H21 pre release</t>
        </r>
      </text>
    </comment>
    <comment ref="BV399" authorId="0" shapeId="0" xr:uid="{00000000-0006-0000-0B00-000075000000}">
      <text>
        <r>
          <rPr>
            <b/>
            <sz val="9"/>
            <color indexed="81"/>
            <rFont val="Tahoma"/>
            <family val="2"/>
          </rPr>
          <t>Chu, Dylan [GIR]:</t>
        </r>
        <r>
          <rPr>
            <sz val="9"/>
            <color indexed="81"/>
            <rFont val="Tahoma"/>
            <family val="2"/>
          </rPr>
          <t xml:space="preserve">
Life insurance funds surplus in FY95 Ann rep</t>
        </r>
      </text>
    </comment>
    <comment ref="C400" authorId="0" shapeId="0" xr:uid="{00000000-0006-0000-0B00-000076000000}">
      <text>
        <r>
          <rPr>
            <b/>
            <sz val="9"/>
            <color indexed="81"/>
            <rFont val="Tahoma"/>
            <family val="2"/>
          </rPr>
          <t>Chu, Dylan [GIR]:</t>
        </r>
        <r>
          <rPr>
            <sz val="9"/>
            <color indexed="81"/>
            <rFont val="Tahoma"/>
            <family val="2"/>
          </rPr>
          <t xml:space="preserve">
Investment earnings on assets in excess of policyholder liabilities in 1H02 res</t>
        </r>
      </text>
    </comment>
    <comment ref="L400" authorId="0" shapeId="0" xr:uid="{00000000-0006-0000-0B00-000077000000}">
      <text>
        <r>
          <rPr>
            <b/>
            <sz val="9"/>
            <color indexed="81"/>
            <rFont val="Tahoma"/>
            <family val="2"/>
          </rPr>
          <t>Chu, Dylan [GIR]:</t>
        </r>
        <r>
          <rPr>
            <sz val="9"/>
            <color indexed="81"/>
            <rFont val="Tahoma"/>
            <family val="2"/>
          </rPr>
          <t xml:space="preserve">
Did not find this figure in 1H07 res</t>
        </r>
      </text>
    </comment>
    <comment ref="AA400" authorId="7" shapeId="0" xr:uid="{00000000-0006-0000-0B00-000078000000}">
      <text>
        <r>
          <rPr>
            <b/>
            <sz val="9"/>
            <color indexed="81"/>
            <rFont val="Tahoma"/>
            <family val="2"/>
          </rPr>
          <t>Jien Goh:</t>
        </r>
        <r>
          <rPr>
            <sz val="9"/>
            <color indexed="81"/>
            <rFont val="Tahoma"/>
            <family val="2"/>
          </rPr>
          <t xml:space="preserve">
includes Property businesses</t>
        </r>
      </text>
    </comment>
    <comment ref="AD400" authorId="8" shapeId="0" xr:uid="{00000000-0006-0000-0B00-000079000000}">
      <text>
        <r>
          <rPr>
            <b/>
            <sz val="9"/>
            <color indexed="81"/>
            <rFont val="Tahoma"/>
            <family val="2"/>
          </rPr>
          <t>Leong, YuChuan [GIR]:</t>
        </r>
        <r>
          <rPr>
            <sz val="9"/>
            <color indexed="81"/>
            <rFont val="Tahoma"/>
            <family val="2"/>
          </rPr>
          <t xml:space="preserve">
Restated at 1H16 p44</t>
        </r>
      </text>
    </comment>
    <comment ref="AE400" authorId="8" shapeId="0" xr:uid="{00000000-0006-0000-0B00-00007A000000}">
      <text>
        <r>
          <rPr>
            <b/>
            <sz val="9"/>
            <color indexed="81"/>
            <rFont val="Tahoma"/>
            <family val="2"/>
          </rPr>
          <t>Leong, YuChuan [GIR]:</t>
        </r>
        <r>
          <rPr>
            <sz val="9"/>
            <color indexed="81"/>
            <rFont val="Tahoma"/>
            <family val="2"/>
          </rPr>
          <t xml:space="preserve">
Restated at 1H16 p44</t>
        </r>
      </text>
    </comment>
    <comment ref="AJ400" authorId="3" shapeId="0" xr:uid="{00000000-0006-0000-0B00-00007B000000}">
      <text>
        <r>
          <rPr>
            <b/>
            <sz val="9"/>
            <color indexed="81"/>
            <rFont val="Tahoma"/>
            <family val="2"/>
          </rPr>
          <t>Andrew Lyons:</t>
        </r>
        <r>
          <rPr>
            <sz val="9"/>
            <color indexed="81"/>
            <rFont val="Tahoma"/>
            <family val="2"/>
          </rPr>
          <t xml:space="preserve">
Restated at 1H19</t>
        </r>
      </text>
    </comment>
    <comment ref="L407" authorId="6" shapeId="0" xr:uid="{00000000-0006-0000-0B00-00007C000000}">
      <text>
        <r>
          <rPr>
            <b/>
            <sz val="8"/>
            <color indexed="81"/>
            <rFont val="Tahoma"/>
            <family val="2"/>
          </rPr>
          <t>J-Lo:</t>
        </r>
        <r>
          <rPr>
            <sz val="8"/>
            <color indexed="81"/>
            <rFont val="Tahoma"/>
            <family val="2"/>
          </rPr>
          <t xml:space="preserve">
sale of HK insurance business</t>
        </r>
      </text>
    </comment>
    <comment ref="AH407" authorId="3" shapeId="0" xr:uid="{00000000-0006-0000-0B00-00007D000000}">
      <text>
        <r>
          <rPr>
            <b/>
            <sz val="9"/>
            <color indexed="81"/>
            <rFont val="Tahoma"/>
            <family val="2"/>
          </rPr>
          <t>Andrew Lyons:</t>
        </r>
        <r>
          <rPr>
            <sz val="9"/>
            <color indexed="81"/>
            <rFont val="Tahoma"/>
            <family val="2"/>
          </rPr>
          <t xml:space="preserve">
Visa profit on sale</t>
        </r>
      </text>
    </comment>
    <comment ref="AS407" authorId="1" shapeId="0" xr:uid="{00000000-0006-0000-0B00-00007E000000}">
      <text>
        <r>
          <rPr>
            <b/>
            <sz val="9"/>
            <color indexed="81"/>
            <rFont val="Tahoma"/>
            <family val="2"/>
          </rPr>
          <t>Lyons, Andrew [GIR]:</t>
        </r>
        <r>
          <rPr>
            <sz val="9"/>
            <color indexed="81"/>
            <rFont val="Tahoma"/>
            <family val="2"/>
          </rPr>
          <t xml:space="preserve">
Per 8/8/22 announcement: profit o sale of HZB stake</t>
        </r>
      </text>
    </comment>
    <comment ref="AH414" authorId="3" shapeId="0" xr:uid="{00000000-0006-0000-0B00-00007F000000}">
      <text>
        <r>
          <rPr>
            <b/>
            <sz val="9"/>
            <color indexed="81"/>
            <rFont val="Tahoma"/>
            <family val="2"/>
          </rPr>
          <t>Andrew Lyons:</t>
        </r>
        <r>
          <rPr>
            <sz val="9"/>
            <color indexed="81"/>
            <rFont val="Tahoma"/>
            <family val="2"/>
          </rPr>
          <t xml:space="preserve">
Restated from 1H18</t>
        </r>
      </text>
    </comment>
    <comment ref="AJ414" authorId="3" shapeId="0" xr:uid="{00000000-0006-0000-0B00-000080000000}">
      <text>
        <r>
          <rPr>
            <b/>
            <sz val="9"/>
            <color indexed="81"/>
            <rFont val="Tahoma"/>
            <family val="2"/>
          </rPr>
          <t>Andrew Lyons:</t>
        </r>
        <r>
          <rPr>
            <sz val="9"/>
            <color indexed="81"/>
            <rFont val="Tahoma"/>
            <family val="2"/>
          </rPr>
          <t xml:space="preserve">
Restated at 1H19</t>
        </r>
      </text>
    </comment>
    <comment ref="AL414" authorId="1" shapeId="0" xr:uid="{00000000-0006-0000-0B00-000081000000}">
      <text>
        <r>
          <rPr>
            <b/>
            <sz val="9"/>
            <color indexed="81"/>
            <rFont val="Tahoma"/>
            <family val="2"/>
          </rPr>
          <t>Lyons, Andrew [GIR]:</t>
        </r>
        <r>
          <rPr>
            <sz val="9"/>
            <color indexed="81"/>
            <rFont val="Tahoma"/>
            <family val="2"/>
          </rPr>
          <t xml:space="preserve">
Attempt to apportion of restatement done at 2H20 as part of CFS sale</t>
        </r>
      </text>
    </comment>
    <comment ref="AP414" authorId="1" shapeId="0" xr:uid="{00000000-0006-0000-0B00-000082000000}">
      <text>
        <r>
          <rPr>
            <b/>
            <sz val="9"/>
            <color indexed="81"/>
            <rFont val="Tahoma"/>
            <family val="2"/>
          </rPr>
          <t>Lyons, Andrew [GIR]:</t>
        </r>
        <r>
          <rPr>
            <sz val="9"/>
            <color indexed="81"/>
            <rFont val="Tahoma"/>
            <family val="2"/>
          </rPr>
          <t xml:space="preserve">
Restated at 1H22</t>
        </r>
      </text>
    </comment>
    <comment ref="AR414" authorId="1" shapeId="0" xr:uid="{2E1FA150-6C44-48E3-9CE9-7B4485191C5C}">
      <text>
        <r>
          <rPr>
            <b/>
            <sz val="9"/>
            <color indexed="81"/>
            <rFont val="Tahoma"/>
            <family val="2"/>
          </rPr>
          <t>Lyons, Andrew [GIR]:</t>
        </r>
        <r>
          <rPr>
            <sz val="9"/>
            <color indexed="81"/>
            <rFont val="Tahoma"/>
            <family val="2"/>
          </rPr>
          <t xml:space="preserve">
Restated at 1H23 result</t>
        </r>
      </text>
    </comment>
    <comment ref="AD416" authorId="8" shapeId="0" xr:uid="{00000000-0006-0000-0B00-000083000000}">
      <text>
        <r>
          <rPr>
            <b/>
            <sz val="9"/>
            <color indexed="81"/>
            <rFont val="Tahoma"/>
            <family val="2"/>
          </rPr>
          <t>Leong, YuChuan [GIR]:</t>
        </r>
        <r>
          <rPr>
            <sz val="9"/>
            <color indexed="81"/>
            <rFont val="Tahoma"/>
            <family val="2"/>
          </rPr>
          <t xml:space="preserve">
Net inerest income restated at 1H16 p61</t>
        </r>
      </text>
    </comment>
    <comment ref="AE416" authorId="8" shapeId="0" xr:uid="{00000000-0006-0000-0B00-000084000000}">
      <text>
        <r>
          <rPr>
            <b/>
            <sz val="9"/>
            <color indexed="81"/>
            <rFont val="Tahoma"/>
            <family val="2"/>
          </rPr>
          <t>Leong, YuChuan [GIR]:</t>
        </r>
        <r>
          <rPr>
            <sz val="9"/>
            <color indexed="81"/>
            <rFont val="Tahoma"/>
            <family val="2"/>
          </rPr>
          <t xml:space="preserve">
Net inerest income restated at 1H16 p61</t>
        </r>
      </text>
    </comment>
    <comment ref="AH432" authorId="4" shapeId="0" xr:uid="{00000000-0006-0000-0B00-000085000000}">
      <text>
        <r>
          <rPr>
            <b/>
            <sz val="9"/>
            <color indexed="81"/>
            <rFont val="Tahoma"/>
            <family val="2"/>
          </rPr>
          <t>Tsao, Desmond [GIR]:</t>
        </r>
        <r>
          <rPr>
            <sz val="9"/>
            <color indexed="81"/>
            <rFont val="Tahoma"/>
            <family val="2"/>
          </rPr>
          <t xml:space="preserve">
cont basis restated to 2,996</t>
        </r>
      </text>
    </comment>
    <comment ref="AJ432" authorId="4" shapeId="0" xr:uid="{00000000-0006-0000-0B00-000086000000}">
      <text>
        <r>
          <rPr>
            <b/>
            <sz val="9"/>
            <color indexed="81"/>
            <rFont val="Tahoma"/>
            <family val="2"/>
          </rPr>
          <t>Tsao, Desmond [GIR]:</t>
        </r>
        <r>
          <rPr>
            <sz val="9"/>
            <color indexed="81"/>
            <rFont val="Tahoma"/>
            <family val="2"/>
          </rPr>
          <t xml:space="preserve">
restated 1H19</t>
        </r>
      </text>
    </comment>
    <comment ref="AK432" authorId="4" shapeId="0" xr:uid="{00000000-0006-0000-0B00-000087000000}">
      <text>
        <r>
          <rPr>
            <b/>
            <sz val="9"/>
            <color indexed="81"/>
            <rFont val="Tahoma"/>
            <family val="2"/>
          </rPr>
          <t>Tsao, Desmond [GIR]:</t>
        </r>
        <r>
          <rPr>
            <sz val="9"/>
            <color indexed="81"/>
            <rFont val="Tahoma"/>
            <family val="2"/>
          </rPr>
          <t xml:space="preserve">
restated in 1H19</t>
        </r>
      </text>
    </comment>
    <comment ref="AN432" authorId="4" shapeId="0" xr:uid="{00000000-0006-0000-0B00-000088000000}">
      <text>
        <r>
          <rPr>
            <b/>
            <sz val="9"/>
            <color indexed="81"/>
            <rFont val="Tahoma"/>
            <family val="2"/>
          </rPr>
          <t>Tsao, Desmond [GIR]:</t>
        </r>
        <r>
          <rPr>
            <sz val="9"/>
            <color indexed="81"/>
            <rFont val="Tahoma"/>
            <family val="2"/>
          </rPr>
          <t xml:space="preserve">
restated in FY21</t>
        </r>
      </text>
    </comment>
    <comment ref="AO432" authorId="1" shapeId="0" xr:uid="{00000000-0006-0000-0B00-000089000000}">
      <text>
        <r>
          <rPr>
            <b/>
            <sz val="9"/>
            <color indexed="81"/>
            <rFont val="Tahoma"/>
            <family val="2"/>
          </rPr>
          <t>Lyons, Andrew [GIR]:</t>
        </r>
        <r>
          <rPr>
            <sz val="9"/>
            <color indexed="81"/>
            <rFont val="Tahoma"/>
            <family val="2"/>
          </rPr>
          <t xml:space="preserve">
Restated at FY21</t>
        </r>
      </text>
    </comment>
    <comment ref="AP432" authorId="1" shapeId="0" xr:uid="{00000000-0006-0000-0B00-00008A000000}">
      <text>
        <r>
          <rPr>
            <b/>
            <sz val="9"/>
            <color indexed="81"/>
            <rFont val="Tahoma"/>
            <family val="2"/>
          </rPr>
          <t>Lyons, Andrew [GIR]:</t>
        </r>
        <r>
          <rPr>
            <sz val="9"/>
            <color indexed="81"/>
            <rFont val="Tahoma"/>
            <family val="2"/>
          </rPr>
          <t xml:space="preserve">
Restated at FY21</t>
        </r>
      </text>
    </comment>
    <comment ref="AS432" authorId="1" shapeId="0" xr:uid="{CA5906DA-8A63-449C-B6A5-A6AE0331BBBE}">
      <text>
        <r>
          <rPr>
            <b/>
            <sz val="9"/>
            <color indexed="81"/>
            <rFont val="Tahoma"/>
            <family val="2"/>
          </rPr>
          <t>Lyons, Andrew [GIR]:</t>
        </r>
        <r>
          <rPr>
            <sz val="9"/>
            <color indexed="81"/>
            <rFont val="Tahoma"/>
            <family val="2"/>
          </rPr>
          <t xml:space="preserve">
Restated at 1H23 result</t>
        </r>
      </text>
    </comment>
    <comment ref="Z433" authorId="6" shapeId="0" xr:uid="{00000000-0006-0000-0B00-00008B000000}">
      <text>
        <r>
          <rPr>
            <b/>
            <sz val="9"/>
            <color indexed="81"/>
            <rFont val="Tahoma"/>
            <family val="2"/>
          </rPr>
          <t>J-Lo:</t>
        </r>
        <r>
          <rPr>
            <sz val="9"/>
            <color indexed="81"/>
            <rFont val="Tahoma"/>
            <family val="2"/>
          </rPr>
          <t xml:space="preserve">
restated given CBA now nets vol expense in WM revenue</t>
        </r>
      </text>
    </comment>
    <comment ref="AA433" authorId="7" shapeId="0" xr:uid="{00000000-0006-0000-0B00-00008C000000}">
      <text>
        <r>
          <rPr>
            <b/>
            <sz val="9"/>
            <color indexed="81"/>
            <rFont val="Tahoma"/>
            <family val="2"/>
          </rPr>
          <t>Jien Goh:</t>
        </r>
        <r>
          <rPr>
            <sz val="9"/>
            <color indexed="81"/>
            <rFont val="Tahoma"/>
            <family val="2"/>
          </rPr>
          <t xml:space="preserve">
includes Property businesses</t>
        </r>
      </text>
    </comment>
    <comment ref="AB433" authorId="7" shapeId="0" xr:uid="{00000000-0006-0000-0B00-00008D000000}">
      <text>
        <r>
          <rPr>
            <b/>
            <sz val="9"/>
            <color indexed="81"/>
            <rFont val="Tahoma"/>
            <family val="2"/>
          </rPr>
          <t>Jien Goh:</t>
        </r>
        <r>
          <rPr>
            <sz val="9"/>
            <color indexed="81"/>
            <rFont val="Tahoma"/>
            <family val="2"/>
          </rPr>
          <t xml:space="preserve">
ex Property businesses </t>
        </r>
      </text>
    </comment>
    <comment ref="AC433" authorId="7" shapeId="0" xr:uid="{00000000-0006-0000-0B00-00008E000000}">
      <text>
        <r>
          <rPr>
            <b/>
            <sz val="9"/>
            <color indexed="81"/>
            <rFont val="Tahoma"/>
            <family val="2"/>
          </rPr>
          <t>Jien Goh:</t>
        </r>
        <r>
          <rPr>
            <sz val="9"/>
            <color indexed="81"/>
            <rFont val="Tahoma"/>
            <family val="2"/>
          </rPr>
          <t xml:space="preserve">
ex Property businesses </t>
        </r>
      </text>
    </comment>
    <comment ref="AE433" authorId="3" shapeId="0" xr:uid="{00000000-0006-0000-0B00-00008F000000}">
      <text>
        <r>
          <rPr>
            <b/>
            <sz val="9"/>
            <color indexed="81"/>
            <rFont val="Tahoma"/>
            <family val="2"/>
          </rPr>
          <t>Andrew Lyons:</t>
        </r>
        <r>
          <rPr>
            <sz val="9"/>
            <color indexed="81"/>
            <rFont val="Tahoma"/>
            <family val="2"/>
          </rPr>
          <t xml:space="preserve">
Adjusts for non-recurring compliance costs in the wealth business in 2H15</t>
        </r>
      </text>
    </comment>
    <comment ref="AL433" authorId="1" shapeId="0" xr:uid="{00000000-0006-0000-0B00-000090000000}">
      <text>
        <r>
          <rPr>
            <b/>
            <sz val="9"/>
            <color indexed="81"/>
            <rFont val="Tahoma"/>
            <family val="2"/>
          </rPr>
          <t>Lyons, Andrew [GIR]:</t>
        </r>
        <r>
          <rPr>
            <sz val="9"/>
            <color indexed="81"/>
            <rFont val="Tahoma"/>
            <family val="2"/>
          </rPr>
          <t xml:space="preserve">
Attempt to apportion of restatement done at 2H20 as part of CFS sale</t>
        </r>
      </text>
    </comment>
    <comment ref="BZ433" authorId="0" shapeId="0" xr:uid="{00000000-0006-0000-0B00-000091000000}">
      <text>
        <r>
          <rPr>
            <b/>
            <sz val="9"/>
            <color indexed="81"/>
            <rFont val="Tahoma"/>
            <family val="2"/>
          </rPr>
          <t>Chu, Dylan [GIR]:</t>
        </r>
        <r>
          <rPr>
            <sz val="9"/>
            <color indexed="81"/>
            <rFont val="Tahoma"/>
            <family val="2"/>
          </rPr>
          <t xml:space="preserve">
Did not find divisional disclosure on funds management; we assume expenses grew in proportion to wealth management income.</t>
        </r>
      </text>
    </comment>
    <comment ref="AK434" authorId="3" shapeId="0" xr:uid="{00000000-0006-0000-0B00-000092000000}">
      <text>
        <r>
          <rPr>
            <b/>
            <sz val="9"/>
            <color indexed="81"/>
            <rFont val="Tahoma"/>
            <family val="2"/>
          </rPr>
          <t>Andrew Lyons:</t>
        </r>
        <r>
          <rPr>
            <sz val="9"/>
            <color indexed="81"/>
            <rFont val="Tahoma"/>
            <family val="2"/>
          </rPr>
          <t xml:space="preserve">
Writedown</t>
        </r>
      </text>
    </comment>
    <comment ref="AB442" authorId="3" shapeId="0" xr:uid="{00000000-0006-0000-0B00-000093000000}">
      <text>
        <r>
          <rPr>
            <b/>
            <sz val="9"/>
            <color indexed="81"/>
            <rFont val="Tahoma"/>
            <family val="2"/>
          </rPr>
          <t>Andrew Lyons:</t>
        </r>
        <r>
          <rPr>
            <sz val="9"/>
            <color indexed="81"/>
            <rFont val="Tahoma"/>
            <family val="2"/>
          </rPr>
          <t xml:space="preserve">
Software write-down</t>
        </r>
      </text>
    </comment>
    <comment ref="AE442" authorId="3" shapeId="0" xr:uid="{00000000-0006-0000-0B00-000094000000}">
      <text>
        <r>
          <rPr>
            <b/>
            <sz val="9"/>
            <color indexed="81"/>
            <rFont val="Tahoma"/>
            <family val="2"/>
          </rPr>
          <t>Andrew Lyons:</t>
        </r>
        <r>
          <rPr>
            <sz val="9"/>
            <color indexed="81"/>
            <rFont val="Tahoma"/>
            <family val="2"/>
          </rPr>
          <t xml:space="preserve">
Adjusts for non-recurring compliance costs in the wealth business in 2H15</t>
        </r>
      </text>
    </comment>
    <comment ref="AH442" authorId="3" shapeId="0" xr:uid="{00000000-0006-0000-0B00-000095000000}">
      <text>
        <r>
          <rPr>
            <b/>
            <sz val="9"/>
            <color indexed="81"/>
            <rFont val="Tahoma"/>
            <family val="2"/>
          </rPr>
          <t>Andrew Lyons:</t>
        </r>
        <r>
          <rPr>
            <sz val="9"/>
            <color indexed="81"/>
            <rFont val="Tahoma"/>
            <family val="2"/>
          </rPr>
          <t xml:space="preserve">
Capitalised software write down</t>
        </r>
      </text>
    </comment>
    <comment ref="AJ442" authorId="4" shapeId="0" xr:uid="{00000000-0006-0000-0B00-000096000000}">
      <text>
        <r>
          <rPr>
            <b/>
            <sz val="9"/>
            <color indexed="81"/>
            <rFont val="Tahoma"/>
            <family val="2"/>
          </rPr>
          <t>Tsao, Desmond [GIR]:</t>
        </r>
        <r>
          <rPr>
            <sz val="9"/>
            <color indexed="81"/>
            <rFont val="Tahoma"/>
            <family val="2"/>
          </rPr>
          <t xml:space="preserve">
AUSTRAC 375
AHL and echoice 71
one-off reg cost 110
Remediation and risk and compliance 100</t>
        </r>
      </text>
    </comment>
    <comment ref="AK442" authorId="4" shapeId="0" xr:uid="{00000000-0006-0000-0B00-000097000000}">
      <text>
        <r>
          <rPr>
            <b/>
            <sz val="9"/>
            <color indexed="81"/>
            <rFont val="Tahoma"/>
            <family val="2"/>
          </rPr>
          <t>Tsao, Desmond [GIR]:</t>
        </r>
        <r>
          <rPr>
            <sz val="9"/>
            <color indexed="81"/>
            <rFont val="Tahoma"/>
            <family val="2"/>
          </rPr>
          <t xml:space="preserve">
AUSTRAC 325mn
One-off reg cost 45mn
51mn increase in capitalsied software impairment driven by decision to implement a new insto lending platform
BBSW A$25 mn
Risk and compliance and remediation 199</t>
        </r>
      </text>
    </comment>
    <comment ref="AL442" authorId="3" shapeId="0" xr:uid="{00000000-0006-0000-0B00-000098000000}">
      <text>
        <r>
          <rPr>
            <b/>
            <sz val="9"/>
            <color indexed="81"/>
            <rFont val="Tahoma"/>
            <family val="2"/>
          </rPr>
          <t>Desmond Tsao:</t>
        </r>
        <r>
          <rPr>
            <sz val="9"/>
            <color indexed="81"/>
            <rFont val="Tahoma"/>
            <family val="2"/>
          </rPr>
          <t xml:space="preserve">
- A$145 mn of insurance recoveries, 
A$221 mn Risk and compliance uplifts and customer remediation but we assumes A$200 mn is program costs, which are multi-year issues and will therefore take a long time to come out
A$200 mn for NewCo
</t>
        </r>
      </text>
    </comment>
    <comment ref="AM442" authorId="3" shapeId="0" xr:uid="{00000000-0006-0000-0B00-000099000000}">
      <text>
        <r>
          <rPr>
            <b/>
            <sz val="9"/>
            <color indexed="81"/>
            <rFont val="Tahoma"/>
            <family val="2"/>
          </rPr>
          <t>Desmond Tsao:</t>
        </r>
        <r>
          <rPr>
            <sz val="9"/>
            <color indexed="81"/>
            <rFont val="Tahoma"/>
            <family val="2"/>
          </rPr>
          <t xml:space="preserve">
639mn customer remediation (including aligned advice)
216mn - risk and compliance programs
</t>
        </r>
      </text>
    </comment>
    <comment ref="AN442" authorId="1" shapeId="0" xr:uid="{00000000-0006-0000-0B00-00009A000000}">
      <text>
        <r>
          <rPr>
            <b/>
            <sz val="9"/>
            <color indexed="81"/>
            <rFont val="Tahoma"/>
            <family val="2"/>
          </rPr>
          <t>Lyons, Andrew [GIR]:</t>
        </r>
        <r>
          <rPr>
            <sz val="9"/>
            <color indexed="81"/>
            <rFont val="Tahoma"/>
            <family val="2"/>
          </rPr>
          <t xml:space="preserve">
Remediation</t>
        </r>
      </text>
    </comment>
    <comment ref="AO442" authorId="1" shapeId="0" xr:uid="{00000000-0006-0000-0B00-00009B000000}">
      <text>
        <r>
          <rPr>
            <b/>
            <sz val="9"/>
            <color indexed="81"/>
            <rFont val="Tahoma"/>
            <family val="2"/>
          </rPr>
          <t>Lyons, Andrew [GIR]:</t>
        </r>
        <r>
          <rPr>
            <sz val="9"/>
            <color indexed="81"/>
            <rFont val="Tahoma"/>
            <family val="2"/>
          </rPr>
          <t xml:space="preserve">
Restated at FY21</t>
        </r>
      </text>
    </comment>
    <comment ref="AP442" authorId="1" shapeId="0" xr:uid="{00000000-0006-0000-0B00-00009C000000}">
      <text>
        <r>
          <rPr>
            <b/>
            <sz val="9"/>
            <color indexed="81"/>
            <rFont val="Tahoma"/>
            <family val="2"/>
          </rPr>
          <t>Lyons, Andrew [GIR]:</t>
        </r>
        <r>
          <rPr>
            <sz val="9"/>
            <color indexed="81"/>
            <rFont val="Tahoma"/>
            <family val="2"/>
          </rPr>
          <t xml:space="preserve">
Remediation; restated at FY21</t>
        </r>
      </text>
    </comment>
    <comment ref="AQ442" authorId="1" shapeId="0" xr:uid="{00000000-0006-0000-0B00-00009D000000}">
      <text>
        <r>
          <rPr>
            <b/>
            <sz val="9"/>
            <color indexed="81"/>
            <rFont val="Tahoma"/>
            <family val="2"/>
          </rPr>
          <t>Lyons, Andrew [GIR]:</t>
        </r>
        <r>
          <rPr>
            <sz val="9"/>
            <color indexed="81"/>
            <rFont val="Tahoma"/>
            <family val="2"/>
          </rPr>
          <t xml:space="preserve">
Remediation</t>
        </r>
      </text>
    </comment>
    <comment ref="AR442" authorId="1" shapeId="0" xr:uid="{00000000-0006-0000-0B00-00009E000000}">
      <text>
        <r>
          <rPr>
            <b/>
            <sz val="9"/>
            <color indexed="81"/>
            <rFont val="Tahoma"/>
            <family val="2"/>
          </rPr>
          <t>Lyons, Andrew [GIR]:</t>
        </r>
        <r>
          <rPr>
            <sz val="9"/>
            <color indexed="81"/>
            <rFont val="Tahoma"/>
            <family val="2"/>
          </rPr>
          <t xml:space="preserve">
Remediation</t>
        </r>
      </text>
    </comment>
    <comment ref="AS442" authorId="9" shapeId="0" xr:uid="{00000000-0006-0000-0B00-00009F000000}">
      <text>
        <r>
          <rPr>
            <b/>
            <sz val="9"/>
            <color indexed="81"/>
            <rFont val="Tahoma"/>
            <family val="2"/>
          </rPr>
          <t>Li, John Y [GIR]:</t>
        </r>
        <r>
          <rPr>
            <sz val="9"/>
            <color indexed="81"/>
            <rFont val="Tahoma"/>
            <family val="2"/>
          </rPr>
          <t xml:space="preserve">
158 remediation
445 software amortisation -&gt; restated to 389 in 1H23</t>
        </r>
      </text>
    </comment>
    <comment ref="AT442" authorId="1" shapeId="0" xr:uid="{00000000-0006-0000-0B00-0000A0000000}">
      <text>
        <r>
          <rPr>
            <b/>
            <sz val="9"/>
            <color indexed="81"/>
            <rFont val="Tahoma"/>
            <family val="2"/>
          </rPr>
          <t>Lyons, Andrew [GIR]:</t>
        </r>
        <r>
          <rPr>
            <sz val="9"/>
            <color indexed="81"/>
            <rFont val="Tahoma"/>
            <family val="2"/>
          </rPr>
          <t xml:space="preserve">
Remediation</t>
        </r>
      </text>
    </comment>
    <comment ref="AU442" authorId="1" shapeId="0" xr:uid="{4984A345-ED15-4C02-8A21-5A948B2488AE}">
      <text>
        <r>
          <rPr>
            <b/>
            <sz val="9"/>
            <color indexed="81"/>
            <rFont val="Tahoma"/>
            <family val="2"/>
          </rPr>
          <t>Lyons, Andrew [GIR]:</t>
        </r>
        <r>
          <rPr>
            <sz val="9"/>
            <color indexed="81"/>
            <rFont val="Tahoma"/>
            <family val="2"/>
          </rPr>
          <t xml:space="preserve">
3Q, then 4Q remediation, then LNIs per 1/8/23 announcement</t>
        </r>
      </text>
    </comment>
    <comment ref="AW442" authorId="1" shapeId="0" xr:uid="{5FAC0449-31AF-4211-B20C-C98D65965266}">
      <text>
        <r>
          <rPr>
            <b/>
            <sz val="9"/>
            <color indexed="81"/>
            <rFont val="Tahoma"/>
            <family val="2"/>
          </rPr>
          <t>Lyons, Andrew [GIR]:</t>
        </r>
        <r>
          <rPr>
            <sz val="9"/>
            <color indexed="81"/>
            <rFont val="Tahoma"/>
            <family val="2"/>
          </rPr>
          <t xml:space="preserve">
BankWest provisions, per 1/8/24 announcement</t>
        </r>
      </text>
    </comment>
    <comment ref="AH449" authorId="3" shapeId="0" xr:uid="{00000000-0006-0000-0B00-0000A1000000}">
      <text>
        <r>
          <rPr>
            <b/>
            <sz val="9"/>
            <color indexed="81"/>
            <rFont val="Tahoma"/>
            <family val="2"/>
          </rPr>
          <t>Andrew Lyons:</t>
        </r>
        <r>
          <rPr>
            <sz val="9"/>
            <color indexed="81"/>
            <rFont val="Tahoma"/>
            <family val="2"/>
          </rPr>
          <t xml:space="preserve">
Restated from 1H18</t>
        </r>
      </text>
    </comment>
    <comment ref="AJ449" authorId="3" shapeId="0" xr:uid="{00000000-0006-0000-0B00-0000A2000000}">
      <text>
        <r>
          <rPr>
            <b/>
            <sz val="9"/>
            <color indexed="81"/>
            <rFont val="Tahoma"/>
            <family val="2"/>
          </rPr>
          <t>Andrew Lyons:</t>
        </r>
        <r>
          <rPr>
            <sz val="9"/>
            <color indexed="81"/>
            <rFont val="Tahoma"/>
            <family val="2"/>
          </rPr>
          <t xml:space="preserve">
Restated at 1H19</t>
        </r>
      </text>
    </comment>
    <comment ref="AL449" authorId="1" shapeId="0" xr:uid="{00000000-0006-0000-0B00-0000A3000000}">
      <text>
        <r>
          <rPr>
            <b/>
            <sz val="9"/>
            <color indexed="81"/>
            <rFont val="Tahoma"/>
            <family val="2"/>
          </rPr>
          <t>Lyons, Andrew [GIR]:</t>
        </r>
        <r>
          <rPr>
            <sz val="9"/>
            <color indexed="81"/>
            <rFont val="Tahoma"/>
            <family val="2"/>
          </rPr>
          <t xml:space="preserve">
Attempt to apportion of restatement done at 2H20 as part of CFS sale</t>
        </r>
      </text>
    </comment>
    <comment ref="AN449" authorId="1" shapeId="0" xr:uid="{00000000-0006-0000-0B00-0000A4000000}">
      <text>
        <r>
          <rPr>
            <b/>
            <sz val="9"/>
            <color indexed="81"/>
            <rFont val="Tahoma"/>
            <family val="2"/>
          </rPr>
          <t>Lyons, Andrew [GIR]:</t>
        </r>
        <r>
          <rPr>
            <sz val="9"/>
            <color indexed="81"/>
            <rFont val="Tahoma"/>
            <family val="2"/>
          </rPr>
          <t xml:space="preserve">
Restated at FY21</t>
        </r>
      </text>
    </comment>
    <comment ref="AO449" authorId="1" shapeId="0" xr:uid="{00000000-0006-0000-0B00-0000A5000000}">
      <text>
        <r>
          <rPr>
            <b/>
            <sz val="9"/>
            <color indexed="81"/>
            <rFont val="Tahoma"/>
            <family val="2"/>
          </rPr>
          <t>Lyons, Andrew [GIR]:</t>
        </r>
        <r>
          <rPr>
            <sz val="9"/>
            <color indexed="81"/>
            <rFont val="Tahoma"/>
            <family val="2"/>
          </rPr>
          <t xml:space="preserve">
Restated at FY21</t>
        </r>
      </text>
    </comment>
    <comment ref="AP449" authorId="1" shapeId="0" xr:uid="{00000000-0006-0000-0B00-0000A6000000}">
      <text>
        <r>
          <rPr>
            <b/>
            <sz val="9"/>
            <color indexed="81"/>
            <rFont val="Tahoma"/>
            <family val="2"/>
          </rPr>
          <t>Lyons, Andrew [GIR]:</t>
        </r>
        <r>
          <rPr>
            <sz val="9"/>
            <color indexed="81"/>
            <rFont val="Tahoma"/>
            <family val="2"/>
          </rPr>
          <t xml:space="preserve">
Restated at FY21</t>
        </r>
      </text>
    </comment>
    <comment ref="AR449" authorId="1" shapeId="0" xr:uid="{11668E10-5647-4D8F-B0A2-D0827FBCF36D}">
      <text>
        <r>
          <rPr>
            <b/>
            <sz val="9"/>
            <color indexed="81"/>
            <rFont val="Tahoma"/>
            <family val="2"/>
          </rPr>
          <t>Lyons, Andrew [GIR]:</t>
        </r>
        <r>
          <rPr>
            <sz val="9"/>
            <color indexed="81"/>
            <rFont val="Tahoma"/>
            <family val="2"/>
          </rPr>
          <t xml:space="preserve">
Restated at 1H23 result</t>
        </r>
      </text>
    </comment>
    <comment ref="AW450" authorId="1" shapeId="0" xr:uid="{07C0B700-97C4-40AD-A16C-F1D1FEEFEB86}">
      <text>
        <r>
          <rPr>
            <b/>
            <sz val="9"/>
            <color indexed="81"/>
            <rFont val="Tahoma"/>
            <family val="2"/>
          </rPr>
          <t>Lyons, Andrew [GIR]:</t>
        </r>
        <r>
          <rPr>
            <sz val="9"/>
            <color indexed="81"/>
            <rFont val="Tahoma"/>
            <family val="2"/>
          </rPr>
          <t xml:space="preserve">
Adjustments relating to PTBC sale, per 1/8/24 announcement</t>
        </r>
      </text>
    </comment>
    <comment ref="AX452" authorId="9" shapeId="0" xr:uid="{378EFF87-1DA9-4915-A4FB-1EE22590E0B1}">
      <text>
        <r>
          <rPr>
            <b/>
            <sz val="9"/>
            <color indexed="81"/>
            <rFont val="Tahoma"/>
            <family val="2"/>
          </rPr>
          <t>Li, John Y [GIR]:</t>
        </r>
        <r>
          <rPr>
            <sz val="9"/>
            <color indexed="81"/>
            <rFont val="Tahoma"/>
            <family val="2"/>
          </rPr>
          <t xml:space="preserve">
leave amort, use other exp as the balance to reach total opex</t>
        </r>
      </text>
    </comment>
    <comment ref="C467" authorId="0" shapeId="0" xr:uid="{00000000-0006-0000-0B00-0000A7000000}">
      <text>
        <r>
          <rPr>
            <b/>
            <sz val="9"/>
            <color indexed="81"/>
            <rFont val="Tahoma"/>
            <family val="2"/>
          </rPr>
          <t>Chu, Dylan [GIR]:</t>
        </r>
        <r>
          <rPr>
            <sz val="9"/>
            <color indexed="81"/>
            <rFont val="Tahoma"/>
            <family val="2"/>
          </rPr>
          <t xml:space="preserve">
pdf p.93 FY03 ann rep</t>
        </r>
      </text>
    </comment>
    <comment ref="E467" authorId="0" shapeId="0" xr:uid="{00000000-0006-0000-0B00-0000A8000000}">
      <text>
        <r>
          <rPr>
            <b/>
            <sz val="9"/>
            <color indexed="81"/>
            <rFont val="Tahoma"/>
            <family val="2"/>
          </rPr>
          <t>Chu, Dylan [GIR]:</t>
        </r>
        <r>
          <rPr>
            <sz val="9"/>
            <color indexed="81"/>
            <rFont val="Tahoma"/>
            <family val="2"/>
          </rPr>
          <t xml:space="preserve">
pdf p.93 FY03 ann rep</t>
        </r>
      </text>
    </comment>
    <comment ref="G467" authorId="0" shapeId="0" xr:uid="{00000000-0006-0000-0B00-0000A9000000}">
      <text>
        <r>
          <rPr>
            <b/>
            <sz val="9"/>
            <color indexed="81"/>
            <rFont val="Tahoma"/>
            <family val="2"/>
          </rPr>
          <t>Chu, Dylan [GIR]:</t>
        </r>
        <r>
          <rPr>
            <sz val="9"/>
            <color indexed="81"/>
            <rFont val="Tahoma"/>
            <family val="2"/>
          </rPr>
          <t xml:space="preserve">
pdf p.95 FY04 ann rep</t>
        </r>
      </text>
    </comment>
    <comment ref="I467" authorId="0" shapeId="0" xr:uid="{00000000-0006-0000-0B00-0000AA000000}">
      <text>
        <r>
          <rPr>
            <b/>
            <sz val="9"/>
            <color indexed="81"/>
            <rFont val="Tahoma"/>
            <family val="2"/>
          </rPr>
          <t>Chu, Dylan [GIR]:</t>
        </r>
        <r>
          <rPr>
            <sz val="9"/>
            <color indexed="81"/>
            <rFont val="Tahoma"/>
            <family val="2"/>
          </rPr>
          <t xml:space="preserve">
pdf p.117 FY05 ann rep</t>
        </r>
      </text>
    </comment>
    <comment ref="K467" authorId="0" shapeId="0" xr:uid="{00000000-0006-0000-0B00-0000AB000000}">
      <text>
        <r>
          <rPr>
            <b/>
            <sz val="9"/>
            <color indexed="81"/>
            <rFont val="Tahoma"/>
            <family val="2"/>
          </rPr>
          <t>Chu, Dylan [GIR]:</t>
        </r>
        <r>
          <rPr>
            <sz val="9"/>
            <color indexed="81"/>
            <rFont val="Tahoma"/>
            <family val="2"/>
          </rPr>
          <t xml:space="preserve">
pdf p.154 FY06 ann rep</t>
        </r>
      </text>
    </comment>
    <comment ref="AI468" authorId="4" shapeId="0" xr:uid="{00000000-0006-0000-0B00-0000AC000000}">
      <text>
        <r>
          <rPr>
            <b/>
            <sz val="9"/>
            <color indexed="81"/>
            <rFont val="Tahoma"/>
            <family val="2"/>
          </rPr>
          <t>Tsao, Desmond [GIR]:</t>
        </r>
        <r>
          <rPr>
            <sz val="9"/>
            <color indexed="81"/>
            <rFont val="Tahoma"/>
            <family val="2"/>
          </rPr>
          <t xml:space="preserve">
PILLAR 3</t>
        </r>
      </text>
    </comment>
    <comment ref="AX481" authorId="9" shapeId="0" xr:uid="{55B824E8-4424-4747-A89D-186ED7A300FF}">
      <text>
        <r>
          <rPr>
            <b/>
            <sz val="9"/>
            <color indexed="81"/>
            <rFont val="Tahoma"/>
            <family val="2"/>
          </rPr>
          <t>Li, John Y [GIR]:</t>
        </r>
        <r>
          <rPr>
            <sz val="9"/>
            <color indexed="81"/>
            <rFont val="Tahoma"/>
            <family val="2"/>
          </rPr>
          <t xml:space="preserve">
adjust write-offs to reach this</t>
        </r>
      </text>
    </comment>
    <comment ref="I497" authorId="0" shapeId="0" xr:uid="{00000000-0006-0000-0B00-0000AD000000}">
      <text>
        <r>
          <rPr>
            <b/>
            <sz val="9"/>
            <color indexed="81"/>
            <rFont val="Tahoma"/>
            <family val="2"/>
          </rPr>
          <t>Chu, Dylan [GIR]:</t>
        </r>
        <r>
          <rPr>
            <sz val="9"/>
            <color indexed="81"/>
            <rFont val="Tahoma"/>
            <family val="2"/>
          </rPr>
          <t xml:space="preserve">
Disclosure of analysis template changed: see pdf p.97 of 1H06 result and pdf p.60 of 1H05 result; in 1H05 disclosure, income tax - policyholder feeds into cash earnings</t>
        </r>
      </text>
    </comment>
    <comment ref="AJ497" authorId="3" shapeId="0" xr:uid="{00000000-0006-0000-0B00-0000AE000000}">
      <text>
        <r>
          <rPr>
            <b/>
            <sz val="9"/>
            <color indexed="81"/>
            <rFont val="Tahoma"/>
            <family val="2"/>
          </rPr>
          <t>Andrew Lyons:</t>
        </r>
        <r>
          <rPr>
            <sz val="9"/>
            <color indexed="81"/>
            <rFont val="Tahoma"/>
            <family val="2"/>
          </rPr>
          <t xml:space="preserve">
Restated at 1H19</t>
        </r>
      </text>
    </comment>
    <comment ref="G499" authorId="0" shapeId="0" xr:uid="{00000000-0006-0000-0B00-0000AF000000}">
      <text>
        <r>
          <rPr>
            <b/>
            <sz val="9"/>
            <color indexed="81"/>
            <rFont val="Tahoma"/>
            <family val="2"/>
          </rPr>
          <t>Chu, Dylan [GIR]:</t>
        </r>
        <r>
          <rPr>
            <sz val="9"/>
            <color indexed="81"/>
            <rFont val="Tahoma"/>
            <family val="2"/>
          </rPr>
          <t xml:space="preserve">
Half-year disclosure discontinued</t>
        </r>
      </text>
    </comment>
    <comment ref="AC508" authorId="7" shapeId="0" xr:uid="{00000000-0006-0000-0B00-0000B0000000}">
      <text>
        <r>
          <rPr>
            <b/>
            <sz val="9"/>
            <color indexed="81"/>
            <rFont val="Tahoma"/>
            <family val="2"/>
          </rPr>
          <t>Jien Goh:</t>
        </r>
        <r>
          <rPr>
            <sz val="9"/>
            <color indexed="81"/>
            <rFont val="Tahoma"/>
            <family val="2"/>
          </rPr>
          <t xml:space="preserve">
Income tax over provided in previous years due to impact of changes in accounting policy, resulting in a one-off adjustment of $129 million associted with capitalised software expenditure </t>
        </r>
      </text>
    </comment>
    <comment ref="AH509" authorId="3" shapeId="0" xr:uid="{00000000-0006-0000-0B00-0000B1000000}">
      <text>
        <r>
          <rPr>
            <b/>
            <sz val="9"/>
            <color indexed="81"/>
            <rFont val="Tahoma"/>
            <family val="2"/>
          </rPr>
          <t>Andrew Lyons:</t>
        </r>
        <r>
          <rPr>
            <sz val="9"/>
            <color indexed="81"/>
            <rFont val="Tahoma"/>
            <family val="2"/>
          </rPr>
          <t xml:space="preserve">
</t>
        </r>
        <r>
          <rPr>
            <sz val="9"/>
            <color indexed="81"/>
            <rFont val="Tahoma"/>
            <family val="2"/>
          </rPr>
          <t>Includes discontinued operations</t>
        </r>
      </text>
    </comment>
    <comment ref="AN509" authorId="1" shapeId="0" xr:uid="{00000000-0006-0000-0B00-0000B2000000}">
      <text>
        <r>
          <rPr>
            <b/>
            <sz val="9"/>
            <color indexed="81"/>
            <rFont val="Tahoma"/>
            <family val="2"/>
          </rPr>
          <t>Lyons, Andrew [GIR]:</t>
        </r>
        <r>
          <rPr>
            <sz val="9"/>
            <color indexed="81"/>
            <rFont val="Tahoma"/>
            <family val="2"/>
          </rPr>
          <t xml:space="preserve">
Restated at FY21</t>
        </r>
      </text>
    </comment>
    <comment ref="AO509" authorId="1" shapeId="0" xr:uid="{00000000-0006-0000-0B00-0000B3000000}">
      <text>
        <r>
          <rPr>
            <b/>
            <sz val="9"/>
            <color indexed="81"/>
            <rFont val="Tahoma"/>
            <family val="2"/>
          </rPr>
          <t>Lyons, Andrew [GIR]:</t>
        </r>
        <r>
          <rPr>
            <sz val="9"/>
            <color indexed="81"/>
            <rFont val="Tahoma"/>
            <family val="2"/>
          </rPr>
          <t xml:space="preserve">
Restated at FY21</t>
        </r>
      </text>
    </comment>
    <comment ref="AP509" authorId="1" shapeId="0" xr:uid="{00000000-0006-0000-0B00-0000B4000000}">
      <text>
        <r>
          <rPr>
            <b/>
            <sz val="9"/>
            <color indexed="81"/>
            <rFont val="Tahoma"/>
            <family val="2"/>
          </rPr>
          <t>Lyons, Andrew [GIR]:</t>
        </r>
        <r>
          <rPr>
            <sz val="9"/>
            <color indexed="81"/>
            <rFont val="Tahoma"/>
            <family val="2"/>
          </rPr>
          <t xml:space="preserve">
Forced all of the restatement of stat earnings into this line item. Will need to amend on result day</t>
        </r>
      </text>
    </comment>
    <comment ref="AQ509" authorId="9" shapeId="0" xr:uid="{00000000-0006-0000-0B00-0000B5000000}">
      <text>
        <r>
          <rPr>
            <b/>
            <sz val="9"/>
            <color indexed="81"/>
            <rFont val="Tahoma"/>
            <family val="2"/>
          </rPr>
          <t>Li, John Y [GIR]:</t>
        </r>
        <r>
          <rPr>
            <sz val="9"/>
            <color indexed="81"/>
            <rFont val="Tahoma"/>
            <family val="2"/>
          </rPr>
          <t xml:space="preserve">
third number?</t>
        </r>
      </text>
    </comment>
    <comment ref="BZ513" authorId="0" shapeId="0" xr:uid="{00000000-0006-0000-0B00-0000B6000000}">
      <text>
        <r>
          <rPr>
            <b/>
            <sz val="9"/>
            <color indexed="81"/>
            <rFont val="Tahoma"/>
            <family val="2"/>
          </rPr>
          <t>Chu, Dylan [GIR]:</t>
        </r>
        <r>
          <rPr>
            <sz val="9"/>
            <color indexed="81"/>
            <rFont val="Tahoma"/>
            <family val="2"/>
          </rPr>
          <t xml:space="preserve">
Cash earnings” for the purpose of these financial statements is defined as net profit after tax and before abnormal
items adjusted for goodwill amortisation and life insurance appraisal value uplift</t>
        </r>
      </text>
    </comment>
    <comment ref="Q523" authorId="6" shapeId="0" xr:uid="{00000000-0006-0000-0B00-0000B7000000}">
      <text>
        <r>
          <rPr>
            <b/>
            <sz val="8"/>
            <color indexed="81"/>
            <rFont val="Tahoma"/>
            <family val="2"/>
          </rPr>
          <t>J-Lo:</t>
        </r>
        <r>
          <rPr>
            <sz val="8"/>
            <color indexed="81"/>
            <rFont val="Tahoma"/>
            <family val="2"/>
          </rPr>
          <t xml:space="preserve">
A$295 mn gain on Visa IPO and A$264 mn charge for restructuring</t>
        </r>
      </text>
    </comment>
    <comment ref="AC523" authorId="7" shapeId="0" xr:uid="{00000000-0006-0000-0B00-0000B8000000}">
      <text>
        <r>
          <rPr>
            <b/>
            <sz val="9"/>
            <color indexed="81"/>
            <rFont val="Tahoma"/>
            <family val="2"/>
          </rPr>
          <t>Jien Goh:</t>
        </r>
        <r>
          <rPr>
            <sz val="9"/>
            <color indexed="81"/>
            <rFont val="Tahoma"/>
            <family val="2"/>
          </rPr>
          <t xml:space="preserve">
Bell Group litigation and gan on sale of mgmt rights (CPA)</t>
        </r>
      </text>
    </comment>
    <comment ref="AH523" authorId="3" shapeId="0" xr:uid="{00000000-0006-0000-0B00-0000B9000000}">
      <text>
        <r>
          <rPr>
            <b/>
            <sz val="9"/>
            <color indexed="81"/>
            <rFont val="Tahoma"/>
            <family val="2"/>
          </rPr>
          <t>Andrew Lyons:</t>
        </r>
        <r>
          <rPr>
            <sz val="9"/>
            <color indexed="81"/>
            <rFont val="Tahoma"/>
            <family val="2"/>
          </rPr>
          <t xml:space="preserve">
Restated from 1H8 - discontinued operations</t>
        </r>
      </text>
    </comment>
    <comment ref="AU523" authorId="9" shapeId="0" xr:uid="{DF552DCE-4B53-4EC1-9482-6345A488441B}">
      <text>
        <r>
          <rPr>
            <b/>
            <sz val="9"/>
            <color indexed="81"/>
            <rFont val="Tahoma"/>
            <family val="2"/>
          </rPr>
          <t>Li, John Y [GIR]:</t>
        </r>
        <r>
          <rPr>
            <sz val="9"/>
            <color indexed="81"/>
            <rFont val="Tahoma"/>
            <family val="2"/>
          </rPr>
          <t xml:space="preserve">
in the "profit reconciliation"</t>
        </r>
      </text>
    </comment>
    <comment ref="AJ524" authorId="4" shapeId="0" xr:uid="{00000000-0006-0000-0B00-0000BA000000}">
      <text>
        <r>
          <rPr>
            <b/>
            <sz val="9"/>
            <color indexed="81"/>
            <rFont val="Tahoma"/>
            <family val="2"/>
          </rPr>
          <t>Tsao, Desmond [GIR]:</t>
        </r>
        <r>
          <rPr>
            <sz val="9"/>
            <color indexed="81"/>
            <rFont val="Tahoma"/>
            <family val="2"/>
          </rPr>
          <t xml:space="preserve">
pg 21 result 
96 hedging IFRS
(1) bankwest
(3) treasury share valn
(57) g/l on disposal 
Includes transaction and separation costs associated with the disposal of CommInsure Life and Sovereign ($122 million), a gain recognised on acquisition of AHL
Holdings Pty Ltd (trading as Aussie Home Loans) ($58 million), a gain on sale of County Banks ($11 million), and a loss due to the dilution of the Group’s interest in Qilu
Bank Co. Ltd ($4 million).</t>
        </r>
      </text>
    </comment>
    <comment ref="AK524" authorId="4" shapeId="0" xr:uid="{00000000-0006-0000-0B00-0000BB000000}">
      <text>
        <r>
          <rPr>
            <b/>
            <sz val="9"/>
            <color indexed="81"/>
            <rFont val="Tahoma"/>
            <family val="2"/>
          </rPr>
          <t>Tsao, Desmond [GIR]:</t>
        </r>
        <r>
          <rPr>
            <sz val="9"/>
            <color indexed="81"/>
            <rFont val="Tahoma"/>
            <family val="2"/>
          </rPr>
          <t xml:space="preserve">
FY18 4D page 148</t>
        </r>
      </text>
    </comment>
    <comment ref="AL524" authorId="4" shapeId="0" xr:uid="{00000000-0006-0000-0B00-0000BC000000}">
      <text>
        <r>
          <rPr>
            <b/>
            <sz val="9"/>
            <color indexed="81"/>
            <rFont val="Tahoma"/>
            <family val="2"/>
          </rPr>
          <t>Tsao, Desmond [GIR]:</t>
        </r>
        <r>
          <rPr>
            <sz val="9"/>
            <color indexed="81"/>
            <rFont val="Tahoma"/>
            <family val="2"/>
          </rPr>
          <t xml:space="preserve">
FY18 4D page 148</t>
        </r>
      </text>
    </comment>
    <comment ref="AM524" authorId="4" shapeId="0" xr:uid="{00000000-0006-0000-0B00-0000BD000000}">
      <text>
        <r>
          <rPr>
            <b/>
            <sz val="9"/>
            <color indexed="81"/>
            <rFont val="Tahoma"/>
            <family val="2"/>
          </rPr>
          <t>Tsao, Desmond [GIR]:</t>
        </r>
        <r>
          <rPr>
            <sz val="9"/>
            <color indexed="81"/>
            <rFont val="Tahoma"/>
            <family val="2"/>
          </rPr>
          <t xml:space="preserve">
FY19 4D pg 133</t>
        </r>
      </text>
    </comment>
    <comment ref="AU524" authorId="9" shapeId="0" xr:uid="{A1DB3E69-A9E2-4A32-BE3E-21157E122B30}">
      <text>
        <r>
          <rPr>
            <b/>
            <sz val="9"/>
            <color indexed="81"/>
            <rFont val="Tahoma"/>
            <family val="2"/>
          </rPr>
          <t>Li, John Y [GIR]:</t>
        </r>
        <r>
          <rPr>
            <sz val="9"/>
            <color indexed="81"/>
            <rFont val="Tahoma"/>
            <family val="2"/>
          </rPr>
          <t xml:space="preserve">
Gain/(loss) on
disposal and
acquisition of
controlled entities -54
Hedging
and IFRS
volatility -20</t>
        </r>
      </text>
    </comment>
    <comment ref="AU525" authorId="9" shapeId="0" xr:uid="{FFB887DC-B30A-49F4-9C03-E3A562C8180C}">
      <text>
        <r>
          <rPr>
            <b/>
            <sz val="9"/>
            <color indexed="81"/>
            <rFont val="Tahoma"/>
            <family val="2"/>
          </rPr>
          <t>Li, John Y [GIR]:</t>
        </r>
        <r>
          <rPr>
            <sz val="9"/>
            <color indexed="81"/>
            <rFont val="Tahoma"/>
            <family val="2"/>
          </rPr>
          <t xml:space="preserve">
needs to be 4,945</t>
        </r>
      </text>
    </comment>
    <comment ref="I526" authorId="0" shapeId="0" xr:uid="{00000000-0006-0000-0B00-0000BE000000}">
      <text>
        <r>
          <rPr>
            <b/>
            <sz val="9"/>
            <color indexed="81"/>
            <rFont val="Tahoma"/>
            <family val="2"/>
          </rPr>
          <t>Chu, Dylan [GIR]:</t>
        </r>
        <r>
          <rPr>
            <sz val="9"/>
            <color indexed="81"/>
            <rFont val="Tahoma"/>
            <family val="2"/>
          </rPr>
          <t xml:space="preserve">
disclosure changed at this point</t>
        </r>
      </text>
    </comment>
    <comment ref="AJ526" authorId="3" shapeId="0" xr:uid="{00000000-0006-0000-0B00-0000BF000000}">
      <text>
        <r>
          <rPr>
            <b/>
            <sz val="9"/>
            <color indexed="81"/>
            <rFont val="Tahoma"/>
            <family val="2"/>
          </rPr>
          <t>Andrew Lyons:</t>
        </r>
        <r>
          <rPr>
            <sz val="9"/>
            <color indexed="81"/>
            <rFont val="Tahoma"/>
            <family val="2"/>
          </rPr>
          <t xml:space="preserve">
1H19 restatement</t>
        </r>
      </text>
    </comment>
    <comment ref="AH527" authorId="3" shapeId="0" xr:uid="{00000000-0006-0000-0B00-0000C0000000}">
      <text>
        <r>
          <rPr>
            <b/>
            <sz val="9"/>
            <color indexed="81"/>
            <rFont val="Tahoma"/>
            <family val="2"/>
          </rPr>
          <t>Andrew Lyons:</t>
        </r>
        <r>
          <rPr>
            <sz val="9"/>
            <color indexed="81"/>
            <rFont val="Tahoma"/>
            <family val="2"/>
          </rPr>
          <t xml:space="preserve">
Restatements at 1H18</t>
        </r>
      </text>
    </comment>
    <comment ref="AY527" authorId="5" shapeId="0" xr:uid="{B54C4346-5EA7-4072-8507-A510D6C81829}">
      <text>
        <r>
          <rPr>
            <b/>
            <sz val="9"/>
            <color indexed="81"/>
            <rFont val="Tahoma"/>
            <family val="2"/>
          </rPr>
          <t>Vaghani, Rushil [GIR]:</t>
        </r>
        <r>
          <rPr>
            <sz val="9"/>
            <color indexed="81"/>
            <rFont val="Tahoma"/>
            <family val="2"/>
          </rPr>
          <t xml:space="preserve">
Total assets - total liabilities from consolidated BS</t>
        </r>
      </text>
    </comment>
    <comment ref="K537" authorId="0" shapeId="0" xr:uid="{00000000-0006-0000-0B00-0000C1000000}">
      <text>
        <r>
          <rPr>
            <b/>
            <sz val="9"/>
            <color indexed="81"/>
            <rFont val="Tahoma"/>
            <family val="2"/>
          </rPr>
          <t>Chu, Dylan [GIR]:</t>
        </r>
        <r>
          <rPr>
            <sz val="9"/>
            <color indexed="81"/>
            <rFont val="Tahoma"/>
            <family val="2"/>
          </rPr>
          <t xml:space="preserve">
Including all movement between beginning and ending ordinary share capital balance</t>
        </r>
      </text>
    </comment>
    <comment ref="L539" authorId="7" shapeId="0" xr:uid="{00000000-0006-0000-0B00-0000C2000000}">
      <text>
        <r>
          <rPr>
            <b/>
            <sz val="9"/>
            <color indexed="81"/>
            <rFont val="Tahoma"/>
            <family val="2"/>
          </rPr>
          <t>Jien Goh:</t>
        </r>
        <r>
          <rPr>
            <sz val="9"/>
            <color indexed="81"/>
            <rFont val="Tahoma"/>
            <family val="2"/>
          </rPr>
          <t xml:space="preserve">
as per 2H06 result, pdf pg 27
… later reclassified in 2H07 result pdf pg 66</t>
        </r>
      </text>
    </comment>
    <comment ref="AH544" authorId="3" shapeId="0" xr:uid="{00000000-0006-0000-0B00-0000C3000000}">
      <text>
        <r>
          <rPr>
            <b/>
            <sz val="9"/>
            <color indexed="81"/>
            <rFont val="Tahoma"/>
            <family val="2"/>
          </rPr>
          <t>Andrew Lyons:</t>
        </r>
        <r>
          <rPr>
            <sz val="9"/>
            <color indexed="81"/>
            <rFont val="Tahoma"/>
            <family val="2"/>
          </rPr>
          <t xml:space="preserve">
Restated at 1H18</t>
        </r>
      </text>
    </comment>
    <comment ref="J545" authorId="0" shapeId="0" xr:uid="{00000000-0006-0000-0B00-0000C4000000}">
      <text>
        <r>
          <rPr>
            <b/>
            <sz val="9"/>
            <color indexed="81"/>
            <rFont val="Tahoma"/>
            <family val="2"/>
          </rPr>
          <t>Chu, Dylan [GIR]:</t>
        </r>
        <r>
          <rPr>
            <sz val="9"/>
            <color indexed="81"/>
            <rFont val="Tahoma"/>
            <family val="2"/>
          </rPr>
          <t xml:space="preserve">
Restated</t>
        </r>
      </text>
    </comment>
    <comment ref="AD545" authorId="3" shapeId="0" xr:uid="{00000000-0006-0000-0B00-0000C5000000}">
      <text>
        <r>
          <rPr>
            <b/>
            <sz val="9"/>
            <color indexed="81"/>
            <rFont val="Tahoma"/>
            <family val="2"/>
          </rPr>
          <t>Andrew Lyons:</t>
        </r>
        <r>
          <rPr>
            <sz val="9"/>
            <color indexed="81"/>
            <rFont val="Tahoma"/>
            <family val="2"/>
          </rPr>
          <t xml:space="preserve">
PERLs VII replacing PERLS V</t>
        </r>
      </text>
    </comment>
    <comment ref="AH545" authorId="3" shapeId="0" xr:uid="{00000000-0006-0000-0B00-0000C6000000}">
      <text>
        <r>
          <rPr>
            <b/>
            <sz val="9"/>
            <color indexed="81"/>
            <rFont val="Tahoma"/>
            <family val="2"/>
          </rPr>
          <t>Andrew Lyons:</t>
        </r>
        <r>
          <rPr>
            <sz val="9"/>
            <color indexed="81"/>
            <rFont val="Tahoma"/>
            <family val="2"/>
          </rPr>
          <t xml:space="preserve">
Restated at 1H18</t>
        </r>
      </text>
    </comment>
    <comment ref="CP545" authorId="8" shapeId="0" xr:uid="{00000000-0006-0000-0B00-0000C7000000}">
      <text>
        <r>
          <rPr>
            <b/>
            <sz val="9"/>
            <color indexed="81"/>
            <rFont val="Tahoma"/>
            <family val="2"/>
          </rPr>
          <t>Leong, YuChuan [GIR]:</t>
        </r>
        <r>
          <rPr>
            <sz val="9"/>
            <color indexed="81"/>
            <rFont val="Tahoma"/>
            <family val="2"/>
          </rPr>
          <t xml:space="preserve">
Restated FY16</t>
        </r>
      </text>
    </comment>
    <comment ref="I546" authorId="0" shapeId="0" xr:uid="{00000000-0006-0000-0B00-0000C8000000}">
      <text>
        <r>
          <rPr>
            <b/>
            <sz val="9"/>
            <color indexed="81"/>
            <rFont val="Tahoma"/>
            <family val="2"/>
          </rPr>
          <t>Chu, Dylan [GIR]:</t>
        </r>
        <r>
          <rPr>
            <sz val="9"/>
            <color indexed="81"/>
            <rFont val="Tahoma"/>
            <family val="2"/>
          </rPr>
          <t xml:space="preserve">
Assume dilution adjustment is after-tax amount of preference share dividend and a tax rate of 30%</t>
        </r>
      </text>
    </comment>
    <comment ref="AD546" authorId="3" shapeId="0" xr:uid="{00000000-0006-0000-0B00-0000C9000000}">
      <text>
        <r>
          <rPr>
            <b/>
            <sz val="9"/>
            <color indexed="81"/>
            <rFont val="Tahoma"/>
            <family val="2"/>
          </rPr>
          <t>Andrew Lyons:</t>
        </r>
        <r>
          <rPr>
            <sz val="9"/>
            <color indexed="81"/>
            <rFont val="Tahoma"/>
            <family val="2"/>
          </rPr>
          <t xml:space="preserve">
PERLs VII replacing PERLS V</t>
        </r>
      </text>
    </comment>
    <comment ref="O548" authorId="6" shapeId="0" xr:uid="{00000000-0006-0000-0B00-0000CA000000}">
      <text>
        <r>
          <rPr>
            <b/>
            <sz val="8"/>
            <color indexed="81"/>
            <rFont val="Tahoma"/>
            <family val="2"/>
          </rPr>
          <t>J-Lo:</t>
        </r>
        <r>
          <rPr>
            <sz val="8"/>
            <color indexed="81"/>
            <rFont val="Tahoma"/>
            <family val="2"/>
          </rPr>
          <t xml:space="preserve">
Basel I</t>
        </r>
      </text>
    </comment>
    <comment ref="P548" authorId="6" shapeId="0" xr:uid="{00000000-0006-0000-0B00-0000CB000000}">
      <text>
        <r>
          <rPr>
            <b/>
            <sz val="8"/>
            <color indexed="81"/>
            <rFont val="Tahoma"/>
            <family val="2"/>
          </rPr>
          <t>J-Lo:</t>
        </r>
        <r>
          <rPr>
            <sz val="8"/>
            <color indexed="81"/>
            <rFont val="Tahoma"/>
            <family val="2"/>
          </rPr>
          <t xml:space="preserve">
Basel II</t>
        </r>
      </text>
    </comment>
    <comment ref="AU556" authorId="9" shapeId="0" xr:uid="{7D340D4C-CBFE-4B8E-8641-7B7D3C0FBD27}">
      <text>
        <r>
          <rPr>
            <b/>
            <sz val="9"/>
            <color indexed="81"/>
            <rFont val="Tahoma"/>
            <family val="2"/>
          </rPr>
          <t>Li, John Y [GIR]:</t>
        </r>
        <r>
          <rPr>
            <sz val="9"/>
            <color indexed="81"/>
            <rFont val="Tahoma"/>
            <family val="2"/>
          </rPr>
          <t xml:space="preserve">
"Retained earnings adjustment from non-consolidated subsidiaries"</t>
        </r>
      </text>
    </comment>
    <comment ref="AV556" authorId="9" shapeId="0" xr:uid="{130E4594-5DC1-4ACC-AFE9-04BBCCEED102}">
      <text>
        <r>
          <rPr>
            <b/>
            <sz val="9"/>
            <color indexed="81"/>
            <rFont val="Tahoma"/>
            <family val="2"/>
          </rPr>
          <t>Li, John Y [GIR]:</t>
        </r>
        <r>
          <rPr>
            <sz val="9"/>
            <color indexed="81"/>
            <rFont val="Tahoma"/>
            <family val="2"/>
          </rPr>
          <t xml:space="preserve">
"Retained earnings adjustment from non-consolidated subsidiaries"</t>
        </r>
      </text>
    </comment>
    <comment ref="AW556" authorId="9" shapeId="0" xr:uid="{D7223DA1-484A-4944-B308-6FBFC26847C0}">
      <text>
        <r>
          <rPr>
            <b/>
            <sz val="9"/>
            <color indexed="81"/>
            <rFont val="Tahoma"/>
            <family val="2"/>
          </rPr>
          <t>Li, John Y [GIR]:</t>
        </r>
        <r>
          <rPr>
            <sz val="9"/>
            <color indexed="81"/>
            <rFont val="Tahoma"/>
            <family val="2"/>
          </rPr>
          <t xml:space="preserve">
"Retained earnings adjustment from non-consolidated subsidiaries"</t>
        </r>
      </text>
    </comment>
    <comment ref="AX556" authorId="9" shapeId="0" xr:uid="{B72F22E0-9A16-4912-BCFB-E96B79C77FC1}">
      <text>
        <r>
          <rPr>
            <b/>
            <sz val="9"/>
            <color indexed="81"/>
            <rFont val="Tahoma"/>
            <family val="2"/>
          </rPr>
          <t>Li, John Y [GIR]:</t>
        </r>
        <r>
          <rPr>
            <sz val="9"/>
            <color indexed="81"/>
            <rFont val="Tahoma"/>
            <family val="2"/>
          </rPr>
          <t xml:space="preserve">
"Retained earnings adjustment from non-consolidated subsidiaries"</t>
        </r>
      </text>
    </comment>
    <comment ref="X562" authorId="3" shapeId="0" xr:uid="{00000000-0006-0000-0B00-0000CC000000}">
      <text>
        <r>
          <rPr>
            <b/>
            <sz val="9"/>
            <color indexed="81"/>
            <rFont val="Tahoma"/>
            <family val="2"/>
          </rPr>
          <t>Andrew Lyons:</t>
        </r>
        <r>
          <rPr>
            <sz val="9"/>
            <color indexed="81"/>
            <rFont val="Tahoma"/>
            <family val="2"/>
          </rPr>
          <t xml:space="preserve">
Have tried to reconcile this as best we can to the new disclosures.  Not entirely possible.</t>
        </r>
      </text>
    </comment>
    <comment ref="AH562" authorId="4" shapeId="0" xr:uid="{00000000-0006-0000-0B00-0000CD000000}">
      <text>
        <r>
          <rPr>
            <b/>
            <sz val="9"/>
            <color indexed="81"/>
            <rFont val="Tahoma"/>
            <family val="2"/>
          </rPr>
          <t>Tsao, Desmond [GIR]:</t>
        </r>
        <r>
          <rPr>
            <sz val="9"/>
            <color indexed="81"/>
            <rFont val="Tahoma"/>
            <family val="2"/>
          </rPr>
          <t xml:space="preserve">
restated in 1H18</t>
        </r>
      </text>
    </comment>
    <comment ref="AA565" authorId="6" shapeId="0" xr:uid="{00000000-0006-0000-0B00-0000CE000000}">
      <text>
        <r>
          <rPr>
            <b/>
            <sz val="9"/>
            <color indexed="81"/>
            <rFont val="Tahoma"/>
            <family val="2"/>
          </rPr>
          <t>J-Lo:</t>
        </r>
        <r>
          <rPr>
            <sz val="9"/>
            <color indexed="81"/>
            <rFont val="Tahoma"/>
            <family val="2"/>
          </rPr>
          <t xml:space="preserve">
B3 compliant</t>
        </r>
      </text>
    </comment>
    <comment ref="AV565" authorId="9" shapeId="0" xr:uid="{837CAD56-8445-4889-A351-004F9D200D07}">
      <text>
        <r>
          <rPr>
            <b/>
            <sz val="9"/>
            <color indexed="81"/>
            <rFont val="Tahoma"/>
            <family val="2"/>
          </rPr>
          <t>Li, John Y [GIR]:</t>
        </r>
        <r>
          <rPr>
            <sz val="9"/>
            <color indexed="81"/>
            <rFont val="Tahoma"/>
            <family val="2"/>
          </rPr>
          <t xml:space="preserve">
correct… unchanged from last half</t>
        </r>
      </text>
    </comment>
    <comment ref="AA566" authorId="6" shapeId="0" xr:uid="{00000000-0006-0000-0B00-0000CF000000}">
      <text>
        <r>
          <rPr>
            <b/>
            <sz val="9"/>
            <color indexed="81"/>
            <rFont val="Tahoma"/>
            <family val="2"/>
          </rPr>
          <t>J-Lo:</t>
        </r>
        <r>
          <rPr>
            <sz val="9"/>
            <color indexed="81"/>
            <rFont val="Tahoma"/>
            <family val="2"/>
          </rPr>
          <t xml:space="preserve">
non-complying B3</t>
        </r>
      </text>
    </comment>
    <comment ref="AC566" authorId="6" shapeId="0" xr:uid="{00000000-0006-0000-0B00-0000D0000000}">
      <text>
        <r>
          <rPr>
            <b/>
            <sz val="9"/>
            <color indexed="81"/>
            <rFont val="Tahoma"/>
            <family val="2"/>
          </rPr>
          <t>J-Lo:</t>
        </r>
        <r>
          <rPr>
            <sz val="9"/>
            <color indexed="81"/>
            <rFont val="Tahoma"/>
            <family val="2"/>
          </rPr>
          <t xml:space="preserve">
transitional arrangements - take 10% off</t>
        </r>
      </text>
    </comment>
    <comment ref="AJ571" authorId="3" shapeId="0" xr:uid="{00000000-0006-0000-0B00-0000D1000000}">
      <text>
        <r>
          <rPr>
            <b/>
            <sz val="9"/>
            <color indexed="81"/>
            <rFont val="Tahoma"/>
            <family val="2"/>
          </rPr>
          <t>Andrew Lyons:</t>
        </r>
        <r>
          <rPr>
            <sz val="9"/>
            <color indexed="81"/>
            <rFont val="Tahoma"/>
            <family val="2"/>
          </rPr>
          <t xml:space="preserve">
Restated at 1H19</t>
        </r>
      </text>
    </comment>
    <comment ref="AG573" authorId="8" shapeId="0" xr:uid="{00000000-0006-0000-0B00-0000D2000000}">
      <text>
        <r>
          <rPr>
            <b/>
            <sz val="9"/>
            <color indexed="81"/>
            <rFont val="Tahoma"/>
            <family val="2"/>
          </rPr>
          <t>Leong, YuChuan [GIR]:</t>
        </r>
        <r>
          <rPr>
            <sz val="9"/>
            <color indexed="81"/>
            <rFont val="Tahoma"/>
            <family val="2"/>
          </rPr>
          <t xml:space="preserve">
Now includes deferred fees in this</t>
        </r>
      </text>
    </comment>
    <comment ref="AH573" authorId="8" shapeId="0" xr:uid="{00000000-0006-0000-0B00-0000D3000000}">
      <text>
        <r>
          <rPr>
            <b/>
            <sz val="9"/>
            <color indexed="81"/>
            <rFont val="Tahoma"/>
            <family val="2"/>
          </rPr>
          <t>Leong, YuChuan [GIR]:</t>
        </r>
        <r>
          <rPr>
            <sz val="9"/>
            <color indexed="81"/>
            <rFont val="Tahoma"/>
            <family val="2"/>
          </rPr>
          <t xml:space="preserve">
Now includes deferred fees in this</t>
        </r>
      </text>
    </comment>
    <comment ref="AI573" authorId="4" shapeId="0" xr:uid="{00000000-0006-0000-0B00-0000D4000000}">
      <text>
        <r>
          <rPr>
            <b/>
            <sz val="9"/>
            <color indexed="81"/>
            <rFont val="Tahoma"/>
            <family val="2"/>
          </rPr>
          <t>Tsao, Desmond [GIR]:</t>
        </r>
        <r>
          <rPr>
            <sz val="9"/>
            <color indexed="81"/>
            <rFont val="Tahoma"/>
            <family val="2"/>
          </rPr>
          <t xml:space="preserve">
inclds deferred fees</t>
        </r>
      </text>
    </comment>
    <comment ref="AJ573" authorId="4" shapeId="0" xr:uid="{00000000-0006-0000-0B00-0000D5000000}">
      <text>
        <r>
          <rPr>
            <b/>
            <sz val="9"/>
            <color indexed="81"/>
            <rFont val="Tahoma"/>
            <family val="2"/>
          </rPr>
          <t>Tsao, Desmond [GIR]:</t>
        </r>
        <r>
          <rPr>
            <sz val="9"/>
            <color indexed="81"/>
            <rFont val="Tahoma"/>
            <family val="2"/>
          </rPr>
          <t xml:space="preserve">
inclds deferred fees</t>
        </r>
      </text>
    </comment>
    <comment ref="AH574" authorId="4" shapeId="0" xr:uid="{00000000-0006-0000-0B00-0000D6000000}">
      <text>
        <r>
          <rPr>
            <b/>
            <sz val="9"/>
            <color indexed="81"/>
            <rFont val="Tahoma"/>
            <family val="2"/>
          </rPr>
          <t>Tsao, Desmond [GIR]:</t>
        </r>
        <r>
          <rPr>
            <sz val="9"/>
            <color indexed="81"/>
            <rFont val="Tahoma"/>
            <family val="2"/>
          </rPr>
          <t xml:space="preserve">
restated in 1H18</t>
        </r>
      </text>
    </comment>
    <comment ref="L576" authorId="0" shapeId="0" xr:uid="{00000000-0006-0000-0B00-0000D7000000}">
      <text>
        <r>
          <rPr>
            <b/>
            <sz val="9"/>
            <color indexed="81"/>
            <rFont val="Tahoma"/>
            <family val="2"/>
          </rPr>
          <t>Chu, Dylan [GIR]:</t>
        </r>
        <r>
          <rPr>
            <sz val="9"/>
            <color indexed="81"/>
            <rFont val="Tahoma"/>
            <family val="2"/>
          </rPr>
          <t xml:space="preserve">
Minority interest in life insurance statutory funds and other funds, 1H07 result</t>
        </r>
      </text>
    </comment>
    <comment ref="W577" authorId="3" shapeId="0" xr:uid="{00000000-0006-0000-0B00-0000D8000000}">
      <text>
        <r>
          <rPr>
            <b/>
            <sz val="9"/>
            <color indexed="81"/>
            <rFont val="Tahoma"/>
            <family val="2"/>
          </rPr>
          <t>Andrew Lyons:</t>
        </r>
        <r>
          <rPr>
            <sz val="9"/>
            <color indexed="81"/>
            <rFont val="Tahoma"/>
            <family val="2"/>
          </rPr>
          <t xml:space="preserve">
Broken out in more detail from FY12</t>
        </r>
      </text>
    </comment>
    <comment ref="Z577" authorId="3" shapeId="0" xr:uid="{00000000-0006-0000-0B00-0000D9000000}">
      <text>
        <r>
          <rPr>
            <b/>
            <sz val="9"/>
            <color indexed="81"/>
            <rFont val="Tahoma"/>
            <family val="2"/>
          </rPr>
          <t>Andrew Lyons:</t>
        </r>
        <r>
          <rPr>
            <sz val="9"/>
            <color indexed="81"/>
            <rFont val="Tahoma"/>
            <family val="2"/>
          </rPr>
          <t xml:space="preserve">
Number jumps to A$2,363 mn at 1-Jan-13</t>
        </r>
      </text>
    </comment>
    <comment ref="AS577" authorId="1" shapeId="0" xr:uid="{00000000-0006-0000-0B00-0000DA000000}">
      <text>
        <r>
          <rPr>
            <b/>
            <sz val="9"/>
            <color indexed="81"/>
            <rFont val="Tahoma"/>
            <family val="2"/>
          </rPr>
          <t>Lyons, Andrew [GIR]:</t>
        </r>
        <r>
          <rPr>
            <sz val="9"/>
            <color indexed="81"/>
            <rFont val="Tahoma"/>
            <family val="2"/>
          </rPr>
          <t xml:space="preserve">
HZB</t>
        </r>
      </text>
    </comment>
    <comment ref="AD578" authorId="3" shapeId="0" xr:uid="{00000000-0006-0000-0B00-0000DB000000}">
      <text>
        <r>
          <rPr>
            <b/>
            <sz val="9"/>
            <color indexed="81"/>
            <rFont val="Tahoma"/>
            <family val="2"/>
          </rPr>
          <t>Andrew Lyons:</t>
        </r>
        <r>
          <rPr>
            <sz val="9"/>
            <color indexed="81"/>
            <rFont val="Tahoma"/>
            <family val="2"/>
          </rPr>
          <t xml:space="preserve">
Reduction in REL due to BEEL (refer 1Q15 trading update)</t>
        </r>
      </text>
    </comment>
    <comment ref="AH585" authorId="4" shapeId="0" xr:uid="{00000000-0006-0000-0B00-0000DC000000}">
      <text>
        <r>
          <rPr>
            <b/>
            <sz val="9"/>
            <color indexed="81"/>
            <rFont val="Tahoma"/>
            <family val="2"/>
          </rPr>
          <t>Tsao, Desmond [GIR]:</t>
        </r>
        <r>
          <rPr>
            <sz val="9"/>
            <color indexed="81"/>
            <rFont val="Tahoma"/>
            <family val="2"/>
          </rPr>
          <t xml:space="preserve">
restated in 1H18</t>
        </r>
      </text>
    </comment>
    <comment ref="BS587" authorId="0" shapeId="0" xr:uid="{00000000-0006-0000-0B00-0000DD000000}">
      <text>
        <r>
          <rPr>
            <b/>
            <sz val="9"/>
            <color indexed="81"/>
            <rFont val="Tahoma"/>
            <family val="2"/>
          </rPr>
          <t>Chu, Dylan [GIR]:</t>
        </r>
        <r>
          <rPr>
            <sz val="9"/>
            <color indexed="81"/>
            <rFont val="Tahoma"/>
            <family val="2"/>
          </rPr>
          <t xml:space="preserve">
Not matching disclosure as SE was fixed</t>
        </r>
      </text>
    </comment>
    <comment ref="B592" authorId="6" shapeId="0" xr:uid="{00000000-0006-0000-0B00-0000DE000000}">
      <text>
        <r>
          <rPr>
            <b/>
            <sz val="9"/>
            <color indexed="81"/>
            <rFont val="Tahoma"/>
            <family val="2"/>
          </rPr>
          <t>J-Lo:</t>
        </r>
        <r>
          <rPr>
            <sz val="9"/>
            <color indexed="81"/>
            <rFont val="Tahoma"/>
            <family val="2"/>
          </rPr>
          <t xml:space="preserve">
This includes WM NTAs, DTA, Equity Investments &amp; Other</t>
        </r>
      </text>
    </comment>
    <comment ref="AS593" authorId="9" shapeId="0" xr:uid="{00000000-0006-0000-0B00-0000DF000000}">
      <text>
        <r>
          <rPr>
            <b/>
            <sz val="9"/>
            <color indexed="81"/>
            <rFont val="Tahoma"/>
            <family val="2"/>
          </rPr>
          <t>Li, John Y [GIR]:</t>
        </r>
        <r>
          <rPr>
            <sz val="9"/>
            <color indexed="81"/>
            <rFont val="Tahoma"/>
            <family val="2"/>
          </rPr>
          <t xml:space="preserve">
slide 117</t>
        </r>
      </text>
    </comment>
    <comment ref="AA601" authorId="6" shapeId="0" xr:uid="{00000000-0006-0000-0B00-0000E0000000}">
      <text>
        <r>
          <rPr>
            <b/>
            <sz val="9"/>
            <color indexed="81"/>
            <rFont val="Tahoma"/>
            <family val="2"/>
          </rPr>
          <t>J-Lo:</t>
        </r>
        <r>
          <rPr>
            <sz val="9"/>
            <color indexed="81"/>
            <rFont val="Tahoma"/>
            <family val="2"/>
          </rPr>
          <t xml:space="preserve">
non-complying T2 instruments</t>
        </r>
      </text>
    </comment>
    <comment ref="AC601" authorId="7" shapeId="0" xr:uid="{00000000-0006-0000-0B00-0000E1000000}">
      <text>
        <r>
          <rPr>
            <b/>
            <sz val="9"/>
            <color indexed="81"/>
            <rFont val="Tahoma"/>
            <family val="2"/>
          </rPr>
          <t>Jien Goh:</t>
        </r>
        <r>
          <rPr>
            <sz val="9"/>
            <color indexed="81"/>
            <rFont val="Tahoma"/>
            <family val="2"/>
          </rPr>
          <t xml:space="preserve">
Basel III complying A$234mn
Basel III non complying A$2,530mn</t>
        </r>
      </text>
    </comment>
    <comment ref="AD601" authorId="7" shapeId="0" xr:uid="{00000000-0006-0000-0B00-0000E2000000}">
      <text>
        <r>
          <rPr>
            <b/>
            <sz val="9"/>
            <color indexed="81"/>
            <rFont val="Tahoma"/>
            <family val="2"/>
          </rPr>
          <t>Jien Goh:</t>
        </r>
        <r>
          <rPr>
            <sz val="9"/>
            <color indexed="81"/>
            <rFont val="Tahoma"/>
            <family val="2"/>
          </rPr>
          <t xml:space="preserve">
Basel III complying A$1254mn
Basel III non complying A$2,493mn</t>
        </r>
      </text>
    </comment>
    <comment ref="AA603" authorId="6" shapeId="0" xr:uid="{00000000-0006-0000-0B00-0000E3000000}">
      <text>
        <r>
          <rPr>
            <b/>
            <sz val="9"/>
            <color indexed="81"/>
            <rFont val="Tahoma"/>
            <family val="2"/>
          </rPr>
          <t>J-Lo:</t>
        </r>
        <r>
          <rPr>
            <sz val="9"/>
            <color indexed="81"/>
            <rFont val="Tahoma"/>
            <family val="2"/>
          </rPr>
          <t xml:space="preserve">
holding own T2 capital</t>
        </r>
      </text>
    </comment>
    <comment ref="AT610" authorId="1" shapeId="0" xr:uid="{B0C37192-2ADC-47A6-B90B-715DD1B9A928}">
      <text>
        <r>
          <rPr>
            <b/>
            <sz val="9"/>
            <color indexed="81"/>
            <rFont val="Tahoma"/>
            <family val="2"/>
          </rPr>
          <t>Lyons, Andrew [GIR]:</t>
        </r>
        <r>
          <rPr>
            <sz val="9"/>
            <color indexed="81"/>
            <rFont val="Tahoma"/>
            <family val="2"/>
          </rPr>
          <t xml:space="preserve">
Consolidtaed Small SME into Corporate at 3Q23 trading update</t>
        </r>
      </text>
    </comment>
    <comment ref="B615" authorId="6" shapeId="0" xr:uid="{00000000-0006-0000-0B00-0000E4000000}">
      <text>
        <r>
          <rPr>
            <b/>
            <sz val="9"/>
            <color indexed="81"/>
            <rFont val="Tahoma"/>
            <family val="2"/>
          </rPr>
          <t>J-Lo:</t>
        </r>
        <r>
          <rPr>
            <sz val="9"/>
            <color indexed="81"/>
            <rFont val="Tahoma"/>
            <family val="2"/>
          </rPr>
          <t xml:space="preserve">
This includes mortgage LGDs normalised to min 10% and other diff incl. treatment of spec. lending</t>
        </r>
      </text>
    </comment>
    <comment ref="Y660" authorId="3" shapeId="0" xr:uid="{00000000-0006-0000-0B00-0000E5000000}">
      <text>
        <r>
          <rPr>
            <b/>
            <sz val="9"/>
            <color indexed="81"/>
            <rFont val="Tahoma"/>
            <family val="2"/>
          </rPr>
          <t>Andrew Lyons:</t>
        </r>
        <r>
          <rPr>
            <sz val="9"/>
            <color indexed="81"/>
            <rFont val="Tahoma"/>
            <family val="2"/>
          </rPr>
          <t xml:space="preserve">
2H13 restatement</t>
        </r>
      </text>
    </comment>
    <comment ref="Z660" authorId="3" shapeId="0" xr:uid="{00000000-0006-0000-0B00-0000E6000000}">
      <text>
        <r>
          <rPr>
            <b/>
            <sz val="9"/>
            <color indexed="81"/>
            <rFont val="Tahoma"/>
            <family val="2"/>
          </rPr>
          <t>Andrew Lyons:</t>
        </r>
        <r>
          <rPr>
            <sz val="9"/>
            <color indexed="81"/>
            <rFont val="Tahoma"/>
            <family val="2"/>
          </rPr>
          <t xml:space="preserve">
2H13 restatement</t>
        </r>
      </text>
    </comment>
    <comment ref="AH660" authorId="3" shapeId="0" xr:uid="{00000000-0006-0000-0B00-0000E7000000}">
      <text>
        <r>
          <rPr>
            <b/>
            <sz val="9"/>
            <color indexed="81"/>
            <rFont val="Tahoma"/>
            <family val="2"/>
          </rPr>
          <t>Andrew Lyons:</t>
        </r>
        <r>
          <rPr>
            <sz val="9"/>
            <color indexed="81"/>
            <rFont val="Tahoma"/>
            <family val="2"/>
          </rPr>
          <t xml:space="preserve">
Restatements at 1H18</t>
        </r>
      </text>
    </comment>
    <comment ref="AP660" authorId="1" shapeId="0" xr:uid="{00000000-0006-0000-0B00-0000E8000000}">
      <text>
        <r>
          <rPr>
            <b/>
            <sz val="9"/>
            <color indexed="81"/>
            <rFont val="Tahoma"/>
            <family val="2"/>
          </rPr>
          <t>Lyons, Andrew [GIR]:</t>
        </r>
        <r>
          <rPr>
            <sz val="9"/>
            <color indexed="81"/>
            <rFont val="Tahoma"/>
            <family val="2"/>
          </rPr>
          <t xml:space="preserve">
Restated at 1H22</t>
        </r>
      </text>
    </comment>
    <comment ref="B661" authorId="6" shapeId="0" xr:uid="{00000000-0006-0000-0B00-0000E9000000}">
      <text>
        <r>
          <rPr>
            <b/>
            <sz val="8"/>
            <color indexed="81"/>
            <rFont val="Tahoma"/>
            <family val="2"/>
          </rPr>
          <t>J-Lo:</t>
        </r>
        <r>
          <rPr>
            <sz val="8"/>
            <color indexed="81"/>
            <rFont val="Tahoma"/>
            <family val="2"/>
          </rPr>
          <t xml:space="preserve">
GS defn excludes capitalised software from intangibles</t>
        </r>
      </text>
    </comment>
    <comment ref="I661" authorId="0" shapeId="0" xr:uid="{00000000-0006-0000-0B00-0000EA000000}">
      <text>
        <r>
          <rPr>
            <b/>
            <sz val="9"/>
            <color indexed="81"/>
            <rFont val="Tahoma"/>
            <family val="2"/>
          </rPr>
          <t>Chu, Dylan [GIR]:</t>
        </r>
        <r>
          <rPr>
            <sz val="9"/>
            <color indexed="81"/>
            <rFont val="Tahoma"/>
            <family val="2"/>
          </rPr>
          <t xml:space="preserve">
On AGAAP, only goodwill</t>
        </r>
      </text>
    </comment>
    <comment ref="J661" authorId="0" shapeId="0" xr:uid="{00000000-0006-0000-0B00-0000EB000000}">
      <text>
        <r>
          <rPr>
            <b/>
            <sz val="9"/>
            <color indexed="81"/>
            <rFont val="Tahoma"/>
            <family val="2"/>
          </rPr>
          <t>Chu, Dylan [GIR]:</t>
        </r>
        <r>
          <rPr>
            <sz val="9"/>
            <color indexed="81"/>
            <rFont val="Tahoma"/>
            <family val="2"/>
          </rPr>
          <t xml:space="preserve">
Impacted by AIFRS adjustment - 4,555 on AGAAP basis in 1H06 result</t>
        </r>
      </text>
    </comment>
    <comment ref="AJ661" authorId="3" shapeId="0" xr:uid="{00000000-0006-0000-0B00-0000EC000000}">
      <text>
        <r>
          <rPr>
            <b/>
            <sz val="9"/>
            <color indexed="81"/>
            <rFont val="Tahoma"/>
            <family val="2"/>
          </rPr>
          <t>Andrew Lyons:</t>
        </r>
        <r>
          <rPr>
            <sz val="9"/>
            <color indexed="81"/>
            <rFont val="Tahoma"/>
            <family val="2"/>
          </rPr>
          <t xml:space="preserve">
Restated at 1H19</t>
        </r>
      </text>
    </comment>
    <comment ref="BZ661" authorId="0" shapeId="0" xr:uid="{00000000-0006-0000-0B00-0000ED000000}">
      <text>
        <r>
          <rPr>
            <b/>
            <sz val="9"/>
            <color indexed="81"/>
            <rFont val="Tahoma"/>
            <family val="2"/>
          </rPr>
          <t>Chu, Dylan [GIR]:</t>
        </r>
        <r>
          <rPr>
            <sz val="9"/>
            <color indexed="81"/>
            <rFont val="Tahoma"/>
            <family val="2"/>
          </rPr>
          <t xml:space="preserve">
Before this point, goodwill balance was small and not disclosed seperately from other assets. In subsequent periods, Colonial goodwill was a major component.</t>
        </r>
      </text>
    </comment>
    <comment ref="AD662" authorId="8" shapeId="0" xr:uid="{00000000-0006-0000-0B00-0000EE000000}">
      <text>
        <r>
          <rPr>
            <b/>
            <sz val="9"/>
            <color indexed="81"/>
            <rFont val="Tahoma"/>
            <family val="2"/>
          </rPr>
          <t>Leong, YuChuan [GIR]:</t>
        </r>
        <r>
          <rPr>
            <sz val="9"/>
            <color indexed="81"/>
            <rFont val="Tahoma"/>
            <family val="2"/>
          </rPr>
          <t xml:space="preserve">
Restated at 1H16 p63</t>
        </r>
      </text>
    </comment>
    <comment ref="AE662" authorId="8" shapeId="0" xr:uid="{00000000-0006-0000-0B00-0000EF000000}">
      <text>
        <r>
          <rPr>
            <b/>
            <sz val="9"/>
            <color indexed="81"/>
            <rFont val="Tahoma"/>
            <family val="2"/>
          </rPr>
          <t>Leong, YuChuan [GIR]:</t>
        </r>
        <r>
          <rPr>
            <sz val="9"/>
            <color indexed="81"/>
            <rFont val="Tahoma"/>
            <family val="2"/>
          </rPr>
          <t xml:space="preserve">
Restated at 1H16 p63</t>
        </r>
      </text>
    </comment>
    <comment ref="K664" authorId="0" shapeId="0" xr:uid="{00000000-0006-0000-0B00-0000F0000000}">
      <text>
        <r>
          <rPr>
            <b/>
            <sz val="9"/>
            <color indexed="81"/>
            <rFont val="Tahoma"/>
            <family val="2"/>
          </rPr>
          <t>Chu, Dylan [GIR]:</t>
        </r>
        <r>
          <rPr>
            <sz val="9"/>
            <color indexed="81"/>
            <rFont val="Tahoma"/>
            <family val="2"/>
          </rPr>
          <t xml:space="preserve">
Disclosure discontinued</t>
        </r>
      </text>
    </comment>
    <comment ref="Y664" authorId="3" shapeId="0" xr:uid="{00000000-0006-0000-0B00-0000F1000000}">
      <text>
        <r>
          <rPr>
            <b/>
            <sz val="9"/>
            <color indexed="81"/>
            <rFont val="Tahoma"/>
            <family val="2"/>
          </rPr>
          <t>Andrew Lyons:</t>
        </r>
        <r>
          <rPr>
            <sz val="9"/>
            <color indexed="81"/>
            <rFont val="Tahoma"/>
            <family val="2"/>
          </rPr>
          <t xml:space="preserve">
2H13 restatement</t>
        </r>
      </text>
    </comment>
    <comment ref="Z664" authorId="3" shapeId="0" xr:uid="{00000000-0006-0000-0B00-0000F2000000}">
      <text>
        <r>
          <rPr>
            <b/>
            <sz val="9"/>
            <color indexed="81"/>
            <rFont val="Tahoma"/>
            <family val="2"/>
          </rPr>
          <t>Andrew Lyons:</t>
        </r>
        <r>
          <rPr>
            <sz val="9"/>
            <color indexed="81"/>
            <rFont val="Tahoma"/>
            <family val="2"/>
          </rPr>
          <t xml:space="preserve">
2H13 restatement</t>
        </r>
      </text>
    </comment>
    <comment ref="AD673" authorId="10" shapeId="0" xr:uid="{00000000-0006-0000-0B00-0000F3000000}">
      <text>
        <r>
          <rPr>
            <b/>
            <sz val="9"/>
            <color indexed="81"/>
            <rFont val="Tahoma"/>
            <family val="2"/>
          </rPr>
          <t>Dalziell, Ashley [GIR]:</t>
        </r>
        <r>
          <rPr>
            <sz val="9"/>
            <color indexed="81"/>
            <rFont val="Tahoma"/>
            <family val="2"/>
          </rPr>
          <t xml:space="preserve">
Restated at 2H15</t>
        </r>
      </text>
    </comment>
    <comment ref="AN673" authorId="4" shapeId="0" xr:uid="{00000000-0006-0000-0B00-0000F4000000}">
      <text>
        <r>
          <rPr>
            <b/>
            <sz val="9"/>
            <color indexed="81"/>
            <rFont val="Tahoma"/>
            <family val="2"/>
          </rPr>
          <t>Tsao, Desmond [GIR]:</t>
        </r>
        <r>
          <rPr>
            <sz val="9"/>
            <color indexed="81"/>
            <rFont val="Tahoma"/>
            <family val="2"/>
          </rPr>
          <t xml:space="preserve">
restated 2h20</t>
        </r>
      </text>
    </comment>
    <comment ref="J675" authorId="0" shapeId="0" xr:uid="{00000000-0006-0000-0B00-0000F5000000}">
      <text>
        <r>
          <rPr>
            <b/>
            <sz val="9"/>
            <color indexed="81"/>
            <rFont val="Tahoma"/>
            <family val="2"/>
          </rPr>
          <t>Chu, Dylan [GIR]:</t>
        </r>
        <r>
          <rPr>
            <sz val="9"/>
            <color indexed="81"/>
            <rFont val="Tahoma"/>
            <family val="2"/>
          </rPr>
          <t xml:space="preserve">
Impacted by AIFRS adjustment - 1,393mn on AGAAP basis</t>
        </r>
      </text>
    </comment>
    <comment ref="I680" authorId="0" shapeId="0" xr:uid="{00000000-0006-0000-0B00-0000F6000000}">
      <text>
        <r>
          <rPr>
            <b/>
            <sz val="9"/>
            <color indexed="81"/>
            <rFont val="Tahoma"/>
            <family val="2"/>
          </rPr>
          <t>Chu, Dylan [GIR]:</t>
        </r>
        <r>
          <rPr>
            <sz val="9"/>
            <color indexed="81"/>
            <rFont val="Tahoma"/>
            <family val="2"/>
          </rPr>
          <t xml:space="preserve">
On AGAAP</t>
        </r>
      </text>
    </comment>
    <comment ref="J680" authorId="0" shapeId="0" xr:uid="{00000000-0006-0000-0B00-0000F7000000}">
      <text>
        <r>
          <rPr>
            <b/>
            <sz val="9"/>
            <color indexed="81"/>
            <rFont val="Tahoma"/>
            <family val="2"/>
          </rPr>
          <t>Chu, Dylan [GIR]:</t>
        </r>
        <r>
          <rPr>
            <sz val="9"/>
            <color indexed="81"/>
            <rFont val="Tahoma"/>
            <family val="2"/>
          </rPr>
          <t xml:space="preserve">
On AIFRS, 1269 on AGAAP basis</t>
        </r>
      </text>
    </comment>
    <comment ref="K681" authorId="0" shapeId="0" xr:uid="{00000000-0006-0000-0B00-0000F8000000}">
      <text>
        <r>
          <rPr>
            <b/>
            <sz val="9"/>
            <color indexed="81"/>
            <rFont val="Tahoma"/>
            <family val="2"/>
          </rPr>
          <t>Chu, Dylan [GIR]:</t>
        </r>
        <r>
          <rPr>
            <sz val="9"/>
            <color indexed="81"/>
            <rFont val="Tahoma"/>
            <family val="2"/>
          </rPr>
          <t xml:space="preserve">
Left as blank</t>
        </r>
      </text>
    </comment>
    <comment ref="K682" authorId="0" shapeId="0" xr:uid="{00000000-0006-0000-0B00-0000F9000000}">
      <text>
        <r>
          <rPr>
            <b/>
            <sz val="9"/>
            <color indexed="81"/>
            <rFont val="Tahoma"/>
            <family val="2"/>
          </rPr>
          <t>Chu, Dylan [GIR]:</t>
        </r>
        <r>
          <rPr>
            <sz val="9"/>
            <color indexed="81"/>
            <rFont val="Tahoma"/>
            <family val="2"/>
          </rPr>
          <t xml:space="preserve">
Left as blank</t>
        </r>
      </text>
    </comment>
    <comment ref="AG682" authorId="8" shapeId="0" xr:uid="{00000000-0006-0000-0B00-0000FA000000}">
      <text>
        <r>
          <rPr>
            <b/>
            <sz val="9"/>
            <color indexed="81"/>
            <rFont val="Tahoma"/>
            <family val="2"/>
          </rPr>
          <t>Leong, YuChuan [GIR]:</t>
        </r>
        <r>
          <rPr>
            <sz val="9"/>
            <color indexed="81"/>
            <rFont val="Tahoma"/>
            <family val="2"/>
          </rPr>
          <t xml:space="preserve">
Weighted average number of shares - Employee share plans</t>
        </r>
      </text>
    </comment>
    <comment ref="AH682" authorId="8" shapeId="0" xr:uid="{00000000-0006-0000-0B00-0000FB000000}">
      <text>
        <r>
          <rPr>
            <b/>
            <sz val="9"/>
            <color indexed="81"/>
            <rFont val="Tahoma"/>
            <family val="2"/>
          </rPr>
          <t>Leong, YuChuan [GIR]:</t>
        </r>
        <r>
          <rPr>
            <sz val="9"/>
            <color indexed="81"/>
            <rFont val="Tahoma"/>
            <family val="2"/>
          </rPr>
          <t xml:space="preserve">
Weighted average number of shares - Employee share plans</t>
        </r>
      </text>
    </comment>
    <comment ref="AD697" authorId="10" shapeId="0" xr:uid="{00000000-0006-0000-0B00-0000FC000000}">
      <text>
        <r>
          <rPr>
            <b/>
            <sz val="9"/>
            <color indexed="81"/>
            <rFont val="Tahoma"/>
            <family val="2"/>
          </rPr>
          <t>Dalziell, Ashley [GIR]:</t>
        </r>
        <r>
          <rPr>
            <sz val="9"/>
            <color indexed="81"/>
            <rFont val="Tahoma"/>
            <family val="2"/>
          </rPr>
          <t xml:space="preserve">
Restated at 2H15</t>
        </r>
      </text>
    </comment>
    <comment ref="AH697" authorId="4" shapeId="0" xr:uid="{00000000-0006-0000-0B00-0000FD000000}">
      <text>
        <r>
          <rPr>
            <b/>
            <sz val="9"/>
            <color indexed="81"/>
            <rFont val="Tahoma"/>
            <family val="2"/>
          </rPr>
          <t>Tsao, Desmond [GIR]:</t>
        </r>
        <r>
          <rPr>
            <sz val="9"/>
            <color indexed="81"/>
            <rFont val="Tahoma"/>
            <family val="2"/>
          </rPr>
          <t xml:space="preserve">
restated in 1h18</t>
        </r>
      </text>
    </comment>
    <comment ref="AD700" authorId="10" shapeId="0" xr:uid="{00000000-0006-0000-0B00-0000FE000000}">
      <text>
        <r>
          <rPr>
            <b/>
            <sz val="9"/>
            <color indexed="81"/>
            <rFont val="Tahoma"/>
            <family val="2"/>
          </rPr>
          <t>Dalziell, Ashley [GIR]:</t>
        </r>
        <r>
          <rPr>
            <sz val="9"/>
            <color indexed="81"/>
            <rFont val="Tahoma"/>
            <family val="2"/>
          </rPr>
          <t xml:space="preserve">
Restated at 2H15</t>
        </r>
      </text>
    </comment>
    <comment ref="G701" authorId="0" shapeId="0" xr:uid="{00000000-0006-0000-0B00-0000FF000000}">
      <text>
        <r>
          <rPr>
            <b/>
            <sz val="9"/>
            <color indexed="81"/>
            <rFont val="Tahoma"/>
            <family val="2"/>
          </rPr>
          <t>Chu, Dylan [GIR]:</t>
        </r>
        <r>
          <rPr>
            <sz val="9"/>
            <color indexed="81"/>
            <rFont val="Tahoma"/>
            <family val="2"/>
          </rPr>
          <t xml:space="preserve">
No average preference capital disclosed</t>
        </r>
      </text>
    </comment>
    <comment ref="AH701" authorId="4" shapeId="0" xr:uid="{00000000-0006-0000-0B00-000000010000}">
      <text>
        <r>
          <rPr>
            <b/>
            <sz val="9"/>
            <color indexed="81"/>
            <rFont val="Tahoma"/>
            <family val="2"/>
          </rPr>
          <t>Tsao, Desmond [GIR]:</t>
        </r>
        <r>
          <rPr>
            <sz val="9"/>
            <color indexed="81"/>
            <rFont val="Tahoma"/>
            <family val="2"/>
          </rPr>
          <t xml:space="preserve">
restated in 1h18</t>
        </r>
      </text>
    </comment>
    <comment ref="AJ701" authorId="3" shapeId="0" xr:uid="{00000000-0006-0000-0B00-000001010000}">
      <text>
        <r>
          <rPr>
            <b/>
            <sz val="9"/>
            <color indexed="81"/>
            <rFont val="Tahoma"/>
            <family val="2"/>
          </rPr>
          <t>Andrew Lyons:</t>
        </r>
        <r>
          <rPr>
            <sz val="9"/>
            <color indexed="81"/>
            <rFont val="Tahoma"/>
            <family val="2"/>
          </rPr>
          <t xml:space="preserve">
Restated 1H19</t>
        </r>
      </text>
    </comment>
    <comment ref="CN701" authorId="7" shapeId="0" xr:uid="{00000000-0006-0000-0B00-000002010000}">
      <text>
        <r>
          <rPr>
            <b/>
            <sz val="9"/>
            <color indexed="81"/>
            <rFont val="Tahoma"/>
            <family val="2"/>
          </rPr>
          <t>Jien Goh:</t>
        </r>
        <r>
          <rPr>
            <sz val="9"/>
            <color indexed="81"/>
            <rFont val="Tahoma"/>
            <family val="2"/>
          </rPr>
          <t xml:space="preserve">
restated FY14 result</t>
        </r>
      </text>
    </comment>
    <comment ref="AD704" authorId="8" shapeId="0" xr:uid="{00000000-0006-0000-0B00-000003010000}">
      <text>
        <r>
          <rPr>
            <b/>
            <sz val="9"/>
            <color indexed="81"/>
            <rFont val="Tahoma"/>
            <family val="2"/>
          </rPr>
          <t>Leong, YuChuan [GIR]:</t>
        </r>
        <r>
          <rPr>
            <sz val="9"/>
            <color indexed="81"/>
            <rFont val="Tahoma"/>
            <family val="2"/>
          </rPr>
          <t xml:space="preserve">
Restated at 1H16 p73</t>
        </r>
      </text>
    </comment>
    <comment ref="AE704" authorId="8" shapeId="0" xr:uid="{00000000-0006-0000-0B00-000004010000}">
      <text>
        <r>
          <rPr>
            <b/>
            <sz val="9"/>
            <color indexed="81"/>
            <rFont val="Tahoma"/>
            <family val="2"/>
          </rPr>
          <t>Leong, YuChuan [GIR]:</t>
        </r>
        <r>
          <rPr>
            <sz val="9"/>
            <color indexed="81"/>
            <rFont val="Tahoma"/>
            <family val="2"/>
          </rPr>
          <t xml:space="preserve">
Restated at 1H16 p73</t>
        </r>
      </text>
    </comment>
    <comment ref="K706" authorId="0" shapeId="0" xr:uid="{00000000-0006-0000-0B00-000005010000}">
      <text>
        <r>
          <rPr>
            <b/>
            <sz val="9"/>
            <color indexed="81"/>
            <rFont val="Tahoma"/>
            <family val="2"/>
          </rPr>
          <t>Chu, Dylan [GIR]:</t>
        </r>
        <r>
          <rPr>
            <sz val="9"/>
            <color indexed="81"/>
            <rFont val="Tahoma"/>
            <family val="2"/>
          </rPr>
          <t xml:space="preserve">
Left as blank</t>
        </r>
      </text>
    </comment>
    <comment ref="AD708" authorId="10" shapeId="0" xr:uid="{00000000-0006-0000-0B00-000006010000}">
      <text>
        <r>
          <rPr>
            <b/>
            <sz val="9"/>
            <color indexed="81"/>
            <rFont val="Tahoma"/>
            <family val="2"/>
          </rPr>
          <t>Dalziell, Ashley [GIR]:</t>
        </r>
        <r>
          <rPr>
            <sz val="9"/>
            <color indexed="81"/>
            <rFont val="Tahoma"/>
            <family val="2"/>
          </rPr>
          <t xml:space="preserve">
Restated at 2H15</t>
        </r>
      </text>
    </comment>
    <comment ref="AJ708" authorId="4" shapeId="0" xr:uid="{00000000-0006-0000-0B00-000007010000}">
      <text>
        <r>
          <rPr>
            <b/>
            <sz val="9"/>
            <color indexed="81"/>
            <rFont val="Tahoma"/>
            <family val="2"/>
          </rPr>
          <t>Tsao, Desmond [GIR]:</t>
        </r>
        <r>
          <rPr>
            <sz val="9"/>
            <color indexed="81"/>
            <rFont val="Tahoma"/>
            <family val="2"/>
          </rPr>
          <t xml:space="preserve">
Restated in 1H19</t>
        </r>
      </text>
    </comment>
    <comment ref="C709" authorId="0" shapeId="0" xr:uid="{00000000-0006-0000-0B00-000008010000}">
      <text>
        <r>
          <rPr>
            <b/>
            <sz val="9"/>
            <color indexed="81"/>
            <rFont val="Tahoma"/>
            <family val="2"/>
          </rPr>
          <t>Chu, Dylan [GIR]:</t>
        </r>
        <r>
          <rPr>
            <sz val="9"/>
            <color indexed="81"/>
            <rFont val="Tahoma"/>
            <family val="2"/>
          </rPr>
          <t xml:space="preserve">
Direct disclosure not available - assumed stock-based comp was a constant proportion of total staff expenses</t>
        </r>
      </text>
    </comment>
    <comment ref="AD709" authorId="10" shapeId="0" xr:uid="{00000000-0006-0000-0B00-000009010000}">
      <text>
        <r>
          <rPr>
            <b/>
            <sz val="9"/>
            <color indexed="81"/>
            <rFont val="Tahoma"/>
            <family val="2"/>
          </rPr>
          <t>Dalziell, Ashley [GIR]:</t>
        </r>
        <r>
          <rPr>
            <sz val="9"/>
            <color indexed="81"/>
            <rFont val="Tahoma"/>
            <family val="2"/>
          </rPr>
          <t xml:space="preserve">
Restated at 2H15</t>
        </r>
      </text>
    </comment>
    <comment ref="AJ710" authorId="4" shapeId="0" xr:uid="{00000000-0006-0000-0B00-00000A010000}">
      <text>
        <r>
          <rPr>
            <b/>
            <sz val="9"/>
            <color indexed="81"/>
            <rFont val="Tahoma"/>
            <family val="2"/>
          </rPr>
          <t>Tsao, Desmond [GIR]:</t>
        </r>
        <r>
          <rPr>
            <sz val="9"/>
            <color indexed="81"/>
            <rFont val="Tahoma"/>
            <family val="2"/>
          </rPr>
          <t xml:space="preserve">
Restated 1H19</t>
        </r>
      </text>
    </comment>
    <comment ref="AN710" authorId="4" shapeId="0" xr:uid="{00000000-0006-0000-0B00-00000B010000}">
      <text>
        <r>
          <rPr>
            <b/>
            <sz val="9"/>
            <color indexed="81"/>
            <rFont val="Tahoma"/>
            <family val="2"/>
          </rPr>
          <t>Tsao, Desmond [GIR]:</t>
        </r>
        <r>
          <rPr>
            <sz val="9"/>
            <color indexed="81"/>
            <rFont val="Tahoma"/>
            <family val="2"/>
          </rPr>
          <t xml:space="preserve">
restated 2H20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Groer, Ingrid</author>
    <author>Andrew Lyons</author>
    <author>Rogers, Elizabeth</author>
    <author>Jien Goh</author>
    <author>Koo, Ben</author>
    <author>Fisher, Ryan</author>
    <author>Leong, YuChuan [GIR]</author>
    <author>Authorized User</author>
    <author>Libby</author>
  </authors>
  <commentList>
    <comment ref="M1" authorId="0" shapeId="0" xr:uid="{00000000-0006-0000-0F00-000001000000}">
      <text>
        <r>
          <rPr>
            <sz val="8"/>
            <color indexed="81"/>
            <rFont val="Tahoma"/>
            <family val="2"/>
          </rPr>
          <t>New cut for 1H10</t>
        </r>
      </text>
    </comment>
    <comment ref="AK1" authorId="1" shapeId="0" xr:uid="{00000000-0006-0000-0F00-000002000000}">
      <text>
        <r>
          <rPr>
            <b/>
            <sz val="9"/>
            <color indexed="81"/>
            <rFont val="Tahoma"/>
            <family val="2"/>
          </rPr>
          <t>Andrew Lyons:</t>
        </r>
        <r>
          <rPr>
            <sz val="9"/>
            <color indexed="81"/>
            <rFont val="Tahoma"/>
            <family val="2"/>
          </rPr>
          <t xml:space="preserve">
Restated at 1H19</t>
        </r>
      </text>
    </comment>
    <comment ref="N39" authorId="2" shapeId="0" xr:uid="{00000000-0006-0000-0F00-000003000000}">
      <text>
        <r>
          <rPr>
            <b/>
            <sz val="8"/>
            <color indexed="81"/>
            <rFont val="Tahoma"/>
            <family val="2"/>
          </rPr>
          <t>Rogers, Elizabeth:</t>
        </r>
        <r>
          <rPr>
            <sz val="8"/>
            <color indexed="81"/>
            <rFont val="Tahoma"/>
            <family val="2"/>
          </rPr>
          <t xml:space="preserve">
Imputed by ER, to balance cash Earnings</t>
        </r>
      </text>
    </comment>
    <comment ref="X39" authorId="3" shapeId="0" xr:uid="{00000000-0006-0000-0F00-000004000000}">
      <text>
        <r>
          <rPr>
            <b/>
            <sz val="9"/>
            <color indexed="81"/>
            <rFont val="Tahoma"/>
            <family val="2"/>
          </rPr>
          <t>Jien Goh:</t>
        </r>
        <r>
          <rPr>
            <sz val="9"/>
            <color indexed="81"/>
            <rFont val="Tahoma"/>
            <family val="2"/>
          </rPr>
          <t xml:space="preserve">
includes Property businesses (not restated at 2H14 result as not half yrly splits for FY13)</t>
        </r>
      </text>
    </comment>
    <comment ref="Y39" authorId="3" shapeId="0" xr:uid="{00000000-0006-0000-0F00-000005000000}">
      <text>
        <r>
          <rPr>
            <b/>
            <sz val="9"/>
            <color indexed="81"/>
            <rFont val="Tahoma"/>
            <family val="2"/>
          </rPr>
          <t>Jien Goh:</t>
        </r>
        <r>
          <rPr>
            <sz val="9"/>
            <color indexed="81"/>
            <rFont val="Tahoma"/>
            <family val="2"/>
          </rPr>
          <t xml:space="preserve">
back calculted from after tax s/H returns to ensure Property businesses exlcuded</t>
        </r>
      </text>
    </comment>
    <comment ref="Z39" authorId="3" shapeId="0" xr:uid="{00000000-0006-0000-0F00-000006000000}">
      <text>
        <r>
          <rPr>
            <b/>
            <sz val="9"/>
            <color indexed="81"/>
            <rFont val="Tahoma"/>
            <family val="2"/>
          </rPr>
          <t>Jien Goh:</t>
        </r>
        <r>
          <rPr>
            <sz val="9"/>
            <color indexed="81"/>
            <rFont val="Tahoma"/>
            <family val="2"/>
          </rPr>
          <t xml:space="preserve">
back calculted from after tax s/H returns to ensure Property businesses exlcuded</t>
        </r>
      </text>
    </comment>
    <comment ref="N40" authorId="2" shapeId="0" xr:uid="{00000000-0006-0000-0F00-000007000000}">
      <text>
        <r>
          <rPr>
            <b/>
            <sz val="8"/>
            <color indexed="81"/>
            <rFont val="Tahoma"/>
            <family val="2"/>
          </rPr>
          <t>Rogers, Elizabeth:</t>
        </r>
        <r>
          <rPr>
            <sz val="8"/>
            <color indexed="81"/>
            <rFont val="Tahoma"/>
            <family val="2"/>
          </rPr>
          <t xml:space="preserve">
Imputed by ER, to balance cash Earnings</t>
        </r>
      </text>
    </comment>
    <comment ref="N41" authorId="2" shapeId="0" xr:uid="{00000000-0006-0000-0F00-000008000000}">
      <text>
        <r>
          <rPr>
            <b/>
            <sz val="8"/>
            <color indexed="81"/>
            <rFont val="Tahoma"/>
            <family val="2"/>
          </rPr>
          <t>Rogers, Elizabeth:</t>
        </r>
        <r>
          <rPr>
            <sz val="8"/>
            <color indexed="81"/>
            <rFont val="Tahoma"/>
            <family val="2"/>
          </rPr>
          <t xml:space="preserve">
Imputed by ER, to balance cash Earnings</t>
        </r>
      </text>
    </comment>
    <comment ref="Y41" authorId="3" shapeId="0" xr:uid="{00000000-0006-0000-0F00-000009000000}">
      <text>
        <r>
          <rPr>
            <b/>
            <sz val="9"/>
            <color indexed="81"/>
            <rFont val="Tahoma"/>
            <family val="2"/>
          </rPr>
          <t>Jien Goh:</t>
        </r>
        <r>
          <rPr>
            <sz val="9"/>
            <color indexed="81"/>
            <rFont val="Tahoma"/>
            <family val="2"/>
          </rPr>
          <t xml:space="preserve">
excl. gain on sale of Property (CFS etc)</t>
        </r>
      </text>
    </comment>
    <comment ref="Z41" authorId="3" shapeId="0" xr:uid="{00000000-0006-0000-0F00-00000A000000}">
      <text>
        <r>
          <rPr>
            <b/>
            <sz val="9"/>
            <color indexed="81"/>
            <rFont val="Tahoma"/>
            <family val="2"/>
          </rPr>
          <t>Jien Goh:</t>
        </r>
        <r>
          <rPr>
            <sz val="9"/>
            <color indexed="81"/>
            <rFont val="Tahoma"/>
            <family val="2"/>
          </rPr>
          <t xml:space="preserve">
excl. gain on sale of Property (CFS etc)</t>
        </r>
      </text>
    </comment>
    <comment ref="J49" authorId="4" shapeId="0" xr:uid="{00000000-0006-0000-0F00-00000B000000}">
      <text>
        <r>
          <rPr>
            <b/>
            <sz val="8"/>
            <color indexed="81"/>
            <rFont val="Tahoma"/>
            <family val="2"/>
          </rPr>
          <t>Koo, Ben:</t>
        </r>
        <r>
          <rPr>
            <sz val="8"/>
            <color indexed="81"/>
            <rFont val="Tahoma"/>
            <family val="2"/>
          </rPr>
          <t xml:space="preserve">
$108m for sell down of seed assets in 2H08.
Assumed further $50m in 1H09.</t>
        </r>
      </text>
    </comment>
    <comment ref="K49" authorId="4" shapeId="0" xr:uid="{00000000-0006-0000-0F00-00000C000000}">
      <text>
        <r>
          <rPr>
            <b/>
            <sz val="8"/>
            <color indexed="81"/>
            <rFont val="Tahoma"/>
            <family val="2"/>
          </rPr>
          <t>Koo, Ben:</t>
        </r>
        <r>
          <rPr>
            <sz val="8"/>
            <color indexed="81"/>
            <rFont val="Tahoma"/>
            <family val="2"/>
          </rPr>
          <t xml:space="preserve">
Adjsuted for assumed $50m sale of seed assets in 1H09</t>
        </r>
      </text>
    </comment>
    <comment ref="N49" authorId="5" shapeId="0" xr:uid="{00000000-0006-0000-0F00-00000D000000}">
      <text>
        <r>
          <rPr>
            <b/>
            <sz val="8"/>
            <color indexed="81"/>
            <rFont val="Tahoma"/>
            <family val="2"/>
          </rPr>
          <t>Fisher, Ryan:</t>
        </r>
        <r>
          <rPr>
            <sz val="8"/>
            <color indexed="81"/>
            <rFont val="Tahoma"/>
            <family val="2"/>
          </rPr>
          <t xml:space="preserve">
adjust for normalisation in performance fees and seed returns</t>
        </r>
      </text>
    </comment>
    <comment ref="X49" authorId="3" shapeId="0" xr:uid="{00000000-0006-0000-0F00-00000E000000}">
      <text>
        <r>
          <rPr>
            <b/>
            <sz val="9"/>
            <color indexed="81"/>
            <rFont val="Tahoma"/>
            <family val="2"/>
          </rPr>
          <t>Jien Goh:</t>
        </r>
        <r>
          <rPr>
            <sz val="9"/>
            <color indexed="81"/>
            <rFont val="Tahoma"/>
            <family val="2"/>
          </rPr>
          <t xml:space="preserve">
restated ex Property at 2H14 result</t>
        </r>
      </text>
    </comment>
    <comment ref="Y49" authorId="3" shapeId="0" xr:uid="{00000000-0006-0000-0F00-00000F000000}">
      <text>
        <r>
          <rPr>
            <b/>
            <sz val="9"/>
            <color indexed="81"/>
            <rFont val="Tahoma"/>
            <family val="2"/>
          </rPr>
          <t>Jien Goh:</t>
        </r>
        <r>
          <rPr>
            <sz val="9"/>
            <color indexed="81"/>
            <rFont val="Tahoma"/>
            <family val="2"/>
          </rPr>
          <t xml:space="preserve">
as per 1H15 res</t>
        </r>
      </text>
    </comment>
    <comment ref="Z49" authorId="3" shapeId="0" xr:uid="{00000000-0006-0000-0F00-000010000000}">
      <text>
        <r>
          <rPr>
            <b/>
            <sz val="9"/>
            <color indexed="81"/>
            <rFont val="Tahoma"/>
            <family val="2"/>
          </rPr>
          <t>Jien Goh:</t>
        </r>
        <r>
          <rPr>
            <sz val="9"/>
            <color indexed="81"/>
            <rFont val="Tahoma"/>
            <family val="2"/>
          </rPr>
          <t xml:space="preserve">
as per 1H15 res</t>
        </r>
      </text>
    </comment>
    <comment ref="AE52" authorId="6" shapeId="0" xr:uid="{00000000-0006-0000-0F00-000011000000}">
      <text>
        <r>
          <rPr>
            <b/>
            <sz val="9"/>
            <color indexed="81"/>
            <rFont val="Tahoma"/>
            <family val="2"/>
          </rPr>
          <t>Leong, YuChuan [GIR]:</t>
        </r>
        <r>
          <rPr>
            <sz val="9"/>
            <color indexed="81"/>
            <rFont val="Tahoma"/>
            <family val="2"/>
          </rPr>
          <t xml:space="preserve">
Not disclosed anymore at 1H16 p44</t>
        </r>
      </text>
    </comment>
    <comment ref="AH52" authorId="6" shapeId="0" xr:uid="{00000000-0006-0000-0F00-000012000000}">
      <text>
        <r>
          <rPr>
            <b/>
            <sz val="9"/>
            <color indexed="81"/>
            <rFont val="Tahoma"/>
            <family val="2"/>
          </rPr>
          <t>Leong, YuChuan [GIR]:</t>
        </r>
        <r>
          <rPr>
            <sz val="9"/>
            <color indexed="81"/>
            <rFont val="Tahoma"/>
            <family val="2"/>
          </rPr>
          <t xml:space="preserve">
Not disclosed anymore at 1H16 p44</t>
        </r>
      </text>
    </comment>
    <comment ref="AH53" authorId="7" shapeId="0" xr:uid="{00000000-0006-0000-0F00-000013000000}">
      <text>
        <r>
          <rPr>
            <sz val="9"/>
            <color indexed="81"/>
            <rFont val="Tahoma"/>
            <family val="2"/>
          </rPr>
          <t>was 425</t>
        </r>
      </text>
    </comment>
    <comment ref="AJ53" authorId="7" shapeId="0" xr:uid="{00000000-0006-0000-0F00-000014000000}">
      <text>
        <r>
          <rPr>
            <sz val="9"/>
            <color indexed="81"/>
            <rFont val="Tahoma"/>
            <family val="2"/>
          </rPr>
          <t>was 837</t>
        </r>
      </text>
    </comment>
    <comment ref="Y54" authorId="3" shapeId="0" xr:uid="{00000000-0006-0000-0F00-000015000000}">
      <text>
        <r>
          <rPr>
            <b/>
            <sz val="9"/>
            <color indexed="81"/>
            <rFont val="Tahoma"/>
            <family val="2"/>
          </rPr>
          <t>Jien Goh:</t>
        </r>
        <r>
          <rPr>
            <sz val="9"/>
            <color indexed="81"/>
            <rFont val="Tahoma"/>
            <family val="2"/>
          </rPr>
          <t xml:space="preserve">
as per 1H15 res</t>
        </r>
      </text>
    </comment>
    <comment ref="Z54" authorId="3" shapeId="0" xr:uid="{00000000-0006-0000-0F00-000016000000}">
      <text>
        <r>
          <rPr>
            <b/>
            <sz val="9"/>
            <color indexed="81"/>
            <rFont val="Tahoma"/>
            <family val="2"/>
          </rPr>
          <t>Jien Goh:</t>
        </r>
        <r>
          <rPr>
            <sz val="9"/>
            <color indexed="81"/>
            <rFont val="Tahoma"/>
            <family val="2"/>
          </rPr>
          <t xml:space="preserve">
as per 1H15 res</t>
        </r>
      </text>
    </comment>
    <comment ref="AH54" authorId="7" shapeId="0" xr:uid="{00000000-0006-0000-0F00-000017000000}">
      <text>
        <r>
          <rPr>
            <sz val="9"/>
            <color indexed="81"/>
            <rFont val="Tahoma"/>
            <family val="2"/>
          </rPr>
          <t>was -258</t>
        </r>
      </text>
    </comment>
    <comment ref="AJ54" authorId="7" shapeId="0" xr:uid="{00000000-0006-0000-0F00-000018000000}">
      <text>
        <r>
          <rPr>
            <sz val="9"/>
            <color indexed="81"/>
            <rFont val="Tahoma"/>
            <family val="2"/>
          </rPr>
          <t>was -521</t>
        </r>
      </text>
    </comment>
    <comment ref="AH56" authorId="7" shapeId="0" xr:uid="{00000000-0006-0000-0F00-000019000000}">
      <text>
        <r>
          <rPr>
            <sz val="9"/>
            <color indexed="81"/>
            <rFont val="Tahoma"/>
            <family val="2"/>
          </rPr>
          <t>was 167</t>
        </r>
      </text>
    </comment>
    <comment ref="AJ56" authorId="7" shapeId="0" xr:uid="{00000000-0006-0000-0F00-00001A000000}">
      <text>
        <r>
          <rPr>
            <sz val="9"/>
            <color indexed="81"/>
            <rFont val="Tahoma"/>
            <family val="2"/>
          </rPr>
          <t>was 316</t>
        </r>
      </text>
    </comment>
    <comment ref="X57" authorId="3" shapeId="0" xr:uid="{00000000-0006-0000-0F00-00001B000000}">
      <text>
        <r>
          <rPr>
            <b/>
            <sz val="9"/>
            <color indexed="81"/>
            <rFont val="Tahoma"/>
            <family val="2"/>
          </rPr>
          <t>Jien Goh:</t>
        </r>
        <r>
          <rPr>
            <sz val="9"/>
            <color indexed="81"/>
            <rFont val="Tahoma"/>
            <family val="2"/>
          </rPr>
          <t xml:space="preserve">
restated ex Property at 2H14 result</t>
        </r>
      </text>
    </comment>
    <comment ref="Y61" authorId="3" shapeId="0" xr:uid="{00000000-0006-0000-0F00-00001C000000}">
      <text>
        <r>
          <rPr>
            <b/>
            <sz val="9"/>
            <color indexed="81"/>
            <rFont val="Tahoma"/>
            <family val="2"/>
          </rPr>
          <t>Jien Goh:</t>
        </r>
        <r>
          <rPr>
            <sz val="9"/>
            <color indexed="81"/>
            <rFont val="Tahoma"/>
            <family val="2"/>
          </rPr>
          <t xml:space="preserve">
as per 1H15 res</t>
        </r>
      </text>
    </comment>
    <comment ref="Z61" authorId="3" shapeId="0" xr:uid="{00000000-0006-0000-0F00-00001D000000}">
      <text>
        <r>
          <rPr>
            <b/>
            <sz val="9"/>
            <color indexed="81"/>
            <rFont val="Tahoma"/>
            <family val="2"/>
          </rPr>
          <t>Jien Goh:</t>
        </r>
        <r>
          <rPr>
            <sz val="9"/>
            <color indexed="81"/>
            <rFont val="Tahoma"/>
            <family val="2"/>
          </rPr>
          <t xml:space="preserve">
as per 1H15 res</t>
        </r>
      </text>
    </comment>
    <comment ref="AB61" authorId="7" shapeId="0" xr:uid="{00000000-0006-0000-0F00-00001E000000}">
      <text>
        <r>
          <rPr>
            <sz val="9"/>
            <color indexed="81"/>
            <rFont val="Tahoma"/>
            <family val="2"/>
          </rPr>
          <t>was -2</t>
        </r>
      </text>
    </comment>
    <comment ref="AJ61" authorId="7" shapeId="0" xr:uid="{00000000-0006-0000-0F00-00001F000000}">
      <text>
        <r>
          <rPr>
            <sz val="9"/>
            <color indexed="81"/>
            <rFont val="Tahoma"/>
            <family val="2"/>
          </rPr>
          <t>was -6</t>
        </r>
      </text>
    </comment>
    <comment ref="AB62" authorId="7" shapeId="0" xr:uid="{00000000-0006-0000-0F00-000020000000}">
      <text>
        <r>
          <rPr>
            <sz val="9"/>
            <color indexed="81"/>
            <rFont val="Tahoma"/>
            <family val="2"/>
          </rPr>
          <t>was 112</t>
        </r>
      </text>
    </comment>
    <comment ref="AG62" authorId="7" shapeId="0" xr:uid="{00000000-0006-0000-0F00-000021000000}">
      <text>
        <r>
          <rPr>
            <sz val="9"/>
            <color indexed="81"/>
            <rFont val="Tahoma"/>
            <family val="2"/>
          </rPr>
          <t>was 227 (split 120 1H / 107 2H)</t>
        </r>
      </text>
    </comment>
    <comment ref="AH62" authorId="7" shapeId="0" xr:uid="{00000000-0006-0000-0F00-000022000000}">
      <text>
        <r>
          <rPr>
            <sz val="9"/>
            <color indexed="81"/>
            <rFont val="Tahoma"/>
            <family val="2"/>
          </rPr>
          <t>was 125</t>
        </r>
      </text>
    </comment>
    <comment ref="AJ62" authorId="7" shapeId="0" xr:uid="{00000000-0006-0000-0F00-000023000000}">
      <text>
        <r>
          <rPr>
            <sz val="9"/>
            <color indexed="81"/>
            <rFont val="Tahoma"/>
            <family val="2"/>
          </rPr>
          <t>was 229</t>
        </r>
      </text>
    </comment>
    <comment ref="Y68" authorId="3" shapeId="0" xr:uid="{00000000-0006-0000-0F00-000024000000}">
      <text>
        <r>
          <rPr>
            <b/>
            <sz val="9"/>
            <color indexed="81"/>
            <rFont val="Tahoma"/>
            <family val="2"/>
          </rPr>
          <t>Jien Goh:</t>
        </r>
        <r>
          <rPr>
            <sz val="9"/>
            <color indexed="81"/>
            <rFont val="Tahoma"/>
            <family val="2"/>
          </rPr>
          <t xml:space="preserve">
as per 1H15 res</t>
        </r>
      </text>
    </comment>
    <comment ref="Z68" authorId="3" shapeId="0" xr:uid="{00000000-0006-0000-0F00-000025000000}">
      <text>
        <r>
          <rPr>
            <b/>
            <sz val="9"/>
            <color indexed="81"/>
            <rFont val="Tahoma"/>
            <family val="2"/>
          </rPr>
          <t>Jien Goh:</t>
        </r>
        <r>
          <rPr>
            <sz val="9"/>
            <color indexed="81"/>
            <rFont val="Tahoma"/>
            <family val="2"/>
          </rPr>
          <t xml:space="preserve">
as per 1H15 res</t>
        </r>
      </text>
    </comment>
    <comment ref="AE68" authorId="6" shapeId="0" xr:uid="{00000000-0006-0000-0F00-000026000000}">
      <text>
        <r>
          <rPr>
            <b/>
            <sz val="9"/>
            <color indexed="81"/>
            <rFont val="Tahoma"/>
            <family val="2"/>
          </rPr>
          <t>Leong, YuChuan [GIR]:</t>
        </r>
        <r>
          <rPr>
            <sz val="9"/>
            <color indexed="81"/>
            <rFont val="Tahoma"/>
            <family val="2"/>
          </rPr>
          <t xml:space="preserve">
Not disclosed anymore at 1H16 p44</t>
        </r>
      </text>
    </comment>
    <comment ref="AF68" authorId="6" shapeId="0" xr:uid="{00000000-0006-0000-0F00-000027000000}">
      <text>
        <r>
          <rPr>
            <b/>
            <sz val="9"/>
            <color indexed="81"/>
            <rFont val="Tahoma"/>
            <family val="2"/>
          </rPr>
          <t>Leong, YuChuan [GIR]:</t>
        </r>
        <r>
          <rPr>
            <sz val="9"/>
            <color indexed="81"/>
            <rFont val="Tahoma"/>
            <family val="2"/>
          </rPr>
          <t xml:space="preserve">
Not disclosed anymore at 1H16 p44</t>
        </r>
      </text>
    </comment>
    <comment ref="AH68" authorId="6" shapeId="0" xr:uid="{00000000-0006-0000-0F00-000028000000}">
      <text>
        <r>
          <rPr>
            <b/>
            <sz val="9"/>
            <color indexed="81"/>
            <rFont val="Tahoma"/>
            <family val="2"/>
          </rPr>
          <t>Leong, YuChuan [GIR]:</t>
        </r>
        <r>
          <rPr>
            <sz val="9"/>
            <color indexed="81"/>
            <rFont val="Tahoma"/>
            <family val="2"/>
          </rPr>
          <t xml:space="preserve">
Not disclosed anymore at 1H16 p44</t>
        </r>
      </text>
    </comment>
    <comment ref="AE70" authorId="1" shapeId="0" xr:uid="{00000000-0006-0000-0F00-000029000000}">
      <text>
        <r>
          <rPr>
            <b/>
            <sz val="9"/>
            <color indexed="81"/>
            <rFont val="Tahoma"/>
            <family val="2"/>
          </rPr>
          <t>Andrew Lyons:</t>
        </r>
        <r>
          <rPr>
            <sz val="9"/>
            <color indexed="81"/>
            <rFont val="Tahoma"/>
            <family val="2"/>
          </rPr>
          <t xml:space="preserve">
Remediation costs</t>
        </r>
      </text>
    </comment>
    <comment ref="AH70" authorId="1" shapeId="0" xr:uid="{00000000-0006-0000-0F00-00002A000000}">
      <text>
        <r>
          <rPr>
            <b/>
            <sz val="9"/>
            <color indexed="81"/>
            <rFont val="Tahoma"/>
            <family val="2"/>
          </rPr>
          <t>Andrew Lyons:</t>
        </r>
        <r>
          <rPr>
            <sz val="9"/>
            <color indexed="81"/>
            <rFont val="Tahoma"/>
            <family val="2"/>
          </rPr>
          <t xml:space="preserve">
Remediation costs</t>
        </r>
      </text>
    </comment>
    <comment ref="AB77" authorId="7" shapeId="0" xr:uid="{00000000-0006-0000-0F00-00002B000000}">
      <text>
        <r>
          <rPr>
            <sz val="9"/>
            <color indexed="81"/>
            <rFont val="Tahoma"/>
            <family val="2"/>
          </rPr>
          <t>was 2</t>
        </r>
      </text>
    </comment>
    <comment ref="AD77" authorId="7" shapeId="0" xr:uid="{00000000-0006-0000-0F00-00002C000000}">
      <text>
        <r>
          <rPr>
            <sz val="9"/>
            <color indexed="81"/>
            <rFont val="Tahoma"/>
            <family val="2"/>
          </rPr>
          <t>Orig 0</t>
        </r>
      </text>
    </comment>
    <comment ref="AB78" authorId="7" shapeId="0" xr:uid="{00000000-0006-0000-0F00-00002D000000}">
      <text>
        <r>
          <rPr>
            <sz val="9"/>
            <color indexed="81"/>
            <rFont val="Tahoma"/>
            <family val="2"/>
          </rPr>
          <t>was 110</t>
        </r>
      </text>
    </comment>
    <comment ref="AD78" authorId="7" shapeId="0" xr:uid="{00000000-0006-0000-0F00-00002E000000}">
      <text>
        <r>
          <rPr>
            <sz val="9"/>
            <color indexed="81"/>
            <rFont val="Tahoma"/>
            <family val="2"/>
          </rPr>
          <t>Orig 92 (110 1H / -18 2H)</t>
        </r>
      </text>
    </comment>
    <comment ref="O80" authorId="2" shapeId="0" xr:uid="{00000000-0006-0000-0F00-00002F000000}">
      <text>
        <r>
          <rPr>
            <b/>
            <sz val="8"/>
            <color indexed="81"/>
            <rFont val="Tahoma"/>
            <family val="2"/>
          </rPr>
          <t>Rogers, Elizabeth:</t>
        </r>
        <r>
          <rPr>
            <sz val="8"/>
            <color indexed="81"/>
            <rFont val="Tahoma"/>
            <family val="2"/>
          </rPr>
          <t xml:space="preserve">
Includes St Andrews</t>
        </r>
      </text>
    </comment>
    <comment ref="P80" authorId="2" shapeId="0" xr:uid="{00000000-0006-0000-0F00-000030000000}">
      <text>
        <r>
          <rPr>
            <b/>
            <sz val="8"/>
            <color indexed="81"/>
            <rFont val="Tahoma"/>
            <family val="2"/>
          </rPr>
          <t>Rogers, Elizabeth:</t>
        </r>
        <r>
          <rPr>
            <sz val="8"/>
            <color indexed="81"/>
            <rFont val="Tahoma"/>
            <family val="2"/>
          </rPr>
          <t xml:space="preserve">
Includes St Andrews</t>
        </r>
      </text>
    </comment>
    <comment ref="O82" authorId="2" shapeId="0" xr:uid="{00000000-0006-0000-0F00-000031000000}">
      <text>
        <r>
          <rPr>
            <b/>
            <sz val="8"/>
            <color indexed="81"/>
            <rFont val="Tahoma"/>
            <family val="2"/>
          </rPr>
          <t>Rogers, Elizabeth:</t>
        </r>
        <r>
          <rPr>
            <sz val="8"/>
            <color indexed="81"/>
            <rFont val="Tahoma"/>
            <family val="2"/>
          </rPr>
          <t xml:space="preserve">
Includes St Andrews</t>
        </r>
      </text>
    </comment>
    <comment ref="O84" authorId="2" shapeId="0" xr:uid="{00000000-0006-0000-0F00-000032000000}">
      <text>
        <r>
          <rPr>
            <b/>
            <sz val="8"/>
            <color indexed="81"/>
            <rFont val="Tahoma"/>
            <family val="2"/>
          </rPr>
          <t>Rogers, Elizabeth:</t>
        </r>
        <r>
          <rPr>
            <sz val="8"/>
            <color indexed="81"/>
            <rFont val="Tahoma"/>
            <family val="2"/>
          </rPr>
          <t xml:space="preserve">
Includes St Andrews</t>
        </r>
      </text>
    </comment>
    <comment ref="AE84" authorId="6" shapeId="0" xr:uid="{00000000-0006-0000-0F00-000033000000}">
      <text>
        <r>
          <rPr>
            <b/>
            <sz val="9"/>
            <color indexed="81"/>
            <rFont val="Tahoma"/>
            <family val="2"/>
          </rPr>
          <t>Leong, YuChuan [GIR]:</t>
        </r>
        <r>
          <rPr>
            <sz val="9"/>
            <color indexed="81"/>
            <rFont val="Tahoma"/>
            <family val="2"/>
          </rPr>
          <t xml:space="preserve">
Not disclosed anymore at 1H16 p44</t>
        </r>
      </text>
    </comment>
    <comment ref="AF84" authorId="6" shapeId="0" xr:uid="{00000000-0006-0000-0F00-000034000000}">
      <text>
        <r>
          <rPr>
            <b/>
            <sz val="9"/>
            <color indexed="81"/>
            <rFont val="Tahoma"/>
            <family val="2"/>
          </rPr>
          <t>Leong, YuChuan [GIR]:</t>
        </r>
        <r>
          <rPr>
            <sz val="9"/>
            <color indexed="81"/>
            <rFont val="Tahoma"/>
            <family val="2"/>
          </rPr>
          <t xml:space="preserve">
Not disclosed anymore at 1H16 p44</t>
        </r>
      </text>
    </comment>
    <comment ref="AH84" authorId="6" shapeId="0" xr:uid="{00000000-0006-0000-0F00-000035000000}">
      <text>
        <r>
          <rPr>
            <b/>
            <sz val="9"/>
            <color indexed="81"/>
            <rFont val="Tahoma"/>
            <family val="2"/>
          </rPr>
          <t>Leong, YuChuan [GIR]:</t>
        </r>
        <r>
          <rPr>
            <sz val="9"/>
            <color indexed="81"/>
            <rFont val="Tahoma"/>
            <family val="2"/>
          </rPr>
          <t xml:space="preserve">
Not disclosed anymore at 1H16 p44</t>
        </r>
      </text>
    </comment>
    <comment ref="AI84" authorId="6" shapeId="0" xr:uid="{00000000-0006-0000-0F00-000036000000}">
      <text>
        <r>
          <rPr>
            <b/>
            <sz val="9"/>
            <color indexed="81"/>
            <rFont val="Tahoma"/>
            <family val="2"/>
          </rPr>
          <t>Leong, YuChuan [GIR]:</t>
        </r>
        <r>
          <rPr>
            <sz val="9"/>
            <color indexed="81"/>
            <rFont val="Tahoma"/>
            <family val="2"/>
          </rPr>
          <t xml:space="preserve">
Not disclosed anymore at 1H16 p44</t>
        </r>
      </text>
    </comment>
    <comment ref="O86" authorId="2" shapeId="0" xr:uid="{00000000-0006-0000-0F00-000037000000}">
      <text>
        <r>
          <rPr>
            <b/>
            <sz val="8"/>
            <color indexed="81"/>
            <rFont val="Tahoma"/>
            <family val="2"/>
          </rPr>
          <t>Rogers, Elizabeth:</t>
        </r>
        <r>
          <rPr>
            <sz val="8"/>
            <color indexed="81"/>
            <rFont val="Tahoma"/>
            <family val="2"/>
          </rPr>
          <t xml:space="preserve">
Includes St Andrews</t>
        </r>
      </text>
    </comment>
    <comment ref="O89" authorId="2" shapeId="0" xr:uid="{00000000-0006-0000-0F00-000038000000}">
      <text>
        <r>
          <rPr>
            <b/>
            <sz val="8"/>
            <color indexed="81"/>
            <rFont val="Tahoma"/>
            <family val="2"/>
          </rPr>
          <t>Rogers, Elizabeth:</t>
        </r>
        <r>
          <rPr>
            <sz val="8"/>
            <color indexed="81"/>
            <rFont val="Tahoma"/>
            <family val="2"/>
          </rPr>
          <t xml:space="preserve">
Includes St Andrews</t>
        </r>
      </text>
    </comment>
    <comment ref="AK95" authorId="1" shapeId="0" xr:uid="{00000000-0006-0000-0F00-000039000000}">
      <text>
        <r>
          <rPr>
            <b/>
            <sz val="9"/>
            <color indexed="81"/>
            <rFont val="Tahoma"/>
            <family val="2"/>
          </rPr>
          <t>Andrew Lyons:</t>
        </r>
        <r>
          <rPr>
            <sz val="9"/>
            <color indexed="81"/>
            <rFont val="Tahoma"/>
            <family val="2"/>
          </rPr>
          <t xml:space="preserve">
Restated at 1H19</t>
        </r>
      </text>
    </comment>
    <comment ref="L118" authorId="0" shapeId="0" xr:uid="{00000000-0006-0000-0F00-00003A000000}">
      <text>
        <r>
          <rPr>
            <sz val="8"/>
            <color indexed="81"/>
            <rFont val="Tahoma"/>
            <family val="2"/>
          </rPr>
          <t>Would be 765 if restated for St Andrew's</t>
        </r>
      </text>
    </comment>
    <comment ref="M118" authorId="0" shapeId="0" xr:uid="{00000000-0006-0000-0F00-00003B000000}">
      <text>
        <r>
          <rPr>
            <sz val="8"/>
            <color indexed="81"/>
            <rFont val="Tahoma"/>
            <family val="2"/>
          </rPr>
          <t>Restated to include St Andrew's from below</t>
        </r>
      </text>
    </comment>
    <comment ref="O118" authorId="0" shapeId="0" xr:uid="{00000000-0006-0000-0F00-00003C000000}">
      <text>
        <r>
          <rPr>
            <sz val="8"/>
            <color indexed="81"/>
            <rFont val="Tahoma"/>
            <family val="2"/>
          </rPr>
          <t>Would be 782 if restated for sale of St Andrew's</t>
        </r>
      </text>
    </comment>
    <comment ref="P118" authorId="0" shapeId="0" xr:uid="{00000000-0006-0000-0F00-00003D000000}">
      <text>
        <r>
          <rPr>
            <sz val="8"/>
            <color indexed="81"/>
            <rFont val="Tahoma"/>
            <family val="2"/>
          </rPr>
          <t>Restated to include St Andrew's from below</t>
        </r>
      </text>
    </comment>
    <comment ref="R122" authorId="2" shapeId="0" xr:uid="{00000000-0006-0000-0F00-00003E000000}">
      <text>
        <r>
          <rPr>
            <b/>
            <sz val="8"/>
            <color indexed="81"/>
            <rFont val="Tahoma"/>
            <family val="2"/>
          </rPr>
          <t>Rogers, Elizabeth:</t>
        </r>
        <r>
          <rPr>
            <sz val="8"/>
            <color indexed="81"/>
            <rFont val="Tahoma"/>
            <family val="2"/>
          </rPr>
          <t xml:space="preserve">
Adjusted for underlying trend ex St Andrews</t>
        </r>
      </text>
    </comment>
    <comment ref="M127" authorId="0" shapeId="0" xr:uid="{00000000-0006-0000-0F00-00003F000000}">
      <text>
        <r>
          <rPr>
            <sz val="8"/>
            <color indexed="81"/>
            <rFont val="Tahoma"/>
            <family val="2"/>
          </rPr>
          <t>130 reduction due to loss of AustralianSuper to TAL</t>
        </r>
      </text>
    </comment>
    <comment ref="Y150" authorId="3" shapeId="0" xr:uid="{00000000-0006-0000-0F00-000040000000}">
      <text>
        <r>
          <rPr>
            <b/>
            <sz val="9"/>
            <color indexed="81"/>
            <rFont val="Tahoma"/>
            <family val="2"/>
          </rPr>
          <t>Jien Goh:</t>
        </r>
        <r>
          <rPr>
            <sz val="9"/>
            <color indexed="81"/>
            <rFont val="Tahoma"/>
            <family val="2"/>
          </rPr>
          <t xml:space="preserve">
as per 1H15 res</t>
        </r>
      </text>
    </comment>
    <comment ref="Z150" authorId="3" shapeId="0" xr:uid="{00000000-0006-0000-0F00-000041000000}">
      <text>
        <r>
          <rPr>
            <b/>
            <sz val="9"/>
            <color indexed="81"/>
            <rFont val="Tahoma"/>
            <family val="2"/>
          </rPr>
          <t>Jien Goh:</t>
        </r>
        <r>
          <rPr>
            <sz val="9"/>
            <color indexed="81"/>
            <rFont val="Tahoma"/>
            <family val="2"/>
          </rPr>
          <t xml:space="preserve">
as per 1H15 res</t>
        </r>
      </text>
    </comment>
    <comment ref="R177" authorId="2" shapeId="0" xr:uid="{00000000-0006-0000-0F00-000042000000}">
      <text>
        <r>
          <rPr>
            <b/>
            <sz val="8"/>
            <color indexed="81"/>
            <rFont val="Tahoma"/>
            <family val="2"/>
          </rPr>
          <t>Rogers, Elizabeth:</t>
        </r>
        <r>
          <rPr>
            <sz val="8"/>
            <color indexed="81"/>
            <rFont val="Tahoma"/>
            <family val="2"/>
          </rPr>
          <t xml:space="preserve">
total NZ - Other</t>
        </r>
      </text>
    </comment>
    <comment ref="M189" authorId="2" shapeId="0" xr:uid="{00000000-0006-0000-0F00-000043000000}">
      <text>
        <r>
          <rPr>
            <b/>
            <sz val="8"/>
            <color indexed="81"/>
            <rFont val="Tahoma"/>
            <family val="2"/>
          </rPr>
          <t>Rogers, Elizabeth:</t>
        </r>
        <r>
          <rPr>
            <sz val="8"/>
            <color indexed="81"/>
            <rFont val="Tahoma"/>
            <family val="2"/>
          </rPr>
          <t xml:space="preserve">
Changes to new disclosure</t>
        </r>
      </text>
    </comment>
    <comment ref="O189" authorId="0" shapeId="0" xr:uid="{00000000-0006-0000-0F00-000044000000}">
      <text>
        <r>
          <rPr>
            <sz val="8"/>
            <color indexed="81"/>
            <rFont val="Tahoma"/>
            <family val="2"/>
          </rPr>
          <t>This is Sovereign + Other</t>
        </r>
      </text>
    </comment>
    <comment ref="R189" authorId="2" shapeId="0" xr:uid="{00000000-0006-0000-0F00-000045000000}">
      <text>
        <r>
          <rPr>
            <b/>
            <sz val="8"/>
            <color indexed="81"/>
            <rFont val="Tahoma"/>
            <family val="2"/>
          </rPr>
          <t>Rogers, Elizabeth:</t>
        </r>
        <r>
          <rPr>
            <sz val="8"/>
            <color indexed="81"/>
            <rFont val="Tahoma"/>
            <family val="2"/>
          </rPr>
          <t xml:space="preserve">
Soveriegn + Other
</t>
        </r>
      </text>
    </comment>
    <comment ref="U189" authorId="2" shapeId="0" xr:uid="{00000000-0006-0000-0F00-000046000000}">
      <text>
        <r>
          <rPr>
            <sz val="8"/>
            <color indexed="81"/>
            <rFont val="Tahoma"/>
            <family val="2"/>
          </rPr>
          <t xml:space="preserve">Soveriegn + Other
</t>
        </r>
      </text>
    </comment>
    <comment ref="O209" authorId="0" shapeId="0" xr:uid="{00000000-0006-0000-0F00-000047000000}">
      <text>
        <r>
          <rPr>
            <sz val="8"/>
            <color indexed="81"/>
            <rFont val="Tahoma"/>
            <family val="2"/>
          </rPr>
          <t>Includes FX adj</t>
        </r>
      </text>
    </comment>
    <comment ref="P209" authorId="0" shapeId="0" xr:uid="{00000000-0006-0000-0F00-000048000000}">
      <text>
        <r>
          <rPr>
            <sz val="8"/>
            <color indexed="81"/>
            <rFont val="Tahoma"/>
            <family val="2"/>
          </rPr>
          <t>Mainly FX</t>
        </r>
      </text>
    </comment>
    <comment ref="Q209" authorId="0" shapeId="0" xr:uid="{00000000-0006-0000-0F00-000049000000}">
      <text>
        <r>
          <rPr>
            <sz val="8"/>
            <color indexed="81"/>
            <rFont val="Tahoma"/>
            <family val="2"/>
          </rPr>
          <t>Mainly FX</t>
        </r>
      </text>
    </comment>
    <comment ref="R209" authorId="0" shapeId="0" xr:uid="{00000000-0006-0000-0F00-00004A000000}">
      <text>
        <r>
          <rPr>
            <sz val="8"/>
            <color indexed="81"/>
            <rFont val="Tahoma"/>
            <family val="2"/>
          </rPr>
          <t>Mainly FX</t>
        </r>
      </text>
    </comment>
    <comment ref="M226" authorId="2" shapeId="0" xr:uid="{00000000-0006-0000-0F00-00004B000000}">
      <text>
        <r>
          <rPr>
            <b/>
            <sz val="8"/>
            <color indexed="81"/>
            <rFont val="Tahoma"/>
            <family val="2"/>
          </rPr>
          <t>Rogers, Elizabeth:</t>
        </r>
        <r>
          <rPr>
            <sz val="8"/>
            <color indexed="81"/>
            <rFont val="Tahoma"/>
            <family val="2"/>
          </rPr>
          <t xml:space="preserve">
Adjusted for new disclosure</t>
        </r>
      </text>
    </comment>
    <comment ref="V232" authorId="8" shapeId="0" xr:uid="{00000000-0006-0000-0F00-00004C000000}">
      <text>
        <r>
          <rPr>
            <b/>
            <sz val="8"/>
            <color indexed="81"/>
            <rFont val="Tahoma"/>
            <family val="2"/>
          </rPr>
          <t>Libby:</t>
        </r>
        <r>
          <rPr>
            <sz val="8"/>
            <color indexed="81"/>
            <rFont val="Tahoma"/>
            <family val="2"/>
          </rPr>
          <t xml:space="preserve">
includes infrastructure</t>
        </r>
      </text>
    </comment>
    <comment ref="AF249" authorId="1" shapeId="0" xr:uid="{00000000-0006-0000-0F00-00004D000000}">
      <text>
        <r>
          <rPr>
            <b/>
            <sz val="9"/>
            <color indexed="81"/>
            <rFont val="Tahoma"/>
            <family val="2"/>
          </rPr>
          <t>Andrew Lyons:</t>
        </r>
        <r>
          <rPr>
            <sz val="9"/>
            <color indexed="81"/>
            <rFont val="Tahoma"/>
            <family val="2"/>
          </rPr>
          <t xml:space="preserve">
MSCIAI 0.7%... but if unhedged (and using A$/US$ to convert) -1.5%</t>
        </r>
      </text>
    </comment>
    <comment ref="AF250" authorId="1" shapeId="0" xr:uid="{00000000-0006-0000-0F00-00004E000000}">
      <text>
        <r>
          <rPr>
            <b/>
            <sz val="9"/>
            <color indexed="81"/>
            <rFont val="Tahoma"/>
            <family val="2"/>
          </rPr>
          <t>Andrew Lyons:</t>
        </r>
        <r>
          <rPr>
            <sz val="9"/>
            <color indexed="81"/>
            <rFont val="Tahoma"/>
            <family val="2"/>
          </rPr>
          <t xml:space="preserve">
Aust REITs were 16.3%.  One of the key Bloomberg property indices was 8.2% US$ / 5.5% local currency.  Might want to lower these a bit if more direct/unlisted property (and/or to be conservative).</t>
        </r>
      </text>
    </comment>
    <comment ref="AF251" authorId="1" shapeId="0" xr:uid="{00000000-0006-0000-0F00-00004F000000}">
      <text>
        <r>
          <rPr>
            <b/>
            <sz val="9"/>
            <color indexed="81"/>
            <rFont val="Tahoma"/>
            <family val="2"/>
          </rPr>
          <t>Andrew Lyons:</t>
        </r>
        <r>
          <rPr>
            <sz val="9"/>
            <color indexed="81"/>
            <rFont val="Tahoma"/>
            <family val="2"/>
          </rPr>
          <t xml:space="preserve">
Avge Aust cash rate was 1.92% (ie 0.96% yield for the half).  Key total return indices (ie including yld) for Aust Treasuries was 1.7% (1-3 yr), and 3.1% (3-5 yr) but climbing to 11.7% (10+ yrs) so quite a guess if you don’t know the mix (noting this will only apply to fixed rate inv).  Credit spreads were fairly benign (neutral Aust 5yr, -7 US, +10 Europe) so, given the arbitrary nature of each company’s investment portfolios, can prob ignore these.</t>
        </r>
      </text>
    </comment>
    <comment ref="M252" authorId="4" shapeId="0" xr:uid="{00000000-0006-0000-0F00-000050000000}">
      <text>
        <r>
          <rPr>
            <b/>
            <sz val="8"/>
            <color indexed="81"/>
            <rFont val="Tahoma"/>
            <family val="2"/>
          </rPr>
          <t>Koo, Ben:</t>
        </r>
        <r>
          <rPr>
            <sz val="8"/>
            <color indexed="81"/>
            <rFont val="Tahoma"/>
            <family val="2"/>
          </rPr>
          <t xml:space="preserve">
Goal seek to equal guidance of $240m post tax (pre-tax of $343m)</t>
        </r>
      </text>
    </comment>
    <comment ref="M261" authorId="4" shapeId="0" xr:uid="{00000000-0006-0000-0F00-000051000000}">
      <text>
        <r>
          <rPr>
            <b/>
            <sz val="8"/>
            <color indexed="81"/>
            <rFont val="Tahoma"/>
            <family val="2"/>
          </rPr>
          <t>Koo, Ben:</t>
        </r>
        <r>
          <rPr>
            <sz val="8"/>
            <color indexed="81"/>
            <rFont val="Tahoma"/>
            <family val="2"/>
          </rPr>
          <t xml:space="preserve">
Goal seek to equal guidance of $240m post tax (pre-tax of $343m)</t>
        </r>
      </text>
    </comment>
    <comment ref="AB265" authorId="6" shapeId="0" xr:uid="{00000000-0006-0000-0F00-000052000000}">
      <text>
        <r>
          <rPr>
            <b/>
            <sz val="9"/>
            <color indexed="81"/>
            <rFont val="Tahoma"/>
            <family val="2"/>
          </rPr>
          <t>Leong, YuChuan [GIR]:</t>
        </r>
        <r>
          <rPr>
            <sz val="9"/>
            <color indexed="81"/>
            <rFont val="Tahoma"/>
            <family val="2"/>
          </rPr>
          <t xml:space="preserve">
Restated at 1H16 p46</t>
        </r>
      </text>
    </comment>
    <comment ref="AD265" authorId="7" shapeId="0" xr:uid="{00000000-0006-0000-0F00-000053000000}">
      <text>
        <r>
          <rPr>
            <sz val="9"/>
            <color indexed="81"/>
            <rFont val="Tahoma"/>
            <family val="2"/>
          </rPr>
          <t>Restated to 95,108 in 1H16 result</t>
        </r>
      </text>
    </comment>
    <comment ref="B267" authorId="7" shapeId="0" xr:uid="{00000000-0006-0000-0F00-000054000000}">
      <text>
        <r>
          <rPr>
            <sz val="9"/>
            <color indexed="81"/>
            <rFont val="Tahoma"/>
            <family val="2"/>
          </rPr>
          <t>Prior to 1H16 restatement: Property securities and infrastructure: This asset class includes unlisted infrastructure holdings and global listed property securities.</t>
        </r>
      </text>
    </comment>
    <comment ref="Y267" authorId="3" shapeId="0" xr:uid="{00000000-0006-0000-0F00-000055000000}">
      <text>
        <r>
          <rPr>
            <b/>
            <sz val="9"/>
            <color indexed="81"/>
            <rFont val="Tahoma"/>
            <family val="2"/>
          </rPr>
          <t>Jien Goh:</t>
        </r>
        <r>
          <rPr>
            <sz val="9"/>
            <color indexed="81"/>
            <rFont val="Tahoma"/>
            <family val="2"/>
          </rPr>
          <t xml:space="preserve">
22,130 incl sold Property busineesses, restated FY14 result</t>
        </r>
      </text>
    </comment>
    <comment ref="AB267" authorId="6" shapeId="0" xr:uid="{00000000-0006-0000-0F00-000056000000}">
      <text>
        <r>
          <rPr>
            <b/>
            <sz val="9"/>
            <color indexed="81"/>
            <rFont val="Tahoma"/>
            <family val="2"/>
          </rPr>
          <t>Leong, YuChuan [GIR]:</t>
        </r>
        <r>
          <rPr>
            <sz val="9"/>
            <color indexed="81"/>
            <rFont val="Tahoma"/>
            <family val="2"/>
          </rPr>
          <t xml:space="preserve">
Restated at 1H16 p46</t>
        </r>
      </text>
    </comment>
    <comment ref="AD267" authorId="7" shapeId="0" xr:uid="{00000000-0006-0000-0F00-000057000000}">
      <text>
        <r>
          <rPr>
            <sz val="9"/>
            <color indexed="81"/>
            <rFont val="Tahoma"/>
            <family val="2"/>
          </rPr>
          <t>Restated to 5,470 in 1H16 result
Prior to 1H16 restatement: Property securities and infrastructure: This asset class includes unlisted infrastructure holdings and global listed property securities.</t>
        </r>
      </text>
    </comment>
    <comment ref="AK268" authorId="7" shapeId="0" xr:uid="{00000000-0006-0000-0F00-000058000000}">
      <text>
        <r>
          <rPr>
            <b/>
            <sz val="9"/>
            <color indexed="81"/>
            <rFont val="Tahoma"/>
            <family val="2"/>
          </rPr>
          <t>25 Jun 2018:</t>
        </r>
        <r>
          <rPr>
            <sz val="9"/>
            <color indexed="81"/>
            <rFont val="Tahoma"/>
            <family val="2"/>
          </rPr>
          <t xml:space="preserve">
CFSGAM – a global investment management business managing over $207 billion of assets for clients worldwide.</t>
        </r>
      </text>
    </comment>
    <comment ref="AH270" authorId="7" shapeId="0" xr:uid="{00000000-0006-0000-0F00-000059000000}">
      <text>
        <r>
          <rPr>
            <sz val="9"/>
            <color indexed="81"/>
            <rFont val="Tahoma"/>
            <family val="2"/>
          </rPr>
          <t>201,967</t>
        </r>
      </text>
    </comment>
    <comment ref="AI270" authorId="7" shapeId="0" xr:uid="{00000000-0006-0000-0F00-00005A000000}">
      <text>
        <r>
          <rPr>
            <sz val="9"/>
            <color indexed="81"/>
            <rFont val="Tahoma"/>
            <family val="2"/>
          </rPr>
          <t>209,469</t>
        </r>
      </text>
    </comment>
    <comment ref="AK270" authorId="7" shapeId="0" xr:uid="{00000000-0006-0000-0F00-00005B000000}">
      <text>
        <r>
          <rPr>
            <sz val="9"/>
            <color indexed="81"/>
            <rFont val="Tahoma"/>
            <family val="2"/>
          </rPr>
          <t>219,558</t>
        </r>
      </text>
    </comment>
    <comment ref="Y290" authorId="3" shapeId="0" xr:uid="{00000000-0006-0000-0F00-00005C000000}">
      <text>
        <r>
          <rPr>
            <b/>
            <sz val="9"/>
            <color indexed="81"/>
            <rFont val="Tahoma"/>
            <family val="2"/>
          </rPr>
          <t>Jien Goh:</t>
        </r>
        <r>
          <rPr>
            <sz val="9"/>
            <color indexed="81"/>
            <rFont val="Tahoma"/>
            <family val="2"/>
          </rPr>
          <t xml:space="preserve">
restated FY14 result
ex Property</t>
        </r>
      </text>
    </comment>
    <comment ref="AB294" authorId="6" shapeId="0" xr:uid="{00000000-0006-0000-0F00-00005D000000}">
      <text>
        <r>
          <rPr>
            <b/>
            <sz val="9"/>
            <color indexed="81"/>
            <rFont val="Tahoma"/>
            <family val="2"/>
          </rPr>
          <t>Leong, YuChuan [GIR]:</t>
        </r>
        <r>
          <rPr>
            <sz val="9"/>
            <color indexed="81"/>
            <rFont val="Tahoma"/>
            <family val="2"/>
          </rPr>
          <t xml:space="preserve">
Restated at 1H16, p44, does not equal to sum of above</t>
        </r>
      </text>
    </comment>
    <comment ref="AC294" authorId="6" shapeId="0" xr:uid="{00000000-0006-0000-0F00-00005E000000}">
      <text>
        <r>
          <rPr>
            <b/>
            <sz val="9"/>
            <color indexed="81"/>
            <rFont val="Tahoma"/>
            <family val="2"/>
          </rPr>
          <t>Leong, YuChuan [GIR]:</t>
        </r>
        <r>
          <rPr>
            <sz val="9"/>
            <color indexed="81"/>
            <rFont val="Tahoma"/>
            <family val="2"/>
          </rPr>
          <t xml:space="preserve">
Restated at 1H16, p44, does not equal to sum of above</t>
        </r>
      </text>
    </comment>
    <comment ref="AG294" authorId="7" shapeId="0" xr:uid="{00000000-0006-0000-0F00-00005F000000}">
      <text>
        <r>
          <rPr>
            <sz val="9"/>
            <color indexed="81"/>
            <rFont val="Tahoma"/>
            <family val="2"/>
          </rPr>
          <t>Incl 12,272 of CommInsure investments</t>
        </r>
      </text>
    </comment>
    <comment ref="AH294" authorId="7" shapeId="0" xr:uid="{00000000-0006-0000-0F00-000060000000}">
      <text>
        <r>
          <rPr>
            <sz val="9"/>
            <color indexed="81"/>
            <rFont val="Tahoma"/>
            <family val="2"/>
          </rPr>
          <t>Ex 11,867 of CommInsure investments</t>
        </r>
      </text>
    </comment>
    <comment ref="AJ294" authorId="7" shapeId="0" xr:uid="{00000000-0006-0000-0F00-000061000000}">
      <text>
        <r>
          <rPr>
            <sz val="9"/>
            <color indexed="81"/>
            <rFont val="Tahoma"/>
            <family val="2"/>
          </rPr>
          <t>Ex 11,331 of CommInsure investments</t>
        </r>
      </text>
    </comment>
    <comment ref="AK294" authorId="7" shapeId="0" xr:uid="{00000000-0006-0000-0F00-000062000000}">
      <text>
        <r>
          <rPr>
            <b/>
            <sz val="9"/>
            <color indexed="81"/>
            <rFont val="Tahoma"/>
            <family val="2"/>
          </rPr>
          <t>25 Jun 2018:</t>
        </r>
        <r>
          <rPr>
            <sz val="9"/>
            <color indexed="81"/>
            <rFont val="Tahoma"/>
            <family val="2"/>
          </rPr>
          <t xml:space="preserve">
Colonial First State – a leading superannuation, investment and retirement solutions platform with over $135 billion of funds under administration.</t>
        </r>
      </text>
    </comment>
    <comment ref="X296" authorId="3" shapeId="0" xr:uid="{00000000-0006-0000-0F00-000063000000}">
      <text>
        <r>
          <rPr>
            <b/>
            <sz val="9"/>
            <color indexed="81"/>
            <rFont val="Tahoma"/>
            <family val="2"/>
          </rPr>
          <t>Jien Goh:</t>
        </r>
        <r>
          <rPr>
            <sz val="9"/>
            <color indexed="81"/>
            <rFont val="Tahoma"/>
            <family val="2"/>
          </rPr>
          <t xml:space="preserve">
202,259 ex Property (adjusted at FY14 result)</t>
        </r>
      </text>
    </comment>
    <comment ref="AB296" authorId="6" shapeId="0" xr:uid="{00000000-0006-0000-0F00-000064000000}">
      <text>
        <r>
          <rPr>
            <b/>
            <sz val="9"/>
            <color indexed="81"/>
            <rFont val="Tahoma"/>
            <family val="2"/>
          </rPr>
          <t>Leong, YuChuan [GIR]:</t>
        </r>
        <r>
          <rPr>
            <sz val="9"/>
            <color indexed="81"/>
            <rFont val="Tahoma"/>
            <family val="2"/>
          </rPr>
          <t xml:space="preserve">
Restated at 1H16</t>
        </r>
      </text>
    </comment>
    <comment ref="AC296" authorId="6" shapeId="0" xr:uid="{00000000-0006-0000-0F00-000065000000}">
      <text>
        <r>
          <rPr>
            <b/>
            <sz val="9"/>
            <color indexed="81"/>
            <rFont val="Tahoma"/>
            <family val="2"/>
          </rPr>
          <t>Leong, YuChuan [GIR]:</t>
        </r>
        <r>
          <rPr>
            <sz val="9"/>
            <color indexed="81"/>
            <rFont val="Tahoma"/>
            <family val="2"/>
          </rPr>
          <t xml:space="preserve">
Restated at 1H16</t>
        </r>
      </text>
    </comment>
    <comment ref="AH296" authorId="7" shapeId="0" xr:uid="{00000000-0006-0000-0F00-000066000000}">
      <text>
        <r>
          <rPr>
            <sz val="9"/>
            <color indexed="81"/>
            <rFont val="Tahoma"/>
            <family val="2"/>
          </rPr>
          <t>Restated as 126,036</t>
        </r>
      </text>
    </comment>
    <comment ref="AI296" authorId="7" shapeId="0" xr:uid="{00000000-0006-0000-0F00-000067000000}">
      <text>
        <r>
          <rPr>
            <sz val="9"/>
            <color indexed="81"/>
            <rFont val="Tahoma"/>
            <family val="2"/>
          </rPr>
          <t>132,239</t>
        </r>
      </text>
    </comment>
    <comment ref="AK296" authorId="7" shapeId="0" xr:uid="{00000000-0006-0000-0F00-000068000000}">
      <text>
        <r>
          <rPr>
            <sz val="9"/>
            <color indexed="81"/>
            <rFont val="Tahoma"/>
            <family val="2"/>
          </rPr>
          <t>139,104</t>
        </r>
      </text>
    </comment>
    <comment ref="AJ331" authorId="7" shapeId="0" xr:uid="{00000000-0006-0000-0F00-000069000000}">
      <text>
        <r>
          <rPr>
            <b/>
            <sz val="9"/>
            <color indexed="81"/>
            <rFont val="Tahoma"/>
            <family val="2"/>
          </rPr>
          <t>Authorized User:</t>
        </r>
        <r>
          <rPr>
            <sz val="9"/>
            <color indexed="81"/>
            <rFont val="Tahoma"/>
            <family val="2"/>
          </rPr>
          <t xml:space="preserve">
CommInsure Invt</t>
        </r>
      </text>
    </comment>
    <comment ref="Y332" authorId="3" shapeId="0" xr:uid="{00000000-0006-0000-0F00-00006A000000}">
      <text>
        <r>
          <rPr>
            <b/>
            <sz val="9"/>
            <color indexed="81"/>
            <rFont val="Tahoma"/>
            <family val="2"/>
          </rPr>
          <t>Jien Goh:</t>
        </r>
        <r>
          <rPr>
            <sz val="9"/>
            <color indexed="81"/>
            <rFont val="Tahoma"/>
            <family val="2"/>
          </rPr>
          <t xml:space="preserve">
not restated for Property sale )post FY14, this should just be Infra)</t>
        </r>
      </text>
    </comment>
    <comment ref="AB332" authorId="3" shapeId="0" xr:uid="{00000000-0006-0000-0F00-00006B000000}">
      <text>
        <r>
          <rPr>
            <b/>
            <sz val="9"/>
            <color indexed="81"/>
            <rFont val="Tahoma"/>
            <family val="2"/>
          </rPr>
          <t>Jien Goh:</t>
        </r>
        <r>
          <rPr>
            <sz val="9"/>
            <color indexed="81"/>
            <rFont val="Tahoma"/>
            <family val="2"/>
          </rPr>
          <t xml:space="preserve">
just infrastructure, all property gone</t>
        </r>
      </text>
    </comment>
    <comment ref="AK387" authorId="7" shapeId="0" xr:uid="{00000000-0006-0000-0F00-00006C000000}">
      <text>
        <r>
          <rPr>
            <sz val="9"/>
            <color indexed="81"/>
            <rFont val="Tahoma"/>
            <family val="2"/>
          </rPr>
          <t>Underlying AUM margins stable vs Jun 2017.. But benefit from perf fees.
Underlying AUM margins declined vs Dec 2016 (invt mix shift to lower mgn products).</t>
        </r>
      </text>
    </comment>
    <comment ref="AK388" authorId="7" shapeId="0" xr:uid="{00000000-0006-0000-0F00-00006D000000}">
      <text>
        <r>
          <rPr>
            <sz val="9"/>
            <color indexed="81"/>
            <rFont val="Tahoma"/>
            <family val="2"/>
          </rPr>
          <t>Underlying FUA margins declined vs Jun 2017 (lower CFS mgns due to change in bus mix).
Underlying FUA margins declined vs Dec 2016 (lower CFS platform mgns due to change in bus mix). But benefit from reduction in Advice customer remediation provisions.</t>
        </r>
      </text>
    </comment>
    <comment ref="AG434" authorId="7" shapeId="0" xr:uid="{00000000-0006-0000-0F00-00006E000000}">
      <text>
        <r>
          <rPr>
            <sz val="9"/>
            <color indexed="81"/>
            <rFont val="Tahoma"/>
            <family val="2"/>
          </rPr>
          <t>Weaker investor sentiment and global market volatility contributed to higher net outflows in emerging markets, however the unlisted infrastructure business grew through the acquisition of a number of new investments following the drawdown of commitments.</t>
        </r>
      </text>
    </comment>
    <comment ref="AG436" authorId="7" shapeId="0" xr:uid="{00000000-0006-0000-0F00-00006F000000}">
      <text>
        <r>
          <rPr>
            <sz val="9"/>
            <color indexed="81"/>
            <rFont val="Tahoma"/>
            <family val="2"/>
          </rPr>
          <t>Weaker investor sentiment and global market volatility contributed to higher net outflows in emerging markets, however the unlisted infrastructure business grew through the acquisition of a number of new investments following the drawdown of commitments.</t>
        </r>
      </text>
    </comment>
    <comment ref="AJ437" authorId="7" shapeId="0" xr:uid="{00000000-0006-0000-0F00-000070000000}">
      <text>
        <r>
          <rPr>
            <sz val="9"/>
            <color indexed="81"/>
            <rFont val="Tahoma"/>
            <family val="2"/>
          </rPr>
          <t xml:space="preserve">Average Assets Under Management (AUM) increased 4% to
$206 billion reflecting strong investment markets, partly offset
by the impact of the higher Australian dollar. 
Investment performance remained strong with 78% of CFS GAM assets outperforming their three year benchmark. 
</t>
        </r>
        <r>
          <rPr>
            <b/>
            <sz val="9"/>
            <color indexed="81"/>
            <rFont val="Tahoma"/>
            <family val="2"/>
          </rPr>
          <t>Emerging market equities were impacted by higher net outflows</t>
        </r>
        <r>
          <rPr>
            <sz val="9"/>
            <color indexed="81"/>
            <rFont val="Tahoma"/>
            <family val="2"/>
          </rPr>
          <t xml:space="preserve"> with offsetting </t>
        </r>
        <r>
          <rPr>
            <b/>
            <sz val="9"/>
            <color indexed="81"/>
            <rFont val="Tahoma"/>
            <family val="2"/>
          </rPr>
          <t xml:space="preserve">strong inflows into fixed income investments. </t>
        </r>
        <r>
          <rPr>
            <sz val="9"/>
            <color indexed="81"/>
            <rFont val="Tahoma"/>
            <family val="2"/>
          </rPr>
          <t xml:space="preserve">
</t>
        </r>
        <r>
          <rPr>
            <b/>
            <sz val="9"/>
            <color indexed="81"/>
            <rFont val="Tahoma"/>
            <family val="2"/>
          </rPr>
          <t xml:space="preserve">The infrastructure business continued to grow, driven by the acquisition of new investments. </t>
        </r>
        <r>
          <rPr>
            <sz val="9"/>
            <color indexed="81"/>
            <rFont val="Tahoma"/>
            <family val="2"/>
          </rPr>
          <t xml:space="preserve">
AUM margins declined over the year due to continued investment mix shift to lower margin products.</t>
        </r>
      </text>
    </comment>
    <comment ref="AE441" authorId="7" shapeId="0" xr:uid="{00000000-0006-0000-0F00-000071000000}">
      <text>
        <r>
          <rPr>
            <sz val="9"/>
            <color indexed="81"/>
            <rFont val="Tahoma"/>
            <family val="2"/>
          </rPr>
          <t>-3577 on restatement of FY15 FUM</t>
        </r>
      </text>
    </comment>
    <comment ref="AG441" authorId="7" shapeId="0" xr:uid="{00000000-0006-0000-0F00-000072000000}">
      <text>
        <r>
          <rPr>
            <sz val="9"/>
            <color indexed="81"/>
            <rFont val="Tahoma"/>
            <family val="2"/>
          </rPr>
          <t>-1009 on restatement of FY15 FUM</t>
        </r>
      </text>
    </comment>
    <comment ref="AE443" authorId="7" shapeId="0" xr:uid="{00000000-0006-0000-0F00-000073000000}">
      <text>
        <r>
          <rPr>
            <sz val="9"/>
            <color indexed="81"/>
            <rFont val="Tahoma"/>
            <family val="2"/>
          </rPr>
          <t>247 on restatement of FY15 FUM</t>
        </r>
      </text>
    </comment>
    <comment ref="AG443" authorId="7" shapeId="0" xr:uid="{00000000-0006-0000-0F00-000074000000}">
      <text>
        <r>
          <rPr>
            <sz val="9"/>
            <color indexed="81"/>
            <rFont val="Tahoma"/>
            <family val="2"/>
          </rPr>
          <t>678 on restatement of FY15 FUM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<sst xmlns="http://schemas.openxmlformats.org/spreadsheetml/2006/main" count="8020" uniqueCount="2757">
  <si>
    <t>OE_NonRecurring</t>
  </si>
  <si>
    <t>OE_Total</t>
  </si>
  <si>
    <t>OE_NIIAdjustment</t>
  </si>
  <si>
    <t>OE_BDDAdjustment</t>
  </si>
  <si>
    <t>OE_TXandOtherAdjustment</t>
  </si>
  <si>
    <t>OE_CashAdjustment</t>
  </si>
  <si>
    <t>DCF_DistCFTotalTerminal</t>
  </si>
  <si>
    <t>AD_CapitalAdd7</t>
  </si>
  <si>
    <t>AD_CapitalAdd8</t>
  </si>
  <si>
    <t>AD_CapitalAdd9</t>
  </si>
  <si>
    <t>AD_CapitalAdd10</t>
  </si>
  <si>
    <t>CET1_DednAdd4</t>
  </si>
  <si>
    <t>AD_PSAdd6</t>
  </si>
  <si>
    <t>AD_PSAdd7</t>
  </si>
  <si>
    <t>AD_PSAdd8</t>
  </si>
  <si>
    <t>AD_PSAdd9</t>
  </si>
  <si>
    <t>AD_PSAdd10</t>
  </si>
  <si>
    <t>AD_RatioDistCFTotal</t>
  </si>
  <si>
    <t>AD_RatioDistCFTotalandFranking</t>
  </si>
  <si>
    <t>AD_RatioFCFTotal</t>
  </si>
  <si>
    <t>DistCF_TotalEquEarnings</t>
  </si>
  <si>
    <t>DistCF_DednRWA</t>
  </si>
  <si>
    <t>DistCF_DednWM</t>
  </si>
  <si>
    <t>DistCF_DednGoodwill</t>
  </si>
  <si>
    <t>DistCF_DednOther</t>
  </si>
  <si>
    <t>DistCF_ReleaseofSurplus</t>
  </si>
  <si>
    <t>DistCF</t>
  </si>
  <si>
    <t>AD_RatioFCFTotalandFranking</t>
  </si>
  <si>
    <t>AD_RatioAdd2</t>
  </si>
  <si>
    <t>AD_RatioAdd3</t>
  </si>
  <si>
    <t>AD_RatioAdd4</t>
  </si>
  <si>
    <t>AD_RatioAdd5</t>
  </si>
  <si>
    <t>AD_RatioAdd6</t>
  </si>
  <si>
    <t>AD_RatioAdd7</t>
  </si>
  <si>
    <t>AD_PSAdd2</t>
  </si>
  <si>
    <t>AD_PSAdd3</t>
  </si>
  <si>
    <t>AD_PSAdd4</t>
  </si>
  <si>
    <t>AD_PSAdd5</t>
  </si>
  <si>
    <t>NIM_AUTimeDeposits</t>
  </si>
  <si>
    <t>NIM_AUTotalDeposits</t>
  </si>
  <si>
    <t>AD_RatioAdd8</t>
  </si>
  <si>
    <t>AD_RatioAdd9</t>
  </si>
  <si>
    <t>AD_RatioAdd10</t>
  </si>
  <si>
    <t>AD_ProfitabilityAdd2</t>
  </si>
  <si>
    <t>AD_ProfitabilityAdd3</t>
  </si>
  <si>
    <t>AD_ProfitabilityAdd4</t>
  </si>
  <si>
    <t>AD_ProfitabilityAdd5</t>
  </si>
  <si>
    <t>AD_ProfitabilityAdd6</t>
  </si>
  <si>
    <t>AD_ProfitabilityAdd7</t>
  </si>
  <si>
    <t>AD_PEAdd8</t>
  </si>
  <si>
    <t>AD_PEAdd9</t>
  </si>
  <si>
    <t>OE_Add2</t>
  </si>
  <si>
    <t>OE_Add3</t>
  </si>
  <si>
    <t>NII_GroupNonLendingEarningAssets</t>
  </si>
  <si>
    <t>OE_Add4</t>
  </si>
  <si>
    <t>Earnings per share (underlying | basic)</t>
  </si>
  <si>
    <t>TXandOther_OIAdjustment</t>
  </si>
  <si>
    <t>TXandOther_OEAdjustment</t>
  </si>
  <si>
    <t>TXandOther_CashAdjustment</t>
  </si>
  <si>
    <t>TXandOther_TotalCoyCash</t>
  </si>
  <si>
    <t>DistCF_CE</t>
  </si>
  <si>
    <t>DistCF_MoveinFCTR</t>
  </si>
  <si>
    <t>DistCF_MoveinAccounting</t>
  </si>
  <si>
    <t>DistCF_NRI</t>
  </si>
  <si>
    <t>CET1_PAAdd2</t>
  </si>
  <si>
    <t>CET1_PAAdd3</t>
  </si>
  <si>
    <t>CET1_PAAdd4</t>
  </si>
  <si>
    <t>CET1_DednAdd2</t>
  </si>
  <si>
    <t>CET1_DednAdd3</t>
  </si>
  <si>
    <t>NIM_GroupTotalLoans</t>
  </si>
  <si>
    <t>NIM_GroupAcceptances</t>
  </si>
  <si>
    <t>NIM_GroupSecuritisation</t>
  </si>
  <si>
    <t>NIM_GroupTotalLending</t>
  </si>
  <si>
    <t>NIM_GroupNonLendingEarningAssets</t>
  </si>
  <si>
    <t>NIM_GroupTotalEarningAssets</t>
  </si>
  <si>
    <t>NIM_AUCoreDeposits</t>
  </si>
  <si>
    <t>TAXATION, OEIs and PREFERENCE DIVIDENDS</t>
  </si>
  <si>
    <t>Tax</t>
  </si>
  <si>
    <t>NIM_NZCoreDeposits</t>
  </si>
  <si>
    <t>NIM_NZTimeDeposits</t>
  </si>
  <si>
    <t>NIM_NZTotalDeposits</t>
  </si>
  <si>
    <t>NIM_OOCoreDeposits</t>
  </si>
  <si>
    <t>NIM_OOTimeDeposits</t>
  </si>
  <si>
    <t>NIM_OOTotalDeposits</t>
  </si>
  <si>
    <t>OE_TotalCoyCash</t>
  </si>
  <si>
    <t>OE_NonCashAdjustment</t>
  </si>
  <si>
    <t>OE_TotalCoyStat</t>
  </si>
  <si>
    <t>OE_Recurring</t>
  </si>
  <si>
    <t>TR_BDDAdjustment</t>
  </si>
  <si>
    <t>TR_TXandOtherAdjustment</t>
  </si>
  <si>
    <t>TR_CashAdjustment</t>
  </si>
  <si>
    <t>TR_TotalCoyCash</t>
  </si>
  <si>
    <t>TR_NonCashAdjustment</t>
  </si>
  <si>
    <t>TR_TotalCoyStat</t>
  </si>
  <si>
    <t>TR_NIIAdjustment</t>
  </si>
  <si>
    <t>UE_TXandOtherAdjustment</t>
  </si>
  <si>
    <t>UE_CashAdjustment</t>
  </si>
  <si>
    <t>UE_TotalCoyCash</t>
  </si>
  <si>
    <t>UE_NonCashAdjustment</t>
  </si>
  <si>
    <t>UE_TotalCoyStat</t>
  </si>
  <si>
    <t>UE</t>
  </si>
  <si>
    <t>BDD_TXandOtherAdjustment</t>
  </si>
  <si>
    <t>BDD_CashAdjustment</t>
  </si>
  <si>
    <t>BDD_TotalCoyCash</t>
  </si>
  <si>
    <t>BDD_NonCashAdjustment</t>
  </si>
  <si>
    <t>BDD_TotalCoyStat</t>
  </si>
  <si>
    <t>BDD_Total</t>
  </si>
  <si>
    <t>PreTax_NIIAdjustment</t>
  </si>
  <si>
    <t>AD_PSEPSCashDilutedGrowth</t>
  </si>
  <si>
    <t>AD_PSEPSCashDiluted</t>
  </si>
  <si>
    <t>OI_Add2</t>
  </si>
  <si>
    <t>OI_Add3</t>
  </si>
  <si>
    <t>OI_Add4</t>
  </si>
  <si>
    <t>OI_OEAdjustment</t>
  </si>
  <si>
    <t>OI_BDDAdjustment</t>
  </si>
  <si>
    <t>OI_TXandOtherAdjustment</t>
  </si>
  <si>
    <t>OI_CashAdjustment</t>
  </si>
  <si>
    <t>OI_TotalCoyCash</t>
  </si>
  <si>
    <t>OI_NonCashAdjustment</t>
  </si>
  <si>
    <t>OI_TotalCoyStat</t>
  </si>
  <si>
    <t>OI_Total</t>
  </si>
  <si>
    <t>NII_OONonHousingLoans</t>
  </si>
  <si>
    <t>NII_OOTotalLoans</t>
  </si>
  <si>
    <t>NII_GroupHousingLoans</t>
  </si>
  <si>
    <t>NII_GroupNonHousingLoans</t>
  </si>
  <si>
    <t>NII_GroupTotalLoans</t>
  </si>
  <si>
    <t>NII_GroupAcceptances</t>
  </si>
  <si>
    <t>NII_GroupSecuritisation</t>
  </si>
  <si>
    <t>NII_GroupTotalLending</t>
  </si>
  <si>
    <t>Earnings per share (cash | diluted) growth (sequential)</t>
  </si>
  <si>
    <t>Share price</t>
  </si>
  <si>
    <t>Risk free rate (Rf)</t>
  </si>
  <si>
    <t>2H01A</t>
  </si>
  <si>
    <t>ASSUMPTIONS</t>
  </si>
  <si>
    <t>NII_GroupTotalEarningAssets</t>
  </si>
  <si>
    <t>NII_AUCoreDeposits</t>
  </si>
  <si>
    <t>NII_AUTimeDeposits</t>
  </si>
  <si>
    <t>NII_AUTotalDeposits</t>
  </si>
  <si>
    <t>NII_NZCoreDeposits</t>
  </si>
  <si>
    <t>NII_NZTimeDeposits</t>
  </si>
  <si>
    <t>NII_NZTotalDeposits</t>
  </si>
  <si>
    <t>AD_ProfitabilityAdd8</t>
  </si>
  <si>
    <t>AD_ProfitabilityAdd9</t>
  </si>
  <si>
    <t>AD_ProfitabilityAdd10</t>
  </si>
  <si>
    <t>NIM_NZHousingLoans</t>
  </si>
  <si>
    <t>NIM_NZNonHousingLoans</t>
  </si>
  <si>
    <t>NIM_NZTotalLoans</t>
  </si>
  <si>
    <t>NIM_OOHousingLoans</t>
  </si>
  <si>
    <t>NIM_OONonHousingLoans</t>
  </si>
  <si>
    <t>NIM_OOTotalLoans</t>
  </si>
  <si>
    <t>NIM_GroupHousingLoans</t>
  </si>
  <si>
    <t>NIM_GroupNonHousingLoans</t>
  </si>
  <si>
    <t>Ordinary shareholder`s equity - EOP</t>
  </si>
  <si>
    <t>Preference shares</t>
  </si>
  <si>
    <t>Total equity - EOP</t>
  </si>
  <si>
    <t>Shares on issue - EOP</t>
  </si>
  <si>
    <t>Average shares on issue - basic</t>
  </si>
  <si>
    <t>Company reported statutory pre-tax earnings (post abnormals)</t>
  </si>
  <si>
    <t>AvBS_OOTimeDeposits</t>
  </si>
  <si>
    <t>AvBS_OOTotalDeposits</t>
  </si>
  <si>
    <t>OEIs</t>
  </si>
  <si>
    <t>Target capital ratio</t>
  </si>
  <si>
    <t>Life insurance NTA / investments</t>
  </si>
  <si>
    <t>PERIOD END BALANCE SHEET</t>
  </si>
  <si>
    <t>Housing</t>
  </si>
  <si>
    <t>SME</t>
  </si>
  <si>
    <t>Institutional</t>
  </si>
  <si>
    <t>Personal</t>
  </si>
  <si>
    <t>Total</t>
  </si>
  <si>
    <t>NIM_GroupCoreDeposits</t>
  </si>
  <si>
    <t>NIM_GroupTimeDeposits</t>
  </si>
  <si>
    <t>NIM_GroupTotalDeposits</t>
  </si>
  <si>
    <t>NIM_GroupWholesaleFunding</t>
  </si>
  <si>
    <t>NIM_GroupFreeFunds</t>
  </si>
  <si>
    <t>NIM_GroupTotalEarningLiabilities</t>
  </si>
  <si>
    <t>NIM_AUHousingLoans</t>
  </si>
  <si>
    <t>UE_NIIAdjustment</t>
  </si>
  <si>
    <t>UE_BDDAdjustment</t>
  </si>
  <si>
    <t>Core Tier 1</t>
  </si>
  <si>
    <t>Other offshore housing (local currency)</t>
  </si>
  <si>
    <t>Other offshore non-housing (local currency)</t>
  </si>
  <si>
    <t>PreTax_OIAdjustment</t>
  </si>
  <si>
    <t>AD_AQAdd7</t>
  </si>
  <si>
    <t>AD_AQAdd8</t>
  </si>
  <si>
    <t>AD_AQAdd9</t>
  </si>
  <si>
    <t>AD_AQAdd10</t>
  </si>
  <si>
    <t>AD_CapitalAdd2</t>
  </si>
  <si>
    <t>AD_CapitalAdd3</t>
  </si>
  <si>
    <t>AD_CapitalAdd4</t>
  </si>
  <si>
    <t>AD_CapitalAdd5</t>
  </si>
  <si>
    <t>AD_CapitalAdd6</t>
  </si>
  <si>
    <t>AvBS_AUHousingLoans</t>
  </si>
  <si>
    <t>NII_AUBusinessLoansSME</t>
  </si>
  <si>
    <t>NII_AUBusinessLoansInstitutional</t>
  </si>
  <si>
    <t>NII_AUPersonalLoans</t>
  </si>
  <si>
    <t>NII_AUTotalLoans</t>
  </si>
  <si>
    <t>NII_NZHousingLoans</t>
  </si>
  <si>
    <t>NII_NZNonHousingLoans</t>
  </si>
  <si>
    <t>NII_NZTotalLoans</t>
  </si>
  <si>
    <t>NII_OOHousingLoans</t>
  </si>
  <si>
    <t>Earnings per share (reported | basic)</t>
  </si>
  <si>
    <t>Earnings per share (reported | diluted)</t>
  </si>
  <si>
    <t>Earnings per share (cash | basic)</t>
  </si>
  <si>
    <t>Earnings per share (cash | basic) growth (sequential)</t>
  </si>
  <si>
    <t>Earnings per share (cash | diluted)</t>
  </si>
  <si>
    <t>Terminal valuation forecast year</t>
  </si>
  <si>
    <t>Reuters code</t>
  </si>
  <si>
    <t>Terminal growth rate</t>
  </si>
  <si>
    <t>FY92A</t>
  </si>
  <si>
    <t>FY00A</t>
  </si>
  <si>
    <t>Period end exchange rates</t>
  </si>
  <si>
    <t>British pounds</t>
  </si>
  <si>
    <t>US dollars</t>
  </si>
  <si>
    <t>NZ dollars</t>
  </si>
  <si>
    <t>Euros</t>
  </si>
  <si>
    <t>n.a.</t>
  </si>
  <si>
    <t>Average exchange rates</t>
  </si>
  <si>
    <t>System volume growth (sequential)</t>
  </si>
  <si>
    <t>Australian housing</t>
  </si>
  <si>
    <t>Australian business</t>
  </si>
  <si>
    <t>Australian personal</t>
  </si>
  <si>
    <t>New Zealand housing</t>
  </si>
  <si>
    <t>NII_OOCoreDeposits</t>
  </si>
  <si>
    <t>NII_OOTimeDeposits</t>
  </si>
  <si>
    <t>NII_OOTotalDeposits</t>
  </si>
  <si>
    <t>NII_GroupFreeFunds</t>
  </si>
  <si>
    <t>NII_GroupTotalEarningLiabilities</t>
  </si>
  <si>
    <t>NII_AUHousingLoans</t>
  </si>
  <si>
    <t>NIM_AUBusinessLoansSME</t>
  </si>
  <si>
    <t>NIM_AUBusinessLoansInstitutional</t>
  </si>
  <si>
    <t>NIM_AUPersonalLoans</t>
  </si>
  <si>
    <t>NIM_AUTotalLoans</t>
  </si>
  <si>
    <t>Market risk premium (Rm)</t>
  </si>
  <si>
    <t>Equity Beta (B)</t>
  </si>
  <si>
    <t>Today</t>
  </si>
  <si>
    <t>Ke = Rf + B * Rm</t>
  </si>
  <si>
    <t>Last result</t>
  </si>
  <si>
    <t>Current year</t>
  </si>
  <si>
    <t>NII_InterestIncome</t>
  </si>
  <si>
    <t>NII_InterestExpense</t>
  </si>
  <si>
    <t>NII_Total</t>
  </si>
  <si>
    <t>NII</t>
  </si>
  <si>
    <t>Equity earnings</t>
  </si>
  <si>
    <t>ORDINARY SHAREHOLDERS EQUITY</t>
  </si>
  <si>
    <t>Ordinary shareholder`s equity - BOP</t>
  </si>
  <si>
    <t>Ordinary dividend</t>
  </si>
  <si>
    <t>PEBS_OOTimeDeposits</t>
  </si>
  <si>
    <t>PEBS_OOTotalDeposits</t>
  </si>
  <si>
    <t>PEBS_OOCoreDeposits</t>
  </si>
  <si>
    <t>PEBS_NZTimeDeposits</t>
  </si>
  <si>
    <t>PEBS_NZTotalDeposits</t>
  </si>
  <si>
    <t>PEBS_NZCoreDeposits</t>
  </si>
  <si>
    <t>Abnormals (pre-tax)</t>
  </si>
  <si>
    <t>AvBS_AUTotalDeposits</t>
  </si>
  <si>
    <t>AvBS_NZCoreDeposits</t>
  </si>
  <si>
    <t>AvBS_NZTimeDeposits</t>
  </si>
  <si>
    <t>AvBS_NZTotalDeposits</t>
  </si>
  <si>
    <t>AvBS_OOCoreDeposits</t>
  </si>
  <si>
    <t>Preference dividend</t>
  </si>
  <si>
    <t>Risk weight on non-housing loans</t>
  </si>
  <si>
    <t>Risk weight on non-lending assets</t>
  </si>
  <si>
    <t>Normalised growth in risk weighted assets</t>
  </si>
  <si>
    <t>Australian term deposits</t>
  </si>
  <si>
    <t>Collective provisions / risk weighted assets</t>
  </si>
  <si>
    <t>Total provisions / non-housing loans</t>
  </si>
  <si>
    <t>Company reported taxation, OEIs and preference dividends</t>
  </si>
  <si>
    <t>Abnormals (tax)</t>
  </si>
  <si>
    <t>Total tangible assets</t>
  </si>
  <si>
    <t>Non-interest bearing liabilities (ex NIBD)</t>
  </si>
  <si>
    <t>Reclassification of preference shares</t>
  </si>
  <si>
    <t>Deconsolidation of wealth management profits</t>
  </si>
  <si>
    <t>Other</t>
  </si>
  <si>
    <t>Capital ratio</t>
  </si>
  <si>
    <t>New Zealand lending</t>
  </si>
  <si>
    <t>New Zealand deposits</t>
  </si>
  <si>
    <t>Other offshore lending</t>
  </si>
  <si>
    <t>Other offshore deposits</t>
  </si>
  <si>
    <t>Wholesale funding</t>
  </si>
  <si>
    <t>Free funds</t>
  </si>
  <si>
    <t>Company reported cash earnings</t>
  </si>
  <si>
    <t>Non-recurring items</t>
  </si>
  <si>
    <t>Other offshore loan-to-deposit ratio</t>
  </si>
  <si>
    <t>PreTax_OEAdjustment</t>
  </si>
  <si>
    <t>PreTax_BDDAdjustment</t>
  </si>
  <si>
    <t>PreTax_CashAdjustment</t>
  </si>
  <si>
    <t>PreTax_TotalCoyCash</t>
  </si>
  <si>
    <t>PreTax_NonCashAdjustment</t>
  </si>
  <si>
    <t>PreTax_TotalCoyStat</t>
  </si>
  <si>
    <t>PreTax</t>
  </si>
  <si>
    <t>AvBS_GroupCoreDeposits</t>
  </si>
  <si>
    <t>AvBS_GroupTimeDeposits</t>
  </si>
  <si>
    <t>AvBS_GroupTotalDeposits</t>
  </si>
  <si>
    <t>AvBS_LifeInvestments</t>
  </si>
  <si>
    <t>AvBS_FUM</t>
  </si>
  <si>
    <t>AvBS_FUMA</t>
  </si>
  <si>
    <t>Market capitalisation</t>
  </si>
  <si>
    <t>Problem loans / risk weighted assets</t>
  </si>
  <si>
    <t>Collective provisions / credit risk weighted assets</t>
  </si>
  <si>
    <t>ASX code</t>
  </si>
  <si>
    <t>Valuation as at date</t>
  </si>
  <si>
    <t>Bloomberg code</t>
  </si>
  <si>
    <t>Other capitalised expenses</t>
  </si>
  <si>
    <t>Applicable deferred tax assets</t>
  </si>
  <si>
    <t>Tangible ordinary equity</t>
  </si>
  <si>
    <t>Actuals</t>
  </si>
  <si>
    <t>Assumptions</t>
  </si>
  <si>
    <t>External links</t>
  </si>
  <si>
    <t>ASS_6MoBankOONHCg</t>
  </si>
  <si>
    <t>ASS_6MoBankAUBCgvsSystem</t>
  </si>
  <si>
    <t>ASS_6MoBankAUPCgvsSystem</t>
  </si>
  <si>
    <t>ASS_6MoBankNZHCgvsSystem</t>
  </si>
  <si>
    <t>ASS_6MoBankNZNHCgvsSystem</t>
  </si>
  <si>
    <t>ASS_6MoBankOOHCgvsSystem</t>
  </si>
  <si>
    <t>NII_GroupCoreDeposits</t>
  </si>
  <si>
    <t>NII_GroupTimeDeposits</t>
  </si>
  <si>
    <t>NII_GroupTotalDeposits</t>
  </si>
  <si>
    <t>NII_GroupWholesaleFunding</t>
  </si>
  <si>
    <t>New Zealand non-housing</t>
  </si>
  <si>
    <t>Other offshore housing</t>
  </si>
  <si>
    <t>Other offshore non-housing</t>
  </si>
  <si>
    <t>Company reported cash underlying earnings</t>
  </si>
  <si>
    <t>Other income / total footings</t>
  </si>
  <si>
    <t>Non-interest expenses</t>
  </si>
  <si>
    <t>Market performance (sequential)</t>
  </si>
  <si>
    <t>ASX-200 Accumulation Index return</t>
  </si>
  <si>
    <t>Fixed income return</t>
  </si>
  <si>
    <t>Cash return</t>
  </si>
  <si>
    <t>TXandOther_NonCashAdjustment</t>
  </si>
  <si>
    <t>TXandOther_TotalCoyStat</t>
  </si>
  <si>
    <t>TXandOther_Total</t>
  </si>
  <si>
    <t>CE_OEAdjustment</t>
  </si>
  <si>
    <t>CE_BDDAdjustment</t>
  </si>
  <si>
    <t>CE_TotalCoyCash</t>
  </si>
  <si>
    <t>CE_Total</t>
  </si>
  <si>
    <t>AvBS_GroupNonHousingLoans</t>
  </si>
  <si>
    <t>AvBS_GroupTotalLoans</t>
  </si>
  <si>
    <t>AvBS_GroupAcceptances</t>
  </si>
  <si>
    <t>AvBS_GroupSecuritisation</t>
  </si>
  <si>
    <t>AvBS_GroupTotalLending</t>
  </si>
  <si>
    <t>AvBS_AUCoreDeposits</t>
  </si>
  <si>
    <t>AvBS_AUTimeDeposits</t>
  </si>
  <si>
    <t>Other overseas loans</t>
  </si>
  <si>
    <t>Total loans</t>
  </si>
  <si>
    <t>Non-housing</t>
  </si>
  <si>
    <t>Acceptances</t>
  </si>
  <si>
    <t>Price ratios (period end)</t>
  </si>
  <si>
    <t>Price / earnings (reported | basic)</t>
  </si>
  <si>
    <t>Problem loans / total loans</t>
  </si>
  <si>
    <t>PRE-TAX EARNINGS</t>
  </si>
  <si>
    <t>Company reported cash pre-tax earnings</t>
  </si>
  <si>
    <t>Collective provisions / non-housing loans</t>
  </si>
  <si>
    <t>BDDs / total loans</t>
  </si>
  <si>
    <t>BDDs / non-housing loans</t>
  </si>
  <si>
    <t>Individual provisions</t>
  </si>
  <si>
    <t>Test</t>
  </si>
  <si>
    <t>CASH EARNINGS</t>
  </si>
  <si>
    <t>Cash earnings</t>
  </si>
  <si>
    <t>Average data</t>
  </si>
  <si>
    <t>Non-interest earning assets</t>
  </si>
  <si>
    <t>Australian deposits</t>
  </si>
  <si>
    <t>Taxation, OEIs and preference dividend adjustments</t>
  </si>
  <si>
    <t>TXandOther</t>
  </si>
  <si>
    <t>BDD_NIIAdjustment</t>
  </si>
  <si>
    <t>BDD_OIAdjustment</t>
  </si>
  <si>
    <t>Australian core depsoits</t>
  </si>
  <si>
    <t>Gross dividend yield</t>
  </si>
  <si>
    <t>Distributed cash flow yield (net)</t>
  </si>
  <si>
    <t>Unamortised goodwill and other intangibles</t>
  </si>
  <si>
    <t>Capitalised software</t>
  </si>
  <si>
    <t>Non interest expense adjustments</t>
  </si>
  <si>
    <t>Bad debt expense adjustments</t>
  </si>
  <si>
    <t>Total provisions / credit risk weighted assets</t>
  </si>
  <si>
    <t>Total provisions / risk weighted assets</t>
  </si>
  <si>
    <t>Total liabilities</t>
  </si>
  <si>
    <t>Ordinary equity</t>
  </si>
  <si>
    <t>Recurring expenses</t>
  </si>
  <si>
    <t>Non-recurring expenses</t>
  </si>
  <si>
    <t>Error check #5</t>
  </si>
  <si>
    <t>Per share data</t>
  </si>
  <si>
    <t>Company reported statutory operating expenses</t>
  </si>
  <si>
    <t>UNDERLYING EARNINGS</t>
  </si>
  <si>
    <t>ASS_NIMOOTotalLoans</t>
  </si>
  <si>
    <t>ASS_6MoBankOONHCgvsSystem</t>
  </si>
  <si>
    <t>ASS_6MoBankAUHCgvsSystem</t>
  </si>
  <si>
    <t>Life operating margins / life investments</t>
  </si>
  <si>
    <t>New Zealand housing (local currency)</t>
  </si>
  <si>
    <t>Funds under management and administration</t>
  </si>
  <si>
    <t>AVERAGE BALANCE SHEET</t>
  </si>
  <si>
    <t>Non-lending interest earning assets</t>
  </si>
  <si>
    <t>Bank volume growth versus system</t>
  </si>
  <si>
    <t>Bank volume growth (sequential)</t>
  </si>
  <si>
    <t>Net dividends per share</t>
  </si>
  <si>
    <t>Gross dividends per share</t>
  </si>
  <si>
    <t>Distributed cash flow per share</t>
  </si>
  <si>
    <t>AvBS_AUBusinessLoansSME</t>
  </si>
  <si>
    <t>AvBS_AUBusinessLoansInstitutional</t>
  </si>
  <si>
    <t>AvBS_AUPersonalLoans</t>
  </si>
  <si>
    <t>CE_NIIAdjustment</t>
  </si>
  <si>
    <t>CE_OIAdjustment</t>
  </si>
  <si>
    <t>AvBS_OOHousingLoans</t>
  </si>
  <si>
    <t>AvBS_OOTotalLoans</t>
  </si>
  <si>
    <t>Free cash flow and franking value per share</t>
  </si>
  <si>
    <t>Book value per share</t>
  </si>
  <si>
    <t>AvBS_GroupHousingLoans</t>
  </si>
  <si>
    <t>General provision for BDD (net of FITB)</t>
  </si>
  <si>
    <t>Residual capital in excess of prescribed limits transferred from Tier One Capital</t>
  </si>
  <si>
    <t>New Zealand loans</t>
  </si>
  <si>
    <t>Business</t>
  </si>
  <si>
    <t>Revenue less cost growth "jaws"</t>
  </si>
  <si>
    <t>DRP participation</t>
  </si>
  <si>
    <t>Net shares issued</t>
  </si>
  <si>
    <t>Period end share price</t>
  </si>
  <si>
    <t>Risk weighted assets on non-lending assets</t>
  </si>
  <si>
    <t>DISTRIBUTED CASH FLOW</t>
  </si>
  <si>
    <t>Equity cash earnings</t>
  </si>
  <si>
    <t>Loans past 90-days due</t>
  </si>
  <si>
    <t>Taxation</t>
  </si>
  <si>
    <t>Average net issuance share price</t>
  </si>
  <si>
    <t>Risk weight on housing loans</t>
  </si>
  <si>
    <t>Collective provisions</t>
  </si>
  <si>
    <t>Total provisions</t>
  </si>
  <si>
    <t>Impaired assets</t>
  </si>
  <si>
    <t>Net write-offs / non-housing loans</t>
  </si>
  <si>
    <t>Cash earnings adjustments</t>
  </si>
  <si>
    <t>Company reported cash net interest income</t>
  </si>
  <si>
    <t>Reported earnings</t>
  </si>
  <si>
    <t>Move in foreign currency translation reserve</t>
  </si>
  <si>
    <t>Net effect of change in accounting policies</t>
  </si>
  <si>
    <t>Other adjustments</t>
  </si>
  <si>
    <t>Price / earnings (underlying | basic)</t>
  </si>
  <si>
    <t>Net dividend yield</t>
  </si>
  <si>
    <t>TXandOther_NIIAdjustment</t>
  </si>
  <si>
    <t>Wealth management income</t>
  </si>
  <si>
    <t>Life insurance investment assets</t>
  </si>
  <si>
    <t>Funds under management</t>
  </si>
  <si>
    <t>Net interest margins</t>
  </si>
  <si>
    <t>Australian SME</t>
  </si>
  <si>
    <t>Australian institutional</t>
  </si>
  <si>
    <t>Average shares on issue - diluted</t>
  </si>
  <si>
    <t>Dilution adjustment</t>
  </si>
  <si>
    <t>Australian loans</t>
  </si>
  <si>
    <t>Error check #4</t>
  </si>
  <si>
    <t>CORE TIER 1 EQUITY</t>
  </si>
  <si>
    <t>Estimated dividend</t>
  </si>
  <si>
    <t>Estimated reinvestment under DRP</t>
  </si>
  <si>
    <t>Non interest income adjustments</t>
  </si>
  <si>
    <t>ADDITIONAL DATA</t>
  </si>
  <si>
    <t>Period end data</t>
  </si>
  <si>
    <t>Wealth management expenses</t>
  </si>
  <si>
    <t>Restructuring benefits</t>
  </si>
  <si>
    <t>Other expenses</t>
  </si>
  <si>
    <t>Company reported cash operating expenses</t>
  </si>
  <si>
    <t>ASS_NIMOOTotalDeposits</t>
  </si>
  <si>
    <t>ASS_6MoBankAUBCg</t>
  </si>
  <si>
    <t>ASS_6MoBankAUPCg</t>
  </si>
  <si>
    <t>ASS_6MoBankNZHCg</t>
  </si>
  <si>
    <t>ASS_6MoBankNZNHCg</t>
  </si>
  <si>
    <t>ASS_6MoBankOOHCg</t>
  </si>
  <si>
    <t>Total New Zealand customer deposits</t>
  </si>
  <si>
    <t>FTEs</t>
  </si>
  <si>
    <t>Capitalised expenses - EOP</t>
  </si>
  <si>
    <t>ASS_AQHNCOratio</t>
  </si>
  <si>
    <t>ASS_AQBNCOratio</t>
  </si>
  <si>
    <t>ASS_AQPNCOratio</t>
  </si>
  <si>
    <t>ASS_AQTotalNCOAvTotalLoans</t>
  </si>
  <si>
    <t>ASS_AQTotalNCOAvNHL</t>
  </si>
  <si>
    <t>ASS_AQIANHL</t>
  </si>
  <si>
    <t>ASS_AQIPIA</t>
  </si>
  <si>
    <t>ASS_AQCPNHL</t>
  </si>
  <si>
    <t>Total Other Offshore customer deposits</t>
  </si>
  <si>
    <t>Average interest earning assets</t>
  </si>
  <si>
    <t>Term deposits</t>
  </si>
  <si>
    <t>Cost-to-income ratio</t>
  </si>
  <si>
    <t>Australian loan-to-deposit ratio</t>
  </si>
  <si>
    <t>Expected loss in excess of provisions</t>
  </si>
  <si>
    <t>Other 100% deductions</t>
  </si>
  <si>
    <t>Company reported statutory underlying earnings</t>
  </si>
  <si>
    <t>BAD DEBT EXPENSE</t>
  </si>
  <si>
    <t>Total net write-offs</t>
  </si>
  <si>
    <t>Movement in provisions</t>
  </si>
  <si>
    <t>AvBS_NZHousingLoans</t>
  </si>
  <si>
    <t>Interest expense</t>
  </si>
  <si>
    <t>Net interest income</t>
  </si>
  <si>
    <t>Error check #1</t>
  </si>
  <si>
    <t>NET INTEREST INCOME</t>
  </si>
  <si>
    <t>Reported capital ratio</t>
  </si>
  <si>
    <t>Housing net write-offs</t>
  </si>
  <si>
    <t>Personal net write-offs</t>
  </si>
  <si>
    <t>Business net write-offs</t>
  </si>
  <si>
    <t>Distributed cash flow and franking value per share</t>
  </si>
  <si>
    <t>Free cash flow per share</t>
  </si>
  <si>
    <t>Other offshore customer deposits</t>
  </si>
  <si>
    <t>Net tangible assets per share</t>
  </si>
  <si>
    <t>Total assets</t>
  </si>
  <si>
    <t>Intangibles</t>
  </si>
  <si>
    <t>Company reported cash bad debt expense</t>
  </si>
  <si>
    <t>Total customer deposits</t>
  </si>
  <si>
    <t>Wealth</t>
  </si>
  <si>
    <t>Return on assets (cash)</t>
  </si>
  <si>
    <t>Return on tangible assets (cash)</t>
  </si>
  <si>
    <t>Non-interest income / total income</t>
  </si>
  <si>
    <t>TOTAL REVENUES</t>
  </si>
  <si>
    <t>Company reported cash revenues</t>
  </si>
  <si>
    <t>ASS_TXBankRateGS</t>
  </si>
  <si>
    <t>Company reported statutory bad debt expense</t>
  </si>
  <si>
    <t>Tax rate foregone (company basis)</t>
  </si>
  <si>
    <t>Corporate tax rate</t>
  </si>
  <si>
    <t>New Zealand non-housing (local currency)</t>
  </si>
  <si>
    <t>New Zealand loan-to-deposit ratio</t>
  </si>
  <si>
    <t>2H11A</t>
  </si>
  <si>
    <t>1H12A</t>
  </si>
  <si>
    <t>2H12A</t>
  </si>
  <si>
    <t>Individual provisions / impaired assets</t>
  </si>
  <si>
    <t>1H06A</t>
  </si>
  <si>
    <t>2H06A</t>
  </si>
  <si>
    <t>1H07A</t>
  </si>
  <si>
    <t>2H07A</t>
  </si>
  <si>
    <t>1H08A</t>
  </si>
  <si>
    <t>2H08A</t>
  </si>
  <si>
    <t>1H09A</t>
  </si>
  <si>
    <t>2H09A</t>
  </si>
  <si>
    <t>1H10A</t>
  </si>
  <si>
    <t>2H10A</t>
  </si>
  <si>
    <t>1H11A</t>
  </si>
  <si>
    <t>- Residual capital in excess of prescribed limits transferred to Upper Tier Two Capital</t>
  </si>
  <si>
    <t>Average interest earnings assets</t>
  </si>
  <si>
    <t>Company non-cash adjustments</t>
  </si>
  <si>
    <t>Company reported statutory net interest income</t>
  </si>
  <si>
    <t>Net interest margin</t>
  </si>
  <si>
    <t>Non-interest income</t>
  </si>
  <si>
    <t>Lending fees / non-housing lending</t>
  </si>
  <si>
    <t>Non-lending fees / total deposits</t>
  </si>
  <si>
    <t>Trading income / non-housing lending</t>
  </si>
  <si>
    <t>Lending fees</t>
  </si>
  <si>
    <t>Non-lending fees</t>
  </si>
  <si>
    <t>Trading income</t>
  </si>
  <si>
    <t>Price / earnings (cash | diluted)</t>
  </si>
  <si>
    <t>Master check</t>
  </si>
  <si>
    <t>Half-year annualiser</t>
  </si>
  <si>
    <t>COLOUR CODING</t>
  </si>
  <si>
    <t>Calculations</t>
  </si>
  <si>
    <t>Capital deduction for risk weighted asset growth</t>
  </si>
  <si>
    <t>Capital deduction for wealth management</t>
  </si>
  <si>
    <t>Core tier 1 ratio</t>
  </si>
  <si>
    <t>Tier 1 ratio</t>
  </si>
  <si>
    <t>Internal rate of capital generation</t>
  </si>
  <si>
    <t>Terminal value of franking credits</t>
  </si>
  <si>
    <t>Equity value</t>
  </si>
  <si>
    <t>Equity value per share</t>
  </si>
  <si>
    <t>Company reported statutory revenues</t>
  </si>
  <si>
    <t>NON INTEREST EXPENSE</t>
  </si>
  <si>
    <t>Staff expenses</t>
  </si>
  <si>
    <t>Other reserves</t>
  </si>
  <si>
    <t>Accumulated retained earnings / revenue reserve</t>
  </si>
  <si>
    <t>Diluted shares on issue</t>
  </si>
  <si>
    <t xml:space="preserve">Cash earnings per share (c) </t>
  </si>
  <si>
    <t>Cash earnings per share growth (%)</t>
  </si>
  <si>
    <t xml:space="preserve">Dividends per share (c) </t>
  </si>
  <si>
    <t>Total Australian customer deposits</t>
  </si>
  <si>
    <t>Proportion of other costs fixed</t>
  </si>
  <si>
    <t>Cost inflation (sequential)</t>
  </si>
  <si>
    <t>Capilised expenses written down during the period</t>
  </si>
  <si>
    <t>Expenses capitalised / previous period total expenses (ex-amortisation)</t>
  </si>
  <si>
    <t>Average amortisation period (years)</t>
  </si>
  <si>
    <t>ASS_OETotalg</t>
  </si>
  <si>
    <t>ASS_OECosttoIncome</t>
  </si>
  <si>
    <t>Capitalised expenses - BOP</t>
  </si>
  <si>
    <t>Neutral</t>
  </si>
  <si>
    <t>ASS_AvAUDGBP</t>
  </si>
  <si>
    <t>Total risk weighted assets</t>
  </si>
  <si>
    <t>Asset quality</t>
  </si>
  <si>
    <t>Recurring income</t>
  </si>
  <si>
    <t>Other 50% deductions</t>
  </si>
  <si>
    <t>+ Non-qualifying preference shares</t>
  </si>
  <si>
    <t>+ Eligible loan capital</t>
  </si>
  <si>
    <t>= Core tier 1 capital</t>
  </si>
  <si>
    <t>Surplus / (deficit) capital</t>
  </si>
  <si>
    <t>Tier 2 capital</t>
  </si>
  <si>
    <t>Company reported cash non interest income</t>
  </si>
  <si>
    <t>Total average funding requirements</t>
  </si>
  <si>
    <t>NET INTEREST MARGINS</t>
  </si>
  <si>
    <t>Gross loans</t>
  </si>
  <si>
    <t>Interest income</t>
  </si>
  <si>
    <t>Free cash flow yield (gross)</t>
  </si>
  <si>
    <t>Price / book value</t>
  </si>
  <si>
    <t>Price / NTA</t>
  </si>
  <si>
    <t>Securitised loans</t>
  </si>
  <si>
    <t>Total lending</t>
  </si>
  <si>
    <t>Australian customer deposits</t>
  </si>
  <si>
    <t>Core deposits</t>
  </si>
  <si>
    <t>Time deposits (includes CDs)</t>
  </si>
  <si>
    <t>New Zealand customer deposits</t>
  </si>
  <si>
    <t>Return on equity (cash)</t>
  </si>
  <si>
    <t>Return on tangible equity (cash)</t>
  </si>
  <si>
    <t>Return on risk weighted assets (cash)</t>
  </si>
  <si>
    <t>Other operating income</t>
  </si>
  <si>
    <t>PEBS_OOPersonalLoans</t>
  </si>
  <si>
    <t>PEBS_OOTotalLoans</t>
  </si>
  <si>
    <t>PEBS_GroupHousingLoans</t>
  </si>
  <si>
    <t>PEBS_NZHousingLoans</t>
  </si>
  <si>
    <t>PEBS_NZBusinessLoans</t>
  </si>
  <si>
    <t>PEBS_NZPersonalLoans</t>
  </si>
  <si>
    <t>PEBS_NZTotalLoans</t>
  </si>
  <si>
    <t>PEBS_OOHousingLoans</t>
  </si>
  <si>
    <t>DistCF_OrdDiv</t>
  </si>
  <si>
    <t>PEBS_GroupNonHousingLoans</t>
  </si>
  <si>
    <t>PEBS_GroupTotalLoans</t>
  </si>
  <si>
    <t>PEBS_GroupAcceptances</t>
  </si>
  <si>
    <t>PEBS_GroupSecuritisation</t>
  </si>
  <si>
    <t>PEBS_GroupTotalLending</t>
  </si>
  <si>
    <t>PEBS_AUCoreDeposits</t>
  </si>
  <si>
    <t>PEBS_AUTimeDeposits</t>
  </si>
  <si>
    <t>PEBS_AUTotalDeposits</t>
  </si>
  <si>
    <t>PEBS_AUCertificateDeposits</t>
  </si>
  <si>
    <t>Of which certificates of deposits (CDs)</t>
  </si>
  <si>
    <t>PEBS_NZCertificateDeposits</t>
  </si>
  <si>
    <t>PEBS_OOCertificateDeposits</t>
  </si>
  <si>
    <t>PEBS_GroupCoreDeposits</t>
  </si>
  <si>
    <t>PEBS_GroupTimeDeposits</t>
  </si>
  <si>
    <t>Proportion of franking credits valued</t>
  </si>
  <si>
    <t>Capital</t>
  </si>
  <si>
    <t>DPS</t>
  </si>
  <si>
    <t>Impaired assets / non-housing loans</t>
  </si>
  <si>
    <t>Credit risk weighted assets on non-housing loans</t>
  </si>
  <si>
    <t>1H02A</t>
  </si>
  <si>
    <t>2H02A</t>
  </si>
  <si>
    <t>1H03A</t>
  </si>
  <si>
    <t>2H03A</t>
  </si>
  <si>
    <t>1H04A</t>
  </si>
  <si>
    <t>2H04A</t>
  </si>
  <si>
    <t>1H05A</t>
  </si>
  <si>
    <t>2H05A</t>
  </si>
  <si>
    <t>ASS_CapitalAvShareIssuancePrice</t>
  </si>
  <si>
    <t>= Gross tier 1 capital</t>
  </si>
  <si>
    <t>+ Tier 1 deductions</t>
  </si>
  <si>
    <t>= Total Tier 1 capital</t>
  </si>
  <si>
    <t>Total revenue</t>
  </si>
  <si>
    <t>Operating expenses</t>
  </si>
  <si>
    <t>Underlying earnings</t>
  </si>
  <si>
    <t>Bad and doubtful debt expense</t>
  </si>
  <si>
    <t>Error check #2</t>
  </si>
  <si>
    <t>NON INTEREST INCOME</t>
  </si>
  <si>
    <t>Expense growth (pcp)</t>
  </si>
  <si>
    <t>Period</t>
  </si>
  <si>
    <t>Period end</t>
  </si>
  <si>
    <t>Pre-tax earnings</t>
  </si>
  <si>
    <t>Tax expense</t>
  </si>
  <si>
    <t>Wealth management fees / FUM&amp;A</t>
  </si>
  <si>
    <t>Price / earnings (reported | diluted)</t>
  </si>
  <si>
    <t>Price / earnings (cash | basic)</t>
  </si>
  <si>
    <t>Distributed cash flow</t>
  </si>
  <si>
    <t>Dividends</t>
  </si>
  <si>
    <t>Total capital ratio</t>
  </si>
  <si>
    <t>Dividend payout ratio</t>
  </si>
  <si>
    <t>Distributed cash payout ratio</t>
  </si>
  <si>
    <t>Other income</t>
  </si>
  <si>
    <t>Value of franking credits distributed</t>
  </si>
  <si>
    <t>Error check #3</t>
  </si>
  <si>
    <t>DCF VALUATION</t>
  </si>
  <si>
    <t>Value of cash flows</t>
  </si>
  <si>
    <t>Terminal value of cash flows</t>
  </si>
  <si>
    <t>Value of franking credits</t>
  </si>
  <si>
    <t>Other provisions</t>
  </si>
  <si>
    <t>Other non-interest bearing liabilities</t>
  </si>
  <si>
    <t>Bank deposits</t>
  </si>
  <si>
    <t>Other interest-bearing liabilities</t>
  </si>
  <si>
    <t>TR_OIAdjustment</t>
  </si>
  <si>
    <t>TR_OEAdjustment</t>
  </si>
  <si>
    <t>OE</t>
  </si>
  <si>
    <t>OE_StaffCosts</t>
  </si>
  <si>
    <t>OE_WMCosts</t>
  </si>
  <si>
    <t>OE_Amortisation</t>
  </si>
  <si>
    <t>OE_Restructuring</t>
  </si>
  <si>
    <t>OE_Add1</t>
  </si>
  <si>
    <t>AD_ProfitabilityCapitalisedtoTotal</t>
  </si>
  <si>
    <t>OE_OtherCosts</t>
  </si>
  <si>
    <t>OE_OIAdjustment</t>
  </si>
  <si>
    <t>UE_OIAdjustment</t>
  </si>
  <si>
    <t>UE_OEAdjustment</t>
  </si>
  <si>
    <t>BDD</t>
  </si>
  <si>
    <t>BDD_HousingNCO</t>
  </si>
  <si>
    <t>BDD_BusinessNCO</t>
  </si>
  <si>
    <t>BDD_PersonalNCO</t>
  </si>
  <si>
    <t>BDD_TotalNCO</t>
  </si>
  <si>
    <t>BDD_ProvisionsMoves</t>
  </si>
  <si>
    <t>BDD_OEAdjustment</t>
  </si>
  <si>
    <t>PreTax_TXandOtherAdjustment</t>
  </si>
  <si>
    <t>PreTax_Abnormals</t>
  </si>
  <si>
    <t>TXandOther_Tax</t>
  </si>
  <si>
    <t>TXandOther_OEI</t>
  </si>
  <si>
    <t>TXandOther_Pref</t>
  </si>
  <si>
    <t>TXandOther_BDDAdjustment</t>
  </si>
  <si>
    <t>TXandOther_Abnormals</t>
  </si>
  <si>
    <t>Expenses capitalised during the period</t>
  </si>
  <si>
    <t>Amortisation expense</t>
  </si>
  <si>
    <t>ASS_NIMTotal</t>
  </si>
  <si>
    <t>ASS_OILendingFeesAvNHL</t>
  </si>
  <si>
    <t>ASS_OINonLendingFeesAvTotalDeposits</t>
  </si>
  <si>
    <t>ASS_OITradingIncomeAvNHL</t>
  </si>
  <si>
    <t>ASS_OIWealthFeesAvFUMA</t>
  </si>
  <si>
    <t>ASS_OILifeFeesAvLife</t>
  </si>
  <si>
    <t>ASS_OIOtherIncomeAvTotalFootings</t>
  </si>
  <si>
    <t>ASS_AvAUDUSD</t>
  </si>
  <si>
    <t>ASS_6MoSystemAUHCg</t>
  </si>
  <si>
    <t>ASS_6MoSystemAUBCg</t>
  </si>
  <si>
    <t>1. Multiple based valuation</t>
  </si>
  <si>
    <t xml:space="preserve">12-month </t>
  </si>
  <si>
    <t>Discount</t>
  </si>
  <si>
    <t>ASS_AQBDDAvTotalLoans</t>
  </si>
  <si>
    <t>ASS_AQBDDAvNHL</t>
  </si>
  <si>
    <t>ASS_AQIP</t>
  </si>
  <si>
    <t>ASS_AQCP</t>
  </si>
  <si>
    <t>Non-recurring income</t>
  </si>
  <si>
    <t>Company reported statutory non interest income</t>
  </si>
  <si>
    <t>Distributed cash flow yield (gross)</t>
  </si>
  <si>
    <t>Free cash flow yield (net)</t>
  </si>
  <si>
    <t>Subordinated debt</t>
  </si>
  <si>
    <t>Deductions</t>
  </si>
  <si>
    <t>Total capital deductions</t>
  </si>
  <si>
    <t>Total Capital</t>
  </si>
  <si>
    <t>Risk weighted assets</t>
  </si>
  <si>
    <t>Profitability</t>
  </si>
  <si>
    <t>Return on equity (reported)</t>
  </si>
  <si>
    <t>3. Valuation summary</t>
  </si>
  <si>
    <t>Discounted cashflow</t>
  </si>
  <si>
    <t>Average</t>
  </si>
  <si>
    <t>Premium / (discount) to current price</t>
  </si>
  <si>
    <t>ASS_TXCorpRate</t>
  </si>
  <si>
    <t>Price / underlying earnings</t>
  </si>
  <si>
    <t>Price / net tangible assets</t>
  </si>
  <si>
    <t>2. Discounted cashflow valuation</t>
  </si>
  <si>
    <t>12-month forward ratio</t>
  </si>
  <si>
    <t>PEBS_OOBusinessLoans</t>
  </si>
  <si>
    <t>PEBS_AUBusinessLoansSME</t>
  </si>
  <si>
    <t>PEBS_AUBusinessLoansInstitutional</t>
  </si>
  <si>
    <t>PEBS_AUPersonalLoans</t>
  </si>
  <si>
    <t>PEBS_AUTotalLoans</t>
  </si>
  <si>
    <t>CET1_T2SubDebt</t>
  </si>
  <si>
    <t>CET1_T2Dedn</t>
  </si>
  <si>
    <t>CET1_T2Other</t>
  </si>
  <si>
    <t>CET1_T2Total</t>
  </si>
  <si>
    <t>CET1_TCDedn</t>
  </si>
  <si>
    <t>CET1_TCTotal</t>
  </si>
  <si>
    <t>CET1_RWAHousing</t>
  </si>
  <si>
    <t>DistCF_ShareIssuance</t>
  </si>
  <si>
    <t>DistCF_ValueofFranking</t>
  </si>
  <si>
    <t>DistCF_TotalandFranking</t>
  </si>
  <si>
    <t>DCF</t>
  </si>
  <si>
    <t>DCF_DistCFTotal</t>
  </si>
  <si>
    <t>DCF_DistCFTotalTotal</t>
  </si>
  <si>
    <t>DCF_DistCFValueofFranking</t>
  </si>
  <si>
    <t>DCF_DistCFValueofFrankingTerminal</t>
  </si>
  <si>
    <t>DCF_DistCFValueofFrankingTotal</t>
  </si>
  <si>
    <t>DCF_EquityValue</t>
  </si>
  <si>
    <t>DCF_SOIEOP</t>
  </si>
  <si>
    <t>DCF_Total</t>
  </si>
  <si>
    <t>AD</t>
  </si>
  <si>
    <t>AD_PEAssetsTotal</t>
  </si>
  <si>
    <t>AD_PEAssetsIntangible</t>
  </si>
  <si>
    <t>AD_PEAssetsOtherBank</t>
  </si>
  <si>
    <t>AD_PEAssetsTrading</t>
  </si>
  <si>
    <t>Payout ratio</t>
  </si>
  <si>
    <t>Credit risk weighted assets on housing loans</t>
  </si>
  <si>
    <t>ASS_TXAustralia</t>
  </si>
  <si>
    <t>Proportion of tax paid in Australia</t>
  </si>
  <si>
    <t>ASS_TXFrankingValued</t>
  </si>
  <si>
    <t>ASS_CapitalDPS</t>
  </si>
  <si>
    <t>ASS_CapitalDPSPayout</t>
  </si>
  <si>
    <t>ASS_CapitalDPSFranking</t>
  </si>
  <si>
    <t>Franking balance</t>
  </si>
  <si>
    <t>OK</t>
  </si>
  <si>
    <t>+ Prudential adjustments</t>
  </si>
  <si>
    <t>Distributed cash flow and value of franking credits</t>
  </si>
  <si>
    <t>Capitalised expenses / total expenses + capitalised expenses</t>
  </si>
  <si>
    <t>ASS_OECapitalised</t>
  </si>
  <si>
    <t>ASS_OEAmortisation</t>
  </si>
  <si>
    <t>FY93A</t>
  </si>
  <si>
    <t>FY94A</t>
  </si>
  <si>
    <t>Preference dividends</t>
  </si>
  <si>
    <t>Dilutive adjustments</t>
  </si>
  <si>
    <t>Life insurance income</t>
  </si>
  <si>
    <t>Capital deduction for goodwill</t>
  </si>
  <si>
    <t>Other capital requirements</t>
  </si>
  <si>
    <t>Free cash flow</t>
  </si>
  <si>
    <t>Release of surplus capital</t>
  </si>
  <si>
    <t>FY03A</t>
  </si>
  <si>
    <t>FY04A</t>
  </si>
  <si>
    <t>FY05A</t>
  </si>
  <si>
    <t>FY06A</t>
  </si>
  <si>
    <t>FY07A</t>
  </si>
  <si>
    <t>FY08A</t>
  </si>
  <si>
    <t>FY09A</t>
  </si>
  <si>
    <t>FY10A</t>
  </si>
  <si>
    <t>FY11A</t>
  </si>
  <si>
    <t>FY12A</t>
  </si>
  <si>
    <t>Actual (A) / forecast (F)</t>
  </si>
  <si>
    <t>A</t>
  </si>
  <si>
    <t>Ok</t>
  </si>
  <si>
    <t>ASS_PEAUDGBP</t>
  </si>
  <si>
    <t>ASS_PEAUDUSD</t>
  </si>
  <si>
    <t>Life insurance earnings on shareholder funds</t>
  </si>
  <si>
    <t>&lt;insert more as required&gt;</t>
  </si>
  <si>
    <t>Cash and marketable securities</t>
  </si>
  <si>
    <t>Long term investments</t>
  </si>
  <si>
    <t>OI_EarningsonSHF</t>
  </si>
  <si>
    <t>OI_Add1</t>
  </si>
  <si>
    <t>OI_OtherIncome</t>
  </si>
  <si>
    <t>OI_Recurring</t>
  </si>
  <si>
    <t>OI_NonRecurring</t>
  </si>
  <si>
    <t>OI_NIIAdjustment</t>
  </si>
  <si>
    <t>TR</t>
  </si>
  <si>
    <t>AD_ProfitabilityOItoTR</t>
  </si>
  <si>
    <t>AD_ProfitabilityOEtoTR</t>
  </si>
  <si>
    <t>AD_ProfitabilityTRvsOEGrowth</t>
  </si>
  <si>
    <t>AD_ProfitabilityAdd1</t>
  </si>
  <si>
    <t>AD_AQTotalNCOAvNHL</t>
  </si>
  <si>
    <t>AD_AQTotalNCOAvTotalLoans</t>
  </si>
  <si>
    <t>AD_AQBDDAvNHL</t>
  </si>
  <si>
    <t>AD_AQBDDAvTotalLoans</t>
  </si>
  <si>
    <t>AD_AQIANHL</t>
  </si>
  <si>
    <t>AD_AQPLTotalLoans</t>
  </si>
  <si>
    <t>AD_AQPLRWA</t>
  </si>
  <si>
    <t>AD_AQIPIA</t>
  </si>
  <si>
    <t>AD_AQCPNHL</t>
  </si>
  <si>
    <t>AD_AQCPCRWA</t>
  </si>
  <si>
    <t>AD_AQCPRWA</t>
  </si>
  <si>
    <t>AD_AQTPNHL</t>
  </si>
  <si>
    <t>AD_AQTPCRWA</t>
  </si>
  <si>
    <t>AD_AQTPRWA</t>
  </si>
  <si>
    <t>ASS_NIMNZTotalDeposits</t>
  </si>
  <si>
    <t>ASS_NIMWholesaleFunding</t>
  </si>
  <si>
    <t>CE_NonRecurring</t>
  </si>
  <si>
    <t>CE_AIFRSAdjustment</t>
  </si>
  <si>
    <t>CE_TotalCoyStat</t>
  </si>
  <si>
    <t>CE_MoveinFCTR</t>
  </si>
  <si>
    <t>CE_MoveinAccounting</t>
  </si>
  <si>
    <t>CE_OtherAdjustment</t>
  </si>
  <si>
    <t>CE_TotalEquEarnings</t>
  </si>
  <si>
    <t>OrdEqu</t>
  </si>
  <si>
    <t>OrdEqu_BOP</t>
  </si>
  <si>
    <t>ASS_OEFTE</t>
  </si>
  <si>
    <t>ASS_OEStaffCostsAvFTE</t>
  </si>
  <si>
    <t>ASS_6MoSystemAUPCg</t>
  </si>
  <si>
    <t>ASS_6MoSystemNZHCg</t>
  </si>
  <si>
    <t>ASS_6MoSystemNZNHCg</t>
  </si>
  <si>
    <t>ASS_6MoSystemOOHCg</t>
  </si>
  <si>
    <t>ASS_6MoSystemOONHCg</t>
  </si>
  <si>
    <t>ASS_6MoASX200AIg</t>
  </si>
  <si>
    <t>ASS_6MoFIg</t>
  </si>
  <si>
    <t>ASS_6MoCASHg</t>
  </si>
  <si>
    <t>ASS_6MoBankAUHCg</t>
  </si>
  <si>
    <t>ASS_BankAULDR</t>
  </si>
  <si>
    <t>ASS_BankNZLDR</t>
  </si>
  <si>
    <t>ASS_BankOOLDR</t>
  </si>
  <si>
    <t>Net interest income adjustments</t>
  </si>
  <si>
    <t>forward EPS</t>
  </si>
  <si>
    <t>Valuation</t>
  </si>
  <si>
    <t>Comment</t>
  </si>
  <si>
    <t>Price / earnings</t>
  </si>
  <si>
    <t>Net write-offs / total loans</t>
  </si>
  <si>
    <t>Tier 2 hybrids</t>
  </si>
  <si>
    <t>ASS_OECapitalisedOther</t>
  </si>
  <si>
    <t>ASS_OECapitalisedTotalEOP</t>
  </si>
  <si>
    <t>ASS_CapitalRWHousing</t>
  </si>
  <si>
    <t>ASS_6MoLifeg</t>
  </si>
  <si>
    <t>ASS_6MoFUMAg</t>
  </si>
  <si>
    <t>ASS_NIMAUHousing</t>
  </si>
  <si>
    <t>ASS_NIMAUSME</t>
  </si>
  <si>
    <t>ASS_NIMAUInsto</t>
  </si>
  <si>
    <t>ASS_NIMAUPersonal</t>
  </si>
  <si>
    <t>ASS_NIMAUTotalLoans</t>
  </si>
  <si>
    <t>ASS_NIMAUCoreDeposits</t>
  </si>
  <si>
    <t>ASS_NIMAUTermDeposits</t>
  </si>
  <si>
    <t>ASS_NIMAUTotalDeposits</t>
  </si>
  <si>
    <t>ASS_NIMNZTotalLoans</t>
  </si>
  <si>
    <t>ASS_AQTP</t>
  </si>
  <si>
    <t>ASS_AQIA</t>
  </si>
  <si>
    <t>ASS_AQ90DPD</t>
  </si>
  <si>
    <t>ASS_CapitalRWNonHousing</t>
  </si>
  <si>
    <t>ASS_CapitalRWNonLending</t>
  </si>
  <si>
    <t>ASS_CapitalNormalisedRWGrowth</t>
  </si>
  <si>
    <t>ASS_CapitalCapitalRatio</t>
  </si>
  <si>
    <t>ASS_CapitalReportedRatio</t>
  </si>
  <si>
    <t>ASS_CapitalTargetRatio</t>
  </si>
  <si>
    <t>ASS_CapitalLINTAtoInvestments</t>
  </si>
  <si>
    <t>PEBS</t>
  </si>
  <si>
    <t>PEBS_AUHousingLoans</t>
  </si>
  <si>
    <t>AD_ProfitabilityRORWACash</t>
  </si>
  <si>
    <t>AD_ProfitabilityROACash</t>
  </si>
  <si>
    <t>AD_ProfitabilityROTACash</t>
  </si>
  <si>
    <t>CET1_RWANonHousing</t>
  </si>
  <si>
    <t>CET1_RWANonLending</t>
  </si>
  <si>
    <t>CET1_RWATotal</t>
  </si>
  <si>
    <t>DistCF_FCF</t>
  </si>
  <si>
    <t>DistCF_Total</t>
  </si>
  <si>
    <t>AD_PEAssetsAccuredInterest</t>
  </si>
  <si>
    <t>AD_PEAssetsPPE</t>
  </si>
  <si>
    <t>Tax rate foregone (GS basis)</t>
  </si>
  <si>
    <t>ASS_TXBankRateCoy</t>
  </si>
  <si>
    <t>Australian business loans</t>
  </si>
  <si>
    <t>AD_PEAssetsOtherNonIE</t>
  </si>
  <si>
    <t>AD_PEAssetsCash</t>
  </si>
  <si>
    <t>AD_PEAssetsOther</t>
  </si>
  <si>
    <t>AD_PELiabilitiesOtherBank</t>
  </si>
  <si>
    <t>ASS_CapitalDPSFrankingRate</t>
  </si>
  <si>
    <t>Franking rate</t>
  </si>
  <si>
    <t>= Fundamental tier 1 capital</t>
  </si>
  <si>
    <t>+ Non-innovative tier 1 capital</t>
  </si>
  <si>
    <t>+ Innovative tier 1 capital</t>
  </si>
  <si>
    <t>Loans to banks</t>
  </si>
  <si>
    <t>Accrued interest</t>
  </si>
  <si>
    <t>Property, plant &amp; equipment</t>
  </si>
  <si>
    <t>FY95A</t>
  </si>
  <si>
    <t>FY96A</t>
  </si>
  <si>
    <t>FY97A</t>
  </si>
  <si>
    <t>FY98A</t>
  </si>
  <si>
    <t>FY99A</t>
  </si>
  <si>
    <t>FY01A</t>
  </si>
  <si>
    <t>FY02A</t>
  </si>
  <si>
    <t>AvBS_GroupNonLendingEarningAssets</t>
  </si>
  <si>
    <t>AvBS_GroupTotalEarningAssets</t>
  </si>
  <si>
    <t>AvBS_GroupWholesaleFunding</t>
  </si>
  <si>
    <t>AvBS_GroupFreeFunds</t>
  </si>
  <si>
    <t>AvBS_GroupTotalEarningLiabilities</t>
  </si>
  <si>
    <t>NIM</t>
  </si>
  <si>
    <t>NIM_InterestIncome</t>
  </si>
  <si>
    <t>NIM_InterestExpense</t>
  </si>
  <si>
    <t>NIM_Total</t>
  </si>
  <si>
    <t>NII_OIAdjustment</t>
  </si>
  <si>
    <t>NII_OEAdjustment</t>
  </si>
  <si>
    <t>NII_BDDAdjustment</t>
  </si>
  <si>
    <t>Other non-interest earning assets</t>
  </si>
  <si>
    <t>CET1_Total</t>
  </si>
  <si>
    <t>CET1_Surplus</t>
  </si>
  <si>
    <t>CET1_T2GP</t>
  </si>
  <si>
    <t>CET1_T2Residual</t>
  </si>
  <si>
    <t>CET1_T2Hybrid</t>
  </si>
  <si>
    <t>AD_PELiabilitiesOtherProvisions</t>
  </si>
  <si>
    <t>AD_PELiabilitiesOtherNonIB</t>
  </si>
  <si>
    <t>AD_PEEquOtherReserves</t>
  </si>
  <si>
    <t>AD_PEEquAccRE</t>
  </si>
  <si>
    <t>AD_AvAssetsTangible</t>
  </si>
  <si>
    <t>AD_AvLiabilitiesNonIB</t>
  </si>
  <si>
    <t>AD_AvLiabilitiesTotal</t>
  </si>
  <si>
    <t>AD_AvOrdEquTotal</t>
  </si>
  <si>
    <t>AD_AvOrdEquTangible</t>
  </si>
  <si>
    <t>AD_AvRWA</t>
  </si>
  <si>
    <t>AD_PSEPSReportedBasic</t>
  </si>
  <si>
    <t>AD_PSEPSReportedDiluted</t>
  </si>
  <si>
    <t>AD_PSEPSCashBasic</t>
  </si>
  <si>
    <t>AD_PSEPSCashBasicGrowth</t>
  </si>
  <si>
    <t>AD_PSUEPSCashBasic</t>
  </si>
  <si>
    <t>AD_PSDPSGross</t>
  </si>
  <si>
    <t>AD_PSDistCFTotal</t>
  </si>
  <si>
    <t>AD_CapitalCET1</t>
  </si>
  <si>
    <t>AD_CapitalT1</t>
  </si>
  <si>
    <t>AD_CapitalTC</t>
  </si>
  <si>
    <t>CE_TXandOtherAdjustment</t>
  </si>
  <si>
    <t>CE_Pref</t>
  </si>
  <si>
    <t>AD_PSDistCFTotalandFranking</t>
  </si>
  <si>
    <t>AD_PSFCFTotal</t>
  </si>
  <si>
    <t>AD_PSFCFTotalandFranking</t>
  </si>
  <si>
    <t>AD_PSBPS</t>
  </si>
  <si>
    <t>AD_PSNTAPS</t>
  </si>
  <si>
    <t>AD_PSAdd1</t>
  </si>
  <si>
    <t>AD_RatioEPSReportedBasic</t>
  </si>
  <si>
    <t>AD_RatioEPSReportedDiluted</t>
  </si>
  <si>
    <t>AD_RatioEPSCashBasic</t>
  </si>
  <si>
    <t>AD_RatioEPSCashDiluted</t>
  </si>
  <si>
    <t>AD_RatioUEPSCashBasic</t>
  </si>
  <si>
    <t>AD_RatioDPS</t>
  </si>
  <si>
    <t>AD_RatioDPSGross</t>
  </si>
  <si>
    <t>AD_RatioBPS</t>
  </si>
  <si>
    <t>AD_RatioNTAPS</t>
  </si>
  <si>
    <t>AD_RatioAdd1</t>
  </si>
  <si>
    <t>OrdEqu_TotalEquEarnings</t>
  </si>
  <si>
    <t>Staff costs / average FTEs</t>
  </si>
  <si>
    <t>ASS_OEFixed</t>
  </si>
  <si>
    <t>ASS_OEInflationg</t>
  </si>
  <si>
    <t>OrdEqu_TotalEquity</t>
  </si>
  <si>
    <t>CE</t>
  </si>
  <si>
    <t>AD_PSDPS</t>
  </si>
  <si>
    <t>Error</t>
  </si>
  <si>
    <t>ASS</t>
  </si>
  <si>
    <t>ASS_OECapitalisedtoTotal</t>
  </si>
  <si>
    <t>ASS_OEAmortisationPeriod</t>
  </si>
  <si>
    <t>ASS_OECapitalisedTotalBOP</t>
  </si>
  <si>
    <t>ASS_OECapitalisedWritedown</t>
  </si>
  <si>
    <t>NII_TXandOtherAdjustment</t>
  </si>
  <si>
    <t>NII_CashAdjustment</t>
  </si>
  <si>
    <t>NII_TotalCoyCash</t>
  </si>
  <si>
    <t>NII_NonCashAdjustment</t>
  </si>
  <si>
    <t>NII_TotalCoyStat</t>
  </si>
  <si>
    <t>OI</t>
  </si>
  <si>
    <t>OI_LendingFees</t>
  </si>
  <si>
    <t>OI_NonLendingFees</t>
  </si>
  <si>
    <t>OI_TradingIncome</t>
  </si>
  <si>
    <t>OI_WealthFees</t>
  </si>
  <si>
    <t>OI_LifeFees</t>
  </si>
  <si>
    <t>AD_ProfitabilityROEReported</t>
  </si>
  <si>
    <t>AD_ProfitabilityROECash</t>
  </si>
  <si>
    <t>AD_ProfitabilityROTECash</t>
  </si>
  <si>
    <t>OrdEqu_OrdDiv</t>
  </si>
  <si>
    <t>OrdEqu_PrefDiv</t>
  </si>
  <si>
    <t>OrdEqu_SharesIssued</t>
  </si>
  <si>
    <t>OrdEqu_EOP</t>
  </si>
  <si>
    <t>OrdEqu_Pref</t>
  </si>
  <si>
    <t>OrdEqu_OEI</t>
  </si>
  <si>
    <t>OrdEqu_SOIEOP</t>
  </si>
  <si>
    <t>OrdEqu_AvSOIBasic</t>
  </si>
  <si>
    <t>AD_ProfitabilityAmortisationPeriod</t>
  </si>
  <si>
    <t>AD_CapitalDPSPayout</t>
  </si>
  <si>
    <t>AD_CapitalDistCashPayout</t>
  </si>
  <si>
    <t>AD_CapitalIRCG</t>
  </si>
  <si>
    <t>AD_CapitalAdd1</t>
  </si>
  <si>
    <t>Annualiser</t>
  </si>
  <si>
    <t>OrdEqu_AvSOIDiluted</t>
  </si>
  <si>
    <t>OrdEqu_DilutionAdj</t>
  </si>
  <si>
    <t>CET1</t>
  </si>
  <si>
    <t>CET1_TotalEquity</t>
  </si>
  <si>
    <t>CET1_PAOrdDiv</t>
  </si>
  <si>
    <t>CET1_PADRP</t>
  </si>
  <si>
    <t>CET1_PAPrefReclass</t>
  </si>
  <si>
    <t>CET1_PAWMDecons</t>
  </si>
  <si>
    <t>CET1_PAAdd1</t>
  </si>
  <si>
    <t>CET1_PAOther</t>
  </si>
  <si>
    <t>CET1_PATotal</t>
  </si>
  <si>
    <t>CET1_T1Fund</t>
  </si>
  <si>
    <t>CET1_T1NonInn</t>
  </si>
  <si>
    <t>CET1_T1Inn</t>
  </si>
  <si>
    <t>CET1_T1Residual</t>
  </si>
  <si>
    <t>CET1_T1Gross</t>
  </si>
  <si>
    <t>CET1_DednGoodwill</t>
  </si>
  <si>
    <t>CET1_DednCapitalisedTotalEOP</t>
  </si>
  <si>
    <t>CET1_DednOtherCapitalisedTotal</t>
  </si>
  <si>
    <t>CET1_DednDTA</t>
  </si>
  <si>
    <t>CET1_DednCaptive</t>
  </si>
  <si>
    <t>CET1_DednNonADI</t>
  </si>
  <si>
    <t>CET1_DednADI</t>
  </si>
  <si>
    <t>CET1_DednEL</t>
  </si>
  <si>
    <t>CET1_DednAdd1</t>
  </si>
  <si>
    <t>CET1_Dedn100Other</t>
  </si>
  <si>
    <t>CET1_Dedn50Other</t>
  </si>
  <si>
    <t>CET1_DednTotal</t>
  </si>
  <si>
    <t>CET1_T1Total</t>
  </si>
  <si>
    <t>CET1_NonQualPref</t>
  </si>
  <si>
    <t>CET1_ELC</t>
  </si>
  <si>
    <t>AD_PELiabilitiesOtherIB</t>
  </si>
  <si>
    <t>ASS_CapitalDRPParticipation</t>
  </si>
  <si>
    <t>ASS_CapitalShareIssuance</t>
  </si>
  <si>
    <t>ASS_CapitalPESharePrice</t>
  </si>
  <si>
    <t>AD_PEAdd10</t>
  </si>
  <si>
    <t>AD_AvAssetsNonIE</t>
  </si>
  <si>
    <t>AD_AvAssetsTotal</t>
  </si>
  <si>
    <t>PEBS_GroupTotalDeposits</t>
  </si>
  <si>
    <t>PEBS_GroupCertificateDeposits</t>
  </si>
  <si>
    <t>PEBS_LifeInvestments</t>
  </si>
  <si>
    <t>PEBS_FUM</t>
  </si>
  <si>
    <t>PEBS_FUMA</t>
  </si>
  <si>
    <t>AvBS</t>
  </si>
  <si>
    <t>AvBS_NZNonHousingLoans</t>
  </si>
  <si>
    <t>AvBS_OONonHousingLoans</t>
  </si>
  <si>
    <t>Australian personal loans</t>
  </si>
  <si>
    <t>Total Australian loans</t>
  </si>
  <si>
    <t>Total New Zealand loans</t>
  </si>
  <si>
    <t>Total Other Offshore loans</t>
  </si>
  <si>
    <t>Australian housing loans</t>
  </si>
  <si>
    <t>Free funds / transfer price</t>
  </si>
  <si>
    <t>Non-cash adjustments</t>
  </si>
  <si>
    <t>Interest earning earning assets</t>
  </si>
  <si>
    <t>AD_PEAssetsDerivative</t>
  </si>
  <si>
    <t>Derivative financial instruments</t>
  </si>
  <si>
    <t>AD_PELiabilitiesNonCustomerDeposits</t>
  </si>
  <si>
    <t>Non-customer deposits</t>
  </si>
  <si>
    <t>AD_CapitalDPSFranking</t>
  </si>
  <si>
    <t>Buy</t>
  </si>
  <si>
    <t>Sell</t>
  </si>
  <si>
    <t>GS recommendation</t>
  </si>
  <si>
    <t>KEY DATA</t>
  </si>
  <si>
    <t>Key data</t>
  </si>
  <si>
    <t>NPAT preNRIs (A$mn)</t>
  </si>
  <si>
    <t>EPS adj (A¢)</t>
  </si>
  <si>
    <t>EPS revision (%)</t>
  </si>
  <si>
    <t>EPS growth (%)</t>
  </si>
  <si>
    <t>PER (X)</t>
  </si>
  <si>
    <t>DPS (A¢)</t>
  </si>
  <si>
    <t>Dividend yield (%)</t>
  </si>
  <si>
    <t>Frank/Imput (%)</t>
  </si>
  <si>
    <t>P/BV (X)</t>
  </si>
  <si>
    <t>Avg shares (fd) (mn)</t>
  </si>
  <si>
    <t>Debt/equity (%)</t>
  </si>
  <si>
    <t>-</t>
  </si>
  <si>
    <t>SUMMARY PROFIT AND LOSS</t>
  </si>
  <si>
    <t>Summary profit and loss</t>
  </si>
  <si>
    <t>Net interest margin (%)</t>
  </si>
  <si>
    <t>SUMMARY BALANCE SHEET</t>
  </si>
  <si>
    <t>Summary balance sheet</t>
  </si>
  <si>
    <t>Total Australian loan growth (%)</t>
  </si>
  <si>
    <t>Total New Zealand loan growth (%)</t>
  </si>
  <si>
    <t>Total Other Offshore loan growth (%)</t>
  </si>
  <si>
    <t>Total loans and acceptances</t>
  </si>
  <si>
    <t>Total loans and acceptances growth (%)</t>
  </si>
  <si>
    <t>RATIO ANALYSIS</t>
  </si>
  <si>
    <t>Ratio analysis</t>
  </si>
  <si>
    <t>Franking balance (A$m)</t>
  </si>
  <si>
    <t>VALUATION</t>
  </si>
  <si>
    <t>Historic/implied</t>
  </si>
  <si>
    <t>Value of</t>
  </si>
  <si>
    <t>multiple</t>
  </si>
  <si>
    <t>factor</t>
  </si>
  <si>
    <t>franking</t>
  </si>
  <si>
    <t>Value of cash flows per share</t>
  </si>
  <si>
    <t>CBA</t>
  </si>
  <si>
    <t>1H13A</t>
  </si>
  <si>
    <t>Transitional tier 1 capital relief</t>
  </si>
  <si>
    <t>AD_ProfitabilityROECashOptimised</t>
  </si>
  <si>
    <t>Return on equity (cash) - optimised</t>
  </si>
  <si>
    <t>AD_ProfitabilityROTECashOptimised</t>
  </si>
  <si>
    <t>Return on tangible equity (cash) - optimised</t>
  </si>
  <si>
    <t>ASS_PEAUDNZD</t>
  </si>
  <si>
    <t>ASS_PEAUDEUR</t>
  </si>
  <si>
    <t>AvBS_NZTotalLoans</t>
  </si>
  <si>
    <t>AvBS_AUTotalLoans</t>
  </si>
  <si>
    <t>Valn_AsAtDate</t>
  </si>
  <si>
    <t>Valn_TerminalGrowth</t>
  </si>
  <si>
    <t>Valn_RiskFreeRate</t>
  </si>
  <si>
    <t>Valn_MRP</t>
  </si>
  <si>
    <t>Valn_Beta</t>
  </si>
  <si>
    <t>au_bbsw3m_avg_6m</t>
  </si>
  <si>
    <t>CL-Buy</t>
  </si>
  <si>
    <t>CL-Sell</t>
  </si>
  <si>
    <t>Actual</t>
  </si>
  <si>
    <t>Estimate</t>
  </si>
  <si>
    <t>Reference data</t>
  </si>
  <si>
    <t>Ticker</t>
  </si>
  <si>
    <t>Ticker_1</t>
  </si>
  <si>
    <t>Company name</t>
  </si>
  <si>
    <t>Interim type</t>
  </si>
  <si>
    <t>Semiannual</t>
  </si>
  <si>
    <t>Reporting currency</t>
  </si>
  <si>
    <t>AUD</t>
  </si>
  <si>
    <t>Publishing currency</t>
  </si>
  <si>
    <t>Pricing currency</t>
  </si>
  <si>
    <t>Pricing currency_1</t>
  </si>
  <si>
    <t>General Information</t>
  </si>
  <si>
    <t>Australia/NZ Investment List</t>
  </si>
  <si>
    <t>ANZ_LIST</t>
  </si>
  <si>
    <t>Australia/NZ Conviction List</t>
  </si>
  <si>
    <t>ANZ_CONVICTION</t>
  </si>
  <si>
    <t>Legal rating</t>
  </si>
  <si>
    <t>LEGAL_RATING</t>
  </si>
  <si>
    <t>Target price</t>
  </si>
  <si>
    <t>TARGET_PRICE</t>
  </si>
  <si>
    <t>Target price period</t>
  </si>
  <si>
    <t>TP_PERIOD</t>
  </si>
  <si>
    <t>12 months</t>
  </si>
  <si>
    <t>Current shares outstanding (mn)</t>
  </si>
  <si>
    <t>NUM_SH1</t>
  </si>
  <si>
    <t>Free float</t>
  </si>
  <si>
    <t>FREE_FLOAT</t>
  </si>
  <si>
    <t>Foreign ownership</t>
  </si>
  <si>
    <t>FOREIGN_HOLDNG</t>
  </si>
  <si>
    <t>Catalyst 1 date</t>
  </si>
  <si>
    <t>CATALYST1_DATE</t>
  </si>
  <si>
    <t>Catalyst 1 description</t>
  </si>
  <si>
    <t>CATALYST1_EVENT</t>
  </si>
  <si>
    <t>Catalyst 2 date</t>
  </si>
  <si>
    <t>CATALYST2_DATE</t>
  </si>
  <si>
    <t>Catalyst 2 description</t>
  </si>
  <si>
    <t>CATALYST2_EVENT</t>
  </si>
  <si>
    <t>Catalyst 3 date</t>
  </si>
  <si>
    <t>CATALYST3_DATE</t>
  </si>
  <si>
    <t>Catalyst 3 description</t>
  </si>
  <si>
    <t>CATALYST3_EVENT</t>
  </si>
  <si>
    <t>Catalyst 4 date</t>
  </si>
  <si>
    <t>CATALYST4_DATE</t>
  </si>
  <si>
    <t>Catalyst 4 description</t>
  </si>
  <si>
    <t>CATALYST4_EVENT</t>
  </si>
  <si>
    <t>Catalyst 5 date</t>
  </si>
  <si>
    <t>CATALYST5_DATE</t>
  </si>
  <si>
    <t>Catalyst 5 description</t>
  </si>
  <si>
    <t>CATALYST5_EVENT</t>
  </si>
  <si>
    <t>Target price multiple</t>
  </si>
  <si>
    <t>PRI_TARG_MULT</t>
  </si>
  <si>
    <t>Target price methodology</t>
  </si>
  <si>
    <t>PRI_TARG_METH</t>
  </si>
  <si>
    <t>Publishing Items</t>
  </si>
  <si>
    <t>Book value per share, BVPS (Pub)</t>
  </si>
  <si>
    <t>BVPS_PUB</t>
  </si>
  <si>
    <t>DPS, dividend per share (Pub)</t>
  </si>
  <si>
    <t>DPS_PUB</t>
  </si>
  <si>
    <t>EBITDA (Pub)</t>
  </si>
  <si>
    <t>EBITDA_PUB</t>
  </si>
  <si>
    <t>EPS (Pub)</t>
  </si>
  <si>
    <t>EPS_PUB</t>
  </si>
  <si>
    <t>EV adjustment (Pub)</t>
  </si>
  <si>
    <t>EV_ADJ_PUB</t>
  </si>
  <si>
    <t>Net debt (Pub)</t>
  </si>
  <si>
    <t>NET_DEBT_PUB</t>
  </si>
  <si>
    <t>Net income (Pub)</t>
  </si>
  <si>
    <t>NI_PUB</t>
  </si>
  <si>
    <t>EBIT, operating profit (Pub)</t>
  </si>
  <si>
    <t>EBIT_PUB</t>
  </si>
  <si>
    <t>Pre-tax profit (Pub)</t>
  </si>
  <si>
    <t>PTP_PUB</t>
  </si>
  <si>
    <t>Sales, revenue (Pub)</t>
  </si>
  <si>
    <t>REVS_PUB</t>
  </si>
  <si>
    <t>Total shareholders' equity (Pub)</t>
  </si>
  <si>
    <t>EQ_PUB</t>
  </si>
  <si>
    <t>EPS (consensus)</t>
  </si>
  <si>
    <t>EPS_CONS_PUB</t>
  </si>
  <si>
    <t>ANZ Publishing Items</t>
  </si>
  <si>
    <t>Risk to Earnings (+,0,-)</t>
  </si>
  <si>
    <t>RISK_TO_EARNINGS</t>
  </si>
  <si>
    <t>DCF_CASH_FLOW</t>
  </si>
  <si>
    <t>Cost of equity</t>
  </si>
  <si>
    <t>COST_OF_EQUITY_DCF</t>
  </si>
  <si>
    <t>Risk Margin of Debt</t>
  </si>
  <si>
    <t>DEBT_RISK_MARGIN_DCF</t>
  </si>
  <si>
    <t>Perpetuity Growth Rate</t>
  </si>
  <si>
    <t>PERPETUITY_GROWTH_RATE_DCF</t>
  </si>
  <si>
    <t>Discount Factor</t>
  </si>
  <si>
    <t>DISCOUNT_FACTOR_DCF</t>
  </si>
  <si>
    <t>Present Value of Cash Flow</t>
  </si>
  <si>
    <t>PRESENT_VALUE_OF_CASH_FLOW_DCF</t>
  </si>
  <si>
    <t>Cumulative Present Value of Cash Flows</t>
  </si>
  <si>
    <t>CUM_PRESENT_VAL_CASH_FLOWS_DCF</t>
  </si>
  <si>
    <t>Terminal Year</t>
  </si>
  <si>
    <t>TERMINAL_YEAR_DCF</t>
  </si>
  <si>
    <t>Market Value of Investments</t>
  </si>
  <si>
    <t>MARKET_VALUE_OF_INVESTMENTS_DCF</t>
  </si>
  <si>
    <t>Net debt/(net cash) including options in the money</t>
  </si>
  <si>
    <t>NET_DEBT_NET_CASH_DCF</t>
  </si>
  <si>
    <t>Equity Value</t>
  </si>
  <si>
    <t>EQUITY_VALUE_DCF</t>
  </si>
  <si>
    <t>Value of Imputation Credits per Share</t>
  </si>
  <si>
    <t>IMP_CREDITS_PER_SHARE_DCF</t>
  </si>
  <si>
    <t>Base case valuation</t>
  </si>
  <si>
    <t>BASE_CASE_VAL_DCF</t>
  </si>
  <si>
    <t>Risk adjusted option value</t>
  </si>
  <si>
    <t>RISK_ADJ_OPTION_VALUE_DCF</t>
  </si>
  <si>
    <t>Intrinsic per Share Value (pre Imputation Credits)</t>
  </si>
  <si>
    <t>INTRINSIC_PER_SHARE_VALUE_DCF</t>
  </si>
  <si>
    <t>Capital at End of Year</t>
  </si>
  <si>
    <t>YEAR_END_CAPITAL_EVA</t>
  </si>
  <si>
    <t>Net Profit - Reported</t>
  </si>
  <si>
    <t>NI_REPT_PUB</t>
  </si>
  <si>
    <t>NTA Per Share</t>
  </si>
  <si>
    <t>NTA_PER_SHARE</t>
  </si>
  <si>
    <t>Franking (Pub)</t>
  </si>
  <si>
    <t>FRANKING_ANZPUB</t>
  </si>
  <si>
    <t>Debt to equity</t>
  </si>
  <si>
    <t>DEBT_EQUITY</t>
  </si>
  <si>
    <t>Income Statement</t>
  </si>
  <si>
    <t>INT_INC</t>
  </si>
  <si>
    <t>INT_EXP</t>
  </si>
  <si>
    <t>B_PL_NETINTINC</t>
  </si>
  <si>
    <t>B_PL_NETINTINC = INT_INC + INT_EXP</t>
  </si>
  <si>
    <t>Dividend income</t>
  </si>
  <si>
    <t>DIVID_INC</t>
  </si>
  <si>
    <t>Contribution from life assurance</t>
  </si>
  <si>
    <t>LIFE_INC</t>
  </si>
  <si>
    <t>General insurance income</t>
  </si>
  <si>
    <t>GEN_INS_INC</t>
  </si>
  <si>
    <t>Trading profit</t>
  </si>
  <si>
    <t>FIN_TRANS_INC</t>
  </si>
  <si>
    <t>Net fees</t>
  </si>
  <si>
    <t>NET_FEE</t>
  </si>
  <si>
    <t>OTH_INC</t>
  </si>
  <si>
    <t>NON_INT_INC</t>
  </si>
  <si>
    <t>NON_INT_INC = DIVID_INC + LIFE_INC + GEN_INS_INC + FIN_TRANS_INC + NET_FEE + OTH_INC</t>
  </si>
  <si>
    <t>Sales, net revenue</t>
  </si>
  <si>
    <t>SALES</t>
  </si>
  <si>
    <t>SALES = B_PL_NETINTINC + NON_INT_INC + B_GAIN_SALE_SEC.</t>
  </si>
  <si>
    <t>Compensation &amp; benfits expense</t>
  </si>
  <si>
    <t>PERSONNEL</t>
  </si>
  <si>
    <t>Other administration costs</t>
  </si>
  <si>
    <t>OTH_ADMIN</t>
  </si>
  <si>
    <t>Total operating expense</t>
  </si>
  <si>
    <t>OP_COST</t>
  </si>
  <si>
    <t>OP_COST = PERSONNEL + OTH_ADMIN + DEPREC + OTH_COST + GOODWILL_AMORT + INS_CLAIMS + ESO_PRE_TAX</t>
  </si>
  <si>
    <t>Depreciation</t>
  </si>
  <si>
    <t>DEPREC</t>
  </si>
  <si>
    <t>Amortization</t>
  </si>
  <si>
    <t>GOODWILL_AMORT</t>
  </si>
  <si>
    <t>Other costs</t>
  </si>
  <si>
    <t>OTH_COST</t>
  </si>
  <si>
    <t>Provision for loans</t>
  </si>
  <si>
    <t>B_PL_LOANPRV</t>
  </si>
  <si>
    <t>Other P&amp;L provisions</t>
  </si>
  <si>
    <t>OTH_PROVS</t>
  </si>
  <si>
    <t>General insurance claims</t>
  </si>
  <si>
    <t>INS_CLAIMS</t>
  </si>
  <si>
    <t>Provisions and write-offs</t>
  </si>
  <si>
    <t>TOT_PROVS</t>
  </si>
  <si>
    <t>TOT_PROVS = B_PL_LOANPRV + OTH_PROVS</t>
  </si>
  <si>
    <t>Gross operating profit</t>
  </si>
  <si>
    <t>GROSS_OP_PROF</t>
  </si>
  <si>
    <t>GROSS_OP_PROF = SALES + OP_COST</t>
  </si>
  <si>
    <t>Net operating profit</t>
  </si>
  <si>
    <t>NET_OP_PROF</t>
  </si>
  <si>
    <t>NET_OP_PROF = GROSS_OP_PROFIT + TOT_PROVS</t>
  </si>
  <si>
    <t>Income/(loss) from unconsolidated subs &amp; associates</t>
  </si>
  <si>
    <t>ASSOCIATE</t>
  </si>
  <si>
    <t>Profit/(loss) on disposals of assets, pre-tax</t>
  </si>
  <si>
    <t>PROFIT_ON_DISP</t>
  </si>
  <si>
    <t>OTH_NONOP_INC</t>
  </si>
  <si>
    <t>Other expense</t>
  </si>
  <si>
    <t>OTH_NONOP_EXP</t>
  </si>
  <si>
    <t>Other non-ops income/(expense)</t>
  </si>
  <si>
    <t>OTH_COST_INC</t>
  </si>
  <si>
    <t>OTH_COST_INC = OTH_NONOP_INC + OTH_NONOPEXP</t>
  </si>
  <si>
    <t>Profit before tax &amp; exceptionals</t>
  </si>
  <si>
    <t>PROF_BTE</t>
  </si>
  <si>
    <t>PROF_BTE = NET_OP_PROF + ASSOCIATE + OTH_COST_INC</t>
  </si>
  <si>
    <t>Exceptional income/(expense)</t>
  </si>
  <si>
    <t>TOT_EXCEPTS</t>
  </si>
  <si>
    <t>Pre-tax profit</t>
  </si>
  <si>
    <t>PT_PROF</t>
  </si>
  <si>
    <t>PT_PROF = PROF_BTE + TOT_EXCEPTS</t>
  </si>
  <si>
    <t>Provision for income tax</t>
  </si>
  <si>
    <t>PROV_INC_TAX</t>
  </si>
  <si>
    <t>Profit after-tax</t>
  </si>
  <si>
    <t>PROF_AT</t>
  </si>
  <si>
    <t>PROF_AT = PT_PROF + PROV_INC_TAX</t>
  </si>
  <si>
    <t>Minority interest</t>
  </si>
  <si>
    <t>INC_MINORITY</t>
  </si>
  <si>
    <t>Net income (pre-exceptionals)</t>
  </si>
  <si>
    <t>NET_EARNING</t>
  </si>
  <si>
    <t>Post-tax exceptionals</t>
  </si>
  <si>
    <t>TAX_EXC</t>
  </si>
  <si>
    <t>Post-tax other</t>
  </si>
  <si>
    <t>B_PL_PTASSOC</t>
  </si>
  <si>
    <t>MINOR_EQUITY</t>
  </si>
  <si>
    <t>Preferred dividends (non-equity)</t>
  </si>
  <si>
    <t>MINOR_NON_EQUITY</t>
  </si>
  <si>
    <t>Net income (post-exceptionals)</t>
  </si>
  <si>
    <t>NET_INC</t>
  </si>
  <si>
    <t>NET_INC = PROF_AT + TAX_EXC + INC_MINORITY + B_PL_PTASSOC + MINOR_EQUITY + MINOR_NON_EQUITY</t>
  </si>
  <si>
    <t>EPS (pre-exceptionals, basic)</t>
  </si>
  <si>
    <t>EPS</t>
  </si>
  <si>
    <t>EPS = NET_EARNING / SH1</t>
  </si>
  <si>
    <t>EPS (post-exceptionals, diluted)</t>
  </si>
  <si>
    <t>FULLY_DIL_EPS</t>
  </si>
  <si>
    <t>Common dividends paid</t>
  </si>
  <si>
    <t>COMMON_DIV_PAID</t>
  </si>
  <si>
    <t>DPS, dividend per share</t>
  </si>
  <si>
    <t>Weighted average shares outstanding, basic</t>
  </si>
  <si>
    <t>SH1</t>
  </si>
  <si>
    <t>Diluted average shares outstanding (mn)</t>
  </si>
  <si>
    <t>DILUTE_SHARES</t>
  </si>
  <si>
    <t>Period-end shares outstanding</t>
  </si>
  <si>
    <t>NON_OP_ADD</t>
  </si>
  <si>
    <t>ANZ Income Statement</t>
  </si>
  <si>
    <t>Lending Fees</t>
  </si>
  <si>
    <t>LENDING_FEES</t>
  </si>
  <si>
    <t>Other Fees/Commission</t>
  </si>
  <si>
    <t>OTHER_FEES</t>
  </si>
  <si>
    <t>Money transfer fees</t>
  </si>
  <si>
    <t>MONEY_TRANSFER_FEES</t>
  </si>
  <si>
    <t>Financial Services Income</t>
  </si>
  <si>
    <t>FINANCE_SERVICES_INCOME</t>
  </si>
  <si>
    <t>Foreign Exchange Income</t>
  </si>
  <si>
    <t>FOREIGN_EXCH_INCOME</t>
  </si>
  <si>
    <t>Trading Securities Income</t>
  </si>
  <si>
    <t>TRADING_SECS_INCOME</t>
  </si>
  <si>
    <t>Investment Security Income</t>
  </si>
  <si>
    <t>INVESTMENT_SECS_INCOME</t>
  </si>
  <si>
    <t>Rental Income</t>
  </si>
  <si>
    <t>RENTAL_INCOME</t>
  </si>
  <si>
    <t>Development Ventures</t>
  </si>
  <si>
    <t>DEVELOPMENT_VENTURES</t>
  </si>
  <si>
    <t>Other Income</t>
  </si>
  <si>
    <t>OTHER_INCOME</t>
  </si>
  <si>
    <t>Selling, General &amp; Admin</t>
  </si>
  <si>
    <t>SEL_GL_AD_OTHER</t>
  </si>
  <si>
    <t>Labour</t>
  </si>
  <si>
    <t>LABOUR</t>
  </si>
  <si>
    <t>Other Staff Costs</t>
  </si>
  <si>
    <t>OTHER_STAFF_COSTS</t>
  </si>
  <si>
    <t>Share Based Payments</t>
  </si>
  <si>
    <t>SHARE_BASED_PAYMENTS</t>
  </si>
  <si>
    <t>Equipment Costs</t>
  </si>
  <si>
    <t>EQUIP_COSTS</t>
  </si>
  <si>
    <t>Occupancy Costs</t>
  </si>
  <si>
    <t>OCCUPANCY_COSTS</t>
  </si>
  <si>
    <t>Other Expenses</t>
  </si>
  <si>
    <t>OTHER_EXPENSES</t>
  </si>
  <si>
    <t>Amortisation of Intangibles</t>
  </si>
  <si>
    <t>AMORT_OF_INTANGIBLES</t>
  </si>
  <si>
    <t>Amortisation of Goodwill</t>
  </si>
  <si>
    <t>AMORT_OF_INTANGIBLES_ADJ</t>
  </si>
  <si>
    <t>Total Depreciation/Amortisation</t>
  </si>
  <si>
    <t>TOTAL_DEPREC_AMORT</t>
  </si>
  <si>
    <t>Underlying Earnings (pre-goodwill amortisation)</t>
  </si>
  <si>
    <t>EBIT_UNDERLYING_PRE_GWILL</t>
  </si>
  <si>
    <t>New Specific Provisions</t>
  </si>
  <si>
    <t>NEW_SPECIFIC_PROV</t>
  </si>
  <si>
    <t>Writebacks/Recoveries</t>
  </si>
  <si>
    <t>WRITEBACK_RECOVERIES</t>
  </si>
  <si>
    <t>General Provisions</t>
  </si>
  <si>
    <t>GENERAL_PROV</t>
  </si>
  <si>
    <t>Profit or loss before tax on abnormal items</t>
  </si>
  <si>
    <t>PL_BTAX_ON_AB</t>
  </si>
  <si>
    <t>Income tax attributable to profit or loss on abnormal items</t>
  </si>
  <si>
    <t>INCTAX_PL_ON_AB</t>
  </si>
  <si>
    <t>Profit/Loss on defined benefit plan contribution (Pre Tax)</t>
  </si>
  <si>
    <t>PROFIT_DEFBEN_PLAN_PRE_TAX</t>
  </si>
  <si>
    <t>Goodwill Asset impairment Charge (Pre Tax)</t>
  </si>
  <si>
    <t>GWILL_ASSET_IMPAIR_CHG_PRE_TAX</t>
  </si>
  <si>
    <t>Other Asset impairment Charge (Pre Tax)</t>
  </si>
  <si>
    <t>OTHER_ASSET_IMPAIR_CHG_PRE_TAX</t>
  </si>
  <si>
    <t>Financial instruments/hedging (Pre Tax)</t>
  </si>
  <si>
    <t>FIN_INSTRUMENT_HEDGE_PRE_TAX</t>
  </si>
  <si>
    <t>Effective Interest Rate Impact (Pre Tax)</t>
  </si>
  <si>
    <t>EFFECT_INT_RATE_IMPACT_PRE_TAX</t>
  </si>
  <si>
    <t>Other IFRS adjustments (Pre Tax)</t>
  </si>
  <si>
    <t>OTHER_IFRS_ADJUST_PRE_TAX</t>
  </si>
  <si>
    <t>Total IFRS Adjustments (Pre Tax)</t>
  </si>
  <si>
    <t>TOTAL_IFRS_ADJUST_PRE_TAX</t>
  </si>
  <si>
    <t>Profit/Loss on defined benefit plan contribution (Post Tax)</t>
  </si>
  <si>
    <t>PROFIT_DEFBEN_PLAN_POST_TAX</t>
  </si>
  <si>
    <t>Goodwill Asset impairment Charge (Post Tax)</t>
  </si>
  <si>
    <t>GWILL_ASSET_IMP_CHG_POST_TAX</t>
  </si>
  <si>
    <t>Other Asset impairment Charge (Post Tax)</t>
  </si>
  <si>
    <t>OTH_ASSET_IMPAIR_CHG_POST_TAX</t>
  </si>
  <si>
    <t>Financial instruments/hedging (Post Tax)</t>
  </si>
  <si>
    <t>FIN_INSTRUMENT_HEDGE_POST_TAX</t>
  </si>
  <si>
    <t>Effective Interest Rate Impact (Post Tax)</t>
  </si>
  <si>
    <t>EFF_INT_RATE_IMPACT_POST_TAX</t>
  </si>
  <si>
    <t>Other IFRS adjustments (Post Tax)</t>
  </si>
  <si>
    <t>OTHER_IFRS_ADJUST_POST_TAX</t>
  </si>
  <si>
    <t>Total IFRS Adjustments (Post Tax)</t>
  </si>
  <si>
    <t>TOTAL_IFRS_ADJUST_POST_TAX</t>
  </si>
  <si>
    <t>Operating profit or loss before tax (post abnormals)</t>
  </si>
  <si>
    <t>OPPL_BTAX_POST_AB</t>
  </si>
  <si>
    <t>Income tax attributable to operating profit or loss (post abnormals)</t>
  </si>
  <si>
    <t>INCTAX_PL_POST_AB</t>
  </si>
  <si>
    <t>Operating profit or loss after income tax (post abnormals)</t>
  </si>
  <si>
    <t>OPPL_ATAX_POST_AB</t>
  </si>
  <si>
    <t>Net Profit - GS&amp;PA (NPAT after pref dividends, but before Abnormals, and Goodwill Amortisation)</t>
  </si>
  <si>
    <t>NET_PROFIT</t>
  </si>
  <si>
    <t>Foreign Exchange (gains/losses)</t>
  </si>
  <si>
    <t>FOREIGN_EXCHANGE_GAIN_LOSS</t>
  </si>
  <si>
    <t>Asset Sales (gains/losses)</t>
  </si>
  <si>
    <t>ASSET_SALES_GAIN_LOSS</t>
  </si>
  <si>
    <t>Restructuring Costs</t>
  </si>
  <si>
    <t>RESTRUC_COSTS</t>
  </si>
  <si>
    <t>Other Abnormal Items</t>
  </si>
  <si>
    <t>OTHER_ABNORMAL_ITEMS</t>
  </si>
  <si>
    <t>Profit Adjustment for EPS</t>
  </si>
  <si>
    <t>PROF_ADJUST_EPS</t>
  </si>
  <si>
    <t>EPS - GS&amp;PA</t>
  </si>
  <si>
    <t>EPS_PRE_GWILL</t>
  </si>
  <si>
    <t>EPS - Reported</t>
  </si>
  <si>
    <t>EPS_REPORTED</t>
  </si>
  <si>
    <t>Franking</t>
  </si>
  <si>
    <t>FRANKING</t>
  </si>
  <si>
    <t>Franking Tax Rate</t>
  </si>
  <si>
    <t>FRANK_TAX_RATE</t>
  </si>
  <si>
    <t>Next Interim Dividend Amount</t>
  </si>
  <si>
    <t>INT_DIV_AMOUNT</t>
  </si>
  <si>
    <t>Next Interim Dividend Ex-date</t>
  </si>
  <si>
    <t>INT_DIV_EXDATE</t>
  </si>
  <si>
    <t>Next Interim Dividend Franking</t>
  </si>
  <si>
    <t>INT_DIV_FRANK</t>
  </si>
  <si>
    <t>Next Int. Div. Frank Tax Rate</t>
  </si>
  <si>
    <t>INT_DIV_TAXRATE</t>
  </si>
  <si>
    <t>Next Final Dividend Amount</t>
  </si>
  <si>
    <t>FINAL_DIV_AMOUNT</t>
  </si>
  <si>
    <t>Next Final Dividend Ex-date</t>
  </si>
  <si>
    <t>FINAL_DIV_EXDATE</t>
  </si>
  <si>
    <t>Next Final Dividend Franking</t>
  </si>
  <si>
    <t>FINAL_DIV_FRANK</t>
  </si>
  <si>
    <t>Next Final Div. Frank Tax Rate</t>
  </si>
  <si>
    <t>FINAL_DIV_TAXRATE</t>
  </si>
  <si>
    <t>Total Annual Dividend</t>
  </si>
  <si>
    <t>TOTAL_ANNUAL_DIV_AMOUNT</t>
  </si>
  <si>
    <t>DRP Participation</t>
  </si>
  <si>
    <t>DRP_PARTICIPATION</t>
  </si>
  <si>
    <t>DRP Discount</t>
  </si>
  <si>
    <t>DRP_DISCOUNT</t>
  </si>
  <si>
    <t>Convertible Notes  at End of year</t>
  </si>
  <si>
    <t>CONVERTIBLE_NOTES</t>
  </si>
  <si>
    <t>Preference Shares at End of year</t>
  </si>
  <si>
    <t>PREFERENCE_SHARES</t>
  </si>
  <si>
    <t>Partly Paid Shares at End of year</t>
  </si>
  <si>
    <t>PARTLY_PAID_SHARES</t>
  </si>
  <si>
    <t>Options at End of year</t>
  </si>
  <si>
    <t>OPTIONS</t>
  </si>
  <si>
    <t>Other at End of year</t>
  </si>
  <si>
    <t>OTHER_CAPITAL</t>
  </si>
  <si>
    <t>Ordinary Shares (diluted for convertibles/options in the money) on issue at end of period ; Share Base For NTA Calculation</t>
  </si>
  <si>
    <t>EFPO</t>
  </si>
  <si>
    <t>Weighted average ordinary shares (diluted for convertibles/options in the money) on issue at end of period</t>
  </si>
  <si>
    <t>EFPOWA</t>
  </si>
  <si>
    <t>Total Capital (EFPO)</t>
  </si>
  <si>
    <t>TOTAL_CAPITAL_EFPO</t>
  </si>
  <si>
    <t>Total Capital (EFPOWA)</t>
  </si>
  <si>
    <t>TOTAL_CAPITAL_EFPOWA</t>
  </si>
  <si>
    <t>Risk Weighted Assets</t>
  </si>
  <si>
    <t>RISK_WEIGHTED_ASSET_APRA</t>
  </si>
  <si>
    <t>Additional Income Statement Items</t>
  </si>
  <si>
    <t>Dilution impact to earnings</t>
  </si>
  <si>
    <t>DILUTE_NI_IMPAC</t>
  </si>
  <si>
    <t>GS EPS</t>
  </si>
  <si>
    <t>B_PL_GSEPS</t>
  </si>
  <si>
    <t>GS net income</t>
  </si>
  <si>
    <t>B_PL_GSINCOME</t>
  </si>
  <si>
    <t>Lease payments</t>
  </si>
  <si>
    <t>LEASE_PAY</t>
  </si>
  <si>
    <t>Marginal tax rate</t>
  </si>
  <si>
    <t>MARGIN_TAX_RATE</t>
  </si>
  <si>
    <t>Net income (consensus) (Pub)</t>
  </si>
  <si>
    <t>NI_CONS</t>
  </si>
  <si>
    <t>Balance Sheet</t>
  </si>
  <si>
    <t>Cash &amp; cash equivalents</t>
  </si>
  <si>
    <t>CASH_EQ</t>
  </si>
  <si>
    <t>Interbank loans</t>
  </si>
  <si>
    <t>B_BS_A_LNBNK</t>
  </si>
  <si>
    <t>Net customer loans and advances</t>
  </si>
  <si>
    <t>B_BS_A_NETLOANS</t>
  </si>
  <si>
    <t>Total debt securities</t>
  </si>
  <si>
    <t>B_BS_A_DEBTTOT</t>
  </si>
  <si>
    <t>Other interest earning assets</t>
  </si>
  <si>
    <t>B_BS_A_OTHINT1</t>
  </si>
  <si>
    <t>Interest earning assets</t>
  </si>
  <si>
    <t>B_BS_A_PERIOD</t>
  </si>
  <si>
    <t xml:space="preserve">B_BS_A_PERIOD = B_BS_A_LNBNK + B_BS_A_NETLOANS + B_BS_A_DEBTTOT  +  B_BS_A_OTHINT1 </t>
  </si>
  <si>
    <t>Net PP&amp;E</t>
  </si>
  <si>
    <t>NET_FIX_ASS</t>
  </si>
  <si>
    <t>Goodwill, net book value</t>
  </si>
  <si>
    <t>GOODWILL</t>
  </si>
  <si>
    <t>Intangible assets</t>
  </si>
  <si>
    <t>OTH_INTANG</t>
  </si>
  <si>
    <t>Net intangible assets</t>
  </si>
  <si>
    <t>NET_INTANG</t>
  </si>
  <si>
    <t>NET_INTANG = GOODWILL + OTH_INTANG</t>
  </si>
  <si>
    <t>Pre-payments &amp; accrued income</t>
  </si>
  <si>
    <t>PRE_PAYMNTS</t>
  </si>
  <si>
    <t>Equity method investments</t>
  </si>
  <si>
    <t>FIX_ASS_INV</t>
  </si>
  <si>
    <t>Investments in securities</t>
  </si>
  <si>
    <t>INV_SECUR</t>
  </si>
  <si>
    <t>Life assurance business attributable to shareholders</t>
  </si>
  <si>
    <t>LIFE_SHARE</t>
  </si>
  <si>
    <t>Life assurance assets attributable to policyholders</t>
  </si>
  <si>
    <t>LIFE_POLICY_ASS</t>
  </si>
  <si>
    <t>Other assets</t>
  </si>
  <si>
    <t>OTH_ASSET</t>
  </si>
  <si>
    <t>TOT_ASSET</t>
  </si>
  <si>
    <t>TOT_ASSET = CASH_EQ + B_BS_A_PERIOD + FIX_ASS_INV + INV_SECUR + NET_FIX_ASS + NET_INTANG + PRE_PAYMNTS +  LIFE_SHARE + LIFE_POLICY_ASS + OTH_ASSET</t>
  </si>
  <si>
    <t>B_BS_L_BANKDEP</t>
  </si>
  <si>
    <t>Customer deposits</t>
  </si>
  <si>
    <t>B_BS_L_CUSTDEP</t>
  </si>
  <si>
    <t>Debt instruments and securities</t>
  </si>
  <si>
    <t>DEBT_SECUR</t>
  </si>
  <si>
    <t>Other paying liabilities</t>
  </si>
  <si>
    <t>OTH_PAY_LIABS</t>
  </si>
  <si>
    <t>Subordinated liabilities (long-term debt)</t>
  </si>
  <si>
    <t>SUB_ORD_LIABS</t>
  </si>
  <si>
    <t>Interest bearing liabilities</t>
  </si>
  <si>
    <t>B_BS_L_PERIOD</t>
  </si>
  <si>
    <t>B_BS_L_PERIOD = B_BS_L_BANKDEP + B_BS_L_CUSTDEP + DEBT_SECUR + OTH_PAY_LIABS + SUB_ORD_LIABS</t>
  </si>
  <si>
    <t>Preference share capital, non-equity</t>
  </si>
  <si>
    <t>PREF_SHARE_CAP</t>
  </si>
  <si>
    <t>Provisions for liabilities &amp; charges</t>
  </si>
  <si>
    <t>PROV_BS</t>
  </si>
  <si>
    <t>Accruals &amp; deferred income</t>
  </si>
  <si>
    <t>ACCRUAL</t>
  </si>
  <si>
    <t>Life assurance liabilities attributable to policyholders</t>
  </si>
  <si>
    <t>LIFE_POLICY_LIABS</t>
  </si>
  <si>
    <t>Other liabilities</t>
  </si>
  <si>
    <t>OTH_LIABS</t>
  </si>
  <si>
    <t>TOT_LIAB</t>
  </si>
  <si>
    <t>TOT_LIABS =  B_BS_L_PERIOD + PREF_SHARE_CAP + PROV_BS + ACCRUAL + LIFE_POLICY_LIABS + OTH_LIABS</t>
  </si>
  <si>
    <t>Preferred shares</t>
  </si>
  <si>
    <t>PREF_SH</t>
  </si>
  <si>
    <t>Total common equity</t>
  </si>
  <si>
    <t>ORD_SH_FUND</t>
  </si>
  <si>
    <t>MINOR_EQUITY_BS</t>
  </si>
  <si>
    <t>MINORITIES</t>
  </si>
  <si>
    <t>Total shareholders' equity</t>
  </si>
  <si>
    <t>EQ</t>
  </si>
  <si>
    <t>TOT_LIAB_EQ = TOT_LIAB + EQ</t>
  </si>
  <si>
    <t>Total liabilities and equity</t>
  </si>
  <si>
    <t>TOT_LIAB_EQ</t>
  </si>
  <si>
    <t>TOT_ASSET = TOT_LIAB_EQ</t>
  </si>
  <si>
    <t>BVPS, book value per share</t>
  </si>
  <si>
    <t>BVPS</t>
  </si>
  <si>
    <t>BVPS = ORD_SH_FUND / NON_OP_ADD</t>
  </si>
  <si>
    <t>GS BVPS, book value per share</t>
  </si>
  <si>
    <t>B_PL_GSBVPS</t>
  </si>
  <si>
    <t>B_PL_GSBVPS = B_BS_L_GSEQUITY / NON_OP_ADD</t>
  </si>
  <si>
    <t>Tangible BVPS</t>
  </si>
  <si>
    <t>TANG_BVPS</t>
  </si>
  <si>
    <t>TBVPS, last reported</t>
  </si>
  <si>
    <t>TBVPS_LAST</t>
  </si>
  <si>
    <t>ANZ Balance Sheet</t>
  </si>
  <si>
    <t>Average Loans and Advances</t>
  </si>
  <si>
    <t>AVG_LOANS_ADVANCES</t>
  </si>
  <si>
    <t>Average Other Productive Assets</t>
  </si>
  <si>
    <t>AVG_OTH_PROD_ASSETS</t>
  </si>
  <si>
    <t>Average Productive Interest Earning Assets</t>
  </si>
  <si>
    <t>AVG_PROD_INT_EARN_ASSETS</t>
  </si>
  <si>
    <t>Average Gross Non-Performing Assets</t>
  </si>
  <si>
    <t>AVG_GROSS_NON_PERF_ASSETS</t>
  </si>
  <si>
    <t>Average Interest Earning Assets</t>
  </si>
  <si>
    <t>AVG_INT_EARN_ASSETS</t>
  </si>
  <si>
    <t>Average Provisions for Bad Debts</t>
  </si>
  <si>
    <t>AVG_PROV_BAD_DEBT</t>
  </si>
  <si>
    <t>Average Acceptances</t>
  </si>
  <si>
    <t>AVG_ACCEPTANCES</t>
  </si>
  <si>
    <t>Average Other Assets</t>
  </si>
  <si>
    <t>AVG_OTHER_ASSETS</t>
  </si>
  <si>
    <t>Average Total Assets</t>
  </si>
  <si>
    <t>AVG_TOTAL_ASSETS</t>
  </si>
  <si>
    <t>Average Interest Bearing Liabilities</t>
  </si>
  <si>
    <t>AVG_INT_BEARING_LIABS</t>
  </si>
  <si>
    <t>Average Non-Interest Bearing Liabilities</t>
  </si>
  <si>
    <t>AVG_NON_INT_BEARING_LIABS</t>
  </si>
  <si>
    <t>Average Other Liabilities</t>
  </si>
  <si>
    <t>AVG_OTHER_LIABS</t>
  </si>
  <si>
    <t>Average Preference Capital</t>
  </si>
  <si>
    <t>AVG_PREF_CAPITAL</t>
  </si>
  <si>
    <t>Average Ordinary Shareholders Equity</t>
  </si>
  <si>
    <t>AVG_ORD_SHOLDERS_EQUITY</t>
  </si>
  <si>
    <t>Net Free Funds</t>
  </si>
  <si>
    <t>NET_FREE_FUNDS</t>
  </si>
  <si>
    <t>Gross Loans &amp; Advances</t>
  </si>
  <si>
    <t>GROSS_LOANS_ADVANCES</t>
  </si>
  <si>
    <t>Specific Provision For Doubtful Debts</t>
  </si>
  <si>
    <t>SPECIFIC_PROV_DOUBTFUL</t>
  </si>
  <si>
    <t>General Provision For Doubtful Debts</t>
  </si>
  <si>
    <t>GENERAL_PROV_DOUBTFUL</t>
  </si>
  <si>
    <t>Unearned income</t>
  </si>
  <si>
    <t>UNEARNED_INCOME</t>
  </si>
  <si>
    <t>ACCEPTANCES_ASSETS</t>
  </si>
  <si>
    <t>Liquid Assets (incl. regulatory deposits)</t>
  </si>
  <si>
    <t>LIQUID_ASSETS</t>
  </si>
  <si>
    <t>Investments (Current assets)</t>
  </si>
  <si>
    <t>INVESTMENTS</t>
  </si>
  <si>
    <t>Other Intangibles - Depreciable (Net of Amort)</t>
  </si>
  <si>
    <t>OTHER_INTANGIBLES_DEPREC</t>
  </si>
  <si>
    <t>Other Intangibles - Non-Depreciable (Net of Amort)</t>
  </si>
  <si>
    <t>OTHER_INTANGIBLES_NON_DEPREC</t>
  </si>
  <si>
    <t>Defined Benefit Surplus</t>
  </si>
  <si>
    <t>DEFINED_BENEFIT_SURPLUS</t>
  </si>
  <si>
    <t>Financial Instruments/Hedging (Non current assets)</t>
  </si>
  <si>
    <t>Other Assets</t>
  </si>
  <si>
    <t>ASSET_MISC</t>
  </si>
  <si>
    <t>Bonds, notes &amp; subordinated debt</t>
  </si>
  <si>
    <t>BONDS_NOTES_SUBORD_DEBT</t>
  </si>
  <si>
    <t>ACCEPTANCES_LIABS</t>
  </si>
  <si>
    <t>Loan capital</t>
  </si>
  <si>
    <t>LOAN_CAPITAL</t>
  </si>
  <si>
    <t>Financial Instruments/Hedging (Current liab)</t>
  </si>
  <si>
    <t>FIN_INSTR_HEDGE_CURR_LIABILITY</t>
  </si>
  <si>
    <t>Defined Benefit Obligation</t>
  </si>
  <si>
    <t>DEFINED_BENEFIT_OBLIGATION</t>
  </si>
  <si>
    <t>Other Liabilities</t>
  </si>
  <si>
    <t>LIAB_MISC</t>
  </si>
  <si>
    <t>Ordinary Capital</t>
  </si>
  <si>
    <t>ORD_SHARE_CAPITAL</t>
  </si>
  <si>
    <t>Reserves</t>
  </si>
  <si>
    <t>RESERVES</t>
  </si>
  <si>
    <t>Retained profits or accumulated losses</t>
  </si>
  <si>
    <t>RETAIN_PROFIT_LOSS</t>
  </si>
  <si>
    <t>Shareholders' equity attributable to members of the chief entity</t>
  </si>
  <si>
    <t>SHOLDERS_EQUITY_MBRS</t>
  </si>
  <si>
    <t>Net Assets</t>
  </si>
  <si>
    <t>NET_ASSETS</t>
  </si>
  <si>
    <t>Net Tangible Assets</t>
  </si>
  <si>
    <t>NET_TANGIBLE_ASSETS</t>
  </si>
  <si>
    <t>Gross Non-Accrual Loans</t>
  </si>
  <si>
    <t>GROSS_NON_ACCRUAL</t>
  </si>
  <si>
    <t>Adjusted Net Tangible Assets (NZ)</t>
  </si>
  <si>
    <t>NET_TANGIBLE_ASSETS_ADJUSTED_NZ</t>
  </si>
  <si>
    <t>Additional Balance Sheet Items</t>
  </si>
  <si>
    <t>COE</t>
  </si>
  <si>
    <t>GS equity</t>
  </si>
  <si>
    <t>B_BS_L_GSEQUITY</t>
  </si>
  <si>
    <t>GS tangible equity</t>
  </si>
  <si>
    <t>B_BS_L_GSTANGEQ</t>
  </si>
  <si>
    <t>Capitalized leases</t>
  </si>
  <si>
    <t>CAP_LEASES</t>
  </si>
  <si>
    <t>Associates (mkt value) used in EV calculation</t>
  </si>
  <si>
    <t>MV_ASSOCIATES</t>
  </si>
  <si>
    <t>Unfunded pensions &amp; other provisions</t>
  </si>
  <si>
    <t>UNF_PENS</t>
  </si>
  <si>
    <t>Unfunded pension liabilities (off balance sheet)</t>
  </si>
  <si>
    <t>UNF_PENS_OFF</t>
  </si>
  <si>
    <t>Unfunded pension liabilities &amp; other, used in EV</t>
  </si>
  <si>
    <t>UNF_PENS_LIAB_OTH</t>
  </si>
  <si>
    <t>Other GCI adjustments</t>
  </si>
  <si>
    <t>OTH_GCI_ADJ</t>
  </si>
  <si>
    <t>BAL_MINO_INT</t>
  </si>
  <si>
    <t>Cash Flow Statement</t>
  </si>
  <si>
    <t>Dividends paid</t>
  </si>
  <si>
    <t>DIV_PAID</t>
  </si>
  <si>
    <t>Additional Cash Flow Items</t>
  </si>
  <si>
    <t>Other DACF adjustments</t>
  </si>
  <si>
    <t>OTH_DACF_ADJ</t>
  </si>
  <si>
    <t>Other Items</t>
  </si>
  <si>
    <t>Number of employees</t>
  </si>
  <si>
    <t>EMPLOYEES</t>
  </si>
  <si>
    <t>Beta</t>
  </si>
  <si>
    <t>BETA_ANALYST</t>
  </si>
  <si>
    <t>Number of branches</t>
  </si>
  <si>
    <t>BRANCHES</t>
  </si>
  <si>
    <t>Market equity risk premium</t>
  </si>
  <si>
    <t>MKT_EQ_RISK_PREM</t>
  </si>
  <si>
    <t>Risk-free rate</t>
  </si>
  <si>
    <t>RISK_FR_RATE</t>
  </si>
  <si>
    <t>ANZ Other Items</t>
  </si>
  <si>
    <t>Balance Of Franking Credits</t>
  </si>
  <si>
    <t>BAL_OF_FRANK_CREDITS</t>
  </si>
  <si>
    <t>In the Money Options</t>
  </si>
  <si>
    <t>OPTIONS_IN_MONEY</t>
  </si>
  <si>
    <t>INT_EARN_ASSETS</t>
  </si>
  <si>
    <t>Cash Earnings - Coy Basis</t>
  </si>
  <si>
    <t>CASH_EARNINGS_COMPANY</t>
  </si>
  <si>
    <t>Pre-tax hybrid distributions</t>
  </si>
  <si>
    <t>HYBRID_DIST_PRE_TAX</t>
  </si>
  <si>
    <t>Present Value Of Benefits From Tax Losses</t>
  </si>
  <si>
    <t>BENEFITS_TAX_LOSSES</t>
  </si>
  <si>
    <t>Tax Rate</t>
  </si>
  <si>
    <t>TAX_RATE_DCF</t>
  </si>
  <si>
    <t>Cost of Debt</t>
  </si>
  <si>
    <t>COST_OF_DEBT_DCF</t>
  </si>
  <si>
    <t>Debt to Equity (Market Values)</t>
  </si>
  <si>
    <t>DEBT_TO_EQUITY_MKT_VALUES_DCF</t>
  </si>
  <si>
    <t>WACC</t>
  </si>
  <si>
    <t>WACC_DCF</t>
  </si>
  <si>
    <t>Standard Free Operating Cash Flow</t>
  </si>
  <si>
    <t>STD_FREE_OP_CASH_FLOW_DCF</t>
  </si>
  <si>
    <t>Net Operating Profit After Tax (NOPAT)</t>
  </si>
  <si>
    <t>NOPAT</t>
  </si>
  <si>
    <t>Capital at End of Year - Adjusted total capital employed</t>
  </si>
  <si>
    <t>TOTAL_CAPITAL_EMPLOYED_ADJ</t>
  </si>
  <si>
    <t>Average Capital Employed</t>
  </si>
  <si>
    <t>AVG_CAPITAL_EMPLOYED_ADJ</t>
  </si>
  <si>
    <t>Return on Capital Employed (ROCE)</t>
  </si>
  <si>
    <t>ROCE_ANZ</t>
  </si>
  <si>
    <t>Operating Metrics</t>
  </si>
  <si>
    <t>GS CAMELOT implied P/B</t>
  </si>
  <si>
    <t>B_CAMELOT_PB</t>
  </si>
  <si>
    <t>GS CAMELOT implied P/E</t>
  </si>
  <si>
    <t>B_CAMELOT_PE</t>
  </si>
  <si>
    <t>CAMELOT beta</t>
  </si>
  <si>
    <t>B_CAMELOT_BETA</t>
  </si>
  <si>
    <t>3-yr adjusted DPS CAGR for CAMELOT</t>
  </si>
  <si>
    <t>B_CAMELOT_CAGR_DPS</t>
  </si>
  <si>
    <t>Sustainable ROE estimate</t>
  </si>
  <si>
    <t>B_CAMELOT_SUST_ROE</t>
  </si>
  <si>
    <t>Long-term dividend payout estimate</t>
  </si>
  <si>
    <t>B_LT_DIV_PAYOUT</t>
  </si>
  <si>
    <t>NPLs (Gross)</t>
  </si>
  <si>
    <t>Total NPLs, gross</t>
  </si>
  <si>
    <t>B_NPL_TOTNPL</t>
  </si>
  <si>
    <t>Other impaired loans</t>
  </si>
  <si>
    <t>B_NPL_PROBLN</t>
  </si>
  <si>
    <t>Capital Adequacy</t>
  </si>
  <si>
    <t>Tier 1 capital</t>
  </si>
  <si>
    <t>B_CA_T1CAP</t>
  </si>
  <si>
    <t>Tier 1 core equity</t>
  </si>
  <si>
    <t>B_CA_CORECAP</t>
  </si>
  <si>
    <t>Tier 1 preference share capital</t>
  </si>
  <si>
    <t>B_CA_PREFCAP</t>
  </si>
  <si>
    <t>Tier 1 capital ratio</t>
  </si>
  <si>
    <t>B_CA_T1RATIO</t>
  </si>
  <si>
    <t>B_CA_T2CAP</t>
  </si>
  <si>
    <t>Tier 2 ratio</t>
  </si>
  <si>
    <t>B_CA_T2RATIO</t>
  </si>
  <si>
    <t>Total BIS capital</t>
  </si>
  <si>
    <t>B_CA_CAPBASE</t>
  </si>
  <si>
    <t>Total capital (BIS) ratio</t>
  </si>
  <si>
    <t>B_CA_BISRATIO</t>
  </si>
  <si>
    <t>B_CA_BISRATIO = B_CA_CAPBASE / B_CA_RWA</t>
  </si>
  <si>
    <t>B_CA_RWA</t>
  </si>
  <si>
    <t>Loan Book (Gross)</t>
  </si>
  <si>
    <t>Mortgages</t>
  </si>
  <si>
    <t>B_LB_MORTG</t>
  </si>
  <si>
    <t>Other personal secured loans</t>
  </si>
  <si>
    <t>B_LB_OTHSECURE</t>
  </si>
  <si>
    <t>Personal unsecured loans and other</t>
  </si>
  <si>
    <t>B_LB_PERSON</t>
  </si>
  <si>
    <t>Total personal lending</t>
  </si>
  <si>
    <t>B_LB_TOTPERSNL</t>
  </si>
  <si>
    <t>Commercial &amp; industrial loans</t>
  </si>
  <si>
    <t>B_LB_FINANCL</t>
  </si>
  <si>
    <t>Construction &amp; real estate loans</t>
  </si>
  <si>
    <t>B_LB_CONSTRUCT</t>
  </si>
  <si>
    <t>Other commercial loans</t>
  </si>
  <si>
    <t>B_LB_COMMCL</t>
  </si>
  <si>
    <t>Total commercial lending</t>
  </si>
  <si>
    <t>B_LB_TOTCORP</t>
  </si>
  <si>
    <t>Finance leases</t>
  </si>
  <si>
    <t>B_LB_FINLEASE</t>
  </si>
  <si>
    <t>Government &amp; public authorities loans</t>
  </si>
  <si>
    <t>B_LB_GOVERNMT</t>
  </si>
  <si>
    <t>Other loans</t>
  </si>
  <si>
    <t>B_LB_OTHER</t>
  </si>
  <si>
    <t>Total other lending</t>
  </si>
  <si>
    <t>B_LB_OTHLEND</t>
  </si>
  <si>
    <t>Gross loans to customers</t>
  </si>
  <si>
    <t>B_LB_GROSSLOANS</t>
  </si>
  <si>
    <t>Total overseas lending, gross</t>
  </si>
  <si>
    <t>B_LB_OVSEASLEND</t>
  </si>
  <si>
    <t>Commitments</t>
  </si>
  <si>
    <t>COMMITMENTS</t>
  </si>
  <si>
    <t>Contingent liabilities</t>
  </si>
  <si>
    <t>CONTINGENCIES</t>
  </si>
  <si>
    <t>Provisions &amp; Reserves</t>
  </si>
  <si>
    <t>Specific loan loss reserve against customers</t>
  </si>
  <si>
    <t>B_PV_SLLRCUST</t>
  </si>
  <si>
    <t>General loan loss reserve against customers</t>
  </si>
  <si>
    <t>B_PV_GLLRCUST</t>
  </si>
  <si>
    <t>Total loan loss reserve against customers</t>
  </si>
  <si>
    <t>B_PV_TOTLLRCUST</t>
  </si>
  <si>
    <t>Write-offs</t>
  </si>
  <si>
    <t>WRITE_OFFS_BS</t>
  </si>
  <si>
    <t>Recoveries</t>
  </si>
  <si>
    <t>RECOVERIES_BS</t>
  </si>
  <si>
    <t>Net write-offs/(net charge-offs)</t>
  </si>
  <si>
    <t>NETCHGOFF_BS</t>
  </si>
  <si>
    <t>Margin Analysis</t>
  </si>
  <si>
    <t>Average interest-earning assets</t>
  </si>
  <si>
    <t>B_MA_REPINTAST</t>
  </si>
  <si>
    <t>Gross yield on interest-earning assets</t>
  </si>
  <si>
    <t>B_MA_REPGYLD</t>
  </si>
  <si>
    <t>Average interest-bearing liabilities</t>
  </si>
  <si>
    <t>B_MA_REPINTLIB</t>
  </si>
  <si>
    <t>Cost of interest-bearing liabilities</t>
  </si>
  <si>
    <t>B_MA_REPCOSTLIB</t>
  </si>
  <si>
    <t>B_MA_REPCOSTLIB = INT_EXP / B_MA_REPINTLIB</t>
  </si>
  <si>
    <t>Spread (gross yield less % cost of liabilites)</t>
  </si>
  <si>
    <t>B_MA_REPIMPSPD</t>
  </si>
  <si>
    <t>B_MA_REPIMPSPD = B_MA_REPGYLD - B_MA_REPCOSTLIB</t>
  </si>
  <si>
    <t>B_MA_REPNIM</t>
  </si>
  <si>
    <t>Deposits</t>
  </si>
  <si>
    <t>Demand deposits</t>
  </si>
  <si>
    <t>B_DE_DEMAND</t>
  </si>
  <si>
    <t>Time deposits</t>
  </si>
  <si>
    <t>B_DE_TIME</t>
  </si>
  <si>
    <t>Other deposits</t>
  </si>
  <si>
    <t>B_DE_OTHERS</t>
  </si>
  <si>
    <t>Total deposits</t>
  </si>
  <si>
    <t>B_DE_TOTDEPOSIT</t>
  </si>
  <si>
    <t>Industrial Holdings</t>
  </si>
  <si>
    <t>Market value of holding portfolio</t>
  </si>
  <si>
    <t>B_IH_MKTVALUE</t>
  </si>
  <si>
    <t>Book value of holding portfolio</t>
  </si>
  <si>
    <t>B_IH_BKVALUE</t>
  </si>
  <si>
    <t>Gross unrealized gains on holding portfolio</t>
  </si>
  <si>
    <t>B_IH_UNREALISE</t>
  </si>
  <si>
    <t>% Tax on unrealized gains</t>
  </si>
  <si>
    <t>B_IH_TAX</t>
  </si>
  <si>
    <t>Post-tax value of unrealized gains</t>
  </si>
  <si>
    <t>B_IH_PTAXVALUE</t>
  </si>
  <si>
    <t>Revenue Breakdown</t>
  </si>
  <si>
    <t>Revenue from Domestic Market</t>
  </si>
  <si>
    <t>DOM_SALES</t>
  </si>
  <si>
    <t>Revenue from emerging markets</t>
  </si>
  <si>
    <t>EMER_SALES</t>
  </si>
  <si>
    <t>Revenue from Europe</t>
  </si>
  <si>
    <t>EURO_SALES</t>
  </si>
  <si>
    <t>Revenue from North America</t>
  </si>
  <si>
    <t>NAM_SALES</t>
  </si>
  <si>
    <t>Revenue from Latin America</t>
  </si>
  <si>
    <t>LATAM_SALES</t>
  </si>
  <si>
    <t>Revenue from Asia</t>
  </si>
  <si>
    <t>ASIA_SALES</t>
  </si>
  <si>
    <t>Other revenue</t>
  </si>
  <si>
    <t>OTH_SALES</t>
  </si>
  <si>
    <t>TOT_SALES</t>
  </si>
  <si>
    <t>% Revenue from Domestic Market</t>
  </si>
  <si>
    <t>PCT_DOM_SALES</t>
  </si>
  <si>
    <t>% Revenue from Emerging Markets</t>
  </si>
  <si>
    <t>PCT_EMER_SALES</t>
  </si>
  <si>
    <t>% Revenue from Europe</t>
  </si>
  <si>
    <t>PCT_EURO_SALES</t>
  </si>
  <si>
    <t>% Revenue from North America</t>
  </si>
  <si>
    <t>PCT_NAM_SALES</t>
  </si>
  <si>
    <t>% Revenue from Latin America</t>
  </si>
  <si>
    <t>PCT_LATAM_SALES</t>
  </si>
  <si>
    <t>% Revenue from Asia</t>
  </si>
  <si>
    <t>PCT_ASIA_SALES</t>
  </si>
  <si>
    <t>% Revenue from other Markets</t>
  </si>
  <si>
    <t>PCT_OTH_SALES</t>
  </si>
  <si>
    <t>Operating Profits Breakdown</t>
  </si>
  <si>
    <t>Operating profits from domestic markets</t>
  </si>
  <si>
    <t>DOM_OP</t>
  </si>
  <si>
    <t>Operating profits from emerging markets</t>
  </si>
  <si>
    <t>EMER_OP</t>
  </si>
  <si>
    <t>Operating profits from Europe</t>
  </si>
  <si>
    <t>EURO_OP</t>
  </si>
  <si>
    <t>Operating profits from North America</t>
  </si>
  <si>
    <t>NAM_OP</t>
  </si>
  <si>
    <t>Operating profit from Latin America</t>
  </si>
  <si>
    <t>LATAM_OP</t>
  </si>
  <si>
    <t>Operating profits from Asia</t>
  </si>
  <si>
    <t>ASIA_OP</t>
  </si>
  <si>
    <t>Operating profits from other markets</t>
  </si>
  <si>
    <t>OTH_OP</t>
  </si>
  <si>
    <t>Total operating profit</t>
  </si>
  <si>
    <t>TOT_OP</t>
  </si>
  <si>
    <t>% Operating profits from Domestic Markets</t>
  </si>
  <si>
    <t>PCT_DOM_OP</t>
  </si>
  <si>
    <t>% Operating profits from Emerging Markets</t>
  </si>
  <si>
    <t>PCT_EMER_OP</t>
  </si>
  <si>
    <t>% Operating profits from Europe</t>
  </si>
  <si>
    <t>PCT_EURO_OP</t>
  </si>
  <si>
    <t>% Operating profits from North America</t>
  </si>
  <si>
    <t>PCT_NAM_OP</t>
  </si>
  <si>
    <t>% Operating profits from Latin America</t>
  </si>
  <si>
    <t>PCT_LATAM_OP</t>
  </si>
  <si>
    <t>% Operating profits from Asia</t>
  </si>
  <si>
    <t>PCT_ASIA_OP</t>
  </si>
  <si>
    <t>% Operating profits from other Markets</t>
  </si>
  <si>
    <t>PCT_OTH_OP</t>
  </si>
  <si>
    <t>Assets Breakdown</t>
  </si>
  <si>
    <t>Assets from domestic market</t>
  </si>
  <si>
    <t>DOM_ASS</t>
  </si>
  <si>
    <t>Assets from emerging markets</t>
  </si>
  <si>
    <t>EMER_ASS</t>
  </si>
  <si>
    <t>Assets from Europe</t>
  </si>
  <si>
    <t>EUR_ASS</t>
  </si>
  <si>
    <t>Assets from North America</t>
  </si>
  <si>
    <t>NAM_ASS</t>
  </si>
  <si>
    <t>Assets from Latin America</t>
  </si>
  <si>
    <t>LATAM_ASS</t>
  </si>
  <si>
    <t>Assets from Asia</t>
  </si>
  <si>
    <t>ASIA_ASS</t>
  </si>
  <si>
    <t>Assets from other markets</t>
  </si>
  <si>
    <t>OTH_ASS</t>
  </si>
  <si>
    <t>TOT_ASS</t>
  </si>
  <si>
    <t>% Assets from Domestic markets</t>
  </si>
  <si>
    <t>PCT_DOM_ASS</t>
  </si>
  <si>
    <t>% Assets from Emerging markets</t>
  </si>
  <si>
    <t>PCT_EMER_ASS</t>
  </si>
  <si>
    <t>% Assets from Europe</t>
  </si>
  <si>
    <t>PCT_EURO_ASS</t>
  </si>
  <si>
    <t>% Assets from North America</t>
  </si>
  <si>
    <t>PCT_NAM_ASS</t>
  </si>
  <si>
    <t>% Assets from Latin America</t>
  </si>
  <si>
    <t>PCT_LATAM_ASS</t>
  </si>
  <si>
    <t>% Assets from Asia</t>
  </si>
  <si>
    <t>PCT_ASIA_ASS</t>
  </si>
  <si>
    <t>% Assets from other markets</t>
  </si>
  <si>
    <t>PCT_OTH_ASS</t>
  </si>
  <si>
    <t>Geographical Breakdown</t>
  </si>
  <si>
    <t>Sales - % Total Americas</t>
  </si>
  <si>
    <t>SALES_TOT_AM</t>
  </si>
  <si>
    <t>Sales - % United States</t>
  </si>
  <si>
    <t>SALES_US</t>
  </si>
  <si>
    <t>Sales - % Canada</t>
  </si>
  <si>
    <t>SALES_CANADA</t>
  </si>
  <si>
    <t>Sales - % Brazil</t>
  </si>
  <si>
    <t>SALES_BRAZIL</t>
  </si>
  <si>
    <t>Sales - % Other Americas</t>
  </si>
  <si>
    <t>SALES_OTH_AM</t>
  </si>
  <si>
    <t>Sales - Total % EMEA</t>
  </si>
  <si>
    <t>SALES_TOT_EMEA</t>
  </si>
  <si>
    <t>Sales - % UK</t>
  </si>
  <si>
    <t>SALES_UK</t>
  </si>
  <si>
    <t>Sales - % Europe-Ex UK</t>
  </si>
  <si>
    <t>SALES_EU_EX_UK</t>
  </si>
  <si>
    <t>Sales - % Austria</t>
  </si>
  <si>
    <t>SALES_AUSTRIA</t>
  </si>
  <si>
    <t>Sales - % Belgium</t>
  </si>
  <si>
    <t>SALES_BEL</t>
  </si>
  <si>
    <t>Sales - % Denmark</t>
  </si>
  <si>
    <t>SALES_DEN</t>
  </si>
  <si>
    <t>Sales - % Finland</t>
  </si>
  <si>
    <t>SALES_FIN</t>
  </si>
  <si>
    <t>Sales - % France</t>
  </si>
  <si>
    <t>SALES_FRA</t>
  </si>
  <si>
    <t>Sales - % Germany</t>
  </si>
  <si>
    <t>SALES_GER</t>
  </si>
  <si>
    <t>Sales - % Greece</t>
  </si>
  <si>
    <t>SALES_GRE</t>
  </si>
  <si>
    <t>Sales - % Iceland</t>
  </si>
  <si>
    <t>SALES_ICE</t>
  </si>
  <si>
    <t>Sales - % Ireland</t>
  </si>
  <si>
    <t>SALES_IRE</t>
  </si>
  <si>
    <t>Sales - % Italy</t>
  </si>
  <si>
    <t>SALES_ITA</t>
  </si>
  <si>
    <t>Sales - % Netherlands</t>
  </si>
  <si>
    <t>SALES_NETH</t>
  </si>
  <si>
    <t>Sales - % Norway</t>
  </si>
  <si>
    <t>SALES_NOR</t>
  </si>
  <si>
    <t>Sales - % Portugal</t>
  </si>
  <si>
    <t>SALES_POR</t>
  </si>
  <si>
    <t>Sales - % Spain</t>
  </si>
  <si>
    <t>SALES_SPA</t>
  </si>
  <si>
    <t>Sales - % Sweden</t>
  </si>
  <si>
    <t>SALES_SWE</t>
  </si>
  <si>
    <t>Sales - % Switzerland</t>
  </si>
  <si>
    <t>SALES_SWIT</t>
  </si>
  <si>
    <t>Sales - % Central &amp; Eastern Europe</t>
  </si>
  <si>
    <t>SALES_CEE</t>
  </si>
  <si>
    <t>Sales - % Middle East</t>
  </si>
  <si>
    <t>SALES_ME</t>
  </si>
  <si>
    <t>Sales - % Russia</t>
  </si>
  <si>
    <t>SALES_RUSSIA</t>
  </si>
  <si>
    <t>Sales - % Other EMEA</t>
  </si>
  <si>
    <t>SALES_OTH_EMEA</t>
  </si>
  <si>
    <t>Sales - Total % Asia (incl Australia &amp; New Zealand)</t>
  </si>
  <si>
    <t>SALES_TOT_ASIA</t>
  </si>
  <si>
    <t>Sales - % Japan</t>
  </si>
  <si>
    <t>SALES_JAPAN</t>
  </si>
  <si>
    <t>Sales - % Greater China (incl HK)</t>
  </si>
  <si>
    <t>SALES_CHINA</t>
  </si>
  <si>
    <t>Sales - % India</t>
  </si>
  <si>
    <t>SALES_INDIA</t>
  </si>
  <si>
    <t>Sales - % South Korea</t>
  </si>
  <si>
    <t>SALES_SK</t>
  </si>
  <si>
    <t>Sales - % Australia</t>
  </si>
  <si>
    <t>SALES_AUSTRA</t>
  </si>
  <si>
    <t>Sales - % New Zealand</t>
  </si>
  <si>
    <t>SALES_NZ</t>
  </si>
  <si>
    <t>Sales - % Other AEJ (incl Taiwan)</t>
  </si>
  <si>
    <t>SALES_OTH_AEJ</t>
  </si>
  <si>
    <t>Sales - % Others</t>
  </si>
  <si>
    <t>SALES_OTHER</t>
  </si>
  <si>
    <t>Operating Profit - % Total Americas</t>
  </si>
  <si>
    <t>OP_TOT_AM</t>
  </si>
  <si>
    <t>Operating Profit - % United States</t>
  </si>
  <si>
    <t>OP_US</t>
  </si>
  <si>
    <t>Operating Profit - % Canada</t>
  </si>
  <si>
    <t>OP_CANADA</t>
  </si>
  <si>
    <t>Operating Profit - % Brazil</t>
  </si>
  <si>
    <t>OP_BRAZIL</t>
  </si>
  <si>
    <t>Operating Profit - % Other Americas</t>
  </si>
  <si>
    <t>OP_OTH_AM</t>
  </si>
  <si>
    <t>Operating Profit - Total % EMEA</t>
  </si>
  <si>
    <t>OP_TOT_EMEA</t>
  </si>
  <si>
    <t>Operating Profit - % UK</t>
  </si>
  <si>
    <t>OP_UK</t>
  </si>
  <si>
    <t>Operating Profit - % Europe-Ex UK</t>
  </si>
  <si>
    <t>OP_EU_EX_UK</t>
  </si>
  <si>
    <t>OP_AUSTRIA</t>
  </si>
  <si>
    <t>OP_BEL</t>
  </si>
  <si>
    <t>OP_DEN</t>
  </si>
  <si>
    <t>OP_FIN</t>
  </si>
  <si>
    <t>OP_FRA</t>
  </si>
  <si>
    <t>OP_GER</t>
  </si>
  <si>
    <t>OP_GRE</t>
  </si>
  <si>
    <t>OP_ICE</t>
  </si>
  <si>
    <t>OP_IRE</t>
  </si>
  <si>
    <t>OP_ITA</t>
  </si>
  <si>
    <t>OP_NETH</t>
  </si>
  <si>
    <t>OP_NOR</t>
  </si>
  <si>
    <t>OP_POR</t>
  </si>
  <si>
    <t>OP_SPA</t>
  </si>
  <si>
    <t>OP_SWE</t>
  </si>
  <si>
    <t>OP_SWIT</t>
  </si>
  <si>
    <t>Operating Profit - % Central &amp; Eastern Europe</t>
  </si>
  <si>
    <t>OP_CEE</t>
  </si>
  <si>
    <t>Operating Profit - % Middle East</t>
  </si>
  <si>
    <t>OP_ME</t>
  </si>
  <si>
    <t>Operating Profit - % Russia</t>
  </si>
  <si>
    <t>OP_RUSSIA</t>
  </si>
  <si>
    <t>Operating Profit - % Other EMEA</t>
  </si>
  <si>
    <t>OP_OTH_EMEA</t>
  </si>
  <si>
    <t>Operating Profit - Total % Asia (incl Australia &amp; New Zealand)</t>
  </si>
  <si>
    <t>OP_TOT_ASIA</t>
  </si>
  <si>
    <t>Operating Profit - % Japan</t>
  </si>
  <si>
    <t>OP_JAPAN</t>
  </si>
  <si>
    <t>Operating Profit - % Greater China (incl HK)</t>
  </si>
  <si>
    <t>OP_CHINA</t>
  </si>
  <si>
    <t>Operating Profit - % India</t>
  </si>
  <si>
    <t>OP_INDIA</t>
  </si>
  <si>
    <t>Operating Profit - % South Korea</t>
  </si>
  <si>
    <t>OP_SK</t>
  </si>
  <si>
    <t>Operating Profit - % Australia</t>
  </si>
  <si>
    <t>OP_AUSTRA</t>
  </si>
  <si>
    <t>Operating Profit - % New Zealand</t>
  </si>
  <si>
    <t>OP_NZ</t>
  </si>
  <si>
    <t>Operating Profit - % Other AEJ (incl Taiwan)</t>
  </si>
  <si>
    <t>OP_OTH_AEJ</t>
  </si>
  <si>
    <t>Operating Profit - % Others</t>
  </si>
  <si>
    <t>OP_OTHER</t>
  </si>
  <si>
    <t>Sales -% Consumer (C)</t>
  </si>
  <si>
    <t>SALES_CONS</t>
  </si>
  <si>
    <t>Sales -% Industry (I)</t>
  </si>
  <si>
    <t>SALES_IND</t>
  </si>
  <si>
    <t>Sales -% Government (G)</t>
  </si>
  <si>
    <t>SALES_GOV</t>
  </si>
  <si>
    <t>Operating Profit - % Consumer (C)</t>
  </si>
  <si>
    <t>OP_CONS</t>
  </si>
  <si>
    <t>Operating Profit - % Industry (I)</t>
  </si>
  <si>
    <t>OP_IND</t>
  </si>
  <si>
    <t>Operating Profit - % Government (G)</t>
  </si>
  <si>
    <t>OP_GOV</t>
  </si>
  <si>
    <t>Net debt</t>
  </si>
  <si>
    <t>NET_DEBT</t>
  </si>
  <si>
    <t>CBA.AX</t>
  </si>
  <si>
    <t>Commonwealth Bank of Australia</t>
  </si>
  <si>
    <t>Quantum submission sheet for CBA.AX</t>
  </si>
  <si>
    <t>AUTO-GENERATED BY TIGR NUMBERS SUBMISSION. DO NOT MODIFY OR DELETE!</t>
  </si>
  <si>
    <t>CURRENCY_ISO</t>
  </si>
  <si>
    <t>PRICE_CURRENCY_ISO</t>
  </si>
  <si>
    <t>PUB_CURRENCY_ISO</t>
  </si>
  <si>
    <t>PT weighting</t>
  </si>
  <si>
    <t>AD_ProfitabilityLoanstoDeposit</t>
  </si>
  <si>
    <t>Loan (ex-acceptances) to deposit (ex-CDs) ratio</t>
  </si>
  <si>
    <t>Loan-to-deposit ratio</t>
  </si>
  <si>
    <t>Gordon`s Growth model</t>
  </si>
  <si>
    <t>Profit &amp; loss (A$ mn)</t>
  </si>
  <si>
    <t>Rating</t>
  </si>
  <si>
    <t>Terminal year</t>
  </si>
  <si>
    <t>Valuation date</t>
  </si>
  <si>
    <t>Current share price</t>
  </si>
  <si>
    <t>Market capitalisation (A$ mn)</t>
  </si>
  <si>
    <t>12m price target</t>
  </si>
  <si>
    <t>Share on issue (mn)</t>
  </si>
  <si>
    <t>Upside/(downside)</t>
  </si>
  <si>
    <t>Year end</t>
  </si>
  <si>
    <t>Implied cash PE</t>
  </si>
  <si>
    <t>Earnings statistics</t>
  </si>
  <si>
    <t>Pre-provision operating profit (A$ mn)</t>
  </si>
  <si>
    <t>Operating revenue</t>
  </si>
  <si>
    <t>PPOP per share (A¢)</t>
  </si>
  <si>
    <t>Non-interest expense</t>
  </si>
  <si>
    <t>- Growth (%)</t>
  </si>
  <si>
    <t>Pre-provision operating profit</t>
  </si>
  <si>
    <t>Cash earnings (A$ mn)</t>
  </si>
  <si>
    <t>Net write-offs</t>
  </si>
  <si>
    <t>Cash EPS - basic (A¢)</t>
  </si>
  <si>
    <t>Cash EPS - diluted (A¢)</t>
  </si>
  <si>
    <t>Minorities</t>
  </si>
  <si>
    <t>Hybrid distributions</t>
  </si>
  <si>
    <t>Cash earnings (pre-NRIs)</t>
  </si>
  <si>
    <t>Reported EPS (A¢)</t>
  </si>
  <si>
    <t>Non-cash items</t>
  </si>
  <si>
    <t>Dividend per share (A¢)</t>
  </si>
  <si>
    <t>Reported profit (pre-hybrids)</t>
  </si>
  <si>
    <t>Franking (%)</t>
  </si>
  <si>
    <t>Payout ratio (%)</t>
  </si>
  <si>
    <t>Balance sheet (A$ bn)</t>
  </si>
  <si>
    <t>NTA per share (A$)</t>
  </si>
  <si>
    <t>Book value per share (A$)</t>
  </si>
  <si>
    <t>AU housing lending</t>
  </si>
  <si>
    <t>Shares on issue (mn)</t>
  </si>
  <si>
    <t>AU business lending</t>
  </si>
  <si>
    <t>Weighted average shares (mn) - diluted</t>
  </si>
  <si>
    <t>AU personal lending</t>
  </si>
  <si>
    <t>AU lending</t>
  </si>
  <si>
    <t>Valuation statistics</t>
  </si>
  <si>
    <t>AU deposits</t>
  </si>
  <si>
    <t>Price / PPOP</t>
  </si>
  <si>
    <t>NZ lending</t>
  </si>
  <si>
    <t>NZ deposits</t>
  </si>
  <si>
    <t>Dividend yield - nominal (%)</t>
  </si>
  <si>
    <t>Other lending (non-ANZ)</t>
  </si>
  <si>
    <t>ROE - cash (%)</t>
  </si>
  <si>
    <t>ROTE - cash (%)</t>
  </si>
  <si>
    <t>Other deposits (non-ANZ)</t>
  </si>
  <si>
    <t>Profit drivers</t>
  </si>
  <si>
    <t>Non-interest income / operating revenue</t>
  </si>
  <si>
    <t>Cost / income</t>
  </si>
  <si>
    <t>Cost / assets</t>
  </si>
  <si>
    <t>Equity</t>
  </si>
  <si>
    <t>Jaws (revenue less cost growth)</t>
  </si>
  <si>
    <t>Ordinary shareholder's equity</t>
  </si>
  <si>
    <t>ROE - reported</t>
  </si>
  <si>
    <t>ROE - cash</t>
  </si>
  <si>
    <t>ROA - cash</t>
  </si>
  <si>
    <t>Average ordinary equity</t>
  </si>
  <si>
    <t>Leverage</t>
  </si>
  <si>
    <t>RORWA - cash</t>
  </si>
  <si>
    <t>ROTE - cash</t>
  </si>
  <si>
    <t>ROTA - cash</t>
  </si>
  <si>
    <t>Goldman Sachs valuation summary</t>
  </si>
  <si>
    <t>Net charge-offs / Non-housing loans</t>
  </si>
  <si>
    <t>Net charge-offs / Gross loans</t>
  </si>
  <si>
    <t>BDD / Non-housing loans</t>
  </si>
  <si>
    <t>Methodology</t>
  </si>
  <si>
    <t>Output</t>
  </si>
  <si>
    <t>Weight</t>
  </si>
  <si>
    <t>Input</t>
  </si>
  <si>
    <t>BDD / Gross loans</t>
  </si>
  <si>
    <t>Gross impaired assets / Non-housing loans</t>
  </si>
  <si>
    <t>Non-performing loans / Gross loans</t>
  </si>
  <si>
    <t>Non-performing loans / RWA</t>
  </si>
  <si>
    <t>Specific provisions / Gross impaired assets</t>
  </si>
  <si>
    <t>Weighted average</t>
  </si>
  <si>
    <t>Collective provisions / Non-housing loans</t>
  </si>
  <si>
    <t>Collective provisions / Credit RWA</t>
  </si>
  <si>
    <t>Discounted cashflow inputs</t>
  </si>
  <si>
    <t>Collective provisions / RWA</t>
  </si>
  <si>
    <t>Total provisions / Non-housing loans</t>
  </si>
  <si>
    <t>Total provisions / Credit RWA</t>
  </si>
  <si>
    <t>Market risk premium</t>
  </si>
  <si>
    <t>Total provisions / RWA</t>
  </si>
  <si>
    <t>Equity beta (B)</t>
  </si>
  <si>
    <t>Shares on issue</t>
  </si>
  <si>
    <t>CET1 ratio (APRA, Basel II)</t>
  </si>
  <si>
    <t>June</t>
  </si>
  <si>
    <t>ASS_AQGRCL</t>
  </si>
  <si>
    <t>GRCL top-up (pre-tax)</t>
  </si>
  <si>
    <t>AD_AQCPGRCLNHL</t>
  </si>
  <si>
    <t>Collective provisions + GRCL (pre-tax) / non-housing loans</t>
  </si>
  <si>
    <t>AD_AQCPGRCLCRWA</t>
  </si>
  <si>
    <t>Collective provisions + GRCL (pre-tax) / credit risk weighted assets</t>
  </si>
  <si>
    <t>AD_AQCPGRCLRWA</t>
  </si>
  <si>
    <t>Collective provisions + GRCL (pre-tax) / risk weighted assets</t>
  </si>
  <si>
    <t>AD_AQTPGRCLNHL</t>
  </si>
  <si>
    <t>Total provisions + GRCL (pre-tax) / non-housing loans</t>
  </si>
  <si>
    <t>AD_AQTPGRCLCRWA</t>
  </si>
  <si>
    <t>Total provisions + GRCL (pre-tax) / credit risk weighted assets</t>
  </si>
  <si>
    <t>AD_AQTPGRCLRWA</t>
  </si>
  <si>
    <t>Total provisions + GRCL (pre-tax) / risk weighted assets</t>
  </si>
  <si>
    <t>Franking balance (A$ mn)</t>
  </si>
  <si>
    <t>Effective tax rate</t>
  </si>
  <si>
    <t>ROTE</t>
  </si>
  <si>
    <t>AD_PEAssetsUnearnedIncome</t>
  </si>
  <si>
    <t>AD_PELiabilitiesAcceptances</t>
  </si>
  <si>
    <t>Liability on acceptances</t>
  </si>
  <si>
    <t>AD_PEGNAL</t>
  </si>
  <si>
    <t>Gross non-accrual loans</t>
  </si>
  <si>
    <t>AD_OrdEqu_EFPO</t>
  </si>
  <si>
    <t>AD_OrdEquConvertibles</t>
  </si>
  <si>
    <t>Convertible notes</t>
  </si>
  <si>
    <t>AD_OrdEquOptions</t>
  </si>
  <si>
    <t>Options (year end)</t>
  </si>
  <si>
    <t>AD_Dummy</t>
  </si>
  <si>
    <t>zero_fill</t>
  </si>
  <si>
    <t>AD_AvLiabilitiesNonIBD</t>
  </si>
  <si>
    <t>Deposits not bearing interest</t>
  </si>
  <si>
    <t>AD_FXIncome</t>
  </si>
  <si>
    <t>Foreign exchange income</t>
  </si>
  <si>
    <t>AD_AssetSales</t>
  </si>
  <si>
    <t>Gross proceeds from asset sales</t>
  </si>
  <si>
    <t>AD_RentalIncome</t>
  </si>
  <si>
    <t>Rental income</t>
  </si>
  <si>
    <t>AD_Salaries</t>
  </si>
  <si>
    <t>Salaries</t>
  </si>
  <si>
    <t>AD_ShareComp</t>
  </si>
  <si>
    <t>Share based comp</t>
  </si>
  <si>
    <t>AD_Occupancy</t>
  </si>
  <si>
    <t>Occupancy cost</t>
  </si>
  <si>
    <t>AD_BDDSpecific</t>
  </si>
  <si>
    <t>Specific provision charge</t>
  </si>
  <si>
    <t>AD_BDDCollective</t>
  </si>
  <si>
    <t>Collective provision charge</t>
  </si>
  <si>
    <t>AD_BDDTotalGCO</t>
  </si>
  <si>
    <t>Gross write-offs</t>
  </si>
  <si>
    <t>Shares on issue - EOP (mn)</t>
  </si>
  <si>
    <t>Value of cash flows (A$ mn)</t>
  </si>
  <si>
    <t>Terminal value of cash flows (A$ mn)</t>
  </si>
  <si>
    <t>Total (A$ mn)</t>
  </si>
  <si>
    <t>Value of franking credits (A$ mn)</t>
  </si>
  <si>
    <t>Terminal value of franking credits (A$ mn)</t>
  </si>
  <si>
    <t>Value of franking credits per share (A$)</t>
  </si>
  <si>
    <t>Total equity value (A$ mn)</t>
  </si>
  <si>
    <t>Total equity value per share (A$)</t>
  </si>
  <si>
    <t>12-month forward DCF (A$)</t>
  </si>
  <si>
    <t>`</t>
  </si>
  <si>
    <t>E</t>
  </si>
  <si>
    <t>Error: 16.0</t>
  </si>
  <si>
    <t>FY06</t>
  </si>
  <si>
    <t>1H07</t>
  </si>
  <si>
    <t>2H07</t>
  </si>
  <si>
    <t>FY07</t>
  </si>
  <si>
    <t>1H08</t>
  </si>
  <si>
    <t>2H08</t>
  </si>
  <si>
    <t>FY08</t>
  </si>
  <si>
    <t>1H09</t>
  </si>
  <si>
    <t>2H09</t>
  </si>
  <si>
    <t>FY09</t>
  </si>
  <si>
    <t>1H10</t>
  </si>
  <si>
    <t>2H10</t>
  </si>
  <si>
    <t>FY10</t>
  </si>
  <si>
    <t>1H11</t>
  </si>
  <si>
    <t>2H11</t>
  </si>
  <si>
    <t>FY11</t>
  </si>
  <si>
    <t>1H12</t>
  </si>
  <si>
    <t>2H12</t>
  </si>
  <si>
    <t>FY12</t>
  </si>
  <si>
    <t>1H13</t>
  </si>
  <si>
    <t>2H13</t>
  </si>
  <si>
    <t>FY13</t>
  </si>
  <si>
    <t>1H14</t>
  </si>
  <si>
    <t>2H14</t>
  </si>
  <si>
    <t>FY14</t>
  </si>
  <si>
    <t>1H15</t>
  </si>
  <si>
    <t>2H15</t>
  </si>
  <si>
    <t>FY15</t>
  </si>
  <si>
    <t>1H16</t>
  </si>
  <si>
    <t>2H16</t>
  </si>
  <si>
    <t>FY16</t>
  </si>
  <si>
    <t>New cut</t>
  </si>
  <si>
    <t>Funds Management Income</t>
  </si>
  <si>
    <t>Insurance Income</t>
  </si>
  <si>
    <t>Total Operating Income</t>
  </si>
  <si>
    <t>Vol Expense</t>
  </si>
  <si>
    <t>Net Operating Income</t>
  </si>
  <si>
    <t>Operating Expense</t>
  </si>
  <si>
    <t>Total Expenses</t>
  </si>
  <si>
    <t>Underlying PBT</t>
  </si>
  <si>
    <t>Underlying PAT</t>
  </si>
  <si>
    <t>S/h Pre Tax</t>
  </si>
  <si>
    <t>S/h Tax</t>
  </si>
  <si>
    <t>S/h After Tax</t>
  </si>
  <si>
    <t>Cash NPAT</t>
  </si>
  <si>
    <t>Funds mgt income growth</t>
  </si>
  <si>
    <t>Insurance income growth</t>
  </si>
  <si>
    <t xml:space="preserve">Total expense ratio </t>
  </si>
  <si>
    <t>Expense growth</t>
  </si>
  <si>
    <t>Underlying PBT growth</t>
  </si>
  <si>
    <t>Cash NPAT growth</t>
  </si>
  <si>
    <t>Tax rate</t>
  </si>
  <si>
    <t>S/h tax rate</t>
  </si>
  <si>
    <t>WEALTH MANAGEMENT</t>
  </si>
  <si>
    <t>CFS GAM</t>
  </si>
  <si>
    <t>CFS</t>
  </si>
  <si>
    <t>CommInsure</t>
  </si>
  <si>
    <t>MOS</t>
  </si>
  <si>
    <t>Planned profit margins</t>
  </si>
  <si>
    <t>Experience</t>
  </si>
  <si>
    <t>General insurance</t>
  </si>
  <si>
    <t>Operating margins</t>
  </si>
  <si>
    <t>IMPLIED FUNDS MGT</t>
  </si>
  <si>
    <t>Annual Inforce Premiums (Aust only)</t>
  </si>
  <si>
    <t>General insurance - Aust</t>
  </si>
  <si>
    <t>Sales</t>
  </si>
  <si>
    <t>Lapses</t>
  </si>
  <si>
    <t>Chg (yoy)</t>
  </si>
  <si>
    <t>Chg (hoh)</t>
  </si>
  <si>
    <t>Personal life - Aust</t>
  </si>
  <si>
    <t>Wholesale life - Aust</t>
  </si>
  <si>
    <t>St Andrew's</t>
  </si>
  <si>
    <t>Total  life - Aust - ex SA</t>
  </si>
  <si>
    <t>Total - Australia - ex SA</t>
  </si>
  <si>
    <t>Total  life - Aust - incl SA</t>
  </si>
  <si>
    <t>Total - Australia - incl SA</t>
  </si>
  <si>
    <t>Other (Wealth Mgt)</t>
  </si>
  <si>
    <t>INTERNATIONAL FINANCIAL SERVICES</t>
  </si>
  <si>
    <t>Sovereign</t>
  </si>
  <si>
    <t>Annual Inforce Premiums (NZ only)</t>
  </si>
  <si>
    <t>Other (International FS)</t>
  </si>
  <si>
    <t>SHAREHOLDERS FUNDS</t>
  </si>
  <si>
    <t>Assets ($m)</t>
  </si>
  <si>
    <t>Local equities</t>
  </si>
  <si>
    <t>International equities</t>
  </si>
  <si>
    <t>Property</t>
  </si>
  <si>
    <t>Fixed interest</t>
  </si>
  <si>
    <t>Cash</t>
  </si>
  <si>
    <t>Asset mix</t>
  </si>
  <si>
    <t>Pre Tax Returns</t>
  </si>
  <si>
    <t>S/h Pre Tax Income ($m)</t>
  </si>
  <si>
    <t>WEALTH MGT (AUST and TOTAL) FUM</t>
  </si>
  <si>
    <t>Cash / fixed interest</t>
  </si>
  <si>
    <t>FUA</t>
  </si>
  <si>
    <t>WEALTH MGT (AUST) FUA</t>
  </si>
  <si>
    <t>Funds</t>
  </si>
  <si>
    <t>First Choice</t>
  </si>
  <si>
    <t>Cash mgt</t>
  </si>
  <si>
    <t>Legacy</t>
  </si>
  <si>
    <t>Standalone</t>
  </si>
  <si>
    <t>Other retail</t>
  </si>
  <si>
    <t>Wholesale</t>
  </si>
  <si>
    <t>Internationally sourced</t>
  </si>
  <si>
    <t>Average (ex Wholesale)</t>
  </si>
  <si>
    <t>Inflows</t>
  </si>
  <si>
    <t>Outflows</t>
  </si>
  <si>
    <t>Net flows</t>
  </si>
  <si>
    <t>Investment return</t>
  </si>
  <si>
    <t>Change in FUA</t>
  </si>
  <si>
    <t>From above</t>
  </si>
  <si>
    <t>NZ FUA</t>
  </si>
  <si>
    <t>Aust and NZ Total FUA</t>
  </si>
  <si>
    <t>Aust and NZ Insurance</t>
  </si>
  <si>
    <t>Aust and NZ MOS</t>
  </si>
  <si>
    <t>Aust and NZ Annual Inforce Premiums</t>
  </si>
  <si>
    <t>General</t>
  </si>
  <si>
    <t>Life</t>
  </si>
  <si>
    <t>Life (ex NZ)</t>
  </si>
  <si>
    <t>NZ</t>
  </si>
  <si>
    <t>1H17</t>
  </si>
  <si>
    <t>2H17</t>
  </si>
  <si>
    <t>FY17</t>
  </si>
  <si>
    <t>Avanteos / Custom Solutions</t>
  </si>
  <si>
    <t>Operating Profit - % Austria</t>
  </si>
  <si>
    <t>Operating Profit - % Belgium</t>
  </si>
  <si>
    <t>Operating Profit - % Denmark</t>
  </si>
  <si>
    <t>Operating Profit - % Finland</t>
  </si>
  <si>
    <t>Operating Profit - % France</t>
  </si>
  <si>
    <t>Operating Profit - % Germany</t>
  </si>
  <si>
    <t>Operating Profit - % Greece</t>
  </si>
  <si>
    <t>Operating Profit - % Iceland</t>
  </si>
  <si>
    <t>Operating Profit - % Ireland</t>
  </si>
  <si>
    <t>Operating Profit - % Italy</t>
  </si>
  <si>
    <t>Operating Profit - % Netherlands</t>
  </si>
  <si>
    <t>Operating Profit - % Norway</t>
  </si>
  <si>
    <t>Operating Profit - % Portugal</t>
  </si>
  <si>
    <t>Operating Profit - % Spain</t>
  </si>
  <si>
    <t>Operating Profit - % Sweden</t>
  </si>
  <si>
    <t>Operating Profit - % Switzerland</t>
  </si>
  <si>
    <t>CET1_TCAdjEquity</t>
  </si>
  <si>
    <t>Concessional threshold - equity invst</t>
  </si>
  <si>
    <t>CET1_TCAdjOther</t>
  </si>
  <si>
    <t>Other adj APRA -&gt; harmonised</t>
  </si>
  <si>
    <t>CET1_TCHarmonisedTotal</t>
  </si>
  <si>
    <t>Total Capital (B3, harmonised)</t>
  </si>
  <si>
    <t>CET1_RWAAdjIRRBB</t>
  </si>
  <si>
    <t>IRRBB RWA</t>
  </si>
  <si>
    <t>CET1_RWAAdjOther</t>
  </si>
  <si>
    <t>CET1_RWAHarmonisedTotal</t>
  </si>
  <si>
    <t>Total RWA (B3, harmonsied)</t>
  </si>
  <si>
    <t>AD_PEAdd1</t>
  </si>
  <si>
    <t>AD_PEAdd2</t>
  </si>
  <si>
    <t>AD_PEAdd3</t>
  </si>
  <si>
    <t>AD_PEAdd4</t>
  </si>
  <si>
    <t>AD_PEAdd5</t>
  </si>
  <si>
    <t>AD_PEAdd6</t>
  </si>
  <si>
    <t>AD_PEAdd7</t>
  </si>
  <si>
    <t>AD_AvAdd1</t>
  </si>
  <si>
    <t>AD_AvAdd2</t>
  </si>
  <si>
    <t>AD_AvAdd3</t>
  </si>
  <si>
    <t>AD_AvAdd4</t>
  </si>
  <si>
    <t>AD_AvAdd5</t>
  </si>
  <si>
    <t>AD_AvAdd6</t>
  </si>
  <si>
    <t>AD_AvAdd7</t>
  </si>
  <si>
    <t>AD_AvAdd8</t>
  </si>
  <si>
    <t>AD_AvAdd9</t>
  </si>
  <si>
    <t>AD_AvAdd10</t>
  </si>
  <si>
    <t>AD_PSNTAPSOptimised</t>
  </si>
  <si>
    <t>Net tangible asset per share (optimised)</t>
  </si>
  <si>
    <t>AD_CapitalCET1Harmonised</t>
  </si>
  <si>
    <t>Core tier 1 ratio (B3 fully harmonised)</t>
  </si>
  <si>
    <t>Congratulations! You have successfully migrated</t>
  </si>
  <si>
    <t>Final cleanup Items</t>
  </si>
  <si>
    <t>Keyword</t>
  </si>
  <si>
    <t>Description</t>
  </si>
  <si>
    <t xml:space="preserve">Action </t>
  </si>
  <si>
    <t>Please review non-migrated data on:</t>
  </si>
  <si>
    <t>1H18</t>
  </si>
  <si>
    <t>2H18</t>
  </si>
  <si>
    <t>FY18</t>
  </si>
  <si>
    <t>2H13A</t>
  </si>
  <si>
    <t>FY13A</t>
  </si>
  <si>
    <t>Residual growth model</t>
  </si>
  <si>
    <t>Start year</t>
  </si>
  <si>
    <t>Year</t>
  </si>
  <si>
    <t>Terminal</t>
  </si>
  <si>
    <t>Risk free rate (%)</t>
  </si>
  <si>
    <t>Beta (x)</t>
  </si>
  <si>
    <t>Avg of 3/5 years, modifiy this for quality</t>
  </si>
  <si>
    <t>Risk premium (%)</t>
  </si>
  <si>
    <t>COE (%)</t>
  </si>
  <si>
    <t>Total Assets (Local currency bn)</t>
  </si>
  <si>
    <t xml:space="preserve">In this model we need to project Total assets </t>
  </si>
  <si>
    <t>% growth</t>
  </si>
  <si>
    <t>cannot grow too fast if the leverage (given below) increases</t>
  </si>
  <si>
    <t>ROA (%)</t>
  </si>
  <si>
    <t>instead of assuming sustainable RoE, assumes RoA</t>
  </si>
  <si>
    <t>PAT (Local currency bn) (a)</t>
  </si>
  <si>
    <t>Avg total assets X RoA.
Terminal year is FY2025 PAT X terminal year growth</t>
  </si>
  <si>
    <t>Dividends (Local currency bn)</t>
  </si>
  <si>
    <t>Dividend payout (%)</t>
  </si>
  <si>
    <t>Dividend tax (Local currency bn)</t>
  </si>
  <si>
    <t>Networth (Local currency bn)</t>
  </si>
  <si>
    <t xml:space="preserve">Prev Yr NW + PAT-dividend-dividend tax Terminal year = PAT / RoE </t>
  </si>
  <si>
    <t>Re*Networth (Local currency bn) (b)</t>
  </si>
  <si>
    <t>Avg NW X CoE</t>
  </si>
  <si>
    <t>Residual income (Local currency bn) = (c) = (a) - (b)</t>
  </si>
  <si>
    <t>PAT - ReX NW
Terminal year = Residual income / (COE - growth)</t>
  </si>
  <si>
    <t>PV of residual income (Local currency bn)</t>
  </si>
  <si>
    <t>Avg RoE (%)</t>
  </si>
  <si>
    <t>Risk Weighted Assets (Local currency bn)</t>
  </si>
  <si>
    <t>RWA/Total Assets</t>
  </si>
  <si>
    <t>Leverage (X) TA/NW</t>
  </si>
  <si>
    <t>Keep an eye on this</t>
  </si>
  <si>
    <t>Tier I ratio (%)</t>
  </si>
  <si>
    <t>Calculated</t>
  </si>
  <si>
    <t>Proportion</t>
  </si>
  <si>
    <t>% of total value</t>
  </si>
  <si>
    <t>NW 12-month forward from valuation date (Local currency bn)</t>
  </si>
  <si>
    <t>PV of residual income (Local currency bn) (12 month forward from valuation date to FY2033)</t>
  </si>
  <si>
    <t>FY2015 to terminal year</t>
  </si>
  <si>
    <t xml:space="preserve">Terminal year </t>
  </si>
  <si>
    <t>Target Market Cap (Networth + PV of Residual income)</t>
  </si>
  <si>
    <t>Target price (Local currency)</t>
  </si>
  <si>
    <t>Current price per share (Local currency)</t>
  </si>
  <si>
    <t>Potential upside/(downside) (%)</t>
  </si>
  <si>
    <t>Target PBR (core) 12-m fw (X)</t>
  </si>
  <si>
    <t>Current no of shares (mn)</t>
  </si>
  <si>
    <t xml:space="preserve">Present value of imputation credit </t>
  </si>
  <si>
    <t xml:space="preserve">% valued by the market </t>
  </si>
  <si>
    <t xml:space="preserve">PV of valued imputation credit </t>
  </si>
  <si>
    <t>NW roller years</t>
  </si>
  <si>
    <t>NW roller ratios</t>
  </si>
  <si>
    <t>Residual income model</t>
  </si>
  <si>
    <t>excess K</t>
  </si>
  <si>
    <t>Source: Company data, IRESS, Goldman Sachs Global Investment Research.</t>
  </si>
  <si>
    <t>1H14A</t>
  </si>
  <si>
    <t>Special dividend per share</t>
  </si>
  <si>
    <t>DPS_SPECIAL_PUB</t>
  </si>
  <si>
    <t>AD_PSDPSSpecial</t>
  </si>
  <si>
    <t>Special dividends per share</t>
  </si>
  <si>
    <t>Price / net tangible assets - market</t>
  </si>
  <si>
    <t>Price / net tangible assets - GG</t>
  </si>
  <si>
    <t>2H14A</t>
  </si>
  <si>
    <t>FY14A</t>
  </si>
  <si>
    <t>1H19</t>
  </si>
  <si>
    <t>2H19</t>
  </si>
  <si>
    <t>FY19</t>
  </si>
  <si>
    <t>ASS_AvAUDNZD</t>
  </si>
  <si>
    <t>1H15A</t>
  </si>
  <si>
    <t>Valuation methodology:</t>
  </si>
  <si>
    <t>FY15A</t>
  </si>
  <si>
    <t>1H20</t>
  </si>
  <si>
    <t>2H20</t>
  </si>
  <si>
    <t>FY20</t>
  </si>
  <si>
    <t>2H15A</t>
  </si>
  <si>
    <t>1H25E</t>
  </si>
  <si>
    <t>2H25E</t>
  </si>
  <si>
    <t>FY25E</t>
  </si>
  <si>
    <t>1H16A</t>
  </si>
  <si>
    <t>Basel 3 CET1 ratio (CRD4 - fully loaded)</t>
  </si>
  <si>
    <t>B_CA_B3T1RATIO</t>
  </si>
  <si>
    <t>Composition</t>
  </si>
  <si>
    <t>FirstChoice</t>
  </si>
  <si>
    <t>CommInsure Investments</t>
  </si>
  <si>
    <t>CFS Non-Platform</t>
  </si>
  <si>
    <t>Restated</t>
  </si>
  <si>
    <t>1H21</t>
  </si>
  <si>
    <t>2H21</t>
  </si>
  <si>
    <t>FY21</t>
  </si>
  <si>
    <t>2H16A</t>
  </si>
  <si>
    <t>FY16A</t>
  </si>
  <si>
    <t>1H26E</t>
  </si>
  <si>
    <t>2H26E</t>
  </si>
  <si>
    <t>FY26E</t>
  </si>
  <si>
    <t>Investments - other</t>
  </si>
  <si>
    <t>Investments - non-consolidated subs</t>
  </si>
  <si>
    <t>Investments - captive insurance</t>
  </si>
  <si>
    <t>EPS (pre-exceptionals, diluted)</t>
  </si>
  <si>
    <t>EPS_FUL_DIL</t>
  </si>
  <si>
    <t>EPS (post-exceptionals, basic)</t>
  </si>
  <si>
    <t>EPS_POST_BASIC</t>
  </si>
  <si>
    <t>Company reported statutory taxation (post abnormals)</t>
  </si>
  <si>
    <t>1H17A</t>
  </si>
  <si>
    <t>1H22</t>
  </si>
  <si>
    <t>2H22</t>
  </si>
  <si>
    <t>FY22</t>
  </si>
  <si>
    <t>Non controlling interests</t>
  </si>
  <si>
    <t>Non-controlling interests</t>
  </si>
  <si>
    <t>2H17A</t>
  </si>
  <si>
    <t>1H27E</t>
  </si>
  <si>
    <t>2H27E</t>
  </si>
  <si>
    <t>FY17A</t>
  </si>
  <si>
    <t>FY27E</t>
  </si>
  <si>
    <t>M&amp;A probability (1 = high, 3 = low)</t>
  </si>
  <si>
    <t>GAM net revenue margin</t>
  </si>
  <si>
    <t>GAM variable costs / gross revenue</t>
  </si>
  <si>
    <t>GAM op costs / net revenue</t>
  </si>
  <si>
    <t>GAM total costs / gross revenue</t>
  </si>
  <si>
    <t>GAM tax rate</t>
  </si>
  <si>
    <t>GAM gross revenue growth</t>
  </si>
  <si>
    <t>GAM variable cost growth</t>
  </si>
  <si>
    <t>GAM net revenue growth</t>
  </si>
  <si>
    <t>GAM op cost growth</t>
  </si>
  <si>
    <t>GAM total cost growth</t>
  </si>
  <si>
    <t>GAM underlying NPBT growth</t>
  </si>
  <si>
    <t>GAM underlying NPAT growth</t>
  </si>
  <si>
    <t>GAM Cash NPAT growth</t>
  </si>
  <si>
    <t>GAM inflows</t>
  </si>
  <si>
    <t>GAM outflows</t>
  </si>
  <si>
    <t>GAM net flows</t>
  </si>
  <si>
    <t>GAM other AUM moves</t>
  </si>
  <si>
    <t>GAM gross revenue margin</t>
  </si>
  <si>
    <t>DCF and P/NTA vs. ROTE</t>
  </si>
  <si>
    <t>1H18A</t>
  </si>
  <si>
    <t>Infrastructure (was property / alternative)</t>
  </si>
  <si>
    <t>Custom Solutions/FirstWrap</t>
  </si>
  <si>
    <t>Total ex CommInsure  Inv</t>
  </si>
  <si>
    <t>Total ex CommInsure Invt</t>
  </si>
  <si>
    <t>CFS gross revenue margin</t>
  </si>
  <si>
    <t>CFS net revenue margin</t>
  </si>
  <si>
    <t>GAM inflows as % of opening AUM</t>
  </si>
  <si>
    <t>GAM outflows as % of opening AUM</t>
  </si>
  <si>
    <t>GAM net flows as % of opening AUM</t>
  </si>
  <si>
    <t>GAM other AUM moves as % of opening AUM</t>
  </si>
  <si>
    <t>CFS variable costs / gross revenue</t>
  </si>
  <si>
    <t>CFS op costs / net revenue</t>
  </si>
  <si>
    <t>CFS total costs / gross revenue</t>
  </si>
  <si>
    <t>CFS tax rate</t>
  </si>
  <si>
    <t>CFS gross revenue growth</t>
  </si>
  <si>
    <t>CFS variable cost growth</t>
  </si>
  <si>
    <t>CFS net revenue growth</t>
  </si>
  <si>
    <t>CFS op cost growth</t>
  </si>
  <si>
    <t>CFS total cost growth</t>
  </si>
  <si>
    <t>CFS underlying NPBT growth</t>
  </si>
  <si>
    <t>CFS underlying NPAT growth</t>
  </si>
  <si>
    <t>Avanteos/Custom Solutions</t>
  </si>
  <si>
    <t>Property --&gt; CFS Non-Plat</t>
  </si>
  <si>
    <t>Total CFS Aust FUA</t>
  </si>
  <si>
    <t>1H23</t>
  </si>
  <si>
    <t>2H23</t>
  </si>
  <si>
    <t>FY23</t>
  </si>
  <si>
    <t>FY18A</t>
  </si>
  <si>
    <t>2H18A</t>
  </si>
  <si>
    <t>1H28E</t>
  </si>
  <si>
    <t>2H28E</t>
  </si>
  <si>
    <t>FY28E</t>
  </si>
  <si>
    <t>1H19A</t>
  </si>
  <si>
    <t>1H29E</t>
  </si>
  <si>
    <t>2H29E</t>
  </si>
  <si>
    <t>1H24</t>
  </si>
  <si>
    <t>2H24</t>
  </si>
  <si>
    <t>FY24</t>
  </si>
  <si>
    <t>FY29E</t>
  </si>
  <si>
    <t>FY19A</t>
  </si>
  <si>
    <t>2H19A</t>
  </si>
  <si>
    <t>1H20A</t>
  </si>
  <si>
    <t>GFC lows</t>
  </si>
  <si>
    <t>Reported profit (A$ mn)</t>
  </si>
  <si>
    <t>FY20A</t>
  </si>
  <si>
    <t>2H20A</t>
  </si>
  <si>
    <t>1H30E</t>
  </si>
  <si>
    <t>2H30E</t>
  </si>
  <si>
    <t>FY30E</t>
  </si>
  <si>
    <t>1H21A</t>
  </si>
  <si>
    <t>FY21A</t>
  </si>
  <si>
    <t>2H21A</t>
  </si>
  <si>
    <t>1H31E</t>
  </si>
  <si>
    <t>2H31E</t>
  </si>
  <si>
    <t>FY31E</t>
  </si>
  <si>
    <t>1H22A</t>
  </si>
  <si>
    <t>Australian Banks Team</t>
  </si>
  <si>
    <t>Commonwealth Bank of Australia (CBA.AX)</t>
  </si>
  <si>
    <t>12 Month Target Price (A$p/s)</t>
  </si>
  <si>
    <t>Market Cap (A$ mn)</t>
  </si>
  <si>
    <t>Current shares outstanding (mn):</t>
  </si>
  <si>
    <t>Currency:</t>
  </si>
  <si>
    <t xml:space="preserve">Team Contacts: </t>
  </si>
  <si>
    <t>Andrew Lyons</t>
  </si>
  <si>
    <t>+61 2 9321-8543</t>
  </si>
  <si>
    <t>andrew.lyons@gs.com</t>
  </si>
  <si>
    <t>John Li</t>
  </si>
  <si>
    <t>+61 2 9321-8490</t>
  </si>
  <si>
    <t>john.y.li@gs.com</t>
  </si>
  <si>
    <t>1H32E</t>
  </si>
  <si>
    <t>2H32E</t>
  </si>
  <si>
    <t>FY32E</t>
  </si>
  <si>
    <t>2H22A</t>
  </si>
  <si>
    <t>FY22A</t>
  </si>
  <si>
    <t>1H23A</t>
  </si>
  <si>
    <t>FY33E</t>
  </si>
  <si>
    <t>2H23A</t>
  </si>
  <si>
    <t>1H33E</t>
  </si>
  <si>
    <t>2H33E</t>
  </si>
  <si>
    <t>FY23A</t>
  </si>
  <si>
    <t>1H24A</t>
  </si>
  <si>
    <t>2H24A</t>
  </si>
  <si>
    <t>1H34E</t>
  </si>
  <si>
    <t>2H34E</t>
  </si>
  <si>
    <t>FY24A</t>
  </si>
  <si>
    <t>FY34E</t>
  </si>
  <si>
    <t xml:space="preserve"> </t>
  </si>
  <si>
    <t>Brendan Sproules | brendan.sproules@gs.com | +61 3 9679 1276</t>
  </si>
  <si>
    <t>Profit &amp; loss (A$m)</t>
  </si>
  <si>
    <t>Share Price / Recommendation / Target Price</t>
  </si>
  <si>
    <t>September</t>
  </si>
  <si>
    <t>Recommendation</t>
  </si>
  <si>
    <t>Share Price</t>
  </si>
  <si>
    <t>Target Price</t>
  </si>
  <si>
    <t>Shares on issue (m)</t>
  </si>
  <si>
    <t>Upside / Downside</t>
  </si>
  <si>
    <t>Fee income</t>
  </si>
  <si>
    <t>Market capitalisation (A$m)</t>
  </si>
  <si>
    <t>Valuation Methodology</t>
  </si>
  <si>
    <t>A$ps</t>
  </si>
  <si>
    <t>DCF Inputs</t>
  </si>
  <si>
    <t>Operating costs</t>
  </si>
  <si>
    <t>Terminal growth</t>
  </si>
  <si>
    <t>Pre-provision profit</t>
  </si>
  <si>
    <t>Price-to-earnings</t>
  </si>
  <si>
    <t>Rf / MRP</t>
  </si>
  <si>
    <t>3.5% / 6.0%</t>
  </si>
  <si>
    <t>BDD expense</t>
  </si>
  <si>
    <t>Avg valuation</t>
  </si>
  <si>
    <t>Equity beta</t>
  </si>
  <si>
    <t>Tax &amp; NCI</t>
  </si>
  <si>
    <t xml:space="preserve">Preference dividend </t>
  </si>
  <si>
    <t>Trading multiples</t>
  </si>
  <si>
    <t>At current price</t>
  </si>
  <si>
    <t>Reported profit</t>
  </si>
  <si>
    <t>Price-to-PPOP</t>
  </si>
  <si>
    <t>Balance Sheet (A$m)</t>
  </si>
  <si>
    <t>Price-to-book</t>
  </si>
  <si>
    <t>Price-to-NTA</t>
  </si>
  <si>
    <t>At target price</t>
  </si>
  <si>
    <t>Total equity</t>
  </si>
  <si>
    <t>CET 1 capital</t>
  </si>
  <si>
    <t>Average balances</t>
  </si>
  <si>
    <t>Profitability, on cash basis</t>
  </si>
  <si>
    <t>ROE</t>
  </si>
  <si>
    <t>ROA</t>
  </si>
  <si>
    <t>RORWA</t>
  </si>
  <si>
    <t>Profitability, on reported basis</t>
  </si>
  <si>
    <t>Per share</t>
  </si>
  <si>
    <t>Cash EPS - basic</t>
  </si>
  <si>
    <t>Cash EPS - diluted</t>
  </si>
  <si>
    <t>Earnings drivers</t>
  </si>
  <si>
    <t>Reported EPS - basic</t>
  </si>
  <si>
    <t>Cost-to-income</t>
  </si>
  <si>
    <t>Cost-to-assets (bpts)</t>
  </si>
  <si>
    <t>Reported EPS - diluted</t>
  </si>
  <si>
    <t>Tax rate (%)</t>
  </si>
  <si>
    <t>Loan-to-deposit ratio (%)</t>
  </si>
  <si>
    <t>Dividend per share - diluted</t>
  </si>
  <si>
    <t>BDD as % of ave loans (bps)</t>
  </si>
  <si>
    <t>Dividend payout ratio (%)</t>
  </si>
  <si>
    <t>Non-performing loans / total loans</t>
  </si>
  <si>
    <t>NTA per share</t>
  </si>
  <si>
    <t>CET 1 ratio</t>
  </si>
  <si>
    <t>Weighted ave shares (m) - basic</t>
  </si>
  <si>
    <t>Weighted ave shares (m) - diluted</t>
  </si>
  <si>
    <t>Income statement</t>
  </si>
  <si>
    <t>Net Interest Income</t>
  </si>
  <si>
    <t>Net fee &amp; commission income</t>
  </si>
  <si>
    <t>Markets</t>
  </si>
  <si>
    <t>Wealth Management</t>
  </si>
  <si>
    <t>Other operating income, ex notable items</t>
  </si>
  <si>
    <t>Notable items</t>
  </si>
  <si>
    <t>Reported other operating income</t>
  </si>
  <si>
    <t>Personel</t>
  </si>
  <si>
    <t>IT</t>
  </si>
  <si>
    <t>Building occupancy and equipment</t>
  </si>
  <si>
    <t>Operating expenses, ex notable items</t>
  </si>
  <si>
    <t>Reported expenses</t>
  </si>
  <si>
    <t>as % of ave GLAs</t>
  </si>
  <si>
    <t>Pre-tax Profit</t>
  </si>
  <si>
    <t>Implied tax rate (%)</t>
  </si>
  <si>
    <t>Cash earnings from continuing operations</t>
  </si>
  <si>
    <t>Discontinued businesses</t>
  </si>
  <si>
    <t>Statutory Profit</t>
  </si>
  <si>
    <t>Basic cash EPS (cent per share)</t>
  </si>
  <si>
    <t>Diluted cash EPS (cents per share)</t>
  </si>
  <si>
    <t>Loans and advances</t>
  </si>
  <si>
    <t xml:space="preserve">RWAs </t>
  </si>
  <si>
    <t>Shareholder equity</t>
  </si>
  <si>
    <t>AIEA</t>
  </si>
  <si>
    <t>Goldman Sachs | CBA Banking Group Limited | CBA-AU</t>
  </si>
  <si>
    <t>AIEA ex liquids</t>
  </si>
  <si>
    <t>Growth %</t>
  </si>
  <si>
    <t>Reported expense growth %</t>
  </si>
  <si>
    <t>Underlying expense growth %</t>
  </si>
  <si>
    <t>FY25A</t>
  </si>
  <si>
    <t>COE (Ke)</t>
  </si>
  <si>
    <t>Based on 20y premium/discount to sector avg, applied to 6mo sector PE (updated 30/01/2026)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</si>
</sst>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0">
    <numFmt numFmtId="44" formatCode="_(&quot;$&quot;* #,##0.00_);_(&quot;$&quot;* \(#,##0.00\);_(&quot;$&quot;* &quot;-&quot;??_);_(@_)"/>
    <numFmt numFmtId="43" formatCode="_(* #,##0.00_);_(* \(#,##0.00\);_(* &quot;-&quot;??_);_(@_)"/>
    <numFmt numFmtId="164" formatCode="&quot;$&quot;#,##0;[Red]\-&quot;$&quot;#,##0"/>
    <numFmt numFmtId="165" formatCode="&quot;$&quot;#,##0.00;\-&quot;$&quot;#,##0.00"/>
    <numFmt numFmtId="166" formatCode="&quot;$&quot;#,##0.00;[Red]\-&quot;$&quot;#,##0.00"/>
    <numFmt numFmtId="167" formatCode="_-&quot;$&quot;* #,##0.00_-;\-&quot;$&quot;* #,##0.00_-;_-&quot;$&quot;* &quot;-&quot;??_-;_-@_-"/>
    <numFmt numFmtId="168" formatCode="_-* #,##0.00_-;\-* #,##0.00_-;_-* &quot;-&quot;??_-;_-@_-"/>
    <numFmt numFmtId="169" formatCode="0.0000"/>
    <numFmt numFmtId="170" formatCode="0.0%"/>
    <numFmt numFmtId="171" formatCode="&quot;$&quot;#,##0.00"/>
    <numFmt numFmtId="172" formatCode="0.0"/>
    <numFmt numFmtId="173" formatCode="#,##0.0"/>
    <numFmt numFmtId="174" formatCode="[$$-C09]#,##0.00"/>
    <numFmt numFmtId="175" formatCode="0.0&quot;x&quot;"/>
    <numFmt numFmtId="176" formatCode="&quot;$&quot;#,##0.0"/>
    <numFmt numFmtId="177" formatCode="&quot;$&quot;#,##0"/>
    <numFmt numFmtId="178" formatCode=";;;"/>
    <numFmt numFmtId="179" formatCode="#,##0.0%"/>
    <numFmt numFmtId="180" formatCode="#,##0.000"/>
    <numFmt numFmtId="181" formatCode="#,##0.00_ ;\-#,##0.00\ "/>
    <numFmt numFmtId="182" formatCode="#,##0.00%"/>
    <numFmt numFmtId="183" formatCode="&quot;$&quot;#,##0.0\ \ \ ;\(&quot;$&quot;#,##0.0\)\ \ "/>
    <numFmt numFmtId="184" formatCode="##0.00"/>
    <numFmt numFmtId="185" formatCode="#,##0.0\ \ \ ;\(#,##0.0\)\ \ "/>
    <numFmt numFmtId="186" formatCode="#,##0.000;\(#,##0.000\)"/>
    <numFmt numFmtId="187" formatCode="mm/yy"/>
    <numFmt numFmtId="188" formatCode="General__;"/>
    <numFmt numFmtId="189" formatCode="#,##0__;\(#,##0\)__;#,##0__;"/>
    <numFmt numFmtId="190" formatCode="0.00%__;\(0.00%\)__;0.00%__;"/>
    <numFmt numFmtId="191" formatCode="dd\-mmm\-yy__;"/>
    <numFmt numFmtId="192" formatCode="\A&quot;$&quot;#.00"/>
    <numFmt numFmtId="193" formatCode="\A&quot;$&quot;#.00__;\(\A&quot;$&quot;#.00\)__;\A&quot;$&quot;#.00__;"/>
    <numFmt numFmtId="194" formatCode="0.0%__;\(0.0%\)__;0.0%__;"/>
    <numFmt numFmtId="195" formatCode="0.0&quot;x&quot;__;\(0.0\)&quot;x&quot;__;0.0&quot;x&quot;__;"/>
    <numFmt numFmtId="196" formatCode="#,##0.0__;\(#,##0.0\)__;#,##0.0;"/>
    <numFmt numFmtId="197" formatCode="0.0%__;\(0.0%\)__;\(0.0%\)__;"/>
    <numFmt numFmtId="198" formatCode="0%__;\(0%\)__;\(0%\)__;"/>
    <numFmt numFmtId="199" formatCode="#,##0.00__;\(#,##0.00\)__;#,##0.00;"/>
    <numFmt numFmtId="200" formatCode="0.0\x__;\(0.0\x\)__;0.0\x__;"/>
    <numFmt numFmtId="201" formatCode="0.00%__;\(0.00%\)__;\(0.00%\)__;"/>
    <numFmt numFmtId="202" formatCode="0\ &quot;bp&quot;__;\(0\)\ &quot;bp&quot;__;0\ &quot;bp&quot;__;"/>
    <numFmt numFmtId="203" formatCode="#,##0__;"/>
    <numFmt numFmtId="204" formatCode="\A&quot;$&quot;#.00__;"/>
    <numFmt numFmtId="205" formatCode="\A&quot;$&quot;#,##0.00"/>
    <numFmt numFmtId="206" formatCode="0.000%"/>
    <numFmt numFmtId="207" formatCode="0.0_)\%;\(0.0\)\%;0.0_)\%;@_)_%"/>
    <numFmt numFmtId="208" formatCode="#,##0.0_)_%;\(#,##0.0\)_%;0.0_)_%;@_)_%"/>
    <numFmt numFmtId="209" formatCode="#,##0.0_);\(#,##0.0\);#,##0.0_);@_)"/>
    <numFmt numFmtId="210" formatCode="#,##0.0_);\(#,##0.0\)"/>
    <numFmt numFmtId="211" formatCode="&quot;$&quot;_(#,##0.00_);&quot;$&quot;\(#,##0.00\)"/>
    <numFmt numFmtId="212" formatCode="&quot;$&quot;_(#,##0.00_);&quot;$&quot;\(#,##0.00\);&quot;$&quot;_(0.00_);@_)"/>
    <numFmt numFmtId="213" formatCode="#,##0.00_);\(#,##0.00\);0.00_);@_)"/>
    <numFmt numFmtId="214" formatCode="\€_(#,##0.00_);\€\(#,##0.00\);\€_(0.00_);@_)"/>
    <numFmt numFmtId="215" formatCode="#,##0.0_)\x;\(#,##0.0\)\x"/>
    <numFmt numFmtId="216" formatCode="#,##0_)\x;\(#,##0\)\x;0_)\x;@_)_x"/>
    <numFmt numFmtId="217" formatCode="#,##0.0_)\x;\(#,##0.0\)\x;0.0_)\x;@_)_x"/>
    <numFmt numFmtId="218" formatCode="#,##0.0_)_x;\(#,##0.0\)_x"/>
    <numFmt numFmtId="219" formatCode="#,##0_)_x;\(#,##0\)_x;0_)_x;@_)_x"/>
    <numFmt numFmtId="220" formatCode="#,##0.0_)_x;\(#,##0.0\)_x;0.0_)_x;@_)_x"/>
    <numFmt numFmtId="221" formatCode="0.0_)\%;\(0.0\)\%"/>
    <numFmt numFmtId="222" formatCode="#,##0.0_)_%;\(#,##0.0\)_%"/>
    <numFmt numFmtId="223" formatCode="#,##0;\(#,##0\)"/>
    <numFmt numFmtId="224" formatCode="0\A"/>
    <numFmt numFmtId="225" formatCode="0.00_)"/>
    <numFmt numFmtId="226" formatCode="0\p"/>
    <numFmt numFmtId="227" formatCode="0.0&quot;  &quot;"/>
    <numFmt numFmtId="228" formatCode="_-* #,##0_-;\(#,##0\);_-* &quot;–&quot;_-;_-@_-"/>
    <numFmt numFmtId="229" formatCode="#,##0.00;;;[White]General"/>
    <numFmt numFmtId="230" formatCode="_(* #,##0.00000_);_(* \(#,##0.00000\);_(* &quot;-&quot;??_);_(@_)"/>
    <numFmt numFmtId="231" formatCode="#,##0.000_);[Red]\(#,##0.000\)"/>
    <numFmt numFmtId="232" formatCode="&quot;$&quot;0.0"/>
    <numFmt numFmtId="233" formatCode="#,##0;\(#,##0\);\–;@"/>
    <numFmt numFmtId="234" formatCode="_(&quot;CHF&quot;* #,##0.0_);_(&quot;CHF&quot;* \(#,##0.0\);_(&quot;CHF&quot;* &quot;-&quot;??_);_(@_)"/>
    <numFmt numFmtId="236" formatCode="0.000000000000000%"/>
    <numFmt numFmtId="237" formatCode="[$-409]d\-mmm\-yy;@"/>
    <numFmt numFmtId="238" formatCode="_(* #,##0_);_(* \(#,##0\);_(* &quot;-&quot;??_);_(@_)"/>
    <numFmt numFmtId="239" formatCode="_(* #,##0.0_);_(* \(#,##0.0\);_(* &quot;-&quot;??_);_(@_)"/>
    <numFmt numFmtId="240" formatCode="#,##0.0000"/>
    <numFmt numFmtId="241" formatCode="0.000"/>
    <numFmt numFmtId="243" formatCode="0.0000000000000000%"/>
    <numFmt numFmtId="244" formatCode="_-* #,##0_-;\-* #,##0_-;_-* &quot;-&quot;??_-;_-@_-"/>
    <numFmt numFmtId="245" formatCode="&quot;$&quot;#,##0.000"/>
    <numFmt numFmtId="246" formatCode="mmmm\ dd\.\ yyyy"/>
    <numFmt numFmtId="247" formatCode="0.0%__;\(0.0%\)__;\(0.0%\)__"/>
    <numFmt numFmtId="248" formatCode="0.0000%"/>
    <numFmt numFmtId="249" formatCode="0.0\x"/>
    <numFmt numFmtId="250" formatCode="0\ &quot;bpts&quot;"/>
    <numFmt numFmtId="251" formatCode="0.0\ &quot;bps&quot;"/>
    <numFmt numFmtId="252" formatCode="0&quot;bpts&quot;"/>
    <numFmt numFmtId="253" formatCode="0.00&quot;x&quot;"/>
  </numFmts>
  <fonts count="169">
    <font>
      <sz val="10"/>
      <name val="Verdana"/>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Verdana"/>
      <family val="2"/>
    </font>
    <font>
      <sz val="10"/>
      <name val="Verdana"/>
      <family val="2"/>
    </font>
    <font>
      <sz val="8"/>
      <name val="Verdana"/>
      <family val="2"/>
    </font>
    <font>
      <sz val="9"/>
      <color indexed="46"/>
      <name val="Arial"/>
      <family val="2"/>
    </font>
    <font>
      <b/>
      <sz val="9"/>
      <color indexed="9"/>
      <name val="Arial"/>
      <family val="2"/>
    </font>
    <font>
      <b/>
      <sz val="9"/>
      <color indexed="52"/>
      <name val="Arial"/>
      <family val="2"/>
    </font>
    <font>
      <b/>
      <sz val="9"/>
      <name val="Arial"/>
      <family val="2"/>
    </font>
    <font>
      <sz val="9"/>
      <color indexed="52"/>
      <name val="Arial"/>
      <family val="2"/>
    </font>
    <font>
      <sz val="9"/>
      <name val="Arial"/>
      <family val="2"/>
    </font>
    <font>
      <sz val="9"/>
      <color indexed="10"/>
      <name val="Arial"/>
      <family val="2"/>
    </font>
    <font>
      <sz val="9"/>
      <color indexed="14"/>
      <name val="Arial"/>
      <family val="2"/>
    </font>
    <font>
      <sz val="9"/>
      <color indexed="48"/>
      <name val="Arial"/>
      <family val="2"/>
    </font>
    <font>
      <sz val="9"/>
      <color indexed="57"/>
      <name val="Arial"/>
      <family val="2"/>
    </font>
    <font>
      <sz val="9"/>
      <color indexed="11"/>
      <name val="Arial"/>
      <family val="2"/>
    </font>
    <font>
      <b/>
      <sz val="9"/>
      <color indexed="10"/>
      <name val="Arial"/>
      <family val="2"/>
    </font>
    <font>
      <i/>
      <sz val="9"/>
      <name val="Arial"/>
      <family val="2"/>
    </font>
    <font>
      <i/>
      <sz val="9"/>
      <color indexed="10"/>
      <name val="Arial"/>
      <family val="2"/>
    </font>
    <font>
      <sz val="9"/>
      <color indexed="9"/>
      <name val="Arial"/>
      <family val="2"/>
    </font>
    <font>
      <i/>
      <sz val="9"/>
      <color indexed="46"/>
      <name val="Arial"/>
      <family val="2"/>
    </font>
    <font>
      <b/>
      <i/>
      <sz val="9"/>
      <color indexed="46"/>
      <name val="Arial"/>
      <family val="2"/>
    </font>
    <font>
      <b/>
      <i/>
      <sz val="9"/>
      <name val="Arial"/>
      <family val="2"/>
    </font>
    <font>
      <sz val="8"/>
      <color indexed="81"/>
      <name val="Tahoma"/>
      <family val="2"/>
    </font>
    <font>
      <b/>
      <sz val="8"/>
      <color indexed="81"/>
      <name val="Tahoma"/>
      <family val="2"/>
    </font>
    <font>
      <sz val="6.25"/>
      <color rgb="FF666666"/>
      <name val="Verdana"/>
      <family val="2"/>
    </font>
    <font>
      <sz val="9"/>
      <color rgb="FFFF0000"/>
      <name val="Arial"/>
      <family val="2"/>
    </font>
    <font>
      <i/>
      <sz val="9"/>
      <color rgb="FFFF0000"/>
      <name val="Arial"/>
      <family val="2"/>
    </font>
    <font>
      <b/>
      <sz val="9"/>
      <color rgb="FFFF0000"/>
      <name val="Arial"/>
      <family val="2"/>
    </font>
    <font>
      <sz val="10"/>
      <color indexed="8"/>
      <name val="Arial"/>
      <family val="2"/>
    </font>
    <font>
      <b/>
      <sz val="12"/>
      <color indexed="9"/>
      <name val="Arial"/>
      <family val="2"/>
    </font>
    <font>
      <b/>
      <sz val="10"/>
      <color indexed="9"/>
      <name val="Arial"/>
      <family val="2"/>
    </font>
    <font>
      <sz val="10"/>
      <name val="Arial"/>
      <family val="2"/>
    </font>
    <font>
      <sz val="9"/>
      <name val="Verdana"/>
      <family val="2"/>
    </font>
    <font>
      <sz val="10"/>
      <color indexed="10"/>
      <name val="Arial"/>
      <family val="2"/>
    </font>
    <font>
      <sz val="10"/>
      <color rgb="FFFF0000"/>
      <name val="Arial"/>
      <family val="2"/>
    </font>
    <font>
      <sz val="11"/>
      <color indexed="8"/>
      <name val="Calibri"/>
      <family val="2"/>
    </font>
    <font>
      <sz val="10"/>
      <color indexed="9"/>
      <name val="Arial"/>
      <family val="2"/>
    </font>
    <font>
      <sz val="10"/>
      <color indexed="20"/>
      <name val="Arial"/>
      <family val="2"/>
    </font>
    <font>
      <b/>
      <sz val="10"/>
      <color indexed="52"/>
      <name val="Arial"/>
      <family val="2"/>
    </font>
    <font>
      <sz val="8"/>
      <name val="Helv"/>
    </font>
    <font>
      <i/>
      <sz val="10"/>
      <color indexed="23"/>
      <name val="Arial"/>
      <family val="2"/>
    </font>
    <font>
      <sz val="10"/>
      <name val="Helv"/>
    </font>
    <font>
      <sz val="10"/>
      <color indexed="17"/>
      <name val="Arial"/>
      <family val="2"/>
    </font>
    <font>
      <b/>
      <i/>
      <sz val="12"/>
      <color indexed="39"/>
      <name val="Arial"/>
      <family val="2"/>
    </font>
    <font>
      <b/>
      <sz val="15"/>
      <color indexed="62"/>
      <name val="Arial"/>
      <family val="2"/>
    </font>
    <font>
      <b/>
      <sz val="13"/>
      <color indexed="62"/>
      <name val="Arial"/>
      <family val="2"/>
    </font>
    <font>
      <b/>
      <sz val="11"/>
      <color indexed="62"/>
      <name val="Arial"/>
      <family val="2"/>
    </font>
    <font>
      <sz val="10"/>
      <color indexed="62"/>
      <name val="Arial"/>
      <family val="2"/>
    </font>
    <font>
      <sz val="10"/>
      <color indexed="52"/>
      <name val="Arial"/>
      <family val="2"/>
    </font>
    <font>
      <b/>
      <sz val="10"/>
      <color indexed="17"/>
      <name val="Arial"/>
      <family val="2"/>
    </font>
    <font>
      <sz val="10"/>
      <color indexed="60"/>
      <name val="Arial"/>
      <family val="2"/>
    </font>
    <font>
      <b/>
      <sz val="10"/>
      <color indexed="34"/>
      <name val="Arial"/>
      <family val="2"/>
    </font>
    <font>
      <sz val="8"/>
      <name val="Arial"/>
      <family val="2"/>
    </font>
    <font>
      <sz val="10"/>
      <name val="Geneva"/>
      <family val="2"/>
    </font>
    <font>
      <b/>
      <sz val="18"/>
      <color indexed="62"/>
      <name val="Cambria"/>
      <family val="2"/>
    </font>
    <font>
      <b/>
      <sz val="10"/>
      <color indexed="8"/>
      <name val="Arial"/>
      <family val="2"/>
    </font>
    <font>
      <sz val="10"/>
      <name val="MS Serif"/>
      <family val="1"/>
    </font>
    <font>
      <b/>
      <sz val="12"/>
      <name val="Verdana"/>
      <family val="2"/>
    </font>
    <font>
      <b/>
      <sz val="8"/>
      <name val="Verdana"/>
      <family val="2"/>
    </font>
    <font>
      <sz val="8"/>
      <color indexed="10"/>
      <name val="Verdana"/>
      <family val="2"/>
    </font>
    <font>
      <sz val="8"/>
      <color indexed="57"/>
      <name val="Verdana"/>
      <family val="2"/>
    </font>
    <font>
      <b/>
      <sz val="8"/>
      <color indexed="10"/>
      <name val="Verdana"/>
      <family val="2"/>
    </font>
    <font>
      <b/>
      <sz val="8"/>
      <color indexed="8"/>
      <name val="Verdana"/>
      <family val="2"/>
    </font>
    <font>
      <b/>
      <sz val="9"/>
      <color indexed="81"/>
      <name val="Tahoma"/>
      <family val="2"/>
    </font>
    <font>
      <sz val="9"/>
      <color indexed="81"/>
      <name val="Tahoma"/>
      <family val="2"/>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20"/>
      <color rgb="FF006100"/>
      <name val="Calibri"/>
      <family val="2"/>
      <scheme val="minor"/>
    </font>
    <font>
      <sz val="18"/>
      <color rgb="FF9C6500"/>
      <name val="Calibri"/>
      <family val="2"/>
      <scheme val="minor"/>
    </font>
    <font>
      <sz val="20"/>
      <color rgb="FF9C6500"/>
      <name val="Calibri"/>
      <family val="2"/>
      <scheme val="minor"/>
    </font>
    <font>
      <sz val="10"/>
      <name val="GS TheSans"/>
      <family val="2"/>
    </font>
    <font>
      <sz val="8"/>
      <name val="Tahoma"/>
      <family val="2"/>
    </font>
    <font>
      <b/>
      <sz val="10"/>
      <name val="MS Sans Serif"/>
      <family val="2"/>
    </font>
    <font>
      <b/>
      <sz val="22"/>
      <color indexed="18"/>
      <name val="Arial"/>
      <family val="2"/>
    </font>
    <font>
      <b/>
      <sz val="14"/>
      <color indexed="18"/>
      <name val="Arial"/>
      <family val="2"/>
    </font>
    <font>
      <sz val="9"/>
      <color indexed="8"/>
      <name val="Arial"/>
      <family val="2"/>
    </font>
    <font>
      <b/>
      <sz val="10"/>
      <color indexed="18"/>
      <name val="Arial"/>
      <family val="2"/>
    </font>
    <font>
      <b/>
      <u val="singleAccounting"/>
      <sz val="10"/>
      <color indexed="18"/>
      <name val="Arial"/>
      <family val="2"/>
    </font>
    <font>
      <sz val="9"/>
      <color indexed="8"/>
      <name val="Times New Roman"/>
      <family val="1"/>
    </font>
    <font>
      <b/>
      <sz val="10"/>
      <color indexed="8"/>
      <name val="Times New Roman"/>
      <family val="1"/>
    </font>
    <font>
      <sz val="8"/>
      <name val="Times"/>
      <family val="1"/>
    </font>
    <font>
      <sz val="8"/>
      <name val="Helvetica"/>
      <family val="2"/>
    </font>
    <font>
      <b/>
      <sz val="12"/>
      <name val="Tms Rmn"/>
    </font>
    <font>
      <sz val="9"/>
      <color indexed="9"/>
      <name val="Times New Roman"/>
      <family val="1"/>
    </font>
    <font>
      <sz val="8"/>
      <color indexed="12"/>
      <name val="Tms Rmn"/>
    </font>
    <font>
      <b/>
      <i/>
      <sz val="8"/>
      <name val="Arial"/>
      <family val="2"/>
    </font>
    <font>
      <b/>
      <sz val="10"/>
      <name val="Bookman"/>
      <family val="1"/>
    </font>
    <font>
      <b/>
      <sz val="24"/>
      <name val="Times New Roman"/>
      <family val="1"/>
    </font>
    <font>
      <b/>
      <sz val="14"/>
      <name val="Book Antiqua"/>
      <family val="1"/>
    </font>
    <font>
      <sz val="11"/>
      <color indexed="12"/>
      <name val="Book Antiqua"/>
      <family val="1"/>
    </font>
    <font>
      <b/>
      <u/>
      <sz val="7"/>
      <name val="Helvetica"/>
      <family val="2"/>
    </font>
    <font>
      <sz val="10"/>
      <name val="Book Antiqua"/>
      <family val="1"/>
    </font>
    <font>
      <sz val="7"/>
      <name val="Arial"/>
      <family val="2"/>
    </font>
    <font>
      <b/>
      <sz val="8.5"/>
      <color indexed="17"/>
      <name val="Arial"/>
      <family val="2"/>
    </font>
    <font>
      <b/>
      <sz val="7"/>
      <color indexed="17"/>
      <name val="Arial"/>
      <family val="2"/>
    </font>
    <font>
      <sz val="8.5"/>
      <color indexed="8"/>
      <name val="Arial"/>
      <family val="2"/>
    </font>
    <font>
      <b/>
      <sz val="8"/>
      <name val="Book Antiqua"/>
      <family val="1"/>
    </font>
    <font>
      <b/>
      <sz val="12"/>
      <name val="Arial"/>
      <family val="2"/>
    </font>
    <font>
      <sz val="10"/>
      <name val="MS Sans Serif"/>
      <family val="2"/>
    </font>
    <font>
      <b/>
      <sz val="10"/>
      <name val="Palatino"/>
      <family val="1"/>
    </font>
    <font>
      <b/>
      <sz val="14"/>
      <name val="Arial"/>
      <family val="2"/>
    </font>
    <font>
      <sz val="8"/>
      <name val="Book Antiqua"/>
      <family val="1"/>
    </font>
    <font>
      <i/>
      <sz val="7"/>
      <name val="Book Antiqua"/>
      <family val="1"/>
    </font>
    <font>
      <sz val="8"/>
      <color indexed="9"/>
      <name val="Arial"/>
      <family val="2"/>
    </font>
    <font>
      <b/>
      <i/>
      <sz val="16"/>
      <name val="Helv"/>
    </font>
    <font>
      <b/>
      <sz val="8"/>
      <name val="Arial"/>
      <family val="2"/>
    </font>
    <font>
      <sz val="10"/>
      <color indexed="72"/>
      <name val="System"/>
      <family val="2"/>
    </font>
    <font>
      <b/>
      <sz val="14"/>
      <name val="Times New Roman"/>
      <family val="1"/>
    </font>
    <font>
      <sz val="10"/>
      <name val="Palatino"/>
      <family val="1"/>
    </font>
    <font>
      <sz val="8"/>
      <name val="Helv"/>
      <family val="2"/>
    </font>
    <font>
      <sz val="10"/>
      <name val="Times New Roman"/>
      <family val="1"/>
    </font>
    <font>
      <sz val="12"/>
      <name val="Helvetica"/>
      <family val="2"/>
    </font>
    <font>
      <b/>
      <sz val="14"/>
      <name val="Bookman"/>
      <family val="1"/>
    </font>
    <font>
      <b/>
      <sz val="8"/>
      <name val="HelveticaNeue Condensed"/>
    </font>
    <font>
      <sz val="8"/>
      <name val="HelveticaNeue LightCond"/>
      <family val="2"/>
    </font>
    <font>
      <b/>
      <sz val="7"/>
      <name val="HelveticaNeue Condensed"/>
      <family val="2"/>
    </font>
    <font>
      <b/>
      <sz val="9"/>
      <name val="Times New Roman"/>
      <family val="1"/>
    </font>
    <font>
      <b/>
      <sz val="10"/>
      <name val="Arial"/>
      <family val="2"/>
    </font>
    <font>
      <b/>
      <sz val="11"/>
      <name val="Times New Roman"/>
      <family val="1"/>
    </font>
    <font>
      <b/>
      <sz val="8.5"/>
      <color indexed="8"/>
      <name val="Arial"/>
      <family val="2"/>
    </font>
    <font>
      <b/>
      <sz val="12"/>
      <color indexed="16"/>
      <name val="Arial"/>
      <family val="2"/>
    </font>
    <font>
      <sz val="7"/>
      <name val="Times New Roman"/>
      <family val="1"/>
    </font>
    <font>
      <b/>
      <u/>
      <sz val="9"/>
      <name val="Arial"/>
      <family val="2"/>
    </font>
    <font>
      <b/>
      <u/>
      <sz val="14"/>
      <name val="Book Antiqua"/>
      <family val="1"/>
    </font>
    <font>
      <b/>
      <sz val="10"/>
      <name val="Book Antiqua"/>
      <family val="1"/>
    </font>
    <font>
      <b/>
      <sz val="7"/>
      <name val="Arial"/>
      <family val="2"/>
    </font>
    <font>
      <b/>
      <sz val="10"/>
      <name val="Times New Roman"/>
      <family val="1"/>
    </font>
    <font>
      <u/>
      <sz val="10"/>
      <color theme="10"/>
      <name val="Verdana"/>
      <family val="2"/>
    </font>
    <font>
      <b/>
      <sz val="10"/>
      <color indexed="12"/>
      <name val="Arial"/>
      <family val="2"/>
    </font>
    <font>
      <b/>
      <sz val="10"/>
      <color rgb="FFFF0000"/>
      <name val="Arial"/>
      <family val="2"/>
    </font>
    <font>
      <sz val="9"/>
      <color theme="1"/>
      <name val="Arial"/>
      <family val="2"/>
    </font>
    <font>
      <sz val="8"/>
      <color rgb="FF00B050"/>
      <name val="Verdana"/>
      <family val="2"/>
    </font>
    <font>
      <b/>
      <sz val="8"/>
      <color rgb="FF00B050"/>
      <name val="Verdana"/>
      <family val="2"/>
    </font>
    <font>
      <sz val="9"/>
      <color theme="4"/>
      <name val="Arial"/>
      <family val="2"/>
    </font>
    <font>
      <sz val="10"/>
      <color theme="4"/>
      <name val="Verdana"/>
      <family val="2"/>
    </font>
    <font>
      <b/>
      <sz val="9"/>
      <color theme="4"/>
      <name val="Arial"/>
      <family val="2"/>
    </font>
    <font>
      <sz val="8"/>
      <color rgb="FFFF0000"/>
      <name val="Verdana"/>
      <family val="2"/>
    </font>
    <font>
      <b/>
      <sz val="8"/>
      <color rgb="FFFF0000"/>
      <name val="Verdana"/>
      <family val="2"/>
    </font>
    <font>
      <b/>
      <sz val="9"/>
      <color theme="0"/>
      <name val="Arial"/>
      <family val="2"/>
    </font>
    <font>
      <sz val="10.5"/>
      <color theme="1"/>
      <name val="Calibri"/>
      <family val="2"/>
    </font>
    <font>
      <b/>
      <sz val="11"/>
      <color theme="1"/>
      <name val="Calibri"/>
      <family val="2"/>
    </font>
    <font>
      <b/>
      <sz val="11.5"/>
      <color theme="0"/>
      <name val="Calibri"/>
      <family val="2"/>
    </font>
    <font>
      <b/>
      <sz val="10.5"/>
      <color theme="1"/>
      <name val="Calibri"/>
      <family val="2"/>
    </font>
    <font>
      <sz val="9"/>
      <color rgb="FFC00000"/>
      <name val="Arial"/>
      <family val="2"/>
    </font>
    <font>
      <sz val="9"/>
      <color rgb="FF7030A0"/>
      <name val="Arial"/>
      <family val="2"/>
    </font>
    <font>
      <sz val="9"/>
      <color theme="9"/>
      <name val="Arial"/>
      <family val="2"/>
    </font>
    <font>
      <b/>
      <sz val="9"/>
      <color theme="9"/>
      <name val="Arial"/>
      <family val="2"/>
    </font>
    <font>
      <b/>
      <sz val="9"/>
      <color theme="1"/>
      <name val="Arial"/>
      <family val="2"/>
    </font>
    <font>
      <b/>
      <sz val="9"/>
      <color indexed="48"/>
      <name val="Arial"/>
      <family val="2"/>
    </font>
    <font>
      <b/>
      <sz val="9"/>
      <color rgb="FF7030A0"/>
      <name val="Arial"/>
      <family val="2"/>
    </font>
    <font>
      <sz val="7"/>
      <color rgb="FF7030A0"/>
      <name val="Arial"/>
      <family val="2"/>
    </font>
    <font>
      <b/>
      <u/>
      <sz val="10"/>
      <name val="Arial"/>
      <family val="2"/>
    </font>
    <font>
      <i/>
      <sz val="9"/>
      <color theme="1"/>
      <name val="Arial"/>
      <family val="2"/>
    </font>
    <font>
      <sz val="10"/>
      <color rgb="FF000000"/>
      <name val="Arial"/>
      <family val="2"/>
    </font>
    <font>
      <sz val="14"/>
      <color rgb="FF000000"/>
      <name val="Arial"/>
      <family val="2"/>
    </font>
    <font>
      <b/>
      <sz val="14"/>
      <color rgb="FF000000"/>
      <name val="Arial"/>
      <family val="2"/>
    </font>
    <font>
      <b/>
      <sz val="14"/>
      <color rgb="FFFFFFFF"/>
      <name val="Arial"/>
      <family val="2"/>
    </font>
  </fonts>
  <fills count="56">
    <fill>
      <patternFill patternType="none"/>
    </fill>
    <fill>
      <patternFill patternType="gray125"/>
    </fill>
    <fill>
      <patternFill patternType="solid">
        <fgColor indexed="24"/>
        <bgColor indexed="64"/>
      </patternFill>
    </fill>
    <fill>
      <patternFill patternType="solid">
        <fgColor indexed="25"/>
        <bgColor indexed="64"/>
      </patternFill>
    </fill>
    <fill>
      <patternFill patternType="solid">
        <fgColor indexed="13"/>
        <bgColor indexed="64"/>
      </patternFill>
    </fill>
    <fill>
      <patternFill patternType="solid">
        <fgColor indexed="42"/>
        <bgColor indexed="64"/>
      </patternFill>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indexed="33"/>
        <bgColor indexed="64"/>
      </patternFill>
    </fill>
    <fill>
      <patternFill patternType="solid">
        <fgColor rgb="FF00B0F0"/>
        <bgColor indexed="64"/>
      </patternFill>
    </fill>
    <fill>
      <patternFill patternType="solid">
        <fgColor indexed="30"/>
      </patternFill>
    </fill>
    <fill>
      <patternFill patternType="solid">
        <fgColor indexed="47"/>
      </patternFill>
    </fill>
    <fill>
      <patternFill patternType="solid">
        <fgColor indexed="43"/>
      </patternFill>
    </fill>
    <fill>
      <patternFill patternType="solid">
        <fgColor indexed="38"/>
      </patternFill>
    </fill>
    <fill>
      <patternFill patternType="solid">
        <fgColor indexed="28"/>
      </patternFill>
    </fill>
    <fill>
      <patternFill patternType="solid">
        <fgColor indexed="26"/>
      </patternFill>
    </fill>
    <fill>
      <patternFill patternType="solid">
        <fgColor indexed="33"/>
      </patternFill>
    </fill>
    <fill>
      <patternFill patternType="solid">
        <fgColor indexed="24"/>
      </patternFill>
    </fill>
    <fill>
      <patternFill patternType="solid">
        <fgColor indexed="10"/>
      </patternFill>
    </fill>
    <fill>
      <patternFill patternType="solid">
        <fgColor indexed="57"/>
      </patternFill>
    </fill>
    <fill>
      <patternFill patternType="solid">
        <fgColor indexed="54"/>
      </patternFill>
    </fill>
    <fill>
      <patternFill patternType="solid">
        <fgColor indexed="49"/>
      </patternFill>
    </fill>
    <fill>
      <patternFill patternType="solid">
        <fgColor indexed="53"/>
      </patternFill>
    </fill>
    <fill>
      <patternFill patternType="solid">
        <fgColor indexed="45"/>
      </patternFill>
    </fill>
    <fill>
      <patternFill patternType="solid">
        <fgColor indexed="27"/>
      </patternFill>
    </fill>
    <fill>
      <patternFill patternType="solid">
        <fgColor indexed="42"/>
      </patternFill>
    </fill>
    <fill>
      <patternFill patternType="solid">
        <fgColor indexed="2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indexed="44"/>
        <bgColor indexed="64"/>
      </patternFill>
    </fill>
    <fill>
      <patternFill patternType="solid">
        <fgColor indexed="43"/>
        <bgColor indexed="64"/>
      </patternFill>
    </fill>
    <fill>
      <patternFill patternType="solid">
        <fgColor indexed="41"/>
        <bgColor indexed="64"/>
      </patternFill>
    </fill>
    <fill>
      <patternFill patternType="solid">
        <fgColor rgb="FFFFC000"/>
        <bgColor indexed="64"/>
      </patternFill>
    </fill>
    <fill>
      <patternFill patternType="solid">
        <fgColor indexed="14"/>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gray0625">
        <fgColor indexed="10"/>
        <bgColor indexed="9"/>
      </patternFill>
    </fill>
    <fill>
      <patternFill patternType="solid">
        <fgColor indexed="18"/>
        <bgColor indexed="64"/>
      </patternFill>
    </fill>
    <fill>
      <patternFill patternType="lightGray">
        <fgColor indexed="14"/>
        <bgColor indexed="9"/>
      </patternFill>
    </fill>
    <fill>
      <patternFill patternType="lightGray">
        <fgColor indexed="15"/>
      </patternFill>
    </fill>
    <fill>
      <patternFill patternType="lightGray">
        <fgColor indexed="12"/>
        <bgColor indexed="9"/>
      </patternFill>
    </fill>
    <fill>
      <patternFill patternType="solid">
        <fgColor indexed="11"/>
        <bgColor indexed="9"/>
      </patternFill>
    </fill>
    <fill>
      <patternFill patternType="solid">
        <fgColor indexed="8"/>
        <bgColor indexed="64"/>
      </patternFill>
    </fill>
    <fill>
      <patternFill patternType="lightGray">
        <fgColor indexed="22"/>
        <bgColor indexed="9"/>
      </patternFill>
    </fill>
    <fill>
      <patternFill patternType="solid">
        <fgColor theme="0" tint="-0.249977111117893"/>
        <bgColor indexed="64"/>
      </patternFill>
    </fill>
    <fill>
      <patternFill patternType="solid">
        <fgColor theme="3" tint="0.39997558519241921"/>
        <bgColor indexed="64"/>
      </patternFill>
    </fill>
    <fill>
      <patternFill patternType="solid">
        <fgColor theme="6" tint="0.39997558519241921"/>
        <bgColor indexed="64"/>
      </patternFill>
    </fill>
    <fill>
      <patternFill patternType="solid">
        <fgColor rgb="FF00355F"/>
        <bgColor indexed="64"/>
      </patternFill>
    </fill>
    <fill>
      <patternFill patternType="solid">
        <fgColor theme="3"/>
        <bgColor indexed="64"/>
      </patternFill>
    </fill>
    <fill>
      <patternFill patternType="solid">
        <fgColor rgb="FF006BC4"/>
        <bgColor indexed="64"/>
      </patternFill>
    </fill>
  </fills>
  <borders count="45">
    <border>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double">
        <color indexed="34"/>
      </left>
      <right style="double">
        <color indexed="34"/>
      </right>
      <top style="double">
        <color indexed="34"/>
      </top>
      <bottom style="double">
        <color indexed="34"/>
      </bottom>
      <diagonal/>
    </border>
    <border>
      <left/>
      <right/>
      <top/>
      <bottom style="thick">
        <color indexed="24"/>
      </bottom>
      <diagonal/>
    </border>
    <border>
      <left/>
      <right/>
      <top/>
      <bottom style="thick">
        <color indexed="31"/>
      </bottom>
      <diagonal/>
    </border>
    <border>
      <left/>
      <right/>
      <top/>
      <bottom style="medium">
        <color indexed="26"/>
      </bottom>
      <diagonal/>
    </border>
    <border>
      <left/>
      <right/>
      <top style="medium">
        <color indexed="64"/>
      </top>
      <bottom/>
      <diagonal/>
    </border>
    <border>
      <left/>
      <right/>
      <top/>
      <bottom style="double">
        <color indexed="52"/>
      </bottom>
      <diagonal/>
    </border>
    <border>
      <left/>
      <right/>
      <top style="dotted">
        <color indexed="64"/>
      </top>
      <bottom style="dotted">
        <color indexed="64"/>
      </bottom>
      <diagonal/>
    </border>
    <border>
      <left style="thin">
        <color indexed="33"/>
      </left>
      <right style="thin">
        <color indexed="33"/>
      </right>
      <top style="thin">
        <color indexed="33"/>
      </top>
      <bottom style="thin">
        <color indexed="33"/>
      </bottom>
      <diagonal/>
    </border>
    <border>
      <left style="thin">
        <color indexed="34"/>
      </left>
      <right style="thin">
        <color indexed="34"/>
      </right>
      <top style="thin">
        <color indexed="34"/>
      </top>
      <bottom style="thin">
        <color indexed="34"/>
      </bottom>
      <diagonal/>
    </border>
    <border>
      <left style="thin">
        <color indexed="9"/>
      </left>
      <right/>
      <top style="thin">
        <color indexed="9"/>
      </top>
      <bottom style="thin">
        <color indexed="23"/>
      </bottom>
      <diagonal/>
    </border>
    <border>
      <left style="thin">
        <color indexed="23"/>
      </left>
      <right style="dashed">
        <color indexed="9"/>
      </right>
      <top/>
      <bottom style="dashed">
        <color indexed="9"/>
      </bottom>
      <diagonal/>
    </border>
    <border>
      <left/>
      <right/>
      <top style="thin">
        <color indexed="24"/>
      </top>
      <bottom style="double">
        <color indexed="24"/>
      </bottom>
      <diagonal/>
    </border>
    <border>
      <left/>
      <right/>
      <top style="hair">
        <color auto="1"/>
      </top>
      <bottom/>
      <diagonal/>
    </border>
    <border>
      <left/>
      <right/>
      <top style="thin">
        <color indexed="64"/>
      </top>
      <bottom style="thin">
        <color indexed="64"/>
      </bottom>
      <diagonal/>
    </border>
    <border>
      <left/>
      <right/>
      <top/>
      <bottom style="hair">
        <color auto="1"/>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3F3F3F"/>
      </left>
      <right style="thin">
        <color rgb="FF3F3F3F"/>
      </right>
      <top style="thin">
        <color rgb="FF3F3F3F"/>
      </top>
      <bottom style="thin">
        <color rgb="FF3F3F3F"/>
      </bottom>
      <diagonal/>
    </border>
    <border>
      <left/>
      <right/>
      <top/>
      <bottom style="thin">
        <color rgb="FF3F3F3F"/>
      </bottom>
      <diagonal/>
    </border>
    <border>
      <left/>
      <right/>
      <top style="thin">
        <color rgb="FF3F3F3F"/>
      </top>
      <bottom style="thin">
        <color rgb="FF3F3F3F"/>
      </bottom>
      <diagonal/>
    </border>
    <border>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top style="thin">
        <color rgb="FF3F3F3F"/>
      </top>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style="medium">
        <color indexed="9"/>
      </left>
      <right style="medium">
        <color indexed="9"/>
      </right>
      <top/>
      <bottom/>
      <diagonal/>
    </border>
    <border>
      <left/>
      <right style="thin">
        <color indexed="8"/>
      </right>
      <top style="thin">
        <color indexed="8"/>
      </top>
      <bottom/>
      <diagonal/>
    </border>
    <border>
      <left style="thick">
        <color indexed="9"/>
      </left>
      <right style="thick">
        <color indexed="9"/>
      </right>
      <top/>
      <bottom style="double">
        <color indexed="64"/>
      </bottom>
      <diagonal/>
    </border>
    <border>
      <left/>
      <right/>
      <top style="thin">
        <color indexed="64"/>
      </top>
      <bottom style="medium">
        <color indexed="64"/>
      </bottom>
      <diagonal/>
    </border>
    <border>
      <left/>
      <right/>
      <top style="hair">
        <color indexed="64"/>
      </top>
      <bottom style="hair">
        <color indexed="64"/>
      </bottom>
      <diagonal/>
    </border>
    <border>
      <left/>
      <right/>
      <top/>
      <bottom style="dashed">
        <color auto="1"/>
      </bottom>
      <diagonal/>
    </border>
  </borders>
  <cellStyleXfs count="727">
    <xf numFmtId="0" fontId="0" fillId="0" borderId="0"/>
    <xf numFmtId="168" fontId="11" fillId="0" borderId="0" applyFont="0" applyFill="0" applyBorder="0" applyAlignment="0" applyProtection="0"/>
    <xf numFmtId="167" fontId="12" fillId="0" borderId="0" applyFont="0" applyFill="0" applyBorder="0" applyAlignment="0" applyProtection="0"/>
    <xf numFmtId="9" fontId="12" fillId="0" borderId="0" applyFont="0" applyFill="0" applyBorder="0" applyAlignment="0" applyProtection="0"/>
    <xf numFmtId="0" fontId="10" fillId="0" borderId="0"/>
    <xf numFmtId="0" fontId="38" fillId="0" borderId="0"/>
    <xf numFmtId="0" fontId="11" fillId="0" borderId="0"/>
    <xf numFmtId="170" fontId="42" fillId="0" borderId="0" applyFont="0" applyFill="0" applyBorder="0" applyAlignment="0" applyProtection="0"/>
    <xf numFmtId="181" fontId="42" fillId="0" borderId="0" applyFont="0" applyFill="0" applyBorder="0" applyAlignment="0" applyProtection="0"/>
    <xf numFmtId="0" fontId="42" fillId="0" borderId="0" applyNumberFormat="0" applyFill="0" applyBorder="0" applyAlignment="0" applyProtection="0"/>
    <xf numFmtId="0" fontId="38" fillId="11" borderId="0" applyNumberFormat="0" applyBorder="0" applyAlignment="0" applyProtection="0"/>
    <xf numFmtId="0" fontId="38" fillId="12" borderId="0" applyNumberFormat="0" applyBorder="0" applyAlignment="0" applyProtection="0"/>
    <xf numFmtId="0" fontId="38" fillId="13" borderId="0" applyNumberFormat="0" applyBorder="0" applyAlignment="0" applyProtection="0"/>
    <xf numFmtId="0" fontId="38" fillId="14" borderId="0" applyNumberFormat="0" applyBorder="0" applyAlignment="0" applyProtection="0"/>
    <xf numFmtId="0" fontId="38" fillId="11" borderId="0" applyNumberFormat="0" applyBorder="0" applyAlignment="0" applyProtection="0"/>
    <xf numFmtId="0" fontId="38" fillId="12" borderId="0" applyNumberFormat="0" applyBorder="0" applyAlignment="0" applyProtection="0"/>
    <xf numFmtId="0" fontId="38" fillId="15" borderId="0" applyNumberFormat="0" applyBorder="0" applyAlignment="0" applyProtection="0"/>
    <xf numFmtId="0" fontId="38" fillId="12" borderId="0" applyNumberFormat="0" applyBorder="0" applyAlignment="0" applyProtection="0"/>
    <xf numFmtId="0" fontId="38" fillId="13"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38" fillId="12" borderId="0" applyNumberFormat="0" applyBorder="0" applyAlignment="0" applyProtection="0"/>
    <xf numFmtId="0" fontId="46" fillId="16" borderId="0" applyNumberFormat="0" applyBorder="0" applyAlignment="0" applyProtection="0"/>
    <xf numFmtId="0" fontId="46" fillId="12" borderId="0" applyNumberFormat="0" applyBorder="0" applyAlignment="0" applyProtection="0"/>
    <xf numFmtId="0" fontId="46" fillId="13" borderId="0" applyNumberFormat="0" applyBorder="0" applyAlignment="0" applyProtection="0"/>
    <xf numFmtId="0" fontId="46" fillId="17" borderId="0" applyNumberFormat="0" applyBorder="0" applyAlignment="0" applyProtection="0"/>
    <xf numFmtId="0" fontId="46" fillId="16" borderId="0" applyNumberFormat="0" applyBorder="0" applyAlignment="0" applyProtection="0"/>
    <xf numFmtId="0" fontId="46" fillId="12" borderId="0" applyNumberFormat="0" applyBorder="0" applyAlignment="0" applyProtection="0"/>
    <xf numFmtId="0" fontId="46" fillId="18" borderId="0" applyNumberFormat="0" applyBorder="0" applyAlignment="0" applyProtection="0"/>
    <xf numFmtId="0" fontId="46" fillId="19" borderId="0" applyNumberFormat="0" applyBorder="0" applyAlignment="0" applyProtection="0"/>
    <xf numFmtId="0" fontId="46" fillId="20" borderId="0" applyNumberFormat="0" applyBorder="0" applyAlignment="0" applyProtection="0"/>
    <xf numFmtId="0" fontId="46" fillId="21" borderId="0" applyNumberFormat="0" applyBorder="0" applyAlignment="0" applyProtection="0"/>
    <xf numFmtId="0" fontId="46" fillId="22" borderId="0" applyNumberFormat="0" applyBorder="0" applyAlignment="0" applyProtection="0"/>
    <xf numFmtId="0" fontId="46" fillId="23" borderId="0" applyNumberFormat="0" applyBorder="0" applyAlignment="0" applyProtection="0"/>
    <xf numFmtId="0" fontId="47" fillId="24" borderId="0" applyNumberFormat="0" applyBorder="0" applyAlignment="0" applyProtection="0"/>
    <xf numFmtId="0" fontId="48" fillId="25" borderId="9" applyNumberFormat="0" applyAlignment="0" applyProtection="0"/>
    <xf numFmtId="0" fontId="40" fillId="17" borderId="10" applyNumberFormat="0" applyAlignment="0" applyProtection="0"/>
    <xf numFmtId="168" fontId="41" fillId="0" borderId="0" applyFont="0" applyFill="0" applyBorder="0" applyAlignment="0" applyProtection="0"/>
    <xf numFmtId="167" fontId="11" fillId="0" borderId="0" applyFont="0" applyFill="0" applyBorder="0" applyAlignment="0" applyProtection="0"/>
    <xf numFmtId="167" fontId="41" fillId="0" borderId="0" applyFont="0" applyFill="0" applyBorder="0" applyAlignment="0" applyProtection="0"/>
    <xf numFmtId="183" fontId="49" fillId="0" borderId="0"/>
    <xf numFmtId="0" fontId="50" fillId="0" borderId="0" applyNumberFormat="0" applyFill="0" applyBorder="0" applyAlignment="0" applyProtection="0"/>
    <xf numFmtId="12" fontId="51" fillId="0" borderId="0">
      <alignment horizontal="center"/>
    </xf>
    <xf numFmtId="0" fontId="52" fillId="26" borderId="0" applyNumberFormat="0" applyBorder="0" applyAlignment="0" applyProtection="0"/>
    <xf numFmtId="0" fontId="53" fillId="27" borderId="0"/>
    <xf numFmtId="0" fontId="54" fillId="0" borderId="11" applyNumberFormat="0" applyFill="0" applyAlignment="0" applyProtection="0"/>
    <xf numFmtId="0" fontId="55" fillId="0" borderId="12" applyNumberFormat="0" applyFill="0" applyAlignment="0" applyProtection="0"/>
    <xf numFmtId="0" fontId="56" fillId="0" borderId="13" applyNumberFormat="0" applyFill="0" applyAlignment="0" applyProtection="0"/>
    <xf numFmtId="0" fontId="56" fillId="0" borderId="0" applyNumberFormat="0" applyFill="0" applyBorder="0" applyAlignment="0" applyProtection="0"/>
    <xf numFmtId="0" fontId="57" fillId="12" borderId="9" applyNumberFormat="0" applyAlignment="0" applyProtection="0"/>
    <xf numFmtId="184" fontId="52" fillId="0" borderId="14" applyBorder="0">
      <protection locked="0"/>
    </xf>
    <xf numFmtId="0" fontId="58" fillId="0" borderId="15" applyNumberFormat="0" applyFill="0" applyAlignment="0" applyProtection="0"/>
    <xf numFmtId="0" fontId="59" fillId="0" borderId="0">
      <alignment horizontal="right"/>
    </xf>
    <xf numFmtId="0" fontId="60" fillId="13" borderId="0" applyNumberFormat="0" applyBorder="0" applyAlignment="0" applyProtection="0"/>
    <xf numFmtId="0" fontId="52" fillId="0" borderId="16" applyNumberFormat="0" applyAlignment="0"/>
    <xf numFmtId="0" fontId="9" fillId="0" borderId="0"/>
    <xf numFmtId="0" fontId="9" fillId="0" borderId="0"/>
    <xf numFmtId="0" fontId="9" fillId="0" borderId="0"/>
    <xf numFmtId="0" fontId="9" fillId="0" borderId="0"/>
    <xf numFmtId="0" fontId="9" fillId="0" borderId="0"/>
    <xf numFmtId="0" fontId="41" fillId="0" borderId="0"/>
    <xf numFmtId="0" fontId="41" fillId="0" borderId="0"/>
    <xf numFmtId="0" fontId="38" fillId="13" borderId="17" applyNumberFormat="0" applyFont="0" applyAlignment="0" applyProtection="0"/>
    <xf numFmtId="185" fontId="49" fillId="0" borderId="0"/>
    <xf numFmtId="0" fontId="61" fillId="25" borderId="18" applyNumberFormat="0" applyAlignment="0" applyProtection="0"/>
    <xf numFmtId="9" fontId="11" fillId="0" borderId="0" applyFont="0" applyFill="0" applyBorder="0" applyAlignment="0" applyProtection="0"/>
    <xf numFmtId="9" fontId="41" fillId="0" borderId="0" applyFont="0" applyFill="0" applyBorder="0" applyAlignment="0" applyProtection="0"/>
    <xf numFmtId="38" fontId="62" fillId="0" borderId="0" applyFill="0" applyBorder="0" applyAlignment="0" applyProtection="0">
      <alignment horizontal="right"/>
    </xf>
    <xf numFmtId="3" fontId="41" fillId="27" borderId="19" applyFont="0" applyFill="0" applyBorder="0" applyAlignment="0" applyProtection="0"/>
    <xf numFmtId="3" fontId="41" fillId="27" borderId="19" applyFont="0" applyFill="0" applyBorder="0" applyAlignment="0" applyProtection="0"/>
    <xf numFmtId="4" fontId="41" fillId="27" borderId="19" applyFont="0" applyFill="0" applyBorder="0" applyAlignment="0" applyProtection="0"/>
    <xf numFmtId="4" fontId="41" fillId="27" borderId="19" applyFont="0" applyFill="0" applyBorder="0" applyAlignment="0" applyProtection="0"/>
    <xf numFmtId="186" fontId="63" fillId="27" borderId="19" applyFont="0" applyFill="0" applyBorder="0" applyAlignment="0" applyProtection="0"/>
    <xf numFmtId="0" fontId="63" fillId="27" borderId="20" applyFont="0" applyFill="0" applyBorder="0" applyAlignment="0" applyProtection="0"/>
    <xf numFmtId="10" fontId="41" fillId="27" borderId="19" applyFont="0" applyFill="0" applyBorder="0" applyAlignment="0" applyProtection="0"/>
    <xf numFmtId="10" fontId="41" fillId="27" borderId="19" applyFont="0" applyFill="0" applyBorder="0" applyAlignment="0" applyProtection="0"/>
    <xf numFmtId="9" fontId="41" fillId="27" borderId="19" applyFont="0" applyFill="0" applyBorder="0" applyAlignment="0" applyProtection="0"/>
    <xf numFmtId="9" fontId="41" fillId="27" borderId="19" applyFont="0" applyFill="0" applyBorder="0" applyAlignment="0" applyProtection="0"/>
    <xf numFmtId="2" fontId="41" fillId="27" borderId="19" applyFont="0" applyFill="0" applyBorder="0" applyAlignment="0" applyProtection="0"/>
    <xf numFmtId="2" fontId="41" fillId="27" borderId="19" applyFont="0" applyFill="0" applyBorder="0" applyAlignment="0" applyProtection="0"/>
    <xf numFmtId="0" fontId="64" fillId="0" borderId="0" applyNumberFormat="0" applyFill="0" applyBorder="0" applyAlignment="0" applyProtection="0"/>
    <xf numFmtId="0" fontId="65" fillId="0" borderId="21" applyNumberFormat="0" applyFill="0" applyAlignment="0" applyProtection="0"/>
    <xf numFmtId="0" fontId="66" fillId="0" borderId="6" applyNumberFormat="0" applyFill="0" applyProtection="0"/>
    <xf numFmtId="0" fontId="43" fillId="0" borderId="0" applyNumberFormat="0" applyFill="0" applyBorder="0" applyAlignment="0" applyProtection="0"/>
    <xf numFmtId="0" fontId="46" fillId="16" borderId="0" applyNumberFormat="0" applyBorder="0" applyAlignment="0" applyProtection="0"/>
    <xf numFmtId="0" fontId="46" fillId="12" borderId="0" applyNumberFormat="0" applyBorder="0" applyAlignment="0" applyProtection="0"/>
    <xf numFmtId="0" fontId="46" fillId="13" borderId="0" applyNumberFormat="0" applyBorder="0" applyAlignment="0" applyProtection="0"/>
    <xf numFmtId="0" fontId="46" fillId="17" borderId="0" applyNumberFormat="0" applyBorder="0" applyAlignment="0" applyProtection="0"/>
    <xf numFmtId="0" fontId="46" fillId="16" borderId="0" applyNumberFormat="0" applyBorder="0" applyAlignment="0" applyProtection="0"/>
    <xf numFmtId="0" fontId="46" fillId="12" borderId="0" applyNumberFormat="0" applyBorder="0" applyAlignment="0" applyProtection="0"/>
    <xf numFmtId="0" fontId="46" fillId="18" borderId="0" applyNumberFormat="0" applyBorder="0" applyAlignment="0" applyProtection="0"/>
    <xf numFmtId="0" fontId="46" fillId="19" borderId="0" applyNumberFormat="0" applyBorder="0" applyAlignment="0" applyProtection="0"/>
    <xf numFmtId="0" fontId="46" fillId="20" borderId="0" applyNumberFormat="0" applyBorder="0" applyAlignment="0" applyProtection="0"/>
    <xf numFmtId="0" fontId="46" fillId="21" borderId="0" applyNumberFormat="0" applyBorder="0" applyAlignment="0" applyProtection="0"/>
    <xf numFmtId="0" fontId="46" fillId="22" borderId="0" applyNumberFormat="0" applyBorder="0" applyAlignment="0" applyProtection="0"/>
    <xf numFmtId="0" fontId="46" fillId="23"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1" fillId="0" borderId="0"/>
    <xf numFmtId="0" fontId="75" fillId="38" borderId="0" applyNumberFormat="0" applyBorder="0" applyAlignment="0" applyProtection="0"/>
    <xf numFmtId="0" fontId="76" fillId="39" borderId="0" applyNumberFormat="0" applyBorder="0" applyAlignment="0" applyProtection="0"/>
    <xf numFmtId="0" fontId="77" fillId="40" borderId="0" applyNumberFormat="0" applyBorder="0" applyAlignment="0" applyProtection="0"/>
    <xf numFmtId="0" fontId="78" fillId="41" borderId="30" applyNumberFormat="0" applyAlignment="0" applyProtection="0"/>
    <xf numFmtId="0" fontId="4" fillId="0" borderId="0"/>
    <xf numFmtId="207" fontId="82" fillId="0" borderId="0" applyFont="0" applyFill="0" applyBorder="0" applyAlignment="0" applyProtection="0"/>
    <xf numFmtId="208" fontId="82" fillId="0" borderId="0" applyFont="0" applyFill="0" applyBorder="0" applyAlignment="0" applyProtection="0"/>
    <xf numFmtId="209" fontId="82" fillId="0" borderId="0" applyFont="0" applyFill="0" applyBorder="0" applyAlignment="0" applyProtection="0"/>
    <xf numFmtId="209" fontId="41" fillId="0" borderId="0" applyFont="0" applyFill="0" applyBorder="0" applyAlignment="0" applyProtection="0"/>
    <xf numFmtId="209" fontId="41" fillId="0" borderId="0" applyFont="0" applyFill="0" applyBorder="0" applyAlignment="0" applyProtection="0"/>
    <xf numFmtId="209" fontId="82" fillId="0" borderId="0" applyFont="0" applyFill="0" applyBorder="0" applyAlignment="0" applyProtection="0"/>
    <xf numFmtId="209" fontId="82" fillId="0" borderId="0" applyFont="0" applyFill="0" applyBorder="0" applyAlignment="0" applyProtection="0"/>
    <xf numFmtId="209" fontId="82" fillId="0" borderId="0" applyFont="0" applyFill="0" applyBorder="0" applyAlignment="0" applyProtection="0"/>
    <xf numFmtId="209" fontId="83" fillId="0" borderId="0" applyFont="0" applyFill="0" applyBorder="0" applyAlignment="0" applyProtection="0"/>
    <xf numFmtId="209" fontId="41" fillId="0" borderId="0" applyFont="0" applyFill="0" applyBorder="0" applyAlignment="0" applyProtection="0"/>
    <xf numFmtId="209" fontId="41" fillId="0" borderId="0" applyFont="0" applyFill="0" applyBorder="0" applyAlignment="0" applyProtection="0"/>
    <xf numFmtId="210" fontId="41" fillId="0" borderId="0" applyFont="0" applyFill="0" applyBorder="0" applyAlignment="0" applyProtection="0"/>
    <xf numFmtId="210" fontId="41" fillId="0" borderId="0" applyFont="0" applyFill="0" applyBorder="0" applyAlignment="0" applyProtection="0"/>
    <xf numFmtId="209" fontId="41" fillId="0" borderId="0" applyFont="0" applyFill="0" applyBorder="0" applyAlignment="0" applyProtection="0"/>
    <xf numFmtId="209" fontId="84" fillId="0" borderId="0" applyFont="0" applyFill="0" applyBorder="0" applyAlignment="0" applyProtection="0"/>
    <xf numFmtId="209" fontId="41" fillId="0" borderId="0" applyFont="0" applyFill="0" applyBorder="0" applyAlignment="0" applyProtection="0"/>
    <xf numFmtId="209" fontId="41" fillId="0" borderId="0" applyFont="0" applyFill="0" applyBorder="0" applyAlignment="0" applyProtection="0"/>
    <xf numFmtId="209" fontId="41" fillId="0" borderId="0" applyFont="0" applyFill="0" applyBorder="0" applyAlignment="0" applyProtection="0"/>
    <xf numFmtId="209" fontId="82" fillId="0" borderId="0" applyFont="0" applyFill="0" applyBorder="0" applyAlignment="0" applyProtection="0"/>
    <xf numFmtId="210" fontId="41" fillId="0" borderId="0" applyFont="0" applyFill="0" applyBorder="0" applyAlignment="0" applyProtection="0"/>
    <xf numFmtId="210" fontId="41" fillId="0" borderId="0" applyFont="0" applyFill="0" applyBorder="0" applyAlignment="0" applyProtection="0"/>
    <xf numFmtId="210" fontId="41" fillId="0" borderId="0" applyFont="0" applyFill="0" applyBorder="0" applyAlignment="0" applyProtection="0"/>
    <xf numFmtId="209" fontId="82" fillId="0" borderId="0" applyFont="0" applyFill="0" applyBorder="0" applyAlignment="0" applyProtection="0"/>
    <xf numFmtId="209" fontId="41" fillId="0" borderId="0" applyFont="0" applyFill="0" applyBorder="0" applyAlignment="0" applyProtection="0"/>
    <xf numFmtId="209" fontId="41" fillId="0" borderId="0" applyFont="0" applyFill="0" applyBorder="0" applyAlignment="0" applyProtection="0"/>
    <xf numFmtId="209" fontId="82" fillId="0" borderId="0" applyFont="0" applyFill="0" applyBorder="0" applyAlignment="0" applyProtection="0"/>
    <xf numFmtId="210" fontId="41" fillId="0" borderId="0" applyFont="0" applyFill="0" applyBorder="0" applyAlignment="0" applyProtection="0"/>
    <xf numFmtId="210" fontId="41" fillId="0" borderId="0" applyFont="0" applyFill="0" applyBorder="0" applyAlignment="0" applyProtection="0"/>
    <xf numFmtId="210" fontId="41" fillId="0" borderId="0" applyFont="0" applyFill="0" applyBorder="0" applyAlignment="0" applyProtection="0"/>
    <xf numFmtId="209" fontId="82" fillId="0" borderId="0" applyFont="0" applyFill="0" applyBorder="0" applyAlignment="0" applyProtection="0"/>
    <xf numFmtId="209" fontId="41" fillId="0" borderId="0" applyFont="0" applyFill="0" applyBorder="0" applyAlignment="0" applyProtection="0"/>
    <xf numFmtId="209" fontId="41" fillId="0" borderId="0" applyFont="0" applyFill="0" applyBorder="0" applyAlignment="0" applyProtection="0"/>
    <xf numFmtId="209" fontId="41" fillId="0" borderId="0" applyFont="0" applyFill="0" applyBorder="0" applyAlignment="0" applyProtection="0"/>
    <xf numFmtId="211" fontId="41" fillId="0" borderId="0" applyFont="0" applyFill="0" applyBorder="0" applyAlignment="0" applyProtection="0"/>
    <xf numFmtId="212" fontId="41" fillId="0" borderId="0" applyFont="0" applyFill="0" applyBorder="0" applyAlignment="0" applyProtection="0"/>
    <xf numFmtId="212" fontId="41" fillId="0" borderId="0" applyFont="0" applyFill="0" applyBorder="0" applyAlignment="0" applyProtection="0"/>
    <xf numFmtId="211" fontId="41" fillId="0" borderId="0" applyFont="0" applyFill="0" applyBorder="0" applyAlignment="0" applyProtection="0"/>
    <xf numFmtId="211" fontId="41" fillId="0" borderId="0" applyFont="0" applyFill="0" applyBorder="0" applyAlignment="0" applyProtection="0"/>
    <xf numFmtId="212" fontId="83" fillId="0" borderId="0" applyFont="0" applyFill="0" applyBorder="0" applyAlignment="0" applyProtection="0"/>
    <xf numFmtId="211" fontId="41" fillId="0" borderId="0" applyFont="0" applyFill="0" applyBorder="0" applyAlignment="0" applyProtection="0"/>
    <xf numFmtId="212" fontId="41" fillId="0" borderId="0" applyFont="0" applyFill="0" applyBorder="0" applyAlignment="0" applyProtection="0"/>
    <xf numFmtId="211" fontId="41" fillId="0" borderId="0" applyFont="0" applyFill="0" applyBorder="0" applyAlignment="0" applyProtection="0"/>
    <xf numFmtId="212" fontId="41" fillId="0" borderId="0" applyFont="0" applyFill="0" applyBorder="0" applyAlignment="0" applyProtection="0"/>
    <xf numFmtId="211" fontId="41" fillId="0" borderId="0" applyFont="0" applyFill="0" applyBorder="0" applyAlignment="0" applyProtection="0"/>
    <xf numFmtId="211" fontId="41" fillId="0" borderId="0" applyFont="0" applyFill="0" applyBorder="0" applyAlignment="0" applyProtection="0"/>
    <xf numFmtId="212" fontId="41" fillId="0" borderId="0" applyFont="0" applyFill="0" applyBorder="0" applyAlignment="0" applyProtection="0"/>
    <xf numFmtId="212" fontId="84" fillId="0" borderId="0" applyFont="0" applyFill="0" applyBorder="0" applyAlignment="0" applyProtection="0"/>
    <xf numFmtId="212" fontId="41" fillId="0" borderId="0" applyFont="0" applyFill="0" applyBorder="0" applyAlignment="0" applyProtection="0"/>
    <xf numFmtId="212" fontId="41" fillId="0" borderId="0" applyFont="0" applyFill="0" applyBorder="0" applyAlignment="0" applyProtection="0"/>
    <xf numFmtId="212" fontId="41" fillId="0" borderId="0" applyFont="0" applyFill="0" applyBorder="0" applyAlignment="0" applyProtection="0"/>
    <xf numFmtId="211" fontId="41" fillId="0" borderId="0" applyFont="0" applyFill="0" applyBorder="0" applyAlignment="0" applyProtection="0"/>
    <xf numFmtId="211" fontId="41" fillId="0" borderId="0" applyFont="0" applyFill="0" applyBorder="0" applyAlignment="0" applyProtection="0"/>
    <xf numFmtId="211" fontId="41" fillId="0" borderId="0" applyFont="0" applyFill="0" applyBorder="0" applyAlignment="0" applyProtection="0"/>
    <xf numFmtId="211" fontId="41" fillId="0" borderId="0" applyFont="0" applyFill="0" applyBorder="0" applyAlignment="0" applyProtection="0"/>
    <xf numFmtId="211" fontId="41" fillId="0" borderId="0" applyFont="0" applyFill="0" applyBorder="0" applyAlignment="0" applyProtection="0"/>
    <xf numFmtId="212" fontId="82" fillId="0" borderId="0" applyFont="0" applyFill="0" applyBorder="0" applyAlignment="0" applyProtection="0"/>
    <xf numFmtId="211" fontId="41" fillId="0" borderId="0" applyFont="0" applyFill="0" applyBorder="0" applyAlignment="0" applyProtection="0"/>
    <xf numFmtId="212" fontId="41" fillId="0" borderId="0" applyFont="0" applyFill="0" applyBorder="0" applyAlignment="0" applyProtection="0"/>
    <xf numFmtId="212" fontId="41" fillId="0" borderId="0" applyFont="0" applyFill="0" applyBorder="0" applyAlignment="0" applyProtection="0"/>
    <xf numFmtId="212" fontId="82" fillId="0" borderId="0" applyFont="0" applyFill="0" applyBorder="0" applyAlignment="0" applyProtection="0"/>
    <xf numFmtId="212" fontId="82" fillId="0" borderId="0" applyFont="0" applyFill="0" applyBorder="0" applyAlignment="0" applyProtection="0"/>
    <xf numFmtId="212" fontId="82" fillId="0" borderId="0" applyFont="0" applyFill="0" applyBorder="0" applyAlignment="0" applyProtection="0"/>
    <xf numFmtId="211" fontId="41" fillId="0" borderId="0" applyFont="0" applyFill="0" applyBorder="0" applyAlignment="0" applyProtection="0"/>
    <xf numFmtId="212" fontId="82" fillId="0" borderId="0" applyFont="0" applyFill="0" applyBorder="0" applyAlignment="0" applyProtection="0"/>
    <xf numFmtId="211" fontId="41" fillId="0" borderId="0" applyFont="0" applyFill="0" applyBorder="0" applyAlignment="0" applyProtection="0"/>
    <xf numFmtId="212" fontId="82" fillId="0" borderId="0" applyFont="0" applyFill="0" applyBorder="0" applyAlignment="0" applyProtection="0"/>
    <xf numFmtId="211" fontId="41" fillId="0" borderId="0" applyFont="0" applyFill="0" applyBorder="0" applyAlignment="0" applyProtection="0"/>
    <xf numFmtId="212" fontId="41" fillId="0" borderId="0" applyFont="0" applyFill="0" applyBorder="0" applyAlignment="0" applyProtection="0"/>
    <xf numFmtId="212" fontId="41" fillId="0" borderId="0" applyFont="0" applyFill="0" applyBorder="0" applyAlignment="0" applyProtection="0"/>
    <xf numFmtId="212" fontId="41" fillId="0" borderId="0" applyFont="0" applyFill="0" applyBorder="0" applyAlignment="0" applyProtection="0"/>
    <xf numFmtId="39" fontId="41" fillId="0" borderId="0" applyFont="0" applyFill="0" applyBorder="0" applyAlignment="0" applyProtection="0"/>
    <xf numFmtId="213" fontId="41" fillId="0" borderId="0" applyFont="0" applyFill="0" applyBorder="0" applyAlignment="0" applyProtection="0"/>
    <xf numFmtId="213" fontId="41" fillId="0" borderId="0" applyFont="0" applyFill="0" applyBorder="0" applyAlignment="0" applyProtection="0"/>
    <xf numFmtId="39" fontId="41" fillId="0" borderId="0" applyFont="0" applyFill="0" applyBorder="0" applyAlignment="0" applyProtection="0"/>
    <xf numFmtId="39" fontId="41" fillId="0" borderId="0" applyFont="0" applyFill="0" applyBorder="0" applyAlignment="0" applyProtection="0"/>
    <xf numFmtId="213" fontId="83" fillId="0" borderId="0" applyFont="0" applyFill="0" applyBorder="0" applyAlignment="0" applyProtection="0"/>
    <xf numFmtId="39" fontId="41" fillId="0" borderId="0" applyFont="0" applyFill="0" applyBorder="0" applyAlignment="0" applyProtection="0"/>
    <xf numFmtId="213" fontId="41" fillId="0" borderId="0" applyFont="0" applyFill="0" applyBorder="0" applyAlignment="0" applyProtection="0"/>
    <xf numFmtId="39" fontId="41" fillId="0" borderId="0" applyFont="0" applyFill="0" applyBorder="0" applyAlignment="0" applyProtection="0"/>
    <xf numFmtId="213" fontId="41" fillId="0" borderId="0" applyFont="0" applyFill="0" applyBorder="0" applyAlignment="0" applyProtection="0"/>
    <xf numFmtId="39" fontId="41" fillId="0" borderId="0" applyFont="0" applyFill="0" applyBorder="0" applyAlignment="0" applyProtection="0"/>
    <xf numFmtId="39" fontId="41" fillId="0" borderId="0" applyFont="0" applyFill="0" applyBorder="0" applyAlignment="0" applyProtection="0"/>
    <xf numFmtId="213" fontId="41" fillId="0" borderId="0" applyFont="0" applyFill="0" applyBorder="0" applyAlignment="0" applyProtection="0"/>
    <xf numFmtId="213" fontId="84" fillId="0" borderId="0" applyFont="0" applyFill="0" applyBorder="0" applyAlignment="0" applyProtection="0"/>
    <xf numFmtId="213" fontId="41" fillId="0" borderId="0" applyFont="0" applyFill="0" applyBorder="0" applyAlignment="0" applyProtection="0"/>
    <xf numFmtId="213" fontId="41" fillId="0" borderId="0" applyFont="0" applyFill="0" applyBorder="0" applyAlignment="0" applyProtection="0"/>
    <xf numFmtId="213" fontId="41" fillId="0" borderId="0" applyFont="0" applyFill="0" applyBorder="0" applyAlignment="0" applyProtection="0"/>
    <xf numFmtId="39" fontId="41" fillId="0" borderId="0" applyFont="0" applyFill="0" applyBorder="0" applyAlignment="0" applyProtection="0"/>
    <xf numFmtId="39" fontId="41" fillId="0" borderId="0" applyFont="0" applyFill="0" applyBorder="0" applyAlignment="0" applyProtection="0"/>
    <xf numFmtId="39" fontId="41" fillId="0" borderId="0" applyFont="0" applyFill="0" applyBorder="0" applyAlignment="0" applyProtection="0"/>
    <xf numFmtId="39" fontId="41" fillId="0" borderId="0" applyFont="0" applyFill="0" applyBorder="0" applyAlignment="0" applyProtection="0"/>
    <xf numFmtId="39" fontId="41" fillId="0" borderId="0" applyFont="0" applyFill="0" applyBorder="0" applyAlignment="0" applyProtection="0"/>
    <xf numFmtId="213" fontId="82" fillId="0" borderId="0" applyFont="0" applyFill="0" applyBorder="0" applyAlignment="0" applyProtection="0"/>
    <xf numFmtId="39" fontId="41" fillId="0" borderId="0" applyFont="0" applyFill="0" applyBorder="0" applyAlignment="0" applyProtection="0"/>
    <xf numFmtId="213" fontId="41" fillId="0" borderId="0" applyFont="0" applyFill="0" applyBorder="0" applyAlignment="0" applyProtection="0"/>
    <xf numFmtId="213" fontId="41" fillId="0" borderId="0" applyFont="0" applyFill="0" applyBorder="0" applyAlignment="0" applyProtection="0"/>
    <xf numFmtId="213" fontId="82" fillId="0" borderId="0" applyFont="0" applyFill="0" applyBorder="0" applyAlignment="0" applyProtection="0"/>
    <xf numFmtId="213" fontId="82" fillId="0" borderId="0" applyFont="0" applyFill="0" applyBorder="0" applyAlignment="0" applyProtection="0"/>
    <xf numFmtId="213" fontId="82" fillId="0" borderId="0" applyFont="0" applyFill="0" applyBorder="0" applyAlignment="0" applyProtection="0"/>
    <xf numFmtId="39" fontId="41" fillId="0" borderId="0" applyFont="0" applyFill="0" applyBorder="0" applyAlignment="0" applyProtection="0"/>
    <xf numFmtId="213" fontId="82" fillId="0" borderId="0" applyFont="0" applyFill="0" applyBorder="0" applyAlignment="0" applyProtection="0"/>
    <xf numFmtId="39" fontId="41" fillId="0" borderId="0" applyFont="0" applyFill="0" applyBorder="0" applyAlignment="0" applyProtection="0"/>
    <xf numFmtId="213" fontId="82" fillId="0" borderId="0" applyFont="0" applyFill="0" applyBorder="0" applyAlignment="0" applyProtection="0"/>
    <xf numFmtId="39" fontId="41" fillId="0" borderId="0" applyFont="0" applyFill="0" applyBorder="0" applyAlignment="0" applyProtection="0"/>
    <xf numFmtId="213" fontId="41" fillId="0" borderId="0" applyFont="0" applyFill="0" applyBorder="0" applyAlignment="0" applyProtection="0"/>
    <xf numFmtId="213" fontId="41" fillId="0" borderId="0" applyFont="0" applyFill="0" applyBorder="0" applyAlignment="0" applyProtection="0"/>
    <xf numFmtId="213" fontId="41" fillId="0" borderId="0" applyFont="0" applyFill="0" applyBorder="0" applyAlignment="0" applyProtection="0"/>
    <xf numFmtId="211" fontId="41" fillId="0" borderId="0" applyFont="0" applyFill="0" applyBorder="0" applyAlignment="0" applyProtection="0"/>
    <xf numFmtId="214" fontId="82" fillId="0" borderId="0" applyFont="0" applyFill="0" applyBorder="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82" fillId="13" borderId="0" applyNumberFormat="0" applyFont="0" applyAlignment="0" applyProtection="0"/>
    <xf numFmtId="215" fontId="41" fillId="0" borderId="0" applyFont="0" applyFill="0" applyBorder="0" applyAlignment="0" applyProtection="0"/>
    <xf numFmtId="216" fontId="41" fillId="0" borderId="0" applyFont="0" applyFill="0" applyBorder="0" applyAlignment="0" applyProtection="0"/>
    <xf numFmtId="216" fontId="41" fillId="0" borderId="0" applyFont="0" applyFill="0" applyBorder="0" applyAlignment="0" applyProtection="0"/>
    <xf numFmtId="215" fontId="41" fillId="0" borderId="0" applyFont="0" applyFill="0" applyBorder="0" applyAlignment="0" applyProtection="0"/>
    <xf numFmtId="215" fontId="41" fillId="0" borderId="0" applyFont="0" applyFill="0" applyBorder="0" applyAlignment="0" applyProtection="0"/>
    <xf numFmtId="216" fontId="83" fillId="0" borderId="0" applyFont="0" applyFill="0" applyBorder="0" applyAlignment="0" applyProtection="0"/>
    <xf numFmtId="215" fontId="41" fillId="0" borderId="0" applyFont="0" applyFill="0" applyBorder="0" applyAlignment="0" applyProtection="0"/>
    <xf numFmtId="216" fontId="41" fillId="0" borderId="0" applyFont="0" applyFill="0" applyBorder="0" applyAlignment="0" applyProtection="0"/>
    <xf numFmtId="215" fontId="41" fillId="0" borderId="0" applyFont="0" applyFill="0" applyBorder="0" applyAlignment="0" applyProtection="0"/>
    <xf numFmtId="216" fontId="41" fillId="0" borderId="0" applyFont="0" applyFill="0" applyBorder="0" applyAlignment="0" applyProtection="0"/>
    <xf numFmtId="215" fontId="41" fillId="0" borderId="0" applyFont="0" applyFill="0" applyBorder="0" applyAlignment="0" applyProtection="0"/>
    <xf numFmtId="215" fontId="41" fillId="0" borderId="0" applyFont="0" applyFill="0" applyBorder="0" applyAlignment="0" applyProtection="0"/>
    <xf numFmtId="216" fontId="41" fillId="0" borderId="0" applyFont="0" applyFill="0" applyBorder="0" applyAlignment="0" applyProtection="0"/>
    <xf numFmtId="216" fontId="84" fillId="0" borderId="0" applyFont="0" applyFill="0" applyBorder="0" applyAlignment="0" applyProtection="0"/>
    <xf numFmtId="217" fontId="41" fillId="0" borderId="0" applyFont="0" applyFill="0" applyBorder="0" applyAlignment="0" applyProtection="0"/>
    <xf numFmtId="217" fontId="41" fillId="0" borderId="0" applyFont="0" applyFill="0" applyBorder="0" applyAlignment="0" applyProtection="0"/>
    <xf numFmtId="217" fontId="41" fillId="0" borderId="0" applyFont="0" applyFill="0" applyBorder="0" applyAlignment="0" applyProtection="0"/>
    <xf numFmtId="215" fontId="41" fillId="0" borderId="0" applyFont="0" applyFill="0" applyBorder="0" applyAlignment="0" applyProtection="0"/>
    <xf numFmtId="215" fontId="41" fillId="0" borderId="0" applyFont="0" applyFill="0" applyBorder="0" applyAlignment="0" applyProtection="0"/>
    <xf numFmtId="215" fontId="41" fillId="0" borderId="0" applyFont="0" applyFill="0" applyBorder="0" applyAlignment="0" applyProtection="0"/>
    <xf numFmtId="215" fontId="41" fillId="0" borderId="0" applyFont="0" applyFill="0" applyBorder="0" applyAlignment="0" applyProtection="0"/>
    <xf numFmtId="215" fontId="41" fillId="0" borderId="0" applyFont="0" applyFill="0" applyBorder="0" applyAlignment="0" applyProtection="0"/>
    <xf numFmtId="216" fontId="82" fillId="0" borderId="0" applyFont="0" applyFill="0" applyBorder="0" applyAlignment="0" applyProtection="0"/>
    <xf numFmtId="215" fontId="41" fillId="0" borderId="0" applyFont="0" applyFill="0" applyBorder="0" applyAlignment="0" applyProtection="0"/>
    <xf numFmtId="216" fontId="41" fillId="0" borderId="0" applyFont="0" applyFill="0" applyBorder="0" applyAlignment="0" applyProtection="0"/>
    <xf numFmtId="216" fontId="41" fillId="0" borderId="0" applyFont="0" applyFill="0" applyBorder="0" applyAlignment="0" applyProtection="0"/>
    <xf numFmtId="216" fontId="82" fillId="0" borderId="0" applyFont="0" applyFill="0" applyBorder="0" applyAlignment="0" applyProtection="0"/>
    <xf numFmtId="216" fontId="82" fillId="0" borderId="0" applyFont="0" applyFill="0" applyBorder="0" applyAlignment="0" applyProtection="0"/>
    <xf numFmtId="216" fontId="82" fillId="0" borderId="0" applyFont="0" applyFill="0" applyBorder="0" applyAlignment="0" applyProtection="0"/>
    <xf numFmtId="215" fontId="41" fillId="0" borderId="0" applyFont="0" applyFill="0" applyBorder="0" applyAlignment="0" applyProtection="0"/>
    <xf numFmtId="216" fontId="82" fillId="0" borderId="0" applyFont="0" applyFill="0" applyBorder="0" applyAlignment="0" applyProtection="0"/>
    <xf numFmtId="215" fontId="41" fillId="0" borderId="0" applyFont="0" applyFill="0" applyBorder="0" applyAlignment="0" applyProtection="0"/>
    <xf numFmtId="216" fontId="82" fillId="0" borderId="0" applyFont="0" applyFill="0" applyBorder="0" applyAlignment="0" applyProtection="0"/>
    <xf numFmtId="215" fontId="41" fillId="0" borderId="0" applyFont="0" applyFill="0" applyBorder="0" applyAlignment="0" applyProtection="0"/>
    <xf numFmtId="216" fontId="41" fillId="0" borderId="0" applyFont="0" applyFill="0" applyBorder="0" applyAlignment="0" applyProtection="0"/>
    <xf numFmtId="216" fontId="41" fillId="0" borderId="0" applyFont="0" applyFill="0" applyBorder="0" applyAlignment="0" applyProtection="0"/>
    <xf numFmtId="216" fontId="41" fillId="0" borderId="0" applyFont="0" applyFill="0" applyBorder="0" applyAlignment="0" applyProtection="0"/>
    <xf numFmtId="218" fontId="41" fillId="0" borderId="0" applyFont="0" applyFill="0" applyBorder="0" applyAlignment="0" applyProtection="0"/>
    <xf numFmtId="219" fontId="41" fillId="0" borderId="0" applyFont="0" applyFill="0" applyBorder="0" applyProtection="0">
      <alignment horizontal="right"/>
    </xf>
    <xf numFmtId="219" fontId="41" fillId="0" borderId="0" applyFont="0" applyFill="0" applyBorder="0" applyProtection="0">
      <alignment horizontal="right"/>
    </xf>
    <xf numFmtId="218" fontId="41" fillId="0" borderId="0" applyFont="0" applyFill="0" applyBorder="0" applyAlignment="0" applyProtection="0"/>
    <xf numFmtId="218" fontId="41" fillId="0" borderId="0" applyFont="0" applyFill="0" applyBorder="0" applyAlignment="0" applyProtection="0"/>
    <xf numFmtId="219" fontId="83" fillId="0" borderId="0" applyFont="0" applyFill="0" applyBorder="0" applyProtection="0">
      <alignment horizontal="right"/>
    </xf>
    <xf numFmtId="218" fontId="41" fillId="0" borderId="0" applyFont="0" applyFill="0" applyBorder="0" applyAlignment="0" applyProtection="0"/>
    <xf numFmtId="219" fontId="41" fillId="0" borderId="0" applyFont="0" applyFill="0" applyBorder="0" applyProtection="0">
      <alignment horizontal="right"/>
    </xf>
    <xf numFmtId="218" fontId="41" fillId="0" borderId="0" applyFont="0" applyFill="0" applyBorder="0" applyAlignment="0" applyProtection="0"/>
    <xf numFmtId="219" fontId="41" fillId="0" borderId="0" applyFont="0" applyFill="0" applyBorder="0" applyProtection="0">
      <alignment horizontal="right"/>
    </xf>
    <xf numFmtId="218" fontId="41" fillId="0" borderId="0" applyFont="0" applyFill="0" applyBorder="0" applyAlignment="0" applyProtection="0"/>
    <xf numFmtId="218" fontId="41" fillId="0" borderId="0" applyFont="0" applyFill="0" applyBorder="0" applyAlignment="0" applyProtection="0"/>
    <xf numFmtId="219" fontId="41" fillId="0" borderId="0" applyFont="0" applyFill="0" applyBorder="0" applyProtection="0">
      <alignment horizontal="right"/>
    </xf>
    <xf numFmtId="219" fontId="84" fillId="0" borderId="0" applyFont="0" applyFill="0" applyBorder="0" applyProtection="0">
      <alignment horizontal="right"/>
    </xf>
    <xf numFmtId="220" fontId="41" fillId="0" borderId="0" applyFont="0" applyFill="0" applyBorder="0" applyAlignment="0" applyProtection="0"/>
    <xf numFmtId="220" fontId="41" fillId="0" borderId="0" applyFont="0" applyFill="0" applyBorder="0" applyAlignment="0" applyProtection="0"/>
    <xf numFmtId="220" fontId="41" fillId="0" borderId="0" applyFont="0" applyFill="0" applyBorder="0" applyAlignment="0" applyProtection="0"/>
    <xf numFmtId="218" fontId="41" fillId="0" borderId="0" applyFont="0" applyFill="0" applyBorder="0" applyAlignment="0" applyProtection="0"/>
    <xf numFmtId="218" fontId="41" fillId="0" borderId="0" applyFont="0" applyFill="0" applyBorder="0" applyAlignment="0" applyProtection="0"/>
    <xf numFmtId="218" fontId="41" fillId="0" borderId="0" applyFont="0" applyFill="0" applyBorder="0" applyAlignment="0" applyProtection="0"/>
    <xf numFmtId="218" fontId="41" fillId="0" borderId="0" applyFont="0" applyFill="0" applyBorder="0" applyAlignment="0" applyProtection="0"/>
    <xf numFmtId="218" fontId="41" fillId="0" borderId="0" applyFont="0" applyFill="0" applyBorder="0" applyAlignment="0" applyProtection="0"/>
    <xf numFmtId="219" fontId="82" fillId="0" borderId="0" applyFont="0" applyFill="0" applyBorder="0" applyProtection="0">
      <alignment horizontal="right"/>
    </xf>
    <xf numFmtId="218" fontId="41" fillId="0" borderId="0" applyFont="0" applyFill="0" applyBorder="0" applyAlignment="0" applyProtection="0"/>
    <xf numFmtId="219" fontId="41" fillId="0" borderId="0" applyFont="0" applyFill="0" applyBorder="0" applyProtection="0">
      <alignment horizontal="right"/>
    </xf>
    <xf numFmtId="219" fontId="41" fillId="0" borderId="0" applyFont="0" applyFill="0" applyBorder="0" applyProtection="0">
      <alignment horizontal="right"/>
    </xf>
    <xf numFmtId="219" fontId="82" fillId="0" borderId="0" applyFont="0" applyFill="0" applyBorder="0" applyProtection="0">
      <alignment horizontal="right"/>
    </xf>
    <xf numFmtId="219" fontId="82" fillId="0" borderId="0" applyFont="0" applyFill="0" applyBorder="0" applyProtection="0">
      <alignment horizontal="right"/>
    </xf>
    <xf numFmtId="219" fontId="82" fillId="0" borderId="0" applyFont="0" applyFill="0" applyBorder="0" applyProtection="0">
      <alignment horizontal="right"/>
    </xf>
    <xf numFmtId="218" fontId="41" fillId="0" borderId="0" applyFont="0" applyFill="0" applyBorder="0" applyAlignment="0" applyProtection="0"/>
    <xf numFmtId="219" fontId="82" fillId="0" borderId="0" applyFont="0" applyFill="0" applyBorder="0" applyProtection="0">
      <alignment horizontal="right"/>
    </xf>
    <xf numFmtId="218" fontId="41" fillId="0" borderId="0" applyFont="0" applyFill="0" applyBorder="0" applyAlignment="0" applyProtection="0"/>
    <xf numFmtId="219" fontId="82" fillId="0" borderId="0" applyFont="0" applyFill="0" applyBorder="0" applyProtection="0">
      <alignment horizontal="right"/>
    </xf>
    <xf numFmtId="218" fontId="41" fillId="0" borderId="0" applyFont="0" applyFill="0" applyBorder="0" applyAlignment="0" applyProtection="0"/>
    <xf numFmtId="219" fontId="41" fillId="0" borderId="0" applyFont="0" applyFill="0" applyBorder="0" applyProtection="0">
      <alignment horizontal="right"/>
    </xf>
    <xf numFmtId="219" fontId="41" fillId="0" borderId="0" applyFont="0" applyFill="0" applyBorder="0" applyProtection="0">
      <alignment horizontal="right"/>
    </xf>
    <xf numFmtId="219" fontId="41" fillId="0" borderId="0" applyFont="0" applyFill="0" applyBorder="0" applyProtection="0">
      <alignment horizontal="right"/>
    </xf>
    <xf numFmtId="221" fontId="41" fillId="0" borderId="0" applyFont="0" applyFill="0" applyBorder="0" applyAlignment="0" applyProtection="0"/>
    <xf numFmtId="207" fontId="41" fillId="0" borderId="0" applyFont="0" applyFill="0" applyBorder="0" applyProtection="0">
      <alignment horizontal="right"/>
    </xf>
    <xf numFmtId="207" fontId="41" fillId="0" borderId="0" applyFont="0" applyFill="0" applyBorder="0" applyAlignment="0" applyProtection="0"/>
    <xf numFmtId="207" fontId="41" fillId="0" borderId="0" applyFont="0" applyFill="0" applyBorder="0" applyAlignment="0" applyProtection="0"/>
    <xf numFmtId="207" fontId="41" fillId="0" borderId="0" applyFont="0" applyFill="0" applyBorder="0" applyAlignment="0" applyProtection="0"/>
    <xf numFmtId="222" fontId="41" fillId="0" borderId="0" applyFont="0" applyFill="0" applyBorder="0" applyAlignment="0" applyProtection="0"/>
    <xf numFmtId="208" fontId="41" fillId="0" borderId="0" applyFont="0" applyFill="0" applyBorder="0" applyProtection="0">
      <alignment horizontal="right"/>
    </xf>
    <xf numFmtId="208" fontId="41" fillId="0" borderId="0" applyFont="0" applyFill="0" applyBorder="0" applyProtection="0">
      <alignment horizontal="right"/>
    </xf>
    <xf numFmtId="208" fontId="41" fillId="0" borderId="0" applyFont="0" applyFill="0" applyBorder="0" applyAlignment="0" applyProtection="0"/>
    <xf numFmtId="208" fontId="41" fillId="0" borderId="0" applyFont="0" applyFill="0" applyBorder="0" applyAlignment="0" applyProtection="0"/>
    <xf numFmtId="208" fontId="41" fillId="0" borderId="0" applyFont="0" applyFill="0" applyBorder="0" applyAlignment="0" applyProtection="0"/>
    <xf numFmtId="0" fontId="86" fillId="0" borderId="0" applyNumberFormat="0" applyFill="0" applyBorder="0" applyProtection="0">
      <alignment vertical="top"/>
    </xf>
    <xf numFmtId="0" fontId="86" fillId="0" borderId="0" applyNumberFormat="0" applyFill="0" applyBorder="0" applyProtection="0">
      <alignment vertical="top"/>
    </xf>
    <xf numFmtId="0" fontId="86" fillId="0" borderId="0" applyNumberFormat="0" applyFill="0" applyBorder="0" applyAlignment="0" applyProtection="0">
      <alignment vertical="top"/>
    </xf>
    <xf numFmtId="0" fontId="86" fillId="0" borderId="0" applyNumberFormat="0" applyFill="0" applyBorder="0" applyProtection="0">
      <alignment vertical="top"/>
    </xf>
    <xf numFmtId="0" fontId="86" fillId="0" borderId="0" applyNumberFormat="0" applyFill="0" applyBorder="0" applyProtection="0">
      <alignment vertical="top"/>
    </xf>
    <xf numFmtId="0" fontId="86" fillId="0" borderId="0" applyNumberFormat="0" applyFill="0" applyBorder="0" applyProtection="0">
      <alignment vertical="top"/>
    </xf>
    <xf numFmtId="0" fontId="86" fillId="0" borderId="0" applyNumberFormat="0" applyFill="0" applyBorder="0" applyProtection="0">
      <alignment vertical="top"/>
    </xf>
    <xf numFmtId="0" fontId="86" fillId="0" borderId="0" applyNumberFormat="0" applyFill="0" applyBorder="0" applyProtection="0">
      <alignment vertical="top"/>
    </xf>
    <xf numFmtId="0" fontId="86" fillId="0" borderId="0" applyNumberFormat="0" applyFill="0" applyBorder="0" applyProtection="0">
      <alignment vertical="top"/>
    </xf>
    <xf numFmtId="0" fontId="86" fillId="0" borderId="0" applyNumberFormat="0" applyFill="0" applyBorder="0" applyProtection="0">
      <alignment vertical="top"/>
    </xf>
    <xf numFmtId="0" fontId="86" fillId="0" borderId="0" applyNumberFormat="0" applyFill="0" applyBorder="0" applyProtection="0">
      <alignment vertical="top"/>
    </xf>
    <xf numFmtId="0" fontId="86" fillId="0" borderId="0" applyNumberFormat="0" applyFill="0" applyBorder="0" applyProtection="0">
      <alignment vertical="top"/>
    </xf>
    <xf numFmtId="0" fontId="87" fillId="0" borderId="36" applyNumberFormat="0" applyFill="0" applyAlignment="0" applyProtection="0"/>
    <xf numFmtId="0" fontId="87" fillId="0" borderId="36" applyNumberFormat="0" applyFill="0" applyAlignment="0" applyProtection="0"/>
    <xf numFmtId="0" fontId="87" fillId="0" borderId="37" applyNumberFormat="0" applyFill="0" applyAlignment="0" applyProtection="0"/>
    <xf numFmtId="0" fontId="87" fillId="0" borderId="36" applyNumberFormat="0" applyFill="0" applyAlignment="0" applyProtection="0"/>
    <xf numFmtId="0" fontId="87" fillId="0" borderId="36" applyNumberFormat="0" applyFill="0" applyAlignment="0" applyProtection="0"/>
    <xf numFmtId="0" fontId="88" fillId="0" borderId="38" applyNumberFormat="0" applyFill="0" applyProtection="0">
      <alignment horizontal="center"/>
    </xf>
    <xf numFmtId="0" fontId="88" fillId="0" borderId="0" applyNumberFormat="0" applyFill="0" applyBorder="0" applyProtection="0">
      <alignment horizontal="left"/>
    </xf>
    <xf numFmtId="0" fontId="89" fillId="0" borderId="0" applyNumberFormat="0" applyFill="0" applyBorder="0" applyProtection="0">
      <alignment horizontal="centerContinuous"/>
    </xf>
    <xf numFmtId="0" fontId="89" fillId="0" borderId="0" applyNumberFormat="0" applyFill="0" applyBorder="0" applyProtection="0">
      <alignment horizontal="centerContinuous"/>
    </xf>
    <xf numFmtId="0" fontId="89" fillId="0" borderId="0" applyNumberFormat="0" applyFill="0" applyProtection="0">
      <alignment horizontal="centerContinuous"/>
    </xf>
    <xf numFmtId="0" fontId="89" fillId="0" borderId="0" applyNumberFormat="0" applyFill="0" applyBorder="0" applyProtection="0">
      <alignment horizontal="centerContinuous"/>
    </xf>
    <xf numFmtId="0" fontId="89" fillId="0" borderId="0" applyNumberFormat="0" applyFill="0" applyBorder="0" applyProtection="0">
      <alignment horizontal="centerContinuous"/>
    </xf>
    <xf numFmtId="223" fontId="90" fillId="42" borderId="0" applyNumberFormat="0" applyFont="0" applyBorder="0" applyAlignment="0">
      <alignment horizontal="right"/>
    </xf>
    <xf numFmtId="224" fontId="91" fillId="42" borderId="23" applyFont="0">
      <alignment horizontal="right"/>
    </xf>
    <xf numFmtId="0" fontId="62" fillId="0" borderId="0" applyNumberFormat="0" applyFill="0" applyBorder="0" applyAlignment="0" applyProtection="0"/>
    <xf numFmtId="0" fontId="92" fillId="0" borderId="0"/>
    <xf numFmtId="2" fontId="93" fillId="0" borderId="0" applyNumberFormat="0" applyBorder="0" applyAlignment="0"/>
    <xf numFmtId="173" fontId="94" fillId="0" borderId="0"/>
    <xf numFmtId="0" fontId="95" fillId="0" borderId="0" applyNumberFormat="0" applyFill="0" applyBorder="0" applyAlignment="0"/>
    <xf numFmtId="0" fontId="96" fillId="0" borderId="0" applyNumberFormat="0" applyFill="0" applyBorder="0" applyAlignment="0" applyProtection="0"/>
    <xf numFmtId="0" fontId="40" fillId="43" borderId="39">
      <alignment horizontal="center"/>
    </xf>
    <xf numFmtId="2" fontId="62" fillId="44" borderId="0" applyNumberFormat="0" applyFont="0" applyBorder="0" applyAlignment="0" applyProtection="0"/>
    <xf numFmtId="225" fontId="62" fillId="45" borderId="0" applyNumberFormat="0" applyFont="0" applyBorder="0" applyAlignment="0">
      <protection locked="0"/>
    </xf>
    <xf numFmtId="0" fontId="62" fillId="0" borderId="0" applyNumberFormat="0" applyFill="0" applyBorder="0" applyAlignment="0" applyProtection="0"/>
    <xf numFmtId="0" fontId="97" fillId="0" borderId="0" applyNumberFormat="0" applyFill="0" applyBorder="0" applyAlignment="0" applyProtection="0"/>
    <xf numFmtId="0" fontId="62" fillId="0" borderId="0" applyNumberFormat="0" applyFill="0" applyBorder="0" applyAlignment="0" applyProtection="0"/>
    <xf numFmtId="225" fontId="98" fillId="0" borderId="0" applyNumberFormat="0" applyFill="0" applyBorder="0" applyProtection="0">
      <alignment horizontal="right"/>
    </xf>
    <xf numFmtId="226" fontId="41" fillId="0" borderId="0">
      <protection locked="0"/>
    </xf>
    <xf numFmtId="0" fontId="99" fillId="0" borderId="0" applyNumberFormat="0" applyFill="0" applyBorder="0">
      <alignment horizontal="right"/>
    </xf>
    <xf numFmtId="38" fontId="100" fillId="0" borderId="0" applyNumberFormat="0" applyFill="0" applyBorder="0">
      <alignment vertical="center"/>
    </xf>
    <xf numFmtId="166" fontId="101" fillId="0" borderId="40">
      <protection locked="0"/>
    </xf>
    <xf numFmtId="226" fontId="41" fillId="0" borderId="0">
      <protection locked="0"/>
    </xf>
    <xf numFmtId="14" fontId="102" fillId="0" borderId="0">
      <alignment horizontal="right"/>
    </xf>
    <xf numFmtId="0" fontId="19" fillId="0" borderId="0"/>
    <xf numFmtId="0" fontId="93" fillId="0" borderId="0" applyNumberFormat="0" applyAlignment="0"/>
    <xf numFmtId="227" fontId="62" fillId="46" borderId="3" applyNumberFormat="0" applyFont="0" applyBorder="0" applyAlignment="0" applyProtection="0">
      <alignment horizontal="right"/>
    </xf>
    <xf numFmtId="170" fontId="103" fillId="0" borderId="0" applyNumberFormat="0" applyFont="0" applyAlignment="0">
      <alignment vertical="center"/>
    </xf>
    <xf numFmtId="226" fontId="41" fillId="0" borderId="0">
      <protection locked="0"/>
    </xf>
    <xf numFmtId="0" fontId="104" fillId="0" borderId="0" applyNumberFormat="0" applyFill="0" applyBorder="0" applyAlignment="0" applyProtection="0"/>
    <xf numFmtId="1" fontId="62" fillId="0" borderId="0" applyNumberFormat="0" applyBorder="0" applyAlignment="0" applyProtection="0"/>
    <xf numFmtId="228" fontId="105" fillId="0" borderId="0">
      <alignment vertical="center"/>
    </xf>
    <xf numFmtId="49" fontId="104" fillId="0" borderId="0">
      <alignment horizontal="right"/>
    </xf>
    <xf numFmtId="49" fontId="106" fillId="0" borderId="0">
      <alignment horizontal="right"/>
    </xf>
    <xf numFmtId="228" fontId="107" fillId="0" borderId="0">
      <alignment vertical="center"/>
    </xf>
    <xf numFmtId="170" fontId="108" fillId="0" borderId="0" applyNumberFormat="0" applyFill="0" applyBorder="0">
      <alignment horizontal="left" vertical="center"/>
    </xf>
    <xf numFmtId="0" fontId="109" fillId="0" borderId="0"/>
    <xf numFmtId="0" fontId="110" fillId="47" borderId="0" applyNumberFormat="0" applyFont="0" applyBorder="0" applyAlignment="0" applyProtection="0"/>
    <xf numFmtId="229" fontId="41" fillId="0" borderId="0" applyNumberFormat="0" applyFill="0" applyBorder="0" applyAlignment="0" applyProtection="0"/>
    <xf numFmtId="0" fontId="111" fillId="0" borderId="0"/>
    <xf numFmtId="0" fontId="112" fillId="0" borderId="0"/>
    <xf numFmtId="38" fontId="113" fillId="0" borderId="0" applyNumberFormat="0" applyFill="0" applyBorder="0">
      <alignment horizontal="left" vertical="center"/>
    </xf>
    <xf numFmtId="170" fontId="114" fillId="0" borderId="0" applyFill="0" applyBorder="0">
      <alignment vertical="center"/>
    </xf>
    <xf numFmtId="0" fontId="115" fillId="48" borderId="0"/>
    <xf numFmtId="230" fontId="41" fillId="0" borderId="0" applyFont="0" applyFill="0" applyBorder="0" applyAlignment="0" applyProtection="0"/>
    <xf numFmtId="225" fontId="116" fillId="0" borderId="0"/>
    <xf numFmtId="2" fontId="110" fillId="0" borderId="0" applyBorder="0" applyProtection="0"/>
    <xf numFmtId="0" fontId="62" fillId="0" borderId="0" applyNumberFormat="0" applyFill="0" applyBorder="0" applyAlignment="0" applyProtection="0"/>
    <xf numFmtId="0" fontId="117" fillId="0" borderId="0" applyNumberFormat="0" applyFill="0" applyBorder="0" applyAlignment="0" applyProtection="0"/>
    <xf numFmtId="229" fontId="41" fillId="0" borderId="0" applyNumberFormat="0" applyFill="0" applyBorder="0" applyAlignment="0" applyProtection="0"/>
    <xf numFmtId="0" fontId="117" fillId="0" borderId="0" applyNumberFormat="0" applyFill="0" applyBorder="0" applyAlignment="0" applyProtection="0"/>
    <xf numFmtId="0" fontId="113" fillId="0" borderId="0" applyNumberFormat="0" applyFill="0" applyBorder="0" applyAlignment="0" applyProtection="0"/>
    <xf numFmtId="0" fontId="62" fillId="0" borderId="0" applyNumberFormat="0" applyFill="0" applyBorder="0" applyAlignment="0" applyProtection="0"/>
    <xf numFmtId="0" fontId="118" fillId="0" borderId="0">
      <alignment horizontal="left" vertical="top"/>
      <protection locked="0"/>
    </xf>
    <xf numFmtId="231" fontId="41" fillId="0" borderId="0" applyFill="0">
      <alignment horizontal="center" vertical="center"/>
    </xf>
    <xf numFmtId="0" fontId="119" fillId="0" borderId="0" applyNumberFormat="0" applyFill="0" applyBorder="0">
      <alignment horizontal="left"/>
    </xf>
    <xf numFmtId="232" fontId="41" fillId="0" borderId="0"/>
    <xf numFmtId="165" fontId="120" fillId="0" borderId="0" applyFont="0" applyFill="0" applyBorder="0" applyAlignment="0" applyProtection="0"/>
    <xf numFmtId="0" fontId="121" fillId="0" borderId="0" applyNumberFormat="0" applyAlignment="0"/>
    <xf numFmtId="173" fontId="41" fillId="0" borderId="0" applyFill="0" applyBorder="0" applyAlignment="0" applyProtection="0"/>
    <xf numFmtId="210" fontId="122" fillId="0" borderId="0">
      <alignment vertical="top"/>
    </xf>
    <xf numFmtId="172" fontId="110" fillId="19" borderId="29" applyNumberFormat="0" applyFont="0" applyBorder="0" applyAlignment="0" applyProtection="0">
      <alignment horizontal="center"/>
    </xf>
    <xf numFmtId="37" fontId="49" fillId="1" borderId="0">
      <alignment horizontal="right"/>
    </xf>
    <xf numFmtId="1" fontId="123" fillId="49" borderId="0" applyNumberFormat="0" applyFont="0" applyBorder="0" applyAlignment="0">
      <alignment horizontal="left"/>
    </xf>
    <xf numFmtId="2" fontId="124" fillId="0" borderId="0"/>
    <xf numFmtId="1" fontId="41" fillId="0" borderId="0"/>
    <xf numFmtId="0" fontId="41" fillId="0" borderId="0" applyFont="0" applyFill="0" applyBorder="0" applyAlignment="0" applyProtection="0"/>
    <xf numFmtId="0" fontId="41" fillId="0" borderId="0">
      <alignment vertical="top"/>
    </xf>
    <xf numFmtId="0" fontId="41" fillId="0" borderId="0">
      <alignment vertical="top"/>
    </xf>
    <xf numFmtId="233" fontId="125" fillId="0" borderId="0" applyNumberFormat="0" applyFill="0" applyBorder="0" applyAlignment="0" applyProtection="0">
      <alignment horizontal="right" vertical="center" wrapText="1"/>
    </xf>
    <xf numFmtId="0" fontId="126" fillId="0" borderId="0" applyNumberFormat="0" applyFill="0" applyBorder="0" applyAlignment="0" applyProtection="0"/>
    <xf numFmtId="0" fontId="127" fillId="0" borderId="0" applyNumberFormat="0" applyFill="0" applyBorder="0" applyAlignment="0" applyProtection="0">
      <protection locked="0"/>
    </xf>
    <xf numFmtId="0" fontId="128" fillId="0" borderId="3" applyNumberFormat="0" applyFill="0" applyProtection="0">
      <alignment horizontal="right"/>
    </xf>
    <xf numFmtId="164" fontId="113" fillId="0" borderId="41" applyFill="0">
      <alignment vertical="center"/>
    </xf>
    <xf numFmtId="234" fontId="62" fillId="0" borderId="0"/>
    <xf numFmtId="39" fontId="129" fillId="0" borderId="23" applyNumberFormat="0" applyBorder="0">
      <alignment horizontal="right"/>
    </xf>
    <xf numFmtId="0" fontId="128" fillId="0" borderId="42" applyNumberFormat="0" applyProtection="0">
      <alignment horizontal="right"/>
    </xf>
    <xf numFmtId="0" fontId="130" fillId="0" borderId="6" applyNumberFormat="0" applyFill="0" applyProtection="0"/>
    <xf numFmtId="0" fontId="131" fillId="0" borderId="0">
      <alignment vertical="center"/>
    </xf>
    <xf numFmtId="0" fontId="105" fillId="0" borderId="0">
      <alignment vertical="center"/>
    </xf>
    <xf numFmtId="0" fontId="107" fillId="0" borderId="0">
      <alignment vertical="center"/>
    </xf>
    <xf numFmtId="0" fontId="132" fillId="0" borderId="0" applyNumberFormat="0">
      <alignment horizontal="left"/>
    </xf>
    <xf numFmtId="0" fontId="133" fillId="0" borderId="0" applyFill="0" applyBorder="0" applyProtection="0">
      <alignment horizontal="left" vertical="top"/>
    </xf>
    <xf numFmtId="14" fontId="41" fillId="0" borderId="0" applyFill="0" applyBorder="0">
      <alignment vertical="center"/>
    </xf>
    <xf numFmtId="0" fontId="109" fillId="0" borderId="0" applyNumberFormat="0" applyFill="0" applyBorder="0" applyAlignment="0" applyProtection="0"/>
    <xf numFmtId="0" fontId="134" fillId="0" borderId="0" applyNumberFormat="0" applyFill="0" applyBorder="0" applyAlignment="0" applyProtection="0"/>
    <xf numFmtId="38" fontId="135" fillId="0" borderId="0" applyNumberFormat="0" applyFill="0" applyBorder="0">
      <alignment horizontal="left" vertical="center"/>
    </xf>
    <xf numFmtId="38" fontId="136" fillId="0" borderId="0" applyNumberFormat="0" applyFill="0" applyBorder="0">
      <alignment horizontal="centerContinuous" vertical="center"/>
    </xf>
    <xf numFmtId="0" fontId="137" fillId="0" borderId="0" applyNumberFormat="0" applyFill="0" applyBorder="0" applyAlignment="0" applyProtection="0"/>
    <xf numFmtId="0" fontId="17" fillId="0" borderId="0" applyNumberFormat="0" applyFill="0" applyBorder="0" applyAlignment="0" applyProtection="0"/>
    <xf numFmtId="172" fontId="93" fillId="0" borderId="0" applyNumberFormat="0" applyBorder="0" applyAlignment="0"/>
    <xf numFmtId="1" fontId="138" fillId="0" borderId="23" applyFill="0" applyProtection="0">
      <alignment horizontal="right"/>
    </xf>
    <xf numFmtId="171" fontId="41" fillId="0" borderId="0" applyFill="0" applyBorder="0">
      <alignment vertical="center"/>
    </xf>
    <xf numFmtId="0" fontId="139" fillId="0" borderId="0" applyNumberFormat="0" applyFill="0" applyBorder="0" applyAlignment="0" applyProtection="0"/>
    <xf numFmtId="0" fontId="41" fillId="0" borderId="0"/>
    <xf numFmtId="0" fontId="93" fillId="0" borderId="0"/>
    <xf numFmtId="0" fontId="84" fillId="0" borderId="0" applyNumberFormat="0" applyFill="0" applyBorder="0" applyAlignment="0" applyProtection="0"/>
    <xf numFmtId="168" fontId="3" fillId="0" borderId="0" applyFont="0" applyFill="0" applyBorder="0" applyAlignment="0" applyProtection="0"/>
    <xf numFmtId="9" fontId="3" fillId="0" borderId="0" applyFont="0" applyFill="0" applyBorder="0" applyAlignment="0" applyProtection="0"/>
    <xf numFmtId="0" fontId="11" fillId="0" borderId="0"/>
    <xf numFmtId="167" fontId="11"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8" fontId="2" fillId="0" borderId="0" applyFont="0" applyFill="0" applyBorder="0" applyAlignment="0" applyProtection="0"/>
    <xf numFmtId="9" fontId="2" fillId="0" borderId="0" applyFont="0" applyFill="0" applyBorder="0" applyAlignment="0" applyProtection="0"/>
    <xf numFmtId="0" fontId="11" fillId="0" borderId="0"/>
    <xf numFmtId="168" fontId="11" fillId="0" borderId="0" applyFont="0" applyFill="0" applyBorder="0" applyAlignment="0" applyProtection="0"/>
    <xf numFmtId="167" fontId="11" fillId="0" borderId="0" applyFont="0" applyFill="0" applyBorder="0" applyAlignment="0" applyProtection="0"/>
    <xf numFmtId="0" fontId="1" fillId="0" borderId="0"/>
    <xf numFmtId="167" fontId="1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167" fontId="1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01" fillId="0" borderId="40">
      <protection locked="0"/>
    </xf>
    <xf numFmtId="165" fontId="120" fillId="0" borderId="0" applyFont="0" applyFill="0" applyBorder="0" applyAlignment="0" applyProtection="0"/>
    <xf numFmtId="164" fontId="113" fillId="0" borderId="41" applyFill="0">
      <alignment vertical="center"/>
    </xf>
    <xf numFmtId="0" fontId="11" fillId="0" borderId="0"/>
    <xf numFmtId="168" fontId="1" fillId="0" borderId="0" applyFont="0" applyFill="0" applyBorder="0" applyAlignment="0" applyProtection="0"/>
    <xf numFmtId="9" fontId="1" fillId="0" borderId="0" applyFont="0" applyFill="0" applyBorder="0" applyAlignment="0" applyProtection="0"/>
    <xf numFmtId="0" fontId="1" fillId="0" borderId="0"/>
    <xf numFmtId="167" fontId="1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8" fontId="1" fillId="0" borderId="0" applyFont="0" applyFill="0" applyBorder="0" applyAlignment="0" applyProtection="0"/>
    <xf numFmtId="9" fontId="1" fillId="0" borderId="0" applyFont="0" applyFill="0" applyBorder="0" applyAlignment="0" applyProtection="0"/>
    <xf numFmtId="0" fontId="151" fillId="0" borderId="0"/>
    <xf numFmtId="0" fontId="41" fillId="0" borderId="0"/>
    <xf numFmtId="44" fontId="11" fillId="0" borderId="0" applyFont="0" applyFill="0" applyBorder="0" applyAlignment="0" applyProtection="0"/>
    <xf numFmtId="43" fontId="11" fillId="0" borderId="0" applyFont="0" applyFill="0" applyBorder="0" applyAlignment="0" applyProtection="0"/>
  </cellStyleXfs>
  <cellXfs count="960">
    <xf numFmtId="0" fontId="0" fillId="0" borderId="0" xfId="0"/>
    <xf numFmtId="0" fontId="14" fillId="0" borderId="0" xfId="0" applyFont="1" applyAlignment="1">
      <alignment horizontal="left"/>
    </xf>
    <xf numFmtId="0" fontId="15" fillId="2" borderId="0" xfId="0" applyFont="1" applyFill="1"/>
    <xf numFmtId="0" fontId="15" fillId="2" borderId="0" xfId="0" applyFont="1" applyFill="1" applyAlignment="1">
      <alignment horizontal="right"/>
    </xf>
    <xf numFmtId="0" fontId="15" fillId="2" borderId="1" xfId="0" applyFont="1" applyFill="1" applyBorder="1" applyAlignment="1">
      <alignment horizontal="right"/>
    </xf>
    <xf numFmtId="0" fontId="16" fillId="0" borderId="0" xfId="0" applyFont="1"/>
    <xf numFmtId="0" fontId="17" fillId="3" borderId="0" xfId="0" applyFont="1" applyFill="1"/>
    <xf numFmtId="17" fontId="17" fillId="3" borderId="0" xfId="0" applyNumberFormat="1" applyFont="1" applyFill="1" applyAlignment="1">
      <alignment horizontal="right"/>
    </xf>
    <xf numFmtId="17" fontId="17" fillId="3" borderId="1" xfId="0" applyNumberFormat="1" applyFont="1" applyFill="1" applyBorder="1" applyAlignment="1">
      <alignment horizontal="right"/>
    </xf>
    <xf numFmtId="0" fontId="18" fillId="0" borderId="0" xfId="0" applyFont="1"/>
    <xf numFmtId="17" fontId="17" fillId="0" borderId="0" xfId="0" applyNumberFormat="1" applyFont="1" applyAlignment="1">
      <alignment horizontal="right"/>
    </xf>
    <xf numFmtId="0" fontId="17" fillId="3" borderId="0" xfId="0" applyFont="1" applyFill="1" applyAlignment="1">
      <alignment horizontal="right"/>
    </xf>
    <xf numFmtId="0" fontId="17" fillId="3" borderId="1" xfId="0" applyFont="1" applyFill="1" applyBorder="1" applyAlignment="1">
      <alignment horizontal="right"/>
    </xf>
    <xf numFmtId="0" fontId="17" fillId="0" borderId="0" xfId="0" applyFont="1" applyAlignment="1">
      <alignment horizontal="right"/>
    </xf>
    <xf numFmtId="2" fontId="17" fillId="3" borderId="0" xfId="0" applyNumberFormat="1" applyFont="1" applyFill="1" applyAlignment="1">
      <alignment horizontal="right"/>
    </xf>
    <xf numFmtId="2" fontId="17" fillId="3" borderId="1" xfId="0" applyNumberFormat="1" applyFont="1" applyFill="1" applyBorder="1" applyAlignment="1">
      <alignment horizontal="right"/>
    </xf>
    <xf numFmtId="2" fontId="17" fillId="0" borderId="0" xfId="0" applyNumberFormat="1" applyFont="1" applyAlignment="1">
      <alignment horizontal="right"/>
    </xf>
    <xf numFmtId="4" fontId="19" fillId="0" borderId="0" xfId="0" applyNumberFormat="1" applyFont="1" applyAlignment="1">
      <alignment horizontal="right"/>
    </xf>
    <xf numFmtId="4" fontId="19" fillId="0" borderId="0" xfId="0" applyNumberFormat="1" applyFont="1"/>
    <xf numFmtId="0" fontId="19" fillId="0" borderId="0" xfId="0" applyFont="1"/>
    <xf numFmtId="4" fontId="19" fillId="0" borderId="1" xfId="0" applyNumberFormat="1" applyFont="1" applyBorder="1" applyAlignment="1">
      <alignment horizontal="right"/>
    </xf>
    <xf numFmtId="0" fontId="19" fillId="0" borderId="0" xfId="0" applyFont="1" applyAlignment="1">
      <alignment horizontal="right"/>
    </xf>
    <xf numFmtId="0" fontId="19" fillId="0" borderId="1" xfId="0" applyFont="1" applyBorder="1" applyAlignment="1">
      <alignment horizontal="right"/>
    </xf>
    <xf numFmtId="0" fontId="17" fillId="0" borderId="1" xfId="0" applyFont="1" applyBorder="1" applyAlignment="1">
      <alignment horizontal="right"/>
    </xf>
    <xf numFmtId="0" fontId="17" fillId="0" borderId="0" xfId="0" applyFont="1"/>
    <xf numFmtId="0" fontId="20" fillId="0" borderId="0" xfId="0" applyFont="1"/>
    <xf numFmtId="0" fontId="21" fillId="0" borderId="0" xfId="0" applyFont="1" applyAlignment="1">
      <alignment horizontal="right"/>
    </xf>
    <xf numFmtId="0" fontId="21" fillId="0" borderId="1" xfId="0" applyFont="1" applyBorder="1" applyAlignment="1">
      <alignment horizontal="right"/>
    </xf>
    <xf numFmtId="0" fontId="21" fillId="0" borderId="0" xfId="0" applyFont="1"/>
    <xf numFmtId="0" fontId="22" fillId="0" borderId="0" xfId="0" applyFont="1"/>
    <xf numFmtId="0" fontId="22" fillId="0" borderId="0" xfId="0" applyFont="1" applyAlignment="1">
      <alignment horizontal="right"/>
    </xf>
    <xf numFmtId="0" fontId="22" fillId="0" borderId="1" xfId="0" applyFont="1" applyBorder="1" applyAlignment="1">
      <alignment horizontal="right"/>
    </xf>
    <xf numFmtId="0" fontId="23" fillId="0" borderId="0" xfId="0" applyFont="1"/>
    <xf numFmtId="0" fontId="24" fillId="0" borderId="0" xfId="0" applyFont="1" applyAlignment="1">
      <alignment horizontal="right"/>
    </xf>
    <xf numFmtId="0" fontId="24" fillId="0" borderId="1" xfId="0" applyFont="1" applyBorder="1" applyAlignment="1">
      <alignment horizontal="right"/>
    </xf>
    <xf numFmtId="0" fontId="24" fillId="0" borderId="0" xfId="0" applyFont="1"/>
    <xf numFmtId="0" fontId="15" fillId="0" borderId="0" xfId="0" applyFont="1"/>
    <xf numFmtId="169" fontId="20" fillId="0" borderId="0" xfId="0" applyNumberFormat="1" applyFont="1" applyAlignment="1">
      <alignment horizontal="right"/>
    </xf>
    <xf numFmtId="169" fontId="23" fillId="0" borderId="0" xfId="0" applyNumberFormat="1" applyFont="1" applyAlignment="1">
      <alignment horizontal="right"/>
    </xf>
    <xf numFmtId="169" fontId="19" fillId="0" borderId="0" xfId="0" applyNumberFormat="1" applyFont="1" applyAlignment="1">
      <alignment horizontal="right"/>
    </xf>
    <xf numFmtId="169" fontId="19" fillId="0" borderId="1" xfId="0" applyNumberFormat="1" applyFont="1" applyBorder="1" applyAlignment="1">
      <alignment horizontal="right"/>
    </xf>
    <xf numFmtId="170" fontId="23" fillId="0" borderId="0" xfId="3" applyNumberFormat="1" applyFont="1" applyAlignment="1">
      <alignment horizontal="right"/>
    </xf>
    <xf numFmtId="170" fontId="19" fillId="0" borderId="0" xfId="3" applyNumberFormat="1" applyFont="1" applyAlignment="1">
      <alignment horizontal="right"/>
    </xf>
    <xf numFmtId="170" fontId="19" fillId="0" borderId="1" xfId="3" applyNumberFormat="1" applyFont="1" applyBorder="1" applyAlignment="1">
      <alignment horizontal="right"/>
    </xf>
    <xf numFmtId="170" fontId="23" fillId="0" borderId="0" xfId="3" applyNumberFormat="1" applyFont="1" applyBorder="1" applyAlignment="1">
      <alignment horizontal="right"/>
    </xf>
    <xf numFmtId="170" fontId="19" fillId="0" borderId="0" xfId="3" applyNumberFormat="1" applyFont="1" applyBorder="1" applyAlignment="1">
      <alignment horizontal="right"/>
    </xf>
    <xf numFmtId="170" fontId="22" fillId="0" borderId="0" xfId="3" applyNumberFormat="1" applyFont="1" applyAlignment="1">
      <alignment horizontal="right"/>
    </xf>
    <xf numFmtId="10" fontId="22" fillId="0" borderId="0" xfId="3" applyNumberFormat="1" applyFont="1" applyAlignment="1">
      <alignment horizontal="right"/>
    </xf>
    <xf numFmtId="10" fontId="19" fillId="0" borderId="0" xfId="3" applyNumberFormat="1" applyFont="1" applyAlignment="1">
      <alignment horizontal="right"/>
    </xf>
    <xf numFmtId="10" fontId="19" fillId="0" borderId="1" xfId="3" applyNumberFormat="1" applyFont="1" applyBorder="1" applyAlignment="1">
      <alignment horizontal="right"/>
    </xf>
    <xf numFmtId="10" fontId="19" fillId="0" borderId="0" xfId="3" applyNumberFormat="1" applyFont="1" applyBorder="1" applyAlignment="1">
      <alignment horizontal="right"/>
    </xf>
    <xf numFmtId="10" fontId="20" fillId="0" borderId="0" xfId="3" applyNumberFormat="1" applyFont="1" applyAlignment="1">
      <alignment horizontal="right"/>
    </xf>
    <xf numFmtId="10" fontId="19" fillId="0" borderId="1" xfId="3" applyNumberFormat="1" applyFont="1" applyFill="1" applyBorder="1" applyAlignment="1">
      <alignment horizontal="right"/>
    </xf>
    <xf numFmtId="3" fontId="20" fillId="0" borderId="0" xfId="0" applyNumberFormat="1" applyFont="1" applyAlignment="1">
      <alignment horizontal="right"/>
    </xf>
    <xf numFmtId="3" fontId="22" fillId="0" borderId="0" xfId="0" applyNumberFormat="1" applyFont="1" applyAlignment="1">
      <alignment horizontal="right"/>
    </xf>
    <xf numFmtId="3" fontId="19" fillId="0" borderId="0" xfId="0" applyNumberFormat="1" applyFont="1" applyAlignment="1">
      <alignment horizontal="right"/>
    </xf>
    <xf numFmtId="3" fontId="19" fillId="0" borderId="1" xfId="0" applyNumberFormat="1" applyFont="1" applyBorder="1" applyAlignment="1">
      <alignment horizontal="right"/>
    </xf>
    <xf numFmtId="9" fontId="19" fillId="0" borderId="0" xfId="3" applyFont="1" applyAlignment="1">
      <alignment horizontal="right"/>
    </xf>
    <xf numFmtId="9" fontId="19" fillId="0" borderId="0" xfId="3" applyFont="1" applyBorder="1" applyAlignment="1">
      <alignment horizontal="right"/>
    </xf>
    <xf numFmtId="9" fontId="19" fillId="0" borderId="1" xfId="3" applyFont="1" applyBorder="1" applyAlignment="1">
      <alignment horizontal="right"/>
    </xf>
    <xf numFmtId="9" fontId="22" fillId="0" borderId="0" xfId="3" applyFont="1" applyAlignment="1">
      <alignment horizontal="right"/>
    </xf>
    <xf numFmtId="173" fontId="19" fillId="0" borderId="0" xfId="0" applyNumberFormat="1" applyFont="1" applyAlignment="1">
      <alignment horizontal="right"/>
    </xf>
    <xf numFmtId="173" fontId="19" fillId="0" borderId="1" xfId="0" applyNumberFormat="1" applyFont="1" applyBorder="1" applyAlignment="1">
      <alignment horizontal="right"/>
    </xf>
    <xf numFmtId="173" fontId="22" fillId="0" borderId="0" xfId="0" applyNumberFormat="1" applyFont="1" applyAlignment="1">
      <alignment horizontal="right"/>
    </xf>
    <xf numFmtId="3" fontId="19" fillId="4" borderId="0" xfId="0" applyNumberFormat="1" applyFont="1" applyFill="1" applyAlignment="1">
      <alignment horizontal="right"/>
    </xf>
    <xf numFmtId="170" fontId="20" fillId="0" borderId="0" xfId="3" applyNumberFormat="1" applyFont="1" applyAlignment="1">
      <alignment horizontal="right"/>
    </xf>
    <xf numFmtId="170" fontId="20" fillId="0" borderId="0" xfId="3" applyNumberFormat="1" applyFont="1" applyBorder="1" applyAlignment="1">
      <alignment horizontal="right"/>
    </xf>
    <xf numFmtId="9" fontId="19" fillId="0" borderId="0" xfId="3" applyFont="1" applyFill="1" applyBorder="1" applyAlignment="1">
      <alignment horizontal="right"/>
    </xf>
    <xf numFmtId="2" fontId="20" fillId="0" borderId="0" xfId="0" applyNumberFormat="1" applyFont="1" applyAlignment="1">
      <alignment horizontal="right"/>
    </xf>
    <xf numFmtId="2" fontId="19" fillId="0" borderId="0" xfId="0" applyNumberFormat="1" applyFont="1" applyAlignment="1">
      <alignment horizontal="right"/>
    </xf>
    <xf numFmtId="2" fontId="19" fillId="0" borderId="1" xfId="0" applyNumberFormat="1" applyFont="1" applyBorder="1" applyAlignment="1">
      <alignment horizontal="right"/>
    </xf>
    <xf numFmtId="9" fontId="20" fillId="0" borderId="0" xfId="3" applyFont="1" applyAlignment="1">
      <alignment horizontal="right"/>
    </xf>
    <xf numFmtId="1" fontId="19" fillId="0" borderId="0" xfId="0" applyNumberFormat="1" applyFont="1" applyAlignment="1">
      <alignment horizontal="right"/>
    </xf>
    <xf numFmtId="1" fontId="19" fillId="0" borderId="1" xfId="0" applyNumberFormat="1" applyFont="1" applyBorder="1" applyAlignment="1">
      <alignment horizontal="right"/>
    </xf>
    <xf numFmtId="1" fontId="22" fillId="0" borderId="0" xfId="0" applyNumberFormat="1" applyFont="1" applyAlignment="1">
      <alignment horizontal="right"/>
    </xf>
    <xf numFmtId="171" fontId="19" fillId="0" borderId="0" xfId="2" applyNumberFormat="1" applyFont="1" applyAlignment="1">
      <alignment horizontal="right"/>
    </xf>
    <xf numFmtId="171" fontId="20" fillId="0" borderId="0" xfId="2" applyNumberFormat="1" applyFont="1" applyAlignment="1">
      <alignment horizontal="right"/>
    </xf>
    <xf numFmtId="171" fontId="19" fillId="0" borderId="1" xfId="2" applyNumberFormat="1" applyFont="1" applyBorder="1" applyAlignment="1">
      <alignment horizontal="right"/>
    </xf>
    <xf numFmtId="171" fontId="19" fillId="0" borderId="0" xfId="2" applyNumberFormat="1" applyFont="1" applyBorder="1" applyAlignment="1">
      <alignment horizontal="right"/>
    </xf>
    <xf numFmtId="3" fontId="15" fillId="2" borderId="0" xfId="0" applyNumberFormat="1" applyFont="1" applyFill="1" applyAlignment="1">
      <alignment horizontal="right"/>
    </xf>
    <xf numFmtId="3" fontId="15" fillId="2" borderId="1" xfId="0" applyNumberFormat="1" applyFont="1" applyFill="1" applyBorder="1" applyAlignment="1">
      <alignment horizontal="right"/>
    </xf>
    <xf numFmtId="3" fontId="25" fillId="0" borderId="0" xfId="0" applyNumberFormat="1" applyFont="1" applyAlignment="1">
      <alignment horizontal="right"/>
    </xf>
    <xf numFmtId="3" fontId="17" fillId="0" borderId="0" xfId="0" applyNumberFormat="1" applyFont="1" applyAlignment="1">
      <alignment horizontal="right"/>
    </xf>
    <xf numFmtId="3" fontId="17" fillId="0" borderId="1" xfId="0" applyNumberFormat="1" applyFont="1" applyBorder="1" applyAlignment="1">
      <alignment horizontal="right"/>
    </xf>
    <xf numFmtId="0" fontId="26" fillId="0" borderId="0" xfId="0" applyFont="1"/>
    <xf numFmtId="3" fontId="27" fillId="0" borderId="0" xfId="0" applyNumberFormat="1" applyFont="1" applyAlignment="1">
      <alignment horizontal="right"/>
    </xf>
    <xf numFmtId="3" fontId="26" fillId="0" borderId="0" xfId="0" applyNumberFormat="1" applyFont="1" applyAlignment="1">
      <alignment horizontal="right"/>
    </xf>
    <xf numFmtId="3" fontId="26" fillId="0" borderId="1" xfId="0" applyNumberFormat="1" applyFont="1" applyBorder="1" applyAlignment="1">
      <alignment horizontal="right"/>
    </xf>
    <xf numFmtId="0" fontId="26" fillId="0" borderId="0" xfId="0" applyFont="1" applyAlignment="1">
      <alignment horizontal="right"/>
    </xf>
    <xf numFmtId="10" fontId="15" fillId="2" borderId="0" xfId="3" applyNumberFormat="1" applyFont="1" applyFill="1" applyAlignment="1">
      <alignment horizontal="right"/>
    </xf>
    <xf numFmtId="10" fontId="15" fillId="2" borderId="0" xfId="3" applyNumberFormat="1" applyFont="1" applyFill="1" applyBorder="1" applyAlignment="1">
      <alignment horizontal="right"/>
    </xf>
    <xf numFmtId="10" fontId="15" fillId="2" borderId="1" xfId="3" applyNumberFormat="1" applyFont="1" applyFill="1" applyBorder="1" applyAlignment="1">
      <alignment horizontal="right"/>
    </xf>
    <xf numFmtId="10" fontId="17" fillId="0" borderId="0" xfId="3" applyNumberFormat="1" applyFont="1" applyAlignment="1">
      <alignment horizontal="right"/>
    </xf>
    <xf numFmtId="10" fontId="25" fillId="0" borderId="0" xfId="3" applyNumberFormat="1" applyFont="1" applyAlignment="1">
      <alignment horizontal="right"/>
    </xf>
    <xf numFmtId="10" fontId="17" fillId="0" borderId="1" xfId="3" applyNumberFormat="1" applyFont="1" applyBorder="1" applyAlignment="1">
      <alignment horizontal="right"/>
    </xf>
    <xf numFmtId="10" fontId="20" fillId="0" borderId="0" xfId="3" applyNumberFormat="1" applyFont="1" applyBorder="1" applyAlignment="1">
      <alignment horizontal="right"/>
    </xf>
    <xf numFmtId="0" fontId="28" fillId="0" borderId="0" xfId="0" applyFont="1" applyAlignment="1">
      <alignment horizontal="left"/>
    </xf>
    <xf numFmtId="10" fontId="17" fillId="3" borderId="0" xfId="3" applyNumberFormat="1" applyFont="1" applyFill="1" applyAlignment="1">
      <alignment horizontal="right"/>
    </xf>
    <xf numFmtId="10" fontId="17" fillId="3" borderId="1" xfId="3" applyNumberFormat="1" applyFont="1" applyFill="1" applyBorder="1" applyAlignment="1">
      <alignment horizontal="right"/>
    </xf>
    <xf numFmtId="10" fontId="17" fillId="0" borderId="0" xfId="3" applyNumberFormat="1" applyFont="1" applyFill="1" applyAlignment="1">
      <alignment horizontal="right"/>
    </xf>
    <xf numFmtId="10" fontId="17" fillId="3" borderId="0" xfId="3" applyNumberFormat="1" applyFont="1" applyFill="1" applyBorder="1" applyAlignment="1">
      <alignment horizontal="right"/>
    </xf>
    <xf numFmtId="3" fontId="25" fillId="4" borderId="0" xfId="0" applyNumberFormat="1" applyFont="1" applyFill="1" applyAlignment="1">
      <alignment horizontal="right"/>
    </xf>
    <xf numFmtId="0" fontId="17" fillId="0" borderId="0" xfId="0" quotePrefix="1" applyFont="1"/>
    <xf numFmtId="0" fontId="19" fillId="0" borderId="0" xfId="0" quotePrefix="1" applyFont="1"/>
    <xf numFmtId="174" fontId="15" fillId="2" borderId="0" xfId="0" applyNumberFormat="1" applyFont="1" applyFill="1" applyAlignment="1">
      <alignment horizontal="right"/>
    </xf>
    <xf numFmtId="174" fontId="15" fillId="2" borderId="1" xfId="0" applyNumberFormat="1" applyFont="1" applyFill="1" applyBorder="1" applyAlignment="1">
      <alignment horizontal="right"/>
    </xf>
    <xf numFmtId="4" fontId="17" fillId="0" borderId="0" xfId="0" applyNumberFormat="1" applyFont="1" applyAlignment="1">
      <alignment horizontal="right"/>
    </xf>
    <xf numFmtId="4" fontId="17" fillId="0" borderId="1" xfId="0" applyNumberFormat="1" applyFont="1" applyBorder="1" applyAlignment="1">
      <alignment horizontal="right"/>
    </xf>
    <xf numFmtId="0" fontId="19" fillId="0" borderId="0" xfId="0" applyFont="1" applyAlignment="1">
      <alignment horizontal="left"/>
    </xf>
    <xf numFmtId="170" fontId="19" fillId="0" borderId="0" xfId="3" applyNumberFormat="1" applyFont="1"/>
    <xf numFmtId="172" fontId="19" fillId="0" borderId="0" xfId="0" applyNumberFormat="1" applyFont="1" applyAlignment="1">
      <alignment horizontal="right"/>
    </xf>
    <xf numFmtId="172" fontId="19" fillId="0" borderId="1" xfId="0" applyNumberFormat="1" applyFont="1" applyBorder="1" applyAlignment="1">
      <alignment horizontal="right"/>
    </xf>
    <xf numFmtId="172" fontId="19" fillId="0" borderId="0" xfId="0" applyNumberFormat="1" applyFont="1"/>
    <xf numFmtId="172" fontId="19" fillId="0" borderId="0" xfId="3" applyNumberFormat="1" applyFont="1" applyAlignment="1">
      <alignment horizontal="right"/>
    </xf>
    <xf numFmtId="172" fontId="19" fillId="0" borderId="0" xfId="3" applyNumberFormat="1" applyFont="1" applyBorder="1" applyAlignment="1">
      <alignment horizontal="right"/>
    </xf>
    <xf numFmtId="172" fontId="19" fillId="0" borderId="1" xfId="3" applyNumberFormat="1" applyFont="1" applyBorder="1" applyAlignment="1">
      <alignment horizontal="right"/>
    </xf>
    <xf numFmtId="3" fontId="19" fillId="0" borderId="0" xfId="3" applyNumberFormat="1" applyFont="1" applyAlignment="1">
      <alignment horizontal="right"/>
    </xf>
    <xf numFmtId="3" fontId="19" fillId="0" borderId="1" xfId="3" applyNumberFormat="1" applyFont="1" applyBorder="1" applyAlignment="1">
      <alignment horizontal="right"/>
    </xf>
    <xf numFmtId="0" fontId="19" fillId="6" borderId="2" xfId="0" applyFont="1" applyFill="1" applyBorder="1"/>
    <xf numFmtId="0" fontId="19" fillId="6" borderId="3" xfId="0" applyFont="1" applyFill="1" applyBorder="1" applyAlignment="1">
      <alignment horizontal="right"/>
    </xf>
    <xf numFmtId="0" fontId="19" fillId="6" borderId="3" xfId="0" applyFont="1" applyFill="1" applyBorder="1"/>
    <xf numFmtId="0" fontId="19" fillId="6" borderId="4" xfId="0" applyFont="1" applyFill="1" applyBorder="1"/>
    <xf numFmtId="0" fontId="19" fillId="6" borderId="0" xfId="0" applyFont="1" applyFill="1" applyAlignment="1">
      <alignment horizontal="right"/>
    </xf>
    <xf numFmtId="0" fontId="19" fillId="6" borderId="0" xfId="0" applyFont="1" applyFill="1"/>
    <xf numFmtId="0" fontId="19" fillId="6" borderId="1" xfId="0" applyFont="1" applyFill="1" applyBorder="1" applyAlignment="1">
      <alignment horizontal="right"/>
    </xf>
    <xf numFmtId="171" fontId="23" fillId="6" borderId="0" xfId="0" applyNumberFormat="1" applyFont="1" applyFill="1" applyAlignment="1">
      <alignment horizontal="right"/>
    </xf>
    <xf numFmtId="0" fontId="22" fillId="6" borderId="0" xfId="0" applyFont="1" applyFill="1" applyAlignment="1">
      <alignment horizontal="right"/>
    </xf>
    <xf numFmtId="15" fontId="19" fillId="6" borderId="0" xfId="0" applyNumberFormat="1" applyFont="1" applyFill="1" applyAlignment="1">
      <alignment horizontal="right"/>
    </xf>
    <xf numFmtId="170" fontId="19" fillId="6" borderId="1" xfId="3" applyNumberFormat="1" applyFont="1" applyFill="1" applyBorder="1" applyAlignment="1">
      <alignment horizontal="right"/>
    </xf>
    <xf numFmtId="0" fontId="19" fillId="6" borderId="5" xfId="0" applyFont="1" applyFill="1" applyBorder="1"/>
    <xf numFmtId="15" fontId="19" fillId="6" borderId="6" xfId="0" applyNumberFormat="1" applyFont="1" applyFill="1" applyBorder="1" applyAlignment="1">
      <alignment horizontal="right"/>
    </xf>
    <xf numFmtId="0" fontId="19" fillId="6" borderId="6" xfId="0" applyFont="1" applyFill="1" applyBorder="1"/>
    <xf numFmtId="0" fontId="19" fillId="6" borderId="6" xfId="0" applyFont="1" applyFill="1" applyBorder="1" applyAlignment="1">
      <alignment horizontal="right"/>
    </xf>
    <xf numFmtId="0" fontId="28" fillId="2" borderId="0" xfId="0" applyFont="1" applyFill="1"/>
    <xf numFmtId="3" fontId="19" fillId="0" borderId="0" xfId="0" applyNumberFormat="1" applyFont="1"/>
    <xf numFmtId="3" fontId="17" fillId="0" borderId="0" xfId="0" applyNumberFormat="1" applyFont="1"/>
    <xf numFmtId="172" fontId="26" fillId="0" borderId="0" xfId="0" applyNumberFormat="1" applyFont="1"/>
    <xf numFmtId="0" fontId="29" fillId="0" borderId="0" xfId="0" applyFont="1" applyAlignment="1">
      <alignment horizontal="left"/>
    </xf>
    <xf numFmtId="173" fontId="26" fillId="0" borderId="0" xfId="0" applyNumberFormat="1" applyFont="1" applyAlignment="1">
      <alignment horizontal="right"/>
    </xf>
    <xf numFmtId="0" fontId="17" fillId="3" borderId="0" xfId="0" applyFont="1" applyFill="1" applyAlignment="1">
      <alignment horizontal="left"/>
    </xf>
    <xf numFmtId="9" fontId="17" fillId="3" borderId="0" xfId="3" applyFont="1" applyFill="1" applyBorder="1" applyAlignment="1">
      <alignment horizontal="right"/>
    </xf>
    <xf numFmtId="0" fontId="17" fillId="3" borderId="0" xfId="0" applyFont="1" applyFill="1" applyAlignment="1">
      <alignment horizontal="right" shrinkToFit="1"/>
    </xf>
    <xf numFmtId="0" fontId="17" fillId="3" borderId="0" xfId="0" applyFont="1" applyFill="1" applyAlignment="1">
      <alignment horizontal="left" indent="1"/>
    </xf>
    <xf numFmtId="175" fontId="22" fillId="0" borderId="0" xfId="0" applyNumberFormat="1" applyFont="1" applyAlignment="1">
      <alignment horizontal="right"/>
    </xf>
    <xf numFmtId="9" fontId="19" fillId="0" borderId="0" xfId="0" applyNumberFormat="1" applyFont="1" applyAlignment="1">
      <alignment horizontal="right"/>
    </xf>
    <xf numFmtId="171" fontId="19" fillId="0" borderId="0" xfId="0" applyNumberFormat="1" applyFont="1" applyAlignment="1">
      <alignment horizontal="right"/>
    </xf>
    <xf numFmtId="0" fontId="19" fillId="0" borderId="0" xfId="0" applyFont="1" applyAlignment="1">
      <alignment horizontal="left" indent="1"/>
    </xf>
    <xf numFmtId="9" fontId="22" fillId="0" borderId="0" xfId="0" applyNumberFormat="1" applyFont="1"/>
    <xf numFmtId="15" fontId="19" fillId="0" borderId="0" xfId="0" applyNumberFormat="1" applyFont="1"/>
    <xf numFmtId="168" fontId="19" fillId="0" borderId="0" xfId="1" applyFont="1"/>
    <xf numFmtId="171" fontId="26" fillId="0" borderId="0" xfId="0" applyNumberFormat="1" applyFont="1" applyAlignment="1">
      <alignment horizontal="right"/>
    </xf>
    <xf numFmtId="0" fontId="30" fillId="0" borderId="0" xfId="0" applyFont="1" applyAlignment="1">
      <alignment horizontal="left"/>
    </xf>
    <xf numFmtId="0" fontId="31" fillId="0" borderId="6" xfId="0" applyFont="1" applyBorder="1"/>
    <xf numFmtId="171" fontId="31" fillId="0" borderId="6" xfId="0" applyNumberFormat="1" applyFont="1" applyBorder="1" applyAlignment="1">
      <alignment horizontal="right"/>
    </xf>
    <xf numFmtId="0" fontId="31" fillId="0" borderId="0" xfId="0" applyFont="1" applyAlignment="1">
      <alignment horizontal="right"/>
    </xf>
    <xf numFmtId="0" fontId="31" fillId="0" borderId="0" xfId="0" applyFont="1"/>
    <xf numFmtId="0" fontId="17" fillId="0" borderId="6" xfId="0" applyFont="1" applyBorder="1"/>
    <xf numFmtId="0" fontId="17" fillId="0" borderId="6" xfId="0" applyFont="1" applyBorder="1" applyAlignment="1">
      <alignment horizontal="right"/>
    </xf>
    <xf numFmtId="171" fontId="17" fillId="0" borderId="6" xfId="0" applyNumberFormat="1" applyFont="1" applyBorder="1" applyAlignment="1">
      <alignment horizontal="right"/>
    </xf>
    <xf numFmtId="171" fontId="17" fillId="0" borderId="0" xfId="0" applyNumberFormat="1" applyFont="1" applyAlignment="1">
      <alignment horizontal="right"/>
    </xf>
    <xf numFmtId="170" fontId="26" fillId="0" borderId="0" xfId="3" applyNumberFormat="1" applyFont="1" applyAlignment="1">
      <alignment horizontal="right"/>
    </xf>
    <xf numFmtId="0" fontId="19" fillId="0" borderId="0" xfId="0" applyFont="1" applyAlignment="1">
      <alignment horizontal="center"/>
    </xf>
    <xf numFmtId="170" fontId="17" fillId="0" borderId="0" xfId="3" applyNumberFormat="1" applyFont="1" applyAlignment="1">
      <alignment horizontal="right"/>
    </xf>
    <xf numFmtId="0" fontId="34" fillId="0" borderId="0" xfId="0" applyFont="1"/>
    <xf numFmtId="3" fontId="35" fillId="0" borderId="0" xfId="0" applyNumberFormat="1" applyFont="1" applyAlignment="1">
      <alignment horizontal="right"/>
    </xf>
    <xf numFmtId="3" fontId="36" fillId="0" borderId="0" xfId="0" applyNumberFormat="1" applyFont="1" applyAlignment="1">
      <alignment horizontal="right"/>
    </xf>
    <xf numFmtId="3" fontId="37" fillId="0" borderId="0" xfId="0" applyNumberFormat="1" applyFont="1" applyAlignment="1">
      <alignment horizontal="right"/>
    </xf>
    <xf numFmtId="3" fontId="37" fillId="0" borderId="1" xfId="0" applyNumberFormat="1" applyFont="1" applyBorder="1" applyAlignment="1">
      <alignment horizontal="right"/>
    </xf>
    <xf numFmtId="10" fontId="37" fillId="0" borderId="0" xfId="3" applyNumberFormat="1" applyFont="1" applyAlignment="1">
      <alignment horizontal="right"/>
    </xf>
    <xf numFmtId="10" fontId="37" fillId="0" borderId="1" xfId="3" applyNumberFormat="1" applyFont="1" applyBorder="1" applyAlignment="1">
      <alignment horizontal="right"/>
    </xf>
    <xf numFmtId="10" fontId="17" fillId="0" borderId="0" xfId="3" applyNumberFormat="1" applyFont="1" applyBorder="1" applyAlignment="1">
      <alignment horizontal="right"/>
    </xf>
    <xf numFmtId="3" fontId="35" fillId="0" borderId="1" xfId="0" applyNumberFormat="1" applyFont="1" applyBorder="1" applyAlignment="1">
      <alignment horizontal="right"/>
    </xf>
    <xf numFmtId="9" fontId="20" fillId="0" borderId="0" xfId="3" applyFont="1" applyBorder="1" applyAlignment="1">
      <alignment horizontal="right"/>
    </xf>
    <xf numFmtId="171" fontId="20" fillId="0" borderId="0" xfId="2" applyNumberFormat="1" applyFont="1" applyBorder="1" applyAlignment="1">
      <alignment horizontal="right"/>
    </xf>
    <xf numFmtId="10" fontId="25" fillId="0" borderId="0" xfId="3" applyNumberFormat="1" applyFont="1" applyBorder="1" applyAlignment="1">
      <alignment horizontal="right"/>
    </xf>
    <xf numFmtId="10" fontId="37" fillId="0" borderId="0" xfId="3" applyNumberFormat="1" applyFont="1" applyBorder="1" applyAlignment="1">
      <alignment horizontal="right"/>
    </xf>
    <xf numFmtId="3" fontId="19" fillId="0" borderId="0" xfId="3" applyNumberFormat="1" applyFont="1" applyBorder="1" applyAlignment="1">
      <alignment horizontal="right"/>
    </xf>
    <xf numFmtId="168" fontId="19" fillId="0" borderId="0" xfId="1" applyFont="1" applyAlignment="1">
      <alignment horizontal="right"/>
    </xf>
    <xf numFmtId="10" fontId="35" fillId="0" borderId="0" xfId="3" applyNumberFormat="1" applyFont="1" applyBorder="1" applyAlignment="1">
      <alignment horizontal="right"/>
    </xf>
    <xf numFmtId="10" fontId="35" fillId="0" borderId="0" xfId="3" applyNumberFormat="1" applyFont="1" applyAlignment="1">
      <alignment horizontal="right"/>
    </xf>
    <xf numFmtId="10" fontId="35" fillId="0" borderId="0" xfId="3" applyNumberFormat="1" applyFont="1" applyFill="1" applyBorder="1" applyAlignment="1">
      <alignment horizontal="right"/>
    </xf>
    <xf numFmtId="3" fontId="20" fillId="7" borderId="0" xfId="0" applyNumberFormat="1" applyFont="1" applyFill="1" applyAlignment="1">
      <alignment horizontal="right"/>
    </xf>
    <xf numFmtId="170" fontId="23" fillId="0" borderId="1" xfId="3" applyNumberFormat="1" applyFont="1" applyFill="1" applyBorder="1" applyAlignment="1">
      <alignment horizontal="right"/>
    </xf>
    <xf numFmtId="170" fontId="23" fillId="0" borderId="0" xfId="3" applyNumberFormat="1" applyFont="1" applyFill="1" applyBorder="1" applyAlignment="1">
      <alignment horizontal="right"/>
    </xf>
    <xf numFmtId="170" fontId="23" fillId="0" borderId="0" xfId="3" applyNumberFormat="1" applyFont="1" applyFill="1" applyAlignment="1">
      <alignment horizontal="right"/>
    </xf>
    <xf numFmtId="3" fontId="19" fillId="7" borderId="0" xfId="0" applyNumberFormat="1" applyFont="1" applyFill="1" applyAlignment="1">
      <alignment horizontal="right"/>
    </xf>
    <xf numFmtId="3" fontId="17" fillId="7" borderId="0" xfId="0" applyNumberFormat="1" applyFont="1" applyFill="1" applyAlignment="1">
      <alignment horizontal="right"/>
    </xf>
    <xf numFmtId="10" fontId="35" fillId="0" borderId="0" xfId="3" applyNumberFormat="1" applyFont="1" applyFill="1" applyAlignment="1">
      <alignment horizontal="right"/>
    </xf>
    <xf numFmtId="176" fontId="19" fillId="0" borderId="0" xfId="0" applyNumberFormat="1" applyFont="1"/>
    <xf numFmtId="15" fontId="23" fillId="8" borderId="8" xfId="0" applyNumberFormat="1" applyFont="1" applyFill="1" applyBorder="1" applyAlignment="1">
      <alignment horizontal="right"/>
    </xf>
    <xf numFmtId="170" fontId="23" fillId="8" borderId="1" xfId="3" applyNumberFormat="1" applyFont="1" applyFill="1" applyBorder="1" applyAlignment="1">
      <alignment horizontal="right"/>
    </xf>
    <xf numFmtId="10" fontId="23" fillId="0" borderId="0" xfId="3" applyNumberFormat="1" applyFont="1" applyFill="1" applyBorder="1" applyAlignment="1">
      <alignment horizontal="right"/>
    </xf>
    <xf numFmtId="0" fontId="14" fillId="7" borderId="0" xfId="0" applyFont="1" applyFill="1" applyAlignment="1">
      <alignment horizontal="left"/>
    </xf>
    <xf numFmtId="177" fontId="23" fillId="6" borderId="0" xfId="3" applyNumberFormat="1" applyFont="1" applyFill="1" applyBorder="1" applyAlignment="1">
      <alignment horizontal="right"/>
    </xf>
    <xf numFmtId="0" fontId="40" fillId="2" borderId="0" xfId="5" applyFont="1" applyFill="1" applyAlignment="1">
      <alignment horizontal="center"/>
    </xf>
    <xf numFmtId="0" fontId="40" fillId="0" borderId="0" xfId="5" applyFont="1" applyAlignment="1">
      <alignment horizontal="center"/>
    </xf>
    <xf numFmtId="0" fontId="38" fillId="3" borderId="0" xfId="5" applyFill="1" applyAlignment="1">
      <alignment horizontal="center"/>
    </xf>
    <xf numFmtId="0" fontId="38" fillId="0" borderId="0" xfId="5" applyAlignment="1">
      <alignment horizontal="center"/>
    </xf>
    <xf numFmtId="14" fontId="38" fillId="0" borderId="0" xfId="5" applyNumberFormat="1" applyAlignment="1">
      <alignment horizontal="center"/>
    </xf>
    <xf numFmtId="0" fontId="39" fillId="2" borderId="0" xfId="5" applyFont="1" applyFill="1"/>
    <xf numFmtId="178" fontId="39" fillId="2" borderId="0" xfId="5" applyNumberFormat="1" applyFont="1" applyFill="1"/>
    <xf numFmtId="0" fontId="39" fillId="0" borderId="0" xfId="5" applyFont="1"/>
    <xf numFmtId="0" fontId="14" fillId="0" borderId="0" xfId="6" applyFont="1" applyAlignment="1">
      <alignment horizontal="left"/>
    </xf>
    <xf numFmtId="4" fontId="38" fillId="0" borderId="0" xfId="5" applyNumberFormat="1" applyProtection="1">
      <protection locked="0"/>
    </xf>
    <xf numFmtId="173" fontId="38" fillId="0" borderId="0" xfId="5" applyNumberFormat="1" applyProtection="1">
      <protection locked="0"/>
    </xf>
    <xf numFmtId="0" fontId="38" fillId="7" borderId="0" xfId="5" applyFill="1"/>
    <xf numFmtId="0" fontId="14" fillId="10" borderId="0" xfId="6" applyFont="1" applyFill="1" applyAlignment="1">
      <alignment horizontal="left"/>
    </xf>
    <xf numFmtId="181" fontId="38" fillId="0" borderId="0" xfId="8" applyFont="1"/>
    <xf numFmtId="4" fontId="38" fillId="0" borderId="0" xfId="5" applyNumberFormat="1"/>
    <xf numFmtId="4" fontId="41" fillId="0" borderId="0" xfId="5" applyNumberFormat="1" applyFont="1"/>
    <xf numFmtId="0" fontId="43" fillId="0" borderId="0" xfId="5" applyFont="1"/>
    <xf numFmtId="173" fontId="38" fillId="0" borderId="0" xfId="5" applyNumberFormat="1"/>
    <xf numFmtId="0" fontId="44" fillId="0" borderId="0" xfId="5" applyFont="1"/>
    <xf numFmtId="0" fontId="14" fillId="7" borderId="0" xfId="6" applyFont="1" applyFill="1" applyAlignment="1">
      <alignment horizontal="left"/>
    </xf>
    <xf numFmtId="0" fontId="45" fillId="0" borderId="0" xfId="9" applyFont="1"/>
    <xf numFmtId="173" fontId="41" fillId="0" borderId="0" xfId="5" applyNumberFormat="1" applyFont="1"/>
    <xf numFmtId="0" fontId="41" fillId="0" borderId="0" xfId="5" applyFont="1"/>
    <xf numFmtId="170" fontId="38" fillId="0" borderId="0" xfId="5" applyNumberFormat="1"/>
    <xf numFmtId="182" fontId="38" fillId="0" borderId="0" xfId="5" applyNumberFormat="1" applyProtection="1">
      <protection locked="0"/>
    </xf>
    <xf numFmtId="0" fontId="42" fillId="0" borderId="0" xfId="9"/>
    <xf numFmtId="14" fontId="0" fillId="0" borderId="0" xfId="0" applyNumberFormat="1"/>
    <xf numFmtId="0" fontId="67" fillId="0" borderId="0" xfId="0" applyFont="1"/>
    <xf numFmtId="0" fontId="39" fillId="2" borderId="0" xfId="5" applyFont="1" applyFill="1" applyAlignment="1">
      <alignment horizontal="left"/>
    </xf>
    <xf numFmtId="14" fontId="38" fillId="3" borderId="0" xfId="5" applyNumberFormat="1" applyFill="1" applyAlignment="1">
      <alignment horizontal="center"/>
    </xf>
    <xf numFmtId="0" fontId="38" fillId="0" borderId="0" xfId="5"/>
    <xf numFmtId="173" fontId="38" fillId="5" borderId="0" xfId="5" applyNumberFormat="1" applyFill="1" applyProtection="1">
      <protection locked="0"/>
    </xf>
    <xf numFmtId="179" fontId="38" fillId="0" borderId="0" xfId="5" applyNumberFormat="1" applyProtection="1">
      <protection locked="0"/>
    </xf>
    <xf numFmtId="173" fontId="38" fillId="9" borderId="0" xfId="5" applyNumberFormat="1" applyFill="1" applyProtection="1">
      <protection locked="0"/>
    </xf>
    <xf numFmtId="9" fontId="17" fillId="0" borderId="3" xfId="0" applyNumberFormat="1" applyFont="1" applyBorder="1" applyAlignment="1">
      <alignment horizontal="right"/>
    </xf>
    <xf numFmtId="171" fontId="17" fillId="0" borderId="3" xfId="0" applyNumberFormat="1" applyFont="1" applyBorder="1" applyAlignment="1">
      <alignment horizontal="right"/>
    </xf>
    <xf numFmtId="9" fontId="19" fillId="0" borderId="0" xfId="65" applyFont="1" applyAlignment="1">
      <alignment horizontal="right"/>
    </xf>
    <xf numFmtId="9" fontId="19" fillId="0" borderId="1" xfId="65" applyFont="1" applyBorder="1" applyAlignment="1">
      <alignment horizontal="right"/>
    </xf>
    <xf numFmtId="170" fontId="19" fillId="0" borderId="0" xfId="65" applyNumberFormat="1" applyFont="1" applyAlignment="1">
      <alignment horizontal="right"/>
    </xf>
    <xf numFmtId="205" fontId="22" fillId="6" borderId="7" xfId="65" applyNumberFormat="1" applyFont="1" applyFill="1" applyBorder="1" applyAlignment="1">
      <alignment horizontal="right"/>
    </xf>
    <xf numFmtId="10" fontId="19" fillId="0" borderId="0" xfId="0" applyNumberFormat="1" applyFont="1" applyAlignment="1">
      <alignment horizontal="right"/>
    </xf>
    <xf numFmtId="10" fontId="19" fillId="0" borderId="0" xfId="65" applyNumberFormat="1" applyFont="1" applyAlignment="1">
      <alignment horizontal="right"/>
    </xf>
    <xf numFmtId="10" fontId="19" fillId="0" borderId="0" xfId="65" applyNumberFormat="1" applyFont="1" applyBorder="1" applyAlignment="1">
      <alignment horizontal="right"/>
    </xf>
    <xf numFmtId="10" fontId="19" fillId="0" borderId="1" xfId="0" applyNumberFormat="1" applyFont="1" applyBorder="1" applyAlignment="1">
      <alignment horizontal="right"/>
    </xf>
    <xf numFmtId="0" fontId="14" fillId="29" borderId="0" xfId="6" applyFont="1" applyFill="1" applyAlignment="1">
      <alignment horizontal="left"/>
    </xf>
    <xf numFmtId="0" fontId="38" fillId="29" borderId="0" xfId="5" applyFill="1"/>
    <xf numFmtId="10" fontId="38" fillId="0" borderId="0" xfId="5" applyNumberFormat="1"/>
    <xf numFmtId="170" fontId="26" fillId="0" borderId="0" xfId="65" applyNumberFormat="1" applyFont="1" applyAlignment="1">
      <alignment horizontal="right"/>
    </xf>
    <xf numFmtId="49" fontId="38" fillId="3" borderId="0" xfId="5" applyNumberFormat="1" applyFill="1"/>
    <xf numFmtId="0" fontId="68" fillId="0" borderId="0" xfId="162" applyFont="1"/>
    <xf numFmtId="0" fontId="68" fillId="0" borderId="25" xfId="162" applyFont="1" applyBorder="1" applyAlignment="1">
      <alignment horizontal="right"/>
    </xf>
    <xf numFmtId="0" fontId="68" fillId="0" borderId="0" xfId="162" applyFont="1" applyAlignment="1">
      <alignment horizontal="right"/>
    </xf>
    <xf numFmtId="0" fontId="13" fillId="0" borderId="0" xfId="162" applyFont="1"/>
    <xf numFmtId="0" fontId="68" fillId="30" borderId="23" xfId="162" applyFont="1" applyFill="1" applyBorder="1"/>
    <xf numFmtId="0" fontId="13" fillId="30" borderId="26" xfId="162" applyFont="1" applyFill="1" applyBorder="1"/>
    <xf numFmtId="0" fontId="13" fillId="30" borderId="23" xfId="162" applyFont="1" applyFill="1" applyBorder="1"/>
    <xf numFmtId="0" fontId="13" fillId="30" borderId="23" xfId="162" applyFont="1" applyFill="1" applyBorder="1" applyAlignment="1">
      <alignment horizontal="right"/>
    </xf>
    <xf numFmtId="3" fontId="13" fillId="0" borderId="0" xfId="162" applyNumberFormat="1" applyFont="1"/>
    <xf numFmtId="3" fontId="13" fillId="0" borderId="25" xfId="162" applyNumberFormat="1" applyFont="1" applyBorder="1"/>
    <xf numFmtId="3" fontId="13" fillId="31" borderId="0" xfId="162" applyNumberFormat="1" applyFont="1" applyFill="1"/>
    <xf numFmtId="3" fontId="13" fillId="31" borderId="25" xfId="162" applyNumberFormat="1" applyFont="1" applyFill="1" applyBorder="1"/>
    <xf numFmtId="3" fontId="68" fillId="0" borderId="0" xfId="162" applyNumberFormat="1" applyFont="1"/>
    <xf numFmtId="3" fontId="68" fillId="0" borderId="25" xfId="162" applyNumberFormat="1" applyFont="1" applyBorder="1"/>
    <xf numFmtId="3" fontId="68" fillId="0" borderId="4" xfId="162" applyNumberFormat="1" applyFont="1" applyBorder="1"/>
    <xf numFmtId="3" fontId="13" fillId="31" borderId="1" xfId="162" applyNumberFormat="1" applyFont="1" applyFill="1" applyBorder="1"/>
    <xf numFmtId="3" fontId="13" fillId="0" borderId="4" xfId="162" applyNumberFormat="1" applyFont="1" applyBorder="1"/>
    <xf numFmtId="3" fontId="13" fillId="0" borderId="1" xfId="162" applyNumberFormat="1" applyFont="1" applyBorder="1"/>
    <xf numFmtId="3" fontId="68" fillId="0" borderId="25" xfId="162" applyNumberFormat="1" applyFont="1" applyBorder="1" applyAlignment="1">
      <alignment horizontal="right"/>
    </xf>
    <xf numFmtId="3" fontId="68" fillId="0" borderId="0" xfId="162" applyNumberFormat="1" applyFont="1" applyAlignment="1">
      <alignment horizontal="right"/>
    </xf>
    <xf numFmtId="9" fontId="13" fillId="0" borderId="0" xfId="66" applyFont="1" applyAlignment="1">
      <alignment horizontal="right"/>
    </xf>
    <xf numFmtId="9" fontId="13" fillId="0" borderId="25" xfId="66" applyFont="1" applyBorder="1" applyAlignment="1">
      <alignment horizontal="right"/>
    </xf>
    <xf numFmtId="170" fontId="13" fillId="0" borderId="0" xfId="162" applyNumberFormat="1" applyFont="1"/>
    <xf numFmtId="170" fontId="68" fillId="0" borderId="25" xfId="162" applyNumberFormat="1" applyFont="1" applyBorder="1" applyAlignment="1">
      <alignment horizontal="right"/>
    </xf>
    <xf numFmtId="170" fontId="13" fillId="0" borderId="0" xfId="66" applyNumberFormat="1" applyFont="1" applyAlignment="1">
      <alignment horizontal="right"/>
    </xf>
    <xf numFmtId="170" fontId="13" fillId="0" borderId="25" xfId="66" applyNumberFormat="1" applyFont="1" applyBorder="1" applyAlignment="1">
      <alignment horizontal="right"/>
    </xf>
    <xf numFmtId="9" fontId="68" fillId="0" borderId="0" xfId="66" applyFont="1" applyAlignment="1">
      <alignment horizontal="right"/>
    </xf>
    <xf numFmtId="9" fontId="68" fillId="0" borderId="25" xfId="66" applyFont="1" applyBorder="1" applyAlignment="1">
      <alignment horizontal="right"/>
    </xf>
    <xf numFmtId="170" fontId="69" fillId="0" borderId="0" xfId="162" applyNumberFormat="1" applyFont="1" applyAlignment="1">
      <alignment horizontal="right"/>
    </xf>
    <xf numFmtId="3" fontId="13" fillId="0" borderId="0" xfId="162" applyNumberFormat="1" applyFont="1" applyAlignment="1">
      <alignment horizontal="right"/>
    </xf>
    <xf numFmtId="3" fontId="13" fillId="0" borderId="25" xfId="162" applyNumberFormat="1" applyFont="1" applyBorder="1" applyAlignment="1">
      <alignment horizontal="right"/>
    </xf>
    <xf numFmtId="3" fontId="68" fillId="31" borderId="0" xfId="162" applyNumberFormat="1" applyFont="1" applyFill="1"/>
    <xf numFmtId="3" fontId="68" fillId="31" borderId="25" xfId="162" applyNumberFormat="1" applyFont="1" applyFill="1" applyBorder="1"/>
    <xf numFmtId="9" fontId="13" fillId="0" borderId="4" xfId="66" applyFont="1" applyBorder="1" applyAlignment="1">
      <alignment horizontal="right"/>
    </xf>
    <xf numFmtId="9" fontId="13" fillId="0" borderId="1" xfId="66" applyFont="1" applyBorder="1" applyAlignment="1">
      <alignment horizontal="right"/>
    </xf>
    <xf numFmtId="0" fontId="68" fillId="32" borderId="23" xfId="162" applyFont="1" applyFill="1" applyBorder="1"/>
    <xf numFmtId="0" fontId="13" fillId="32" borderId="26" xfId="162" applyFont="1" applyFill="1" applyBorder="1"/>
    <xf numFmtId="0" fontId="13" fillId="32" borderId="23" xfId="162" applyFont="1" applyFill="1" applyBorder="1"/>
    <xf numFmtId="3" fontId="69" fillId="0" borderId="0" xfId="162" applyNumberFormat="1" applyFont="1"/>
    <xf numFmtId="180" fontId="13" fillId="0" borderId="0" xfId="162" applyNumberFormat="1" applyFont="1"/>
    <xf numFmtId="4" fontId="13" fillId="0" borderId="25" xfId="162" applyNumberFormat="1" applyFont="1" applyBorder="1"/>
    <xf numFmtId="4" fontId="13" fillId="0" borderId="0" xfId="162" applyNumberFormat="1" applyFont="1"/>
    <xf numFmtId="180" fontId="13" fillId="0" borderId="25" xfId="162" applyNumberFormat="1" applyFont="1" applyBorder="1"/>
    <xf numFmtId="3" fontId="68" fillId="0" borderId="1" xfId="162" applyNumberFormat="1" applyFont="1" applyBorder="1"/>
    <xf numFmtId="0" fontId="13" fillId="0" borderId="25" xfId="162" applyFont="1" applyBorder="1"/>
    <xf numFmtId="3" fontId="13" fillId="33" borderId="0" xfId="162" applyNumberFormat="1" applyFont="1" applyFill="1"/>
    <xf numFmtId="3" fontId="13" fillId="33" borderId="25" xfId="162" applyNumberFormat="1" applyFont="1" applyFill="1" applyBorder="1"/>
    <xf numFmtId="3" fontId="13" fillId="4" borderId="0" xfId="162" applyNumberFormat="1" applyFont="1" applyFill="1"/>
    <xf numFmtId="3" fontId="13" fillId="7" borderId="0" xfId="162" applyNumberFormat="1" applyFont="1" applyFill="1"/>
    <xf numFmtId="3" fontId="69" fillId="0" borderId="25" xfId="162" applyNumberFormat="1" applyFont="1" applyBorder="1"/>
    <xf numFmtId="0" fontId="68" fillId="0" borderId="23" xfId="162" applyFont="1" applyBorder="1"/>
    <xf numFmtId="170" fontId="70" fillId="0" borderId="0" xfId="66" applyNumberFormat="1" applyFont="1"/>
    <xf numFmtId="170" fontId="70" fillId="0" borderId="25" xfId="66" applyNumberFormat="1" applyFont="1" applyBorder="1"/>
    <xf numFmtId="1" fontId="13" fillId="0" borderId="0" xfId="162" applyNumberFormat="1" applyFont="1"/>
    <xf numFmtId="9" fontId="13" fillId="0" borderId="0" xfId="66" applyFont="1"/>
    <xf numFmtId="1" fontId="69" fillId="0" borderId="25" xfId="162" applyNumberFormat="1" applyFont="1" applyBorder="1"/>
    <xf numFmtId="0" fontId="68" fillId="0" borderId="25" xfId="162" applyFont="1" applyBorder="1"/>
    <xf numFmtId="1" fontId="68" fillId="0" borderId="0" xfId="162" applyNumberFormat="1" applyFont="1"/>
    <xf numFmtId="9" fontId="68" fillId="0" borderId="0" xfId="66" applyFont="1"/>
    <xf numFmtId="0" fontId="68" fillId="0" borderId="27" xfId="162" applyFont="1" applyBorder="1"/>
    <xf numFmtId="0" fontId="13" fillId="0" borderId="26" xfId="162" applyFont="1" applyBorder="1"/>
    <xf numFmtId="1" fontId="68" fillId="0" borderId="25" xfId="162" applyNumberFormat="1" applyFont="1" applyBorder="1"/>
    <xf numFmtId="9" fontId="13" fillId="0" borderId="25" xfId="66" applyFont="1" applyBorder="1"/>
    <xf numFmtId="9" fontId="69" fillId="0" borderId="25" xfId="162" applyNumberFormat="1" applyFont="1" applyBorder="1"/>
    <xf numFmtId="3" fontId="71" fillId="0" borderId="0" xfId="162" applyNumberFormat="1" applyFont="1"/>
    <xf numFmtId="9" fontId="69" fillId="0" borderId="0" xfId="66" applyFont="1"/>
    <xf numFmtId="1" fontId="13" fillId="0" borderId="28" xfId="162" applyNumberFormat="1" applyFont="1" applyBorder="1"/>
    <xf numFmtId="1" fontId="13" fillId="0" borderId="25" xfId="162" applyNumberFormat="1" applyFont="1" applyBorder="1"/>
    <xf numFmtId="1" fontId="69" fillId="0" borderId="0" xfId="162" applyNumberFormat="1" applyFont="1"/>
    <xf numFmtId="9" fontId="68" fillId="0" borderId="25" xfId="66" applyFont="1" applyBorder="1"/>
    <xf numFmtId="1" fontId="13" fillId="4" borderId="0" xfId="162" applyNumberFormat="1" applyFont="1" applyFill="1"/>
    <xf numFmtId="1" fontId="13" fillId="4" borderId="25" xfId="162" applyNumberFormat="1" applyFont="1" applyFill="1" applyBorder="1"/>
    <xf numFmtId="1" fontId="13" fillId="0" borderId="3" xfId="162" applyNumberFormat="1" applyFont="1" applyBorder="1"/>
    <xf numFmtId="0" fontId="68" fillId="27" borderId="0" xfId="162" applyFont="1" applyFill="1"/>
    <xf numFmtId="1" fontId="68" fillId="27" borderId="25" xfId="162" applyNumberFormat="1" applyFont="1" applyFill="1" applyBorder="1"/>
    <xf numFmtId="1" fontId="68" fillId="27" borderId="0" xfId="162" applyNumberFormat="1" applyFont="1" applyFill="1"/>
    <xf numFmtId="0" fontId="13" fillId="27" borderId="0" xfId="162" applyFont="1" applyFill="1"/>
    <xf numFmtId="1" fontId="13" fillId="27" borderId="25" xfId="162" applyNumberFormat="1" applyFont="1" applyFill="1" applyBorder="1"/>
    <xf numFmtId="1" fontId="13" fillId="27" borderId="0" xfId="162" applyNumberFormat="1" applyFont="1" applyFill="1"/>
    <xf numFmtId="1" fontId="13" fillId="0" borderId="1" xfId="162" applyNumberFormat="1" applyFont="1" applyBorder="1"/>
    <xf numFmtId="1" fontId="68" fillId="27" borderId="4" xfId="162" applyNumberFormat="1" applyFont="1" applyFill="1" applyBorder="1"/>
    <xf numFmtId="1" fontId="68" fillId="27" borderId="1" xfId="162" applyNumberFormat="1" applyFont="1" applyFill="1" applyBorder="1"/>
    <xf numFmtId="1" fontId="13" fillId="32" borderId="23" xfId="162" applyNumberFormat="1" applyFont="1" applyFill="1" applyBorder="1"/>
    <xf numFmtId="1" fontId="13" fillId="32" borderId="26" xfId="162" applyNumberFormat="1" applyFont="1" applyFill="1" applyBorder="1"/>
    <xf numFmtId="1" fontId="13" fillId="34" borderId="0" xfId="162" applyNumberFormat="1" applyFont="1" applyFill="1"/>
    <xf numFmtId="1" fontId="13" fillId="34" borderId="25" xfId="162" applyNumberFormat="1" applyFont="1" applyFill="1" applyBorder="1"/>
    <xf numFmtId="1" fontId="69" fillId="34" borderId="0" xfId="162" applyNumberFormat="1" applyFont="1" applyFill="1"/>
    <xf numFmtId="1" fontId="68" fillId="0" borderId="4" xfId="162" applyNumberFormat="1" applyFont="1" applyBorder="1"/>
    <xf numFmtId="9" fontId="13" fillId="0" borderId="0" xfId="66" applyFont="1" applyBorder="1"/>
    <xf numFmtId="0" fontId="13" fillId="5" borderId="0" xfId="162" applyFont="1" applyFill="1"/>
    <xf numFmtId="1" fontId="69" fillId="4" borderId="0" xfId="162" applyNumberFormat="1" applyFont="1" applyFill="1"/>
    <xf numFmtId="0" fontId="68" fillId="5" borderId="0" xfId="162" applyFont="1" applyFill="1"/>
    <xf numFmtId="1" fontId="69" fillId="5" borderId="0" xfId="162" applyNumberFormat="1" applyFont="1" applyFill="1"/>
    <xf numFmtId="1" fontId="13" fillId="5" borderId="25" xfId="162" applyNumberFormat="1" applyFont="1" applyFill="1" applyBorder="1"/>
    <xf numFmtId="1" fontId="69" fillId="35" borderId="0" xfId="162" applyNumberFormat="1" applyFont="1" applyFill="1"/>
    <xf numFmtId="1" fontId="69" fillId="36" borderId="0" xfId="162" applyNumberFormat="1" applyFont="1" applyFill="1"/>
    <xf numFmtId="1" fontId="13" fillId="5" borderId="0" xfId="162" applyNumberFormat="1" applyFont="1" applyFill="1"/>
    <xf numFmtId="0" fontId="68" fillId="30" borderId="26" xfId="162" applyFont="1" applyFill="1" applyBorder="1"/>
    <xf numFmtId="0" fontId="71" fillId="0" borderId="25" xfId="162" applyFont="1" applyBorder="1"/>
    <xf numFmtId="0" fontId="71" fillId="0" borderId="0" xfId="162" applyFont="1"/>
    <xf numFmtId="3" fontId="71" fillId="0" borderId="25" xfId="162" applyNumberFormat="1" applyFont="1" applyBorder="1"/>
    <xf numFmtId="9" fontId="13" fillId="0" borderId="0" xfId="162" applyNumberFormat="1" applyFont="1"/>
    <xf numFmtId="9" fontId="69" fillId="0" borderId="0" xfId="162" applyNumberFormat="1" applyFont="1"/>
    <xf numFmtId="9" fontId="68" fillId="0" borderId="0" xfId="162" applyNumberFormat="1" applyFont="1"/>
    <xf numFmtId="9" fontId="68" fillId="0" borderId="25" xfId="162" applyNumberFormat="1" applyFont="1" applyBorder="1"/>
    <xf numFmtId="170" fontId="69" fillId="0" borderId="0" xfId="162" applyNumberFormat="1" applyFont="1"/>
    <xf numFmtId="170" fontId="69" fillId="4" borderId="0" xfId="162" applyNumberFormat="1" applyFont="1" applyFill="1"/>
    <xf numFmtId="170" fontId="69" fillId="5" borderId="0" xfId="162" applyNumberFormat="1" applyFont="1" applyFill="1"/>
    <xf numFmtId="170" fontId="68" fillId="0" borderId="0" xfId="66" applyNumberFormat="1" applyFont="1"/>
    <xf numFmtId="0" fontId="13" fillId="27" borderId="25" xfId="162" applyFont="1" applyFill="1" applyBorder="1"/>
    <xf numFmtId="1" fontId="13" fillId="36" borderId="0" xfId="162" applyNumberFormat="1" applyFont="1" applyFill="1"/>
    <xf numFmtId="0" fontId="13" fillId="0" borderId="29" xfId="162" applyFont="1" applyBorder="1"/>
    <xf numFmtId="9" fontId="69" fillId="0" borderId="1" xfId="162" applyNumberFormat="1" applyFont="1" applyBorder="1"/>
    <xf numFmtId="9" fontId="69" fillId="0" borderId="4" xfId="162" applyNumberFormat="1" applyFont="1" applyBorder="1"/>
    <xf numFmtId="3" fontId="72" fillId="0" borderId="0" xfId="162" applyNumberFormat="1" applyFont="1"/>
    <xf numFmtId="9" fontId="13" fillId="0" borderId="25" xfId="162" applyNumberFormat="1" applyFont="1" applyBorder="1"/>
    <xf numFmtId="3" fontId="68" fillId="4" borderId="0" xfId="162" applyNumberFormat="1" applyFont="1" applyFill="1"/>
    <xf numFmtId="3" fontId="68" fillId="4" borderId="25" xfId="162" applyNumberFormat="1" applyFont="1" applyFill="1" applyBorder="1"/>
    <xf numFmtId="170" fontId="13" fillId="0" borderId="0" xfId="66" applyNumberFormat="1" applyFont="1"/>
    <xf numFmtId="170" fontId="13" fillId="0" borderId="25" xfId="66" applyNumberFormat="1" applyFont="1" applyBorder="1"/>
    <xf numFmtId="170" fontId="13" fillId="0" borderId="0" xfId="66" applyNumberFormat="1" applyFont="1" applyFill="1"/>
    <xf numFmtId="170" fontId="69" fillId="0" borderId="0" xfId="66" applyNumberFormat="1" applyFont="1"/>
    <xf numFmtId="3" fontId="71" fillId="4" borderId="0" xfId="162" applyNumberFormat="1" applyFont="1" applyFill="1"/>
    <xf numFmtId="0" fontId="68" fillId="30" borderId="27" xfId="162" applyFont="1" applyFill="1" applyBorder="1"/>
    <xf numFmtId="206" fontId="13" fillId="0" borderId="0" xfId="66" applyNumberFormat="1" applyFont="1"/>
    <xf numFmtId="3" fontId="23" fillId="0" borderId="0" xfId="0" applyNumberFormat="1" applyFont="1" applyAlignment="1">
      <alignment horizontal="right"/>
    </xf>
    <xf numFmtId="170" fontId="69" fillId="7" borderId="0" xfId="162" applyNumberFormat="1" applyFont="1" applyFill="1"/>
    <xf numFmtId="3" fontId="13" fillId="37" borderId="0" xfId="162" applyNumberFormat="1" applyFont="1" applyFill="1"/>
    <xf numFmtId="1" fontId="69" fillId="37" borderId="25" xfId="162" applyNumberFormat="1" applyFont="1" applyFill="1" applyBorder="1"/>
    <xf numFmtId="1" fontId="13" fillId="37" borderId="0" xfId="162" applyNumberFormat="1" applyFont="1" applyFill="1"/>
    <xf numFmtId="3" fontId="69" fillId="37" borderId="0" xfId="162" applyNumberFormat="1" applyFont="1" applyFill="1"/>
    <xf numFmtId="3" fontId="13" fillId="37" borderId="25" xfId="162" applyNumberFormat="1" applyFont="1" applyFill="1" applyBorder="1"/>
    <xf numFmtId="170" fontId="19" fillId="0" borderId="1" xfId="65" applyNumberFormat="1" applyFont="1" applyBorder="1" applyAlignment="1">
      <alignment horizontal="right"/>
    </xf>
    <xf numFmtId="170" fontId="19" fillId="0" borderId="0" xfId="65" applyNumberFormat="1" applyFont="1" applyBorder="1" applyAlignment="1">
      <alignment horizontal="right"/>
    </xf>
    <xf numFmtId="0" fontId="4" fillId="8" borderId="0" xfId="167" applyFill="1"/>
    <xf numFmtId="0" fontId="80" fillId="40" borderId="0" xfId="165" applyFont="1" applyBorder="1" applyAlignment="1"/>
    <xf numFmtId="0" fontId="76" fillId="8" borderId="0" xfId="164" applyFill="1" applyAlignment="1">
      <alignment horizontal="center"/>
    </xf>
    <xf numFmtId="0" fontId="78" fillId="41" borderId="26" xfId="166" applyBorder="1" applyAlignment="1"/>
    <xf numFmtId="0" fontId="4" fillId="8" borderId="35" xfId="167" applyFill="1" applyBorder="1"/>
    <xf numFmtId="0" fontId="139" fillId="38" borderId="0" xfId="479" applyFill="1" applyBorder="1" applyAlignment="1" applyProtection="1">
      <alignment horizontal="left"/>
    </xf>
    <xf numFmtId="0" fontId="139" fillId="40" borderId="0" xfId="479" applyFill="1" applyBorder="1" applyAlignment="1" applyProtection="1">
      <alignment horizontal="left"/>
    </xf>
    <xf numFmtId="9" fontId="17" fillId="0" borderId="0" xfId="3" applyFont="1" applyAlignment="1">
      <alignment horizontal="right"/>
    </xf>
    <xf numFmtId="10" fontId="19" fillId="0" borderId="0" xfId="3" applyNumberFormat="1" applyFont="1" applyFill="1" applyBorder="1" applyAlignment="1">
      <alignment horizontal="right"/>
    </xf>
    <xf numFmtId="9" fontId="19" fillId="0" borderId="0" xfId="65" applyFont="1" applyBorder="1" applyAlignment="1">
      <alignment horizontal="right"/>
    </xf>
    <xf numFmtId="2" fontId="35" fillId="0" borderId="1" xfId="0" applyNumberFormat="1" applyFont="1" applyBorder="1" applyAlignment="1">
      <alignment horizontal="right"/>
    </xf>
    <xf numFmtId="3" fontId="22" fillId="0" borderId="1" xfId="0" applyNumberFormat="1" applyFont="1" applyBorder="1" applyAlignment="1">
      <alignment horizontal="right"/>
    </xf>
    <xf numFmtId="9" fontId="17" fillId="0" borderId="1" xfId="3" applyFont="1" applyBorder="1" applyAlignment="1">
      <alignment horizontal="right"/>
    </xf>
    <xf numFmtId="0" fontId="19" fillId="0" borderId="1" xfId="0" applyFont="1" applyBorder="1"/>
    <xf numFmtId="10" fontId="35" fillId="0" borderId="1" xfId="3" applyNumberFormat="1" applyFont="1" applyBorder="1" applyAlignment="1">
      <alignment horizontal="right"/>
    </xf>
    <xf numFmtId="3" fontId="36" fillId="0" borderId="1" xfId="0" applyNumberFormat="1" applyFont="1" applyBorder="1" applyAlignment="1">
      <alignment horizontal="right"/>
    </xf>
    <xf numFmtId="1" fontId="69" fillId="7" borderId="0" xfId="162" applyNumberFormat="1" applyFont="1" applyFill="1"/>
    <xf numFmtId="9" fontId="13" fillId="0" borderId="1" xfId="162" applyNumberFormat="1" applyFont="1" applyBorder="1"/>
    <xf numFmtId="3" fontId="13" fillId="5" borderId="0" xfId="162" applyNumberFormat="1" applyFont="1" applyFill="1"/>
    <xf numFmtId="1" fontId="13" fillId="7" borderId="0" xfId="162" applyNumberFormat="1" applyFont="1" applyFill="1"/>
    <xf numFmtId="1" fontId="13" fillId="7" borderId="25" xfId="162" applyNumberFormat="1" applyFont="1" applyFill="1" applyBorder="1"/>
    <xf numFmtId="170" fontId="13" fillId="0" borderId="0" xfId="162" applyNumberFormat="1" applyFont="1" applyAlignment="1">
      <alignment horizontal="right"/>
    </xf>
    <xf numFmtId="168" fontId="17" fillId="0" borderId="0" xfId="1" applyFont="1" applyBorder="1" applyAlignment="1">
      <alignment horizontal="right"/>
    </xf>
    <xf numFmtId="10" fontId="20" fillId="0" borderId="0" xfId="3" applyNumberFormat="1" applyFont="1" applyFill="1" applyBorder="1" applyAlignment="1">
      <alignment horizontal="right"/>
    </xf>
    <xf numFmtId="0" fontId="41" fillId="0" borderId="0" xfId="60" applyAlignment="1">
      <alignment vertical="top"/>
    </xf>
    <xf numFmtId="0" fontId="129" fillId="0" borderId="3" xfId="480" applyFont="1" applyBorder="1" applyAlignment="1">
      <alignment vertical="top"/>
    </xf>
    <xf numFmtId="0" fontId="41" fillId="0" borderId="0" xfId="480" applyAlignment="1">
      <alignment vertical="top"/>
    </xf>
    <xf numFmtId="0" fontId="41" fillId="0" borderId="0" xfId="481" applyFont="1" applyAlignment="1">
      <alignment vertical="top"/>
    </xf>
    <xf numFmtId="0" fontId="41" fillId="0" borderId="0" xfId="481" applyFont="1" applyAlignment="1">
      <alignment horizontal="right" vertical="top"/>
    </xf>
    <xf numFmtId="0" fontId="129" fillId="7" borderId="0" xfId="480" applyFont="1" applyFill="1" applyAlignment="1">
      <alignment vertical="top"/>
    </xf>
    <xf numFmtId="0" fontId="41" fillId="33" borderId="0" xfId="481" applyFont="1" applyFill="1" applyAlignment="1">
      <alignment horizontal="right" vertical="top"/>
    </xf>
    <xf numFmtId="237" fontId="41" fillId="7" borderId="0" xfId="481" applyNumberFormat="1" applyFont="1" applyFill="1" applyAlignment="1">
      <alignment vertical="top"/>
    </xf>
    <xf numFmtId="0" fontId="41" fillId="7" borderId="0" xfId="60" applyFill="1" applyAlignment="1">
      <alignment vertical="top"/>
    </xf>
    <xf numFmtId="0" fontId="129" fillId="0" borderId="0" xfId="60" applyFont="1" applyAlignment="1">
      <alignment vertical="top"/>
    </xf>
    <xf numFmtId="0" fontId="129" fillId="0" borderId="0" xfId="480" applyFont="1" applyAlignment="1">
      <alignment vertical="top"/>
    </xf>
    <xf numFmtId="0" fontId="129" fillId="29" borderId="0" xfId="481" applyFont="1" applyFill="1" applyAlignment="1">
      <alignment vertical="top"/>
    </xf>
    <xf numFmtId="0" fontId="129" fillId="50" borderId="24" xfId="481" applyFont="1" applyFill="1" applyBorder="1" applyAlignment="1">
      <alignment horizontal="right" vertical="top"/>
    </xf>
    <xf numFmtId="0" fontId="129" fillId="50" borderId="24" xfId="482" applyFont="1" applyFill="1" applyBorder="1" applyAlignment="1">
      <alignment horizontal="right" vertical="top" wrapText="1"/>
    </xf>
    <xf numFmtId="0" fontId="41" fillId="0" borderId="3" xfId="60" applyBorder="1" applyAlignment="1">
      <alignment vertical="top"/>
    </xf>
    <xf numFmtId="0" fontId="41" fillId="0" borderId="3" xfId="480" applyBorder="1" applyAlignment="1">
      <alignment vertical="top"/>
    </xf>
    <xf numFmtId="0" fontId="41" fillId="0" borderId="3" xfId="481" applyFont="1" applyBorder="1" applyAlignment="1">
      <alignment vertical="top"/>
    </xf>
    <xf numFmtId="0" fontId="41" fillId="0" borderId="3" xfId="481" applyFont="1" applyBorder="1" applyAlignment="1">
      <alignment horizontal="right" vertical="top"/>
    </xf>
    <xf numFmtId="0" fontId="129" fillId="0" borderId="43" xfId="480" applyFont="1" applyBorder="1" applyAlignment="1">
      <alignment vertical="top"/>
    </xf>
    <xf numFmtId="172" fontId="41" fillId="33" borderId="43" xfId="480" applyNumberFormat="1" applyFill="1" applyBorder="1" applyAlignment="1">
      <alignment vertical="top"/>
    </xf>
    <xf numFmtId="238" fontId="129" fillId="50" borderId="43" xfId="483" applyNumberFormat="1" applyFont="1" applyFill="1" applyBorder="1" applyAlignment="1">
      <alignment vertical="top"/>
    </xf>
    <xf numFmtId="0" fontId="129" fillId="50" borderId="43" xfId="482" applyFont="1" applyFill="1" applyBorder="1" applyAlignment="1">
      <alignment vertical="top"/>
    </xf>
    <xf numFmtId="0" fontId="41" fillId="0" borderId="43" xfId="60" applyBorder="1" applyAlignment="1">
      <alignment vertical="top"/>
    </xf>
    <xf numFmtId="168" fontId="41" fillId="0" borderId="43" xfId="483" applyFont="1" applyFill="1" applyBorder="1" applyAlignment="1">
      <alignment vertical="top"/>
    </xf>
    <xf numFmtId="239" fontId="41" fillId="0" borderId="43" xfId="483" applyNumberFormat="1" applyFont="1" applyFill="1" applyBorder="1" applyAlignment="1">
      <alignment vertical="top"/>
    </xf>
    <xf numFmtId="168" fontId="41" fillId="7" borderId="43" xfId="483" applyFont="1" applyFill="1" applyBorder="1" applyAlignment="1">
      <alignment vertical="top"/>
    </xf>
    <xf numFmtId="239" fontId="41" fillId="50" borderId="43" xfId="483" applyNumberFormat="1" applyFont="1" applyFill="1" applyBorder="1" applyAlignment="1">
      <alignment vertical="top"/>
    </xf>
    <xf numFmtId="0" fontId="41" fillId="50" borderId="43" xfId="60" applyFill="1" applyBorder="1" applyAlignment="1">
      <alignment vertical="top"/>
    </xf>
    <xf numFmtId="172" fontId="129" fillId="0" borderId="43" xfId="480" applyNumberFormat="1" applyFont="1" applyBorder="1" applyAlignment="1">
      <alignment vertical="top"/>
    </xf>
    <xf numFmtId="239" fontId="129" fillId="0" borderId="43" xfId="483" applyNumberFormat="1" applyFont="1" applyBorder="1" applyAlignment="1">
      <alignment vertical="top"/>
    </xf>
    <xf numFmtId="168" fontId="129" fillId="0" borderId="43" xfId="483" applyFont="1" applyBorder="1" applyAlignment="1">
      <alignment vertical="top"/>
    </xf>
    <xf numFmtId="239" fontId="129" fillId="50" borderId="43" xfId="483" applyNumberFormat="1" applyFont="1" applyFill="1" applyBorder="1" applyAlignment="1">
      <alignment vertical="top"/>
    </xf>
    <xf numFmtId="0" fontId="41" fillId="0" borderId="43" xfId="480" applyBorder="1" applyAlignment="1">
      <alignment vertical="top"/>
    </xf>
    <xf numFmtId="168" fontId="41" fillId="0" borderId="43" xfId="483" applyFont="1" applyBorder="1" applyAlignment="1">
      <alignment vertical="top"/>
    </xf>
    <xf numFmtId="168" fontId="41" fillId="50" borderId="43" xfId="483" applyFont="1" applyFill="1" applyBorder="1" applyAlignment="1">
      <alignment vertical="top"/>
    </xf>
    <xf numFmtId="172" fontId="129" fillId="0" borderId="43" xfId="481" applyNumberFormat="1" applyFont="1" applyBorder="1" applyAlignment="1">
      <alignment vertical="top"/>
    </xf>
    <xf numFmtId="1" fontId="41" fillId="0" borderId="43" xfId="481" applyNumberFormat="1" applyFont="1" applyBorder="1" applyAlignment="1">
      <alignment vertical="top"/>
    </xf>
    <xf numFmtId="238" fontId="41" fillId="0" borderId="43" xfId="483" applyNumberFormat="1" applyFont="1" applyFill="1" applyBorder="1" applyAlignment="1">
      <alignment vertical="top"/>
    </xf>
    <xf numFmtId="172" fontId="41" fillId="50" borderId="43" xfId="481" applyNumberFormat="1" applyFont="1" applyFill="1" applyBorder="1" applyAlignment="1">
      <alignment vertical="top"/>
    </xf>
    <xf numFmtId="168" fontId="129" fillId="50" borderId="43" xfId="483" applyFont="1" applyFill="1" applyBorder="1" applyAlignment="1">
      <alignment horizontal="right" vertical="top"/>
    </xf>
    <xf numFmtId="0" fontId="41" fillId="0" borderId="43" xfId="480" applyBorder="1" applyAlignment="1">
      <alignment horizontal="left" vertical="top" indent="1"/>
    </xf>
    <xf numFmtId="172" fontId="41" fillId="0" borderId="43" xfId="480" applyNumberFormat="1" applyBorder="1" applyAlignment="1">
      <alignment vertical="top"/>
    </xf>
    <xf numFmtId="172" fontId="129" fillId="7" borderId="43" xfId="481" applyNumberFormat="1" applyFont="1" applyFill="1" applyBorder="1" applyAlignment="1">
      <alignment vertical="top"/>
    </xf>
    <xf numFmtId="172" fontId="140" fillId="50" borderId="43" xfId="481" applyNumberFormat="1" applyFont="1" applyFill="1" applyBorder="1" applyAlignment="1">
      <alignment vertical="top"/>
    </xf>
    <xf numFmtId="2" fontId="41" fillId="0" borderId="43" xfId="481" applyNumberFormat="1" applyFont="1" applyBorder="1" applyAlignment="1">
      <alignment vertical="top"/>
    </xf>
    <xf numFmtId="168" fontId="129" fillId="7" borderId="43" xfId="483" applyFont="1" applyFill="1" applyBorder="1" applyAlignment="1">
      <alignment vertical="top"/>
    </xf>
    <xf numFmtId="172" fontId="41" fillId="0" borderId="43" xfId="481" applyNumberFormat="1" applyFont="1" applyBorder="1" applyAlignment="1">
      <alignment vertical="top"/>
    </xf>
    <xf numFmtId="172" fontId="129" fillId="51" borderId="43" xfId="480" applyNumberFormat="1" applyFont="1" applyFill="1" applyBorder="1" applyAlignment="1">
      <alignment vertical="top"/>
    </xf>
    <xf numFmtId="0" fontId="41" fillId="0" borderId="0" xfId="60" applyAlignment="1">
      <alignment vertical="top" wrapText="1"/>
    </xf>
    <xf numFmtId="0" fontId="41" fillId="0" borderId="43" xfId="480" applyBorder="1" applyAlignment="1">
      <alignment horizontal="left" vertical="top"/>
    </xf>
    <xf numFmtId="0" fontId="129" fillId="50" borderId="43" xfId="482" applyFont="1" applyFill="1" applyBorder="1" applyAlignment="1">
      <alignment horizontal="right" vertical="top"/>
    </xf>
    <xf numFmtId="172" fontId="41" fillId="7" borderId="43" xfId="480" applyNumberFormat="1" applyFill="1" applyBorder="1" applyAlignment="1">
      <alignment vertical="top"/>
    </xf>
    <xf numFmtId="1" fontId="129" fillId="0" borderId="43" xfId="481" applyNumberFormat="1" applyFont="1" applyBorder="1" applyAlignment="1">
      <alignment vertical="top"/>
    </xf>
    <xf numFmtId="238" fontId="129" fillId="51" borderId="43" xfId="483" applyNumberFormat="1" applyFont="1" applyFill="1" applyBorder="1" applyAlignment="1">
      <alignment vertical="top"/>
    </xf>
    <xf numFmtId="239" fontId="129" fillId="50" borderId="43" xfId="481" applyNumberFormat="1" applyFont="1" applyFill="1" applyBorder="1" applyAlignment="1">
      <alignment vertical="top"/>
    </xf>
    <xf numFmtId="0" fontId="129" fillId="51" borderId="43" xfId="480" applyFont="1" applyFill="1" applyBorder="1" applyAlignment="1">
      <alignment vertical="top"/>
    </xf>
    <xf numFmtId="1" fontId="129" fillId="51" borderId="43" xfId="481" applyNumberFormat="1" applyFont="1" applyFill="1" applyBorder="1" applyAlignment="1">
      <alignment vertical="top"/>
    </xf>
    <xf numFmtId="0" fontId="41" fillId="0" borderId="43" xfId="481" applyFont="1" applyBorder="1" applyAlignment="1">
      <alignment vertical="top"/>
    </xf>
    <xf numFmtId="239" fontId="129" fillId="7" borderId="43" xfId="483" applyNumberFormat="1" applyFont="1" applyFill="1" applyBorder="1" applyAlignment="1">
      <alignment vertical="top"/>
    </xf>
    <xf numFmtId="172" fontId="141" fillId="28" borderId="43" xfId="481" applyNumberFormat="1" applyFont="1" applyFill="1" applyBorder="1" applyAlignment="1">
      <alignment vertical="top"/>
    </xf>
    <xf numFmtId="172" fontId="41" fillId="0" borderId="43" xfId="481" applyNumberFormat="1" applyFont="1" applyBorder="1" applyAlignment="1">
      <alignment horizontal="right" vertical="top"/>
    </xf>
    <xf numFmtId="172" fontId="129" fillId="0" borderId="43" xfId="481" applyNumberFormat="1" applyFont="1" applyBorder="1" applyAlignment="1">
      <alignment horizontal="left" vertical="top"/>
    </xf>
    <xf numFmtId="238" fontId="129" fillId="33" borderId="43" xfId="483" applyNumberFormat="1" applyFont="1" applyFill="1" applyBorder="1" applyAlignment="1">
      <alignment vertical="top"/>
    </xf>
    <xf numFmtId="172" fontId="129" fillId="50" borderId="43" xfId="482" applyNumberFormat="1" applyFont="1" applyFill="1" applyBorder="1" applyAlignment="1">
      <alignment vertical="top"/>
    </xf>
    <xf numFmtId="172" fontId="41" fillId="50" borderId="43" xfId="482" applyNumberFormat="1" applyFont="1" applyFill="1" applyBorder="1" applyAlignment="1">
      <alignment vertical="top"/>
    </xf>
    <xf numFmtId="9" fontId="129" fillId="50" borderId="43" xfId="484" applyFont="1" applyFill="1" applyBorder="1" applyAlignment="1">
      <alignment vertical="top"/>
    </xf>
    <xf numFmtId="38" fontId="129" fillId="50" borderId="43" xfId="481" applyNumberFormat="1" applyFont="1" applyFill="1" applyBorder="1" applyAlignment="1">
      <alignment horizontal="right" vertical="top"/>
    </xf>
    <xf numFmtId="38" fontId="129" fillId="50" borderId="43" xfId="481" applyNumberFormat="1" applyFont="1" applyFill="1" applyBorder="1" applyAlignment="1">
      <alignment vertical="top"/>
    </xf>
    <xf numFmtId="172" fontId="129" fillId="50" borderId="43" xfId="481" applyNumberFormat="1" applyFont="1" applyFill="1" applyBorder="1" applyAlignment="1">
      <alignment vertical="top"/>
    </xf>
    <xf numFmtId="0" fontId="41" fillId="50" borderId="43" xfId="481" applyFont="1" applyFill="1" applyBorder="1" applyAlignment="1">
      <alignment vertical="top"/>
    </xf>
    <xf numFmtId="0" fontId="129" fillId="28" borderId="43" xfId="480" applyFont="1" applyFill="1" applyBorder="1" applyAlignment="1">
      <alignment vertical="top"/>
    </xf>
    <xf numFmtId="0" fontId="41" fillId="28" borderId="43" xfId="480" applyFill="1" applyBorder="1" applyAlignment="1">
      <alignment vertical="top"/>
    </xf>
    <xf numFmtId="172" fontId="41" fillId="28" borderId="43" xfId="480" applyNumberFormat="1" applyFill="1" applyBorder="1" applyAlignment="1">
      <alignment vertical="top"/>
    </xf>
    <xf numFmtId="172" fontId="41" fillId="28" borderId="43" xfId="481" applyNumberFormat="1" applyFont="1" applyFill="1" applyBorder="1" applyAlignment="1">
      <alignment vertical="top"/>
    </xf>
    <xf numFmtId="172" fontId="41" fillId="0" borderId="43" xfId="480" applyNumberFormat="1" applyBorder="1" applyAlignment="1">
      <alignment horizontal="right" vertical="top"/>
    </xf>
    <xf numFmtId="172" fontId="141" fillId="28" borderId="43" xfId="481" applyNumberFormat="1" applyFont="1" applyFill="1" applyBorder="1" applyAlignment="1">
      <alignment horizontal="right" vertical="top"/>
    </xf>
    <xf numFmtId="0" fontId="41" fillId="33" borderId="0" xfId="480" applyFill="1" applyAlignment="1">
      <alignment vertical="top"/>
    </xf>
    <xf numFmtId="1" fontId="41" fillId="33" borderId="0" xfId="480" applyNumberFormat="1" applyFill="1" applyAlignment="1">
      <alignment vertical="top"/>
    </xf>
    <xf numFmtId="9" fontId="41" fillId="33" borderId="0" xfId="484" applyFont="1" applyFill="1" applyAlignment="1">
      <alignment vertical="top"/>
    </xf>
    <xf numFmtId="3" fontId="41" fillId="33" borderId="0" xfId="480" applyNumberFormat="1" applyFill="1" applyAlignment="1">
      <alignment vertical="top"/>
    </xf>
    <xf numFmtId="9" fontId="142" fillId="0" borderId="0" xfId="0" applyNumberFormat="1" applyFont="1"/>
    <xf numFmtId="3" fontId="143" fillId="0" borderId="0" xfId="162" applyNumberFormat="1" applyFont="1"/>
    <xf numFmtId="3" fontId="143" fillId="0" borderId="25" xfId="162" applyNumberFormat="1" applyFont="1" applyBorder="1"/>
    <xf numFmtId="175" fontId="19" fillId="0" borderId="0" xfId="0" applyNumberFormat="1" applyFont="1" applyAlignment="1">
      <alignment horizontal="right"/>
    </xf>
    <xf numFmtId="10" fontId="23" fillId="0" borderId="0" xfId="65" applyNumberFormat="1" applyFont="1" applyFill="1" applyBorder="1" applyAlignment="1">
      <alignment horizontal="right"/>
    </xf>
    <xf numFmtId="9" fontId="22" fillId="0" borderId="0" xfId="65" applyFont="1" applyAlignment="1">
      <alignment horizontal="right"/>
    </xf>
    <xf numFmtId="9" fontId="19" fillId="0" borderId="1" xfId="65" applyFont="1" applyFill="1" applyBorder="1" applyAlignment="1">
      <alignment horizontal="right"/>
    </xf>
    <xf numFmtId="169" fontId="35" fillId="0" borderId="0" xfId="0" applyNumberFormat="1" applyFont="1" applyAlignment="1">
      <alignment horizontal="right"/>
    </xf>
    <xf numFmtId="9" fontId="19" fillId="0" borderId="0" xfId="65" applyFont="1" applyFill="1" applyBorder="1" applyAlignment="1">
      <alignment horizontal="right"/>
    </xf>
    <xf numFmtId="2" fontId="35" fillId="0" borderId="0" xfId="0" applyNumberFormat="1" applyFont="1" applyAlignment="1">
      <alignment horizontal="right"/>
    </xf>
    <xf numFmtId="9" fontId="35" fillId="0" borderId="0" xfId="3" applyFont="1" applyFill="1" applyBorder="1" applyAlignment="1">
      <alignment horizontal="right"/>
    </xf>
    <xf numFmtId="171" fontId="35" fillId="0" borderId="0" xfId="2" applyNumberFormat="1" applyFont="1" applyBorder="1" applyAlignment="1">
      <alignment horizontal="right"/>
    </xf>
    <xf numFmtId="171" fontId="35" fillId="0" borderId="0" xfId="2" applyNumberFormat="1" applyFont="1" applyFill="1" applyBorder="1" applyAlignment="1">
      <alignment horizontal="right"/>
    </xf>
    <xf numFmtId="9" fontId="17" fillId="0" borderId="0" xfId="3" applyFont="1" applyBorder="1" applyAlignment="1">
      <alignment horizontal="right"/>
    </xf>
    <xf numFmtId="10" fontId="37" fillId="0" borderId="0" xfId="3" applyNumberFormat="1" applyFont="1" applyFill="1" applyBorder="1" applyAlignment="1">
      <alignment horizontal="right"/>
    </xf>
    <xf numFmtId="10" fontId="17" fillId="0" borderId="0" xfId="3" applyNumberFormat="1" applyFont="1" applyFill="1" applyBorder="1" applyAlignment="1">
      <alignment horizontal="right"/>
    </xf>
    <xf numFmtId="236" fontId="17" fillId="0" borderId="0" xfId="0" applyNumberFormat="1" applyFont="1" applyAlignment="1">
      <alignment horizontal="right"/>
    </xf>
    <xf numFmtId="170" fontId="23" fillId="0" borderId="1" xfId="3" applyNumberFormat="1" applyFont="1" applyBorder="1" applyAlignment="1">
      <alignment horizontal="right"/>
    </xf>
    <xf numFmtId="170" fontId="35" fillId="0" borderId="1" xfId="3" applyNumberFormat="1" applyFont="1" applyFill="1" applyBorder="1" applyAlignment="1">
      <alignment horizontal="right"/>
    </xf>
    <xf numFmtId="9" fontId="35" fillId="0" borderId="1" xfId="3" applyFont="1" applyBorder="1" applyAlignment="1">
      <alignment horizontal="right"/>
    </xf>
    <xf numFmtId="170" fontId="19" fillId="0" borderId="1" xfId="3" applyNumberFormat="1" applyFont="1" applyFill="1" applyBorder="1" applyAlignment="1">
      <alignment horizontal="right"/>
    </xf>
    <xf numFmtId="3" fontId="144" fillId="0" borderId="25" xfId="162" applyNumberFormat="1" applyFont="1" applyBorder="1"/>
    <xf numFmtId="3" fontId="144" fillId="0" borderId="0" xfId="162" applyNumberFormat="1" applyFont="1"/>
    <xf numFmtId="3" fontId="13" fillId="31" borderId="4" xfId="162" applyNumberFormat="1" applyFont="1" applyFill="1" applyBorder="1"/>
    <xf numFmtId="1" fontId="13" fillId="0" borderId="4" xfId="162" applyNumberFormat="1" applyFont="1" applyBorder="1"/>
    <xf numFmtId="1" fontId="68" fillId="5" borderId="0" xfId="162" applyNumberFormat="1" applyFont="1" applyFill="1"/>
    <xf numFmtId="1" fontId="68" fillId="5" borderId="25" xfId="162" applyNumberFormat="1" applyFont="1" applyFill="1" applyBorder="1"/>
    <xf numFmtId="1" fontId="68" fillId="5" borderId="4" xfId="162" applyNumberFormat="1" applyFont="1" applyFill="1" applyBorder="1"/>
    <xf numFmtId="1" fontId="68" fillId="36" borderId="0" xfId="162" applyNumberFormat="1" applyFont="1" applyFill="1"/>
    <xf numFmtId="10" fontId="22" fillId="0" borderId="0" xfId="65" applyNumberFormat="1" applyFont="1" applyAlignment="1">
      <alignment horizontal="right"/>
    </xf>
    <xf numFmtId="170" fontId="22" fillId="0" borderId="0" xfId="65" applyNumberFormat="1" applyFont="1" applyAlignment="1">
      <alignment horizontal="right"/>
    </xf>
    <xf numFmtId="10" fontId="19" fillId="0" borderId="0" xfId="65" applyNumberFormat="1" applyFont="1" applyFill="1" applyAlignment="1">
      <alignment horizontal="right"/>
    </xf>
    <xf numFmtId="170" fontId="19" fillId="7" borderId="0" xfId="3" applyNumberFormat="1" applyFont="1" applyFill="1"/>
    <xf numFmtId="170" fontId="143" fillId="0" borderId="0" xfId="65" applyNumberFormat="1" applyFont="1" applyAlignment="1">
      <alignment horizontal="right"/>
    </xf>
    <xf numFmtId="170" fontId="143" fillId="0" borderId="25" xfId="65" applyNumberFormat="1" applyFont="1" applyBorder="1" applyAlignment="1">
      <alignment horizontal="right"/>
    </xf>
    <xf numFmtId="9" fontId="13" fillId="0" borderId="0" xfId="65" applyFont="1"/>
    <xf numFmtId="170" fontId="68" fillId="0" borderId="0" xfId="65" applyNumberFormat="1" applyFont="1" applyAlignment="1">
      <alignment horizontal="right"/>
    </xf>
    <xf numFmtId="9" fontId="13" fillId="0" borderId="25" xfId="65" applyFont="1" applyBorder="1"/>
    <xf numFmtId="1" fontId="13" fillId="33" borderId="4" xfId="162" applyNumberFormat="1" applyFont="1" applyFill="1" applyBorder="1"/>
    <xf numFmtId="1" fontId="13" fillId="33" borderId="0" xfId="162" applyNumberFormat="1" applyFont="1" applyFill="1"/>
    <xf numFmtId="170" fontId="13" fillId="0" borderId="0" xfId="65" applyNumberFormat="1" applyFont="1"/>
    <xf numFmtId="4" fontId="35" fillId="0" borderId="0" xfId="0" applyNumberFormat="1" applyFont="1" applyAlignment="1">
      <alignment horizontal="right"/>
    </xf>
    <xf numFmtId="4" fontId="35" fillId="0" borderId="1" xfId="0" applyNumberFormat="1" applyFont="1" applyBorder="1" applyAlignment="1">
      <alignment horizontal="right"/>
    </xf>
    <xf numFmtId="4" fontId="22" fillId="0" borderId="0" xfId="0" applyNumberFormat="1" applyFont="1" applyAlignment="1">
      <alignment horizontal="right"/>
    </xf>
    <xf numFmtId="9" fontId="23" fillId="0" borderId="0" xfId="65" applyFont="1" applyFill="1" applyBorder="1" applyAlignment="1">
      <alignment horizontal="right"/>
    </xf>
    <xf numFmtId="9" fontId="23" fillId="0" borderId="1" xfId="65" applyFont="1" applyFill="1" applyBorder="1" applyAlignment="1">
      <alignment horizontal="right"/>
    </xf>
    <xf numFmtId="9" fontId="19" fillId="0" borderId="0" xfId="65" applyFont="1" applyFill="1"/>
    <xf numFmtId="170" fontId="17" fillId="0" borderId="1" xfId="3" applyNumberFormat="1" applyFont="1" applyBorder="1" applyAlignment="1">
      <alignment horizontal="right"/>
    </xf>
    <xf numFmtId="10" fontId="35" fillId="0" borderId="0" xfId="65" applyNumberFormat="1" applyFont="1" applyFill="1" applyBorder="1" applyAlignment="1">
      <alignment horizontal="right"/>
    </xf>
    <xf numFmtId="170" fontId="19" fillId="0" borderId="0" xfId="65" applyNumberFormat="1" applyFont="1" applyFill="1" applyBorder="1" applyAlignment="1">
      <alignment horizontal="right"/>
    </xf>
    <xf numFmtId="170" fontId="35" fillId="0" borderId="0" xfId="3" applyNumberFormat="1" applyFont="1" applyFill="1" applyBorder="1" applyAlignment="1">
      <alignment horizontal="right"/>
    </xf>
    <xf numFmtId="9" fontId="35" fillId="0" borderId="0" xfId="3" applyFont="1" applyBorder="1" applyAlignment="1">
      <alignment horizontal="right"/>
    </xf>
    <xf numFmtId="170" fontId="19" fillId="0" borderId="0" xfId="3" applyNumberFormat="1" applyFont="1" applyFill="1" applyBorder="1" applyAlignment="1">
      <alignment horizontal="right"/>
    </xf>
    <xf numFmtId="3" fontId="13" fillId="52" borderId="0" xfId="162" applyNumberFormat="1" applyFont="1" applyFill="1"/>
    <xf numFmtId="9" fontId="13" fillId="0" borderId="0" xfId="3" applyFont="1"/>
    <xf numFmtId="3" fontId="13" fillId="7" borderId="25" xfId="162" applyNumberFormat="1" applyFont="1" applyFill="1" applyBorder="1"/>
    <xf numFmtId="3" fontId="68" fillId="7" borderId="25" xfId="162" applyNumberFormat="1" applyFont="1" applyFill="1" applyBorder="1"/>
    <xf numFmtId="180" fontId="13" fillId="7" borderId="25" xfId="162" applyNumberFormat="1" applyFont="1" applyFill="1" applyBorder="1"/>
    <xf numFmtId="9" fontId="13" fillId="0" borderId="25" xfId="3" applyFont="1" applyBorder="1"/>
    <xf numFmtId="170" fontId="13" fillId="0" borderId="25" xfId="3" applyNumberFormat="1" applyFont="1" applyBorder="1"/>
    <xf numFmtId="170" fontId="13" fillId="0" borderId="25" xfId="162" applyNumberFormat="1" applyFont="1" applyBorder="1"/>
    <xf numFmtId="168" fontId="143" fillId="0" borderId="0" xfId="1" applyFont="1" applyAlignment="1">
      <alignment horizontal="right"/>
    </xf>
    <xf numFmtId="9" fontId="144" fillId="0" borderId="0" xfId="3" applyFont="1"/>
    <xf numFmtId="9" fontId="144" fillId="0" borderId="25" xfId="3" applyFont="1" applyBorder="1"/>
    <xf numFmtId="3" fontId="13" fillId="8" borderId="4" xfId="162" applyNumberFormat="1" applyFont="1" applyFill="1" applyBorder="1"/>
    <xf numFmtId="3" fontId="68" fillId="8" borderId="4" xfId="162" applyNumberFormat="1" applyFont="1" applyFill="1" applyBorder="1"/>
    <xf numFmtId="3" fontId="13" fillId="52" borderId="4" xfId="162" applyNumberFormat="1" applyFont="1" applyFill="1" applyBorder="1"/>
    <xf numFmtId="3" fontId="68" fillId="52" borderId="4" xfId="162" applyNumberFormat="1" applyFont="1" applyFill="1" applyBorder="1"/>
    <xf numFmtId="9" fontId="19" fillId="0" borderId="0" xfId="3" applyFont="1"/>
    <xf numFmtId="2" fontId="22" fillId="6" borderId="1" xfId="0" applyNumberFormat="1" applyFont="1" applyFill="1" applyBorder="1" applyAlignment="1">
      <alignment horizontal="right"/>
    </xf>
    <xf numFmtId="170" fontId="23" fillId="0" borderId="0" xfId="65" applyNumberFormat="1" applyFont="1" applyFill="1" applyBorder="1" applyAlignment="1">
      <alignment horizontal="right"/>
    </xf>
    <xf numFmtId="170" fontId="23" fillId="0" borderId="0" xfId="65" applyNumberFormat="1" applyFont="1" applyAlignment="1">
      <alignment horizontal="right"/>
    </xf>
    <xf numFmtId="10" fontId="20" fillId="0" borderId="0" xfId="65" applyNumberFormat="1" applyFont="1" applyAlignment="1">
      <alignment horizontal="right"/>
    </xf>
    <xf numFmtId="170" fontId="20" fillId="0" borderId="0" xfId="65" applyNumberFormat="1" applyFont="1" applyAlignment="1">
      <alignment horizontal="right"/>
    </xf>
    <xf numFmtId="9" fontId="20" fillId="0" borderId="0" xfId="65" applyFont="1" applyFill="1" applyAlignment="1">
      <alignment horizontal="right"/>
    </xf>
    <xf numFmtId="9" fontId="20" fillId="0" borderId="0" xfId="65" applyFont="1" applyAlignment="1">
      <alignment horizontal="right"/>
    </xf>
    <xf numFmtId="171" fontId="20" fillId="0" borderId="0" xfId="38" applyNumberFormat="1" applyFont="1" applyFill="1" applyAlignment="1">
      <alignment horizontal="right"/>
    </xf>
    <xf numFmtId="171" fontId="19" fillId="0" borderId="0" xfId="38" applyNumberFormat="1" applyFont="1" applyAlignment="1">
      <alignment horizontal="right"/>
    </xf>
    <xf numFmtId="10" fontId="35" fillId="0" borderId="0" xfId="65" applyNumberFormat="1" applyFont="1" applyAlignment="1">
      <alignment horizontal="right"/>
    </xf>
    <xf numFmtId="10" fontId="15" fillId="2" borderId="0" xfId="65" applyNumberFormat="1" applyFont="1" applyFill="1" applyAlignment="1">
      <alignment horizontal="right"/>
    </xf>
    <xf numFmtId="10" fontId="25" fillId="0" borderId="0" xfId="65" applyNumberFormat="1" applyFont="1" applyBorder="1" applyAlignment="1">
      <alignment horizontal="right"/>
    </xf>
    <xf numFmtId="10" fontId="17" fillId="0" borderId="0" xfId="65" applyNumberFormat="1" applyFont="1" applyAlignment="1">
      <alignment horizontal="right"/>
    </xf>
    <xf numFmtId="10" fontId="20" fillId="0" borderId="0" xfId="65" applyNumberFormat="1" applyFont="1" applyFill="1" applyBorder="1" applyAlignment="1">
      <alignment horizontal="right"/>
    </xf>
    <xf numFmtId="10" fontId="37" fillId="0" borderId="0" xfId="65" applyNumberFormat="1" applyFont="1" applyFill="1" applyAlignment="1">
      <alignment horizontal="right"/>
    </xf>
    <xf numFmtId="10" fontId="37" fillId="0" borderId="0" xfId="65" applyNumberFormat="1" applyFont="1" applyAlignment="1">
      <alignment horizontal="right"/>
    </xf>
    <xf numFmtId="10" fontId="17" fillId="0" borderId="0" xfId="65" applyNumberFormat="1" applyFont="1" applyFill="1" applyAlignment="1">
      <alignment horizontal="right"/>
    </xf>
    <xf numFmtId="10" fontId="20" fillId="0" borderId="0" xfId="65" applyNumberFormat="1" applyFont="1" applyBorder="1" applyAlignment="1">
      <alignment horizontal="right"/>
    </xf>
    <xf numFmtId="10" fontId="17" fillId="3" borderId="0" xfId="65" applyNumberFormat="1" applyFont="1" applyFill="1" applyAlignment="1">
      <alignment horizontal="right"/>
    </xf>
    <xf numFmtId="3" fontId="25" fillId="7" borderId="0" xfId="0" applyNumberFormat="1" applyFont="1" applyFill="1" applyAlignment="1">
      <alignment horizontal="right"/>
    </xf>
    <xf numFmtId="172" fontId="19" fillId="0" borderId="0" xfId="65" applyNumberFormat="1" applyFont="1" applyAlignment="1">
      <alignment horizontal="right"/>
    </xf>
    <xf numFmtId="3" fontId="19" fillId="0" borderId="0" xfId="65" applyNumberFormat="1" applyFont="1" applyAlignment="1">
      <alignment horizontal="right"/>
    </xf>
    <xf numFmtId="10" fontId="25" fillId="0" borderId="0" xfId="65" applyNumberFormat="1" applyFont="1" applyAlignment="1">
      <alignment horizontal="right"/>
    </xf>
    <xf numFmtId="170" fontId="19" fillId="0" borderId="0" xfId="65" applyNumberFormat="1" applyFont="1" applyFill="1" applyAlignment="1">
      <alignment horizontal="right"/>
    </xf>
    <xf numFmtId="206" fontId="19" fillId="0" borderId="0" xfId="65" applyNumberFormat="1" applyFont="1" applyBorder="1" applyAlignment="1">
      <alignment horizontal="right"/>
    </xf>
    <xf numFmtId="2" fontId="19" fillId="0" borderId="0" xfId="0" applyNumberFormat="1" applyFont="1"/>
    <xf numFmtId="3" fontId="13" fillId="8" borderId="0" xfId="162" applyNumberFormat="1" applyFont="1" applyFill="1"/>
    <xf numFmtId="3" fontId="13" fillId="8" borderId="25" xfId="162" applyNumberFormat="1" applyFont="1" applyFill="1" applyBorder="1"/>
    <xf numFmtId="1" fontId="13" fillId="8" borderId="0" xfId="162" applyNumberFormat="1" applyFont="1" applyFill="1"/>
    <xf numFmtId="170" fontId="17" fillId="0" borderId="0" xfId="3" applyNumberFormat="1" applyFont="1" applyBorder="1" applyAlignment="1">
      <alignment horizontal="right"/>
    </xf>
    <xf numFmtId="170" fontId="17" fillId="0" borderId="0" xfId="0" applyNumberFormat="1" applyFont="1"/>
    <xf numFmtId="1" fontId="19" fillId="0" borderId="0" xfId="0" applyNumberFormat="1" applyFont="1"/>
    <xf numFmtId="168" fontId="19" fillId="0" borderId="0" xfId="1" applyFont="1" applyBorder="1" applyAlignment="1">
      <alignment horizontal="right"/>
    </xf>
    <xf numFmtId="240" fontId="19" fillId="0" borderId="0" xfId="0" applyNumberFormat="1" applyFont="1" applyAlignment="1">
      <alignment horizontal="right"/>
    </xf>
    <xf numFmtId="0" fontId="13" fillId="29" borderId="0" xfId="162" applyFont="1" applyFill="1"/>
    <xf numFmtId="1" fontId="13" fillId="29" borderId="0" xfId="162" applyNumberFormat="1" applyFont="1" applyFill="1"/>
    <xf numFmtId="3" fontId="68" fillId="35" borderId="0" xfId="162" applyNumberFormat="1" applyFont="1" applyFill="1"/>
    <xf numFmtId="171" fontId="19" fillId="0" borderId="0" xfId="2" applyNumberFormat="1" applyFont="1" applyFill="1" applyBorder="1" applyAlignment="1">
      <alignment horizontal="right"/>
    </xf>
    <xf numFmtId="9" fontId="13" fillId="0" borderId="0" xfId="66" applyFont="1" applyBorder="1" applyAlignment="1">
      <alignment horizontal="right"/>
    </xf>
    <xf numFmtId="9" fontId="19" fillId="0" borderId="0" xfId="65" applyFont="1"/>
    <xf numFmtId="3" fontId="19" fillId="0" borderId="0" xfId="0" applyNumberFormat="1" applyFont="1" applyAlignment="1">
      <alignment horizontal="left"/>
    </xf>
    <xf numFmtId="3" fontId="145" fillId="0" borderId="0" xfId="0" applyNumberFormat="1" applyFont="1" applyAlignment="1">
      <alignment horizontal="right"/>
    </xf>
    <xf numFmtId="0" fontId="146" fillId="0" borderId="0" xfId="0" applyFont="1"/>
    <xf numFmtId="3" fontId="147" fillId="0" borderId="0" xfId="0" applyNumberFormat="1" applyFont="1" applyAlignment="1">
      <alignment horizontal="right"/>
    </xf>
    <xf numFmtId="0" fontId="148" fillId="33" borderId="25" xfId="162" applyFont="1" applyFill="1" applyBorder="1"/>
    <xf numFmtId="170" fontId="68" fillId="0" borderId="25" xfId="3" applyNumberFormat="1" applyFont="1" applyBorder="1"/>
    <xf numFmtId="170" fontId="13" fillId="0" borderId="25" xfId="162" applyNumberFormat="1" applyFont="1" applyBorder="1" applyAlignment="1">
      <alignment horizontal="right"/>
    </xf>
    <xf numFmtId="3" fontId="37" fillId="8" borderId="0" xfId="0" applyNumberFormat="1" applyFont="1" applyFill="1" applyAlignment="1">
      <alignment horizontal="right"/>
    </xf>
    <xf numFmtId="10" fontId="35" fillId="0" borderId="1" xfId="3" applyNumberFormat="1" applyFont="1" applyFill="1" applyBorder="1" applyAlignment="1">
      <alignment horizontal="right"/>
    </xf>
    <xf numFmtId="170" fontId="22" fillId="0" borderId="0" xfId="3" applyNumberFormat="1" applyFont="1" applyBorder="1" applyAlignment="1">
      <alignment horizontal="right"/>
    </xf>
    <xf numFmtId="170" fontId="17" fillId="0" borderId="0" xfId="0" applyNumberFormat="1" applyFont="1" applyAlignment="1">
      <alignment horizontal="right"/>
    </xf>
    <xf numFmtId="9" fontId="22" fillId="0" borderId="1" xfId="65" applyFont="1" applyBorder="1" applyAlignment="1">
      <alignment horizontal="right"/>
    </xf>
    <xf numFmtId="170" fontId="22" fillId="0" borderId="1" xfId="65" applyNumberFormat="1" applyFont="1" applyBorder="1" applyAlignment="1">
      <alignment horizontal="right"/>
    </xf>
    <xf numFmtId="170" fontId="13" fillId="0" borderId="1" xfId="66" applyNumberFormat="1" applyFont="1" applyBorder="1" applyAlignment="1">
      <alignment horizontal="right"/>
    </xf>
    <xf numFmtId="3" fontId="69" fillId="33" borderId="25" xfId="162" applyNumberFormat="1" applyFont="1" applyFill="1" applyBorder="1"/>
    <xf numFmtId="1" fontId="69" fillId="33" borderId="25" xfId="162" applyNumberFormat="1" applyFont="1" applyFill="1" applyBorder="1"/>
    <xf numFmtId="0" fontId="68" fillId="0" borderId="1" xfId="162" applyFont="1" applyBorder="1" applyAlignment="1">
      <alignment horizontal="right"/>
    </xf>
    <xf numFmtId="0" fontId="13" fillId="30" borderId="27" xfId="162" applyFont="1" applyFill="1" applyBorder="1"/>
    <xf numFmtId="3" fontId="144" fillId="0" borderId="1" xfId="162" applyNumberFormat="1" applyFont="1" applyBorder="1"/>
    <xf numFmtId="170" fontId="143" fillId="0" borderId="1" xfId="65" applyNumberFormat="1" applyFont="1" applyBorder="1" applyAlignment="1">
      <alignment horizontal="right"/>
    </xf>
    <xf numFmtId="9" fontId="68" fillId="0" borderId="1" xfId="66" applyFont="1" applyBorder="1" applyAlignment="1">
      <alignment horizontal="right"/>
    </xf>
    <xf numFmtId="0" fontId="13" fillId="32" borderId="27" xfId="162" applyFont="1" applyFill="1" applyBorder="1"/>
    <xf numFmtId="9" fontId="13" fillId="0" borderId="1" xfId="65" applyFont="1" applyBorder="1"/>
    <xf numFmtId="0" fontId="13" fillId="0" borderId="1" xfId="162" applyFont="1" applyBorder="1"/>
    <xf numFmtId="3" fontId="13" fillId="37" borderId="1" xfId="162" applyNumberFormat="1" applyFont="1" applyFill="1" applyBorder="1"/>
    <xf numFmtId="1" fontId="68" fillId="0" borderId="1" xfId="162" applyNumberFormat="1" applyFont="1" applyBorder="1"/>
    <xf numFmtId="0" fontId="68" fillId="0" borderId="1" xfId="162" applyFont="1" applyBorder="1"/>
    <xf numFmtId="1" fontId="13" fillId="27" borderId="1" xfId="162" applyNumberFormat="1" applyFont="1" applyFill="1" applyBorder="1"/>
    <xf numFmtId="1" fontId="68" fillId="5" borderId="1" xfId="162" applyNumberFormat="1" applyFont="1" applyFill="1" applyBorder="1"/>
    <xf numFmtId="9" fontId="13" fillId="0" borderId="1" xfId="66" applyFont="1" applyBorder="1"/>
    <xf numFmtId="170" fontId="13" fillId="0" borderId="1" xfId="66" applyNumberFormat="1" applyFont="1" applyBorder="1"/>
    <xf numFmtId="3" fontId="13" fillId="0" borderId="1" xfId="162" applyNumberFormat="1" applyFont="1" applyBorder="1" applyAlignment="1">
      <alignment horizontal="right"/>
    </xf>
    <xf numFmtId="3" fontId="68" fillId="0" borderId="1" xfId="162" applyNumberFormat="1" applyFont="1" applyBorder="1" applyAlignment="1">
      <alignment horizontal="right"/>
    </xf>
    <xf numFmtId="0" fontId="13" fillId="29" borderId="1" xfId="162" applyFont="1" applyFill="1" applyBorder="1"/>
    <xf numFmtId="1" fontId="13" fillId="29" borderId="1" xfId="162" applyNumberFormat="1" applyFont="1" applyFill="1" applyBorder="1"/>
    <xf numFmtId="1" fontId="69" fillId="34" borderId="1" xfId="162" applyNumberFormat="1" applyFont="1" applyFill="1" applyBorder="1"/>
    <xf numFmtId="1" fontId="69" fillId="0" borderId="1" xfId="162" applyNumberFormat="1" applyFont="1" applyBorder="1"/>
    <xf numFmtId="170" fontId="69" fillId="0" borderId="1" xfId="162" applyNumberFormat="1" applyFont="1" applyBorder="1"/>
    <xf numFmtId="170" fontId="68" fillId="0" borderId="1" xfId="66" applyNumberFormat="1" applyFont="1" applyBorder="1"/>
    <xf numFmtId="3" fontId="71" fillId="0" borderId="1" xfId="162" applyNumberFormat="1" applyFont="1" applyBorder="1"/>
    <xf numFmtId="9" fontId="68" fillId="0" borderId="1" xfId="66" applyFont="1" applyBorder="1"/>
    <xf numFmtId="3" fontId="68" fillId="8" borderId="25" xfId="162" applyNumberFormat="1" applyFont="1" applyFill="1" applyBorder="1"/>
    <xf numFmtId="10" fontId="37" fillId="0" borderId="1" xfId="3" applyNumberFormat="1" applyFont="1" applyFill="1" applyBorder="1" applyAlignment="1">
      <alignment horizontal="right"/>
    </xf>
    <xf numFmtId="10" fontId="17" fillId="0" borderId="1" xfId="3" applyNumberFormat="1" applyFont="1" applyFill="1" applyBorder="1" applyAlignment="1">
      <alignment horizontal="right"/>
    </xf>
    <xf numFmtId="170" fontId="19" fillId="0" borderId="1" xfId="0" applyNumberFormat="1" applyFont="1" applyBorder="1" applyAlignment="1">
      <alignment horizontal="right"/>
    </xf>
    <xf numFmtId="170" fontId="19" fillId="0" borderId="0" xfId="0" applyNumberFormat="1" applyFont="1" applyAlignment="1">
      <alignment horizontal="right"/>
    </xf>
    <xf numFmtId="206" fontId="19" fillId="0" borderId="0" xfId="3" applyNumberFormat="1" applyFont="1" applyBorder="1" applyAlignment="1">
      <alignment horizontal="right"/>
    </xf>
    <xf numFmtId="9" fontId="22" fillId="0" borderId="0" xfId="65" applyFont="1" applyBorder="1" applyAlignment="1">
      <alignment horizontal="right"/>
    </xf>
    <xf numFmtId="170" fontId="22" fillId="0" borderId="0" xfId="65" applyNumberFormat="1" applyFont="1" applyBorder="1" applyAlignment="1">
      <alignment horizontal="right"/>
    </xf>
    <xf numFmtId="168" fontId="19" fillId="0" borderId="0" xfId="0" applyNumberFormat="1" applyFont="1" applyAlignment="1">
      <alignment horizontal="right"/>
    </xf>
    <xf numFmtId="176" fontId="19" fillId="0" borderId="0" xfId="0" applyNumberFormat="1" applyFont="1" applyAlignment="1">
      <alignment horizontal="right"/>
    </xf>
    <xf numFmtId="10" fontId="19" fillId="0" borderId="0" xfId="0" applyNumberFormat="1" applyFont="1"/>
    <xf numFmtId="1" fontId="149" fillId="0" borderId="25" xfId="162" applyNumberFormat="1" applyFont="1" applyBorder="1"/>
    <xf numFmtId="0" fontId="148" fillId="0" borderId="0" xfId="162" applyFont="1"/>
    <xf numFmtId="10" fontId="17" fillId="0" borderId="1" xfId="0" applyNumberFormat="1" applyFont="1" applyBorder="1"/>
    <xf numFmtId="0" fontId="17" fillId="0" borderId="1" xfId="0" applyFont="1" applyBorder="1"/>
    <xf numFmtId="171" fontId="19" fillId="0" borderId="1" xfId="0" applyNumberFormat="1" applyFont="1" applyBorder="1" applyAlignment="1">
      <alignment horizontal="right"/>
    </xf>
    <xf numFmtId="9" fontId="68" fillId="0" borderId="4" xfId="162" applyNumberFormat="1" applyFont="1" applyBorder="1"/>
    <xf numFmtId="9" fontId="68" fillId="0" borderId="0" xfId="3" applyFont="1"/>
    <xf numFmtId="9" fontId="68" fillId="0" borderId="25" xfId="3" applyFont="1" applyBorder="1"/>
    <xf numFmtId="170" fontId="13" fillId="0" borderId="25" xfId="65" applyNumberFormat="1" applyFont="1" applyBorder="1"/>
    <xf numFmtId="9" fontId="68" fillId="0" borderId="0" xfId="65" applyFont="1"/>
    <xf numFmtId="9" fontId="68" fillId="0" borderId="25" xfId="65" applyFont="1" applyBorder="1"/>
    <xf numFmtId="0" fontId="19" fillId="0" borderId="0" xfId="6" applyFont="1"/>
    <xf numFmtId="17" fontId="19" fillId="0" borderId="0" xfId="6" applyNumberFormat="1" applyFont="1" applyAlignment="1">
      <alignment horizontal="right"/>
    </xf>
    <xf numFmtId="0" fontId="19" fillId="0" borderId="0" xfId="6" applyFont="1" applyAlignment="1">
      <alignment horizontal="right"/>
    </xf>
    <xf numFmtId="0" fontId="17" fillId="0" borderId="0" xfId="6" applyFont="1"/>
    <xf numFmtId="0" fontId="19" fillId="0" borderId="0" xfId="6" applyFont="1" applyAlignment="1">
      <alignment horizontal="right" indent="1"/>
    </xf>
    <xf numFmtId="191" fontId="19" fillId="0" borderId="0" xfId="6" applyNumberFormat="1" applyFont="1" applyAlignment="1">
      <alignment horizontal="right"/>
    </xf>
    <xf numFmtId="189" fontId="17" fillId="0" borderId="0" xfId="6" applyNumberFormat="1" applyFont="1"/>
    <xf numFmtId="188" fontId="19" fillId="0" borderId="0" xfId="6" applyNumberFormat="1" applyFont="1" applyAlignment="1">
      <alignment horizontal="right"/>
    </xf>
    <xf numFmtId="190" fontId="19" fillId="0" borderId="0" xfId="6" applyNumberFormat="1" applyFont="1"/>
    <xf numFmtId="0" fontId="17" fillId="0" borderId="22" xfId="6" applyFont="1" applyBorder="1"/>
    <xf numFmtId="189" fontId="17" fillId="0" borderId="22" xfId="6" applyNumberFormat="1" applyFont="1" applyBorder="1"/>
    <xf numFmtId="192" fontId="19" fillId="0" borderId="0" xfId="6" applyNumberFormat="1" applyFont="1" applyAlignment="1">
      <alignment horizontal="right" indent="1"/>
    </xf>
    <xf numFmtId="193" fontId="19" fillId="0" borderId="0" xfId="6" applyNumberFormat="1" applyFont="1" applyAlignment="1">
      <alignment horizontal="right"/>
    </xf>
    <xf numFmtId="189" fontId="19" fillId="0" borderId="0" xfId="6" applyNumberFormat="1" applyFont="1"/>
    <xf numFmtId="3" fontId="19" fillId="0" borderId="0" xfId="6" applyNumberFormat="1" applyFont="1" applyAlignment="1">
      <alignment horizontal="right" indent="1"/>
    </xf>
    <xf numFmtId="194" fontId="19" fillId="0" borderId="0" xfId="6" applyNumberFormat="1" applyFont="1" applyAlignment="1">
      <alignment horizontal="right"/>
    </xf>
    <xf numFmtId="195" fontId="19" fillId="0" borderId="0" xfId="6" applyNumberFormat="1" applyFont="1" applyAlignment="1">
      <alignment horizontal="right"/>
    </xf>
    <xf numFmtId="196" fontId="17" fillId="0" borderId="0" xfId="6" applyNumberFormat="1" applyFont="1"/>
    <xf numFmtId="0" fontId="19" fillId="0" borderId="0" xfId="6" quotePrefix="1" applyFont="1"/>
    <xf numFmtId="197" fontId="19" fillId="0" borderId="0" xfId="6" applyNumberFormat="1" applyFont="1"/>
    <xf numFmtId="0" fontId="19" fillId="0" borderId="24" xfId="6" applyFont="1" applyBorder="1"/>
    <xf numFmtId="189" fontId="19" fillId="0" borderId="24" xfId="6" applyNumberFormat="1" applyFont="1" applyBorder="1"/>
    <xf numFmtId="198" fontId="19" fillId="0" borderId="0" xfId="6" applyNumberFormat="1" applyFont="1"/>
    <xf numFmtId="199" fontId="17" fillId="0" borderId="0" xfId="6" applyNumberFormat="1" applyFont="1"/>
    <xf numFmtId="173" fontId="19" fillId="0" borderId="0" xfId="6" applyNumberFormat="1" applyFont="1"/>
    <xf numFmtId="173" fontId="17" fillId="0" borderId="0" xfId="6" applyNumberFormat="1" applyFont="1"/>
    <xf numFmtId="170" fontId="19" fillId="0" borderId="0" xfId="65" applyNumberFormat="1" applyFont="1" applyFill="1"/>
    <xf numFmtId="200" fontId="19" fillId="0" borderId="0" xfId="6" applyNumberFormat="1" applyFont="1"/>
    <xf numFmtId="173" fontId="17" fillId="0" borderId="22" xfId="6" applyNumberFormat="1" applyFont="1" applyBorder="1"/>
    <xf numFmtId="0" fontId="19" fillId="0" borderId="24" xfId="6" quotePrefix="1" applyFont="1" applyBorder="1"/>
    <xf numFmtId="201" fontId="19" fillId="0" borderId="0" xfId="6" applyNumberFormat="1" applyFont="1"/>
    <xf numFmtId="202" fontId="19" fillId="0" borderId="0" xfId="6" applyNumberFormat="1" applyFont="1"/>
    <xf numFmtId="0" fontId="17" fillId="0" borderId="24" xfId="6" applyFont="1" applyBorder="1"/>
    <xf numFmtId="173" fontId="17" fillId="0" borderId="24" xfId="6" applyNumberFormat="1" applyFont="1" applyBorder="1"/>
    <xf numFmtId="0" fontId="17" fillId="0" borderId="0" xfId="6" applyFont="1" applyAlignment="1">
      <alignment horizontal="left"/>
    </xf>
    <xf numFmtId="0" fontId="17" fillId="0" borderId="0" xfId="6" applyFont="1" applyAlignment="1">
      <alignment horizontal="right"/>
    </xf>
    <xf numFmtId="0" fontId="19" fillId="0" borderId="0" xfId="6" applyFont="1" applyAlignment="1">
      <alignment horizontal="left"/>
    </xf>
    <xf numFmtId="0" fontId="17" fillId="0" borderId="0" xfId="6" applyFont="1" applyAlignment="1">
      <alignment horizontal="right" indent="1"/>
    </xf>
    <xf numFmtId="192" fontId="19" fillId="0" borderId="0" xfId="6" applyNumberFormat="1" applyFont="1" applyAlignment="1">
      <alignment horizontal="right"/>
    </xf>
    <xf numFmtId="9" fontId="19" fillId="0" borderId="0" xfId="6" applyNumberFormat="1" applyFont="1" applyAlignment="1">
      <alignment horizontal="right" indent="1"/>
    </xf>
    <xf numFmtId="192" fontId="17" fillId="0" borderId="0" xfId="6" applyNumberFormat="1" applyFont="1" applyAlignment="1">
      <alignment horizontal="right"/>
    </xf>
    <xf numFmtId="9" fontId="17" fillId="0" borderId="0" xfId="6" applyNumberFormat="1" applyFont="1" applyAlignment="1">
      <alignment horizontal="right" indent="1"/>
    </xf>
    <xf numFmtId="170" fontId="19" fillId="0" borderId="0" xfId="6" applyNumberFormat="1" applyFont="1" applyAlignment="1">
      <alignment horizontal="left"/>
    </xf>
    <xf numFmtId="203" fontId="19" fillId="0" borderId="0" xfId="6" applyNumberFormat="1" applyFont="1" applyAlignment="1">
      <alignment horizontal="right"/>
    </xf>
    <xf numFmtId="203" fontId="19" fillId="0" borderId="6" xfId="6" applyNumberFormat="1" applyFont="1" applyBorder="1" applyAlignment="1">
      <alignment horizontal="right"/>
    </xf>
    <xf numFmtId="4" fontId="19" fillId="0" borderId="0" xfId="6" applyNumberFormat="1" applyFont="1" applyAlignment="1">
      <alignment horizontal="left"/>
    </xf>
    <xf numFmtId="204" fontId="19" fillId="0" borderId="0" xfId="6" applyNumberFormat="1" applyFont="1" applyAlignment="1">
      <alignment horizontal="right"/>
    </xf>
    <xf numFmtId="0" fontId="26" fillId="0" borderId="0" xfId="6" applyFont="1"/>
    <xf numFmtId="0" fontId="150" fillId="53" borderId="0" xfId="6" applyFont="1" applyFill="1"/>
    <xf numFmtId="187" fontId="150" fillId="53" borderId="0" xfId="6" applyNumberFormat="1" applyFont="1" applyFill="1" applyAlignment="1">
      <alignment horizontal="right"/>
    </xf>
    <xf numFmtId="0" fontId="150" fillId="53" borderId="0" xfId="6" applyFont="1" applyFill="1" applyAlignment="1">
      <alignment horizontal="right"/>
    </xf>
    <xf numFmtId="0" fontId="13" fillId="8" borderId="0" xfId="162" applyFont="1" applyFill="1"/>
    <xf numFmtId="180" fontId="19" fillId="0" borderId="0" xfId="0" applyNumberFormat="1" applyFont="1" applyAlignment="1">
      <alignment horizontal="right"/>
    </xf>
    <xf numFmtId="10" fontId="17" fillId="0" borderId="0" xfId="0" applyNumberFormat="1" applyFont="1"/>
    <xf numFmtId="3" fontId="13" fillId="7" borderId="1" xfId="162" applyNumberFormat="1" applyFont="1" applyFill="1" applyBorder="1"/>
    <xf numFmtId="9" fontId="68" fillId="0" borderId="0" xfId="3" applyFont="1" applyAlignment="1">
      <alignment horizontal="right"/>
    </xf>
    <xf numFmtId="205" fontId="19" fillId="0" borderId="1" xfId="65" applyNumberFormat="1" applyFont="1" applyFill="1" applyBorder="1" applyAlignment="1">
      <alignment horizontal="right"/>
    </xf>
    <xf numFmtId="206" fontId="19" fillId="0" borderId="0" xfId="3" applyNumberFormat="1" applyFont="1" applyAlignment="1">
      <alignment horizontal="right"/>
    </xf>
    <xf numFmtId="2" fontId="17" fillId="0" borderId="0" xfId="0" applyNumberFormat="1" applyFont="1"/>
    <xf numFmtId="3" fontId="148" fillId="0" borderId="0" xfId="162" applyNumberFormat="1" applyFont="1"/>
    <xf numFmtId="3" fontId="148" fillId="0" borderId="25" xfId="162" applyNumberFormat="1" applyFont="1" applyBorder="1"/>
    <xf numFmtId="9" fontId="148" fillId="0" borderId="0" xfId="3" applyFont="1"/>
    <xf numFmtId="9" fontId="148" fillId="0" borderId="25" xfId="3" applyFont="1" applyBorder="1"/>
    <xf numFmtId="3" fontId="13" fillId="35" borderId="0" xfId="162" applyNumberFormat="1" applyFont="1" applyFill="1"/>
    <xf numFmtId="3" fontId="148" fillId="0" borderId="4" xfId="162" applyNumberFormat="1" applyFont="1" applyBorder="1"/>
    <xf numFmtId="3" fontId="148" fillId="7" borderId="0" xfId="162" applyNumberFormat="1" applyFont="1" applyFill="1"/>
    <xf numFmtId="3" fontId="148" fillId="0" borderId="1" xfId="162" applyNumberFormat="1" applyFont="1" applyBorder="1"/>
    <xf numFmtId="3" fontId="149" fillId="0" borderId="0" xfId="162" applyNumberFormat="1" applyFont="1"/>
    <xf numFmtId="3" fontId="149" fillId="0" borderId="25" xfId="162" applyNumberFormat="1" applyFont="1" applyBorder="1"/>
    <xf numFmtId="3" fontId="149" fillId="0" borderId="4" xfId="162" applyNumberFormat="1" applyFont="1" applyBorder="1"/>
    <xf numFmtId="3" fontId="149" fillId="0" borderId="1" xfId="162" applyNumberFormat="1" applyFont="1" applyBorder="1"/>
    <xf numFmtId="3" fontId="68" fillId="0" borderId="23" xfId="162" applyNumberFormat="1" applyFont="1" applyBorder="1"/>
    <xf numFmtId="3" fontId="68" fillId="0" borderId="26" xfId="162" applyNumberFormat="1" applyFont="1" applyBorder="1"/>
    <xf numFmtId="0" fontId="13" fillId="0" borderId="23" xfId="162" applyFont="1" applyBorder="1"/>
    <xf numFmtId="0" fontId="13" fillId="0" borderId="27" xfId="162" applyFont="1" applyBorder="1"/>
    <xf numFmtId="0" fontId="68" fillId="0" borderId="26" xfId="162" applyFont="1" applyBorder="1"/>
    <xf numFmtId="3" fontId="13" fillId="0" borderId="26" xfId="162" applyNumberFormat="1" applyFont="1" applyBorder="1"/>
    <xf numFmtId="3" fontId="13" fillId="28" borderId="0" xfId="162" applyNumberFormat="1" applyFont="1" applyFill="1"/>
    <xf numFmtId="3" fontId="13" fillId="28" borderId="1" xfId="162" applyNumberFormat="1" applyFont="1" applyFill="1" applyBorder="1"/>
    <xf numFmtId="3" fontId="13" fillId="28" borderId="25" xfId="162" applyNumberFormat="1" applyFont="1" applyFill="1" applyBorder="1"/>
    <xf numFmtId="0" fontId="13" fillId="28" borderId="0" xfId="162" applyFont="1" applyFill="1"/>
    <xf numFmtId="0" fontId="13" fillId="28" borderId="1" xfId="162" applyFont="1" applyFill="1" applyBorder="1"/>
    <xf numFmtId="206" fontId="148" fillId="0" borderId="0" xfId="66" applyNumberFormat="1" applyFont="1"/>
    <xf numFmtId="9" fontId="68" fillId="0" borderId="23" xfId="3" applyFont="1" applyBorder="1"/>
    <xf numFmtId="9" fontId="68" fillId="0" borderId="26" xfId="3" applyFont="1" applyBorder="1"/>
    <xf numFmtId="170" fontId="148" fillId="0" borderId="0" xfId="65" applyNumberFormat="1" applyFont="1"/>
    <xf numFmtId="170" fontId="148" fillId="0" borderId="25" xfId="65" applyNumberFormat="1" applyFont="1" applyBorder="1"/>
    <xf numFmtId="9" fontId="148" fillId="0" borderId="0" xfId="65" applyFont="1"/>
    <xf numFmtId="9" fontId="148" fillId="0" borderId="25" xfId="65" applyFont="1" applyBorder="1"/>
    <xf numFmtId="9" fontId="148" fillId="0" borderId="0" xfId="162" applyNumberFormat="1" applyFont="1"/>
    <xf numFmtId="3" fontId="68" fillId="35" borderId="23" xfId="162" applyNumberFormat="1" applyFont="1" applyFill="1" applyBorder="1"/>
    <xf numFmtId="3" fontId="68" fillId="0" borderId="27" xfId="162" applyNumberFormat="1" applyFont="1" applyBorder="1"/>
    <xf numFmtId="206" fontId="13" fillId="0" borderId="25" xfId="66" applyNumberFormat="1" applyFont="1" applyBorder="1"/>
    <xf numFmtId="206" fontId="148" fillId="0" borderId="25" xfId="66" applyNumberFormat="1" applyFont="1" applyBorder="1"/>
    <xf numFmtId="206" fontId="68" fillId="0" borderId="0" xfId="65" applyNumberFormat="1" applyFont="1"/>
    <xf numFmtId="206" fontId="68" fillId="0" borderId="25" xfId="65" applyNumberFormat="1" applyFont="1" applyBorder="1"/>
    <xf numFmtId="206" fontId="149" fillId="0" borderId="0" xfId="65" applyNumberFormat="1" applyFont="1"/>
    <xf numFmtId="206" fontId="149" fillId="0" borderId="25" xfId="65" applyNumberFormat="1" applyFont="1" applyBorder="1"/>
    <xf numFmtId="241" fontId="22" fillId="0" borderId="0" xfId="0" applyNumberFormat="1" applyFont="1" applyAlignment="1">
      <alignment horizontal="right"/>
    </xf>
    <xf numFmtId="10" fontId="19" fillId="0" borderId="0" xfId="3" applyNumberFormat="1" applyFont="1"/>
    <xf numFmtId="0" fontId="149" fillId="7" borderId="0" xfId="162" applyFont="1" applyFill="1" applyAlignment="1">
      <alignment horizontal="right"/>
    </xf>
    <xf numFmtId="243" fontId="19" fillId="0" borderId="0" xfId="0" applyNumberFormat="1" applyFont="1" applyAlignment="1">
      <alignment horizontal="right"/>
    </xf>
    <xf numFmtId="10" fontId="17" fillId="0" borderId="0" xfId="0" applyNumberFormat="1" applyFont="1" applyAlignment="1">
      <alignment horizontal="right"/>
    </xf>
    <xf numFmtId="10" fontId="19" fillId="0" borderId="0" xfId="65" applyNumberFormat="1" applyFont="1" applyFill="1" applyBorder="1" applyAlignment="1">
      <alignment horizontal="right"/>
    </xf>
    <xf numFmtId="10" fontId="37" fillId="0" borderId="0" xfId="65" applyNumberFormat="1" applyFont="1" applyFill="1" applyBorder="1" applyAlignment="1">
      <alignment horizontal="right"/>
    </xf>
    <xf numFmtId="10" fontId="17" fillId="0" borderId="0" xfId="65" applyNumberFormat="1" applyFont="1" applyFill="1" applyBorder="1" applyAlignment="1">
      <alignment horizontal="right"/>
    </xf>
    <xf numFmtId="10" fontId="37" fillId="0" borderId="0" xfId="65" applyNumberFormat="1" applyFont="1" applyBorder="1" applyAlignment="1">
      <alignment horizontal="right"/>
    </xf>
    <xf numFmtId="244" fontId="17" fillId="0" borderId="1" xfId="1" applyNumberFormat="1" applyFont="1" applyBorder="1"/>
    <xf numFmtId="168" fontId="19" fillId="0" borderId="0" xfId="1" applyFont="1" applyFill="1" applyBorder="1" applyAlignment="1">
      <alignment horizontal="right"/>
    </xf>
    <xf numFmtId="3" fontId="68" fillId="7" borderId="0" xfId="162" applyNumberFormat="1" applyFont="1" applyFill="1"/>
    <xf numFmtId="1" fontId="149" fillId="7" borderId="25" xfId="162" applyNumberFormat="1" applyFont="1" applyFill="1" applyBorder="1"/>
    <xf numFmtId="170" fontId="22" fillId="0" borderId="0" xfId="3" applyNumberFormat="1" applyFont="1" applyFill="1" applyAlignment="1">
      <alignment horizontal="right"/>
    </xf>
    <xf numFmtId="2" fontId="22" fillId="0" borderId="0" xfId="0" applyNumberFormat="1" applyFont="1" applyAlignment="1">
      <alignment horizontal="right"/>
    </xf>
    <xf numFmtId="10" fontId="19" fillId="0" borderId="1" xfId="65" applyNumberFormat="1" applyFont="1" applyBorder="1" applyAlignment="1">
      <alignment horizontal="right"/>
    </xf>
    <xf numFmtId="170" fontId="19" fillId="0" borderId="1" xfId="65" applyNumberFormat="1" applyFont="1" applyFill="1" applyBorder="1" applyAlignment="1">
      <alignment horizontal="right"/>
    </xf>
    <xf numFmtId="244" fontId="17" fillId="0" borderId="0" xfId="1" applyNumberFormat="1" applyFont="1" applyBorder="1"/>
    <xf numFmtId="241" fontId="19" fillId="0" borderId="1" xfId="3" applyNumberFormat="1" applyFont="1" applyBorder="1" applyAlignment="1">
      <alignment horizontal="right"/>
    </xf>
    <xf numFmtId="171" fontId="19" fillId="0" borderId="0" xfId="0" applyNumberFormat="1" applyFont="1"/>
    <xf numFmtId="241" fontId="19" fillId="0" borderId="0" xfId="3" applyNumberFormat="1" applyFont="1" applyBorder="1" applyAlignment="1">
      <alignment horizontal="right"/>
    </xf>
    <xf numFmtId="3" fontId="142" fillId="0" borderId="0" xfId="0" applyNumberFormat="1" applyFont="1" applyAlignment="1">
      <alignment horizontal="right"/>
    </xf>
    <xf numFmtId="10" fontId="17" fillId="0" borderId="0" xfId="3" applyNumberFormat="1" applyFont="1" applyBorder="1"/>
    <xf numFmtId="245" fontId="19" fillId="0" borderId="0" xfId="0" applyNumberFormat="1" applyFont="1" applyAlignment="1">
      <alignment horizontal="right"/>
    </xf>
    <xf numFmtId="4" fontId="19" fillId="0" borderId="0" xfId="0" applyNumberFormat="1" applyFont="1" applyAlignment="1">
      <alignment horizontal="center"/>
    </xf>
    <xf numFmtId="9" fontId="17" fillId="0" borderId="0" xfId="3" applyFont="1"/>
    <xf numFmtId="171" fontId="35" fillId="0" borderId="1" xfId="2" applyNumberFormat="1" applyFont="1" applyFill="1" applyBorder="1" applyAlignment="1">
      <alignment horizontal="right"/>
    </xf>
    <xf numFmtId="173" fontId="17" fillId="0" borderId="0" xfId="0" applyNumberFormat="1" applyFont="1" applyAlignment="1">
      <alignment horizontal="right"/>
    </xf>
    <xf numFmtId="170" fontId="19" fillId="0" borderId="0" xfId="0" applyNumberFormat="1" applyFont="1"/>
    <xf numFmtId="169" fontId="35" fillId="0" borderId="1" xfId="0" applyNumberFormat="1" applyFont="1" applyBorder="1" applyAlignment="1">
      <alignment horizontal="right"/>
    </xf>
    <xf numFmtId="10" fontId="17" fillId="0" borderId="0" xfId="3" applyNumberFormat="1" applyFont="1"/>
    <xf numFmtId="3" fontId="19" fillId="0" borderId="0" xfId="65" applyNumberFormat="1" applyFont="1" applyBorder="1" applyAlignment="1">
      <alignment horizontal="right"/>
    </xf>
    <xf numFmtId="0" fontId="151" fillId="0" borderId="0" xfId="723" applyAlignment="1">
      <alignment vertical="center"/>
    </xf>
    <xf numFmtId="0" fontId="152" fillId="0" borderId="0" xfId="723" applyFont="1" applyAlignment="1">
      <alignment vertical="center"/>
    </xf>
    <xf numFmtId="0" fontId="151" fillId="0" borderId="0" xfId="723" applyAlignment="1">
      <alignment horizontal="left" vertical="center" indent="2"/>
    </xf>
    <xf numFmtId="246" fontId="151" fillId="0" borderId="0" xfId="723" applyNumberFormat="1" applyAlignment="1">
      <alignment horizontal="left" vertical="center"/>
    </xf>
    <xf numFmtId="171" fontId="151" fillId="0" borderId="0" xfId="723" applyNumberFormat="1" applyAlignment="1">
      <alignment horizontal="left" vertical="center"/>
    </xf>
    <xf numFmtId="1" fontId="151" fillId="0" borderId="0" xfId="723" applyNumberFormat="1" applyAlignment="1">
      <alignment horizontal="left" vertical="center"/>
    </xf>
    <xf numFmtId="3" fontId="151" fillId="0" borderId="0" xfId="723" applyNumberFormat="1" applyAlignment="1">
      <alignment horizontal="left" vertical="center"/>
    </xf>
    <xf numFmtId="0" fontId="154" fillId="0" borderId="0" xfId="723" applyFont="1" applyAlignment="1">
      <alignment horizontal="left" vertical="center" indent="1"/>
    </xf>
    <xf numFmtId="0" fontId="151" fillId="0" borderId="0" xfId="723" applyAlignment="1">
      <alignment horizontal="left" vertical="center" indent="3"/>
    </xf>
    <xf numFmtId="0" fontId="151" fillId="0" borderId="0" xfId="723" quotePrefix="1" applyAlignment="1">
      <alignment vertical="center"/>
    </xf>
    <xf numFmtId="0" fontId="139" fillId="0" borderId="0" xfId="479" applyAlignment="1">
      <alignment vertical="center"/>
    </xf>
    <xf numFmtId="1" fontId="26" fillId="0" borderId="0" xfId="0" applyNumberFormat="1" applyFont="1"/>
    <xf numFmtId="9" fontId="17" fillId="0" borderId="0" xfId="65" applyFont="1" applyAlignment="1">
      <alignment horizontal="right"/>
    </xf>
    <xf numFmtId="3" fontId="155" fillId="0" borderId="1" xfId="65" applyNumberFormat="1" applyFont="1" applyBorder="1" applyAlignment="1">
      <alignment horizontal="right"/>
    </xf>
    <xf numFmtId="10" fontId="155" fillId="0" borderId="0" xfId="0" applyNumberFormat="1" applyFont="1" applyAlignment="1">
      <alignment horizontal="right"/>
    </xf>
    <xf numFmtId="3" fontId="37" fillId="7" borderId="0" xfId="0" applyNumberFormat="1" applyFont="1" applyFill="1" applyAlignment="1">
      <alignment horizontal="right"/>
    </xf>
    <xf numFmtId="10" fontId="155" fillId="0" borderId="0" xfId="3" applyNumberFormat="1" applyFont="1" applyBorder="1" applyAlignment="1">
      <alignment horizontal="right"/>
    </xf>
    <xf numFmtId="247" fontId="19" fillId="0" borderId="0" xfId="6" applyNumberFormat="1" applyFont="1"/>
    <xf numFmtId="170" fontId="19" fillId="0" borderId="1" xfId="3" applyNumberFormat="1" applyFont="1" applyBorder="1"/>
    <xf numFmtId="10" fontId="23" fillId="0" borderId="1" xfId="3" applyNumberFormat="1" applyFont="1" applyFill="1" applyBorder="1" applyAlignment="1">
      <alignment horizontal="right"/>
    </xf>
    <xf numFmtId="171" fontId="22" fillId="0" borderId="0" xfId="3" applyNumberFormat="1" applyFont="1" applyAlignment="1">
      <alignment horizontal="right"/>
    </xf>
    <xf numFmtId="3" fontId="37" fillId="7" borderId="1" xfId="0" applyNumberFormat="1" applyFont="1" applyFill="1" applyBorder="1" applyAlignment="1">
      <alignment horizontal="right"/>
    </xf>
    <xf numFmtId="248" fontId="19" fillId="0" borderId="0" xfId="0" applyNumberFormat="1" applyFont="1"/>
    <xf numFmtId="10" fontId="156" fillId="0" borderId="0" xfId="3" applyNumberFormat="1" applyFont="1" applyBorder="1" applyAlignment="1">
      <alignment horizontal="right"/>
    </xf>
    <xf numFmtId="173" fontId="156" fillId="0" borderId="1" xfId="0" applyNumberFormat="1" applyFont="1" applyBorder="1" applyAlignment="1">
      <alignment horizontal="right"/>
    </xf>
    <xf numFmtId="3" fontId="156" fillId="0" borderId="1" xfId="65" applyNumberFormat="1" applyFont="1" applyBorder="1" applyAlignment="1">
      <alignment horizontal="right"/>
    </xf>
    <xf numFmtId="10" fontId="156" fillId="0" borderId="0" xfId="3" applyNumberFormat="1" applyFont="1" applyAlignment="1">
      <alignment horizontal="right"/>
    </xf>
    <xf numFmtId="206" fontId="155" fillId="0" borderId="0" xfId="3" applyNumberFormat="1" applyFont="1" applyBorder="1" applyAlignment="1">
      <alignment horizontal="right"/>
    </xf>
    <xf numFmtId="171" fontId="19" fillId="0" borderId="1" xfId="2" applyNumberFormat="1" applyFont="1" applyFill="1" applyBorder="1" applyAlignment="1">
      <alignment horizontal="right"/>
    </xf>
    <xf numFmtId="10" fontId="157" fillId="0" borderId="0" xfId="0" applyNumberFormat="1" applyFont="1" applyAlignment="1">
      <alignment horizontal="right"/>
    </xf>
    <xf numFmtId="3" fontId="157" fillId="0" borderId="0" xfId="0" applyNumberFormat="1" applyFont="1" applyAlignment="1">
      <alignment horizontal="right"/>
    </xf>
    <xf numFmtId="3" fontId="157" fillId="0" borderId="1" xfId="0" applyNumberFormat="1" applyFont="1" applyBorder="1" applyAlignment="1">
      <alignment horizontal="right"/>
    </xf>
    <xf numFmtId="0" fontId="157" fillId="0" borderId="0" xfId="0" applyFont="1" applyAlignment="1">
      <alignment horizontal="right"/>
    </xf>
    <xf numFmtId="0" fontId="157" fillId="0" borderId="1" xfId="0" applyFont="1" applyBorder="1" applyAlignment="1">
      <alignment horizontal="right"/>
    </xf>
    <xf numFmtId="3" fontId="158" fillId="0" borderId="0" xfId="0" applyNumberFormat="1" applyFont="1" applyAlignment="1">
      <alignment horizontal="right"/>
    </xf>
    <xf numFmtId="170" fontId="157" fillId="0" borderId="0" xfId="3" applyNumberFormat="1" applyFont="1" applyBorder="1" applyAlignment="1">
      <alignment horizontal="right"/>
    </xf>
    <xf numFmtId="3" fontId="157" fillId="0" borderId="0" xfId="65" applyNumberFormat="1" applyFont="1" applyBorder="1" applyAlignment="1">
      <alignment horizontal="right"/>
    </xf>
    <xf numFmtId="10" fontId="159" fillId="0" borderId="0" xfId="3" applyNumberFormat="1" applyFont="1" applyAlignment="1">
      <alignment horizontal="right"/>
    </xf>
    <xf numFmtId="0" fontId="142" fillId="0" borderId="0" xfId="0" applyFont="1"/>
    <xf numFmtId="0" fontId="159" fillId="0" borderId="0" xfId="0" applyFont="1"/>
    <xf numFmtId="10" fontId="142" fillId="0" borderId="0" xfId="3" applyNumberFormat="1" applyFont="1" applyAlignment="1">
      <alignment horizontal="right"/>
    </xf>
    <xf numFmtId="10" fontId="142" fillId="0" borderId="0" xfId="65" applyNumberFormat="1" applyFont="1" applyAlignment="1">
      <alignment horizontal="right"/>
    </xf>
    <xf numFmtId="10" fontId="159" fillId="0" borderId="0" xfId="65" applyNumberFormat="1" applyFont="1" applyAlignment="1">
      <alignment horizontal="right"/>
    </xf>
    <xf numFmtId="10" fontId="156" fillId="0" borderId="0" xfId="65" applyNumberFormat="1" applyFont="1" applyAlignment="1">
      <alignment horizontal="right"/>
    </xf>
    <xf numFmtId="3" fontId="156" fillId="0" borderId="0" xfId="0" applyNumberFormat="1" applyFont="1" applyAlignment="1">
      <alignment horizontal="right"/>
    </xf>
    <xf numFmtId="10" fontId="160" fillId="0" borderId="0" xfId="65" applyNumberFormat="1" applyFont="1" applyAlignment="1">
      <alignment horizontal="right"/>
    </xf>
    <xf numFmtId="10" fontId="161" fillId="0" borderId="0" xfId="3" applyNumberFormat="1" applyFont="1" applyAlignment="1">
      <alignment horizontal="right"/>
    </xf>
    <xf numFmtId="3" fontId="162" fillId="0" borderId="0" xfId="0" applyNumberFormat="1" applyFont="1" applyAlignment="1">
      <alignment horizontal="right"/>
    </xf>
    <xf numFmtId="3" fontId="162" fillId="0" borderId="0" xfId="3" applyNumberFormat="1" applyFont="1" applyAlignment="1">
      <alignment horizontal="right"/>
    </xf>
    <xf numFmtId="3" fontId="161" fillId="0" borderId="0" xfId="0" applyNumberFormat="1" applyFont="1" applyAlignment="1">
      <alignment horizontal="right"/>
    </xf>
    <xf numFmtId="10" fontId="157" fillId="0" borderId="0" xfId="3" applyNumberFormat="1" applyFont="1" applyAlignment="1">
      <alignment horizontal="right"/>
    </xf>
    <xf numFmtId="10" fontId="161" fillId="0" borderId="1" xfId="3" applyNumberFormat="1" applyFont="1" applyBorder="1" applyAlignment="1">
      <alignment horizontal="right"/>
    </xf>
    <xf numFmtId="10" fontId="23" fillId="7" borderId="0" xfId="3" applyNumberFormat="1" applyFont="1" applyFill="1" applyBorder="1" applyAlignment="1">
      <alignment horizontal="right"/>
    </xf>
    <xf numFmtId="173" fontId="156" fillId="0" borderId="0" xfId="0" applyNumberFormat="1" applyFont="1" applyAlignment="1">
      <alignment horizontal="right"/>
    </xf>
    <xf numFmtId="170" fontId="19" fillId="0" borderId="0" xfId="3" applyNumberFormat="1" applyFont="1" applyBorder="1"/>
    <xf numFmtId="3" fontId="156" fillId="0" borderId="0" xfId="65" applyNumberFormat="1" applyFont="1" applyBorder="1" applyAlignment="1">
      <alignment horizontal="right"/>
    </xf>
    <xf numFmtId="10" fontId="161" fillId="0" borderId="0" xfId="3" applyNumberFormat="1" applyFont="1" applyBorder="1" applyAlignment="1">
      <alignment horizontal="right"/>
    </xf>
    <xf numFmtId="170" fontId="22" fillId="0" borderId="1" xfId="3" applyNumberFormat="1" applyFont="1" applyBorder="1" applyAlignment="1">
      <alignment horizontal="right"/>
    </xf>
    <xf numFmtId="10" fontId="22" fillId="0" borderId="1" xfId="65" applyNumberFormat="1" applyFont="1" applyBorder="1" applyAlignment="1">
      <alignment horizontal="right"/>
    </xf>
    <xf numFmtId="10" fontId="157" fillId="0" borderId="1" xfId="0" applyNumberFormat="1" applyFont="1" applyBorder="1" applyAlignment="1">
      <alignment horizontal="right"/>
    </xf>
    <xf numFmtId="10" fontId="156" fillId="0" borderId="1" xfId="3" applyNumberFormat="1" applyFont="1" applyBorder="1" applyAlignment="1">
      <alignment horizontal="right"/>
    </xf>
    <xf numFmtId="168" fontId="19" fillId="0" borderId="1" xfId="1" applyFont="1" applyBorder="1"/>
    <xf numFmtId="168" fontId="19" fillId="0" borderId="1" xfId="1" applyFont="1" applyBorder="1" applyAlignment="1">
      <alignment horizontal="right"/>
    </xf>
    <xf numFmtId="10" fontId="22" fillId="0" borderId="1" xfId="3" applyNumberFormat="1" applyFont="1" applyBorder="1" applyAlignment="1">
      <alignment horizontal="right"/>
    </xf>
    <xf numFmtId="170" fontId="157" fillId="0" borderId="1" xfId="3" applyNumberFormat="1" applyFont="1" applyBorder="1" applyAlignment="1">
      <alignment horizontal="right"/>
    </xf>
    <xf numFmtId="3" fontId="162" fillId="0" borderId="1" xfId="3" applyNumberFormat="1" applyFont="1" applyBorder="1" applyAlignment="1">
      <alignment horizontal="right"/>
    </xf>
    <xf numFmtId="3" fontId="162" fillId="0" borderId="1" xfId="0" applyNumberFormat="1" applyFont="1" applyBorder="1" applyAlignment="1">
      <alignment horizontal="right"/>
    </xf>
    <xf numFmtId="4" fontId="22" fillId="0" borderId="1" xfId="0" applyNumberFormat="1" applyFont="1" applyBorder="1" applyAlignment="1">
      <alignment horizontal="right"/>
    </xf>
    <xf numFmtId="171" fontId="35" fillId="0" borderId="1" xfId="2" applyNumberFormat="1" applyFont="1" applyBorder="1" applyAlignment="1">
      <alignment horizontal="right"/>
    </xf>
    <xf numFmtId="0" fontId="41" fillId="0" borderId="0" xfId="0" applyFont="1" applyAlignment="1">
      <alignment vertical="center"/>
    </xf>
    <xf numFmtId="0" fontId="163" fillId="0" borderId="0" xfId="0" applyFont="1" applyAlignment="1">
      <alignment vertical="center"/>
    </xf>
    <xf numFmtId="0" fontId="41" fillId="0" borderId="1" xfId="0" applyFont="1" applyBorder="1" applyAlignment="1">
      <alignment vertical="center"/>
    </xf>
    <xf numFmtId="3" fontId="41" fillId="0" borderId="0" xfId="0" applyNumberFormat="1" applyFont="1" applyAlignment="1">
      <alignment vertical="center"/>
    </xf>
    <xf numFmtId="3" fontId="41" fillId="0" borderId="1" xfId="0" applyNumberFormat="1" applyFont="1" applyBorder="1" applyAlignment="1">
      <alignment vertical="center"/>
    </xf>
    <xf numFmtId="0" fontId="129" fillId="0" borderId="0" xfId="0" applyFont="1" applyAlignment="1">
      <alignment vertical="center"/>
    </xf>
    <xf numFmtId="3" fontId="129" fillId="0" borderId="0" xfId="0" applyNumberFormat="1" applyFont="1" applyAlignment="1">
      <alignment vertical="center"/>
    </xf>
    <xf numFmtId="3" fontId="129" fillId="0" borderId="1" xfId="0" applyNumberFormat="1" applyFont="1" applyBorder="1" applyAlignment="1">
      <alignment vertical="center"/>
    </xf>
    <xf numFmtId="2" fontId="41" fillId="0" borderId="0" xfId="0" applyNumberFormat="1" applyFont="1" applyAlignment="1">
      <alignment vertical="center"/>
    </xf>
    <xf numFmtId="171" fontId="41" fillId="0" borderId="0" xfId="0" applyNumberFormat="1" applyFont="1" applyAlignment="1">
      <alignment vertical="center"/>
    </xf>
    <xf numFmtId="171" fontId="41" fillId="0" borderId="1" xfId="0" applyNumberFormat="1" applyFont="1" applyBorder="1" applyAlignment="1">
      <alignment vertical="center"/>
    </xf>
    <xf numFmtId="10" fontId="41" fillId="0" borderId="0" xfId="0" applyNumberFormat="1" applyFont="1" applyAlignment="1">
      <alignment vertical="center"/>
    </xf>
    <xf numFmtId="10" fontId="41" fillId="0" borderId="1" xfId="0" applyNumberFormat="1" applyFont="1" applyBorder="1" applyAlignment="1">
      <alignment vertical="center"/>
    </xf>
    <xf numFmtId="9" fontId="41" fillId="0" borderId="0" xfId="0" applyNumberFormat="1" applyFont="1" applyAlignment="1">
      <alignment vertical="center"/>
    </xf>
    <xf numFmtId="9" fontId="41" fillId="0" borderId="1" xfId="0" applyNumberFormat="1" applyFont="1" applyBorder="1" applyAlignment="1">
      <alignment vertical="center"/>
    </xf>
    <xf numFmtId="170" fontId="41" fillId="0" borderId="0" xfId="0" applyNumberFormat="1" applyFont="1" applyAlignment="1">
      <alignment vertical="center"/>
    </xf>
    <xf numFmtId="170" fontId="41" fillId="0" borderId="1" xfId="0" applyNumberFormat="1" applyFont="1" applyBorder="1" applyAlignment="1">
      <alignment vertical="center"/>
    </xf>
    <xf numFmtId="175" fontId="41" fillId="0" borderId="0" xfId="0" applyNumberFormat="1" applyFont="1" applyAlignment="1">
      <alignment vertical="center"/>
    </xf>
    <xf numFmtId="175" fontId="41" fillId="0" borderId="1" xfId="0" applyNumberFormat="1" applyFont="1" applyBorder="1" applyAlignment="1">
      <alignment vertical="center"/>
    </xf>
    <xf numFmtId="253" fontId="41" fillId="0" borderId="0" xfId="0" applyNumberFormat="1" applyFont="1" applyAlignment="1">
      <alignment vertical="center"/>
    </xf>
    <xf numFmtId="3" fontId="22" fillId="0" borderId="0" xfId="65" applyNumberFormat="1" applyFont="1" applyAlignment="1">
      <alignment horizontal="right"/>
    </xf>
    <xf numFmtId="170" fontId="41" fillId="0" borderId="0" xfId="3" applyNumberFormat="1" applyFont="1" applyAlignment="1">
      <alignment vertical="center"/>
    </xf>
    <xf numFmtId="170" fontId="44" fillId="0" borderId="0" xfId="3" applyNumberFormat="1" applyFont="1" applyAlignment="1">
      <alignment vertical="center"/>
    </xf>
    <xf numFmtId="170" fontId="44" fillId="0" borderId="1" xfId="3" applyNumberFormat="1" applyFont="1" applyBorder="1" applyAlignment="1">
      <alignment vertical="center"/>
    </xf>
    <xf numFmtId="170" fontId="44" fillId="0" borderId="0" xfId="65" applyNumberFormat="1" applyFont="1" applyAlignment="1">
      <alignment vertical="center"/>
    </xf>
    <xf numFmtId="3" fontId="15" fillId="0" borderId="0" xfId="0" applyNumberFormat="1" applyFont="1" applyAlignment="1">
      <alignment horizontal="right"/>
    </xf>
    <xf numFmtId="0" fontId="164" fillId="0" borderId="0" xfId="0" applyFont="1"/>
    <xf numFmtId="170" fontId="164" fillId="0" borderId="0" xfId="3" applyNumberFormat="1" applyFont="1" applyFill="1" applyAlignment="1">
      <alignment horizontal="right"/>
    </xf>
    <xf numFmtId="170" fontId="164" fillId="0" borderId="1" xfId="3" applyNumberFormat="1" applyFont="1" applyFill="1" applyBorder="1" applyAlignment="1">
      <alignment horizontal="right"/>
    </xf>
    <xf numFmtId="0" fontId="26" fillId="0" borderId="0" xfId="0" applyFont="1" applyAlignment="1">
      <alignment vertical="center"/>
    </xf>
    <xf numFmtId="170" fontId="26" fillId="0" borderId="0" xfId="65" applyNumberFormat="1" applyFont="1" applyAlignment="1">
      <alignment vertical="center"/>
    </xf>
    <xf numFmtId="170" fontId="26" fillId="0" borderId="0" xfId="65" applyNumberFormat="1" applyFont="1" applyBorder="1" applyAlignment="1">
      <alignment vertical="center"/>
    </xf>
    <xf numFmtId="170" fontId="26" fillId="0" borderId="1" xfId="65" applyNumberFormat="1" applyFont="1" applyBorder="1" applyAlignment="1">
      <alignment vertical="center"/>
    </xf>
    <xf numFmtId="252" fontId="26" fillId="0" borderId="0" xfId="65" applyNumberFormat="1" applyFont="1" applyAlignment="1">
      <alignment vertical="center"/>
    </xf>
    <xf numFmtId="252" fontId="26" fillId="0" borderId="0" xfId="65" applyNumberFormat="1" applyFont="1" applyBorder="1" applyAlignment="1">
      <alignment vertical="center"/>
    </xf>
    <xf numFmtId="252" fontId="26" fillId="0" borderId="1" xfId="65" applyNumberFormat="1" applyFont="1" applyBorder="1" applyAlignment="1">
      <alignment vertical="center"/>
    </xf>
    <xf numFmtId="170" fontId="17" fillId="0" borderId="0" xfId="65" applyNumberFormat="1" applyFont="1" applyBorder="1" applyAlignment="1">
      <alignment horizontal="right"/>
    </xf>
    <xf numFmtId="170" fontId="17" fillId="0" borderId="1" xfId="65" applyNumberFormat="1" applyFont="1" applyBorder="1" applyAlignment="1">
      <alignment horizontal="right"/>
    </xf>
    <xf numFmtId="0" fontId="165" fillId="0" borderId="0" xfId="0" applyFont="1"/>
    <xf numFmtId="0" fontId="166" fillId="0" borderId="0" xfId="0" applyFont="1" applyAlignment="1">
      <alignment vertical="center"/>
    </xf>
    <xf numFmtId="0" fontId="167" fillId="0" borderId="0" xfId="6" applyFont="1" applyAlignment="1">
      <alignment vertical="center"/>
    </xf>
    <xf numFmtId="3" fontId="167" fillId="0" borderId="0" xfId="0" applyNumberFormat="1" applyFont="1" applyAlignment="1">
      <alignment vertical="center"/>
    </xf>
    <xf numFmtId="0" fontId="166" fillId="0" borderId="0" xfId="0" applyFont="1" applyAlignment="1">
      <alignment horizontal="right" vertical="center"/>
    </xf>
    <xf numFmtId="0" fontId="166" fillId="0" borderId="0" xfId="6" applyFont="1" applyAlignment="1">
      <alignment vertical="center"/>
    </xf>
    <xf numFmtId="10" fontId="166" fillId="0" borderId="24" xfId="0" applyNumberFormat="1" applyFont="1" applyBorder="1" applyAlignment="1">
      <alignment vertical="center"/>
    </xf>
    <xf numFmtId="0" fontId="167" fillId="0" borderId="0" xfId="0" applyFont="1" applyAlignment="1">
      <alignment vertical="center"/>
    </xf>
    <xf numFmtId="171" fontId="167" fillId="0" borderId="0" xfId="0" applyNumberFormat="1" applyFont="1" applyAlignment="1">
      <alignment vertical="center"/>
    </xf>
    <xf numFmtId="0" fontId="167" fillId="0" borderId="22" xfId="6" applyFont="1" applyBorder="1" applyAlignment="1">
      <alignment vertical="center"/>
    </xf>
    <xf numFmtId="3" fontId="166" fillId="0" borderId="0" xfId="0" applyNumberFormat="1" applyFont="1" applyAlignment="1">
      <alignment vertical="center"/>
    </xf>
    <xf numFmtId="170" fontId="166" fillId="0" borderId="0" xfId="65" applyNumberFormat="1" applyFont="1" applyAlignment="1">
      <alignment vertical="center"/>
    </xf>
    <xf numFmtId="177" fontId="166" fillId="0" borderId="0" xfId="0" applyNumberFormat="1" applyFont="1" applyAlignment="1">
      <alignment vertical="center"/>
    </xf>
    <xf numFmtId="1" fontId="166" fillId="0" borderId="24" xfId="0" applyNumberFormat="1" applyFont="1" applyBorder="1" applyAlignment="1">
      <alignment vertical="center"/>
    </xf>
    <xf numFmtId="0" fontId="167" fillId="0" borderId="0" xfId="0" applyFont="1" applyAlignment="1">
      <alignment horizontal="center" vertical="center"/>
    </xf>
    <xf numFmtId="3" fontId="166" fillId="0" borderId="24" xfId="0" applyNumberFormat="1" applyFont="1" applyBorder="1" applyAlignment="1">
      <alignment vertical="center"/>
    </xf>
    <xf numFmtId="9" fontId="166" fillId="0" borderId="0" xfId="0" applyNumberFormat="1" applyFont="1" applyAlignment="1">
      <alignment vertical="center"/>
    </xf>
    <xf numFmtId="171" fontId="166" fillId="0" borderId="0" xfId="725" applyNumberFormat="1" applyFont="1" applyAlignment="1">
      <alignment vertical="center"/>
    </xf>
    <xf numFmtId="9" fontId="167" fillId="0" borderId="0" xfId="0" applyNumberFormat="1" applyFont="1" applyAlignment="1">
      <alignment vertical="center"/>
    </xf>
    <xf numFmtId="171" fontId="167" fillId="0" borderId="0" xfId="725" applyNumberFormat="1" applyFont="1" applyAlignment="1">
      <alignment vertical="center"/>
    </xf>
    <xf numFmtId="2" fontId="166" fillId="0" borderId="0" xfId="0" applyNumberFormat="1" applyFont="1" applyAlignment="1">
      <alignment vertical="center"/>
    </xf>
    <xf numFmtId="238" fontId="167" fillId="0" borderId="22" xfId="726" applyNumberFormat="1" applyFont="1" applyBorder="1" applyAlignment="1">
      <alignment vertical="center"/>
    </xf>
    <xf numFmtId="0" fontId="166" fillId="0" borderId="24" xfId="6" applyFont="1" applyBorder="1" applyAlignment="1">
      <alignment vertical="center"/>
    </xf>
    <xf numFmtId="249" fontId="166" fillId="0" borderId="0" xfId="0" applyNumberFormat="1" applyFont="1" applyAlignment="1">
      <alignment vertical="center"/>
    </xf>
    <xf numFmtId="0" fontId="166" fillId="0" borderId="0" xfId="6" quotePrefix="1" applyFont="1" applyAlignment="1">
      <alignment vertical="center"/>
    </xf>
    <xf numFmtId="10" fontId="166" fillId="0" borderId="0" xfId="65" applyNumberFormat="1" applyFont="1" applyAlignment="1">
      <alignment vertical="center"/>
    </xf>
    <xf numFmtId="0" fontId="166" fillId="0" borderId="24" xfId="0" applyFont="1" applyBorder="1" applyAlignment="1">
      <alignment vertical="center"/>
    </xf>
    <xf numFmtId="172" fontId="166" fillId="0" borderId="24" xfId="0" applyNumberFormat="1" applyFont="1" applyBorder="1" applyAlignment="1">
      <alignment vertical="center"/>
    </xf>
    <xf numFmtId="0" fontId="166" fillId="0" borderId="24" xfId="6" quotePrefix="1" applyFont="1" applyBorder="1" applyAlignment="1">
      <alignment vertical="center"/>
    </xf>
    <xf numFmtId="170" fontId="166" fillId="0" borderId="24" xfId="65" applyNumberFormat="1" applyFont="1" applyBorder="1" applyAlignment="1">
      <alignment vertical="center"/>
    </xf>
    <xf numFmtId="0" fontId="167" fillId="0" borderId="24" xfId="6" applyFont="1" applyBorder="1" applyAlignment="1">
      <alignment vertical="center"/>
    </xf>
    <xf numFmtId="3" fontId="167" fillId="0" borderId="24" xfId="0" applyNumberFormat="1" applyFont="1" applyBorder="1" applyAlignment="1">
      <alignment vertical="center"/>
    </xf>
    <xf numFmtId="170" fontId="166" fillId="0" borderId="24" xfId="0" applyNumberFormat="1" applyFont="1" applyBorder="1" applyAlignment="1">
      <alignment vertical="center"/>
    </xf>
    <xf numFmtId="170" fontId="166" fillId="0" borderId="0" xfId="0" applyNumberFormat="1" applyFont="1" applyAlignment="1">
      <alignment vertical="center"/>
    </xf>
    <xf numFmtId="10" fontId="166" fillId="0" borderId="0" xfId="0" applyNumberFormat="1" applyFont="1" applyAlignment="1">
      <alignment vertical="center"/>
    </xf>
    <xf numFmtId="0" fontId="166" fillId="0" borderId="44" xfId="0" applyFont="1" applyBorder="1" applyAlignment="1">
      <alignment vertical="center"/>
    </xf>
    <xf numFmtId="170" fontId="166" fillId="0" borderId="44" xfId="0" applyNumberFormat="1" applyFont="1" applyBorder="1" applyAlignment="1">
      <alignment vertical="center"/>
    </xf>
    <xf numFmtId="2" fontId="167" fillId="0" borderId="0" xfId="0" applyNumberFormat="1" applyFont="1" applyAlignment="1">
      <alignment vertical="center"/>
    </xf>
    <xf numFmtId="250" fontId="166" fillId="0" borderId="0" xfId="65" applyNumberFormat="1" applyFont="1" applyAlignment="1">
      <alignment vertical="center"/>
    </xf>
    <xf numFmtId="9" fontId="166" fillId="0" borderId="44" xfId="0" applyNumberFormat="1" applyFont="1" applyBorder="1" applyAlignment="1">
      <alignment vertical="center"/>
    </xf>
    <xf numFmtId="251" fontId="166" fillId="0" borderId="0" xfId="0" applyNumberFormat="1" applyFont="1" applyAlignment="1">
      <alignment vertical="center"/>
    </xf>
    <xf numFmtId="0" fontId="168" fillId="53" borderId="0" xfId="6" applyFont="1" applyFill="1" applyAlignment="1">
      <alignment vertical="center"/>
    </xf>
    <xf numFmtId="187" fontId="168" fillId="53" borderId="0" xfId="6" applyNumberFormat="1" applyFont="1" applyFill="1" applyAlignment="1">
      <alignment horizontal="right" vertical="center"/>
    </xf>
    <xf numFmtId="0" fontId="168" fillId="53" borderId="0" xfId="6" applyFont="1" applyFill="1" applyAlignment="1">
      <alignment horizontal="right" vertical="center"/>
    </xf>
    <xf numFmtId="0" fontId="168" fillId="53" borderId="0" xfId="6" applyFont="1" applyFill="1" applyAlignment="1">
      <alignment horizontal="left" vertical="center"/>
    </xf>
    <xf numFmtId="0" fontId="166" fillId="0" borderId="6" xfId="0" applyFont="1" applyBorder="1" applyAlignment="1">
      <alignment vertical="center"/>
    </xf>
    <xf numFmtId="3" fontId="166" fillId="0" borderId="6" xfId="0" applyNumberFormat="1" applyFont="1" applyBorder="1" applyAlignment="1">
      <alignment vertical="center"/>
    </xf>
    <xf numFmtId="170" fontId="166" fillId="0" borderId="6" xfId="0" applyNumberFormat="1" applyFont="1" applyBorder="1" applyAlignment="1">
      <alignment vertical="center"/>
    </xf>
    <xf numFmtId="2" fontId="0" fillId="0" borderId="0" xfId="0" applyNumberFormat="1"/>
    <xf numFmtId="10" fontId="22" fillId="0" borderId="0" xfId="65" applyNumberFormat="1" applyFont="1" applyBorder="1" applyAlignment="1">
      <alignment horizontal="right"/>
    </xf>
    <xf numFmtId="168" fontId="19" fillId="0" borderId="0" xfId="1" applyFont="1" applyBorder="1"/>
    <xf numFmtId="1" fontId="35" fillId="0" borderId="0" xfId="0" applyNumberFormat="1" applyFont="1" applyAlignment="1">
      <alignment horizontal="right"/>
    </xf>
    <xf numFmtId="10" fontId="22" fillId="0" borderId="0" xfId="3" applyNumberFormat="1" applyFont="1" applyBorder="1" applyAlignment="1">
      <alignment horizontal="right"/>
    </xf>
    <xf numFmtId="3" fontId="162" fillId="0" borderId="0" xfId="3" applyNumberFormat="1" applyFont="1" applyBorder="1" applyAlignment="1">
      <alignment horizontal="right"/>
    </xf>
    <xf numFmtId="10" fontId="35" fillId="0" borderId="1" xfId="65" applyNumberFormat="1" applyFont="1" applyFill="1" applyBorder="1" applyAlignment="1">
      <alignment horizontal="right"/>
    </xf>
    <xf numFmtId="1" fontId="22" fillId="0" borderId="1" xfId="0" applyNumberFormat="1" applyFont="1" applyBorder="1" applyAlignment="1">
      <alignment horizontal="right"/>
    </xf>
    <xf numFmtId="0" fontId="153" fillId="54" borderId="0" xfId="724" quotePrefix="1" applyFont="1" applyFill="1" applyAlignment="1">
      <alignment horizontal="left" vertical="center"/>
    </xf>
    <xf numFmtId="0" fontId="79" fillId="38" borderId="0" xfId="163" applyFont="1" applyBorder="1" applyAlignment="1">
      <alignment horizontal="left"/>
    </xf>
    <xf numFmtId="0" fontId="81" fillId="40" borderId="0" xfId="165" applyFont="1" applyBorder="1" applyAlignment="1">
      <alignment horizontal="center"/>
    </xf>
    <xf numFmtId="0" fontId="81" fillId="40" borderId="31" xfId="165" applyFont="1" applyBorder="1" applyAlignment="1">
      <alignment horizontal="center"/>
    </xf>
    <xf numFmtId="0" fontId="78" fillId="41" borderId="32" xfId="166" applyBorder="1" applyAlignment="1">
      <alignment horizontal="center"/>
    </xf>
    <xf numFmtId="0" fontId="78" fillId="41" borderId="33" xfId="166" applyBorder="1" applyAlignment="1">
      <alignment horizontal="center"/>
    </xf>
    <xf numFmtId="0" fontId="78" fillId="41" borderId="34" xfId="166" applyBorder="1" applyAlignment="1">
      <alignment horizontal="center"/>
    </xf>
    <xf numFmtId="0" fontId="166" fillId="0" borderId="0" xfId="0" applyFont="1" applyAlignment="1">
      <alignment horizontal="left" vertical="center"/>
    </xf>
    <xf numFmtId="0" fontId="168" fillId="55" borderId="0" xfId="6" applyFont="1" applyFill="1" applyAlignment="1">
      <alignment horizontal="left"/>
    </xf>
    <xf numFmtId="0" fontId="168" fillId="55" borderId="0" xfId="6" applyFont="1" applyFill="1" applyAlignment="1">
      <alignment horizontal="right"/>
    </xf>
    <xf numFmtId="0" fontId="168" fillId="53" borderId="0" xfId="6" applyFont="1" applyFill="1" applyAlignment="1">
      <alignment horizontal="left" vertical="center"/>
    </xf>
    <xf numFmtId="0" fontId="167" fillId="0" borderId="0" xfId="0" applyFont="1" applyAlignment="1">
      <alignment horizontal="left" vertical="center"/>
    </xf>
    <xf numFmtId="0" fontId="166" fillId="0" borderId="0" xfId="0" applyFont="1" applyAlignment="1">
      <alignment horizontal="center" vertical="center"/>
    </xf>
    <xf numFmtId="170" fontId="166" fillId="0" borderId="0" xfId="65" applyNumberFormat="1" applyFont="1" applyAlignment="1">
      <alignment horizontal="right" vertical="center"/>
    </xf>
  </cellXfs>
  <cellStyles count="727">
    <cellStyle name="_x000a_386grabber=M" xfId="482" xr:uid="{00000000-0005-0000-0000-000000000000}"/>
    <cellStyle name="_%(SignOnly)" xfId="168" xr:uid="{00000000-0005-0000-0000-000001000000}"/>
    <cellStyle name="_%(SignSpaceOnly)" xfId="169" xr:uid="{00000000-0005-0000-0000-000002000000}"/>
    <cellStyle name="_Comma" xfId="170" xr:uid="{00000000-0005-0000-0000-000003000000}"/>
    <cellStyle name="_Comma_01 adj for merger plan" xfId="171" xr:uid="{00000000-0005-0000-0000-000004000000}"/>
    <cellStyle name="_Comma_Ability to Pay Analysis" xfId="172" xr:uid="{00000000-0005-0000-0000-000005000000}"/>
    <cellStyle name="_Comma_AFL" xfId="173" xr:uid="{00000000-0005-0000-0000-000006000000}"/>
    <cellStyle name="_Comma_AIZ" xfId="174" xr:uid="{00000000-0005-0000-0000-000007000000}"/>
    <cellStyle name="_Comma_AIZ04-Quantum2" xfId="175" xr:uid="{00000000-0005-0000-0000-000008000000}"/>
    <cellStyle name="_Comma_AMP" xfId="176" xr:uid="{00000000-0005-0000-0000-000009000000}"/>
    <cellStyle name="_Comma_Book1" xfId="177" xr:uid="{00000000-0005-0000-0000-00000A000000}"/>
    <cellStyle name="_Comma_Book3" xfId="178" xr:uid="{00000000-0005-0000-0000-00000B000000}"/>
    <cellStyle name="_Comma_CNO" xfId="179" xr:uid="{00000000-0005-0000-0000-00000C000000}"/>
    <cellStyle name="_Comma_CNO04" xfId="180" xr:uid="{00000000-0005-0000-0000-00000D000000}"/>
    <cellStyle name="_Comma_DCF Alexander Forbes" xfId="181" xr:uid="{00000000-0005-0000-0000-00000E000000}"/>
    <cellStyle name="_Comma_fmbi counties" xfId="182" xr:uid="{00000000-0005-0000-0000-00000F000000}"/>
    <cellStyle name="_Comma_FMBI MBHI Graphs" xfId="183" xr:uid="{00000000-0005-0000-0000-000010000000}"/>
    <cellStyle name="_Comma_FMBI MBHI Graphs 07102001" xfId="184" xr:uid="{00000000-0005-0000-0000-000011000000}"/>
    <cellStyle name="_Comma_FMBI MBHI Graphs_7601" xfId="185" xr:uid="{00000000-0005-0000-0000-000012000000}"/>
    <cellStyle name="_Comma_genworth model" xfId="186" xr:uid="{00000000-0005-0000-0000-000013000000}"/>
    <cellStyle name="_Comma_Insurance Brokerage CSC_1Q2002" xfId="187" xr:uid="{00000000-0005-0000-0000-000014000000}"/>
    <cellStyle name="_Comma_JP_LNC_spread_monitor (2)" xfId="188" xr:uid="{00000000-0005-0000-0000-000015000000}"/>
    <cellStyle name="_Comma_NFP" xfId="189" xr:uid="{00000000-0005-0000-0000-000016000000}"/>
    <cellStyle name="_Comma_NFS" xfId="190" xr:uid="{00000000-0005-0000-0000-000017000000}"/>
    <cellStyle name="_Comma_Overview3" xfId="191" xr:uid="{00000000-0005-0000-0000-000018000000}"/>
    <cellStyle name="_Comma_phil data" xfId="192" xr:uid="{00000000-0005-0000-0000-000019000000}"/>
    <cellStyle name="_Comma_Price Performance Charts" xfId="193" xr:uid="{00000000-0005-0000-0000-00001A000000}"/>
    <cellStyle name="_Comma_Quarterly Review by Company" xfId="194" xr:uid="{00000000-0005-0000-0000-00001B000000}"/>
    <cellStyle name="_Comma_SFG Data File" xfId="195" xr:uid="{00000000-0005-0000-0000-00001C000000}"/>
    <cellStyle name="_Comma_Sheet1" xfId="196" xr:uid="{00000000-0005-0000-0000-00001D000000}"/>
    <cellStyle name="_Comma_Stock-QTR1 FDS" xfId="197" xr:uid="{00000000-0005-0000-0000-00001E000000}"/>
    <cellStyle name="_Comma_Updated Valuation Changes" xfId="198" xr:uid="{00000000-0005-0000-0000-00001F000000}"/>
    <cellStyle name="_Comma_Valuation Graphs" xfId="199" xr:uid="{00000000-0005-0000-0000-000020000000}"/>
    <cellStyle name="_Comma_xratio - historical mkt val" xfId="200" xr:uid="{00000000-0005-0000-0000-000021000000}"/>
    <cellStyle name="_Currency" xfId="201" xr:uid="{00000000-0005-0000-0000-000022000000}"/>
    <cellStyle name="_Currency_01 adj for merger plan" xfId="202" xr:uid="{00000000-0005-0000-0000-000023000000}"/>
    <cellStyle name="_Currency_Ability to Pay Analysis" xfId="203" xr:uid="{00000000-0005-0000-0000-000024000000}"/>
    <cellStyle name="_Currency_AFL" xfId="204" xr:uid="{00000000-0005-0000-0000-000025000000}"/>
    <cellStyle name="_Currency_AIZ" xfId="205" xr:uid="{00000000-0005-0000-0000-000026000000}"/>
    <cellStyle name="_Currency_AMP" xfId="206" xr:uid="{00000000-0005-0000-0000-000027000000}"/>
    <cellStyle name="_Currency_Balance Sheet" xfId="207" xr:uid="{00000000-0005-0000-0000-000028000000}"/>
    <cellStyle name="_Currency_Book1" xfId="208" xr:uid="{00000000-0005-0000-0000-000029000000}"/>
    <cellStyle name="_Currency_Book29" xfId="209" xr:uid="{00000000-0005-0000-0000-00002A000000}"/>
    <cellStyle name="_Currency_Book3" xfId="210" xr:uid="{00000000-0005-0000-0000-00002B000000}"/>
    <cellStyle name="_Currency_Book3_1" xfId="211" xr:uid="{00000000-0005-0000-0000-00002C000000}"/>
    <cellStyle name="_Currency_CNO" xfId="212" xr:uid="{00000000-0005-0000-0000-00002D000000}"/>
    <cellStyle name="_Currency_DCF Alexander Forbes" xfId="213" xr:uid="{00000000-0005-0000-0000-00002E000000}"/>
    <cellStyle name="_Currency_fmbi counties" xfId="214" xr:uid="{00000000-0005-0000-0000-00002F000000}"/>
    <cellStyle name="_Currency_FMBI MBHI Graphs" xfId="215" xr:uid="{00000000-0005-0000-0000-000030000000}"/>
    <cellStyle name="_Currency_FMBI MBHI Graphs 07102001" xfId="216" xr:uid="{00000000-0005-0000-0000-000031000000}"/>
    <cellStyle name="_Currency_FMBI MBHI Graphs_7601" xfId="217" xr:uid="{00000000-0005-0000-0000-000032000000}"/>
    <cellStyle name="_Currency_GNW" xfId="218" xr:uid="{00000000-0005-0000-0000-000033000000}"/>
    <cellStyle name="_Currency_Insurance Brokerage CSC_1Q2002" xfId="219" xr:uid="{00000000-0005-0000-0000-000034000000}"/>
    <cellStyle name="_Currency_JP" xfId="220" xr:uid="{00000000-0005-0000-0000-000035000000}"/>
    <cellStyle name="_Currency_LNC" xfId="221" xr:uid="{00000000-0005-0000-0000-000036000000}"/>
    <cellStyle name="_Currency_MET" xfId="222" xr:uid="{00000000-0005-0000-0000-000037000000}"/>
    <cellStyle name="_Currency_MET04" xfId="223" xr:uid="{00000000-0005-0000-0000-000038000000}"/>
    <cellStyle name="_Currency_NFS" xfId="224" xr:uid="{00000000-0005-0000-0000-000039000000}"/>
    <cellStyle name="_Currency_Overview3" xfId="225" xr:uid="{00000000-0005-0000-0000-00003A000000}"/>
    <cellStyle name="_Currency_phil data" xfId="226" xr:uid="{00000000-0005-0000-0000-00003B000000}"/>
    <cellStyle name="_Currency_Price Performance Charts" xfId="227" xr:uid="{00000000-0005-0000-0000-00003C000000}"/>
    <cellStyle name="_Currency_PRU" xfId="228" xr:uid="{00000000-0005-0000-0000-00003D000000}"/>
    <cellStyle name="_Currency_PRU04" xfId="229" xr:uid="{00000000-0005-0000-0000-00003E000000}"/>
    <cellStyle name="_Currency_RiskReward" xfId="230" xr:uid="{00000000-0005-0000-0000-00003F000000}"/>
    <cellStyle name="_Currency_SFG" xfId="231" xr:uid="{00000000-0005-0000-0000-000040000000}"/>
    <cellStyle name="_Currency_Sheet1" xfId="232" xr:uid="{00000000-0005-0000-0000-000041000000}"/>
    <cellStyle name="_Currency_Stock-QTR1 FDS" xfId="233" xr:uid="{00000000-0005-0000-0000-000042000000}"/>
    <cellStyle name="_Currency_TMK" xfId="234" xr:uid="{00000000-0005-0000-0000-000043000000}"/>
    <cellStyle name="_Currency_Updated Valuation Changes" xfId="235" xr:uid="{00000000-0005-0000-0000-000044000000}"/>
    <cellStyle name="_Currency_Valuation Graphs" xfId="236" xr:uid="{00000000-0005-0000-0000-000045000000}"/>
    <cellStyle name="_Currency_xratio - historical mkt val" xfId="237" xr:uid="{00000000-0005-0000-0000-000046000000}"/>
    <cellStyle name="_CurrencySpace" xfId="238" xr:uid="{00000000-0005-0000-0000-000047000000}"/>
    <cellStyle name="_CurrencySpace_01 adj for merger plan" xfId="239" xr:uid="{00000000-0005-0000-0000-000048000000}"/>
    <cellStyle name="_CurrencySpace_Ability to Pay Analysis" xfId="240" xr:uid="{00000000-0005-0000-0000-000049000000}"/>
    <cellStyle name="_CurrencySpace_AFL" xfId="241" xr:uid="{00000000-0005-0000-0000-00004A000000}"/>
    <cellStyle name="_CurrencySpace_AIZ" xfId="242" xr:uid="{00000000-0005-0000-0000-00004B000000}"/>
    <cellStyle name="_CurrencySpace_AMP" xfId="243" xr:uid="{00000000-0005-0000-0000-00004C000000}"/>
    <cellStyle name="_CurrencySpace_Balance Sheet" xfId="244" xr:uid="{00000000-0005-0000-0000-00004D000000}"/>
    <cellStyle name="_CurrencySpace_Book1" xfId="245" xr:uid="{00000000-0005-0000-0000-00004E000000}"/>
    <cellStyle name="_CurrencySpace_Book29" xfId="246" xr:uid="{00000000-0005-0000-0000-00004F000000}"/>
    <cellStyle name="_CurrencySpace_Book3" xfId="247" xr:uid="{00000000-0005-0000-0000-000050000000}"/>
    <cellStyle name="_CurrencySpace_Book3_1" xfId="248" xr:uid="{00000000-0005-0000-0000-000051000000}"/>
    <cellStyle name="_CurrencySpace_CNO" xfId="249" xr:uid="{00000000-0005-0000-0000-000052000000}"/>
    <cellStyle name="_CurrencySpace_DCF Alexander Forbes" xfId="250" xr:uid="{00000000-0005-0000-0000-000053000000}"/>
    <cellStyle name="_CurrencySpace_fmbi counties" xfId="251" xr:uid="{00000000-0005-0000-0000-000054000000}"/>
    <cellStyle name="_CurrencySpace_FMBI MBHI Graphs" xfId="252" xr:uid="{00000000-0005-0000-0000-000055000000}"/>
    <cellStyle name="_CurrencySpace_FMBI MBHI Graphs 07102001" xfId="253" xr:uid="{00000000-0005-0000-0000-000056000000}"/>
    <cellStyle name="_CurrencySpace_FMBI MBHI Graphs_7601" xfId="254" xr:uid="{00000000-0005-0000-0000-000057000000}"/>
    <cellStyle name="_CurrencySpace_GNW" xfId="255" xr:uid="{00000000-0005-0000-0000-000058000000}"/>
    <cellStyle name="_CurrencySpace_Insurance Brokerage CSC_1Q2002" xfId="256" xr:uid="{00000000-0005-0000-0000-000059000000}"/>
    <cellStyle name="_CurrencySpace_JP" xfId="257" xr:uid="{00000000-0005-0000-0000-00005A000000}"/>
    <cellStyle name="_CurrencySpace_LNC" xfId="258" xr:uid="{00000000-0005-0000-0000-00005B000000}"/>
    <cellStyle name="_CurrencySpace_MET" xfId="259" xr:uid="{00000000-0005-0000-0000-00005C000000}"/>
    <cellStyle name="_CurrencySpace_MET04" xfId="260" xr:uid="{00000000-0005-0000-0000-00005D000000}"/>
    <cellStyle name="_CurrencySpace_NFS" xfId="261" xr:uid="{00000000-0005-0000-0000-00005E000000}"/>
    <cellStyle name="_CurrencySpace_Overview3" xfId="262" xr:uid="{00000000-0005-0000-0000-00005F000000}"/>
    <cellStyle name="_CurrencySpace_phil data" xfId="263" xr:uid="{00000000-0005-0000-0000-000060000000}"/>
    <cellStyle name="_CurrencySpace_Price Performance Charts" xfId="264" xr:uid="{00000000-0005-0000-0000-000061000000}"/>
    <cellStyle name="_CurrencySpace_PRU" xfId="265" xr:uid="{00000000-0005-0000-0000-000062000000}"/>
    <cellStyle name="_CurrencySpace_PRU04" xfId="266" xr:uid="{00000000-0005-0000-0000-000063000000}"/>
    <cellStyle name="_CurrencySpace_RiskReward" xfId="267" xr:uid="{00000000-0005-0000-0000-000064000000}"/>
    <cellStyle name="_CurrencySpace_SFG" xfId="268" xr:uid="{00000000-0005-0000-0000-000065000000}"/>
    <cellStyle name="_CurrencySpace_Sheet1" xfId="269" xr:uid="{00000000-0005-0000-0000-000066000000}"/>
    <cellStyle name="_CurrencySpace_Stock-QTR1 FDS" xfId="270" xr:uid="{00000000-0005-0000-0000-000067000000}"/>
    <cellStyle name="_CurrencySpace_TMK" xfId="271" xr:uid="{00000000-0005-0000-0000-000068000000}"/>
    <cellStyle name="_CurrencySpace_Updated Valuation Changes" xfId="272" xr:uid="{00000000-0005-0000-0000-000069000000}"/>
    <cellStyle name="_CurrencySpace_Valuation Graphs" xfId="273" xr:uid="{00000000-0005-0000-0000-00006A000000}"/>
    <cellStyle name="_CurrencySpace_xratio - historical mkt val" xfId="274" xr:uid="{00000000-0005-0000-0000-00006B000000}"/>
    <cellStyle name="_Dollar" xfId="275" xr:uid="{00000000-0005-0000-0000-00006C000000}"/>
    <cellStyle name="_Euro" xfId="276" xr:uid="{00000000-0005-0000-0000-00006D000000}"/>
    <cellStyle name="_Heading" xfId="277" xr:uid="{00000000-0005-0000-0000-00006E000000}"/>
    <cellStyle name="_Heading_prestemp" xfId="278" xr:uid="{00000000-0005-0000-0000-00006F000000}"/>
    <cellStyle name="_Highlight" xfId="279" xr:uid="{00000000-0005-0000-0000-000070000000}"/>
    <cellStyle name="_Multiple" xfId="280" xr:uid="{00000000-0005-0000-0000-000071000000}"/>
    <cellStyle name="_Multiple_01 adj for merger plan" xfId="281" xr:uid="{00000000-0005-0000-0000-000072000000}"/>
    <cellStyle name="_Multiple_Ability to Pay Analysis" xfId="282" xr:uid="{00000000-0005-0000-0000-000073000000}"/>
    <cellStyle name="_Multiple_AFL" xfId="283" xr:uid="{00000000-0005-0000-0000-000074000000}"/>
    <cellStyle name="_Multiple_AIZ" xfId="284" xr:uid="{00000000-0005-0000-0000-000075000000}"/>
    <cellStyle name="_Multiple_AMP" xfId="285" xr:uid="{00000000-0005-0000-0000-000076000000}"/>
    <cellStyle name="_Multiple_Balance Sheet" xfId="286" xr:uid="{00000000-0005-0000-0000-000077000000}"/>
    <cellStyle name="_Multiple_Book1" xfId="287" xr:uid="{00000000-0005-0000-0000-000078000000}"/>
    <cellStyle name="_Multiple_Book29" xfId="288" xr:uid="{00000000-0005-0000-0000-000079000000}"/>
    <cellStyle name="_Multiple_Book3" xfId="289" xr:uid="{00000000-0005-0000-0000-00007A000000}"/>
    <cellStyle name="_Multiple_Book3_1" xfId="290" xr:uid="{00000000-0005-0000-0000-00007B000000}"/>
    <cellStyle name="_Multiple_CNO" xfId="291" xr:uid="{00000000-0005-0000-0000-00007C000000}"/>
    <cellStyle name="_Multiple_DCF Alexander Forbes" xfId="292" xr:uid="{00000000-0005-0000-0000-00007D000000}"/>
    <cellStyle name="_Multiple_fmbi counties" xfId="293" xr:uid="{00000000-0005-0000-0000-00007E000000}"/>
    <cellStyle name="_Multiple_FMBI MBHI Graphs" xfId="294" xr:uid="{00000000-0005-0000-0000-00007F000000}"/>
    <cellStyle name="_Multiple_FMBI MBHI Graphs 07102001" xfId="295" xr:uid="{00000000-0005-0000-0000-000080000000}"/>
    <cellStyle name="_Multiple_FMBI MBHI Graphs_7601" xfId="296" xr:uid="{00000000-0005-0000-0000-000081000000}"/>
    <cellStyle name="_Multiple_GNW" xfId="297" xr:uid="{00000000-0005-0000-0000-000082000000}"/>
    <cellStyle name="_Multiple_Insurance Brokerage CSC_1Q2002" xfId="298" xr:uid="{00000000-0005-0000-0000-000083000000}"/>
    <cellStyle name="_Multiple_JP" xfId="299" xr:uid="{00000000-0005-0000-0000-000084000000}"/>
    <cellStyle name="_Multiple_LNC" xfId="300" xr:uid="{00000000-0005-0000-0000-000085000000}"/>
    <cellStyle name="_Multiple_MET" xfId="301" xr:uid="{00000000-0005-0000-0000-000086000000}"/>
    <cellStyle name="_Multiple_MET04" xfId="302" xr:uid="{00000000-0005-0000-0000-000087000000}"/>
    <cellStyle name="_Multiple_NFS" xfId="303" xr:uid="{00000000-0005-0000-0000-000088000000}"/>
    <cellStyle name="_Multiple_Overview3" xfId="304" xr:uid="{00000000-0005-0000-0000-000089000000}"/>
    <cellStyle name="_Multiple_phil data" xfId="305" xr:uid="{00000000-0005-0000-0000-00008A000000}"/>
    <cellStyle name="_Multiple_Price Performance Charts" xfId="306" xr:uid="{00000000-0005-0000-0000-00008B000000}"/>
    <cellStyle name="_Multiple_PRU" xfId="307" xr:uid="{00000000-0005-0000-0000-00008C000000}"/>
    <cellStyle name="_Multiple_PRU04" xfId="308" xr:uid="{00000000-0005-0000-0000-00008D000000}"/>
    <cellStyle name="_Multiple_RiskReward" xfId="309" xr:uid="{00000000-0005-0000-0000-00008E000000}"/>
    <cellStyle name="_Multiple_SFG" xfId="310" xr:uid="{00000000-0005-0000-0000-00008F000000}"/>
    <cellStyle name="_Multiple_Sheet1" xfId="311" xr:uid="{00000000-0005-0000-0000-000090000000}"/>
    <cellStyle name="_Multiple_Stock-QTR1 FDS" xfId="312" xr:uid="{00000000-0005-0000-0000-000091000000}"/>
    <cellStyle name="_Multiple_TMK" xfId="313" xr:uid="{00000000-0005-0000-0000-000092000000}"/>
    <cellStyle name="_Multiple_Updated Valuation Changes" xfId="314" xr:uid="{00000000-0005-0000-0000-000093000000}"/>
    <cellStyle name="_Multiple_Valuation Graphs" xfId="315" xr:uid="{00000000-0005-0000-0000-000094000000}"/>
    <cellStyle name="_Multiple_xratio - historical mkt val" xfId="316" xr:uid="{00000000-0005-0000-0000-000095000000}"/>
    <cellStyle name="_MultipleSpace" xfId="317" xr:uid="{00000000-0005-0000-0000-000096000000}"/>
    <cellStyle name="_MultipleSpace_01 adj for merger plan" xfId="318" xr:uid="{00000000-0005-0000-0000-000097000000}"/>
    <cellStyle name="_MultipleSpace_Ability to Pay Analysis" xfId="319" xr:uid="{00000000-0005-0000-0000-000098000000}"/>
    <cellStyle name="_MultipleSpace_AFL" xfId="320" xr:uid="{00000000-0005-0000-0000-000099000000}"/>
    <cellStyle name="_MultipleSpace_AIZ" xfId="321" xr:uid="{00000000-0005-0000-0000-00009A000000}"/>
    <cellStyle name="_MultipleSpace_AMP" xfId="322" xr:uid="{00000000-0005-0000-0000-00009B000000}"/>
    <cellStyle name="_MultipleSpace_Balance Sheet" xfId="323" xr:uid="{00000000-0005-0000-0000-00009C000000}"/>
    <cellStyle name="_MultipleSpace_Book1" xfId="324" xr:uid="{00000000-0005-0000-0000-00009D000000}"/>
    <cellStyle name="_MultipleSpace_Book29" xfId="325" xr:uid="{00000000-0005-0000-0000-00009E000000}"/>
    <cellStyle name="_MultipleSpace_Book3" xfId="326" xr:uid="{00000000-0005-0000-0000-00009F000000}"/>
    <cellStyle name="_MultipleSpace_Book3_1" xfId="327" xr:uid="{00000000-0005-0000-0000-0000A0000000}"/>
    <cellStyle name="_MultipleSpace_CNO" xfId="328" xr:uid="{00000000-0005-0000-0000-0000A1000000}"/>
    <cellStyle name="_MultipleSpace_DCF Alexander Forbes" xfId="329" xr:uid="{00000000-0005-0000-0000-0000A2000000}"/>
    <cellStyle name="_MultipleSpace_fmbi counties" xfId="330" xr:uid="{00000000-0005-0000-0000-0000A3000000}"/>
    <cellStyle name="_MultipleSpace_FMBI MBHI Graphs" xfId="331" xr:uid="{00000000-0005-0000-0000-0000A4000000}"/>
    <cellStyle name="_MultipleSpace_FMBI MBHI Graphs 07102001" xfId="332" xr:uid="{00000000-0005-0000-0000-0000A5000000}"/>
    <cellStyle name="_MultipleSpace_FMBI MBHI Graphs_7601" xfId="333" xr:uid="{00000000-0005-0000-0000-0000A6000000}"/>
    <cellStyle name="_MultipleSpace_GNW" xfId="334" xr:uid="{00000000-0005-0000-0000-0000A7000000}"/>
    <cellStyle name="_MultipleSpace_Insurance Brokerage CSC_1Q2002" xfId="335" xr:uid="{00000000-0005-0000-0000-0000A8000000}"/>
    <cellStyle name="_MultipleSpace_JP" xfId="336" xr:uid="{00000000-0005-0000-0000-0000A9000000}"/>
    <cellStyle name="_MultipleSpace_LNC" xfId="337" xr:uid="{00000000-0005-0000-0000-0000AA000000}"/>
    <cellStyle name="_MultipleSpace_MET" xfId="338" xr:uid="{00000000-0005-0000-0000-0000AB000000}"/>
    <cellStyle name="_MultipleSpace_MET04" xfId="339" xr:uid="{00000000-0005-0000-0000-0000AC000000}"/>
    <cellStyle name="_MultipleSpace_NFS" xfId="340" xr:uid="{00000000-0005-0000-0000-0000AD000000}"/>
    <cellStyle name="_MultipleSpace_Overview3" xfId="341" xr:uid="{00000000-0005-0000-0000-0000AE000000}"/>
    <cellStyle name="_MultipleSpace_phil data" xfId="342" xr:uid="{00000000-0005-0000-0000-0000AF000000}"/>
    <cellStyle name="_MultipleSpace_Price Performance Charts" xfId="343" xr:uid="{00000000-0005-0000-0000-0000B0000000}"/>
    <cellStyle name="_MultipleSpace_PRU" xfId="344" xr:uid="{00000000-0005-0000-0000-0000B1000000}"/>
    <cellStyle name="_MultipleSpace_PRU04" xfId="345" xr:uid="{00000000-0005-0000-0000-0000B2000000}"/>
    <cellStyle name="_MultipleSpace_RiskReward" xfId="346" xr:uid="{00000000-0005-0000-0000-0000B3000000}"/>
    <cellStyle name="_MultipleSpace_SFG" xfId="347" xr:uid="{00000000-0005-0000-0000-0000B4000000}"/>
    <cellStyle name="_MultipleSpace_Sheet1" xfId="348" xr:uid="{00000000-0005-0000-0000-0000B5000000}"/>
    <cellStyle name="_MultipleSpace_Stock-QTR1 FDS" xfId="349" xr:uid="{00000000-0005-0000-0000-0000B6000000}"/>
    <cellStyle name="_MultipleSpace_TMK" xfId="350" xr:uid="{00000000-0005-0000-0000-0000B7000000}"/>
    <cellStyle name="_MultipleSpace_Updated Valuation Changes" xfId="351" xr:uid="{00000000-0005-0000-0000-0000B8000000}"/>
    <cellStyle name="_MultipleSpace_Valuation Graphs" xfId="352" xr:uid="{00000000-0005-0000-0000-0000B9000000}"/>
    <cellStyle name="_MultipleSpace_xratio - historical mkt val" xfId="353" xr:uid="{00000000-0005-0000-0000-0000BA000000}"/>
    <cellStyle name="_Percent" xfId="354" xr:uid="{00000000-0005-0000-0000-0000BB000000}"/>
    <cellStyle name="_Percent_DCF Alexander Forbes" xfId="355" xr:uid="{00000000-0005-0000-0000-0000BC000000}"/>
    <cellStyle name="_Percent_FMBI MBHI Graphs" xfId="356" xr:uid="{00000000-0005-0000-0000-0000BD000000}"/>
    <cellStyle name="_Percent_FMBI MBHI Graphs 07102001" xfId="357" xr:uid="{00000000-0005-0000-0000-0000BE000000}"/>
    <cellStyle name="_Percent_FMBI MBHI Graphs_7601" xfId="358" xr:uid="{00000000-0005-0000-0000-0000BF000000}"/>
    <cellStyle name="_PercentSpace" xfId="359" xr:uid="{00000000-0005-0000-0000-0000C0000000}"/>
    <cellStyle name="_PercentSpace_01 adj for merger plan" xfId="360" xr:uid="{00000000-0005-0000-0000-0000C1000000}"/>
    <cellStyle name="_PercentSpace_DCF Alexander Forbes" xfId="361" xr:uid="{00000000-0005-0000-0000-0000C2000000}"/>
    <cellStyle name="_PercentSpace_FMBI MBHI Graphs" xfId="362" xr:uid="{00000000-0005-0000-0000-0000C3000000}"/>
    <cellStyle name="_PercentSpace_FMBI MBHI Graphs 07102001" xfId="363" xr:uid="{00000000-0005-0000-0000-0000C4000000}"/>
    <cellStyle name="_PercentSpace_FMBI MBHI Graphs_7601" xfId="364" xr:uid="{00000000-0005-0000-0000-0000C5000000}"/>
    <cellStyle name="_SubHeading" xfId="365" xr:uid="{00000000-0005-0000-0000-0000C6000000}"/>
    <cellStyle name="_SubHeading_Ability to Pay Analysis" xfId="366" xr:uid="{00000000-0005-0000-0000-0000C7000000}"/>
    <cellStyle name="_SubHeading_BankUnited Model" xfId="367" xr:uid="{00000000-0005-0000-0000-0000C8000000}"/>
    <cellStyle name="_SubHeading_fmbi counties" xfId="368" xr:uid="{00000000-0005-0000-0000-0000C9000000}"/>
    <cellStyle name="_SubHeading_FMBI MBHI Graphs" xfId="369" xr:uid="{00000000-0005-0000-0000-0000CA000000}"/>
    <cellStyle name="_SubHeading_FMBI MBHI Graphs 07102001" xfId="370" xr:uid="{00000000-0005-0000-0000-0000CB000000}"/>
    <cellStyle name="_SubHeading_FMBI MBHI Graphs_7601" xfId="371" xr:uid="{00000000-0005-0000-0000-0000CC000000}"/>
    <cellStyle name="_SubHeading_prestemp" xfId="372" xr:uid="{00000000-0005-0000-0000-0000CD000000}"/>
    <cellStyle name="_SubHeading_prestemp_Insurance Brokerage CSC_1Q2002" xfId="373" xr:uid="{00000000-0005-0000-0000-0000CE000000}"/>
    <cellStyle name="_SubHeading_prestemp_Overview3" xfId="374" xr:uid="{00000000-0005-0000-0000-0000CF000000}"/>
    <cellStyle name="_SubHeading_prestemp_Updated Valuation Changes" xfId="375" xr:uid="{00000000-0005-0000-0000-0000D0000000}"/>
    <cellStyle name="_SubHeading_xratio - historical mkt val" xfId="376" xr:uid="{00000000-0005-0000-0000-0000D1000000}"/>
    <cellStyle name="_Table" xfId="377" xr:uid="{00000000-0005-0000-0000-0000D2000000}"/>
    <cellStyle name="_Table_Ability to Pay Analysis" xfId="378" xr:uid="{00000000-0005-0000-0000-0000D3000000}"/>
    <cellStyle name="_Table_BankUnited Model" xfId="379" xr:uid="{00000000-0005-0000-0000-0000D4000000}"/>
    <cellStyle name="_Table_fmbi counties" xfId="380" xr:uid="{00000000-0005-0000-0000-0000D5000000}"/>
    <cellStyle name="_Table_xratio - historical mkt val" xfId="381" xr:uid="{00000000-0005-0000-0000-0000D6000000}"/>
    <cellStyle name="_TableHead" xfId="382" xr:uid="{00000000-0005-0000-0000-0000D7000000}"/>
    <cellStyle name="_TableRowHead" xfId="383" xr:uid="{00000000-0005-0000-0000-0000D8000000}"/>
    <cellStyle name="_TableSuperHead" xfId="384" xr:uid="{00000000-0005-0000-0000-0000D9000000}"/>
    <cellStyle name="_TableSuperHead_Ability to Pay Analysis" xfId="385" xr:uid="{00000000-0005-0000-0000-0000DA000000}"/>
    <cellStyle name="_TableSuperHead_BankUnited Model" xfId="386" xr:uid="{00000000-0005-0000-0000-0000DB000000}"/>
    <cellStyle name="_TableSuperHead_fmbi counties" xfId="387" xr:uid="{00000000-0005-0000-0000-0000DC000000}"/>
    <cellStyle name="_TableSuperHead_xratio - historical mkt val" xfId="388" xr:uid="{00000000-0005-0000-0000-0000DD000000}"/>
    <cellStyle name="20% - Accent1 2" xfId="10" xr:uid="{00000000-0005-0000-0000-0000DE000000}"/>
    <cellStyle name="20% - Accent2 2" xfId="11" xr:uid="{00000000-0005-0000-0000-0000DF000000}"/>
    <cellStyle name="20% - Accent3 2" xfId="12" xr:uid="{00000000-0005-0000-0000-0000E0000000}"/>
    <cellStyle name="20% - Accent4 2" xfId="13" xr:uid="{00000000-0005-0000-0000-0000E1000000}"/>
    <cellStyle name="20% - Accent5 2" xfId="14" xr:uid="{00000000-0005-0000-0000-0000E2000000}"/>
    <cellStyle name="20% - Accent6 2" xfId="15" xr:uid="{00000000-0005-0000-0000-0000E3000000}"/>
    <cellStyle name="40% - Accent1 2" xfId="16" xr:uid="{00000000-0005-0000-0000-0000E4000000}"/>
    <cellStyle name="40% - Accent2 2" xfId="17" xr:uid="{00000000-0005-0000-0000-0000E5000000}"/>
    <cellStyle name="40% - Accent3 2" xfId="18" xr:uid="{00000000-0005-0000-0000-0000E6000000}"/>
    <cellStyle name="40% - Accent4 2" xfId="19" xr:uid="{00000000-0005-0000-0000-0000E7000000}"/>
    <cellStyle name="40% - Accent5 2" xfId="20" xr:uid="{00000000-0005-0000-0000-0000E8000000}"/>
    <cellStyle name="40% - Accent6 2" xfId="21" xr:uid="{00000000-0005-0000-0000-0000E9000000}"/>
    <cellStyle name="60% - Accent1 2" xfId="22" xr:uid="{00000000-0005-0000-0000-0000EA000000}"/>
    <cellStyle name="60% - Accent1 3" xfId="84" xr:uid="{00000000-0005-0000-0000-0000EB000000}"/>
    <cellStyle name="60% - Accent2 2" xfId="23" xr:uid="{00000000-0005-0000-0000-0000EC000000}"/>
    <cellStyle name="60% - Accent2 3" xfId="85" xr:uid="{00000000-0005-0000-0000-0000ED000000}"/>
    <cellStyle name="60% - Accent3 2" xfId="24" xr:uid="{00000000-0005-0000-0000-0000EE000000}"/>
    <cellStyle name="60% - Accent3 3" xfId="86" xr:uid="{00000000-0005-0000-0000-0000EF000000}"/>
    <cellStyle name="60% - Accent4 2" xfId="25" xr:uid="{00000000-0005-0000-0000-0000F0000000}"/>
    <cellStyle name="60% - Accent4 3" xfId="87" xr:uid="{00000000-0005-0000-0000-0000F1000000}"/>
    <cellStyle name="60% - Accent5 2" xfId="26" xr:uid="{00000000-0005-0000-0000-0000F2000000}"/>
    <cellStyle name="60% - Accent5 3" xfId="88" xr:uid="{00000000-0005-0000-0000-0000F3000000}"/>
    <cellStyle name="60% - Accent6 2" xfId="27" xr:uid="{00000000-0005-0000-0000-0000F4000000}"/>
    <cellStyle name="60% - Accent6 3" xfId="89" xr:uid="{00000000-0005-0000-0000-0000F5000000}"/>
    <cellStyle name="Accent1 2" xfId="28" xr:uid="{00000000-0005-0000-0000-0000F6000000}"/>
    <cellStyle name="Accent1 3" xfId="90" xr:uid="{00000000-0005-0000-0000-0000F7000000}"/>
    <cellStyle name="Accent2 2" xfId="29" xr:uid="{00000000-0005-0000-0000-0000F8000000}"/>
    <cellStyle name="Accent2 3" xfId="91" xr:uid="{00000000-0005-0000-0000-0000F9000000}"/>
    <cellStyle name="Accent3 2" xfId="30" xr:uid="{00000000-0005-0000-0000-0000FA000000}"/>
    <cellStyle name="Accent3 3" xfId="92" xr:uid="{00000000-0005-0000-0000-0000FB000000}"/>
    <cellStyle name="Accent4 2" xfId="31" xr:uid="{00000000-0005-0000-0000-0000FC000000}"/>
    <cellStyle name="Accent4 3" xfId="93" xr:uid="{00000000-0005-0000-0000-0000FD000000}"/>
    <cellStyle name="Accent5 2" xfId="32" xr:uid="{00000000-0005-0000-0000-0000FE000000}"/>
    <cellStyle name="Accent5 3" xfId="94" xr:uid="{00000000-0005-0000-0000-0000FF000000}"/>
    <cellStyle name="Accent6 2" xfId="33" xr:uid="{00000000-0005-0000-0000-000000010000}"/>
    <cellStyle name="Accent6 3" xfId="95" xr:uid="{00000000-0005-0000-0000-000001010000}"/>
    <cellStyle name="Actual data" xfId="389" xr:uid="{00000000-0005-0000-0000-000002010000}"/>
    <cellStyle name="Actual year" xfId="390" xr:uid="{00000000-0005-0000-0000-000003010000}"/>
    <cellStyle name="Actuals Cells" xfId="391" xr:uid="{00000000-0005-0000-0000-000004010000}"/>
    <cellStyle name="AFE" xfId="392" xr:uid="{00000000-0005-0000-0000-000005010000}"/>
    <cellStyle name="afl" xfId="393" xr:uid="{00000000-0005-0000-0000-000006010000}"/>
    <cellStyle name="Andre's Title" xfId="394" xr:uid="{00000000-0005-0000-0000-000007010000}"/>
    <cellStyle name="Bad" xfId="164" builtinId="27"/>
    <cellStyle name="Bad 2" xfId="34" xr:uid="{00000000-0005-0000-0000-000009010000}"/>
    <cellStyle name="Blank" xfId="395" xr:uid="{00000000-0005-0000-0000-00000A010000}"/>
    <cellStyle name="Blue" xfId="396" xr:uid="{00000000-0005-0000-0000-00000B010000}"/>
    <cellStyle name="Blue Title" xfId="397" xr:uid="{00000000-0005-0000-0000-00000C010000}"/>
    <cellStyle name="Calc Cells" xfId="398" xr:uid="{00000000-0005-0000-0000-00000D010000}"/>
    <cellStyle name="Calculation 2" xfId="35" xr:uid="{00000000-0005-0000-0000-00000E010000}"/>
    <cellStyle name="Case" xfId="399" xr:uid="{00000000-0005-0000-0000-00000F010000}"/>
    <cellStyle name="Check Cell 2" xfId="36" xr:uid="{00000000-0005-0000-0000-000010010000}"/>
    <cellStyle name="Co. Names" xfId="400" xr:uid="{00000000-0005-0000-0000-000011010000}"/>
    <cellStyle name="Co. Names - Bold" xfId="401" xr:uid="{00000000-0005-0000-0000-000012010000}"/>
    <cellStyle name="Co. Names_Blend" xfId="402" xr:uid="{00000000-0005-0000-0000-000013010000}"/>
    <cellStyle name="Col Head" xfId="403" xr:uid="{00000000-0005-0000-0000-000014010000}"/>
    <cellStyle name="Comma" xfId="1" builtinId="3"/>
    <cellStyle name="Comma 2" xfId="8" xr:uid="{00000000-0005-0000-0000-000016010000}"/>
    <cellStyle name="Comma 3" xfId="37" xr:uid="{00000000-0005-0000-0000-000017010000}"/>
    <cellStyle name="Comma 4" xfId="483" xr:uid="{00000000-0005-0000-0000-000018010000}"/>
    <cellStyle name="Comma 4 2" xfId="560" xr:uid="{00000000-0005-0000-0000-000019010000}"/>
    <cellStyle name="Comma 4 2 2" xfId="721" xr:uid="{00000000-0005-0000-0000-00001A010000}"/>
    <cellStyle name="Comma 4 3" xfId="668" xr:uid="{00000000-0005-0000-0000-00001B010000}"/>
    <cellStyle name="Comma 5" xfId="563" xr:uid="{00000000-0005-0000-0000-00001C010000}"/>
    <cellStyle name="Comma 6" xfId="726" xr:uid="{D638C720-736B-4DA8-8EE0-4952F9B43594}"/>
    <cellStyle name="Comma0" xfId="404" xr:uid="{00000000-0005-0000-0000-00001D010000}"/>
    <cellStyle name="Company name" xfId="405" xr:uid="{00000000-0005-0000-0000-00001E010000}"/>
    <cellStyle name="CompanyTitle" xfId="406" xr:uid="{00000000-0005-0000-0000-00001F010000}"/>
    <cellStyle name="Currency" xfId="2" builtinId="4"/>
    <cellStyle name="Currency [2]" xfId="407" xr:uid="{00000000-0005-0000-0000-000021010000}"/>
    <cellStyle name="Currency [2] 2" xfId="664" xr:uid="{00000000-0005-0000-0000-000022010000}"/>
    <cellStyle name="Currency 2" xfId="38" xr:uid="{00000000-0005-0000-0000-000023010000}"/>
    <cellStyle name="Currency 2 2" xfId="566" xr:uid="{00000000-0005-0000-0000-000024010000}"/>
    <cellStyle name="Currency 2 3" xfId="725" xr:uid="{A509801C-85B5-48F0-B22A-9E357D35CD2D}"/>
    <cellStyle name="Currency 3" xfId="39" xr:uid="{00000000-0005-0000-0000-000025010000}"/>
    <cellStyle name="Currency 4" xfId="486" xr:uid="{00000000-0005-0000-0000-000026010000}"/>
    <cellStyle name="Currency 5" xfId="564" xr:uid="{00000000-0005-0000-0000-000027010000}"/>
    <cellStyle name="Currency 6" xfId="572" xr:uid="{00000000-0005-0000-0000-000028010000}"/>
    <cellStyle name="Currency 7" xfId="671" xr:uid="{00000000-0005-0000-0000-000029010000}"/>
    <cellStyle name="Currency0" xfId="408" xr:uid="{00000000-0005-0000-0000-00002A010000}"/>
    <cellStyle name="date" xfId="409" xr:uid="{00000000-0005-0000-0000-00002B010000}"/>
    <cellStyle name="default" xfId="410" xr:uid="{00000000-0005-0000-0000-00002C010000}"/>
    <cellStyle name="Dollar" xfId="40" xr:uid="{00000000-0005-0000-0000-00002D010000}"/>
    <cellStyle name="emp" xfId="411" xr:uid="{00000000-0005-0000-0000-00002E010000}"/>
    <cellStyle name="Explanatory Text 2" xfId="41" xr:uid="{00000000-0005-0000-0000-00002F010000}"/>
    <cellStyle name="External File Cells" xfId="412" xr:uid="{00000000-0005-0000-0000-000030010000}"/>
    <cellStyle name="Fit" xfId="413" xr:uid="{00000000-0005-0000-0000-000031010000}"/>
    <cellStyle name="Fixed" xfId="414" xr:uid="{00000000-0005-0000-0000-000032010000}"/>
    <cellStyle name="Footnotes" xfId="415" xr:uid="{00000000-0005-0000-0000-000033010000}"/>
    <cellStyle name="Forecast Cells" xfId="416" xr:uid="{00000000-0005-0000-0000-000034010000}"/>
    <cellStyle name="Fraction" xfId="42" xr:uid="{00000000-0005-0000-0000-000035010000}"/>
    <cellStyle name="G1_1999 figures" xfId="417" xr:uid="{00000000-0005-0000-0000-000036010000}"/>
    <cellStyle name="Good" xfId="163" builtinId="26"/>
    <cellStyle name="Good 2" xfId="43" xr:uid="{00000000-0005-0000-0000-000038010000}"/>
    <cellStyle name="H_1998_col_head" xfId="418" xr:uid="{00000000-0005-0000-0000-000039010000}"/>
    <cellStyle name="H_1999_col_head" xfId="419" xr:uid="{00000000-0005-0000-0000-00003A010000}"/>
    <cellStyle name="H1_1998 figures" xfId="420" xr:uid="{00000000-0005-0000-0000-00003B010000}"/>
    <cellStyle name="Header" xfId="44" xr:uid="{00000000-0005-0000-0000-00003C010000}"/>
    <cellStyle name="Heading" xfId="421" xr:uid="{00000000-0005-0000-0000-00003D010000}"/>
    <cellStyle name="Heading 1 2" xfId="45" xr:uid="{00000000-0005-0000-0000-00003E010000}"/>
    <cellStyle name="Heading 2 2" xfId="46" xr:uid="{00000000-0005-0000-0000-00003F010000}"/>
    <cellStyle name="Heading 3 2" xfId="47" xr:uid="{00000000-0005-0000-0000-000040010000}"/>
    <cellStyle name="Heading 4 2" xfId="48" xr:uid="{00000000-0005-0000-0000-000041010000}"/>
    <cellStyle name="Heading1" xfId="422" xr:uid="{00000000-0005-0000-0000-000042010000}"/>
    <cellStyle name="Hyperlink" xfId="479" builtinId="8"/>
    <cellStyle name="Input 2" xfId="49" xr:uid="{00000000-0005-0000-0000-000044010000}"/>
    <cellStyle name="Input Cells" xfId="423" xr:uid="{00000000-0005-0000-0000-000045010000}"/>
    <cellStyle name="Inputs" xfId="50" xr:uid="{00000000-0005-0000-0000-000046010000}"/>
    <cellStyle name="Item Descriptions" xfId="424" xr:uid="{00000000-0005-0000-0000-000047010000}"/>
    <cellStyle name="Line" xfId="425" xr:uid="{00000000-0005-0000-0000-000048010000}"/>
    <cellStyle name="Linked Cell 2" xfId="51" xr:uid="{00000000-0005-0000-0000-000049010000}"/>
    <cellStyle name="Mainhead" xfId="426" xr:uid="{00000000-0005-0000-0000-00004A010000}"/>
    <cellStyle name="Merrill" xfId="427" xr:uid="{00000000-0005-0000-0000-00004B010000}"/>
    <cellStyle name="Mix" xfId="428" xr:uid="{00000000-0005-0000-0000-00004C010000}"/>
    <cellStyle name="Monitor" xfId="429" xr:uid="{00000000-0005-0000-0000-00004D010000}"/>
    <cellStyle name="Multiple" xfId="430" xr:uid="{00000000-0005-0000-0000-00004E010000}"/>
    <cellStyle name="Name" xfId="52" xr:uid="{00000000-0005-0000-0000-00004F010000}"/>
    <cellStyle name="Neutral" xfId="165" builtinId="28"/>
    <cellStyle name="Neutral 2" xfId="53" xr:uid="{00000000-0005-0000-0000-000051010000}"/>
    <cellStyle name="NewAcct" xfId="54" xr:uid="{00000000-0005-0000-0000-000052010000}"/>
    <cellStyle name="Normal" xfId="0" builtinId="0"/>
    <cellStyle name="Normal - Style1" xfId="431" xr:uid="{00000000-0005-0000-0000-000054010000}"/>
    <cellStyle name="Normal 2" xfId="4" xr:uid="{00000000-0005-0000-0000-000055010000}"/>
    <cellStyle name="Normal 2 10" xfId="138" xr:uid="{00000000-0005-0000-0000-000056010000}"/>
    <cellStyle name="Normal 2 10 2" xfId="535" xr:uid="{00000000-0005-0000-0000-000057010000}"/>
    <cellStyle name="Normal 2 10 2 2" xfId="696" xr:uid="{00000000-0005-0000-0000-000058010000}"/>
    <cellStyle name="Normal 2 10 3" xfId="615" xr:uid="{00000000-0005-0000-0000-000059010000}"/>
    <cellStyle name="Normal 2 11" xfId="487" xr:uid="{00000000-0005-0000-0000-00005A010000}"/>
    <cellStyle name="Normal 2 11 2" xfId="672" xr:uid="{00000000-0005-0000-0000-00005B010000}"/>
    <cellStyle name="Normal 2 12" xfId="565" xr:uid="{00000000-0005-0000-0000-00005C010000}"/>
    <cellStyle name="Normal 2 2" xfId="9" xr:uid="{00000000-0005-0000-0000-00005D010000}"/>
    <cellStyle name="Normal 2 3" xfId="55" xr:uid="{00000000-0005-0000-0000-00005E010000}"/>
    <cellStyle name="Normal 2 3 2" xfId="56" xr:uid="{00000000-0005-0000-0000-00005F010000}"/>
    <cellStyle name="Normal 2 3 2 2" xfId="96" xr:uid="{00000000-0005-0000-0000-000060010000}"/>
    <cellStyle name="Normal 2 3 2 2 2" xfId="108" xr:uid="{00000000-0005-0000-0000-000061010000}"/>
    <cellStyle name="Normal 2 3 2 2 2 2" xfId="132" xr:uid="{00000000-0005-0000-0000-000062010000}"/>
    <cellStyle name="Normal 2 3 2 2 2 2 2" xfId="529" xr:uid="{00000000-0005-0000-0000-000063010000}"/>
    <cellStyle name="Normal 2 3 2 2 2 2 2 2" xfId="657" xr:uid="{00000000-0005-0000-0000-000064010000}"/>
    <cellStyle name="Normal 2 3 2 2 2 2 3" xfId="609" xr:uid="{00000000-0005-0000-0000-000065010000}"/>
    <cellStyle name="Normal 2 3 2 2 2 3" xfId="156" xr:uid="{00000000-0005-0000-0000-000066010000}"/>
    <cellStyle name="Normal 2 3 2 2 2 3 2" xfId="553" xr:uid="{00000000-0005-0000-0000-000067010000}"/>
    <cellStyle name="Normal 2 3 2 2 2 3 2 2" xfId="714" xr:uid="{00000000-0005-0000-0000-000068010000}"/>
    <cellStyle name="Normal 2 3 2 2 2 3 3" xfId="633" xr:uid="{00000000-0005-0000-0000-000069010000}"/>
    <cellStyle name="Normal 2 3 2 2 2 4" xfId="505" xr:uid="{00000000-0005-0000-0000-00006A010000}"/>
    <cellStyle name="Normal 2 3 2 2 2 4 2" xfId="690" xr:uid="{00000000-0005-0000-0000-00006B010000}"/>
    <cellStyle name="Normal 2 3 2 2 2 5" xfId="585" xr:uid="{00000000-0005-0000-0000-00006C010000}"/>
    <cellStyle name="Normal 2 3 2 2 3" xfId="129" xr:uid="{00000000-0005-0000-0000-00006D010000}"/>
    <cellStyle name="Normal 2 3 2 2 3 2" xfId="526" xr:uid="{00000000-0005-0000-0000-00006E010000}"/>
    <cellStyle name="Normal 2 3 2 2 3 2 2" xfId="654" xr:uid="{00000000-0005-0000-0000-00006F010000}"/>
    <cellStyle name="Normal 2 3 2 2 3 3" xfId="606" xr:uid="{00000000-0005-0000-0000-000070010000}"/>
    <cellStyle name="Normal 2 3 2 2 4" xfId="153" xr:uid="{00000000-0005-0000-0000-000071010000}"/>
    <cellStyle name="Normal 2 3 2 2 4 2" xfId="550" xr:uid="{00000000-0005-0000-0000-000072010000}"/>
    <cellStyle name="Normal 2 3 2 2 4 2 2" xfId="711" xr:uid="{00000000-0005-0000-0000-000073010000}"/>
    <cellStyle name="Normal 2 3 2 2 4 3" xfId="630" xr:uid="{00000000-0005-0000-0000-000074010000}"/>
    <cellStyle name="Normal 2 3 2 2 5" xfId="493" xr:uid="{00000000-0005-0000-0000-000075010000}"/>
    <cellStyle name="Normal 2 3 2 2 5 2" xfId="678" xr:uid="{00000000-0005-0000-0000-000076010000}"/>
    <cellStyle name="Normal 2 3 2 2 6" xfId="582" xr:uid="{00000000-0005-0000-0000-000077010000}"/>
    <cellStyle name="Normal 2 3 2 3" xfId="97" xr:uid="{00000000-0005-0000-0000-000078010000}"/>
    <cellStyle name="Normal 2 3 2 3 2" xfId="123" xr:uid="{00000000-0005-0000-0000-000079010000}"/>
    <cellStyle name="Normal 2 3 2 3 2 2" xfId="520" xr:uid="{00000000-0005-0000-0000-00007A010000}"/>
    <cellStyle name="Normal 2 3 2 3 2 2 2" xfId="648" xr:uid="{00000000-0005-0000-0000-00007B010000}"/>
    <cellStyle name="Normal 2 3 2 3 2 3" xfId="600" xr:uid="{00000000-0005-0000-0000-00007C010000}"/>
    <cellStyle name="Normal 2 3 2 3 3" xfId="147" xr:uid="{00000000-0005-0000-0000-00007D010000}"/>
    <cellStyle name="Normal 2 3 2 3 3 2" xfId="544" xr:uid="{00000000-0005-0000-0000-00007E010000}"/>
    <cellStyle name="Normal 2 3 2 3 3 2 2" xfId="705" xr:uid="{00000000-0005-0000-0000-00007F010000}"/>
    <cellStyle name="Normal 2 3 2 3 3 3" xfId="624" xr:uid="{00000000-0005-0000-0000-000080010000}"/>
    <cellStyle name="Normal 2 3 2 3 4" xfId="494" xr:uid="{00000000-0005-0000-0000-000081010000}"/>
    <cellStyle name="Normal 2 3 2 3 4 2" xfId="679" xr:uid="{00000000-0005-0000-0000-000082010000}"/>
    <cellStyle name="Normal 2 3 2 3 5" xfId="576" xr:uid="{00000000-0005-0000-0000-000083010000}"/>
    <cellStyle name="Normal 2 3 2 4" xfId="116" xr:uid="{00000000-0005-0000-0000-000084010000}"/>
    <cellStyle name="Normal 2 3 2 4 2" xfId="513" xr:uid="{00000000-0005-0000-0000-000085010000}"/>
    <cellStyle name="Normal 2 3 2 4 2 2" xfId="641" xr:uid="{00000000-0005-0000-0000-000086010000}"/>
    <cellStyle name="Normal 2 3 2 4 3" xfId="593" xr:uid="{00000000-0005-0000-0000-000087010000}"/>
    <cellStyle name="Normal 2 3 2 5" xfId="140" xr:uid="{00000000-0005-0000-0000-000088010000}"/>
    <cellStyle name="Normal 2 3 2 5 2" xfId="537" xr:uid="{00000000-0005-0000-0000-000089010000}"/>
    <cellStyle name="Normal 2 3 2 5 2 2" xfId="698" xr:uid="{00000000-0005-0000-0000-00008A010000}"/>
    <cellStyle name="Normal 2 3 2 5 3" xfId="617" xr:uid="{00000000-0005-0000-0000-00008B010000}"/>
    <cellStyle name="Normal 2 3 2 6" xfId="489" xr:uid="{00000000-0005-0000-0000-00008C010000}"/>
    <cellStyle name="Normal 2 3 2 6 2" xfId="674" xr:uid="{00000000-0005-0000-0000-00008D010000}"/>
    <cellStyle name="Normal 2 3 2 7" xfId="568" xr:uid="{00000000-0005-0000-0000-00008E010000}"/>
    <cellStyle name="Normal 2 3 3" xfId="57" xr:uid="{00000000-0005-0000-0000-00008F010000}"/>
    <cellStyle name="Normal 2 3 3 2" xfId="98" xr:uid="{00000000-0005-0000-0000-000090010000}"/>
    <cellStyle name="Normal 2 3 3 2 2" xfId="109" xr:uid="{00000000-0005-0000-0000-000091010000}"/>
    <cellStyle name="Normal 2 3 3 2 2 2" xfId="133" xr:uid="{00000000-0005-0000-0000-000092010000}"/>
    <cellStyle name="Normal 2 3 3 2 2 2 2" xfId="530" xr:uid="{00000000-0005-0000-0000-000093010000}"/>
    <cellStyle name="Normal 2 3 3 2 2 2 2 2" xfId="658" xr:uid="{00000000-0005-0000-0000-000094010000}"/>
    <cellStyle name="Normal 2 3 3 2 2 2 3" xfId="610" xr:uid="{00000000-0005-0000-0000-000095010000}"/>
    <cellStyle name="Normal 2 3 3 2 2 3" xfId="157" xr:uid="{00000000-0005-0000-0000-000096010000}"/>
    <cellStyle name="Normal 2 3 3 2 2 3 2" xfId="554" xr:uid="{00000000-0005-0000-0000-000097010000}"/>
    <cellStyle name="Normal 2 3 3 2 2 3 2 2" xfId="715" xr:uid="{00000000-0005-0000-0000-000098010000}"/>
    <cellStyle name="Normal 2 3 3 2 2 3 3" xfId="634" xr:uid="{00000000-0005-0000-0000-000099010000}"/>
    <cellStyle name="Normal 2 3 3 2 2 4" xfId="506" xr:uid="{00000000-0005-0000-0000-00009A010000}"/>
    <cellStyle name="Normal 2 3 3 2 2 4 2" xfId="691" xr:uid="{00000000-0005-0000-0000-00009B010000}"/>
    <cellStyle name="Normal 2 3 3 2 2 5" xfId="586" xr:uid="{00000000-0005-0000-0000-00009C010000}"/>
    <cellStyle name="Normal 2 3 3 2 3" xfId="131" xr:uid="{00000000-0005-0000-0000-00009D010000}"/>
    <cellStyle name="Normal 2 3 3 2 3 2" xfId="528" xr:uid="{00000000-0005-0000-0000-00009E010000}"/>
    <cellStyle name="Normal 2 3 3 2 3 2 2" xfId="656" xr:uid="{00000000-0005-0000-0000-00009F010000}"/>
    <cellStyle name="Normal 2 3 3 2 3 3" xfId="608" xr:uid="{00000000-0005-0000-0000-0000A0010000}"/>
    <cellStyle name="Normal 2 3 3 2 4" xfId="155" xr:uid="{00000000-0005-0000-0000-0000A1010000}"/>
    <cellStyle name="Normal 2 3 3 2 4 2" xfId="552" xr:uid="{00000000-0005-0000-0000-0000A2010000}"/>
    <cellStyle name="Normal 2 3 3 2 4 2 2" xfId="713" xr:uid="{00000000-0005-0000-0000-0000A3010000}"/>
    <cellStyle name="Normal 2 3 3 2 4 3" xfId="632" xr:uid="{00000000-0005-0000-0000-0000A4010000}"/>
    <cellStyle name="Normal 2 3 3 2 5" xfId="495" xr:uid="{00000000-0005-0000-0000-0000A5010000}"/>
    <cellStyle name="Normal 2 3 3 2 5 2" xfId="680" xr:uid="{00000000-0005-0000-0000-0000A6010000}"/>
    <cellStyle name="Normal 2 3 3 2 6" xfId="584" xr:uid="{00000000-0005-0000-0000-0000A7010000}"/>
    <cellStyle name="Normal 2 3 3 3" xfId="99" xr:uid="{00000000-0005-0000-0000-0000A8010000}"/>
    <cellStyle name="Normal 2 3 3 3 2" xfId="125" xr:uid="{00000000-0005-0000-0000-0000A9010000}"/>
    <cellStyle name="Normal 2 3 3 3 2 2" xfId="522" xr:uid="{00000000-0005-0000-0000-0000AA010000}"/>
    <cellStyle name="Normal 2 3 3 3 2 2 2" xfId="650" xr:uid="{00000000-0005-0000-0000-0000AB010000}"/>
    <cellStyle name="Normal 2 3 3 3 2 3" xfId="602" xr:uid="{00000000-0005-0000-0000-0000AC010000}"/>
    <cellStyle name="Normal 2 3 3 3 3" xfId="149" xr:uid="{00000000-0005-0000-0000-0000AD010000}"/>
    <cellStyle name="Normal 2 3 3 3 3 2" xfId="546" xr:uid="{00000000-0005-0000-0000-0000AE010000}"/>
    <cellStyle name="Normal 2 3 3 3 3 2 2" xfId="707" xr:uid="{00000000-0005-0000-0000-0000AF010000}"/>
    <cellStyle name="Normal 2 3 3 3 3 3" xfId="626" xr:uid="{00000000-0005-0000-0000-0000B0010000}"/>
    <cellStyle name="Normal 2 3 3 3 4" xfId="496" xr:uid="{00000000-0005-0000-0000-0000B1010000}"/>
    <cellStyle name="Normal 2 3 3 3 4 2" xfId="681" xr:uid="{00000000-0005-0000-0000-0000B2010000}"/>
    <cellStyle name="Normal 2 3 3 3 5" xfId="578" xr:uid="{00000000-0005-0000-0000-0000B3010000}"/>
    <cellStyle name="Normal 2 3 3 4" xfId="117" xr:uid="{00000000-0005-0000-0000-0000B4010000}"/>
    <cellStyle name="Normal 2 3 3 4 2" xfId="514" xr:uid="{00000000-0005-0000-0000-0000B5010000}"/>
    <cellStyle name="Normal 2 3 3 4 2 2" xfId="642" xr:uid="{00000000-0005-0000-0000-0000B6010000}"/>
    <cellStyle name="Normal 2 3 3 4 3" xfId="594" xr:uid="{00000000-0005-0000-0000-0000B7010000}"/>
    <cellStyle name="Normal 2 3 3 5" xfId="141" xr:uid="{00000000-0005-0000-0000-0000B8010000}"/>
    <cellStyle name="Normal 2 3 3 5 2" xfId="538" xr:uid="{00000000-0005-0000-0000-0000B9010000}"/>
    <cellStyle name="Normal 2 3 3 5 2 2" xfId="699" xr:uid="{00000000-0005-0000-0000-0000BA010000}"/>
    <cellStyle name="Normal 2 3 3 5 3" xfId="618" xr:uid="{00000000-0005-0000-0000-0000BB010000}"/>
    <cellStyle name="Normal 2 3 3 6" xfId="490" xr:uid="{00000000-0005-0000-0000-0000BC010000}"/>
    <cellStyle name="Normal 2 3 3 6 2" xfId="675" xr:uid="{00000000-0005-0000-0000-0000BD010000}"/>
    <cellStyle name="Normal 2 3 3 7" xfId="569" xr:uid="{00000000-0005-0000-0000-0000BE010000}"/>
    <cellStyle name="Normal 2 3 4" xfId="100" xr:uid="{00000000-0005-0000-0000-0000BF010000}"/>
    <cellStyle name="Normal 2 3 4 2" xfId="110" xr:uid="{00000000-0005-0000-0000-0000C0010000}"/>
    <cellStyle name="Normal 2 3 4 2 2" xfId="134" xr:uid="{00000000-0005-0000-0000-0000C1010000}"/>
    <cellStyle name="Normal 2 3 4 2 2 2" xfId="531" xr:uid="{00000000-0005-0000-0000-0000C2010000}"/>
    <cellStyle name="Normal 2 3 4 2 2 2 2" xfId="659" xr:uid="{00000000-0005-0000-0000-0000C3010000}"/>
    <cellStyle name="Normal 2 3 4 2 2 3" xfId="611" xr:uid="{00000000-0005-0000-0000-0000C4010000}"/>
    <cellStyle name="Normal 2 3 4 2 3" xfId="158" xr:uid="{00000000-0005-0000-0000-0000C5010000}"/>
    <cellStyle name="Normal 2 3 4 2 3 2" xfId="555" xr:uid="{00000000-0005-0000-0000-0000C6010000}"/>
    <cellStyle name="Normal 2 3 4 2 3 2 2" xfId="716" xr:uid="{00000000-0005-0000-0000-0000C7010000}"/>
    <cellStyle name="Normal 2 3 4 2 3 3" xfId="635" xr:uid="{00000000-0005-0000-0000-0000C8010000}"/>
    <cellStyle name="Normal 2 3 4 2 4" xfId="507" xr:uid="{00000000-0005-0000-0000-0000C9010000}"/>
    <cellStyle name="Normal 2 3 4 2 4 2" xfId="692" xr:uid="{00000000-0005-0000-0000-0000CA010000}"/>
    <cellStyle name="Normal 2 3 4 2 5" xfId="587" xr:uid="{00000000-0005-0000-0000-0000CB010000}"/>
    <cellStyle name="Normal 2 3 4 3" xfId="127" xr:uid="{00000000-0005-0000-0000-0000CC010000}"/>
    <cellStyle name="Normal 2 3 4 3 2" xfId="524" xr:uid="{00000000-0005-0000-0000-0000CD010000}"/>
    <cellStyle name="Normal 2 3 4 3 2 2" xfId="652" xr:uid="{00000000-0005-0000-0000-0000CE010000}"/>
    <cellStyle name="Normal 2 3 4 3 3" xfId="604" xr:uid="{00000000-0005-0000-0000-0000CF010000}"/>
    <cellStyle name="Normal 2 3 4 4" xfId="151" xr:uid="{00000000-0005-0000-0000-0000D0010000}"/>
    <cellStyle name="Normal 2 3 4 4 2" xfId="548" xr:uid="{00000000-0005-0000-0000-0000D1010000}"/>
    <cellStyle name="Normal 2 3 4 4 2 2" xfId="709" xr:uid="{00000000-0005-0000-0000-0000D2010000}"/>
    <cellStyle name="Normal 2 3 4 4 3" xfId="628" xr:uid="{00000000-0005-0000-0000-0000D3010000}"/>
    <cellStyle name="Normal 2 3 4 5" xfId="497" xr:uid="{00000000-0005-0000-0000-0000D4010000}"/>
    <cellStyle name="Normal 2 3 4 5 2" xfId="682" xr:uid="{00000000-0005-0000-0000-0000D5010000}"/>
    <cellStyle name="Normal 2 3 4 6" xfId="580" xr:uid="{00000000-0005-0000-0000-0000D6010000}"/>
    <cellStyle name="Normal 2 3 5" xfId="101" xr:uid="{00000000-0005-0000-0000-0000D7010000}"/>
    <cellStyle name="Normal 2 3 5 2" xfId="121" xr:uid="{00000000-0005-0000-0000-0000D8010000}"/>
    <cellStyle name="Normal 2 3 5 2 2" xfId="518" xr:uid="{00000000-0005-0000-0000-0000D9010000}"/>
    <cellStyle name="Normal 2 3 5 2 2 2" xfId="646" xr:uid="{00000000-0005-0000-0000-0000DA010000}"/>
    <cellStyle name="Normal 2 3 5 2 3" xfId="598" xr:uid="{00000000-0005-0000-0000-0000DB010000}"/>
    <cellStyle name="Normal 2 3 5 3" xfId="145" xr:uid="{00000000-0005-0000-0000-0000DC010000}"/>
    <cellStyle name="Normal 2 3 5 3 2" xfId="542" xr:uid="{00000000-0005-0000-0000-0000DD010000}"/>
    <cellStyle name="Normal 2 3 5 3 2 2" xfId="703" xr:uid="{00000000-0005-0000-0000-0000DE010000}"/>
    <cellStyle name="Normal 2 3 5 3 3" xfId="622" xr:uid="{00000000-0005-0000-0000-0000DF010000}"/>
    <cellStyle name="Normal 2 3 5 4" xfId="498" xr:uid="{00000000-0005-0000-0000-0000E0010000}"/>
    <cellStyle name="Normal 2 3 5 4 2" xfId="683" xr:uid="{00000000-0005-0000-0000-0000E1010000}"/>
    <cellStyle name="Normal 2 3 5 5" xfId="574" xr:uid="{00000000-0005-0000-0000-0000E2010000}"/>
    <cellStyle name="Normal 2 3 6" xfId="115" xr:uid="{00000000-0005-0000-0000-0000E3010000}"/>
    <cellStyle name="Normal 2 3 6 2" xfId="512" xr:uid="{00000000-0005-0000-0000-0000E4010000}"/>
    <cellStyle name="Normal 2 3 6 2 2" xfId="640" xr:uid="{00000000-0005-0000-0000-0000E5010000}"/>
    <cellStyle name="Normal 2 3 6 3" xfId="592" xr:uid="{00000000-0005-0000-0000-0000E6010000}"/>
    <cellStyle name="Normal 2 3 7" xfId="139" xr:uid="{00000000-0005-0000-0000-0000E7010000}"/>
    <cellStyle name="Normal 2 3 7 2" xfId="536" xr:uid="{00000000-0005-0000-0000-0000E8010000}"/>
    <cellStyle name="Normal 2 3 7 2 2" xfId="697" xr:uid="{00000000-0005-0000-0000-0000E9010000}"/>
    <cellStyle name="Normal 2 3 7 3" xfId="616" xr:uid="{00000000-0005-0000-0000-0000EA010000}"/>
    <cellStyle name="Normal 2 3 8" xfId="488" xr:uid="{00000000-0005-0000-0000-0000EB010000}"/>
    <cellStyle name="Normal 2 3 8 2" xfId="673" xr:uid="{00000000-0005-0000-0000-0000EC010000}"/>
    <cellStyle name="Normal 2 3 9" xfId="567" xr:uid="{00000000-0005-0000-0000-0000ED010000}"/>
    <cellStyle name="Normal 2 4" xfId="58" xr:uid="{00000000-0005-0000-0000-0000EE010000}"/>
    <cellStyle name="Normal 2 4 2" xfId="102" xr:uid="{00000000-0005-0000-0000-0000EF010000}"/>
    <cellStyle name="Normal 2 4 2 2" xfId="111" xr:uid="{00000000-0005-0000-0000-0000F0010000}"/>
    <cellStyle name="Normal 2 4 2 2 2" xfId="135" xr:uid="{00000000-0005-0000-0000-0000F1010000}"/>
    <cellStyle name="Normal 2 4 2 2 2 2" xfId="532" xr:uid="{00000000-0005-0000-0000-0000F2010000}"/>
    <cellStyle name="Normal 2 4 2 2 2 2 2" xfId="660" xr:uid="{00000000-0005-0000-0000-0000F3010000}"/>
    <cellStyle name="Normal 2 4 2 2 2 3" xfId="612" xr:uid="{00000000-0005-0000-0000-0000F4010000}"/>
    <cellStyle name="Normal 2 4 2 2 3" xfId="159" xr:uid="{00000000-0005-0000-0000-0000F5010000}"/>
    <cellStyle name="Normal 2 4 2 2 3 2" xfId="556" xr:uid="{00000000-0005-0000-0000-0000F6010000}"/>
    <cellStyle name="Normal 2 4 2 2 3 2 2" xfId="717" xr:uid="{00000000-0005-0000-0000-0000F7010000}"/>
    <cellStyle name="Normal 2 4 2 2 3 3" xfId="636" xr:uid="{00000000-0005-0000-0000-0000F8010000}"/>
    <cellStyle name="Normal 2 4 2 2 4" xfId="508" xr:uid="{00000000-0005-0000-0000-0000F9010000}"/>
    <cellStyle name="Normal 2 4 2 2 4 2" xfId="693" xr:uid="{00000000-0005-0000-0000-0000FA010000}"/>
    <cellStyle name="Normal 2 4 2 2 5" xfId="588" xr:uid="{00000000-0005-0000-0000-0000FB010000}"/>
    <cellStyle name="Normal 2 4 2 3" xfId="128" xr:uid="{00000000-0005-0000-0000-0000FC010000}"/>
    <cellStyle name="Normal 2 4 2 3 2" xfId="525" xr:uid="{00000000-0005-0000-0000-0000FD010000}"/>
    <cellStyle name="Normal 2 4 2 3 2 2" xfId="653" xr:uid="{00000000-0005-0000-0000-0000FE010000}"/>
    <cellStyle name="Normal 2 4 2 3 3" xfId="605" xr:uid="{00000000-0005-0000-0000-0000FF010000}"/>
    <cellStyle name="Normal 2 4 2 4" xfId="152" xr:uid="{00000000-0005-0000-0000-000000020000}"/>
    <cellStyle name="Normal 2 4 2 4 2" xfId="549" xr:uid="{00000000-0005-0000-0000-000001020000}"/>
    <cellStyle name="Normal 2 4 2 4 2 2" xfId="710" xr:uid="{00000000-0005-0000-0000-000002020000}"/>
    <cellStyle name="Normal 2 4 2 4 3" xfId="629" xr:uid="{00000000-0005-0000-0000-000003020000}"/>
    <cellStyle name="Normal 2 4 2 5" xfId="499" xr:uid="{00000000-0005-0000-0000-000004020000}"/>
    <cellStyle name="Normal 2 4 2 5 2" xfId="684" xr:uid="{00000000-0005-0000-0000-000005020000}"/>
    <cellStyle name="Normal 2 4 2 6" xfId="581" xr:uid="{00000000-0005-0000-0000-000006020000}"/>
    <cellStyle name="Normal 2 4 3" xfId="103" xr:uid="{00000000-0005-0000-0000-000007020000}"/>
    <cellStyle name="Normal 2 4 3 2" xfId="122" xr:uid="{00000000-0005-0000-0000-000008020000}"/>
    <cellStyle name="Normal 2 4 3 2 2" xfId="519" xr:uid="{00000000-0005-0000-0000-000009020000}"/>
    <cellStyle name="Normal 2 4 3 2 2 2" xfId="647" xr:uid="{00000000-0005-0000-0000-00000A020000}"/>
    <cellStyle name="Normal 2 4 3 2 3" xfId="599" xr:uid="{00000000-0005-0000-0000-00000B020000}"/>
    <cellStyle name="Normal 2 4 3 3" xfId="146" xr:uid="{00000000-0005-0000-0000-00000C020000}"/>
    <cellStyle name="Normal 2 4 3 3 2" xfId="543" xr:uid="{00000000-0005-0000-0000-00000D020000}"/>
    <cellStyle name="Normal 2 4 3 3 2 2" xfId="704" xr:uid="{00000000-0005-0000-0000-00000E020000}"/>
    <cellStyle name="Normal 2 4 3 3 3" xfId="623" xr:uid="{00000000-0005-0000-0000-00000F020000}"/>
    <cellStyle name="Normal 2 4 3 4" xfId="500" xr:uid="{00000000-0005-0000-0000-000010020000}"/>
    <cellStyle name="Normal 2 4 3 4 2" xfId="685" xr:uid="{00000000-0005-0000-0000-000011020000}"/>
    <cellStyle name="Normal 2 4 3 5" xfId="575" xr:uid="{00000000-0005-0000-0000-000012020000}"/>
    <cellStyle name="Normal 2 4 4" xfId="118" xr:uid="{00000000-0005-0000-0000-000013020000}"/>
    <cellStyle name="Normal 2 4 4 2" xfId="515" xr:uid="{00000000-0005-0000-0000-000014020000}"/>
    <cellStyle name="Normal 2 4 4 2 2" xfId="643" xr:uid="{00000000-0005-0000-0000-000015020000}"/>
    <cellStyle name="Normal 2 4 4 3" xfId="595" xr:uid="{00000000-0005-0000-0000-000016020000}"/>
    <cellStyle name="Normal 2 4 5" xfId="142" xr:uid="{00000000-0005-0000-0000-000017020000}"/>
    <cellStyle name="Normal 2 4 5 2" xfId="539" xr:uid="{00000000-0005-0000-0000-000018020000}"/>
    <cellStyle name="Normal 2 4 5 2 2" xfId="700" xr:uid="{00000000-0005-0000-0000-000019020000}"/>
    <cellStyle name="Normal 2 4 5 3" xfId="619" xr:uid="{00000000-0005-0000-0000-00001A020000}"/>
    <cellStyle name="Normal 2 4 6" xfId="491" xr:uid="{00000000-0005-0000-0000-00001B020000}"/>
    <cellStyle name="Normal 2 4 6 2" xfId="676" xr:uid="{00000000-0005-0000-0000-00001C020000}"/>
    <cellStyle name="Normal 2 4 7" xfId="570" xr:uid="{00000000-0005-0000-0000-00001D020000}"/>
    <cellStyle name="Normal 2 5" xfId="59" xr:uid="{00000000-0005-0000-0000-00001E020000}"/>
    <cellStyle name="Normal 2 5 2" xfId="104" xr:uid="{00000000-0005-0000-0000-00001F020000}"/>
    <cellStyle name="Normal 2 5 2 2" xfId="112" xr:uid="{00000000-0005-0000-0000-000020020000}"/>
    <cellStyle name="Normal 2 5 2 2 2" xfId="136" xr:uid="{00000000-0005-0000-0000-000021020000}"/>
    <cellStyle name="Normal 2 5 2 2 2 2" xfId="533" xr:uid="{00000000-0005-0000-0000-000022020000}"/>
    <cellStyle name="Normal 2 5 2 2 2 2 2" xfId="661" xr:uid="{00000000-0005-0000-0000-000023020000}"/>
    <cellStyle name="Normal 2 5 2 2 2 3" xfId="613" xr:uid="{00000000-0005-0000-0000-000024020000}"/>
    <cellStyle name="Normal 2 5 2 2 3" xfId="160" xr:uid="{00000000-0005-0000-0000-000025020000}"/>
    <cellStyle name="Normal 2 5 2 2 3 2" xfId="557" xr:uid="{00000000-0005-0000-0000-000026020000}"/>
    <cellStyle name="Normal 2 5 2 2 3 2 2" xfId="718" xr:uid="{00000000-0005-0000-0000-000027020000}"/>
    <cellStyle name="Normal 2 5 2 2 3 3" xfId="637" xr:uid="{00000000-0005-0000-0000-000028020000}"/>
    <cellStyle name="Normal 2 5 2 2 4" xfId="509" xr:uid="{00000000-0005-0000-0000-000029020000}"/>
    <cellStyle name="Normal 2 5 2 2 4 2" xfId="694" xr:uid="{00000000-0005-0000-0000-00002A020000}"/>
    <cellStyle name="Normal 2 5 2 2 5" xfId="589" xr:uid="{00000000-0005-0000-0000-00002B020000}"/>
    <cellStyle name="Normal 2 5 2 3" xfId="130" xr:uid="{00000000-0005-0000-0000-00002C020000}"/>
    <cellStyle name="Normal 2 5 2 3 2" xfId="527" xr:uid="{00000000-0005-0000-0000-00002D020000}"/>
    <cellStyle name="Normal 2 5 2 3 2 2" xfId="655" xr:uid="{00000000-0005-0000-0000-00002E020000}"/>
    <cellStyle name="Normal 2 5 2 3 3" xfId="607" xr:uid="{00000000-0005-0000-0000-00002F020000}"/>
    <cellStyle name="Normal 2 5 2 4" xfId="154" xr:uid="{00000000-0005-0000-0000-000030020000}"/>
    <cellStyle name="Normal 2 5 2 4 2" xfId="551" xr:uid="{00000000-0005-0000-0000-000031020000}"/>
    <cellStyle name="Normal 2 5 2 4 2 2" xfId="712" xr:uid="{00000000-0005-0000-0000-000032020000}"/>
    <cellStyle name="Normal 2 5 2 4 3" xfId="631" xr:uid="{00000000-0005-0000-0000-000033020000}"/>
    <cellStyle name="Normal 2 5 2 5" xfId="501" xr:uid="{00000000-0005-0000-0000-000034020000}"/>
    <cellStyle name="Normal 2 5 2 5 2" xfId="686" xr:uid="{00000000-0005-0000-0000-000035020000}"/>
    <cellStyle name="Normal 2 5 2 6" xfId="583" xr:uid="{00000000-0005-0000-0000-000036020000}"/>
    <cellStyle name="Normal 2 5 3" xfId="105" xr:uid="{00000000-0005-0000-0000-000037020000}"/>
    <cellStyle name="Normal 2 5 3 2" xfId="124" xr:uid="{00000000-0005-0000-0000-000038020000}"/>
    <cellStyle name="Normal 2 5 3 2 2" xfId="521" xr:uid="{00000000-0005-0000-0000-000039020000}"/>
    <cellStyle name="Normal 2 5 3 2 2 2" xfId="649" xr:uid="{00000000-0005-0000-0000-00003A020000}"/>
    <cellStyle name="Normal 2 5 3 2 3" xfId="601" xr:uid="{00000000-0005-0000-0000-00003B020000}"/>
    <cellStyle name="Normal 2 5 3 3" xfId="148" xr:uid="{00000000-0005-0000-0000-00003C020000}"/>
    <cellStyle name="Normal 2 5 3 3 2" xfId="545" xr:uid="{00000000-0005-0000-0000-00003D020000}"/>
    <cellStyle name="Normal 2 5 3 3 2 2" xfId="706" xr:uid="{00000000-0005-0000-0000-00003E020000}"/>
    <cellStyle name="Normal 2 5 3 3 3" xfId="625" xr:uid="{00000000-0005-0000-0000-00003F020000}"/>
    <cellStyle name="Normal 2 5 3 4" xfId="502" xr:uid="{00000000-0005-0000-0000-000040020000}"/>
    <cellStyle name="Normal 2 5 3 4 2" xfId="687" xr:uid="{00000000-0005-0000-0000-000041020000}"/>
    <cellStyle name="Normal 2 5 3 5" xfId="577" xr:uid="{00000000-0005-0000-0000-000042020000}"/>
    <cellStyle name="Normal 2 5 4" xfId="119" xr:uid="{00000000-0005-0000-0000-000043020000}"/>
    <cellStyle name="Normal 2 5 4 2" xfId="516" xr:uid="{00000000-0005-0000-0000-000044020000}"/>
    <cellStyle name="Normal 2 5 4 2 2" xfId="644" xr:uid="{00000000-0005-0000-0000-000045020000}"/>
    <cellStyle name="Normal 2 5 4 3" xfId="596" xr:uid="{00000000-0005-0000-0000-000046020000}"/>
    <cellStyle name="Normal 2 5 5" xfId="143" xr:uid="{00000000-0005-0000-0000-000047020000}"/>
    <cellStyle name="Normal 2 5 5 2" xfId="540" xr:uid="{00000000-0005-0000-0000-000048020000}"/>
    <cellStyle name="Normal 2 5 5 2 2" xfId="701" xr:uid="{00000000-0005-0000-0000-000049020000}"/>
    <cellStyle name="Normal 2 5 5 3" xfId="620" xr:uid="{00000000-0005-0000-0000-00004A020000}"/>
    <cellStyle name="Normal 2 5 6" xfId="492" xr:uid="{00000000-0005-0000-0000-00004B020000}"/>
    <cellStyle name="Normal 2 5 6 2" xfId="677" xr:uid="{00000000-0005-0000-0000-00004C020000}"/>
    <cellStyle name="Normal 2 5 7" xfId="571" xr:uid="{00000000-0005-0000-0000-00004D020000}"/>
    <cellStyle name="Normal 2 6" xfId="60" xr:uid="{00000000-0005-0000-0000-00004E020000}"/>
    <cellStyle name="Normal 2 7" xfId="106" xr:uid="{00000000-0005-0000-0000-00004F020000}"/>
    <cellStyle name="Normal 2 7 2" xfId="113" xr:uid="{00000000-0005-0000-0000-000050020000}"/>
    <cellStyle name="Normal 2 7 2 2" xfId="137" xr:uid="{00000000-0005-0000-0000-000051020000}"/>
    <cellStyle name="Normal 2 7 2 2 2" xfId="534" xr:uid="{00000000-0005-0000-0000-000052020000}"/>
    <cellStyle name="Normal 2 7 2 2 2 2" xfId="662" xr:uid="{00000000-0005-0000-0000-000053020000}"/>
    <cellStyle name="Normal 2 7 2 2 3" xfId="614" xr:uid="{00000000-0005-0000-0000-000054020000}"/>
    <cellStyle name="Normal 2 7 2 3" xfId="161" xr:uid="{00000000-0005-0000-0000-000055020000}"/>
    <cellStyle name="Normal 2 7 2 3 2" xfId="558" xr:uid="{00000000-0005-0000-0000-000056020000}"/>
    <cellStyle name="Normal 2 7 2 3 2 2" xfId="719" xr:uid="{00000000-0005-0000-0000-000057020000}"/>
    <cellStyle name="Normal 2 7 2 3 3" xfId="638" xr:uid="{00000000-0005-0000-0000-000058020000}"/>
    <cellStyle name="Normal 2 7 2 4" xfId="510" xr:uid="{00000000-0005-0000-0000-000059020000}"/>
    <cellStyle name="Normal 2 7 2 4 2" xfId="695" xr:uid="{00000000-0005-0000-0000-00005A020000}"/>
    <cellStyle name="Normal 2 7 2 5" xfId="590" xr:uid="{00000000-0005-0000-0000-00005B020000}"/>
    <cellStyle name="Normal 2 7 3" xfId="126" xr:uid="{00000000-0005-0000-0000-00005C020000}"/>
    <cellStyle name="Normal 2 7 3 2" xfId="523" xr:uid="{00000000-0005-0000-0000-00005D020000}"/>
    <cellStyle name="Normal 2 7 3 2 2" xfId="651" xr:uid="{00000000-0005-0000-0000-00005E020000}"/>
    <cellStyle name="Normal 2 7 3 3" xfId="603" xr:uid="{00000000-0005-0000-0000-00005F020000}"/>
    <cellStyle name="Normal 2 7 4" xfId="150" xr:uid="{00000000-0005-0000-0000-000060020000}"/>
    <cellStyle name="Normal 2 7 4 2" xfId="547" xr:uid="{00000000-0005-0000-0000-000061020000}"/>
    <cellStyle name="Normal 2 7 4 2 2" xfId="708" xr:uid="{00000000-0005-0000-0000-000062020000}"/>
    <cellStyle name="Normal 2 7 4 3" xfId="627" xr:uid="{00000000-0005-0000-0000-000063020000}"/>
    <cellStyle name="Normal 2 7 5" xfId="503" xr:uid="{00000000-0005-0000-0000-000064020000}"/>
    <cellStyle name="Normal 2 7 5 2" xfId="688" xr:uid="{00000000-0005-0000-0000-000065020000}"/>
    <cellStyle name="Normal 2 7 6" xfId="579" xr:uid="{00000000-0005-0000-0000-000066020000}"/>
    <cellStyle name="Normal 2 8" xfId="107" xr:uid="{00000000-0005-0000-0000-000067020000}"/>
    <cellStyle name="Normal 2 8 2" xfId="120" xr:uid="{00000000-0005-0000-0000-000068020000}"/>
    <cellStyle name="Normal 2 8 2 2" xfId="517" xr:uid="{00000000-0005-0000-0000-000069020000}"/>
    <cellStyle name="Normal 2 8 2 2 2" xfId="645" xr:uid="{00000000-0005-0000-0000-00006A020000}"/>
    <cellStyle name="Normal 2 8 2 3" xfId="597" xr:uid="{00000000-0005-0000-0000-00006B020000}"/>
    <cellStyle name="Normal 2 8 3" xfId="144" xr:uid="{00000000-0005-0000-0000-00006C020000}"/>
    <cellStyle name="Normal 2 8 3 2" xfId="541" xr:uid="{00000000-0005-0000-0000-00006D020000}"/>
    <cellStyle name="Normal 2 8 3 2 2" xfId="702" xr:uid="{00000000-0005-0000-0000-00006E020000}"/>
    <cellStyle name="Normal 2 8 3 3" xfId="621" xr:uid="{00000000-0005-0000-0000-00006F020000}"/>
    <cellStyle name="Normal 2 8 4" xfId="504" xr:uid="{00000000-0005-0000-0000-000070020000}"/>
    <cellStyle name="Normal 2 8 4 2" xfId="689" xr:uid="{00000000-0005-0000-0000-000071020000}"/>
    <cellStyle name="Normal 2 8 5" xfId="573" xr:uid="{00000000-0005-0000-0000-000072020000}"/>
    <cellStyle name="Normal 2 9" xfId="114" xr:uid="{00000000-0005-0000-0000-000073020000}"/>
    <cellStyle name="Normal 2 9 2" xfId="511" xr:uid="{00000000-0005-0000-0000-000074020000}"/>
    <cellStyle name="Normal 2 9 2 2" xfId="639" xr:uid="{00000000-0005-0000-0000-000075020000}"/>
    <cellStyle name="Normal 2 9 3" xfId="591" xr:uid="{00000000-0005-0000-0000-000076020000}"/>
    <cellStyle name="Normal 3" xfId="6" xr:uid="{00000000-0005-0000-0000-000077020000}"/>
    <cellStyle name="Normal 4" xfId="61" xr:uid="{00000000-0005-0000-0000-000078020000}"/>
    <cellStyle name="Normal 5" xfId="167" xr:uid="{00000000-0005-0000-0000-000079020000}"/>
    <cellStyle name="Normal 5 2" xfId="559" xr:uid="{00000000-0005-0000-0000-00007A020000}"/>
    <cellStyle name="Normal 5 2 2" xfId="720" xr:uid="{00000000-0005-0000-0000-00007B020000}"/>
    <cellStyle name="Normal 5 3" xfId="663" xr:uid="{00000000-0005-0000-0000-00007C020000}"/>
    <cellStyle name="Normal 6" xfId="485" xr:uid="{00000000-0005-0000-0000-00007D020000}"/>
    <cellStyle name="Normal 6 2" xfId="670" xr:uid="{00000000-0005-0000-0000-00007E020000}"/>
    <cellStyle name="Normal 7" xfId="562" xr:uid="{00000000-0005-0000-0000-00007F020000}"/>
    <cellStyle name="Normal 7 2" xfId="723" xr:uid="{00000000-0005-0000-0000-000080020000}"/>
    <cellStyle name="Normal 8" xfId="667" xr:uid="{00000000-0005-0000-0000-000081020000}"/>
    <cellStyle name="Normal Cells" xfId="432" xr:uid="{00000000-0005-0000-0000-000082020000}"/>
    <cellStyle name="Normal_BOBEARN" xfId="481" xr:uid="{00000000-0005-0000-0000-000083020000}"/>
    <cellStyle name="Normal_CBA Change in Segments" xfId="162" xr:uid="{00000000-0005-0000-0000-000084020000}"/>
    <cellStyle name="Normal_GSANZMigration" xfId="5" xr:uid="{00000000-0005-0000-0000-000085020000}"/>
    <cellStyle name="Normal_Hdbknew" xfId="480" xr:uid="{00000000-0005-0000-0000-000086020000}"/>
    <cellStyle name="Normal_Sector_Summary_Pack_Eur" xfId="724" xr:uid="{00000000-0005-0000-0000-000087020000}"/>
    <cellStyle name="Note 2" xfId="62" xr:uid="{00000000-0005-0000-0000-000088020000}"/>
    <cellStyle name="Number" xfId="63" xr:uid="{00000000-0005-0000-0000-000089020000}"/>
    <cellStyle name="Numbers" xfId="433" xr:uid="{00000000-0005-0000-0000-00008A020000}"/>
    <cellStyle name="Numbers - Bold" xfId="434" xr:uid="{00000000-0005-0000-0000-00008B020000}"/>
    <cellStyle name="Numbers - Bold - Italic" xfId="435" xr:uid="{00000000-0005-0000-0000-00008C020000}"/>
    <cellStyle name="Numbers - Bold_Blend" xfId="436" xr:uid="{00000000-0005-0000-0000-00008D020000}"/>
    <cellStyle name="Numbers - Large" xfId="437" xr:uid="{00000000-0005-0000-0000-00008E020000}"/>
    <cellStyle name="Numbers_Comps" xfId="438" xr:uid="{00000000-0005-0000-0000-00008F020000}"/>
    <cellStyle name="OSW_ColumnLabels" xfId="439" xr:uid="{00000000-0005-0000-0000-000090020000}"/>
    <cellStyle name="Output" xfId="166" builtinId="21"/>
    <cellStyle name="Output 2" xfId="64" xr:uid="{00000000-0005-0000-0000-000092020000}"/>
    <cellStyle name="Page" xfId="440" xr:uid="{00000000-0005-0000-0000-000093020000}"/>
    <cellStyle name="Page header" xfId="441" xr:uid="{00000000-0005-0000-0000-000094020000}"/>
    <cellStyle name="Percent" xfId="3" builtinId="5"/>
    <cellStyle name="Percent 2" xfId="7" xr:uid="{00000000-0005-0000-0000-000096020000}"/>
    <cellStyle name="Percent 3" xfId="65" xr:uid="{00000000-0005-0000-0000-000097020000}"/>
    <cellStyle name="Percent 4" xfId="66" xr:uid="{00000000-0005-0000-0000-000098020000}"/>
    <cellStyle name="Percent 5" xfId="484" xr:uid="{00000000-0005-0000-0000-000099020000}"/>
    <cellStyle name="Percent 5 2" xfId="561" xr:uid="{00000000-0005-0000-0000-00009A020000}"/>
    <cellStyle name="Percent 5 2 2" xfId="722" xr:uid="{00000000-0005-0000-0000-00009B020000}"/>
    <cellStyle name="Percent 5 3" xfId="669" xr:uid="{00000000-0005-0000-0000-00009C020000}"/>
    <cellStyle name="Percentage" xfId="442" xr:uid="{00000000-0005-0000-0000-00009D020000}"/>
    <cellStyle name="PlainDollar" xfId="67" xr:uid="{00000000-0005-0000-0000-00009E020000}"/>
    <cellStyle name="Price" xfId="443" xr:uid="{00000000-0005-0000-0000-00009F020000}"/>
    <cellStyle name="Price 2" xfId="665" xr:uid="{00000000-0005-0000-0000-0000A0020000}"/>
    <cellStyle name="prot" xfId="444" xr:uid="{00000000-0005-0000-0000-0000A1020000}"/>
    <cellStyle name="Punto" xfId="445" xr:uid="{00000000-0005-0000-0000-0000A2020000}"/>
    <cellStyle name="r" xfId="446" xr:uid="{00000000-0005-0000-0000-0000A3020000}"/>
    <cellStyle name="Reuters Cells" xfId="447" xr:uid="{00000000-0005-0000-0000-0000A4020000}"/>
    <cellStyle name="s" xfId="448" xr:uid="{00000000-0005-0000-0000-0000A5020000}"/>
    <cellStyle name="ShadedCells_Database" xfId="449" xr:uid="{00000000-0005-0000-0000-0000A6020000}"/>
    <cellStyle name="Sheet Title" xfId="450" xr:uid="{00000000-0005-0000-0000-0000A7020000}"/>
    <cellStyle name="ShOut" xfId="451" xr:uid="{00000000-0005-0000-0000-0000A8020000}"/>
    <cellStyle name="SSComma0" xfId="68" xr:uid="{00000000-0005-0000-0000-0000A9020000}"/>
    <cellStyle name="SSComma0 2" xfId="69" xr:uid="{00000000-0005-0000-0000-0000AA020000}"/>
    <cellStyle name="SSComma2" xfId="70" xr:uid="{00000000-0005-0000-0000-0000AB020000}"/>
    <cellStyle name="SSComma2 2" xfId="71" xr:uid="{00000000-0005-0000-0000-0000AC020000}"/>
    <cellStyle name="SSDecs3" xfId="72" xr:uid="{00000000-0005-0000-0000-0000AD020000}"/>
    <cellStyle name="SSDflt" xfId="73" xr:uid="{00000000-0005-0000-0000-0000AE020000}"/>
    <cellStyle name="SSDfltPct" xfId="74" xr:uid="{00000000-0005-0000-0000-0000AF020000}"/>
    <cellStyle name="SSDfltPct 2" xfId="75" xr:uid="{00000000-0005-0000-0000-0000B0020000}"/>
    <cellStyle name="SSDfltPct0" xfId="76" xr:uid="{00000000-0005-0000-0000-0000B1020000}"/>
    <cellStyle name="SSDfltPct0 2" xfId="77" xr:uid="{00000000-0005-0000-0000-0000B2020000}"/>
    <cellStyle name="SSFixed2" xfId="78" xr:uid="{00000000-0005-0000-0000-0000B3020000}"/>
    <cellStyle name="SSFixed2 2" xfId="79" xr:uid="{00000000-0005-0000-0000-0000B4020000}"/>
    <cellStyle name="Style 1" xfId="452" xr:uid="{00000000-0005-0000-0000-0000B5020000}"/>
    <cellStyle name="Style 2" xfId="453" xr:uid="{00000000-0005-0000-0000-0000B6020000}"/>
    <cellStyle name="Style 3" xfId="454" xr:uid="{00000000-0005-0000-0000-0000B7020000}"/>
    <cellStyle name="Style D green" xfId="455" xr:uid="{00000000-0005-0000-0000-0000B8020000}"/>
    <cellStyle name="Style E" xfId="456" xr:uid="{00000000-0005-0000-0000-0000B9020000}"/>
    <cellStyle name="Style H" xfId="457" xr:uid="{00000000-0005-0000-0000-0000BA020000}"/>
    <cellStyle name="Sub total" xfId="458" xr:uid="{00000000-0005-0000-0000-0000BB020000}"/>
    <cellStyle name="Sum" xfId="459" xr:uid="{00000000-0005-0000-0000-0000BC020000}"/>
    <cellStyle name="Sum 2" xfId="666" xr:uid="{00000000-0005-0000-0000-0000BD020000}"/>
    <cellStyle name="Swiss" xfId="460" xr:uid="{00000000-0005-0000-0000-0000BE020000}"/>
    <cellStyle name="t" xfId="461" xr:uid="{00000000-0005-0000-0000-0000BF020000}"/>
    <cellStyle name="Table end" xfId="462" xr:uid="{00000000-0005-0000-0000-0000C0020000}"/>
    <cellStyle name="Table head" xfId="463" xr:uid="{00000000-0005-0000-0000-0000C1020000}"/>
    <cellStyle name="table text bold" xfId="464" xr:uid="{00000000-0005-0000-0000-0000C2020000}"/>
    <cellStyle name="table text bold green" xfId="465" xr:uid="{00000000-0005-0000-0000-0000C3020000}"/>
    <cellStyle name="table text light" xfId="466" xr:uid="{00000000-0005-0000-0000-0000C4020000}"/>
    <cellStyle name="Table Title" xfId="467" xr:uid="{00000000-0005-0000-0000-0000C5020000}"/>
    <cellStyle name="Table Units" xfId="468" xr:uid="{00000000-0005-0000-0000-0000C6020000}"/>
    <cellStyle name="Time" xfId="469" xr:uid="{00000000-0005-0000-0000-0000C7020000}"/>
    <cellStyle name="Title - PROJECT" xfId="470" xr:uid="{00000000-0005-0000-0000-0000C8020000}"/>
    <cellStyle name="Title - Underline" xfId="471" xr:uid="{00000000-0005-0000-0000-0000C9020000}"/>
    <cellStyle name="Title 2" xfId="80" xr:uid="{00000000-0005-0000-0000-0000CA020000}"/>
    <cellStyle name="Title1" xfId="472" xr:uid="{00000000-0005-0000-0000-0000CB020000}"/>
    <cellStyle name="Title2" xfId="473" xr:uid="{00000000-0005-0000-0000-0000CC020000}"/>
    <cellStyle name="Titles - Col. Headings" xfId="474" xr:uid="{00000000-0005-0000-0000-0000CD020000}"/>
    <cellStyle name="Titles - Other" xfId="475" xr:uid="{00000000-0005-0000-0000-0000CE020000}"/>
    <cellStyle name="Total 2" xfId="81" xr:uid="{00000000-0005-0000-0000-0000CF020000}"/>
    <cellStyle name="UnderLine" xfId="82" xr:uid="{00000000-0005-0000-0000-0000D0020000}"/>
    <cellStyle name="unm" xfId="476" xr:uid="{00000000-0005-0000-0000-0000D1020000}"/>
    <cellStyle name="Warning Text 2" xfId="83" xr:uid="{00000000-0005-0000-0000-0000D2020000}"/>
    <cellStyle name="Year" xfId="477" xr:uid="{00000000-0005-0000-0000-0000D3020000}"/>
    <cellStyle name="Years" xfId="478" xr:uid="{00000000-0005-0000-0000-0000D4020000}"/>
  </cellStyles>
  <dxfs count="1">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5E76AA"/>
      <rgbColor rgb="00CFD6E6"/>
      <rgbColor rgb="009EADCC"/>
      <rgbColor rgb="00EFF1F6"/>
      <rgbColor rgb="00BFC8DD"/>
      <rgbColor rgb="008E9FC4"/>
      <rgbColor rgb="00DFE4EE"/>
      <rgbColor rgb="00AEBAD5"/>
      <rgbColor rgb="00000000"/>
      <rgbColor rgb="00AAAAAA"/>
      <rgbColor rgb="00444444"/>
      <rgbColor rgb="00CCCCCC"/>
      <rgbColor rgb="00888888"/>
      <rgbColor rgb="00666666"/>
      <rgbColor rgb="00EEEEEE"/>
      <rgbColor rgb="00222222"/>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355F"/>
      <color rgb="FF5E76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iressrtdserver.rtdserver">
      <tp t="s">
        <v>16956</v>
        <stp/>
        <stp>Quote</stp>
        <stp>13</stp>
        <stp>0</stp>
        <stp>SecurityText</stp>
        <stp>CBA.ASX</stp>
        <tr r="C5" s="2"/>
      </tp>
      <tp t="s">
        <v>283752216720</v>
        <stp/>
        <stp>Quote</stp>
        <stp>15</stp>
        <stp>0</stp>
        <stp>SecurityText</stp>
        <stp>CBA.ASX</stp>
        <tr r="C6" s="2"/>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volatileDependencies" Target="volatileDependenci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19050</xdr:colOff>
      <xdr:row>1</xdr:row>
      <xdr:rowOff>0</xdr:rowOff>
    </xdr:from>
    <xdr:to>
      <xdr:col>1</xdr:col>
      <xdr:colOff>1924050</xdr:colOff>
      <xdr:row>3</xdr:row>
      <xdr:rowOff>0</xdr:rowOff>
    </xdr:to>
    <xdr:pic>
      <xdr:nvPicPr>
        <xdr:cNvPr id="2" name="Picture 1" descr="Goldman Sachs Research">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57150"/>
          <a:ext cx="19050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5</xdr:row>
      <xdr:rowOff>149225</xdr:rowOff>
    </xdr:from>
    <xdr:to>
      <xdr:col>10</xdr:col>
      <xdr:colOff>0</xdr:colOff>
      <xdr:row>9</xdr:row>
      <xdr:rowOff>149225</xdr:rowOff>
    </xdr:to>
    <xdr:sp macro="[0]!Update" textlink="">
      <xdr:nvSpPr>
        <xdr:cNvPr id="4" name="Rectangle 3">
          <a:extLst>
            <a:ext uri="{FF2B5EF4-FFF2-40B4-BE49-F238E27FC236}">
              <a16:creationId xmlns:a16="http://schemas.microsoft.com/office/drawing/2014/main" id="{00000000-0008-0000-0A00-000004000000}"/>
            </a:ext>
          </a:extLst>
        </xdr:cNvPr>
        <xdr:cNvSpPr/>
      </xdr:nvSpPr>
      <xdr:spPr>
        <a:xfrm>
          <a:off x="7305675" y="911225"/>
          <a:ext cx="1638300" cy="609600"/>
        </a:xfrm>
        <a:prstGeom prst="rect">
          <a:avLst/>
        </a:prstGeom>
        <a:solidFill>
          <a:srgbClr val="5E76AA"/>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rtl="0">
            <a:defRPr sz="1000"/>
          </a:pPr>
          <a:r>
            <a:rPr lang="en-US" sz="1200" b="0" i="0" u="none" strike="noStrike" baseline="0">
              <a:solidFill>
                <a:srgbClr val="FFFFFF"/>
              </a:solidFill>
              <a:latin typeface="Arial Bold"/>
              <a:cs typeface="Arial Bold"/>
            </a:rPr>
            <a:t>Push button before updating model</a:t>
          </a:r>
        </a:p>
      </xdr:txBody>
    </xdr:sp>
    <xdr:clientData/>
  </xdr:twoCellAnchor>
  <xdr:twoCellAnchor editAs="oneCell">
    <xdr:from>
      <xdr:col>7</xdr:col>
      <xdr:colOff>342900</xdr:colOff>
      <xdr:row>1</xdr:row>
      <xdr:rowOff>9525</xdr:rowOff>
    </xdr:from>
    <xdr:to>
      <xdr:col>10</xdr:col>
      <xdr:colOff>476250</xdr:colOff>
      <xdr:row>4</xdr:row>
      <xdr:rowOff>142875</xdr:rowOff>
    </xdr:to>
    <xdr:pic>
      <xdr:nvPicPr>
        <xdr:cNvPr id="2547" name="Picture 241">
          <a:extLst>
            <a:ext uri="{FF2B5EF4-FFF2-40B4-BE49-F238E27FC236}">
              <a16:creationId xmlns:a16="http://schemas.microsoft.com/office/drawing/2014/main" id="{00000000-0008-0000-0A00-0000F309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29425" y="161925"/>
          <a:ext cx="2590800" cy="590550"/>
        </a:xfrm>
        <a:prstGeom prst="rect">
          <a:avLst/>
        </a:prstGeom>
        <a:noFill/>
        <a:ln w="1">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irmwide.corp.gs.com\root\Projects\Research\au\Financials\BANKS\Models\WBC_model.xlsm" TargetMode="External"/><Relationship Id="rId1" Type="http://schemas.openxmlformats.org/officeDocument/2006/relationships/externalLinkPath" Target="/Projects/Research/au/Financials/BANKS/Models/WBC_model.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firmwide.corp.gs.com\root\Projects\Research\au\Financials\BANKS\Models\ANZ_model.xlsm" TargetMode="External"/><Relationship Id="rId1" Type="http://schemas.openxmlformats.org/officeDocument/2006/relationships/externalLinkPath" Target="/Projects/Research/au/Financials/BANKS/Models/ANZ_model.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firmwide.corp.gs.com\root\Projects\Research\au\Financials\BANKS\Macro\GS_Forecast%20summary.xlsx" TargetMode="External"/><Relationship Id="rId1" Type="http://schemas.openxmlformats.org/officeDocument/2006/relationships/externalLinkPath" Target="/Projects/Research/au/Financials/BANKS/Macro/GS_Forecast%20summar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Program%20Files\IRESS%20Market%20Technology\Iress\ExcelAddins\ddeiress.xla" TargetMode="External"/><Relationship Id="rId1" Type="http://schemas.openxmlformats.org/officeDocument/2006/relationships/externalLinkPath" Target="file:///c:\Program%20Files\IRESS%20Market%20Technology\Iress\ExcelAddins\ddeiress.xla"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firmwide.corp.gs.com\root\Projects\Research\au\Financials\BANKS\Models\Forecasting\Bank%20Sector%20Forecasting.xlsx" TargetMode="External"/><Relationship Id="rId1" Type="http://schemas.openxmlformats.org/officeDocument/2006/relationships/externalLinkPath" Target="/Projects/Research/au/Financials/BANKS/Models/Forecasting/Bank%20Sector%20Forecast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_QP_WBC.AX"/>
      <sheetName val="Cover Page"/>
      <sheetName val="WBC.AX_Exchange_Sheet"/>
      <sheetName val="Sheet2"/>
      <sheetName val="Sheet1"/>
      <sheetName val="MigrationOutput_QP_WBC.AX"/>
      <sheetName val="QP_WBC.AX_migrated"/>
      <sheetName val="Summary"/>
      <sheetName val="Model"/>
      <sheetName val="FinSum"/>
      <sheetName val="RIM"/>
      <sheetName val="Old"/>
      <sheetName val="Financial Summary"/>
      <sheetName val="Detailed P&amp;L"/>
      <sheetName val="Earnings Changes"/>
      <sheetName val="Earnings Changes (2)"/>
      <sheetName val="WBC_model"/>
      <sheetName val="WBC.AX_Live_Sheet"/>
      <sheetName val="WBC.AX_Validation_Sheet"/>
      <sheetName val="WBC.AX_Annotation_Sheet"/>
    </sheetNames>
    <sheetDataSet>
      <sheetData sheetId="0"/>
      <sheetData sheetId="1"/>
      <sheetData sheetId="2">
        <row r="1">
          <cell r="A1" t="str">
            <v>Issuer: Westpac Banking Corp.</v>
          </cell>
          <cell r="F1">
            <v>2006</v>
          </cell>
          <cell r="G1">
            <v>2007</v>
          </cell>
          <cell r="H1">
            <v>2008</v>
          </cell>
          <cell r="I1">
            <v>2009</v>
          </cell>
          <cell r="J1">
            <v>2010</v>
          </cell>
          <cell r="K1">
            <v>2011</v>
          </cell>
          <cell r="L1">
            <v>2012</v>
          </cell>
          <cell r="M1">
            <v>2013</v>
          </cell>
          <cell r="N1" t="str">
            <v>2014 H1</v>
          </cell>
          <cell r="O1" t="str">
            <v>2014 H2</v>
          </cell>
          <cell r="P1">
            <v>2014</v>
          </cell>
          <cell r="Q1" t="str">
            <v>2015 H1</v>
          </cell>
          <cell r="R1" t="str">
            <v>2015 H2</v>
          </cell>
          <cell r="S1">
            <v>2015</v>
          </cell>
          <cell r="T1" t="str">
            <v>2016 H1</v>
          </cell>
          <cell r="U1" t="str">
            <v>2016 H2</v>
          </cell>
          <cell r="V1">
            <v>2016</v>
          </cell>
          <cell r="W1" t="str">
            <v>2017 H1</v>
          </cell>
          <cell r="X1" t="str">
            <v>2017 H2</v>
          </cell>
          <cell r="Y1">
            <v>2017</v>
          </cell>
          <cell r="Z1" t="str">
            <v>2018 H1</v>
          </cell>
          <cell r="AA1" t="str">
            <v>2018 H2</v>
          </cell>
          <cell r="AB1">
            <v>2018</v>
          </cell>
          <cell r="AC1" t="str">
            <v>2019 H1</v>
          </cell>
          <cell r="AD1" t="str">
            <v>2019 H2</v>
          </cell>
          <cell r="AE1">
            <v>2019</v>
          </cell>
          <cell r="AF1" t="str">
            <v>2020 H1</v>
          </cell>
          <cell r="AG1" t="str">
            <v>2020 H2</v>
          </cell>
          <cell r="AH1">
            <v>2020</v>
          </cell>
          <cell r="AI1" t="str">
            <v>2021 H1</v>
          </cell>
          <cell r="AJ1" t="str">
            <v>2021 H2</v>
          </cell>
          <cell r="AK1">
            <v>2021</v>
          </cell>
          <cell r="AL1" t="str">
            <v>2022 H1</v>
          </cell>
          <cell r="AM1" t="str">
            <v>2022 H2</v>
          </cell>
          <cell r="AN1">
            <v>2022</v>
          </cell>
          <cell r="AO1" t="str">
            <v>2023 H1</v>
          </cell>
          <cell r="AP1" t="str">
            <v>2023 H2</v>
          </cell>
          <cell r="AQ1">
            <v>2023</v>
          </cell>
          <cell r="AR1" t="str">
            <v>2024 H1</v>
          </cell>
          <cell r="AS1" t="str">
            <v>2024 H2</v>
          </cell>
          <cell r="AT1">
            <v>2024</v>
          </cell>
          <cell r="AU1" t="str">
            <v>2025 H1</v>
          </cell>
          <cell r="AV1" t="str">
            <v>2025 H2</v>
          </cell>
          <cell r="AW1">
            <v>2025</v>
          </cell>
          <cell r="AX1" t="str">
            <v>2026 H1</v>
          </cell>
          <cell r="AY1" t="str">
            <v>2026 H2</v>
          </cell>
          <cell r="AZ1" t="str">
            <v>2026</v>
          </cell>
          <cell r="BA1" t="str">
            <v>2027 H1</v>
          </cell>
          <cell r="BB1" t="str">
            <v>2027 H2</v>
          </cell>
          <cell r="BC1">
            <v>2027</v>
          </cell>
          <cell r="BD1" t="str">
            <v>2028 H1</v>
          </cell>
          <cell r="BE1" t="str">
            <v>2028 H2</v>
          </cell>
          <cell r="BF1">
            <v>2028</v>
          </cell>
          <cell r="BG1" t="str">
            <v>2029 H1</v>
          </cell>
          <cell r="BH1" t="str">
            <v>2029 H2</v>
          </cell>
          <cell r="BI1">
            <v>2029</v>
          </cell>
          <cell r="BJ1" t="str">
            <v>2030 H1</v>
          </cell>
          <cell r="BK1" t="str">
            <v>2030 H2</v>
          </cell>
          <cell r="BL1">
            <v>2030</v>
          </cell>
          <cell r="BM1" t="str">
            <v>2031 H1</v>
          </cell>
          <cell r="BN1" t="str">
            <v>2031 H2</v>
          </cell>
          <cell r="BO1">
            <v>2031</v>
          </cell>
          <cell r="BP1" t="str">
            <v>2032 H1</v>
          </cell>
          <cell r="BQ1" t="str">
            <v>2032 H2</v>
          </cell>
          <cell r="BR1">
            <v>2032</v>
          </cell>
          <cell r="BS1" t="str">
            <v>2033 H1</v>
          </cell>
          <cell r="BT1" t="str">
            <v>2033 H2</v>
          </cell>
          <cell r="BU1">
            <v>2033</v>
          </cell>
          <cell r="BV1" t="str">
            <v>2034 H1</v>
          </cell>
          <cell r="BW1" t="str">
            <v>2034 H2</v>
          </cell>
          <cell r="BX1">
            <v>2034</v>
          </cell>
        </row>
        <row r="2">
          <cell r="A2" t="str">
            <v>ISSUER ID: 208005525</v>
          </cell>
          <cell r="F2" t="str">
            <v>Actual</v>
          </cell>
          <cell r="G2" t="str">
            <v>Actual</v>
          </cell>
          <cell r="H2" t="str">
            <v>Actual</v>
          </cell>
          <cell r="I2" t="str">
            <v>Actual</v>
          </cell>
          <cell r="J2" t="str">
            <v>Actual</v>
          </cell>
          <cell r="K2" t="str">
            <v>Actual</v>
          </cell>
          <cell r="L2" t="str">
            <v>Actual</v>
          </cell>
          <cell r="M2" t="str">
            <v>Actual</v>
          </cell>
          <cell r="N2" t="str">
            <v>Actual</v>
          </cell>
          <cell r="O2" t="str">
            <v>Actual</v>
          </cell>
          <cell r="P2" t="str">
            <v>Actual</v>
          </cell>
          <cell r="Q2" t="str">
            <v>Actual</v>
          </cell>
          <cell r="R2" t="str">
            <v>Actual</v>
          </cell>
          <cell r="S2" t="str">
            <v>Actual</v>
          </cell>
          <cell r="T2" t="str">
            <v>Actual</v>
          </cell>
          <cell r="U2" t="str">
            <v>Actual</v>
          </cell>
          <cell r="V2" t="str">
            <v>Actual</v>
          </cell>
          <cell r="W2" t="str">
            <v>Actual</v>
          </cell>
          <cell r="X2" t="str">
            <v>Actual</v>
          </cell>
          <cell r="Y2" t="str">
            <v>Actual</v>
          </cell>
          <cell r="Z2" t="str">
            <v>Actual</v>
          </cell>
          <cell r="AA2" t="str">
            <v>Actual</v>
          </cell>
          <cell r="AB2" t="str">
            <v>Actual</v>
          </cell>
          <cell r="AC2" t="str">
            <v>Actual</v>
          </cell>
          <cell r="AD2" t="str">
            <v>Actual</v>
          </cell>
          <cell r="AE2" t="str">
            <v>Actual</v>
          </cell>
          <cell r="AF2" t="str">
            <v>Actual</v>
          </cell>
          <cell r="AG2" t="str">
            <v>Actual</v>
          </cell>
          <cell r="AH2" t="str">
            <v>Actual</v>
          </cell>
          <cell r="AI2" t="str">
            <v>Actual</v>
          </cell>
          <cell r="AJ2" t="str">
            <v>Actual</v>
          </cell>
          <cell r="AK2" t="str">
            <v>Actual</v>
          </cell>
          <cell r="AL2" t="str">
            <v>Actual</v>
          </cell>
          <cell r="AM2" t="str">
            <v>Actual</v>
          </cell>
          <cell r="AN2" t="str">
            <v>Actual</v>
          </cell>
          <cell r="AO2" t="str">
            <v>Actual</v>
          </cell>
          <cell r="AP2" t="str">
            <v>Actual</v>
          </cell>
          <cell r="AQ2" t="str">
            <v>Actual</v>
          </cell>
          <cell r="AR2" t="str">
            <v>Actual</v>
          </cell>
          <cell r="AS2" t="str">
            <v>Actual</v>
          </cell>
          <cell r="AT2" t="str">
            <v>Actual</v>
          </cell>
          <cell r="AU2" t="str">
            <v>Actual</v>
          </cell>
          <cell r="AV2" t="str">
            <v>Estimate</v>
          </cell>
          <cell r="AW2" t="str">
            <v>Estimate</v>
          </cell>
          <cell r="AX2" t="str">
            <v>Estimate</v>
          </cell>
          <cell r="AY2" t="str">
            <v>Estimate</v>
          </cell>
          <cell r="AZ2" t="str">
            <v>Estimate</v>
          </cell>
          <cell r="BA2" t="str">
            <v>Estimate</v>
          </cell>
          <cell r="BB2" t="str">
            <v>Estimate</v>
          </cell>
          <cell r="BC2" t="str">
            <v>Estimate</v>
          </cell>
          <cell r="BD2" t="str">
            <v>Estimate</v>
          </cell>
          <cell r="BE2" t="str">
            <v>Estimate</v>
          </cell>
          <cell r="BF2" t="str">
            <v>Estimate</v>
          </cell>
          <cell r="BG2" t="str">
            <v>Estimate</v>
          </cell>
          <cell r="BH2" t="str">
            <v>Estimate</v>
          </cell>
          <cell r="BI2" t="str">
            <v>Estimate</v>
          </cell>
          <cell r="BJ2" t="str">
            <v>Estimate</v>
          </cell>
          <cell r="BK2" t="str">
            <v>Estimate</v>
          </cell>
          <cell r="BL2" t="str">
            <v>Estimate</v>
          </cell>
          <cell r="BM2" t="str">
            <v>Estimate</v>
          </cell>
          <cell r="BN2" t="str">
            <v>Estimate</v>
          </cell>
          <cell r="BO2" t="str">
            <v>Estimate</v>
          </cell>
          <cell r="BP2" t="str">
            <v>Estimate</v>
          </cell>
          <cell r="BQ2" t="str">
            <v>Estimate</v>
          </cell>
          <cell r="BR2" t="str">
            <v>Estimate</v>
          </cell>
          <cell r="BS2" t="str">
            <v>Estimate</v>
          </cell>
          <cell r="BT2" t="str">
            <v>Estimate</v>
          </cell>
          <cell r="BU2" t="str">
            <v>Estimate</v>
          </cell>
          <cell r="BV2" t="str">
            <v>Estimate</v>
          </cell>
          <cell r="BW2" t="str">
            <v>Estimate</v>
          </cell>
          <cell r="BX2" t="str">
            <v>Estimate</v>
          </cell>
        </row>
        <row r="3">
          <cell r="F3">
            <v>38990</v>
          </cell>
          <cell r="G3">
            <v>39355</v>
          </cell>
          <cell r="H3">
            <v>39721</v>
          </cell>
          <cell r="I3">
            <v>40086</v>
          </cell>
          <cell r="J3">
            <v>40451</v>
          </cell>
          <cell r="K3">
            <v>40816</v>
          </cell>
          <cell r="L3">
            <v>41182</v>
          </cell>
          <cell r="M3">
            <v>41547</v>
          </cell>
          <cell r="N3">
            <v>41729</v>
          </cell>
          <cell r="O3">
            <v>41912</v>
          </cell>
          <cell r="P3">
            <v>41912</v>
          </cell>
          <cell r="Q3">
            <v>42094</v>
          </cell>
          <cell r="R3">
            <v>42277</v>
          </cell>
          <cell r="S3">
            <v>42277</v>
          </cell>
          <cell r="T3">
            <v>42460</v>
          </cell>
          <cell r="U3">
            <v>42643</v>
          </cell>
          <cell r="V3">
            <v>42643</v>
          </cell>
          <cell r="W3">
            <v>42825</v>
          </cell>
          <cell r="X3">
            <v>43008</v>
          </cell>
          <cell r="Y3">
            <v>43008</v>
          </cell>
          <cell r="Z3">
            <v>43190</v>
          </cell>
          <cell r="AA3">
            <v>43373</v>
          </cell>
          <cell r="AB3">
            <v>43373</v>
          </cell>
          <cell r="AC3">
            <v>43555</v>
          </cell>
          <cell r="AD3">
            <v>43738</v>
          </cell>
          <cell r="AE3">
            <v>43738</v>
          </cell>
          <cell r="AF3">
            <v>43921</v>
          </cell>
          <cell r="AG3">
            <v>44104</v>
          </cell>
          <cell r="AH3">
            <v>44104</v>
          </cell>
          <cell r="AI3">
            <v>44286</v>
          </cell>
          <cell r="AJ3">
            <v>44469</v>
          </cell>
          <cell r="AK3">
            <v>44469</v>
          </cell>
          <cell r="AL3">
            <v>44651</v>
          </cell>
          <cell r="AM3">
            <v>44834</v>
          </cell>
          <cell r="AN3">
            <v>44834</v>
          </cell>
          <cell r="AO3">
            <v>45016</v>
          </cell>
          <cell r="AP3">
            <v>45199</v>
          </cell>
          <cell r="AQ3">
            <v>45199</v>
          </cell>
          <cell r="AR3">
            <v>45382</v>
          </cell>
          <cell r="AS3">
            <v>45565</v>
          </cell>
          <cell r="AT3">
            <v>45565</v>
          </cell>
          <cell r="AU3">
            <v>45747</v>
          </cell>
          <cell r="AV3">
            <v>45930</v>
          </cell>
          <cell r="AW3">
            <v>45930</v>
          </cell>
          <cell r="AX3">
            <v>46112</v>
          </cell>
          <cell r="AY3">
            <v>46295</v>
          </cell>
          <cell r="AZ3">
            <v>46295</v>
          </cell>
          <cell r="BA3">
            <v>46477</v>
          </cell>
          <cell r="BB3">
            <v>46660</v>
          </cell>
          <cell r="BC3">
            <v>46660</v>
          </cell>
          <cell r="BD3">
            <v>46843</v>
          </cell>
          <cell r="BE3">
            <v>47026</v>
          </cell>
          <cell r="BF3">
            <v>47026</v>
          </cell>
          <cell r="BG3">
            <v>47208</v>
          </cell>
          <cell r="BH3">
            <v>47391</v>
          </cell>
          <cell r="BI3">
            <v>47391</v>
          </cell>
          <cell r="BJ3">
            <v>47573</v>
          </cell>
          <cell r="BK3">
            <v>47756</v>
          </cell>
          <cell r="BL3">
            <v>47756</v>
          </cell>
          <cell r="BM3">
            <v>47938</v>
          </cell>
          <cell r="BN3">
            <v>48121</v>
          </cell>
          <cell r="BO3">
            <v>48121</v>
          </cell>
          <cell r="BP3">
            <v>48304</v>
          </cell>
          <cell r="BQ3">
            <v>48487</v>
          </cell>
          <cell r="BR3">
            <v>48487</v>
          </cell>
          <cell r="BS3">
            <v>48669</v>
          </cell>
          <cell r="BT3">
            <v>48852</v>
          </cell>
          <cell r="BU3">
            <v>48852</v>
          </cell>
          <cell r="BV3">
            <v>49034</v>
          </cell>
          <cell r="BW3">
            <v>49217</v>
          </cell>
          <cell r="BX3">
            <v>49217</v>
          </cell>
        </row>
        <row r="4">
          <cell r="A4" t="str">
            <v>Issuer: Westpac Banking Corp.</v>
          </cell>
        </row>
        <row r="5">
          <cell r="A5" t="str">
            <v>Reference Data</v>
          </cell>
        </row>
        <row r="6">
          <cell r="B6" t="str">
            <v>Issuer Name</v>
          </cell>
          <cell r="C6" t="str">
            <v>Issuer Name</v>
          </cell>
          <cell r="E6" t="str">
            <v>Westpac Banking Corp.</v>
          </cell>
        </row>
        <row r="7">
          <cell r="B7" t="str">
            <v>Reporting Currency</v>
          </cell>
          <cell r="C7" t="str">
            <v>CURRENCY_ISO</v>
          </cell>
          <cell r="E7" t="str">
            <v>AUD</v>
          </cell>
        </row>
        <row r="8">
          <cell r="A8" t="str">
            <v>General Information</v>
          </cell>
        </row>
        <row r="9">
          <cell r="B9" t="str">
            <v>M&amp;A probability (1 = high, 3 = low)</v>
          </cell>
          <cell r="C9" t="str">
            <v>MA_PROB</v>
          </cell>
          <cell r="E9">
            <v>3</v>
          </cell>
        </row>
        <row r="10">
          <cell r="B10" t="str">
            <v>Analyst USD rate assumption vs reporting currency</v>
          </cell>
          <cell r="C10" t="str">
            <v>FX_USD_ASSUMPTION</v>
          </cell>
        </row>
        <row r="11">
          <cell r="B11" t="str">
            <v>Analyst EUR rate assumption vs reporting currency</v>
          </cell>
          <cell r="C11" t="str">
            <v>FX_EUR_ASSUMPTION</v>
          </cell>
        </row>
        <row r="12">
          <cell r="B12" t="str">
            <v>Analyst AUD rate assumption vs reporting currency</v>
          </cell>
          <cell r="C12" t="str">
            <v>FX_AUD_ASSUMPTION</v>
          </cell>
        </row>
        <row r="13">
          <cell r="A13" t="str">
            <v>Income Statement</v>
          </cell>
        </row>
        <row r="14">
          <cell r="B14" t="str">
            <v>Interest income</v>
          </cell>
          <cell r="C14" t="str">
            <v>INT_INC</v>
          </cell>
          <cell r="D14" t="str">
            <v>AUD</v>
          </cell>
          <cell r="F14">
            <v>18172</v>
          </cell>
          <cell r="G14">
            <v>22123</v>
          </cell>
          <cell r="H14">
            <v>39807</v>
          </cell>
          <cell r="I14">
            <v>30491</v>
          </cell>
          <cell r="J14">
            <v>34077</v>
          </cell>
          <cell r="K14">
            <v>38073</v>
          </cell>
          <cell r="L14">
            <v>36865</v>
          </cell>
          <cell r="M14">
            <v>32980</v>
          </cell>
          <cell r="N14">
            <v>15888</v>
          </cell>
          <cell r="O14">
            <v>16427</v>
          </cell>
          <cell r="P14">
            <v>32315</v>
          </cell>
          <cell r="Q14">
            <v>16530</v>
          </cell>
          <cell r="R14">
            <v>15767.000000000002</v>
          </cell>
          <cell r="S14">
            <v>32297</v>
          </cell>
          <cell r="T14">
            <v>16036.000000000002</v>
          </cell>
          <cell r="U14">
            <v>15775</v>
          </cell>
          <cell r="V14">
            <v>31811</v>
          </cell>
          <cell r="W14">
            <v>15387</v>
          </cell>
          <cell r="X14">
            <v>15867</v>
          </cell>
          <cell r="Y14">
            <v>31254</v>
          </cell>
          <cell r="Z14">
            <v>16519</v>
          </cell>
          <cell r="AA14">
            <v>16918</v>
          </cell>
          <cell r="AB14">
            <v>33437</v>
          </cell>
          <cell r="AC14">
            <v>16961</v>
          </cell>
          <cell r="AD14">
            <v>16233</v>
          </cell>
          <cell r="AE14">
            <v>33194</v>
          </cell>
          <cell r="AF14">
            <v>14650</v>
          </cell>
          <cell r="AG14">
            <v>12309.999999999998</v>
          </cell>
          <cell r="AH14">
            <v>26960</v>
          </cell>
          <cell r="AI14">
            <v>11502</v>
          </cell>
          <cell r="AJ14">
            <v>10822</v>
          </cell>
          <cell r="AK14">
            <v>22324</v>
          </cell>
          <cell r="AL14">
            <v>10205</v>
          </cell>
          <cell r="AM14">
            <v>13046</v>
          </cell>
          <cell r="AN14">
            <v>23251</v>
          </cell>
          <cell r="AO14">
            <v>19839</v>
          </cell>
          <cell r="AP14">
            <v>23913</v>
          </cell>
          <cell r="AQ14">
            <v>43752</v>
          </cell>
          <cell r="AR14">
            <v>26544</v>
          </cell>
          <cell r="AS14">
            <v>27803</v>
          </cell>
          <cell r="AT14">
            <v>54347</v>
          </cell>
          <cell r="AU14">
            <v>28084</v>
          </cell>
          <cell r="AV14" t="e">
            <v>#N/A</v>
          </cell>
          <cell r="AW14" t="e">
            <v>#N/A</v>
          </cell>
          <cell r="AX14">
            <v>27626.450666434237</v>
          </cell>
          <cell r="AY14">
            <v>29118.757366789559</v>
          </cell>
          <cell r="AZ14">
            <v>56745.208033223797</v>
          </cell>
          <cell r="BA14">
            <v>30029.874778986341</v>
          </cell>
          <cell r="BB14">
            <v>30883.989385742672</v>
          </cell>
          <cell r="BC14">
            <v>60913.864164729013</v>
          </cell>
          <cell r="BD14">
            <v>31480.074141539935</v>
          </cell>
          <cell r="BE14">
            <v>32144.22909015782</v>
          </cell>
          <cell r="BF14">
            <v>63624.303231697755</v>
          </cell>
          <cell r="BG14">
            <v>32710.040796628702</v>
          </cell>
          <cell r="BH14">
            <v>33525.891040847528</v>
          </cell>
          <cell r="BI14">
            <v>66235.931837476237</v>
          </cell>
          <cell r="BJ14">
            <v>33946.240784312336</v>
          </cell>
          <cell r="BK14">
            <v>34701.800944285031</v>
          </cell>
          <cell r="BL14">
            <v>68648.041728597367</v>
          </cell>
          <cell r="BM14">
            <v>35070.815521148623</v>
          </cell>
          <cell r="BN14">
            <v>35857.608845473827</v>
          </cell>
          <cell r="BO14">
            <v>70928.42436662245</v>
          </cell>
          <cell r="BP14">
            <v>36373.248167002923</v>
          </cell>
          <cell r="BQ14">
            <v>36997.542023184091</v>
          </cell>
          <cell r="BR14">
            <v>73370.790190187021</v>
          </cell>
          <cell r="BS14">
            <v>37529.601764135608</v>
          </cell>
          <cell r="BT14">
            <v>38383.800546263861</v>
          </cell>
          <cell r="BU14">
            <v>75913.40231039947</v>
          </cell>
          <cell r="BV14">
            <v>38829.724834386121</v>
          </cell>
          <cell r="BW14">
            <v>39713.828261230075</v>
          </cell>
          <cell r="BX14">
            <v>78543.553095616197</v>
          </cell>
        </row>
        <row r="15">
          <cell r="B15" t="str">
            <v>Interest expense</v>
          </cell>
          <cell r="C15" t="str">
            <v>INT_EXP</v>
          </cell>
          <cell r="D15" t="str">
            <v>AUD</v>
          </cell>
          <cell r="F15">
            <v>-12530</v>
          </cell>
          <cell r="G15">
            <v>-15810</v>
          </cell>
          <cell r="H15">
            <v>-30155</v>
          </cell>
          <cell r="I15">
            <v>-18702</v>
          </cell>
          <cell r="J15">
            <v>-22222</v>
          </cell>
          <cell r="K15">
            <v>-25904</v>
          </cell>
          <cell r="L15">
            <v>-24302</v>
          </cell>
          <cell r="M15">
            <v>-20068</v>
          </cell>
          <cell r="N15">
            <v>-9210.9999999999982</v>
          </cell>
          <cell r="O15">
            <v>-9608</v>
          </cell>
          <cell r="P15">
            <v>-18819</v>
          </cell>
          <cell r="Q15">
            <v>-9596</v>
          </cell>
          <cell r="R15">
            <v>-8462.0000000000018</v>
          </cell>
          <cell r="S15">
            <v>-18058</v>
          </cell>
          <cell r="T15">
            <v>-8383.0000000000018</v>
          </cell>
          <cell r="U15">
            <v>-8080.0000000000009</v>
          </cell>
          <cell r="V15">
            <v>-16463.000000000004</v>
          </cell>
          <cell r="W15">
            <v>-7693.9999999999991</v>
          </cell>
          <cell r="X15">
            <v>-7856</v>
          </cell>
          <cell r="Y15">
            <v>-15550</v>
          </cell>
          <cell r="Z15">
            <v>-7802.0000000000009</v>
          </cell>
          <cell r="AA15">
            <v>-8448</v>
          </cell>
          <cell r="AB15">
            <v>-16250</v>
          </cell>
          <cell r="AC15">
            <v>-8572</v>
          </cell>
          <cell r="AD15">
            <v>-7669.0000000000009</v>
          </cell>
          <cell r="AE15">
            <v>-16241</v>
          </cell>
          <cell r="AF15">
            <v>-5984</v>
          </cell>
          <cell r="AG15">
            <v>-3889.9999999999982</v>
          </cell>
          <cell r="AH15">
            <v>-9873.9999999999982</v>
          </cell>
          <cell r="AI15">
            <v>-3033.0000000000005</v>
          </cell>
          <cell r="AJ15">
            <v>-2576.9999999999995</v>
          </cell>
          <cell r="AK15">
            <v>-5610</v>
          </cell>
          <cell r="AL15">
            <v>-1917</v>
          </cell>
          <cell r="AM15">
            <v>-4173</v>
          </cell>
          <cell r="AN15">
            <v>-6090</v>
          </cell>
          <cell r="AO15">
            <v>-10726</v>
          </cell>
          <cell r="AP15">
            <v>-14709</v>
          </cell>
          <cell r="AQ15">
            <v>-25435</v>
          </cell>
          <cell r="AR15">
            <v>-17417</v>
          </cell>
          <cell r="AS15">
            <v>-18177</v>
          </cell>
          <cell r="AT15">
            <v>-35594</v>
          </cell>
          <cell r="AU15">
            <v>-18515.320501599999</v>
          </cell>
          <cell r="AV15" t="e">
            <v>#N/A</v>
          </cell>
          <cell r="AW15" t="e">
            <v>#N/A</v>
          </cell>
          <cell r="AX15">
            <v>-17630.078538929425</v>
          </cell>
          <cell r="AY15">
            <v>-18935.067510312809</v>
          </cell>
          <cell r="AZ15">
            <v>-36565.146049242234</v>
          </cell>
          <cell r="BA15">
            <v>-19790.558784554978</v>
          </cell>
          <cell r="BB15">
            <v>-20446.317453615957</v>
          </cell>
          <cell r="BC15">
            <v>-40236.876238170938</v>
          </cell>
          <cell r="BD15">
            <v>-20877.998375850682</v>
          </cell>
          <cell r="BE15">
            <v>-21356.005942438442</v>
          </cell>
          <cell r="BF15">
            <v>-42234.004318289124</v>
          </cell>
          <cell r="BG15">
            <v>-21770.033449113464</v>
          </cell>
          <cell r="BH15">
            <v>-22351.726798875894</v>
          </cell>
          <cell r="BI15">
            <v>-44121.760247989354</v>
          </cell>
          <cell r="BJ15">
            <v>-22670.65122613448</v>
          </cell>
          <cell r="BK15">
            <v>-23214.073084146461</v>
          </cell>
          <cell r="BL15">
            <v>-45884.724310280944</v>
          </cell>
          <cell r="BM15">
            <v>-23504.331017564415</v>
          </cell>
          <cell r="BN15">
            <v>-24076.177606261117</v>
          </cell>
          <cell r="BO15">
            <v>-47580.508623825532</v>
          </cell>
          <cell r="BP15">
            <v>-24467.746578676422</v>
          </cell>
          <cell r="BQ15">
            <v>-24933.998702184523</v>
          </cell>
          <cell r="BR15">
            <v>-49401.745280860945</v>
          </cell>
          <cell r="BS15">
            <v>-25339.713006189617</v>
          </cell>
          <cell r="BT15">
            <v>-25964.854525001225</v>
          </cell>
          <cell r="BU15">
            <v>-51304.567531190842</v>
          </cell>
          <cell r="BV15">
            <v>-26315.639659018678</v>
          </cell>
          <cell r="BW15">
            <v>-26965.258598963737</v>
          </cell>
          <cell r="BX15">
            <v>-53280.898257982415</v>
          </cell>
        </row>
        <row r="16">
          <cell r="B16" t="str">
            <v>Net interest income</v>
          </cell>
          <cell r="C16" t="str">
            <v>B_PL_NETINTINC</v>
          </cell>
          <cell r="D16" t="str">
            <v>AUD</v>
          </cell>
          <cell r="F16">
            <v>5642</v>
          </cell>
          <cell r="G16">
            <v>6313</v>
          </cell>
          <cell r="H16">
            <v>9652</v>
          </cell>
          <cell r="I16">
            <v>11789</v>
          </cell>
          <cell r="J16">
            <v>11855</v>
          </cell>
          <cell r="K16">
            <v>12169</v>
          </cell>
          <cell r="L16">
            <v>12563</v>
          </cell>
          <cell r="M16">
            <v>12912</v>
          </cell>
          <cell r="N16">
            <v>6677</v>
          </cell>
          <cell r="O16">
            <v>6819</v>
          </cell>
          <cell r="P16">
            <v>13496</v>
          </cell>
          <cell r="Q16">
            <v>6934</v>
          </cell>
          <cell r="R16">
            <v>7305</v>
          </cell>
          <cell r="S16">
            <v>14239</v>
          </cell>
          <cell r="T16">
            <v>7653</v>
          </cell>
          <cell r="U16">
            <v>7695</v>
          </cell>
          <cell r="V16">
            <v>15348</v>
          </cell>
          <cell r="W16">
            <v>7693</v>
          </cell>
          <cell r="X16">
            <v>8011</v>
          </cell>
          <cell r="Y16">
            <v>15704</v>
          </cell>
          <cell r="Z16">
            <v>8717</v>
          </cell>
          <cell r="AA16">
            <v>8470</v>
          </cell>
          <cell r="AB16">
            <v>17187</v>
          </cell>
          <cell r="AC16">
            <v>8389</v>
          </cell>
          <cell r="AD16">
            <v>8564</v>
          </cell>
          <cell r="AE16">
            <v>16953</v>
          </cell>
          <cell r="AF16">
            <v>8666</v>
          </cell>
          <cell r="AG16">
            <v>8420</v>
          </cell>
          <cell r="AH16">
            <v>17086</v>
          </cell>
          <cell r="AI16">
            <v>8469</v>
          </cell>
          <cell r="AJ16">
            <v>8245</v>
          </cell>
          <cell r="AK16">
            <v>16714</v>
          </cell>
          <cell r="AL16">
            <v>8288</v>
          </cell>
          <cell r="AM16">
            <v>8873</v>
          </cell>
          <cell r="AN16">
            <v>17161</v>
          </cell>
          <cell r="AO16">
            <v>9113</v>
          </cell>
          <cell r="AP16">
            <v>9204</v>
          </cell>
          <cell r="AQ16">
            <v>18317</v>
          </cell>
          <cell r="AR16">
            <v>9127</v>
          </cell>
          <cell r="AS16">
            <v>9626</v>
          </cell>
          <cell r="AT16">
            <v>18753</v>
          </cell>
          <cell r="AU16">
            <v>9568.6794984000007</v>
          </cell>
          <cell r="AV16" t="e">
            <v>#N/A</v>
          </cell>
          <cell r="AW16" t="e">
            <v>#N/A</v>
          </cell>
          <cell r="AX16">
            <v>9996.3721275048119</v>
          </cell>
          <cell r="AY16">
            <v>10183.689856476749</v>
          </cell>
          <cell r="AZ16">
            <v>20180.061983981563</v>
          </cell>
          <cell r="BA16">
            <v>10239.315994431363</v>
          </cell>
          <cell r="BB16">
            <v>10437.671932126716</v>
          </cell>
          <cell r="BC16">
            <v>20676.987926558078</v>
          </cell>
          <cell r="BD16">
            <v>10602.075765689253</v>
          </cell>
          <cell r="BE16">
            <v>10788.223147719378</v>
          </cell>
          <cell r="BF16">
            <v>21390.298913408631</v>
          </cell>
          <cell r="BG16">
            <v>10940.007347515239</v>
          </cell>
          <cell r="BH16">
            <v>11174.164241971634</v>
          </cell>
          <cell r="BI16">
            <v>22114.171589486872</v>
          </cell>
          <cell r="BJ16">
            <v>11275.589558177857</v>
          </cell>
          <cell r="BK16">
            <v>11487.72786013857</v>
          </cell>
          <cell r="BL16">
            <v>22763.317418316426</v>
          </cell>
          <cell r="BM16">
            <v>11566.48450358421</v>
          </cell>
          <cell r="BN16">
            <v>11781.431239212709</v>
          </cell>
          <cell r="BO16">
            <v>23347.915742796918</v>
          </cell>
          <cell r="BP16">
            <v>11905.501588326499</v>
          </cell>
          <cell r="BQ16">
            <v>12063.54332099957</v>
          </cell>
          <cell r="BR16">
            <v>23969.044909326069</v>
          </cell>
          <cell r="BS16">
            <v>12189.888757945992</v>
          </cell>
          <cell r="BT16">
            <v>12418.946021262638</v>
          </cell>
          <cell r="BU16">
            <v>24608.834779208628</v>
          </cell>
          <cell r="BV16">
            <v>12514.085175367445</v>
          </cell>
          <cell r="BW16">
            <v>12748.569662266338</v>
          </cell>
          <cell r="BX16">
            <v>25262.654837633781</v>
          </cell>
        </row>
        <row r="17">
          <cell r="B17" t="str">
            <v>Dividend income</v>
          </cell>
          <cell r="C17" t="str">
            <v>DIVID_INC</v>
          </cell>
          <cell r="D17" t="str">
            <v>AUD</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t="e">
            <v>#N/A</v>
          </cell>
          <cell r="AW17" t="e">
            <v>#N/A</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row>
        <row r="18">
          <cell r="B18" t="str">
            <v>Contribution from life assurance</v>
          </cell>
          <cell r="C18" t="str">
            <v>LIFE_INC</v>
          </cell>
          <cell r="D18" t="str">
            <v>AUD</v>
          </cell>
        </row>
        <row r="19">
          <cell r="B19" t="str">
            <v>General insurance income</v>
          </cell>
          <cell r="C19" t="str">
            <v>GEN_INS_INC</v>
          </cell>
          <cell r="D19" t="str">
            <v>AUD</v>
          </cell>
        </row>
        <row r="20">
          <cell r="B20" t="str">
            <v>Trading profit</v>
          </cell>
          <cell r="C20" t="str">
            <v>FIN_TRANS_INC</v>
          </cell>
          <cell r="D20" t="str">
            <v>AUD</v>
          </cell>
          <cell r="F20">
            <v>525</v>
          </cell>
          <cell r="G20">
            <v>660</v>
          </cell>
          <cell r="H20">
            <v>851</v>
          </cell>
          <cell r="I20">
            <v>1014</v>
          </cell>
          <cell r="J20">
            <v>797</v>
          </cell>
          <cell r="K20">
            <v>558</v>
          </cell>
          <cell r="L20">
            <v>847</v>
          </cell>
          <cell r="M20">
            <v>1070</v>
          </cell>
          <cell r="N20">
            <v>546</v>
          </cell>
          <cell r="O20">
            <v>471</v>
          </cell>
          <cell r="P20">
            <v>1017</v>
          </cell>
          <cell r="Q20">
            <v>425</v>
          </cell>
          <cell r="R20">
            <v>539</v>
          </cell>
          <cell r="S20">
            <v>964</v>
          </cell>
          <cell r="T20">
            <v>610</v>
          </cell>
          <cell r="U20">
            <v>514</v>
          </cell>
          <cell r="V20">
            <v>1124</v>
          </cell>
          <cell r="W20">
            <v>713</v>
          </cell>
          <cell r="X20">
            <v>504</v>
          </cell>
          <cell r="Y20">
            <v>1217</v>
          </cell>
          <cell r="Z20">
            <v>507</v>
          </cell>
          <cell r="AA20">
            <v>419</v>
          </cell>
          <cell r="AB20">
            <v>926</v>
          </cell>
          <cell r="AC20">
            <v>464</v>
          </cell>
          <cell r="AD20">
            <v>443</v>
          </cell>
          <cell r="AE20">
            <v>907</v>
          </cell>
          <cell r="AF20">
            <v>429</v>
          </cell>
          <cell r="AG20">
            <v>499</v>
          </cell>
          <cell r="AH20">
            <v>928</v>
          </cell>
          <cell r="AI20">
            <v>453</v>
          </cell>
          <cell r="AJ20">
            <v>262</v>
          </cell>
          <cell r="AK20">
            <v>715</v>
          </cell>
          <cell r="AL20">
            <v>323</v>
          </cell>
          <cell r="AM20">
            <v>321</v>
          </cell>
          <cell r="AN20">
            <v>644</v>
          </cell>
          <cell r="AO20">
            <v>387</v>
          </cell>
          <cell r="AP20">
            <v>413</v>
          </cell>
          <cell r="AQ20">
            <v>800</v>
          </cell>
          <cell r="AR20">
            <v>367</v>
          </cell>
          <cell r="AS20">
            <v>310</v>
          </cell>
          <cell r="AT20">
            <v>677</v>
          </cell>
          <cell r="AU20">
            <v>336</v>
          </cell>
          <cell r="AV20" t="e">
            <v>#N/A</v>
          </cell>
          <cell r="AW20" t="e">
            <v>#N/A</v>
          </cell>
          <cell r="AX20">
            <v>359.625</v>
          </cell>
          <cell r="AY20">
            <v>395.58750000000009</v>
          </cell>
          <cell r="AZ20">
            <v>755.21250000000009</v>
          </cell>
          <cell r="BA20">
            <v>356.02875000000006</v>
          </cell>
          <cell r="BB20">
            <v>373.83018750000008</v>
          </cell>
          <cell r="BC20">
            <v>729.85893750000014</v>
          </cell>
          <cell r="BD20">
            <v>363.14932500000003</v>
          </cell>
          <cell r="BE20">
            <v>392.52169687500009</v>
          </cell>
          <cell r="BF20">
            <v>755.67102187500018</v>
          </cell>
          <cell r="BG20">
            <v>370.41231150000016</v>
          </cell>
          <cell r="BH20">
            <v>412.14778171875014</v>
          </cell>
          <cell r="BI20">
            <v>782.56009321875035</v>
          </cell>
          <cell r="BJ20">
            <v>377.82055773000013</v>
          </cell>
          <cell r="BK20">
            <v>432.75517080468774</v>
          </cell>
          <cell r="BL20">
            <v>810.57572853468787</v>
          </cell>
          <cell r="BM20">
            <v>437.64370401197414</v>
          </cell>
          <cell r="BN20">
            <v>447.93535804809858</v>
          </cell>
          <cell r="BO20">
            <v>885.57906206007272</v>
          </cell>
          <cell r="BP20">
            <v>454.94526310488567</v>
          </cell>
          <cell r="BQ20">
            <v>463.33627853888379</v>
          </cell>
          <cell r="BR20">
            <v>918.28154164376951</v>
          </cell>
          <cell r="BS20">
            <v>470.59476286135276</v>
          </cell>
          <cell r="BT20">
            <v>481.91909216916446</v>
          </cell>
          <cell r="BU20">
            <v>952.51385503051722</v>
          </cell>
          <cell r="BV20">
            <v>488.14272111521842</v>
          </cell>
          <cell r="BW20">
            <v>499.90090663117007</v>
          </cell>
          <cell r="BX20">
            <v>988.04362774638844</v>
          </cell>
        </row>
        <row r="21">
          <cell r="B21" t="str">
            <v>Net fees</v>
          </cell>
          <cell r="C21" t="str">
            <v>NET_FEE</v>
          </cell>
          <cell r="D21" t="str">
            <v>AUD</v>
          </cell>
          <cell r="F21">
            <v>1766</v>
          </cell>
          <cell r="G21">
            <v>1832</v>
          </cell>
          <cell r="H21">
            <v>2660</v>
          </cell>
          <cell r="I21">
            <v>2715</v>
          </cell>
          <cell r="J21">
            <v>2469</v>
          </cell>
          <cell r="K21">
            <v>2568</v>
          </cell>
          <cell r="L21">
            <v>2630</v>
          </cell>
          <cell r="M21">
            <v>2723</v>
          </cell>
          <cell r="N21">
            <v>1458</v>
          </cell>
          <cell r="O21">
            <v>1468</v>
          </cell>
          <cell r="P21">
            <v>2926</v>
          </cell>
          <cell r="Q21">
            <v>1478</v>
          </cell>
          <cell r="R21">
            <v>1464</v>
          </cell>
          <cell r="S21">
            <v>2942</v>
          </cell>
          <cell r="T21">
            <v>1375</v>
          </cell>
          <cell r="U21">
            <v>1413</v>
          </cell>
          <cell r="V21">
            <v>2788</v>
          </cell>
          <cell r="W21">
            <v>1426</v>
          </cell>
          <cell r="X21">
            <v>1384</v>
          </cell>
          <cell r="Y21">
            <v>2810</v>
          </cell>
          <cell r="Z21">
            <v>1017</v>
          </cell>
          <cell r="AA21">
            <v>1049</v>
          </cell>
          <cell r="AB21">
            <v>2066</v>
          </cell>
          <cell r="AC21">
            <v>991</v>
          </cell>
          <cell r="AD21">
            <v>947</v>
          </cell>
          <cell r="AE21">
            <v>1938</v>
          </cell>
          <cell r="AF21">
            <v>902</v>
          </cell>
          <cell r="AG21">
            <v>778</v>
          </cell>
          <cell r="AH21">
            <v>1680</v>
          </cell>
          <cell r="AI21">
            <v>804</v>
          </cell>
          <cell r="AJ21">
            <v>815</v>
          </cell>
          <cell r="AK21">
            <v>1619</v>
          </cell>
          <cell r="AL21">
            <v>845</v>
          </cell>
          <cell r="AM21">
            <v>827</v>
          </cell>
          <cell r="AN21">
            <v>1672</v>
          </cell>
          <cell r="AO21">
            <v>827</v>
          </cell>
          <cell r="AP21">
            <v>818</v>
          </cell>
          <cell r="AQ21">
            <v>1645</v>
          </cell>
          <cell r="AR21">
            <v>842</v>
          </cell>
          <cell r="AS21">
            <v>830</v>
          </cell>
          <cell r="AT21">
            <v>1672</v>
          </cell>
          <cell r="AU21">
            <v>840</v>
          </cell>
          <cell r="AV21" t="e">
            <v>#N/A</v>
          </cell>
          <cell r="AW21" t="e">
            <v>#N/A</v>
          </cell>
          <cell r="AX21">
            <v>895.69032611864361</v>
          </cell>
          <cell r="AY21">
            <v>922.16868563939465</v>
          </cell>
          <cell r="AZ21">
            <v>1817.8590117580384</v>
          </cell>
          <cell r="BA21">
            <v>928.99726384315977</v>
          </cell>
          <cell r="BB21">
            <v>945.9940184696153</v>
          </cell>
          <cell r="BC21">
            <v>1874.991282312775</v>
          </cell>
          <cell r="BD21">
            <v>954.50263310004539</v>
          </cell>
          <cell r="BE21">
            <v>964.61949918202788</v>
          </cell>
          <cell r="BF21">
            <v>1919.1221322820734</v>
          </cell>
          <cell r="BG21">
            <v>971.34160859052599</v>
          </cell>
          <cell r="BH21">
            <v>984.98119677996419</v>
          </cell>
          <cell r="BI21">
            <v>1956.3228053704902</v>
          </cell>
          <cell r="BJ21">
            <v>986.5382435250857</v>
          </cell>
          <cell r="BK21">
            <v>997.39154846447286</v>
          </cell>
          <cell r="BL21">
            <v>1983.9297919895585</v>
          </cell>
          <cell r="BM21">
            <v>1018.2331662344616</v>
          </cell>
          <cell r="BN21">
            <v>1027.319808498281</v>
          </cell>
          <cell r="BO21">
            <v>2045.5529747327428</v>
          </cell>
          <cell r="BP21">
            <v>1051.4808289441944</v>
          </cell>
          <cell r="BQ21">
            <v>1055.4594928471836</v>
          </cell>
          <cell r="BR21">
            <v>2106.9403217913778</v>
          </cell>
          <cell r="BS21">
            <v>1080.3713973042723</v>
          </cell>
          <cell r="BT21">
            <v>1090.3074494626512</v>
          </cell>
          <cell r="BU21">
            <v>2170.6788467669235</v>
          </cell>
          <cell r="BV21">
            <v>1113.0932878156532</v>
          </cell>
          <cell r="BW21">
            <v>1123.2142900305969</v>
          </cell>
          <cell r="BX21">
            <v>2236.3075778462503</v>
          </cell>
        </row>
        <row r="22">
          <cell r="B22" t="str">
            <v>Other operating income</v>
          </cell>
          <cell r="C22" t="str">
            <v>OTH_INC</v>
          </cell>
          <cell r="D22" t="str">
            <v>AUD</v>
          </cell>
          <cell r="F22">
            <v>1165</v>
          </cell>
          <cell r="G22">
            <v>1281</v>
          </cell>
          <cell r="H22">
            <v>1695</v>
          </cell>
          <cell r="I22">
            <v>1305</v>
          </cell>
          <cell r="J22">
            <v>1789</v>
          </cell>
          <cell r="K22">
            <v>1828</v>
          </cell>
          <cell r="L22">
            <v>2036</v>
          </cell>
          <cell r="M22">
            <v>2128</v>
          </cell>
          <cell r="N22">
            <v>1178</v>
          </cell>
          <cell r="O22">
            <v>1203</v>
          </cell>
          <cell r="P22">
            <v>2381</v>
          </cell>
          <cell r="Q22">
            <v>1183</v>
          </cell>
          <cell r="R22">
            <v>1212</v>
          </cell>
          <cell r="S22">
            <v>2395</v>
          </cell>
          <cell r="T22">
            <v>981</v>
          </cell>
          <cell r="U22">
            <v>995</v>
          </cell>
          <cell r="V22">
            <v>1976</v>
          </cell>
          <cell r="W22">
            <v>929</v>
          </cell>
          <cell r="X22">
            <v>896</v>
          </cell>
          <cell r="Y22">
            <v>1825</v>
          </cell>
          <cell r="Z22">
            <v>998</v>
          </cell>
          <cell r="AA22">
            <v>988</v>
          </cell>
          <cell r="AB22">
            <v>1986</v>
          </cell>
          <cell r="AC22">
            <v>259</v>
          </cell>
          <cell r="AD22">
            <v>598</v>
          </cell>
          <cell r="AE22">
            <v>857</v>
          </cell>
          <cell r="AF22">
            <v>344</v>
          </cell>
          <cell r="AG22">
            <v>588</v>
          </cell>
          <cell r="AH22">
            <v>932</v>
          </cell>
          <cell r="AI22">
            <v>1073</v>
          </cell>
          <cell r="AJ22">
            <v>917</v>
          </cell>
          <cell r="AK22">
            <v>1990</v>
          </cell>
          <cell r="AL22">
            <v>774</v>
          </cell>
          <cell r="AM22">
            <v>-645</v>
          </cell>
          <cell r="AN22">
            <v>129</v>
          </cell>
          <cell r="AO22">
            <v>676</v>
          </cell>
          <cell r="AP22">
            <v>207</v>
          </cell>
          <cell r="AQ22">
            <v>883</v>
          </cell>
          <cell r="AR22">
            <v>254</v>
          </cell>
          <cell r="AS22">
            <v>232</v>
          </cell>
          <cell r="AT22">
            <v>486</v>
          </cell>
          <cell r="AU22">
            <v>248</v>
          </cell>
          <cell r="AV22" t="e">
            <v>#N/A</v>
          </cell>
          <cell r="AW22" t="e">
            <v>#N/A</v>
          </cell>
          <cell r="AX22">
            <v>272.57765690376556</v>
          </cell>
          <cell r="AY22">
            <v>276.20424339209745</v>
          </cell>
          <cell r="AZ22">
            <v>548.78190029586324</v>
          </cell>
          <cell r="BA22">
            <v>279.88045407902774</v>
          </cell>
          <cell r="BB22">
            <v>283.60699390629577</v>
          </cell>
          <cell r="BC22">
            <v>563.48744798532357</v>
          </cell>
          <cell r="BD22">
            <v>287.38457830515961</v>
          </cell>
          <cell r="BE22">
            <v>291.21393336088079</v>
          </cell>
          <cell r="BF22">
            <v>578.59851166603994</v>
          </cell>
          <cell r="BG22">
            <v>295.09579597992843</v>
          </cell>
          <cell r="BH22">
            <v>299.03091405995815</v>
          </cell>
          <cell r="BI22">
            <v>594.12671003988635</v>
          </cell>
          <cell r="BJ22">
            <v>303.02004666259757</v>
          </cell>
          <cell r="BK22">
            <v>307.06396418910731</v>
          </cell>
          <cell r="BL22">
            <v>610.08401085170453</v>
          </cell>
          <cell r="BM22">
            <v>308.53666965764864</v>
          </cell>
          <cell r="BN22">
            <v>313.29318770864893</v>
          </cell>
          <cell r="BO22">
            <v>621.82985736629735</v>
          </cell>
          <cell r="BP22">
            <v>315.41229638291452</v>
          </cell>
          <cell r="BQ22">
            <v>318.28889534175687</v>
          </cell>
          <cell r="BR22">
            <v>633.70119172467162</v>
          </cell>
          <cell r="BS22">
            <v>320.17886605699448</v>
          </cell>
          <cell r="BT22">
            <v>324.59899307113858</v>
          </cell>
          <cell r="BU22">
            <v>644.77785912813351</v>
          </cell>
          <cell r="BV22">
            <v>325.34660958638642</v>
          </cell>
          <cell r="BW22">
            <v>329.53393966141459</v>
          </cell>
          <cell r="BX22">
            <v>654.8805492478009</v>
          </cell>
        </row>
        <row r="23">
          <cell r="B23" t="str">
            <v>Non-interest income</v>
          </cell>
          <cell r="C23" t="str">
            <v>NON_INT_INC</v>
          </cell>
          <cell r="D23" t="str">
            <v>AUD</v>
          </cell>
          <cell r="F23">
            <v>3456</v>
          </cell>
          <cell r="G23">
            <v>3773</v>
          </cell>
          <cell r="H23">
            <v>5206</v>
          </cell>
          <cell r="I23">
            <v>5034</v>
          </cell>
          <cell r="J23">
            <v>5055</v>
          </cell>
          <cell r="K23">
            <v>4954</v>
          </cell>
          <cell r="L23">
            <v>5513</v>
          </cell>
          <cell r="M23">
            <v>5921</v>
          </cell>
          <cell r="N23">
            <v>3182</v>
          </cell>
          <cell r="O23">
            <v>3142</v>
          </cell>
          <cell r="P23">
            <v>6324</v>
          </cell>
          <cell r="Q23">
            <v>3086</v>
          </cell>
          <cell r="R23">
            <v>3215</v>
          </cell>
          <cell r="S23">
            <v>6301</v>
          </cell>
          <cell r="T23">
            <v>2966</v>
          </cell>
          <cell r="U23">
            <v>2922</v>
          </cell>
          <cell r="V23">
            <v>5888</v>
          </cell>
          <cell r="W23">
            <v>3068</v>
          </cell>
          <cell r="X23">
            <v>2784</v>
          </cell>
          <cell r="Y23">
            <v>5852</v>
          </cell>
          <cell r="Z23">
            <v>2522</v>
          </cell>
          <cell r="AA23">
            <v>2456</v>
          </cell>
          <cell r="AB23">
            <v>4978</v>
          </cell>
          <cell r="AC23">
            <v>1714</v>
          </cell>
          <cell r="AD23">
            <v>1988</v>
          </cell>
          <cell r="AE23">
            <v>3702</v>
          </cell>
          <cell r="AF23">
            <v>1675</v>
          </cell>
          <cell r="AG23">
            <v>1865</v>
          </cell>
          <cell r="AH23">
            <v>3540</v>
          </cell>
          <cell r="AI23">
            <v>2330</v>
          </cell>
          <cell r="AJ23">
            <v>1994</v>
          </cell>
          <cell r="AK23">
            <v>4324</v>
          </cell>
          <cell r="AL23">
            <v>1942</v>
          </cell>
          <cell r="AM23">
            <v>503</v>
          </cell>
          <cell r="AN23">
            <v>2445</v>
          </cell>
          <cell r="AO23">
            <v>1890</v>
          </cell>
          <cell r="AP23">
            <v>1438</v>
          </cell>
          <cell r="AQ23">
            <v>3328</v>
          </cell>
          <cell r="AR23">
            <v>1463</v>
          </cell>
          <cell r="AS23">
            <v>1372</v>
          </cell>
          <cell r="AT23">
            <v>2835</v>
          </cell>
          <cell r="AU23">
            <v>1424</v>
          </cell>
          <cell r="AV23" t="e">
            <v>#N/A</v>
          </cell>
          <cell r="AW23" t="e">
            <v>#N/A</v>
          </cell>
          <cell r="AX23">
            <v>1527.8929830224092</v>
          </cell>
          <cell r="AY23">
            <v>1593.9604290314921</v>
          </cell>
          <cell r="AZ23">
            <v>3121.8534120539016</v>
          </cell>
          <cell r="BA23">
            <v>1564.9064679221876</v>
          </cell>
          <cell r="BB23">
            <v>1603.4311998759113</v>
          </cell>
          <cell r="BC23">
            <v>3168.3376677980987</v>
          </cell>
          <cell r="BD23">
            <v>1605.0365364052052</v>
          </cell>
          <cell r="BE23">
            <v>1648.3551294179088</v>
          </cell>
          <cell r="BF23">
            <v>3253.3916658231137</v>
          </cell>
          <cell r="BG23">
            <v>1636.8497160704546</v>
          </cell>
          <cell r="BH23">
            <v>1696.1598925586725</v>
          </cell>
          <cell r="BI23">
            <v>3333.0096086291269</v>
          </cell>
          <cell r="BJ23">
            <v>1667.3788479176833</v>
          </cell>
          <cell r="BK23">
            <v>1737.2106834582678</v>
          </cell>
          <cell r="BL23">
            <v>3404.5895313759511</v>
          </cell>
          <cell r="BM23">
            <v>1764.4135399040845</v>
          </cell>
          <cell r="BN23">
            <v>1788.5483542550285</v>
          </cell>
          <cell r="BO23">
            <v>3552.9618941591129</v>
          </cell>
          <cell r="BP23">
            <v>1821.8383884319946</v>
          </cell>
          <cell r="BQ23">
            <v>1837.0846667278242</v>
          </cell>
          <cell r="BR23">
            <v>3658.9230551598189</v>
          </cell>
          <cell r="BS23">
            <v>1871.1450262226197</v>
          </cell>
          <cell r="BT23">
            <v>1896.8255347029544</v>
          </cell>
          <cell r="BU23">
            <v>3767.9705609255743</v>
          </cell>
          <cell r="BV23">
            <v>1926.582618517258</v>
          </cell>
          <cell r="BW23">
            <v>1952.6491363231817</v>
          </cell>
          <cell r="BX23">
            <v>3879.2317548404399</v>
          </cell>
        </row>
        <row r="24">
          <cell r="B24" t="str">
            <v>Gain on sale of securities</v>
          </cell>
          <cell r="C24" t="str">
            <v>B_GAIN_SALE_SEC</v>
          </cell>
          <cell r="D24" t="str">
            <v>AUD</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row>
        <row r="25">
          <cell r="B25" t="str">
            <v>Sales, net revenue</v>
          </cell>
          <cell r="C25" t="str">
            <v>SALES</v>
          </cell>
          <cell r="D25" t="str">
            <v>AUD</v>
          </cell>
          <cell r="F25">
            <v>9098</v>
          </cell>
          <cell r="G25">
            <v>10086</v>
          </cell>
          <cell r="H25">
            <v>14858</v>
          </cell>
          <cell r="I25">
            <v>16823</v>
          </cell>
          <cell r="J25">
            <v>16910</v>
          </cell>
          <cell r="K25">
            <v>17123</v>
          </cell>
          <cell r="L25">
            <v>18076</v>
          </cell>
          <cell r="M25">
            <v>18833</v>
          </cell>
          <cell r="N25">
            <v>9859</v>
          </cell>
          <cell r="O25">
            <v>9961</v>
          </cell>
          <cell r="P25">
            <v>19820</v>
          </cell>
          <cell r="Q25">
            <v>10020</v>
          </cell>
          <cell r="R25">
            <v>10520</v>
          </cell>
          <cell r="S25">
            <v>20540</v>
          </cell>
          <cell r="T25">
            <v>10619</v>
          </cell>
          <cell r="U25">
            <v>10617</v>
          </cell>
          <cell r="V25">
            <v>21236</v>
          </cell>
          <cell r="W25">
            <v>10761</v>
          </cell>
          <cell r="X25">
            <v>10795</v>
          </cell>
          <cell r="Y25">
            <v>21556</v>
          </cell>
          <cell r="Z25">
            <v>11239</v>
          </cell>
          <cell r="AA25">
            <v>10926</v>
          </cell>
          <cell r="AB25">
            <v>22165</v>
          </cell>
          <cell r="AC25">
            <v>10103</v>
          </cell>
          <cell r="AD25">
            <v>10552</v>
          </cell>
          <cell r="AE25">
            <v>20655</v>
          </cell>
          <cell r="AF25">
            <v>10341</v>
          </cell>
          <cell r="AG25">
            <v>10285</v>
          </cell>
          <cell r="AH25">
            <v>20626</v>
          </cell>
          <cell r="AI25">
            <v>10799</v>
          </cell>
          <cell r="AJ25">
            <v>10239</v>
          </cell>
          <cell r="AK25">
            <v>21038</v>
          </cell>
          <cell r="AL25">
            <v>10230</v>
          </cell>
          <cell r="AM25">
            <v>9376</v>
          </cell>
          <cell r="AN25">
            <v>19606</v>
          </cell>
          <cell r="AO25">
            <v>11003</v>
          </cell>
          <cell r="AP25">
            <v>10642</v>
          </cell>
          <cell r="AQ25">
            <v>21645</v>
          </cell>
          <cell r="AR25">
            <v>10590</v>
          </cell>
          <cell r="AS25">
            <v>10998</v>
          </cell>
          <cell r="AT25">
            <v>21588</v>
          </cell>
          <cell r="AU25">
            <v>10992.679498400001</v>
          </cell>
          <cell r="AV25" t="e">
            <v>#N/A</v>
          </cell>
          <cell r="AW25" t="e">
            <v>#N/A</v>
          </cell>
          <cell r="AX25">
            <v>11524.265110527222</v>
          </cell>
          <cell r="AY25">
            <v>11777.650285508242</v>
          </cell>
          <cell r="AZ25">
            <v>23301.915396035463</v>
          </cell>
          <cell r="BA25">
            <v>11804.222462353551</v>
          </cell>
          <cell r="BB25">
            <v>12041.103132002627</v>
          </cell>
          <cell r="BC25">
            <v>23845.325594356178</v>
          </cell>
          <cell r="BD25">
            <v>12207.112302094458</v>
          </cell>
          <cell r="BE25">
            <v>12436.578277137287</v>
          </cell>
          <cell r="BF25">
            <v>24643.690579231745</v>
          </cell>
          <cell r="BG25">
            <v>12576.857063585692</v>
          </cell>
          <cell r="BH25">
            <v>12870.324134530307</v>
          </cell>
          <cell r="BI25">
            <v>25447.181198115999</v>
          </cell>
          <cell r="BJ25">
            <v>12942.968406095541</v>
          </cell>
          <cell r="BK25">
            <v>13224.938543596838</v>
          </cell>
          <cell r="BL25">
            <v>26167.906949692377</v>
          </cell>
          <cell r="BM25">
            <v>13330.898043488294</v>
          </cell>
          <cell r="BN25">
            <v>13569.979593467737</v>
          </cell>
          <cell r="BO25">
            <v>26900.877636956033</v>
          </cell>
          <cell r="BP25">
            <v>13727.339976758492</v>
          </cell>
          <cell r="BQ25">
            <v>13900.627987727394</v>
          </cell>
          <cell r="BR25">
            <v>27627.967964485888</v>
          </cell>
          <cell r="BS25">
            <v>14061.033784168611</v>
          </cell>
          <cell r="BT25">
            <v>14315.771555965592</v>
          </cell>
          <cell r="BU25">
            <v>28376.805340134204</v>
          </cell>
          <cell r="BV25">
            <v>14440.667793884702</v>
          </cell>
          <cell r="BW25">
            <v>14701.21879858952</v>
          </cell>
          <cell r="BX25">
            <v>29141.88659247422</v>
          </cell>
        </row>
        <row r="26">
          <cell r="B26" t="str">
            <v>Compensation &amp; benfits expense</v>
          </cell>
          <cell r="C26" t="str">
            <v>PERSONNEL</v>
          </cell>
          <cell r="D26" t="str">
            <v>AUD</v>
          </cell>
          <cell r="F26">
            <v>-2324</v>
          </cell>
          <cell r="G26">
            <v>-2557</v>
          </cell>
          <cell r="H26">
            <v>-3578</v>
          </cell>
          <cell r="I26">
            <v>-3744</v>
          </cell>
          <cell r="J26">
            <v>-3884</v>
          </cell>
          <cell r="K26">
            <v>-3988</v>
          </cell>
          <cell r="L26">
            <v>-4106</v>
          </cell>
          <cell r="M26">
            <v>-4336</v>
          </cell>
          <cell r="N26">
            <v>-2344</v>
          </cell>
          <cell r="O26">
            <v>-2294</v>
          </cell>
          <cell r="P26">
            <v>-4638</v>
          </cell>
          <cell r="Q26">
            <v>-2320</v>
          </cell>
          <cell r="R26">
            <v>-2311</v>
          </cell>
          <cell r="S26">
            <v>-4631</v>
          </cell>
          <cell r="T26">
            <v>-2298</v>
          </cell>
          <cell r="U26">
            <v>-2293</v>
          </cell>
          <cell r="V26">
            <v>-4591</v>
          </cell>
          <cell r="W26">
            <v>-2326</v>
          </cell>
          <cell r="X26">
            <v>-2340</v>
          </cell>
          <cell r="Y26">
            <v>-4666</v>
          </cell>
          <cell r="Z26">
            <v>-2419</v>
          </cell>
          <cell r="AA26">
            <v>-2518</v>
          </cell>
          <cell r="AB26">
            <v>-4937</v>
          </cell>
          <cell r="AC26">
            <v>-2624</v>
          </cell>
          <cell r="AD26">
            <v>-2393</v>
          </cell>
          <cell r="AE26">
            <v>-5017</v>
          </cell>
          <cell r="AF26">
            <v>-2383</v>
          </cell>
          <cell r="AG26">
            <v>-2506</v>
          </cell>
          <cell r="AH26">
            <v>-4889</v>
          </cell>
          <cell r="AI26">
            <v>-2771</v>
          </cell>
          <cell r="AJ26">
            <v>-3263</v>
          </cell>
          <cell r="AK26">
            <v>-6034</v>
          </cell>
          <cell r="AL26">
            <v>-2982</v>
          </cell>
          <cell r="AM26">
            <v>-2884</v>
          </cell>
          <cell r="AN26">
            <v>-5866</v>
          </cell>
          <cell r="AO26">
            <v>-2892</v>
          </cell>
          <cell r="AP26">
            <v>-3206</v>
          </cell>
          <cell r="AQ26">
            <v>-6098</v>
          </cell>
          <cell r="AR26">
            <v>-2931</v>
          </cell>
          <cell r="AS26">
            <v>-2968</v>
          </cell>
          <cell r="AT26">
            <v>-5899</v>
          </cell>
          <cell r="AU26">
            <v>-3115</v>
          </cell>
          <cell r="AV26" t="e">
            <v>#N/A</v>
          </cell>
          <cell r="AW26" t="e">
            <v>#N/A</v>
          </cell>
          <cell r="AX26">
            <v>-3231.8199999999997</v>
          </cell>
          <cell r="AY26">
            <v>-3180.9532891666663</v>
          </cell>
          <cell r="AZ26">
            <v>-6412.7732891666656</v>
          </cell>
          <cell r="BA26">
            <v>-3287.3915158277764</v>
          </cell>
          <cell r="BB26">
            <v>-3334.9329876624915</v>
          </cell>
          <cell r="BC26">
            <v>-6622.3245034902684</v>
          </cell>
          <cell r="BD26">
            <v>-3414.3678479086529</v>
          </cell>
          <cell r="BE26">
            <v>-3439.4867639648464</v>
          </cell>
          <cell r="BF26">
            <v>-6853.8546118734994</v>
          </cell>
          <cell r="BG26">
            <v>-3487.5251320142547</v>
          </cell>
          <cell r="BH26">
            <v>-3487.592892086951</v>
          </cell>
          <cell r="BI26">
            <v>-6975.1180241012062</v>
          </cell>
          <cell r="BJ26">
            <v>-3496.7454633629782</v>
          </cell>
          <cell r="BK26">
            <v>-3466.5905635964095</v>
          </cell>
          <cell r="BL26">
            <v>-6963.3360269593877</v>
          </cell>
          <cell r="BM26">
            <v>-3529.7877049615267</v>
          </cell>
          <cell r="BN26">
            <v>-3620.2014654353543</v>
          </cell>
          <cell r="BO26">
            <v>-7149.9891703968806</v>
          </cell>
          <cell r="BP26">
            <v>-3682.5304028359446</v>
          </cell>
          <cell r="BQ26">
            <v>-3756.1726505091278</v>
          </cell>
          <cell r="BR26">
            <v>-7438.7030533450725</v>
          </cell>
          <cell r="BS26">
            <v>-3820.7679865672912</v>
          </cell>
          <cell r="BT26">
            <v>-3899.2851105412119</v>
          </cell>
          <cell r="BU26">
            <v>-7720.0530971085027</v>
          </cell>
          <cell r="BV26">
            <v>-3955.457478058021</v>
          </cell>
          <cell r="BW26">
            <v>-4036.6946583562199</v>
          </cell>
          <cell r="BX26">
            <v>-7992.1521364142409</v>
          </cell>
        </row>
        <row r="27">
          <cell r="B27" t="str">
            <v>Other administration costs</v>
          </cell>
          <cell r="C27" t="str">
            <v>OTH_ADMIN</v>
          </cell>
          <cell r="D27" t="str">
            <v>AUD</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t="e">
            <v>#N/A</v>
          </cell>
          <cell r="AW27" t="e">
            <v>#N/A</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row>
        <row r="28">
          <cell r="B28" t="str">
            <v>Total operating expense</v>
          </cell>
          <cell r="C28" t="str">
            <v>OP_COST</v>
          </cell>
          <cell r="D28" t="str">
            <v>AUD</v>
          </cell>
          <cell r="F28">
            <v>-4295</v>
          </cell>
          <cell r="G28">
            <v>-4543</v>
          </cell>
          <cell r="H28">
            <v>-6440</v>
          </cell>
          <cell r="I28">
            <v>-6740</v>
          </cell>
          <cell r="J28">
            <v>-6972</v>
          </cell>
          <cell r="K28">
            <v>-7106</v>
          </cell>
          <cell r="L28">
            <v>-7379</v>
          </cell>
          <cell r="M28">
            <v>-7759</v>
          </cell>
          <cell r="N28">
            <v>-4065</v>
          </cell>
          <cell r="O28">
            <v>-4181</v>
          </cell>
          <cell r="P28">
            <v>-8246</v>
          </cell>
          <cell r="Q28">
            <v>-4254</v>
          </cell>
          <cell r="R28">
            <v>-4381</v>
          </cell>
          <cell r="S28">
            <v>-8635</v>
          </cell>
          <cell r="T28">
            <v>-4419</v>
          </cell>
          <cell r="U28">
            <v>-4512</v>
          </cell>
          <cell r="V28">
            <v>-8931</v>
          </cell>
          <cell r="W28">
            <v>-4501</v>
          </cell>
          <cell r="X28">
            <v>-4604</v>
          </cell>
          <cell r="Y28">
            <v>-9105</v>
          </cell>
          <cell r="Z28">
            <v>-4691</v>
          </cell>
          <cell r="AA28">
            <v>-5007</v>
          </cell>
          <cell r="AB28">
            <v>-9698</v>
          </cell>
          <cell r="AC28">
            <v>-5041</v>
          </cell>
          <cell r="AD28">
            <v>-4990</v>
          </cell>
          <cell r="AE28">
            <v>-10031</v>
          </cell>
          <cell r="AF28">
            <v>-6160</v>
          </cell>
          <cell r="AG28">
            <v>-6540</v>
          </cell>
          <cell r="AH28">
            <v>-12700</v>
          </cell>
          <cell r="AI28">
            <v>-5981</v>
          </cell>
          <cell r="AJ28">
            <v>-7302</v>
          </cell>
          <cell r="AK28">
            <v>-13283</v>
          </cell>
          <cell r="AL28">
            <v>-5366</v>
          </cell>
          <cell r="AM28">
            <v>-5425</v>
          </cell>
          <cell r="AN28">
            <v>-10791</v>
          </cell>
          <cell r="AO28">
            <v>-4988</v>
          </cell>
          <cell r="AP28">
            <v>-5704</v>
          </cell>
          <cell r="AQ28">
            <v>-10692</v>
          </cell>
          <cell r="AR28">
            <v>-5395</v>
          </cell>
          <cell r="AS28">
            <v>-5549</v>
          </cell>
          <cell r="AT28">
            <v>-10944</v>
          </cell>
          <cell r="AU28">
            <v>-5698</v>
          </cell>
          <cell r="AV28" t="e">
            <v>#N/A</v>
          </cell>
          <cell r="AW28" t="e">
            <v>#N/A</v>
          </cell>
          <cell r="AX28">
            <v>-5877.0275000000001</v>
          </cell>
          <cell r="AY28">
            <v>-5989.7638895833334</v>
          </cell>
          <cell r="AZ28">
            <v>-11866.791389583334</v>
          </cell>
          <cell r="BA28">
            <v>-5993.491992199999</v>
          </cell>
          <cell r="BB28">
            <v>-6220.81154765061</v>
          </cell>
          <cell r="BC28">
            <v>-12214.303539850609</v>
          </cell>
          <cell r="BD28">
            <v>-6158.7303868590006</v>
          </cell>
          <cell r="BE28">
            <v>-6357.4143855363727</v>
          </cell>
          <cell r="BF28">
            <v>-12516.144772395373</v>
          </cell>
          <cell r="BG28">
            <v>-6252.6744875693212</v>
          </cell>
          <cell r="BH28">
            <v>-6440.3567650332861</v>
          </cell>
          <cell r="BI28">
            <v>-12693.031252602606</v>
          </cell>
          <cell r="BJ28">
            <v>-6299.7708962381976</v>
          </cell>
          <cell r="BK28">
            <v>-6470.721426647191</v>
          </cell>
          <cell r="BL28">
            <v>-12770.492322885388</v>
          </cell>
          <cell r="BM28">
            <v>-6346.3408640848793</v>
          </cell>
          <cell r="BN28">
            <v>-6590.9369912930069</v>
          </cell>
          <cell r="BO28">
            <v>-12937.277855377886</v>
          </cell>
          <cell r="BP28">
            <v>-6577.1933862395726</v>
          </cell>
          <cell r="BQ28">
            <v>-6800.9876014969286</v>
          </cell>
          <cell r="BR28">
            <v>-13378.180987736501</v>
          </cell>
          <cell r="BS28">
            <v>-6783.6346375981457</v>
          </cell>
          <cell r="BT28">
            <v>-7012.812613655411</v>
          </cell>
          <cell r="BU28">
            <v>-13796.447251253558</v>
          </cell>
          <cell r="BV28">
            <v>-6979.8604280210511</v>
          </cell>
          <cell r="BW28">
            <v>-7213.6887242200264</v>
          </cell>
          <cell r="BX28">
            <v>-14193.549152241078</v>
          </cell>
        </row>
        <row r="29">
          <cell r="B29" t="str">
            <v>Depreciation</v>
          </cell>
          <cell r="C29" t="str">
            <v>DEPREC</v>
          </cell>
          <cell r="D29" t="str">
            <v>AUD</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t="e">
            <v>#N/A</v>
          </cell>
          <cell r="AW29" t="e">
            <v>#N/A</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row>
        <row r="30">
          <cell r="B30" t="str">
            <v>Amortization</v>
          </cell>
          <cell r="C30" t="str">
            <v>GOODWILL_AMORT</v>
          </cell>
          <cell r="D30" t="str">
            <v>AUD</v>
          </cell>
          <cell r="F30">
            <v>-87.5</v>
          </cell>
          <cell r="G30">
            <v>-187</v>
          </cell>
          <cell r="H30">
            <v>-351</v>
          </cell>
          <cell r="I30">
            <v>-281</v>
          </cell>
          <cell r="J30">
            <v>-301</v>
          </cell>
          <cell r="K30">
            <v>-259</v>
          </cell>
          <cell r="L30">
            <v>-329</v>
          </cell>
          <cell r="M30">
            <v>-388</v>
          </cell>
          <cell r="N30">
            <v>-209</v>
          </cell>
          <cell r="O30">
            <v>-256</v>
          </cell>
          <cell r="P30">
            <v>-465</v>
          </cell>
          <cell r="Q30">
            <v>-254</v>
          </cell>
          <cell r="R30">
            <v>-291</v>
          </cell>
          <cell r="S30">
            <v>-545</v>
          </cell>
          <cell r="T30">
            <v>-271</v>
          </cell>
          <cell r="U30">
            <v>-294</v>
          </cell>
          <cell r="V30">
            <v>-565</v>
          </cell>
          <cell r="W30">
            <v>-303</v>
          </cell>
          <cell r="X30">
            <v>-311</v>
          </cell>
          <cell r="Y30">
            <v>-614</v>
          </cell>
          <cell r="Z30">
            <v>-301</v>
          </cell>
          <cell r="AA30">
            <v>-317</v>
          </cell>
          <cell r="AB30">
            <v>-618</v>
          </cell>
          <cell r="AC30">
            <v>-318</v>
          </cell>
          <cell r="AD30">
            <v>-376</v>
          </cell>
          <cell r="AE30">
            <v>-694</v>
          </cell>
          <cell r="AF30">
            <v>-393</v>
          </cell>
          <cell r="AG30">
            <v>-406</v>
          </cell>
          <cell r="AH30">
            <v>-799</v>
          </cell>
          <cell r="AI30">
            <v>-384</v>
          </cell>
          <cell r="AJ30">
            <v>-371</v>
          </cell>
          <cell r="AK30">
            <v>-755</v>
          </cell>
          <cell r="AL30">
            <v>-283</v>
          </cell>
          <cell r="AM30">
            <v>-262</v>
          </cell>
          <cell r="AN30">
            <v>-545</v>
          </cell>
          <cell r="AO30">
            <v>-250</v>
          </cell>
          <cell r="AP30">
            <v>-371</v>
          </cell>
          <cell r="AQ30">
            <v>-621</v>
          </cell>
          <cell r="AR30">
            <v>-442</v>
          </cell>
          <cell r="AS30">
            <v>-447</v>
          </cell>
          <cell r="AT30">
            <v>-889</v>
          </cell>
          <cell r="AU30">
            <v>-485</v>
          </cell>
          <cell r="AV30" t="e">
            <v>#N/A</v>
          </cell>
          <cell r="AW30" t="e">
            <v>#N/A</v>
          </cell>
          <cell r="AX30">
            <v>-519.01</v>
          </cell>
          <cell r="AY30">
            <v>-511.35765833333335</v>
          </cell>
          <cell r="AZ30">
            <v>-1030.3676583333333</v>
          </cell>
          <cell r="BA30">
            <v>-513.20509533333325</v>
          </cell>
          <cell r="BB30">
            <v>-490.82569005555547</v>
          </cell>
          <cell r="BC30">
            <v>-1004.0307853888887</v>
          </cell>
          <cell r="BD30">
            <v>-477.92191684722223</v>
          </cell>
          <cell r="BE30">
            <v>-445.51591023958338</v>
          </cell>
          <cell r="BF30">
            <v>-923.43782708680556</v>
          </cell>
          <cell r="BG30">
            <v>-447.23366146440981</v>
          </cell>
          <cell r="BH30">
            <v>-425.11195288059906</v>
          </cell>
          <cell r="BI30">
            <v>-872.34561434500893</v>
          </cell>
          <cell r="BJ30">
            <v>-435.32359530871321</v>
          </cell>
          <cell r="BK30">
            <v>-418.8700044672953</v>
          </cell>
          <cell r="BL30">
            <v>-854.19359977600857</v>
          </cell>
          <cell r="BM30">
            <v>-368.66890694799213</v>
          </cell>
          <cell r="BN30">
            <v>-392.41591449158625</v>
          </cell>
          <cell r="BO30">
            <v>-761.08482143957838</v>
          </cell>
          <cell r="BP30">
            <v>-409.72147101852738</v>
          </cell>
          <cell r="BQ30">
            <v>-426.40394642780768</v>
          </cell>
          <cell r="BR30">
            <v>-836.12541744633506</v>
          </cell>
          <cell r="BS30">
            <v>-440.36329550173923</v>
          </cell>
          <cell r="BT30">
            <v>-456.50376038120743</v>
          </cell>
          <cell r="BU30">
            <v>-896.86705588294672</v>
          </cell>
          <cell r="BV30">
            <v>-466.61039758656761</v>
          </cell>
          <cell r="BW30">
            <v>-480.86651787354504</v>
          </cell>
          <cell r="BX30">
            <v>-947.47691546011265</v>
          </cell>
        </row>
        <row r="31">
          <cell r="B31" t="str">
            <v>Other costs</v>
          </cell>
          <cell r="C31" t="str">
            <v>OTH_COST</v>
          </cell>
          <cell r="D31" t="str">
            <v>AUD</v>
          </cell>
          <cell r="F31">
            <v>-1883.5</v>
          </cell>
          <cell r="G31">
            <v>-1799</v>
          </cell>
          <cell r="H31">
            <v>-2511</v>
          </cell>
          <cell r="I31">
            <v>-2715</v>
          </cell>
          <cell r="J31">
            <v>-2787</v>
          </cell>
          <cell r="K31">
            <v>-2859</v>
          </cell>
          <cell r="L31">
            <v>-2944</v>
          </cell>
          <cell r="M31">
            <v>-3035</v>
          </cell>
          <cell r="N31">
            <v>-1512</v>
          </cell>
          <cell r="O31">
            <v>-1631</v>
          </cell>
          <cell r="P31">
            <v>-3143</v>
          </cell>
          <cell r="Q31">
            <v>-1680</v>
          </cell>
          <cell r="R31">
            <v>-1779</v>
          </cell>
          <cell r="S31">
            <v>-3459</v>
          </cell>
          <cell r="T31">
            <v>-1850</v>
          </cell>
          <cell r="U31">
            <v>-1925</v>
          </cell>
          <cell r="V31">
            <v>-3775</v>
          </cell>
          <cell r="W31">
            <v>-1872</v>
          </cell>
          <cell r="X31">
            <v>-1953</v>
          </cell>
          <cell r="Y31">
            <v>-3825</v>
          </cell>
          <cell r="Z31">
            <v>-1971</v>
          </cell>
          <cell r="AA31">
            <v>-2172</v>
          </cell>
          <cell r="AB31">
            <v>-4143</v>
          </cell>
          <cell r="AC31">
            <v>-2099</v>
          </cell>
          <cell r="AD31">
            <v>-2221</v>
          </cell>
          <cell r="AE31">
            <v>-4320</v>
          </cell>
          <cell r="AF31">
            <v>-3384</v>
          </cell>
          <cell r="AG31">
            <v>-3628</v>
          </cell>
          <cell r="AH31">
            <v>-7012</v>
          </cell>
          <cell r="AI31">
            <v>-2826</v>
          </cell>
          <cell r="AJ31">
            <v>-3668</v>
          </cell>
          <cell r="AK31">
            <v>-6494</v>
          </cell>
          <cell r="AL31">
            <v>-2101</v>
          </cell>
          <cell r="AM31">
            <v>-2279</v>
          </cell>
          <cell r="AN31">
            <v>-4380</v>
          </cell>
          <cell r="AO31">
            <v>-1846</v>
          </cell>
          <cell r="AP31">
            <v>-2127</v>
          </cell>
          <cell r="AQ31">
            <v>-3973</v>
          </cell>
          <cell r="AR31">
            <v>-2022</v>
          </cell>
          <cell r="AS31">
            <v>-2134</v>
          </cell>
          <cell r="AT31">
            <v>-4156</v>
          </cell>
          <cell r="AU31">
            <v>-2098</v>
          </cell>
          <cell r="AV31" t="e">
            <v>#N/A</v>
          </cell>
          <cell r="AW31" t="e">
            <v>#N/A</v>
          </cell>
          <cell r="AX31">
            <v>-2126.1975000000002</v>
          </cell>
          <cell r="AY31">
            <v>-2297.4529420833337</v>
          </cell>
          <cell r="AZ31">
            <v>-4423.6504420833344</v>
          </cell>
          <cell r="BA31">
            <v>-2192.8953810388894</v>
          </cell>
          <cell r="BB31">
            <v>-2395.0528699325632</v>
          </cell>
          <cell r="BC31">
            <v>-4587.9482509714517</v>
          </cell>
          <cell r="BD31">
            <v>-2266.4406221031254</v>
          </cell>
          <cell r="BE31">
            <v>-2472.411711331943</v>
          </cell>
          <cell r="BF31">
            <v>-4738.8523334350684</v>
          </cell>
          <cell r="BG31">
            <v>-2317.9156940906569</v>
          </cell>
          <cell r="BH31">
            <v>-2527.6519200657362</v>
          </cell>
          <cell r="BI31">
            <v>-4845.5676141563908</v>
          </cell>
          <cell r="BJ31">
            <v>-2367.7018375665061</v>
          </cell>
          <cell r="BK31">
            <v>-2585.260858583486</v>
          </cell>
          <cell r="BL31">
            <v>-4952.9626961499916</v>
          </cell>
          <cell r="BM31">
            <v>-2447.8842521753604</v>
          </cell>
          <cell r="BN31">
            <v>-2578.3196113660665</v>
          </cell>
          <cell r="BO31">
            <v>-5026.2038635414274</v>
          </cell>
          <cell r="BP31">
            <v>-2484.9415123851004</v>
          </cell>
          <cell r="BQ31">
            <v>-2618.4110045599932</v>
          </cell>
          <cell r="BR31">
            <v>-5103.3525169450941</v>
          </cell>
          <cell r="BS31">
            <v>-2522.5033555291152</v>
          </cell>
          <cell r="BT31">
            <v>-2657.0237427329916</v>
          </cell>
          <cell r="BU31">
            <v>-5179.5270982621078</v>
          </cell>
          <cell r="BV31">
            <v>-2557.7925523764625</v>
          </cell>
          <cell r="BW31">
            <v>-2696.1275479902615</v>
          </cell>
          <cell r="BX31">
            <v>-5253.920100366724</v>
          </cell>
        </row>
        <row r="32">
          <cell r="B32" t="str">
            <v>Provision for loans</v>
          </cell>
          <cell r="C32" t="str">
            <v>B_PL_LOANPRV</v>
          </cell>
          <cell r="D32" t="str">
            <v>AUD</v>
          </cell>
          <cell r="F32">
            <v>-375</v>
          </cell>
          <cell r="G32">
            <v>-482</v>
          </cell>
          <cell r="H32">
            <v>-1205</v>
          </cell>
          <cell r="I32">
            <v>-3292</v>
          </cell>
          <cell r="J32">
            <v>-1456</v>
          </cell>
          <cell r="K32">
            <v>-993</v>
          </cell>
          <cell r="L32">
            <v>-1212</v>
          </cell>
          <cell r="M32">
            <v>-847</v>
          </cell>
          <cell r="N32">
            <v>-341</v>
          </cell>
          <cell r="O32">
            <v>-309</v>
          </cell>
          <cell r="P32">
            <v>-650</v>
          </cell>
          <cell r="Q32">
            <v>-341</v>
          </cell>
          <cell r="R32">
            <v>-412</v>
          </cell>
          <cell r="S32">
            <v>-753</v>
          </cell>
          <cell r="T32">
            <v>-667</v>
          </cell>
          <cell r="U32">
            <v>-457</v>
          </cell>
          <cell r="V32">
            <v>-1124</v>
          </cell>
          <cell r="W32">
            <v>-493</v>
          </cell>
          <cell r="X32">
            <v>-360</v>
          </cell>
          <cell r="Y32">
            <v>-853</v>
          </cell>
          <cell r="Z32">
            <v>-444</v>
          </cell>
          <cell r="AA32">
            <v>-368</v>
          </cell>
          <cell r="AB32">
            <v>-812</v>
          </cell>
          <cell r="AC32">
            <v>-333</v>
          </cell>
          <cell r="AD32">
            <v>-461</v>
          </cell>
          <cell r="AE32">
            <v>-794</v>
          </cell>
          <cell r="AF32">
            <v>-2238</v>
          </cell>
          <cell r="AG32">
            <v>-940</v>
          </cell>
          <cell r="AH32">
            <v>-3178</v>
          </cell>
          <cell r="AI32">
            <v>372</v>
          </cell>
          <cell r="AJ32">
            <v>218</v>
          </cell>
          <cell r="AK32">
            <v>590</v>
          </cell>
          <cell r="AL32">
            <v>-139</v>
          </cell>
          <cell r="AM32">
            <v>-196</v>
          </cell>
          <cell r="AN32">
            <v>-335</v>
          </cell>
          <cell r="AO32">
            <v>-390</v>
          </cell>
          <cell r="AP32">
            <v>-258</v>
          </cell>
          <cell r="AQ32">
            <v>-648</v>
          </cell>
          <cell r="AR32">
            <v>-362</v>
          </cell>
          <cell r="AS32">
            <v>-175</v>
          </cell>
          <cell r="AT32">
            <v>-537</v>
          </cell>
          <cell r="AU32">
            <v>-250</v>
          </cell>
          <cell r="AV32" t="e">
            <v>#N/A</v>
          </cell>
          <cell r="AW32" t="e">
            <v>#N/A</v>
          </cell>
          <cell r="AX32">
            <v>-374.49434400444704</v>
          </cell>
          <cell r="AY32">
            <v>-386.80035751975447</v>
          </cell>
          <cell r="AZ32">
            <v>-761.29470152420151</v>
          </cell>
          <cell r="BA32">
            <v>-418.77733724230359</v>
          </cell>
          <cell r="BB32">
            <v>-456.0586965786016</v>
          </cell>
          <cell r="BC32">
            <v>-874.83603382090519</v>
          </cell>
          <cell r="BD32">
            <v>-524.00480862065456</v>
          </cell>
          <cell r="BE32">
            <v>-535.45017161419537</v>
          </cell>
          <cell r="BF32">
            <v>-1059.4549802348499</v>
          </cell>
          <cell r="BG32">
            <v>-514.65383848743375</v>
          </cell>
          <cell r="BH32">
            <v>-493.01387586415649</v>
          </cell>
          <cell r="BI32">
            <v>-1007.6677143515902</v>
          </cell>
          <cell r="BJ32">
            <v>-503.64851254954863</v>
          </cell>
          <cell r="BK32">
            <v>-480.59530969587809</v>
          </cell>
          <cell r="BL32">
            <v>-984.24382224542671</v>
          </cell>
          <cell r="BM32">
            <v>-669.22269703916459</v>
          </cell>
          <cell r="BN32">
            <v>-710.65888425625315</v>
          </cell>
          <cell r="BO32">
            <v>-1379.8815812954176</v>
          </cell>
          <cell r="BP32">
            <v>-786.44705980794311</v>
          </cell>
          <cell r="BQ32">
            <v>-825.7910986794102</v>
          </cell>
          <cell r="BR32">
            <v>-1612.2381584873533</v>
          </cell>
          <cell r="BS32">
            <v>-864.24882025951024</v>
          </cell>
          <cell r="BT32">
            <v>-910.78052581315808</v>
          </cell>
          <cell r="BU32">
            <v>-1775.0293460726684</v>
          </cell>
          <cell r="BV32">
            <v>-915.35891433659287</v>
          </cell>
          <cell r="BW32">
            <v>-929.43865258008213</v>
          </cell>
          <cell r="BX32">
            <v>-1844.7975669166749</v>
          </cell>
        </row>
        <row r="33">
          <cell r="B33" t="str">
            <v>Other P&amp;L provisions</v>
          </cell>
          <cell r="C33" t="str">
            <v>OTH_PROVS</v>
          </cell>
          <cell r="D33" t="str">
            <v>AUD</v>
          </cell>
        </row>
        <row r="34">
          <cell r="B34" t="str">
            <v>General insurance claims</v>
          </cell>
          <cell r="C34" t="str">
            <v>INS_CLAIMS</v>
          </cell>
          <cell r="D34" t="str">
            <v>AUD</v>
          </cell>
        </row>
        <row r="35">
          <cell r="B35" t="str">
            <v>Provisions and write-offs</v>
          </cell>
          <cell r="C35" t="str">
            <v>TOT_PROVS</v>
          </cell>
          <cell r="D35" t="str">
            <v>AUD</v>
          </cell>
          <cell r="F35">
            <v>-375</v>
          </cell>
          <cell r="G35">
            <v>-482</v>
          </cell>
          <cell r="H35">
            <v>-1205</v>
          </cell>
          <cell r="I35">
            <v>-3292</v>
          </cell>
          <cell r="J35">
            <v>-1456</v>
          </cell>
          <cell r="K35">
            <v>-993</v>
          </cell>
          <cell r="L35">
            <v>-1212</v>
          </cell>
          <cell r="M35">
            <v>-847</v>
          </cell>
          <cell r="N35">
            <v>-341</v>
          </cell>
          <cell r="O35">
            <v>-309</v>
          </cell>
          <cell r="P35">
            <v>-650</v>
          </cell>
          <cell r="Q35">
            <v>-341</v>
          </cell>
          <cell r="R35">
            <v>-412</v>
          </cell>
          <cell r="S35">
            <v>-753</v>
          </cell>
          <cell r="T35">
            <v>-667</v>
          </cell>
          <cell r="U35">
            <v>-457</v>
          </cell>
          <cell r="V35">
            <v>-1124</v>
          </cell>
          <cell r="W35">
            <v>-493</v>
          </cell>
          <cell r="X35">
            <v>-360</v>
          </cell>
          <cell r="Y35">
            <v>-853</v>
          </cell>
          <cell r="Z35">
            <v>-444</v>
          </cell>
          <cell r="AA35">
            <v>-368</v>
          </cell>
          <cell r="AB35">
            <v>-812</v>
          </cell>
          <cell r="AC35">
            <v>-333</v>
          </cell>
          <cell r="AD35">
            <v>-461</v>
          </cell>
          <cell r="AE35">
            <v>-794</v>
          </cell>
          <cell r="AF35">
            <v>-2238</v>
          </cell>
          <cell r="AG35">
            <v>-940</v>
          </cell>
          <cell r="AH35">
            <v>-3178</v>
          </cell>
          <cell r="AI35">
            <v>372</v>
          </cell>
          <cell r="AJ35">
            <v>218</v>
          </cell>
          <cell r="AK35">
            <v>590</v>
          </cell>
          <cell r="AL35">
            <v>-139</v>
          </cell>
          <cell r="AM35">
            <v>-196</v>
          </cell>
          <cell r="AN35">
            <v>-335</v>
          </cell>
          <cell r="AO35">
            <v>-390</v>
          </cell>
          <cell r="AP35">
            <v>-258</v>
          </cell>
          <cell r="AQ35">
            <v>-648</v>
          </cell>
          <cell r="AR35">
            <v>-362</v>
          </cell>
          <cell r="AS35">
            <v>-175</v>
          </cell>
          <cell r="AT35">
            <v>-537</v>
          </cell>
          <cell r="AU35">
            <v>-250</v>
          </cell>
          <cell r="AV35" t="e">
            <v>#N/A</v>
          </cell>
          <cell r="AW35" t="e">
            <v>#N/A</v>
          </cell>
          <cell r="AX35">
            <v>-374.49434400444704</v>
          </cell>
          <cell r="AY35">
            <v>-386.80035751975447</v>
          </cell>
          <cell r="AZ35">
            <v>-761.29470152420151</v>
          </cell>
          <cell r="BA35">
            <v>-418.77733724230359</v>
          </cell>
          <cell r="BB35">
            <v>-456.0586965786016</v>
          </cell>
          <cell r="BC35">
            <v>-874.83603382090519</v>
          </cell>
          <cell r="BD35">
            <v>-524.00480862065456</v>
          </cell>
          <cell r="BE35">
            <v>-535.45017161419537</v>
          </cell>
          <cell r="BF35">
            <v>-1059.4549802348499</v>
          </cell>
          <cell r="BG35">
            <v>-514.65383848743375</v>
          </cell>
          <cell r="BH35">
            <v>-493.01387586415649</v>
          </cell>
          <cell r="BI35">
            <v>-1007.6677143515902</v>
          </cell>
          <cell r="BJ35">
            <v>-503.64851254954863</v>
          </cell>
          <cell r="BK35">
            <v>-480.59530969587809</v>
          </cell>
          <cell r="BL35">
            <v>-984.24382224542671</v>
          </cell>
          <cell r="BM35">
            <v>-669.22269703916459</v>
          </cell>
          <cell r="BN35">
            <v>-710.65888425625315</v>
          </cell>
          <cell r="BO35">
            <v>-1379.8815812954176</v>
          </cell>
          <cell r="BP35">
            <v>-786.44705980794311</v>
          </cell>
          <cell r="BQ35">
            <v>-825.7910986794102</v>
          </cell>
          <cell r="BR35">
            <v>-1612.2381584873533</v>
          </cell>
          <cell r="BS35">
            <v>-864.24882025951024</v>
          </cell>
          <cell r="BT35">
            <v>-910.78052581315808</v>
          </cell>
          <cell r="BU35">
            <v>-1775.0293460726684</v>
          </cell>
          <cell r="BV35">
            <v>-915.35891433659287</v>
          </cell>
          <cell r="BW35">
            <v>-929.43865258008213</v>
          </cell>
          <cell r="BX35">
            <v>-1844.7975669166749</v>
          </cell>
        </row>
        <row r="36">
          <cell r="B36" t="str">
            <v>Gross operating profit</v>
          </cell>
          <cell r="C36" t="str">
            <v>GROSS_OP_PROF</v>
          </cell>
          <cell r="D36" t="str">
            <v>AUD</v>
          </cell>
          <cell r="F36">
            <v>4803</v>
          </cell>
          <cell r="G36">
            <v>5543</v>
          </cell>
          <cell r="H36">
            <v>8418</v>
          </cell>
          <cell r="I36">
            <v>10083</v>
          </cell>
          <cell r="J36">
            <v>9938</v>
          </cell>
          <cell r="K36">
            <v>10017</v>
          </cell>
          <cell r="L36">
            <v>10697</v>
          </cell>
          <cell r="M36">
            <v>11074</v>
          </cell>
          <cell r="N36">
            <v>5794</v>
          </cell>
          <cell r="O36">
            <v>5780</v>
          </cell>
          <cell r="P36">
            <v>11574</v>
          </cell>
          <cell r="Q36">
            <v>5766</v>
          </cell>
          <cell r="R36">
            <v>6139</v>
          </cell>
          <cell r="S36">
            <v>11905</v>
          </cell>
          <cell r="T36">
            <v>6200</v>
          </cell>
          <cell r="U36">
            <v>6105</v>
          </cell>
          <cell r="V36">
            <v>12305</v>
          </cell>
          <cell r="W36">
            <v>6260</v>
          </cell>
          <cell r="X36">
            <v>6191</v>
          </cell>
          <cell r="Y36">
            <v>12451</v>
          </cell>
          <cell r="Z36">
            <v>6548</v>
          </cell>
          <cell r="AA36">
            <v>5919</v>
          </cell>
          <cell r="AB36">
            <v>12467</v>
          </cell>
          <cell r="AC36">
            <v>5062</v>
          </cell>
          <cell r="AD36">
            <v>5562</v>
          </cell>
          <cell r="AE36">
            <v>10624</v>
          </cell>
          <cell r="AF36">
            <v>4181</v>
          </cell>
          <cell r="AG36">
            <v>3745</v>
          </cell>
          <cell r="AH36">
            <v>7926</v>
          </cell>
          <cell r="AI36">
            <v>4818</v>
          </cell>
          <cell r="AJ36">
            <v>2937</v>
          </cell>
          <cell r="AK36">
            <v>7755</v>
          </cell>
          <cell r="AL36">
            <v>4864</v>
          </cell>
          <cell r="AM36">
            <v>3951</v>
          </cell>
          <cell r="AN36">
            <v>8815</v>
          </cell>
          <cell r="AO36">
            <v>6015</v>
          </cell>
          <cell r="AP36">
            <v>4938</v>
          </cell>
          <cell r="AQ36">
            <v>10953</v>
          </cell>
          <cell r="AR36">
            <v>5195</v>
          </cell>
          <cell r="AS36">
            <v>5449</v>
          </cell>
          <cell r="AT36">
            <v>10644</v>
          </cell>
          <cell r="AU36">
            <v>5294.6794984000007</v>
          </cell>
          <cell r="AV36" t="e">
            <v>#N/A</v>
          </cell>
          <cell r="AW36" t="e">
            <v>#N/A</v>
          </cell>
          <cell r="AX36">
            <v>5647.2376105272215</v>
          </cell>
          <cell r="AY36">
            <v>5787.8863959249084</v>
          </cell>
          <cell r="AZ36">
            <v>11435.12400645213</v>
          </cell>
          <cell r="BA36">
            <v>5810.7304701535522</v>
          </cell>
          <cell r="BB36">
            <v>5820.2915843520168</v>
          </cell>
          <cell r="BC36">
            <v>11631.022054505569</v>
          </cell>
          <cell r="BD36">
            <v>6048.3819152354572</v>
          </cell>
          <cell r="BE36">
            <v>6079.1638916009142</v>
          </cell>
          <cell r="BF36">
            <v>12127.545806836371</v>
          </cell>
          <cell r="BG36">
            <v>6324.1825760163711</v>
          </cell>
          <cell r="BH36">
            <v>6429.9673694970206</v>
          </cell>
          <cell r="BI36">
            <v>12754.149945513393</v>
          </cell>
          <cell r="BJ36">
            <v>6643.197509857343</v>
          </cell>
          <cell r="BK36">
            <v>6754.2171169496469</v>
          </cell>
          <cell r="BL36">
            <v>13397.414626806989</v>
          </cell>
          <cell r="BM36">
            <v>6984.5571794034149</v>
          </cell>
          <cell r="BN36">
            <v>6979.0426021747298</v>
          </cell>
          <cell r="BO36">
            <v>13963.599781578147</v>
          </cell>
          <cell r="BP36">
            <v>7150.1465905189198</v>
          </cell>
          <cell r="BQ36">
            <v>7099.6403862304651</v>
          </cell>
          <cell r="BR36">
            <v>14249.786976749387</v>
          </cell>
          <cell r="BS36">
            <v>7277.3991465704648</v>
          </cell>
          <cell r="BT36">
            <v>7302.9589423101806</v>
          </cell>
          <cell r="BU36">
            <v>14580.358088880646</v>
          </cell>
          <cell r="BV36">
            <v>7460.8073658636513</v>
          </cell>
          <cell r="BW36">
            <v>7487.5300743694934</v>
          </cell>
          <cell r="BX36">
            <v>14948.337440233143</v>
          </cell>
        </row>
        <row r="37">
          <cell r="B37" t="str">
            <v>Net operating profit</v>
          </cell>
          <cell r="C37" t="str">
            <v>NET_OP_PROF</v>
          </cell>
          <cell r="D37" t="str">
            <v>AUD</v>
          </cell>
          <cell r="F37">
            <v>4428</v>
          </cell>
          <cell r="G37">
            <v>5061</v>
          </cell>
          <cell r="H37">
            <v>7213</v>
          </cell>
          <cell r="I37">
            <v>6791</v>
          </cell>
          <cell r="J37">
            <v>8482</v>
          </cell>
          <cell r="K37">
            <v>9024</v>
          </cell>
          <cell r="L37">
            <v>9485</v>
          </cell>
          <cell r="M37">
            <v>10227</v>
          </cell>
          <cell r="N37">
            <v>5453</v>
          </cell>
          <cell r="O37">
            <v>5471</v>
          </cell>
          <cell r="P37">
            <v>10924</v>
          </cell>
          <cell r="Q37">
            <v>5425</v>
          </cell>
          <cell r="R37">
            <v>5727</v>
          </cell>
          <cell r="S37">
            <v>11152</v>
          </cell>
          <cell r="T37">
            <v>5533</v>
          </cell>
          <cell r="U37">
            <v>5648</v>
          </cell>
          <cell r="V37">
            <v>11181</v>
          </cell>
          <cell r="W37">
            <v>5767</v>
          </cell>
          <cell r="X37">
            <v>5831</v>
          </cell>
          <cell r="Y37">
            <v>11598</v>
          </cell>
          <cell r="Z37">
            <v>6104</v>
          </cell>
          <cell r="AA37">
            <v>5551</v>
          </cell>
          <cell r="AB37">
            <v>11655</v>
          </cell>
          <cell r="AC37">
            <v>4729</v>
          </cell>
          <cell r="AD37">
            <v>5101</v>
          </cell>
          <cell r="AE37">
            <v>9830</v>
          </cell>
          <cell r="AF37">
            <v>1943</v>
          </cell>
          <cell r="AG37">
            <v>2805</v>
          </cell>
          <cell r="AH37">
            <v>4748</v>
          </cell>
          <cell r="AI37">
            <v>5190</v>
          </cell>
          <cell r="AJ37">
            <v>3155</v>
          </cell>
          <cell r="AK37">
            <v>8345</v>
          </cell>
          <cell r="AL37">
            <v>4725</v>
          </cell>
          <cell r="AM37">
            <v>3755</v>
          </cell>
          <cell r="AN37">
            <v>8480</v>
          </cell>
          <cell r="AO37">
            <v>5625</v>
          </cell>
          <cell r="AP37">
            <v>4680</v>
          </cell>
          <cell r="AQ37">
            <v>10305</v>
          </cell>
          <cell r="AR37">
            <v>4833</v>
          </cell>
          <cell r="AS37">
            <v>5274</v>
          </cell>
          <cell r="AT37">
            <v>10107</v>
          </cell>
          <cell r="AU37">
            <v>5044.6794984000007</v>
          </cell>
          <cell r="AV37" t="e">
            <v>#N/A</v>
          </cell>
          <cell r="AW37" t="e">
            <v>#N/A</v>
          </cell>
          <cell r="AX37">
            <v>5272.7432665227743</v>
          </cell>
          <cell r="AY37">
            <v>5401.0860384051539</v>
          </cell>
          <cell r="AZ37">
            <v>10673.829304927929</v>
          </cell>
          <cell r="BA37">
            <v>5391.9531329112488</v>
          </cell>
          <cell r="BB37">
            <v>5364.2328877734153</v>
          </cell>
          <cell r="BC37">
            <v>10756.186020684663</v>
          </cell>
          <cell r="BD37">
            <v>5524.3771066148029</v>
          </cell>
          <cell r="BE37">
            <v>5543.7137199867193</v>
          </cell>
          <cell r="BF37">
            <v>11068.090826601521</v>
          </cell>
          <cell r="BG37">
            <v>5809.5287375289372</v>
          </cell>
          <cell r="BH37">
            <v>5936.9534936328637</v>
          </cell>
          <cell r="BI37">
            <v>11746.482231161803</v>
          </cell>
          <cell r="BJ37">
            <v>6139.5489973077947</v>
          </cell>
          <cell r="BK37">
            <v>6273.6218072537686</v>
          </cell>
          <cell r="BL37">
            <v>12413.170804561561</v>
          </cell>
          <cell r="BM37">
            <v>6315.3344823642501</v>
          </cell>
          <cell r="BN37">
            <v>6268.3837179184766</v>
          </cell>
          <cell r="BO37">
            <v>12583.718200282729</v>
          </cell>
          <cell r="BP37">
            <v>6363.6995307109764</v>
          </cell>
          <cell r="BQ37">
            <v>6273.8492875510547</v>
          </cell>
          <cell r="BR37">
            <v>12637.548818262034</v>
          </cell>
          <cell r="BS37">
            <v>6413.1503263109544</v>
          </cell>
          <cell r="BT37">
            <v>6392.1784164970222</v>
          </cell>
          <cell r="BU37">
            <v>12805.328742807978</v>
          </cell>
          <cell r="BV37">
            <v>6545.4484515270588</v>
          </cell>
          <cell r="BW37">
            <v>6558.0914217894115</v>
          </cell>
          <cell r="BX37">
            <v>13103.539873316467</v>
          </cell>
        </row>
        <row r="38">
          <cell r="B38" t="str">
            <v>Income/(loss) from unconsolidated subs &amp; associates</v>
          </cell>
          <cell r="C38" t="str">
            <v>ASSOCIATE</v>
          </cell>
          <cell r="D38" t="str">
            <v>AUD</v>
          </cell>
        </row>
        <row r="39">
          <cell r="B39" t="str">
            <v>Profit/(loss) on disposals of assets, pre-tax</v>
          </cell>
          <cell r="C39" t="str">
            <v>PROFIT_ON_DISP</v>
          </cell>
          <cell r="D39" t="str">
            <v>AUD</v>
          </cell>
        </row>
        <row r="40">
          <cell r="B40" t="str">
            <v>Other income</v>
          </cell>
          <cell r="C40" t="str">
            <v>OTH_NONOP_INC</v>
          </cell>
          <cell r="D40" t="str">
            <v>AUD</v>
          </cell>
        </row>
        <row r="41">
          <cell r="B41" t="str">
            <v>Other expense</v>
          </cell>
          <cell r="C41" t="str">
            <v>OTH_NONOP_EXP</v>
          </cell>
          <cell r="D41" t="str">
            <v>AUD</v>
          </cell>
        </row>
        <row r="42">
          <cell r="B42" t="str">
            <v>Other non-ops income/(expense)</v>
          </cell>
          <cell r="C42" t="str">
            <v>OTH_COST_INC</v>
          </cell>
          <cell r="D42" t="str">
            <v>AUD</v>
          </cell>
        </row>
        <row r="43">
          <cell r="B43" t="str">
            <v>Profit before tax &amp; exceptionals</v>
          </cell>
          <cell r="C43" t="str">
            <v>PROF_BTE</v>
          </cell>
          <cell r="D43" t="str">
            <v>AUD</v>
          </cell>
          <cell r="F43">
            <v>4428</v>
          </cell>
          <cell r="G43">
            <v>5061</v>
          </cell>
          <cell r="H43">
            <v>7213</v>
          </cell>
          <cell r="I43">
            <v>6791</v>
          </cell>
          <cell r="J43">
            <v>8482</v>
          </cell>
          <cell r="K43">
            <v>9024</v>
          </cell>
          <cell r="L43">
            <v>9485</v>
          </cell>
          <cell r="M43">
            <v>10227</v>
          </cell>
          <cell r="N43">
            <v>5453</v>
          </cell>
          <cell r="O43">
            <v>5471</v>
          </cell>
          <cell r="P43">
            <v>10924</v>
          </cell>
          <cell r="Q43">
            <v>5425</v>
          </cell>
          <cell r="R43">
            <v>5727</v>
          </cell>
          <cell r="S43">
            <v>11152</v>
          </cell>
          <cell r="T43">
            <v>5533</v>
          </cell>
          <cell r="U43">
            <v>5648</v>
          </cell>
          <cell r="V43">
            <v>11181</v>
          </cell>
          <cell r="W43">
            <v>5767</v>
          </cell>
          <cell r="X43">
            <v>5831</v>
          </cell>
          <cell r="Y43">
            <v>11598</v>
          </cell>
          <cell r="Z43">
            <v>6104</v>
          </cell>
          <cell r="AA43">
            <v>5551</v>
          </cell>
          <cell r="AB43">
            <v>11655</v>
          </cell>
          <cell r="AC43">
            <v>4729</v>
          </cell>
          <cell r="AD43">
            <v>5101</v>
          </cell>
          <cell r="AE43">
            <v>9830</v>
          </cell>
          <cell r="AF43">
            <v>1943</v>
          </cell>
          <cell r="AG43">
            <v>2805</v>
          </cell>
          <cell r="AH43">
            <v>4748</v>
          </cell>
          <cell r="AI43">
            <v>5190</v>
          </cell>
          <cell r="AJ43">
            <v>3155</v>
          </cell>
          <cell r="AK43">
            <v>8345</v>
          </cell>
          <cell r="AL43">
            <v>4725</v>
          </cell>
          <cell r="AM43">
            <v>3755</v>
          </cell>
          <cell r="AN43">
            <v>8480</v>
          </cell>
          <cell r="AO43">
            <v>5625</v>
          </cell>
          <cell r="AP43">
            <v>4680</v>
          </cell>
          <cell r="AQ43">
            <v>10305</v>
          </cell>
          <cell r="AR43">
            <v>4833</v>
          </cell>
          <cell r="AS43">
            <v>5274</v>
          </cell>
          <cell r="AT43">
            <v>10107</v>
          </cell>
          <cell r="AU43">
            <v>5044.6794984000007</v>
          </cell>
          <cell r="AV43" t="e">
            <v>#N/A</v>
          </cell>
          <cell r="AW43" t="e">
            <v>#N/A</v>
          </cell>
          <cell r="AX43">
            <v>5272.7432665227743</v>
          </cell>
          <cell r="AY43">
            <v>5401.0860384051539</v>
          </cell>
          <cell r="AZ43">
            <v>10673.829304927929</v>
          </cell>
          <cell r="BA43">
            <v>5391.9531329112488</v>
          </cell>
          <cell r="BB43">
            <v>5364.2328877734153</v>
          </cell>
          <cell r="BC43">
            <v>10756.186020684663</v>
          </cell>
          <cell r="BD43">
            <v>5524.3771066148029</v>
          </cell>
          <cell r="BE43">
            <v>5543.7137199867193</v>
          </cell>
          <cell r="BF43">
            <v>11068.090826601521</v>
          </cell>
          <cell r="BG43">
            <v>5809.5287375289372</v>
          </cell>
          <cell r="BH43">
            <v>5936.9534936328637</v>
          </cell>
          <cell r="BI43">
            <v>11746.482231161803</v>
          </cell>
          <cell r="BJ43">
            <v>6139.5489973077947</v>
          </cell>
          <cell r="BK43">
            <v>6273.6218072537686</v>
          </cell>
          <cell r="BL43">
            <v>12413.170804561561</v>
          </cell>
          <cell r="BM43">
            <v>6315.3344823642501</v>
          </cell>
          <cell r="BN43">
            <v>6268.3837179184766</v>
          </cell>
          <cell r="BO43">
            <v>12583.718200282729</v>
          </cell>
          <cell r="BP43">
            <v>6363.6995307109764</v>
          </cell>
          <cell r="BQ43">
            <v>6273.8492875510547</v>
          </cell>
          <cell r="BR43">
            <v>12637.548818262034</v>
          </cell>
          <cell r="BS43">
            <v>6413.1503263109544</v>
          </cell>
          <cell r="BT43">
            <v>6392.1784164970222</v>
          </cell>
          <cell r="BU43">
            <v>12805.328742807978</v>
          </cell>
          <cell r="BV43">
            <v>6545.4484515270588</v>
          </cell>
          <cell r="BW43">
            <v>6558.0914217894115</v>
          </cell>
          <cell r="BX43">
            <v>13103.539873316467</v>
          </cell>
        </row>
        <row r="44">
          <cell r="B44" t="str">
            <v>Exceptional income/(expense)</v>
          </cell>
          <cell r="C44" t="str">
            <v>TOT_EXCEPTS</v>
          </cell>
          <cell r="D44" t="str">
            <v>AUD</v>
          </cell>
        </row>
        <row r="45">
          <cell r="B45" t="str">
            <v>Pre-tax profit</v>
          </cell>
          <cell r="C45" t="str">
            <v>PT_PROF</v>
          </cell>
          <cell r="D45" t="str">
            <v>AUD</v>
          </cell>
          <cell r="F45">
            <v>4428</v>
          </cell>
          <cell r="G45">
            <v>5061</v>
          </cell>
          <cell r="H45">
            <v>7213</v>
          </cell>
          <cell r="I45">
            <v>6791</v>
          </cell>
          <cell r="J45">
            <v>8482</v>
          </cell>
          <cell r="K45">
            <v>9024</v>
          </cell>
          <cell r="L45">
            <v>9485</v>
          </cell>
          <cell r="M45">
            <v>10227</v>
          </cell>
          <cell r="N45">
            <v>5453</v>
          </cell>
          <cell r="O45">
            <v>5471</v>
          </cell>
          <cell r="P45">
            <v>10924</v>
          </cell>
          <cell r="Q45">
            <v>5425</v>
          </cell>
          <cell r="R45">
            <v>5727</v>
          </cell>
          <cell r="S45">
            <v>11152</v>
          </cell>
          <cell r="T45">
            <v>5533</v>
          </cell>
          <cell r="U45">
            <v>5648</v>
          </cell>
          <cell r="V45">
            <v>11181</v>
          </cell>
          <cell r="W45">
            <v>5767</v>
          </cell>
          <cell r="X45">
            <v>5831</v>
          </cell>
          <cell r="Y45">
            <v>11598</v>
          </cell>
          <cell r="Z45">
            <v>6104</v>
          </cell>
          <cell r="AA45">
            <v>5551</v>
          </cell>
          <cell r="AB45">
            <v>11655</v>
          </cell>
          <cell r="AC45">
            <v>4729</v>
          </cell>
          <cell r="AD45">
            <v>5101</v>
          </cell>
          <cell r="AE45">
            <v>9830</v>
          </cell>
          <cell r="AF45">
            <v>1943</v>
          </cell>
          <cell r="AG45">
            <v>2805</v>
          </cell>
          <cell r="AH45">
            <v>4748</v>
          </cell>
          <cell r="AI45">
            <v>5190</v>
          </cell>
          <cell r="AJ45">
            <v>3155</v>
          </cell>
          <cell r="AK45">
            <v>8345</v>
          </cell>
          <cell r="AL45">
            <v>4725</v>
          </cell>
          <cell r="AM45">
            <v>3755</v>
          </cell>
          <cell r="AN45">
            <v>8480</v>
          </cell>
          <cell r="AO45">
            <v>5625</v>
          </cell>
          <cell r="AP45">
            <v>4680</v>
          </cell>
          <cell r="AQ45">
            <v>10305</v>
          </cell>
          <cell r="AR45">
            <v>4833</v>
          </cell>
          <cell r="AS45">
            <v>5274</v>
          </cell>
          <cell r="AT45">
            <v>10107</v>
          </cell>
          <cell r="AU45">
            <v>5044.6794984000007</v>
          </cell>
          <cell r="AV45" t="e">
            <v>#N/A</v>
          </cell>
          <cell r="AW45" t="e">
            <v>#N/A</v>
          </cell>
          <cell r="AX45">
            <v>5272.7432665227743</v>
          </cell>
          <cell r="AY45">
            <v>5401.0860384051539</v>
          </cell>
          <cell r="AZ45">
            <v>10673.829304927929</v>
          </cell>
          <cell r="BA45">
            <v>5391.9531329112488</v>
          </cell>
          <cell r="BB45">
            <v>5364.2328877734153</v>
          </cell>
          <cell r="BC45">
            <v>10756.186020684663</v>
          </cell>
          <cell r="BD45">
            <v>5524.3771066148029</v>
          </cell>
          <cell r="BE45">
            <v>5543.7137199867193</v>
          </cell>
          <cell r="BF45">
            <v>11068.090826601521</v>
          </cell>
          <cell r="BG45">
            <v>5809.5287375289372</v>
          </cell>
          <cell r="BH45">
            <v>5936.9534936328637</v>
          </cell>
          <cell r="BI45">
            <v>11746.482231161803</v>
          </cell>
          <cell r="BJ45">
            <v>6139.5489973077947</v>
          </cell>
          <cell r="BK45">
            <v>6273.6218072537686</v>
          </cell>
          <cell r="BL45">
            <v>12413.170804561561</v>
          </cell>
          <cell r="BM45">
            <v>6315.3344823642501</v>
          </cell>
          <cell r="BN45">
            <v>6268.3837179184766</v>
          </cell>
          <cell r="BO45">
            <v>12583.718200282729</v>
          </cell>
          <cell r="BP45">
            <v>6363.6995307109764</v>
          </cell>
          <cell r="BQ45">
            <v>6273.8492875510547</v>
          </cell>
          <cell r="BR45">
            <v>12637.548818262034</v>
          </cell>
          <cell r="BS45">
            <v>6413.1503263109544</v>
          </cell>
          <cell r="BT45">
            <v>6392.1784164970222</v>
          </cell>
          <cell r="BU45">
            <v>12805.328742807978</v>
          </cell>
          <cell r="BV45">
            <v>6545.4484515270588</v>
          </cell>
          <cell r="BW45">
            <v>6558.0914217894115</v>
          </cell>
          <cell r="BX45">
            <v>13103.539873316467</v>
          </cell>
        </row>
        <row r="46">
          <cell r="A46" t="str">
            <v>ANZ Income Statement</v>
          </cell>
        </row>
        <row r="47">
          <cell r="B47" t="str">
            <v>Lending Fees</v>
          </cell>
          <cell r="C47" t="str">
            <v>LENDING_FEES</v>
          </cell>
          <cell r="D47" t="str">
            <v>AUD</v>
          </cell>
          <cell r="F47">
            <v>497</v>
          </cell>
          <cell r="G47">
            <v>519</v>
          </cell>
          <cell r="H47">
            <v>830</v>
          </cell>
          <cell r="I47">
            <v>829</v>
          </cell>
          <cell r="J47">
            <v>1032</v>
          </cell>
          <cell r="K47">
            <v>1105</v>
          </cell>
          <cell r="L47">
            <v>1179</v>
          </cell>
          <cell r="M47">
            <v>1253</v>
          </cell>
          <cell r="N47">
            <v>644</v>
          </cell>
          <cell r="O47">
            <v>685</v>
          </cell>
          <cell r="P47">
            <v>1329</v>
          </cell>
          <cell r="Q47">
            <v>666</v>
          </cell>
          <cell r="R47">
            <v>676</v>
          </cell>
          <cell r="S47">
            <v>1342</v>
          </cell>
          <cell r="T47">
            <v>648</v>
          </cell>
          <cell r="U47">
            <v>649</v>
          </cell>
          <cell r="V47">
            <v>1297</v>
          </cell>
          <cell r="W47">
            <v>662</v>
          </cell>
          <cell r="X47">
            <v>671</v>
          </cell>
          <cell r="Y47">
            <v>1333</v>
          </cell>
          <cell r="Z47">
            <v>405</v>
          </cell>
          <cell r="AA47">
            <v>387</v>
          </cell>
          <cell r="AB47">
            <v>792</v>
          </cell>
          <cell r="AC47">
            <v>375</v>
          </cell>
          <cell r="AD47">
            <v>355</v>
          </cell>
          <cell r="AE47">
            <v>730</v>
          </cell>
          <cell r="AF47">
            <v>372</v>
          </cell>
          <cell r="AG47">
            <v>359</v>
          </cell>
          <cell r="AH47">
            <v>731</v>
          </cell>
          <cell r="AI47">
            <v>369</v>
          </cell>
          <cell r="AJ47">
            <v>348</v>
          </cell>
          <cell r="AK47">
            <v>717</v>
          </cell>
          <cell r="AL47">
            <v>344</v>
          </cell>
          <cell r="AM47">
            <v>342</v>
          </cell>
          <cell r="AN47">
            <v>686</v>
          </cell>
          <cell r="AO47">
            <v>338</v>
          </cell>
          <cell r="AP47">
            <v>359</v>
          </cell>
          <cell r="AQ47">
            <v>697</v>
          </cell>
          <cell r="AR47">
            <v>376</v>
          </cell>
          <cell r="AS47">
            <v>387</v>
          </cell>
          <cell r="AT47">
            <v>763</v>
          </cell>
          <cell r="AU47">
            <v>394</v>
          </cell>
          <cell r="AV47" t="e">
            <v>#N/A</v>
          </cell>
          <cell r="AW47" t="e">
            <v>#N/A</v>
          </cell>
          <cell r="AX47">
            <v>404.92877201079608</v>
          </cell>
          <cell r="AY47">
            <v>416.89925923494621</v>
          </cell>
          <cell r="AZ47">
            <v>821.8280312457423</v>
          </cell>
          <cell r="BA47">
            <v>419.98636166979378</v>
          </cell>
          <cell r="BB47">
            <v>427.67035107814627</v>
          </cell>
          <cell r="BC47">
            <v>847.65671274793999</v>
          </cell>
          <cell r="BD47">
            <v>431.51697392685259</v>
          </cell>
          <cell r="BE47">
            <v>436.09066422998103</v>
          </cell>
          <cell r="BF47">
            <v>867.60763815683367</v>
          </cell>
          <cell r="BG47">
            <v>439.12963364690074</v>
          </cell>
          <cell r="BH47">
            <v>445.2958961767369</v>
          </cell>
          <cell r="BI47">
            <v>884.42552982363759</v>
          </cell>
          <cell r="BJ47">
            <v>445.99981471652688</v>
          </cell>
          <cell r="BK47">
            <v>450.90643848281127</v>
          </cell>
          <cell r="BL47">
            <v>896.90625319933815</v>
          </cell>
          <cell r="BM47">
            <v>452.98021066274748</v>
          </cell>
          <cell r="BN47">
            <v>458.65571276154606</v>
          </cell>
          <cell r="BO47">
            <v>911.63592342429354</v>
          </cell>
          <cell r="BP47">
            <v>462.69419816036338</v>
          </cell>
          <cell r="BQ47">
            <v>466.08021631969382</v>
          </cell>
          <cell r="BR47">
            <v>928.7744144800572</v>
          </cell>
          <cell r="BS47">
            <v>470.13451614868467</v>
          </cell>
          <cell r="BT47">
            <v>476.09338623037695</v>
          </cell>
          <cell r="BU47">
            <v>946.22790237906156</v>
          </cell>
          <cell r="BV47">
            <v>478.87352692150824</v>
          </cell>
          <cell r="BW47">
            <v>484.85426814085685</v>
          </cell>
          <cell r="BX47">
            <v>963.72779506236509</v>
          </cell>
        </row>
        <row r="48">
          <cell r="B48" t="str">
            <v>Other Fees/Commission</v>
          </cell>
          <cell r="C48" t="str">
            <v>OTHER_FEES</v>
          </cell>
          <cell r="D48" t="str">
            <v>AUD</v>
          </cell>
          <cell r="F48">
            <v>1269</v>
          </cell>
          <cell r="G48">
            <v>1313</v>
          </cell>
          <cell r="H48">
            <v>1830</v>
          </cell>
          <cell r="I48">
            <v>1886</v>
          </cell>
          <cell r="J48">
            <v>1437</v>
          </cell>
          <cell r="K48">
            <v>1463</v>
          </cell>
          <cell r="L48">
            <v>1451</v>
          </cell>
          <cell r="M48">
            <v>1470</v>
          </cell>
          <cell r="N48">
            <v>814</v>
          </cell>
          <cell r="O48">
            <v>783</v>
          </cell>
          <cell r="P48">
            <v>1597</v>
          </cell>
          <cell r="Q48">
            <v>812</v>
          </cell>
          <cell r="R48">
            <v>788</v>
          </cell>
          <cell r="S48">
            <v>1600</v>
          </cell>
          <cell r="T48">
            <v>727</v>
          </cell>
          <cell r="U48">
            <v>764</v>
          </cell>
          <cell r="V48">
            <v>1491</v>
          </cell>
          <cell r="W48">
            <v>764</v>
          </cell>
          <cell r="X48">
            <v>713</v>
          </cell>
          <cell r="Y48">
            <v>1477</v>
          </cell>
          <cell r="Z48">
            <v>612</v>
          </cell>
          <cell r="AA48">
            <v>662</v>
          </cell>
          <cell r="AB48">
            <v>1274</v>
          </cell>
          <cell r="AC48">
            <v>616</v>
          </cell>
          <cell r="AD48">
            <v>592</v>
          </cell>
          <cell r="AE48">
            <v>1208</v>
          </cell>
          <cell r="AF48">
            <v>530</v>
          </cell>
          <cell r="AG48">
            <v>419</v>
          </cell>
          <cell r="AH48">
            <v>949</v>
          </cell>
          <cell r="AI48">
            <v>435</v>
          </cell>
          <cell r="AJ48">
            <v>467</v>
          </cell>
          <cell r="AK48">
            <v>902</v>
          </cell>
          <cell r="AL48">
            <v>501</v>
          </cell>
          <cell r="AM48">
            <v>485</v>
          </cell>
          <cell r="AN48">
            <v>986</v>
          </cell>
          <cell r="AO48">
            <v>489</v>
          </cell>
          <cell r="AP48">
            <v>459</v>
          </cell>
          <cell r="AQ48">
            <v>948</v>
          </cell>
          <cell r="AR48">
            <v>466</v>
          </cell>
          <cell r="AS48">
            <v>443</v>
          </cell>
          <cell r="AT48">
            <v>909</v>
          </cell>
          <cell r="AU48">
            <v>446</v>
          </cell>
          <cell r="AV48" t="e">
            <v>#N/A</v>
          </cell>
          <cell r="AW48" t="e">
            <v>#N/A</v>
          </cell>
          <cell r="AX48">
            <v>490.76155410784753</v>
          </cell>
          <cell r="AY48">
            <v>505.26942640444844</v>
          </cell>
          <cell r="AZ48">
            <v>996.03098051229597</v>
          </cell>
          <cell r="BA48">
            <v>509.01090217336599</v>
          </cell>
          <cell r="BB48">
            <v>518.32366739146903</v>
          </cell>
          <cell r="BC48">
            <v>1027.334569564835</v>
          </cell>
          <cell r="BD48">
            <v>522.98565917319286</v>
          </cell>
          <cell r="BE48">
            <v>528.52883495204685</v>
          </cell>
          <cell r="BF48">
            <v>1051.5144941252397</v>
          </cell>
          <cell r="BG48">
            <v>532.21197494362525</v>
          </cell>
          <cell r="BH48">
            <v>539.68530060322723</v>
          </cell>
          <cell r="BI48">
            <v>1071.8972755468526</v>
          </cell>
          <cell r="BJ48">
            <v>540.53842880855882</v>
          </cell>
          <cell r="BK48">
            <v>546.48510998166159</v>
          </cell>
          <cell r="BL48">
            <v>1087.0235387902203</v>
          </cell>
          <cell r="BM48">
            <v>565.2529555717141</v>
          </cell>
          <cell r="BN48">
            <v>568.66409573673491</v>
          </cell>
          <cell r="BO48">
            <v>1133.9170513084491</v>
          </cell>
          <cell r="BP48">
            <v>588.78663078383101</v>
          </cell>
          <cell r="BQ48">
            <v>589.37927652748976</v>
          </cell>
          <cell r="BR48">
            <v>1178.1659073113208</v>
          </cell>
          <cell r="BS48">
            <v>610.23688115558764</v>
          </cell>
          <cell r="BT48">
            <v>614.21406323227438</v>
          </cell>
          <cell r="BU48">
            <v>1224.4509443878619</v>
          </cell>
          <cell r="BV48">
            <v>634.21976089414488</v>
          </cell>
          <cell r="BW48">
            <v>638.3600218897401</v>
          </cell>
          <cell r="BX48">
            <v>1272.5797827838851</v>
          </cell>
        </row>
        <row r="49">
          <cell r="B49" t="str">
            <v>Money transfer fees</v>
          </cell>
          <cell r="C49" t="str">
            <v>MONEY_TRANSFER_FEES</v>
          </cell>
          <cell r="D49" t="str">
            <v>AUD</v>
          </cell>
        </row>
        <row r="50">
          <cell r="B50" t="str">
            <v>Financial Services Income</v>
          </cell>
          <cell r="C50" t="str">
            <v>FINANCE_SERVICES_INCOME</v>
          </cell>
          <cell r="D50" t="str">
            <v>AUD</v>
          </cell>
          <cell r="F50">
            <v>1035</v>
          </cell>
          <cell r="G50">
            <v>1199</v>
          </cell>
          <cell r="H50">
            <v>1504</v>
          </cell>
          <cell r="I50">
            <v>1427</v>
          </cell>
          <cell r="J50">
            <v>1560</v>
          </cell>
          <cell r="K50">
            <v>1623</v>
          </cell>
          <cell r="L50">
            <v>1809</v>
          </cell>
          <cell r="M50">
            <v>1958</v>
          </cell>
          <cell r="N50">
            <v>1111</v>
          </cell>
          <cell r="O50">
            <v>1145</v>
          </cell>
          <cell r="P50">
            <v>2256</v>
          </cell>
          <cell r="Q50">
            <v>1134</v>
          </cell>
          <cell r="R50">
            <v>1090</v>
          </cell>
          <cell r="S50">
            <v>2224</v>
          </cell>
          <cell r="T50">
            <v>941</v>
          </cell>
          <cell r="U50">
            <v>970</v>
          </cell>
          <cell r="V50">
            <v>1911</v>
          </cell>
          <cell r="W50">
            <v>886</v>
          </cell>
          <cell r="X50">
            <v>980</v>
          </cell>
          <cell r="Y50">
            <v>1866</v>
          </cell>
          <cell r="Z50">
            <v>897</v>
          </cell>
          <cell r="AA50">
            <v>915</v>
          </cell>
          <cell r="AB50">
            <v>1812</v>
          </cell>
          <cell r="AC50">
            <v>758</v>
          </cell>
          <cell r="AD50">
            <v>802</v>
          </cell>
          <cell r="AE50">
            <v>1560</v>
          </cell>
          <cell r="AF50">
            <v>562</v>
          </cell>
          <cell r="AG50">
            <v>675</v>
          </cell>
          <cell r="AH50">
            <v>1237</v>
          </cell>
          <cell r="AI50">
            <v>683</v>
          </cell>
          <cell r="AJ50">
            <v>629</v>
          </cell>
          <cell r="AK50">
            <v>1312</v>
          </cell>
          <cell r="AL50">
            <v>219</v>
          </cell>
          <cell r="AM50">
            <v>248</v>
          </cell>
          <cell r="AN50">
            <v>467</v>
          </cell>
          <cell r="AO50">
            <v>232</v>
          </cell>
          <cell r="AP50">
            <v>225</v>
          </cell>
          <cell r="AQ50">
            <v>457</v>
          </cell>
          <cell r="AR50">
            <v>218</v>
          </cell>
          <cell r="AS50">
            <v>223</v>
          </cell>
          <cell r="AT50">
            <v>441</v>
          </cell>
          <cell r="AU50">
            <v>239</v>
          </cell>
          <cell r="AV50" t="e">
            <v>#N/A</v>
          </cell>
          <cell r="AW50" t="e">
            <v>#N/A</v>
          </cell>
          <cell r="AX50">
            <v>245.03765690376568</v>
          </cell>
          <cell r="AY50">
            <v>248.11344339209754</v>
          </cell>
          <cell r="AZ50">
            <v>493.15110029586322</v>
          </cell>
          <cell r="BA50">
            <v>251.22783807902766</v>
          </cell>
          <cell r="BB50">
            <v>254.38132558629576</v>
          </cell>
          <cell r="BC50">
            <v>505.60916366532342</v>
          </cell>
          <cell r="BD50">
            <v>257.57439661875975</v>
          </cell>
          <cell r="BE50">
            <v>260.80754804075258</v>
          </cell>
          <cell r="BF50">
            <v>518.38194465951233</v>
          </cell>
          <cell r="BG50">
            <v>264.08128295339804</v>
          </cell>
          <cell r="BH50">
            <v>267.3961107728968</v>
          </cell>
          <cell r="BI50">
            <v>531.47739372629485</v>
          </cell>
          <cell r="BJ50">
            <v>270.75254730979503</v>
          </cell>
          <cell r="BK50">
            <v>274.15111484924864</v>
          </cell>
          <cell r="BL50">
            <v>544.90366215904373</v>
          </cell>
          <cell r="BM50">
            <v>275.16340362984045</v>
          </cell>
          <cell r="BN50">
            <v>279.10418061015338</v>
          </cell>
          <cell r="BO50">
            <v>554.26758423999377</v>
          </cell>
          <cell r="BP50">
            <v>280.66086253479119</v>
          </cell>
          <cell r="BQ50">
            <v>282.86877244626339</v>
          </cell>
          <cell r="BR50">
            <v>563.52963498105464</v>
          </cell>
          <cell r="BS50">
            <v>284.17585926607097</v>
          </cell>
          <cell r="BT50">
            <v>287.70110599021467</v>
          </cell>
          <cell r="BU50">
            <v>571.87696525628564</v>
          </cell>
          <cell r="BV50">
            <v>287.9435066305885</v>
          </cell>
          <cell r="BW50">
            <v>291.20066110332886</v>
          </cell>
          <cell r="BX50">
            <v>579.14416773391736</v>
          </cell>
        </row>
        <row r="51">
          <cell r="B51" t="str">
            <v>Foreign Exchange Income</v>
          </cell>
          <cell r="C51" t="str">
            <v>FOREIGN_EXCH_INCOME</v>
          </cell>
          <cell r="D51" t="str">
            <v>AUD</v>
          </cell>
          <cell r="F51">
            <v>279</v>
          </cell>
          <cell r="G51">
            <v>409</v>
          </cell>
          <cell r="H51">
            <v>514</v>
          </cell>
          <cell r="I51">
            <v>707</v>
          </cell>
          <cell r="J51">
            <v>462</v>
          </cell>
          <cell r="K51">
            <v>329</v>
          </cell>
          <cell r="L51">
            <v>478</v>
          </cell>
          <cell r="M51">
            <v>440</v>
          </cell>
          <cell r="N51">
            <v>274</v>
          </cell>
          <cell r="O51">
            <v>256</v>
          </cell>
          <cell r="P51">
            <v>530</v>
          </cell>
          <cell r="Q51">
            <v>323</v>
          </cell>
          <cell r="R51">
            <v>385</v>
          </cell>
          <cell r="S51">
            <v>708</v>
          </cell>
          <cell r="T51">
            <v>417</v>
          </cell>
          <cell r="U51">
            <v>557</v>
          </cell>
          <cell r="V51">
            <v>974</v>
          </cell>
          <cell r="W51">
            <v>474</v>
          </cell>
          <cell r="X51">
            <v>401</v>
          </cell>
          <cell r="Y51">
            <v>1031</v>
          </cell>
          <cell r="Z51">
            <v>487</v>
          </cell>
          <cell r="AA51">
            <v>458</v>
          </cell>
          <cell r="AB51">
            <v>945</v>
          </cell>
          <cell r="AC51">
            <v>437</v>
          </cell>
          <cell r="AD51">
            <v>492</v>
          </cell>
          <cell r="AE51">
            <v>929</v>
          </cell>
          <cell r="AF51">
            <v>460</v>
          </cell>
          <cell r="AG51">
            <v>435</v>
          </cell>
          <cell r="AH51">
            <v>895</v>
          </cell>
          <cell r="AI51">
            <v>442</v>
          </cell>
          <cell r="AJ51">
            <v>277</v>
          </cell>
          <cell r="AK51">
            <v>719</v>
          </cell>
          <cell r="AL51">
            <v>343</v>
          </cell>
          <cell r="AM51">
            <v>321</v>
          </cell>
          <cell r="AN51">
            <v>664</v>
          </cell>
          <cell r="AO51">
            <v>387</v>
          </cell>
          <cell r="AP51">
            <v>330</v>
          </cell>
          <cell r="AQ51">
            <v>717</v>
          </cell>
          <cell r="AR51">
            <v>363</v>
          </cell>
          <cell r="AS51">
            <v>341</v>
          </cell>
          <cell r="AT51">
            <v>704</v>
          </cell>
          <cell r="AU51">
            <v>298</v>
          </cell>
          <cell r="AV51" t="e">
            <v>#N/A</v>
          </cell>
          <cell r="AW51" t="e">
            <v>#N/A</v>
          </cell>
          <cell r="AX51">
            <v>366.625</v>
          </cell>
          <cell r="AY51">
            <v>403.28750000000014</v>
          </cell>
          <cell r="AZ51">
            <v>769.91250000000014</v>
          </cell>
          <cell r="BA51">
            <v>362.95875000000007</v>
          </cell>
          <cell r="BB51">
            <v>381.10668750000008</v>
          </cell>
          <cell r="BC51">
            <v>744.06543750000014</v>
          </cell>
          <cell r="BD51">
            <v>370.21792500000004</v>
          </cell>
          <cell r="BE51">
            <v>400.16202187500011</v>
          </cell>
          <cell r="BF51">
            <v>770.37994687500009</v>
          </cell>
          <cell r="BG51">
            <v>377.62228350000021</v>
          </cell>
          <cell r="BH51">
            <v>420.17012296875021</v>
          </cell>
          <cell r="BI51">
            <v>797.79240646875041</v>
          </cell>
          <cell r="BJ51">
            <v>385.17472917000021</v>
          </cell>
          <cell r="BK51">
            <v>441.17862911718788</v>
          </cell>
          <cell r="BL51">
            <v>826.35335828718803</v>
          </cell>
          <cell r="BM51">
            <v>446.16231625551637</v>
          </cell>
          <cell r="BN51">
            <v>456.65429445779409</v>
          </cell>
          <cell r="BO51">
            <v>902.81661071331041</v>
          </cell>
          <cell r="BP51">
            <v>463.80064535510257</v>
          </cell>
          <cell r="BQ51">
            <v>472.35498955667248</v>
          </cell>
          <cell r="BR51">
            <v>936.155634911775</v>
          </cell>
          <cell r="BS51">
            <v>479.75475824551557</v>
          </cell>
          <cell r="BT51">
            <v>491.2995124546959</v>
          </cell>
          <cell r="BU51">
            <v>971.05427070021142</v>
          </cell>
          <cell r="BV51">
            <v>497.6442825967801</v>
          </cell>
          <cell r="BW51">
            <v>509.63133790379652</v>
          </cell>
          <cell r="BX51">
            <v>1007.2756205005767</v>
          </cell>
        </row>
        <row r="52">
          <cell r="B52" t="str">
            <v>Trading Securities Income</v>
          </cell>
          <cell r="C52" t="str">
            <v>TRADING_SECS_INCOME</v>
          </cell>
          <cell r="D52" t="str">
            <v>AUD</v>
          </cell>
          <cell r="F52">
            <v>246</v>
          </cell>
          <cell r="G52">
            <v>251</v>
          </cell>
          <cell r="H52">
            <v>337</v>
          </cell>
          <cell r="I52">
            <v>307</v>
          </cell>
          <cell r="J52">
            <v>335</v>
          </cell>
          <cell r="K52">
            <v>229</v>
          </cell>
          <cell r="L52">
            <v>369</v>
          </cell>
          <cell r="M52">
            <v>630</v>
          </cell>
          <cell r="N52">
            <v>272</v>
          </cell>
          <cell r="O52">
            <v>215</v>
          </cell>
          <cell r="P52">
            <v>487</v>
          </cell>
          <cell r="Q52">
            <v>102</v>
          </cell>
          <cell r="R52">
            <v>154</v>
          </cell>
          <cell r="S52">
            <v>256</v>
          </cell>
          <cell r="T52">
            <v>193</v>
          </cell>
          <cell r="U52">
            <v>-43</v>
          </cell>
          <cell r="V52">
            <v>150</v>
          </cell>
          <cell r="W52">
            <v>239</v>
          </cell>
          <cell r="X52">
            <v>103</v>
          </cell>
          <cell r="Y52">
            <v>186</v>
          </cell>
          <cell r="Z52">
            <v>20</v>
          </cell>
          <cell r="AA52">
            <v>-39</v>
          </cell>
          <cell r="AB52">
            <v>-19</v>
          </cell>
          <cell r="AC52">
            <v>27</v>
          </cell>
          <cell r="AD52">
            <v>-49</v>
          </cell>
          <cell r="AE52">
            <v>-22</v>
          </cell>
          <cell r="AF52">
            <v>-31</v>
          </cell>
          <cell r="AG52">
            <v>64</v>
          </cell>
          <cell r="AH52">
            <v>33</v>
          </cell>
          <cell r="AI52">
            <v>11</v>
          </cell>
          <cell r="AJ52">
            <v>-15</v>
          </cell>
          <cell r="AK52">
            <v>-4</v>
          </cell>
          <cell r="AL52">
            <v>-20</v>
          </cell>
          <cell r="AM52">
            <v>0</v>
          </cell>
          <cell r="AN52">
            <v>-20</v>
          </cell>
          <cell r="AO52">
            <v>0</v>
          </cell>
          <cell r="AP52">
            <v>83</v>
          </cell>
          <cell r="AQ52">
            <v>83</v>
          </cell>
          <cell r="AR52">
            <v>4</v>
          </cell>
          <cell r="AS52">
            <v>-31</v>
          </cell>
          <cell r="AT52">
            <v>-27</v>
          </cell>
          <cell r="AU52">
            <v>38</v>
          </cell>
          <cell r="AV52" t="e">
            <v>#N/A</v>
          </cell>
          <cell r="AW52" t="e">
            <v>#N/A</v>
          </cell>
          <cell r="AX52">
            <v>-7</v>
          </cell>
          <cell r="AY52">
            <v>-7.7000000000000455</v>
          </cell>
          <cell r="AZ52">
            <v>-14.700000000000045</v>
          </cell>
          <cell r="BA52">
            <v>-6.9300000000000068</v>
          </cell>
          <cell r="BB52">
            <v>-7.2764999999999986</v>
          </cell>
          <cell r="BC52">
            <v>-14.206500000000005</v>
          </cell>
          <cell r="BD52">
            <v>-7.0686000000000035</v>
          </cell>
          <cell r="BE52">
            <v>-7.6403250000000185</v>
          </cell>
          <cell r="BF52">
            <v>-14.708924999999908</v>
          </cell>
          <cell r="BG52">
            <v>-7.2099720000000502</v>
          </cell>
          <cell r="BH52">
            <v>-8.0223412500000677</v>
          </cell>
          <cell r="BI52">
            <v>-15.232313250000061</v>
          </cell>
          <cell r="BJ52">
            <v>-7.3541714400000728</v>
          </cell>
          <cell r="BK52">
            <v>-8.423458312500145</v>
          </cell>
          <cell r="BL52">
            <v>-15.777629752500161</v>
          </cell>
          <cell r="BM52">
            <v>-8.5186122435422362</v>
          </cell>
          <cell r="BN52">
            <v>-8.718936409695516</v>
          </cell>
          <cell r="BO52">
            <v>-17.237548653237695</v>
          </cell>
          <cell r="BP52">
            <v>-8.8553822502169055</v>
          </cell>
          <cell r="BQ52">
            <v>-9.0187110177886893</v>
          </cell>
          <cell r="BR52">
            <v>-17.874093268005481</v>
          </cell>
          <cell r="BS52">
            <v>-9.1599953841628121</v>
          </cell>
          <cell r="BT52">
            <v>-9.3804202855314429</v>
          </cell>
          <cell r="BU52">
            <v>-18.540415669694198</v>
          </cell>
          <cell r="BV52">
            <v>-9.50156148156168</v>
          </cell>
          <cell r="BW52">
            <v>-9.730431272626447</v>
          </cell>
          <cell r="BX52">
            <v>-19.231992754188241</v>
          </cell>
        </row>
        <row r="53">
          <cell r="B53" t="str">
            <v>Investment Security Income</v>
          </cell>
          <cell r="C53" t="str">
            <v>INVESTMENT_SECS_INCOME</v>
          </cell>
          <cell r="D53" t="str">
            <v>AUD</v>
          </cell>
          <cell r="F53">
            <v>44</v>
          </cell>
          <cell r="G53">
            <v>22</v>
          </cell>
          <cell r="H53">
            <v>21</v>
          </cell>
          <cell r="I53">
            <v>-8</v>
          </cell>
          <cell r="J53">
            <v>46</v>
          </cell>
          <cell r="K53">
            <v>51</v>
          </cell>
          <cell r="L53">
            <v>46</v>
          </cell>
          <cell r="M53">
            <v>67</v>
          </cell>
          <cell r="N53">
            <v>53</v>
          </cell>
          <cell r="O53">
            <v>44</v>
          </cell>
          <cell r="P53">
            <v>97</v>
          </cell>
          <cell r="Q53">
            <v>15</v>
          </cell>
          <cell r="R53">
            <v>88</v>
          </cell>
          <cell r="S53">
            <v>103</v>
          </cell>
          <cell r="T53">
            <v>1</v>
          </cell>
          <cell r="U53">
            <v>0</v>
          </cell>
          <cell r="V53">
            <v>1</v>
          </cell>
          <cell r="W53">
            <v>6</v>
          </cell>
          <cell r="X53">
            <v>0</v>
          </cell>
          <cell r="Y53">
            <v>6</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t="e">
            <v>#N/A</v>
          </cell>
          <cell r="AW53" t="e">
            <v>#N/A</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row>
        <row r="54">
          <cell r="B54" t="str">
            <v>Rental Income</v>
          </cell>
          <cell r="C54" t="str">
            <v>RENTAL_INCOME</v>
          </cell>
          <cell r="D54" t="str">
            <v>AUD</v>
          </cell>
          <cell r="F54">
            <v>3</v>
          </cell>
          <cell r="G54">
            <v>2</v>
          </cell>
          <cell r="H54">
            <v>1</v>
          </cell>
          <cell r="I54">
            <v>5</v>
          </cell>
          <cell r="J54">
            <v>6</v>
          </cell>
          <cell r="K54">
            <v>2</v>
          </cell>
          <cell r="L54">
            <v>1</v>
          </cell>
          <cell r="M54">
            <v>0</v>
          </cell>
          <cell r="N54">
            <v>12</v>
          </cell>
          <cell r="O54">
            <v>20</v>
          </cell>
          <cell r="P54">
            <v>32</v>
          </cell>
          <cell r="Q54">
            <v>23</v>
          </cell>
          <cell r="R54">
            <v>11</v>
          </cell>
          <cell r="S54">
            <v>34</v>
          </cell>
          <cell r="T54">
            <v>13</v>
          </cell>
          <cell r="U54">
            <v>3</v>
          </cell>
          <cell r="V54">
            <v>16</v>
          </cell>
          <cell r="W54">
            <v>17</v>
          </cell>
          <cell r="X54">
            <v>15</v>
          </cell>
          <cell r="Y54">
            <v>20</v>
          </cell>
          <cell r="Z54">
            <v>14</v>
          </cell>
          <cell r="AA54">
            <v>12</v>
          </cell>
          <cell r="AB54">
            <v>26</v>
          </cell>
          <cell r="AC54">
            <v>8</v>
          </cell>
          <cell r="AD54">
            <v>10</v>
          </cell>
          <cell r="AE54">
            <v>18</v>
          </cell>
          <cell r="AF54">
            <v>8</v>
          </cell>
          <cell r="AG54">
            <v>7</v>
          </cell>
          <cell r="AH54">
            <v>15</v>
          </cell>
          <cell r="AI54">
            <v>6</v>
          </cell>
          <cell r="AJ54">
            <v>7</v>
          </cell>
          <cell r="AK54">
            <v>13</v>
          </cell>
          <cell r="AL54">
            <v>2</v>
          </cell>
          <cell r="AM54">
            <v>0</v>
          </cell>
          <cell r="AN54">
            <v>2</v>
          </cell>
          <cell r="AO54">
            <v>0</v>
          </cell>
          <cell r="AP54">
            <v>0</v>
          </cell>
          <cell r="AQ54">
            <v>0</v>
          </cell>
          <cell r="AR54">
            <v>0</v>
          </cell>
          <cell r="AS54">
            <v>0</v>
          </cell>
          <cell r="AT54">
            <v>0</v>
          </cell>
          <cell r="AU54">
            <v>0</v>
          </cell>
          <cell r="AV54" t="e">
            <v>#N/A</v>
          </cell>
          <cell r="AW54" t="e">
            <v>#N/A</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row>
        <row r="55">
          <cell r="B55" t="str">
            <v>Development Ventures</v>
          </cell>
          <cell r="C55" t="str">
            <v>DEVELOPMENT_VENTURES</v>
          </cell>
          <cell r="D55" t="str">
            <v>AUD</v>
          </cell>
        </row>
        <row r="56">
          <cell r="B56" t="str">
            <v>Other Income</v>
          </cell>
          <cell r="C56" t="str">
            <v>OTHER_INCOME</v>
          </cell>
          <cell r="D56" t="str">
            <v>AUD</v>
          </cell>
          <cell r="F56">
            <v>83</v>
          </cell>
          <cell r="G56">
            <v>58</v>
          </cell>
          <cell r="H56">
            <v>169</v>
          </cell>
          <cell r="I56">
            <v>-119</v>
          </cell>
          <cell r="J56">
            <v>177</v>
          </cell>
          <cell r="K56">
            <v>152</v>
          </cell>
          <cell r="L56">
            <v>180</v>
          </cell>
          <cell r="M56">
            <v>103</v>
          </cell>
          <cell r="N56">
            <v>2</v>
          </cell>
          <cell r="O56">
            <v>-6</v>
          </cell>
          <cell r="P56">
            <v>-4</v>
          </cell>
          <cell r="Q56">
            <v>11</v>
          </cell>
          <cell r="R56">
            <v>23</v>
          </cell>
          <cell r="S56">
            <v>34</v>
          </cell>
          <cell r="T56">
            <v>26</v>
          </cell>
          <cell r="U56">
            <v>22</v>
          </cell>
          <cell r="V56">
            <v>48</v>
          </cell>
          <cell r="W56">
            <v>20</v>
          </cell>
          <cell r="X56">
            <v>-99</v>
          </cell>
          <cell r="Y56">
            <v>-67</v>
          </cell>
          <cell r="Z56">
            <v>87</v>
          </cell>
          <cell r="AA56">
            <v>61</v>
          </cell>
          <cell r="AB56">
            <v>148</v>
          </cell>
          <cell r="AC56">
            <v>-507</v>
          </cell>
          <cell r="AD56">
            <v>-214</v>
          </cell>
          <cell r="AE56">
            <v>-721</v>
          </cell>
          <cell r="AF56">
            <v>-226</v>
          </cell>
          <cell r="AG56">
            <v>-94</v>
          </cell>
          <cell r="AH56">
            <v>-320</v>
          </cell>
          <cell r="AI56">
            <v>384</v>
          </cell>
          <cell r="AJ56">
            <v>281</v>
          </cell>
          <cell r="AK56">
            <v>665</v>
          </cell>
          <cell r="AL56">
            <v>553</v>
          </cell>
          <cell r="AM56">
            <v>-893</v>
          </cell>
          <cell r="AN56">
            <v>-340</v>
          </cell>
          <cell r="AO56">
            <v>444</v>
          </cell>
          <cell r="AP56">
            <v>-18</v>
          </cell>
          <cell r="AQ56">
            <v>426</v>
          </cell>
          <cell r="AR56">
            <v>36</v>
          </cell>
          <cell r="AS56">
            <v>9</v>
          </cell>
          <cell r="AT56">
            <v>45</v>
          </cell>
          <cell r="AU56">
            <v>9</v>
          </cell>
          <cell r="AV56" t="e">
            <v>#N/A</v>
          </cell>
          <cell r="AW56" t="e">
            <v>#N/A</v>
          </cell>
          <cell r="AX56">
            <v>27.540000000000003</v>
          </cell>
          <cell r="AY56">
            <v>28.090799999999998</v>
          </cell>
          <cell r="AZ56">
            <v>55.630800000000001</v>
          </cell>
          <cell r="BA56">
            <v>28.652616000000002</v>
          </cell>
          <cell r="BB56">
            <v>29.22566832</v>
          </cell>
          <cell r="BC56">
            <v>57.878284320000006</v>
          </cell>
          <cell r="BD56">
            <v>29.8101816864</v>
          </cell>
          <cell r="BE56">
            <v>30.406385320127995</v>
          </cell>
          <cell r="BF56">
            <v>60.216567006527995</v>
          </cell>
          <cell r="BG56">
            <v>31.014513026530558</v>
          </cell>
          <cell r="BH56">
            <v>31.634803287061171</v>
          </cell>
          <cell r="BI56">
            <v>62.649316313591726</v>
          </cell>
          <cell r="BJ56">
            <v>32.267499352802396</v>
          </cell>
          <cell r="BK56">
            <v>32.912849339858447</v>
          </cell>
          <cell r="BL56">
            <v>65.180348692660843</v>
          </cell>
          <cell r="BM56">
            <v>33.373266027808086</v>
          </cell>
          <cell r="BN56">
            <v>34.189007098495502</v>
          </cell>
          <cell r="BO56">
            <v>67.56227312630358</v>
          </cell>
          <cell r="BP56">
            <v>34.751433848123312</v>
          </cell>
          <cell r="BQ56">
            <v>35.42012289549352</v>
          </cell>
          <cell r="BR56">
            <v>70.171556743616833</v>
          </cell>
          <cell r="BS56">
            <v>36.003006790923642</v>
          </cell>
          <cell r="BT56">
            <v>36.897887080924001</v>
          </cell>
          <cell r="BU56">
            <v>72.900893871847643</v>
          </cell>
          <cell r="BV56">
            <v>37.403102955797976</v>
          </cell>
          <cell r="BW56">
            <v>38.33327855808573</v>
          </cell>
          <cell r="BX56">
            <v>75.736381513883714</v>
          </cell>
        </row>
        <row r="57">
          <cell r="B57" t="str">
            <v>Selling, General &amp; Admin</v>
          </cell>
          <cell r="C57" t="str">
            <v>SEL_GL_AD_OTHER</v>
          </cell>
          <cell r="D57" t="str">
            <v>AUD</v>
          </cell>
        </row>
        <row r="58">
          <cell r="B58" t="str">
            <v>Labour</v>
          </cell>
          <cell r="C58" t="str">
            <v>LABOUR</v>
          </cell>
          <cell r="D58" t="str">
            <v>AUD</v>
          </cell>
          <cell r="F58">
            <v>-1820</v>
          </cell>
          <cell r="G58">
            <v>-2030</v>
          </cell>
          <cell r="H58">
            <v>-2207</v>
          </cell>
          <cell r="I58">
            <v>-2856</v>
          </cell>
          <cell r="J58">
            <v>-2962</v>
          </cell>
          <cell r="K58">
            <v>-2969</v>
          </cell>
          <cell r="L58">
            <v>-3045</v>
          </cell>
          <cell r="M58">
            <v>-3264</v>
          </cell>
          <cell r="N58">
            <v>-1776</v>
          </cell>
          <cell r="O58">
            <v>-1742</v>
          </cell>
          <cell r="P58">
            <v>-3518</v>
          </cell>
          <cell r="Q58">
            <v>-2039</v>
          </cell>
          <cell r="R58">
            <v>-1994</v>
          </cell>
          <cell r="S58">
            <v>-4033</v>
          </cell>
          <cell r="T58">
            <v>-1999</v>
          </cell>
          <cell r="U58">
            <v>-1996</v>
          </cell>
          <cell r="V58">
            <v>-3995</v>
          </cell>
          <cell r="W58">
            <v>-2022</v>
          </cell>
          <cell r="X58">
            <v>-2076</v>
          </cell>
          <cell r="Y58">
            <v>-4018</v>
          </cell>
          <cell r="Z58">
            <v>-2119</v>
          </cell>
          <cell r="AA58">
            <v>-2173</v>
          </cell>
          <cell r="AB58">
            <v>-4292</v>
          </cell>
          <cell r="AC58">
            <v>-2239</v>
          </cell>
          <cell r="AD58">
            <v>-2081</v>
          </cell>
          <cell r="AE58">
            <v>-4320</v>
          </cell>
          <cell r="AF58">
            <v>-2155</v>
          </cell>
          <cell r="AG58">
            <v>-2273</v>
          </cell>
          <cell r="AH58">
            <v>-4428</v>
          </cell>
          <cell r="AI58">
            <v>-2472</v>
          </cell>
          <cell r="AJ58">
            <v>-2897</v>
          </cell>
          <cell r="AK58">
            <v>-5369</v>
          </cell>
          <cell r="AL58">
            <v>-2584</v>
          </cell>
          <cell r="AM58">
            <v>-2527</v>
          </cell>
          <cell r="AN58">
            <v>-5111</v>
          </cell>
          <cell r="AO58">
            <v>-2545</v>
          </cell>
          <cell r="AP58">
            <v>-2709</v>
          </cell>
          <cell r="AQ58">
            <v>-5254</v>
          </cell>
          <cell r="AR58">
            <v>-2567</v>
          </cell>
          <cell r="AS58">
            <v>-2593</v>
          </cell>
          <cell r="AT58">
            <v>-5160</v>
          </cell>
          <cell r="AU58">
            <v>-2716</v>
          </cell>
          <cell r="AV58" t="e">
            <v>#N/A</v>
          </cell>
          <cell r="AW58" t="e">
            <v>#N/A</v>
          </cell>
          <cell r="AX58">
            <v>-2710.2582708933714</v>
          </cell>
          <cell r="AY58">
            <v>-2667.6005969668586</v>
          </cell>
          <cell r="AZ58">
            <v>-5377.85886786023</v>
          </cell>
          <cell r="BA58">
            <v>-2756.8614729276169</v>
          </cell>
          <cell r="BB58">
            <v>-2796.7305458495248</v>
          </cell>
          <cell r="BC58">
            <v>-5553.5920187771417</v>
          </cell>
          <cell r="BD58">
            <v>-2863.3459473816079</v>
          </cell>
          <cell r="BE58">
            <v>-2884.4110902414127</v>
          </cell>
          <cell r="BF58">
            <v>-5747.7570376230206</v>
          </cell>
          <cell r="BG58">
            <v>-2924.6968686344326</v>
          </cell>
          <cell r="BH58">
            <v>-2924.7536933639844</v>
          </cell>
          <cell r="BI58">
            <v>-5849.4505619984175</v>
          </cell>
          <cell r="BJ58">
            <v>-2932.4291926185201</v>
          </cell>
          <cell r="BK58">
            <v>-2907.1407896442506</v>
          </cell>
          <cell r="BL58">
            <v>-5839.5699822627703</v>
          </cell>
          <cell r="BM58">
            <v>-2960.1389687141327</v>
          </cell>
          <cell r="BN58">
            <v>-3035.9614594861323</v>
          </cell>
          <cell r="BO58">
            <v>-5996.100428200265</v>
          </cell>
          <cell r="BP58">
            <v>-3088.2315481995956</v>
          </cell>
          <cell r="BQ58">
            <v>-3149.9891680062128</v>
          </cell>
          <cell r="BR58">
            <v>-6238.2207162058085</v>
          </cell>
          <cell r="BS58">
            <v>-3204.1598965160842</v>
          </cell>
          <cell r="BT58">
            <v>-3270.0056690705824</v>
          </cell>
          <cell r="BU58">
            <v>-6474.1655655866671</v>
          </cell>
          <cell r="BV58">
            <v>-3317.112755374304</v>
          </cell>
          <cell r="BW58">
            <v>-3385.2396126272606</v>
          </cell>
          <cell r="BX58">
            <v>-6702.3523680015642</v>
          </cell>
        </row>
        <row r="59">
          <cell r="B59" t="str">
            <v>Other Staff Costs</v>
          </cell>
          <cell r="C59" t="str">
            <v>OTHER_STAFF_COSTS</v>
          </cell>
          <cell r="D59" t="str">
            <v>AUD</v>
          </cell>
          <cell r="F59">
            <v>-442</v>
          </cell>
          <cell r="G59">
            <v>-464.11045867493908</v>
          </cell>
          <cell r="H59">
            <v>-1305.8345151045128</v>
          </cell>
          <cell r="I59">
            <v>-816.15870689839983</v>
          </cell>
          <cell r="J59">
            <v>-844.16217217204883</v>
          </cell>
          <cell r="K59">
            <v>-939.27299109520982</v>
          </cell>
          <cell r="L59">
            <v>-984.29903842961892</v>
          </cell>
          <cell r="M59">
            <v>-991.58833330903576</v>
          </cell>
          <cell r="N59">
            <v>-524.24659312403412</v>
          </cell>
          <cell r="O59">
            <v>-509.08421465206504</v>
          </cell>
          <cell r="P59">
            <v>-1033.3308077760992</v>
          </cell>
          <cell r="Q59">
            <v>-230.76734424544236</v>
          </cell>
          <cell r="R59">
            <v>-267.87596097371852</v>
          </cell>
          <cell r="S59">
            <v>-498.64330521916088</v>
          </cell>
          <cell r="T59">
            <v>-249.75278133724339</v>
          </cell>
          <cell r="U59">
            <v>-211.24721866275661</v>
          </cell>
          <cell r="V59">
            <v>-461</v>
          </cell>
          <cell r="W59">
            <v>-239</v>
          </cell>
          <cell r="X59">
            <v>-216</v>
          </cell>
          <cell r="Y59">
            <v>-497.24721866275661</v>
          </cell>
          <cell r="Z59">
            <v>-252</v>
          </cell>
          <cell r="AA59">
            <v>-298</v>
          </cell>
          <cell r="AB59">
            <v>-550</v>
          </cell>
          <cell r="AC59">
            <v>-328</v>
          </cell>
          <cell r="AD59">
            <v>-261</v>
          </cell>
          <cell r="AE59">
            <v>-589</v>
          </cell>
          <cell r="AF59">
            <v>-181</v>
          </cell>
          <cell r="AG59">
            <v>-200</v>
          </cell>
          <cell r="AH59">
            <v>-381</v>
          </cell>
          <cell r="AI59">
            <v>-253</v>
          </cell>
          <cell r="AJ59">
            <v>-315</v>
          </cell>
          <cell r="AK59">
            <v>-568</v>
          </cell>
          <cell r="AL59">
            <v>-352</v>
          </cell>
          <cell r="AM59">
            <v>-315</v>
          </cell>
          <cell r="AN59">
            <v>-667</v>
          </cell>
          <cell r="AO59">
            <v>-303</v>
          </cell>
          <cell r="AP59">
            <v>-451</v>
          </cell>
          <cell r="AQ59">
            <v>-754</v>
          </cell>
          <cell r="AR59">
            <v>-319</v>
          </cell>
          <cell r="AS59">
            <v>-323</v>
          </cell>
          <cell r="AT59">
            <v>-642</v>
          </cell>
          <cell r="AU59">
            <v>-345</v>
          </cell>
          <cell r="AV59" t="e">
            <v>#N/A</v>
          </cell>
          <cell r="AW59" t="e">
            <v>#N/A</v>
          </cell>
          <cell r="AX59">
            <v>-483.3759596541787</v>
          </cell>
          <cell r="AY59">
            <v>-475.76794152089326</v>
          </cell>
          <cell r="AZ59">
            <v>-959.14390117507151</v>
          </cell>
          <cell r="BA59">
            <v>-491.68766475925497</v>
          </cell>
          <cell r="BB59">
            <v>-498.79833446594597</v>
          </cell>
          <cell r="BC59">
            <v>-990.48599922520134</v>
          </cell>
          <cell r="BD59">
            <v>-510.6792256670293</v>
          </cell>
          <cell r="BE59">
            <v>-514.43620475439661</v>
          </cell>
          <cell r="BF59">
            <v>-1025.115430421426</v>
          </cell>
          <cell r="BG59">
            <v>-521.62119409665661</v>
          </cell>
          <cell r="BH59">
            <v>-521.63132881646368</v>
          </cell>
          <cell r="BI59">
            <v>-1043.2525229131202</v>
          </cell>
          <cell r="BJ59">
            <v>-523.00025806495319</v>
          </cell>
          <cell r="BK59">
            <v>-518.4900583592331</v>
          </cell>
          <cell r="BL59">
            <v>-1041.4903164241866</v>
          </cell>
          <cell r="BM59">
            <v>-527.94231091499557</v>
          </cell>
          <cell r="BN59">
            <v>-541.4652912279397</v>
          </cell>
          <cell r="BO59">
            <v>-1069.4076021429348</v>
          </cell>
          <cell r="BP59">
            <v>-550.78768849333062</v>
          </cell>
          <cell r="BQ59">
            <v>-561.80219181966595</v>
          </cell>
          <cell r="BR59">
            <v>-1112.5898803129967</v>
          </cell>
          <cell r="BS59">
            <v>-571.46356917245805</v>
          </cell>
          <cell r="BT59">
            <v>-583.20719664867283</v>
          </cell>
          <cell r="BU59">
            <v>-1154.6707658211301</v>
          </cell>
          <cell r="BV59">
            <v>-591.60876977294504</v>
          </cell>
          <cell r="BW59">
            <v>-603.75922988094635</v>
          </cell>
          <cell r="BX59">
            <v>-1195.3679996538917</v>
          </cell>
        </row>
        <row r="60">
          <cell r="B60" t="str">
            <v>Share Based Payments</v>
          </cell>
          <cell r="C60" t="str">
            <v>SHARE_BASED_PAYMENTS</v>
          </cell>
          <cell r="D60" t="str">
            <v>AUD</v>
          </cell>
          <cell r="F60">
            <v>-62</v>
          </cell>
          <cell r="G60">
            <v>-62.889541325060932</v>
          </cell>
          <cell r="H60">
            <v>-65.165484895487111</v>
          </cell>
          <cell r="I60">
            <v>-71.841293101600144</v>
          </cell>
          <cell r="J60">
            <v>-77.837827827951202</v>
          </cell>
          <cell r="K60">
            <v>-79.727008904790225</v>
          </cell>
          <cell r="L60">
            <v>-76.70096157038104</v>
          </cell>
          <cell r="M60">
            <v>-80.411666690964267</v>
          </cell>
          <cell r="N60">
            <v>-43.753406875965844</v>
          </cell>
          <cell r="O60">
            <v>-42.915785347934971</v>
          </cell>
          <cell r="P60">
            <v>-86.669192223900808</v>
          </cell>
          <cell r="Q60">
            <v>-50.232655754557634</v>
          </cell>
          <cell r="R60">
            <v>-49.124039026281473</v>
          </cell>
          <cell r="S60">
            <v>-99.356694780839106</v>
          </cell>
          <cell r="T60">
            <v>-49.247218662756602</v>
          </cell>
          <cell r="U60">
            <v>-85.752781337243391</v>
          </cell>
          <cell r="V60">
            <v>-135</v>
          </cell>
          <cell r="W60">
            <v>-65</v>
          </cell>
          <cell r="X60">
            <v>-48</v>
          </cell>
          <cell r="Y60">
            <v>-150.75278133724339</v>
          </cell>
          <cell r="Z60">
            <v>-48</v>
          </cell>
          <cell r="AA60">
            <v>-47</v>
          </cell>
          <cell r="AB60">
            <v>-95</v>
          </cell>
          <cell r="AC60">
            <v>-57</v>
          </cell>
          <cell r="AD60">
            <v>-51</v>
          </cell>
          <cell r="AE60">
            <v>-108</v>
          </cell>
          <cell r="AF60">
            <v>-47</v>
          </cell>
          <cell r="AG60">
            <v>-33</v>
          </cell>
          <cell r="AH60">
            <v>-80</v>
          </cell>
          <cell r="AI60">
            <v>-46</v>
          </cell>
          <cell r="AJ60">
            <v>-51</v>
          </cell>
          <cell r="AK60">
            <v>-97</v>
          </cell>
          <cell r="AL60">
            <v>-46</v>
          </cell>
          <cell r="AM60">
            <v>-42</v>
          </cell>
          <cell r="AN60">
            <v>-88</v>
          </cell>
          <cell r="AO60">
            <v>-44</v>
          </cell>
          <cell r="AP60">
            <v>-46</v>
          </cell>
          <cell r="AQ60">
            <v>-90</v>
          </cell>
          <cell r="AR60">
            <v>-45</v>
          </cell>
          <cell r="AS60">
            <v>-52</v>
          </cell>
          <cell r="AT60">
            <v>-97</v>
          </cell>
          <cell r="AU60">
            <v>-54</v>
          </cell>
          <cell r="AV60" t="e">
            <v>#N/A</v>
          </cell>
          <cell r="AW60" t="e">
            <v>#N/A</v>
          </cell>
          <cell r="AX60">
            <v>-38.185769452449563</v>
          </cell>
          <cell r="AY60">
            <v>-37.584750678914503</v>
          </cell>
          <cell r="AZ60">
            <v>-75.770520131364066</v>
          </cell>
          <cell r="BA60">
            <v>-38.842378140904565</v>
          </cell>
          <cell r="BB60">
            <v>-39.404107347020791</v>
          </cell>
          <cell r="BC60">
            <v>-78.246485487925355</v>
          </cell>
          <cell r="BD60">
            <v>-40.342674860015777</v>
          </cell>
          <cell r="BE60">
            <v>-40.639468969037083</v>
          </cell>
          <cell r="BF60">
            <v>-80.982143829052859</v>
          </cell>
          <cell r="BG60">
            <v>-41.207069283165545</v>
          </cell>
          <cell r="BH60">
            <v>-41.207869906502872</v>
          </cell>
          <cell r="BI60">
            <v>-82.414939189668416</v>
          </cell>
          <cell r="BJ60">
            <v>-41.316012679504922</v>
          </cell>
          <cell r="BK60">
            <v>-40.959715592925868</v>
          </cell>
          <cell r="BL60">
            <v>-82.275728272430797</v>
          </cell>
          <cell r="BM60">
            <v>-41.706425332398432</v>
          </cell>
          <cell r="BN60">
            <v>-42.77471472128228</v>
          </cell>
          <cell r="BO60">
            <v>-84.481140053680718</v>
          </cell>
          <cell r="BP60">
            <v>-43.511166143018357</v>
          </cell>
          <cell r="BQ60">
            <v>-44.381290683249048</v>
          </cell>
          <cell r="BR60">
            <v>-87.892456826267406</v>
          </cell>
          <cell r="BS60">
            <v>-45.144520878748956</v>
          </cell>
          <cell r="BT60">
            <v>-46.072244821956666</v>
          </cell>
          <cell r="BU60">
            <v>-91.216765700705622</v>
          </cell>
          <cell r="BV60">
            <v>-46.735952910771985</v>
          </cell>
          <cell r="BW60">
            <v>-47.695815848012955</v>
          </cell>
          <cell r="BX60">
            <v>-94.431768758784941</v>
          </cell>
        </row>
        <row r="61">
          <cell r="B61" t="str">
            <v>Equipment Costs</v>
          </cell>
          <cell r="C61" t="str">
            <v>EQUIP_COSTS</v>
          </cell>
          <cell r="D61" t="str">
            <v>AUD</v>
          </cell>
        </row>
        <row r="62">
          <cell r="B62" t="str">
            <v>Occupancy Costs</v>
          </cell>
          <cell r="C62" t="str">
            <v>OCCUPANCY_COSTS</v>
          </cell>
          <cell r="D62" t="str">
            <v>AUD</v>
          </cell>
          <cell r="F62">
            <v>-439</v>
          </cell>
          <cell r="G62">
            <v>-441</v>
          </cell>
          <cell r="H62">
            <v>-617</v>
          </cell>
          <cell r="I62">
            <v>-926</v>
          </cell>
          <cell r="J62">
            <v>-1063</v>
          </cell>
          <cell r="K62">
            <v>-1111</v>
          </cell>
          <cell r="L62">
            <v>-1278</v>
          </cell>
          <cell r="M62">
            <v>-1370</v>
          </cell>
          <cell r="N62">
            <v>-692</v>
          </cell>
          <cell r="O62">
            <v>-809</v>
          </cell>
          <cell r="P62">
            <v>-1501</v>
          </cell>
          <cell r="Q62">
            <v>-467</v>
          </cell>
          <cell r="R62">
            <v>-467</v>
          </cell>
          <cell r="S62">
            <v>-934</v>
          </cell>
          <cell r="T62">
            <v>-473</v>
          </cell>
          <cell r="U62">
            <v>-466</v>
          </cell>
          <cell r="V62">
            <v>-939</v>
          </cell>
          <cell r="W62">
            <v>-477</v>
          </cell>
          <cell r="X62">
            <v>-485</v>
          </cell>
          <cell r="Y62">
            <v>-943</v>
          </cell>
          <cell r="Z62">
            <v>-475</v>
          </cell>
          <cell r="AA62">
            <v>-477</v>
          </cell>
          <cell r="AB62">
            <v>-952</v>
          </cell>
          <cell r="AC62">
            <v>-497</v>
          </cell>
          <cell r="AD62">
            <v>-472</v>
          </cell>
          <cell r="AE62">
            <v>-969</v>
          </cell>
          <cell r="AF62">
            <v>-493</v>
          </cell>
          <cell r="AG62">
            <v>-484</v>
          </cell>
          <cell r="AH62">
            <v>-977</v>
          </cell>
          <cell r="AI62">
            <v>-543</v>
          </cell>
          <cell r="AJ62">
            <v>-655</v>
          </cell>
          <cell r="AK62">
            <v>-1198</v>
          </cell>
          <cell r="AL62">
            <v>-398</v>
          </cell>
          <cell r="AM62">
            <v>-516</v>
          </cell>
          <cell r="AN62">
            <v>-914</v>
          </cell>
          <cell r="AO62">
            <v>-372</v>
          </cell>
          <cell r="AP62">
            <v>-414</v>
          </cell>
          <cell r="AQ62">
            <v>-786</v>
          </cell>
          <cell r="AR62">
            <v>-352</v>
          </cell>
          <cell r="AS62">
            <v>-348</v>
          </cell>
          <cell r="AT62">
            <v>-700</v>
          </cell>
          <cell r="AU62">
            <v>-318</v>
          </cell>
          <cell r="AV62" t="e">
            <v>#N/A</v>
          </cell>
          <cell r="AW62" t="e">
            <v>#N/A</v>
          </cell>
          <cell r="AX62">
            <v>-361.39947328244278</v>
          </cell>
          <cell r="AY62">
            <v>-390.50854079177276</v>
          </cell>
          <cell r="AZ62">
            <v>-751.90801407421554</v>
          </cell>
          <cell r="BA62">
            <v>-372.73641591195371</v>
          </cell>
          <cell r="BB62">
            <v>-407.09804506741784</v>
          </cell>
          <cell r="BC62">
            <v>-779.83446097937156</v>
          </cell>
          <cell r="BD62">
            <v>-385.23723551269404</v>
          </cell>
          <cell r="BE62">
            <v>-420.24707968695611</v>
          </cell>
          <cell r="BF62">
            <v>-805.48431519965015</v>
          </cell>
          <cell r="BG62">
            <v>-393.98668795230492</v>
          </cell>
          <cell r="BH62">
            <v>-429.63650956842525</v>
          </cell>
          <cell r="BI62">
            <v>-823.62319752073017</v>
          </cell>
          <cell r="BJ62">
            <v>-402.44906552021007</v>
          </cell>
          <cell r="BK62">
            <v>-439.42856324014457</v>
          </cell>
          <cell r="BL62">
            <v>-841.87762876035458</v>
          </cell>
          <cell r="BM62">
            <v>-416.07803573871263</v>
          </cell>
          <cell r="BN62">
            <v>-438.24872783524978</v>
          </cell>
          <cell r="BO62">
            <v>-854.32676357396235</v>
          </cell>
          <cell r="BP62">
            <v>-422.37682704153855</v>
          </cell>
          <cell r="BQ62">
            <v>-445.06324454098592</v>
          </cell>
          <cell r="BR62">
            <v>-867.44007158252452</v>
          </cell>
          <cell r="BS62">
            <v>-428.76138460393082</v>
          </cell>
          <cell r="BT62">
            <v>-451.62642751797404</v>
          </cell>
          <cell r="BU62">
            <v>-880.38781212190486</v>
          </cell>
          <cell r="BV62">
            <v>-434.75965012403981</v>
          </cell>
          <cell r="BW62">
            <v>-458.27307940394252</v>
          </cell>
          <cell r="BX62">
            <v>-893.03272952798238</v>
          </cell>
        </row>
        <row r="63">
          <cell r="B63" t="str">
            <v>Other Expenses</v>
          </cell>
          <cell r="C63" t="str">
            <v>OTHER_EXPENSES</v>
          </cell>
          <cell r="D63" t="str">
            <v>AUD</v>
          </cell>
          <cell r="F63">
            <v>-1444.5</v>
          </cell>
          <cell r="G63">
            <v>-1358</v>
          </cell>
          <cell r="H63">
            <v>-1894</v>
          </cell>
          <cell r="I63">
            <v>-1789</v>
          </cell>
          <cell r="J63">
            <v>-1724</v>
          </cell>
          <cell r="K63">
            <v>-1748</v>
          </cell>
          <cell r="L63">
            <v>-1666</v>
          </cell>
          <cell r="M63">
            <v>-1665</v>
          </cell>
          <cell r="N63">
            <v>-820</v>
          </cell>
          <cell r="O63">
            <v>-822</v>
          </cell>
          <cell r="P63">
            <v>-1642</v>
          </cell>
          <cell r="Q63">
            <v>-1213</v>
          </cell>
          <cell r="R63">
            <v>-1312</v>
          </cell>
          <cell r="S63">
            <v>-2525</v>
          </cell>
          <cell r="T63">
            <v>-1377</v>
          </cell>
          <cell r="U63">
            <v>-1459</v>
          </cell>
          <cell r="V63">
            <v>-2836</v>
          </cell>
          <cell r="W63">
            <v>-1395</v>
          </cell>
          <cell r="X63">
            <v>-1468</v>
          </cell>
          <cell r="Y63">
            <v>-2882</v>
          </cell>
          <cell r="Z63">
            <v>-1496</v>
          </cell>
          <cell r="AA63">
            <v>-1695</v>
          </cell>
          <cell r="AB63">
            <v>-3191</v>
          </cell>
          <cell r="AC63">
            <v>-1602</v>
          </cell>
          <cell r="AD63">
            <v>-1749</v>
          </cell>
          <cell r="AE63">
            <v>-3351</v>
          </cell>
          <cell r="AF63">
            <v>-2891</v>
          </cell>
          <cell r="AG63">
            <v>-3144</v>
          </cell>
          <cell r="AH63">
            <v>-6035</v>
          </cell>
          <cell r="AI63">
            <v>-2283</v>
          </cell>
          <cell r="AJ63">
            <v>-3013</v>
          </cell>
          <cell r="AK63">
            <v>-5296</v>
          </cell>
          <cell r="AL63">
            <v>-1703</v>
          </cell>
          <cell r="AM63">
            <v>-1763</v>
          </cell>
          <cell r="AN63">
            <v>-3466</v>
          </cell>
          <cell r="AO63">
            <v>-1474</v>
          </cell>
          <cell r="AP63">
            <v>-1713</v>
          </cell>
          <cell r="AQ63">
            <v>-3187</v>
          </cell>
          <cell r="AR63">
            <v>-1670</v>
          </cell>
          <cell r="AS63">
            <v>-1786</v>
          </cell>
          <cell r="AT63">
            <v>-3456</v>
          </cell>
          <cell r="AU63">
            <v>-1780</v>
          </cell>
          <cell r="AV63" t="e">
            <v>#N/A</v>
          </cell>
          <cell r="AW63" t="e">
            <v>#N/A</v>
          </cell>
          <cell r="AX63">
            <v>-1764.7980267175574</v>
          </cell>
          <cell r="AY63">
            <v>-1906.944401291561</v>
          </cell>
          <cell r="AZ63">
            <v>-3671.7424280091191</v>
          </cell>
          <cell r="BA63">
            <v>-1820.1589651269355</v>
          </cell>
          <cell r="BB63">
            <v>-1987.9548248651454</v>
          </cell>
          <cell r="BC63">
            <v>-3808.11378999208</v>
          </cell>
          <cell r="BD63">
            <v>-1881.2033865904314</v>
          </cell>
          <cell r="BE63">
            <v>-2052.1646316449869</v>
          </cell>
          <cell r="BF63">
            <v>-3933.3680182354183</v>
          </cell>
          <cell r="BG63">
            <v>-1923.929006138352</v>
          </cell>
          <cell r="BH63">
            <v>-2098.0154104973108</v>
          </cell>
          <cell r="BI63">
            <v>-4021.9444166356607</v>
          </cell>
          <cell r="BJ63">
            <v>-1965.2527720462961</v>
          </cell>
          <cell r="BK63">
            <v>-2145.8322953433412</v>
          </cell>
          <cell r="BL63">
            <v>-4111.0850673896366</v>
          </cell>
          <cell r="BM63">
            <v>-2031.8062164366479</v>
          </cell>
          <cell r="BN63">
            <v>-2140.0708835308169</v>
          </cell>
          <cell r="BO63">
            <v>-4171.8770999674653</v>
          </cell>
          <cell r="BP63">
            <v>-2062.5646853435619</v>
          </cell>
          <cell r="BQ63">
            <v>-2173.3477600190072</v>
          </cell>
          <cell r="BR63">
            <v>-4235.91244536257</v>
          </cell>
          <cell r="BS63">
            <v>-2093.7419709251844</v>
          </cell>
          <cell r="BT63">
            <v>-2205.3973152150174</v>
          </cell>
          <cell r="BU63">
            <v>-4299.1392861402028</v>
          </cell>
          <cell r="BV63">
            <v>-2123.0329022524229</v>
          </cell>
          <cell r="BW63">
            <v>-2237.8544685863189</v>
          </cell>
          <cell r="BX63">
            <v>-4360.8873708387418</v>
          </cell>
        </row>
        <row r="64">
          <cell r="B64" t="str">
            <v>Amortisation of Intangibles</v>
          </cell>
          <cell r="C64" t="str">
            <v>AMORT_OF_INTANGIBLES</v>
          </cell>
          <cell r="D64" t="str">
            <v>AUD</v>
          </cell>
          <cell r="F64">
            <v>-87.5</v>
          </cell>
          <cell r="G64">
            <v>-187</v>
          </cell>
          <cell r="H64">
            <v>-351</v>
          </cell>
          <cell r="I64">
            <v>-281</v>
          </cell>
          <cell r="J64">
            <v>-301</v>
          </cell>
          <cell r="K64">
            <v>-259</v>
          </cell>
          <cell r="L64">
            <v>-329</v>
          </cell>
          <cell r="M64">
            <v>-388</v>
          </cell>
          <cell r="N64">
            <v>-209</v>
          </cell>
          <cell r="O64">
            <v>-256</v>
          </cell>
          <cell r="P64">
            <v>-465</v>
          </cell>
          <cell r="Q64">
            <v>-254</v>
          </cell>
          <cell r="R64">
            <v>-291</v>
          </cell>
          <cell r="S64">
            <v>-545</v>
          </cell>
          <cell r="T64">
            <v>-271</v>
          </cell>
          <cell r="U64">
            <v>-294</v>
          </cell>
          <cell r="V64">
            <v>-565</v>
          </cell>
          <cell r="W64">
            <v>-303</v>
          </cell>
          <cell r="X64">
            <v>-311</v>
          </cell>
          <cell r="Y64">
            <v>-614</v>
          </cell>
          <cell r="Z64">
            <v>-301</v>
          </cell>
          <cell r="AA64">
            <v>-317</v>
          </cell>
          <cell r="AB64">
            <v>-618</v>
          </cell>
          <cell r="AC64">
            <v>-318</v>
          </cell>
          <cell r="AD64">
            <v>-376</v>
          </cell>
          <cell r="AE64">
            <v>-694</v>
          </cell>
          <cell r="AF64">
            <v>-393</v>
          </cell>
          <cell r="AG64">
            <v>-406</v>
          </cell>
          <cell r="AH64">
            <v>-799</v>
          </cell>
          <cell r="AI64">
            <v>-384</v>
          </cell>
          <cell r="AJ64">
            <v>-371</v>
          </cell>
          <cell r="AK64">
            <v>-755</v>
          </cell>
          <cell r="AL64">
            <v>-283</v>
          </cell>
          <cell r="AM64">
            <v>-262</v>
          </cell>
          <cell r="AN64">
            <v>-545</v>
          </cell>
          <cell r="AO64">
            <v>-250</v>
          </cell>
          <cell r="AP64">
            <v>-371</v>
          </cell>
          <cell r="AQ64">
            <v>-621</v>
          </cell>
          <cell r="AR64">
            <v>-442</v>
          </cell>
          <cell r="AS64">
            <v>-447</v>
          </cell>
          <cell r="AT64">
            <v>-889</v>
          </cell>
          <cell r="AU64">
            <v>-485</v>
          </cell>
          <cell r="AV64" t="e">
            <v>#N/A</v>
          </cell>
          <cell r="AW64" t="e">
            <v>#N/A</v>
          </cell>
          <cell r="AX64">
            <v>-519.01</v>
          </cell>
          <cell r="AY64">
            <v>-511.35765833333335</v>
          </cell>
          <cell r="AZ64">
            <v>-1030.3676583333333</v>
          </cell>
          <cell r="BA64">
            <v>-513.20509533333325</v>
          </cell>
          <cell r="BB64">
            <v>-490.82569005555547</v>
          </cell>
          <cell r="BC64">
            <v>-1004.0307853888887</v>
          </cell>
          <cell r="BD64">
            <v>-477.92191684722223</v>
          </cell>
          <cell r="BE64">
            <v>-445.51591023958338</v>
          </cell>
          <cell r="BF64">
            <v>-923.43782708680556</v>
          </cell>
          <cell r="BG64">
            <v>-447.23366146440981</v>
          </cell>
          <cell r="BH64">
            <v>-425.11195288059906</v>
          </cell>
          <cell r="BI64">
            <v>-872.34561434500893</v>
          </cell>
          <cell r="BJ64">
            <v>-435.32359530871321</v>
          </cell>
          <cell r="BK64">
            <v>-418.8700044672953</v>
          </cell>
          <cell r="BL64">
            <v>-854.19359977600857</v>
          </cell>
          <cell r="BM64">
            <v>-368.66890694799213</v>
          </cell>
          <cell r="BN64">
            <v>-392.41591449158625</v>
          </cell>
          <cell r="BO64">
            <v>-761.08482143957838</v>
          </cell>
          <cell r="BP64">
            <v>-409.72147101852738</v>
          </cell>
          <cell r="BQ64">
            <v>-426.40394642780768</v>
          </cell>
          <cell r="BR64">
            <v>-836.12541744633506</v>
          </cell>
          <cell r="BS64">
            <v>-440.36329550173923</v>
          </cell>
          <cell r="BT64">
            <v>-456.50376038120743</v>
          </cell>
          <cell r="BU64">
            <v>-896.86705588294672</v>
          </cell>
          <cell r="BV64">
            <v>-466.61039758656761</v>
          </cell>
          <cell r="BW64">
            <v>-480.86651787354504</v>
          </cell>
          <cell r="BX64">
            <v>-947.47691546011265</v>
          </cell>
        </row>
        <row r="65">
          <cell r="B65" t="str">
            <v>Amortisation of Goodwill</v>
          </cell>
          <cell r="C65" t="str">
            <v>AMORT_OF_INTANGIBLES_ADJ</v>
          </cell>
          <cell r="D65" t="str">
            <v>AUD</v>
          </cell>
        </row>
        <row r="66">
          <cell r="B66" t="str">
            <v>Total Depreciation/Amortisation</v>
          </cell>
          <cell r="C66" t="str">
            <v>TOTAL_DEPREC_AMORT</v>
          </cell>
          <cell r="D66" t="str">
            <v>AUD</v>
          </cell>
          <cell r="F66">
            <v>-87.5</v>
          </cell>
          <cell r="G66">
            <v>-187</v>
          </cell>
          <cell r="H66">
            <v>-351</v>
          </cell>
          <cell r="I66">
            <v>-281</v>
          </cell>
          <cell r="J66">
            <v>-301</v>
          </cell>
          <cell r="K66">
            <v>-259</v>
          </cell>
          <cell r="L66">
            <v>-329</v>
          </cell>
          <cell r="M66">
            <v>-388</v>
          </cell>
          <cell r="N66">
            <v>-209</v>
          </cell>
          <cell r="O66">
            <v>-256</v>
          </cell>
          <cell r="P66">
            <v>-465</v>
          </cell>
          <cell r="Q66">
            <v>-254</v>
          </cell>
          <cell r="R66">
            <v>-291</v>
          </cell>
          <cell r="S66">
            <v>-545</v>
          </cell>
          <cell r="T66">
            <v>-271</v>
          </cell>
          <cell r="U66">
            <v>-294</v>
          </cell>
          <cell r="V66">
            <v>-565</v>
          </cell>
          <cell r="W66">
            <v>-303</v>
          </cell>
          <cell r="X66">
            <v>-311</v>
          </cell>
          <cell r="Y66">
            <v>-614</v>
          </cell>
          <cell r="Z66">
            <v>-301</v>
          </cell>
          <cell r="AA66">
            <v>-317</v>
          </cell>
          <cell r="AB66">
            <v>-618</v>
          </cell>
          <cell r="AC66">
            <v>-318</v>
          </cell>
          <cell r="AD66">
            <v>-376</v>
          </cell>
          <cell r="AE66">
            <v>-694</v>
          </cell>
          <cell r="AF66">
            <v>-393</v>
          </cell>
          <cell r="AG66">
            <v>-406</v>
          </cell>
          <cell r="AH66">
            <v>-799</v>
          </cell>
          <cell r="AI66">
            <v>-384</v>
          </cell>
          <cell r="AJ66">
            <v>-371</v>
          </cell>
          <cell r="AK66">
            <v>-755</v>
          </cell>
          <cell r="AL66">
            <v>-283</v>
          </cell>
          <cell r="AM66">
            <v>-262</v>
          </cell>
          <cell r="AN66">
            <v>-545</v>
          </cell>
          <cell r="AO66">
            <v>-250</v>
          </cell>
          <cell r="AP66">
            <v>-371</v>
          </cell>
          <cell r="AQ66">
            <v>-621</v>
          </cell>
          <cell r="AR66">
            <v>-442</v>
          </cell>
          <cell r="AS66">
            <v>-447</v>
          </cell>
          <cell r="AT66">
            <v>-889</v>
          </cell>
          <cell r="AU66">
            <v>-485</v>
          </cell>
          <cell r="AV66" t="e">
            <v>#N/A</v>
          </cell>
          <cell r="AW66" t="e">
            <v>#N/A</v>
          </cell>
          <cell r="AX66">
            <v>-519.01</v>
          </cell>
          <cell r="AY66">
            <v>-511.35765833333335</v>
          </cell>
          <cell r="AZ66">
            <v>-1030.3676583333333</v>
          </cell>
          <cell r="BA66">
            <v>-513.20509533333325</v>
          </cell>
          <cell r="BB66">
            <v>-490.82569005555547</v>
          </cell>
          <cell r="BC66">
            <v>-1004.0307853888887</v>
          </cell>
          <cell r="BD66">
            <v>-477.92191684722223</v>
          </cell>
          <cell r="BE66">
            <v>-445.51591023958338</v>
          </cell>
          <cell r="BF66">
            <v>-923.43782708680556</v>
          </cell>
          <cell r="BG66">
            <v>-447.23366146440981</v>
          </cell>
          <cell r="BH66">
            <v>-425.11195288059906</v>
          </cell>
          <cell r="BI66">
            <v>-872.34561434500893</v>
          </cell>
          <cell r="BJ66">
            <v>-435.32359530871321</v>
          </cell>
          <cell r="BK66">
            <v>-418.8700044672953</v>
          </cell>
          <cell r="BL66">
            <v>-854.19359977600857</v>
          </cell>
          <cell r="BM66">
            <v>-368.66890694799213</v>
          </cell>
          <cell r="BN66">
            <v>-392.41591449158625</v>
          </cell>
          <cell r="BO66">
            <v>-761.08482143957838</v>
          </cell>
          <cell r="BP66">
            <v>-409.72147101852738</v>
          </cell>
          <cell r="BQ66">
            <v>-426.40394642780768</v>
          </cell>
          <cell r="BR66">
            <v>-836.12541744633506</v>
          </cell>
          <cell r="BS66">
            <v>-440.36329550173923</v>
          </cell>
          <cell r="BT66">
            <v>-456.50376038120743</v>
          </cell>
          <cell r="BU66">
            <v>-896.86705588294672</v>
          </cell>
          <cell r="BV66">
            <v>-466.61039758656761</v>
          </cell>
          <cell r="BW66">
            <v>-480.86651787354504</v>
          </cell>
          <cell r="BX66">
            <v>-947.47691546011265</v>
          </cell>
        </row>
        <row r="67">
          <cell r="B67" t="str">
            <v>Underlying Earnings (pre-goodwill amortisation)</v>
          </cell>
          <cell r="C67" t="str">
            <v>EBIT_UNDERLYING_PRE_GWILL</v>
          </cell>
          <cell r="D67" t="str">
            <v>AUD</v>
          </cell>
          <cell r="F67">
            <v>4803</v>
          </cell>
          <cell r="G67">
            <v>5543</v>
          </cell>
          <cell r="H67">
            <v>8418</v>
          </cell>
          <cell r="I67">
            <v>10083</v>
          </cell>
          <cell r="J67">
            <v>9938</v>
          </cell>
          <cell r="K67">
            <v>10017</v>
          </cell>
          <cell r="L67">
            <v>10697</v>
          </cell>
          <cell r="M67">
            <v>11074</v>
          </cell>
          <cell r="N67">
            <v>5794</v>
          </cell>
          <cell r="O67">
            <v>5780</v>
          </cell>
          <cell r="P67">
            <v>11574</v>
          </cell>
          <cell r="Q67">
            <v>5766</v>
          </cell>
          <cell r="R67">
            <v>6139</v>
          </cell>
          <cell r="S67">
            <v>11905</v>
          </cell>
          <cell r="T67">
            <v>6200</v>
          </cell>
          <cell r="U67">
            <v>6105</v>
          </cell>
          <cell r="V67">
            <v>12305</v>
          </cell>
          <cell r="W67">
            <v>6260</v>
          </cell>
          <cell r="X67">
            <v>6191</v>
          </cell>
          <cell r="Y67">
            <v>12451</v>
          </cell>
          <cell r="Z67">
            <v>6548</v>
          </cell>
          <cell r="AA67">
            <v>5919</v>
          </cell>
          <cell r="AB67">
            <v>12467</v>
          </cell>
          <cell r="AC67">
            <v>5062</v>
          </cell>
          <cell r="AD67">
            <v>5562</v>
          </cell>
          <cell r="AE67">
            <v>10624</v>
          </cell>
          <cell r="AF67">
            <v>4181</v>
          </cell>
          <cell r="AG67">
            <v>3745</v>
          </cell>
          <cell r="AH67">
            <v>7926</v>
          </cell>
          <cell r="AI67">
            <v>4818</v>
          </cell>
          <cell r="AJ67">
            <v>2937</v>
          </cell>
          <cell r="AK67">
            <v>7755</v>
          </cell>
          <cell r="AL67">
            <v>4864</v>
          </cell>
          <cell r="AM67">
            <v>3951</v>
          </cell>
          <cell r="AN67">
            <v>8815</v>
          </cell>
          <cell r="AO67">
            <v>6015</v>
          </cell>
          <cell r="AP67">
            <v>4938</v>
          </cell>
          <cell r="AQ67">
            <v>10953</v>
          </cell>
          <cell r="AR67">
            <v>5195</v>
          </cell>
          <cell r="AS67">
            <v>5449</v>
          </cell>
          <cell r="AT67">
            <v>10644</v>
          </cell>
          <cell r="AU67">
            <v>5294.6794984000007</v>
          </cell>
          <cell r="AV67" t="e">
            <v>#N/A</v>
          </cell>
          <cell r="AW67" t="e">
            <v>#N/A</v>
          </cell>
          <cell r="AX67">
            <v>5647.2376105272215</v>
          </cell>
          <cell r="AY67">
            <v>5787.8863959249084</v>
          </cell>
          <cell r="AZ67">
            <v>11435.12400645213</v>
          </cell>
          <cell r="BA67">
            <v>5810.7304701535522</v>
          </cell>
          <cell r="BB67">
            <v>5820.2915843520168</v>
          </cell>
          <cell r="BC67">
            <v>11631.022054505569</v>
          </cell>
          <cell r="BD67">
            <v>6048.3819152354572</v>
          </cell>
          <cell r="BE67">
            <v>6079.1638916009142</v>
          </cell>
          <cell r="BF67">
            <v>12127.545806836371</v>
          </cell>
          <cell r="BG67">
            <v>6324.1825760163711</v>
          </cell>
          <cell r="BH67">
            <v>6429.9673694970206</v>
          </cell>
          <cell r="BI67">
            <v>12754.149945513393</v>
          </cell>
          <cell r="BJ67">
            <v>6643.197509857343</v>
          </cell>
          <cell r="BK67">
            <v>6754.2171169496469</v>
          </cell>
          <cell r="BL67">
            <v>13397.414626806989</v>
          </cell>
          <cell r="BM67">
            <v>6984.5571794034149</v>
          </cell>
          <cell r="BN67">
            <v>6979.0426021747298</v>
          </cell>
          <cell r="BO67">
            <v>13963.599781578147</v>
          </cell>
          <cell r="BP67">
            <v>7150.1465905189198</v>
          </cell>
          <cell r="BQ67">
            <v>7099.6403862304651</v>
          </cell>
          <cell r="BR67">
            <v>14249.786976749387</v>
          </cell>
          <cell r="BS67">
            <v>7277.3991465704648</v>
          </cell>
          <cell r="BT67">
            <v>7302.9589423101806</v>
          </cell>
          <cell r="BU67">
            <v>14580.358088880646</v>
          </cell>
          <cell r="BV67">
            <v>7460.8073658636513</v>
          </cell>
          <cell r="BW67">
            <v>7487.5300743694934</v>
          </cell>
          <cell r="BX67">
            <v>14948.337440233143</v>
          </cell>
        </row>
        <row r="68">
          <cell r="B68" t="str">
            <v>New Specific Provisions</v>
          </cell>
          <cell r="C68" t="str">
            <v>NEW_SPECIFIC_PROV</v>
          </cell>
          <cell r="D68" t="str">
            <v>AUD</v>
          </cell>
          <cell r="F68">
            <v>-6</v>
          </cell>
          <cell r="G68">
            <v>-52</v>
          </cell>
          <cell r="H68">
            <v>-357</v>
          </cell>
          <cell r="I68">
            <v>-2005</v>
          </cell>
          <cell r="J68">
            <v>-1144</v>
          </cell>
          <cell r="K68">
            <v>-1077</v>
          </cell>
          <cell r="L68">
            <v>-1442</v>
          </cell>
          <cell r="M68">
            <v>-1112</v>
          </cell>
          <cell r="N68">
            <v>-349</v>
          </cell>
          <cell r="O68">
            <v>-335</v>
          </cell>
          <cell r="P68">
            <v>-684</v>
          </cell>
          <cell r="Q68">
            <v>-293</v>
          </cell>
          <cell r="R68">
            <v>-273</v>
          </cell>
          <cell r="S68">
            <v>-566</v>
          </cell>
          <cell r="T68">
            <v>-471</v>
          </cell>
          <cell r="U68">
            <v>-256</v>
          </cell>
          <cell r="V68">
            <v>-727</v>
          </cell>
          <cell r="W68">
            <v>-364</v>
          </cell>
          <cell r="X68">
            <v>-246</v>
          </cell>
          <cell r="Y68">
            <v>-620</v>
          </cell>
          <cell r="Z68">
            <v>0</v>
          </cell>
          <cell r="AA68">
            <v>-198</v>
          </cell>
          <cell r="AB68">
            <v>-371</v>
          </cell>
          <cell r="AC68">
            <v>-173</v>
          </cell>
          <cell r="AD68">
            <v>-170</v>
          </cell>
          <cell r="AE68">
            <v>-343</v>
          </cell>
          <cell r="AF68">
            <v>-351</v>
          </cell>
          <cell r="AG68">
            <v>-283</v>
          </cell>
          <cell r="AH68">
            <v>-634</v>
          </cell>
          <cell r="AI68">
            <v>-144</v>
          </cell>
          <cell r="AJ68">
            <v>-466</v>
          </cell>
          <cell r="AK68">
            <v>-610</v>
          </cell>
          <cell r="AL68">
            <v>-97</v>
          </cell>
          <cell r="AM68">
            <v>-123</v>
          </cell>
          <cell r="AN68">
            <v>-220</v>
          </cell>
          <cell r="AO68">
            <v>-76</v>
          </cell>
          <cell r="AP68">
            <v>-121</v>
          </cell>
          <cell r="AQ68">
            <v>-197</v>
          </cell>
          <cell r="AR68">
            <v>-213</v>
          </cell>
          <cell r="AS68">
            <v>-210</v>
          </cell>
          <cell r="AT68">
            <v>-423</v>
          </cell>
          <cell r="AU68">
            <v>-251</v>
          </cell>
          <cell r="AV68" t="e">
            <v>#N/A</v>
          </cell>
          <cell r="AW68" t="e">
            <v>#N/A</v>
          </cell>
          <cell r="AX68">
            <v>-128.08495166033271</v>
          </cell>
          <cell r="AY68">
            <v>-169.44459781260957</v>
          </cell>
          <cell r="AZ68">
            <v>-297.52954947294228</v>
          </cell>
          <cell r="BA68">
            <v>-197.74285179395167</v>
          </cell>
          <cell r="BB68">
            <v>-224.5724567424727</v>
          </cell>
          <cell r="BC68">
            <v>-422.31530853642437</v>
          </cell>
          <cell r="BD68">
            <v>-194.86104169740656</v>
          </cell>
          <cell r="BE68">
            <v>-164.39435417165708</v>
          </cell>
          <cell r="BF68">
            <v>-359.25539586906365</v>
          </cell>
          <cell r="BG68">
            <v>-149.53475051324642</v>
          </cell>
          <cell r="BH68">
            <v>-137.18653298494064</v>
          </cell>
          <cell r="BI68">
            <v>-286.72128349818706</v>
          </cell>
          <cell r="BJ68">
            <v>-195.23041037269968</v>
          </cell>
          <cell r="BK68">
            <v>-250.73643166697605</v>
          </cell>
          <cell r="BL68">
            <v>-445.96684203967573</v>
          </cell>
          <cell r="BM68">
            <v>-35.54969057539688</v>
          </cell>
          <cell r="BN68">
            <v>-37.793647305562445</v>
          </cell>
          <cell r="BO68">
            <v>-73.343337880959325</v>
          </cell>
          <cell r="BP68">
            <v>-38.899508201371873</v>
          </cell>
          <cell r="BQ68">
            <v>-40.038040121676886</v>
          </cell>
          <cell r="BR68">
            <v>-78.937548323048759</v>
          </cell>
          <cell r="BS68">
            <v>-41.210215147703138</v>
          </cell>
          <cell r="BT68">
            <v>-42.417034433076878</v>
          </cell>
          <cell r="BU68">
            <v>-83.627249580780017</v>
          </cell>
          <cell r="BV68">
            <v>-43.659529076537638</v>
          </cell>
          <cell r="BW68">
            <v>-44.938761020930315</v>
          </cell>
          <cell r="BX68">
            <v>-88.598290097467952</v>
          </cell>
        </row>
        <row r="69">
          <cell r="B69" t="str">
            <v>Writebacks/Recoveries</v>
          </cell>
          <cell r="C69" t="str">
            <v>WRITEBACK_RECOVERIES</v>
          </cell>
          <cell r="D69" t="str">
            <v>AUD</v>
          </cell>
        </row>
        <row r="70">
          <cell r="B70" t="str">
            <v>General Provisions</v>
          </cell>
          <cell r="C70" t="str">
            <v>GENERAL_PROV</v>
          </cell>
          <cell r="D70" t="str">
            <v>AUD</v>
          </cell>
          <cell r="F70">
            <v>-369</v>
          </cell>
          <cell r="G70">
            <v>-430</v>
          </cell>
          <cell r="H70">
            <v>-848</v>
          </cell>
          <cell r="I70">
            <v>-1287</v>
          </cell>
          <cell r="J70">
            <v>-312</v>
          </cell>
          <cell r="K70">
            <v>84</v>
          </cell>
          <cell r="L70">
            <v>230</v>
          </cell>
          <cell r="M70">
            <v>265</v>
          </cell>
          <cell r="N70">
            <v>8</v>
          </cell>
          <cell r="O70">
            <v>26</v>
          </cell>
          <cell r="P70">
            <v>34</v>
          </cell>
          <cell r="Q70">
            <v>-48</v>
          </cell>
          <cell r="R70">
            <v>-139</v>
          </cell>
          <cell r="S70">
            <v>-187</v>
          </cell>
          <cell r="T70">
            <v>-196</v>
          </cell>
          <cell r="U70">
            <v>-201</v>
          </cell>
          <cell r="V70">
            <v>-397</v>
          </cell>
          <cell r="W70">
            <v>-129</v>
          </cell>
          <cell r="X70">
            <v>-114</v>
          </cell>
          <cell r="Y70">
            <v>-330</v>
          </cell>
          <cell r="Z70">
            <v>-271</v>
          </cell>
          <cell r="AA70">
            <v>-170</v>
          </cell>
          <cell r="AB70">
            <v>-441</v>
          </cell>
          <cell r="AC70">
            <v>-160</v>
          </cell>
          <cell r="AD70">
            <v>-291</v>
          </cell>
          <cell r="AE70">
            <v>-451</v>
          </cell>
          <cell r="AF70">
            <v>-1887</v>
          </cell>
          <cell r="AG70">
            <v>-657</v>
          </cell>
          <cell r="AH70">
            <v>-2544</v>
          </cell>
          <cell r="AI70">
            <v>516</v>
          </cell>
          <cell r="AJ70">
            <v>684</v>
          </cell>
          <cell r="AK70">
            <v>1200</v>
          </cell>
          <cell r="AL70">
            <v>-42</v>
          </cell>
          <cell r="AM70">
            <v>-73</v>
          </cell>
          <cell r="AN70">
            <v>-115</v>
          </cell>
          <cell r="AO70">
            <v>-314</v>
          </cell>
          <cell r="AP70">
            <v>-137</v>
          </cell>
          <cell r="AQ70">
            <v>-451</v>
          </cell>
          <cell r="AR70">
            <v>-149</v>
          </cell>
          <cell r="AS70">
            <v>35</v>
          </cell>
          <cell r="AT70">
            <v>-114</v>
          </cell>
          <cell r="AU70">
            <v>1</v>
          </cell>
          <cell r="AV70" t="e">
            <v>#N/A</v>
          </cell>
          <cell r="AW70" t="e">
            <v>#N/A</v>
          </cell>
          <cell r="AX70">
            <v>-246.40939234411434</v>
          </cell>
          <cell r="AY70">
            <v>-217.3557597071449</v>
          </cell>
          <cell r="AZ70">
            <v>-463.76515205125924</v>
          </cell>
          <cell r="BA70">
            <v>-221.03448544835192</v>
          </cell>
          <cell r="BB70">
            <v>-231.4862398361289</v>
          </cell>
          <cell r="BC70">
            <v>-452.52072528448082</v>
          </cell>
          <cell r="BD70">
            <v>-329.14376692324799</v>
          </cell>
          <cell r="BE70">
            <v>-371.05581744253828</v>
          </cell>
          <cell r="BF70">
            <v>-700.19958436578622</v>
          </cell>
          <cell r="BG70">
            <v>-365.11908797418732</v>
          </cell>
          <cell r="BH70">
            <v>-355.82734287921585</v>
          </cell>
          <cell r="BI70">
            <v>-720.94643085340317</v>
          </cell>
          <cell r="BJ70">
            <v>-308.41810217684895</v>
          </cell>
          <cell r="BK70">
            <v>-229.85887802890204</v>
          </cell>
          <cell r="BL70">
            <v>-538.27698020575099</v>
          </cell>
          <cell r="BM70">
            <v>-633.67300646376771</v>
          </cell>
          <cell r="BN70">
            <v>-672.8652369506907</v>
          </cell>
          <cell r="BO70">
            <v>-1306.5382434144585</v>
          </cell>
          <cell r="BP70">
            <v>-747.54755160657123</v>
          </cell>
          <cell r="BQ70">
            <v>-785.75305855773331</v>
          </cell>
          <cell r="BR70">
            <v>-1533.3006101643045</v>
          </cell>
          <cell r="BS70">
            <v>-823.0386051118071</v>
          </cell>
          <cell r="BT70">
            <v>-868.3634913800812</v>
          </cell>
          <cell r="BU70">
            <v>-1691.4020964918882</v>
          </cell>
          <cell r="BV70">
            <v>-871.69938526005524</v>
          </cell>
          <cell r="BW70">
            <v>-884.49989155915182</v>
          </cell>
          <cell r="BX70">
            <v>-1756.1992768192072</v>
          </cell>
        </row>
        <row r="71">
          <cell r="B71" t="str">
            <v>Profit or loss before tax on abnormal items</v>
          </cell>
          <cell r="C71" t="str">
            <v>PL_BTAX_ON_AB</v>
          </cell>
          <cell r="D71" t="str">
            <v>AUD</v>
          </cell>
          <cell r="F71">
            <v>44.285714285714292</v>
          </cell>
          <cell r="G71">
            <v>0</v>
          </cell>
          <cell r="H71">
            <v>-1810.0000000000002</v>
          </cell>
          <cell r="I71">
            <v>-1692.8571428571429</v>
          </cell>
          <cell r="J71">
            <v>891.42857142857144</v>
          </cell>
          <cell r="K71">
            <v>1384.2857142857144</v>
          </cell>
          <cell r="L71">
            <v>-538.57142857142856</v>
          </cell>
          <cell r="M71">
            <v>-61.428571428571431</v>
          </cell>
          <cell r="N71">
            <v>7.1428571428571432</v>
          </cell>
          <cell r="O71">
            <v>57.142857142857146</v>
          </cell>
          <cell r="P71">
            <v>64.285714285714292</v>
          </cell>
          <cell r="Q71">
            <v>-48.571428571428577</v>
          </cell>
          <cell r="R71">
            <v>491.42857142857144</v>
          </cell>
          <cell r="S71">
            <v>442.85714285714289</v>
          </cell>
          <cell r="T71">
            <v>-10</v>
          </cell>
          <cell r="U71">
            <v>-11.428571428571429</v>
          </cell>
          <cell r="V71">
            <v>-21.428571428571431</v>
          </cell>
          <cell r="W71">
            <v>0</v>
          </cell>
          <cell r="X71">
            <v>244.28571428571431</v>
          </cell>
          <cell r="Y71">
            <v>244.28571428571431</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t="e">
            <v>#N/A</v>
          </cell>
          <cell r="AW71" t="e">
            <v>#N/A</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row>
        <row r="72">
          <cell r="B72" t="str">
            <v>Profit/Loss on defined benefit plan contribution (Pre Tax)</v>
          </cell>
          <cell r="C72" t="str">
            <v>PROFIT_DEFBEN_PLAN_PRE_TAX</v>
          </cell>
          <cell r="D72" t="str">
            <v>AUD</v>
          </cell>
        </row>
        <row r="73">
          <cell r="B73" t="str">
            <v>Goodwill Asset impairment Charge (Pre Tax)</v>
          </cell>
          <cell r="C73" t="str">
            <v>GWILL_ASSET_IMPAIR_CHG_PRE_TAX</v>
          </cell>
          <cell r="D73" t="str">
            <v>AUD</v>
          </cell>
        </row>
        <row r="74">
          <cell r="B74" t="str">
            <v>Other Asset impairment Charge (Pre Tax)</v>
          </cell>
          <cell r="C74" t="str">
            <v>OTHER_ASSET_IMPAIR_CHG_PRE_TAX</v>
          </cell>
          <cell r="D74" t="str">
            <v>AUD</v>
          </cell>
        </row>
        <row r="75">
          <cell r="B75" t="str">
            <v>Financial instruments/hedging (Pre Tax)</v>
          </cell>
          <cell r="C75" t="str">
            <v>FIN_INSTRUMENT_HEDGE_PRE_TAX</v>
          </cell>
          <cell r="D75" t="str">
            <v>AUD</v>
          </cell>
          <cell r="F75">
            <v>-55.714285714285715</v>
          </cell>
          <cell r="G75">
            <v>-80</v>
          </cell>
          <cell r="H75">
            <v>68.571428571428569</v>
          </cell>
          <cell r="I75">
            <v>-62.857142857142861</v>
          </cell>
          <cell r="J75">
            <v>-224.28571428571431</v>
          </cell>
          <cell r="K75">
            <v>-398.57142857142861</v>
          </cell>
          <cell r="L75">
            <v>-358.57142857142861</v>
          </cell>
          <cell r="M75">
            <v>-384.28571428571433</v>
          </cell>
          <cell r="N75">
            <v>-221.42857142857144</v>
          </cell>
          <cell r="O75">
            <v>61.428571428571431</v>
          </cell>
          <cell r="P75">
            <v>-160</v>
          </cell>
          <cell r="Q75">
            <v>-192.85714285714286</v>
          </cell>
          <cell r="R75">
            <v>24.285714285714288</v>
          </cell>
          <cell r="S75">
            <v>-168.57142857142858</v>
          </cell>
          <cell r="T75">
            <v>-280</v>
          </cell>
          <cell r="U75">
            <v>-237.14285714285717</v>
          </cell>
          <cell r="V75">
            <v>-517.14285714285722</v>
          </cell>
          <cell r="W75">
            <v>-157.14285714285714</v>
          </cell>
          <cell r="X75">
            <v>-190</v>
          </cell>
          <cell r="Y75">
            <v>-347.14285714285717</v>
          </cell>
          <cell r="Z75">
            <v>-75.714285714285722</v>
          </cell>
          <cell r="AA75">
            <v>118.57142857142858</v>
          </cell>
          <cell r="AB75">
            <v>42.857142857142861</v>
          </cell>
          <cell r="AC75">
            <v>-175.71428571428572</v>
          </cell>
          <cell r="AD75">
            <v>82.857142857142861</v>
          </cell>
          <cell r="AE75">
            <v>-92.857142857142861</v>
          </cell>
          <cell r="AF75">
            <v>281.42857142857144</v>
          </cell>
          <cell r="AG75">
            <v>-735.71428571428578</v>
          </cell>
          <cell r="AH75">
            <v>-454.28571428571433</v>
          </cell>
          <cell r="AI75">
            <v>-134.28571428571431</v>
          </cell>
          <cell r="AJ75">
            <v>285.71428571428572</v>
          </cell>
          <cell r="AK75">
            <v>151.42857142857144</v>
          </cell>
          <cell r="AL75">
            <v>0</v>
          </cell>
          <cell r="AM75">
            <v>0</v>
          </cell>
          <cell r="AN75">
            <v>0</v>
          </cell>
          <cell r="AO75">
            <v>0</v>
          </cell>
          <cell r="AP75">
            <v>0</v>
          </cell>
          <cell r="AQ75">
            <v>0</v>
          </cell>
          <cell r="AR75">
            <v>0</v>
          </cell>
          <cell r="AS75">
            <v>0</v>
          </cell>
          <cell r="AT75">
            <v>0</v>
          </cell>
          <cell r="AU75">
            <v>-200</v>
          </cell>
          <cell r="AV75" t="e">
            <v>#N/A</v>
          </cell>
          <cell r="AW75" t="e">
            <v>#N/A</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row>
        <row r="76">
          <cell r="B76" t="str">
            <v>Effective Interest Rate Impact (Pre Tax)</v>
          </cell>
          <cell r="C76" t="str">
            <v>EFFECT_INT_RATE_IMPACT_PRE_TAX</v>
          </cell>
          <cell r="D76" t="str">
            <v>AUD</v>
          </cell>
        </row>
        <row r="77">
          <cell r="B77" t="str">
            <v>Other IFRS adjustments (Pre Tax)</v>
          </cell>
          <cell r="C77" t="str">
            <v>OTHER_IFRS_ADJUST_PRE_TAX</v>
          </cell>
          <cell r="D77" t="str">
            <v>AUD</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t="e">
            <v>#N/A</v>
          </cell>
          <cell r="AW77" t="e">
            <v>#N/A</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row>
        <row r="78">
          <cell r="B78" t="str">
            <v>Total IFRS Adjustments (Pre Tax)</v>
          </cell>
          <cell r="C78" t="str">
            <v>TOTAL_IFRS_ADJUST_PRE_TAX</v>
          </cell>
          <cell r="D78" t="str">
            <v>AUD</v>
          </cell>
          <cell r="F78">
            <v>-55.714285714285715</v>
          </cell>
          <cell r="G78">
            <v>-80</v>
          </cell>
          <cell r="H78">
            <v>68.571428571428569</v>
          </cell>
          <cell r="I78">
            <v>-62.857142857142861</v>
          </cell>
          <cell r="J78">
            <v>-224.28571428571431</v>
          </cell>
          <cell r="K78">
            <v>-398.57142857142861</v>
          </cell>
          <cell r="L78">
            <v>-358.57142857142861</v>
          </cell>
          <cell r="M78">
            <v>-384.28571428571433</v>
          </cell>
          <cell r="N78">
            <v>-221.42857142857144</v>
          </cell>
          <cell r="O78">
            <v>61.428571428571431</v>
          </cell>
          <cell r="P78">
            <v>-160</v>
          </cell>
          <cell r="Q78">
            <v>-192.85714285714286</v>
          </cell>
          <cell r="R78">
            <v>24.285714285714288</v>
          </cell>
          <cell r="S78">
            <v>-168.57142857142858</v>
          </cell>
          <cell r="T78">
            <v>-280</v>
          </cell>
          <cell r="U78">
            <v>-237.14285714285717</v>
          </cell>
          <cell r="V78">
            <v>-517.14285714285722</v>
          </cell>
          <cell r="W78">
            <v>-157.14285714285714</v>
          </cell>
          <cell r="X78">
            <v>-190</v>
          </cell>
          <cell r="Y78">
            <v>-347.14285714285717</v>
          </cell>
          <cell r="Z78">
            <v>-75.714285714285722</v>
          </cell>
          <cell r="AA78">
            <v>118.57142857142858</v>
          </cell>
          <cell r="AB78">
            <v>42.857142857142861</v>
          </cell>
          <cell r="AC78">
            <v>-175.71428571428572</v>
          </cell>
          <cell r="AD78">
            <v>82.857142857142861</v>
          </cell>
          <cell r="AE78">
            <v>-92.857142857142861</v>
          </cell>
          <cell r="AF78">
            <v>281.42857142857144</v>
          </cell>
          <cell r="AG78">
            <v>-735.71428571428578</v>
          </cell>
          <cell r="AH78">
            <v>-454.28571428571433</v>
          </cell>
          <cell r="AI78">
            <v>-134.28571428571431</v>
          </cell>
          <cell r="AJ78">
            <v>285.71428571428572</v>
          </cell>
          <cell r="AK78">
            <v>151.42857142857144</v>
          </cell>
          <cell r="AL78">
            <v>0</v>
          </cell>
          <cell r="AM78">
            <v>0</v>
          </cell>
          <cell r="AN78">
            <v>0</v>
          </cell>
          <cell r="AO78">
            <v>0</v>
          </cell>
          <cell r="AP78">
            <v>0</v>
          </cell>
          <cell r="AQ78">
            <v>0</v>
          </cell>
          <cell r="AR78">
            <v>0</v>
          </cell>
          <cell r="AS78">
            <v>0</v>
          </cell>
          <cell r="AT78">
            <v>0</v>
          </cell>
          <cell r="AU78">
            <v>-200</v>
          </cell>
          <cell r="AV78" t="e">
            <v>#N/A</v>
          </cell>
          <cell r="AW78" t="e">
            <v>#N/A</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row>
        <row r="79">
          <cell r="B79" t="str">
            <v>Profit/Loss on defined benefit plan contribution (Post Tax)</v>
          </cell>
          <cell r="C79" t="str">
            <v>PROFIT_DEFBEN_PLAN_POST_TAX</v>
          </cell>
          <cell r="D79" t="str">
            <v>AUD</v>
          </cell>
        </row>
        <row r="80">
          <cell r="B80" t="str">
            <v>Operating profit or loss before tax (post abnormals)</v>
          </cell>
          <cell r="C80" t="str">
            <v>OPPL_BTAX_POST_AB</v>
          </cell>
          <cell r="D80" t="str">
            <v>AUD</v>
          </cell>
          <cell r="F80">
            <v>4416.5714285714284</v>
          </cell>
          <cell r="G80">
            <v>4981</v>
          </cell>
          <cell r="H80">
            <v>5471.5714285714284</v>
          </cell>
          <cell r="I80">
            <v>5035.2857142857138</v>
          </cell>
          <cell r="J80">
            <v>9149.1428571428569</v>
          </cell>
          <cell r="K80">
            <v>10009.714285714286</v>
          </cell>
          <cell r="L80">
            <v>8587.8571428571431</v>
          </cell>
          <cell r="M80">
            <v>9781.2857142857138</v>
          </cell>
          <cell r="N80">
            <v>5238.7142857142853</v>
          </cell>
          <cell r="O80">
            <v>5589.5714285714284</v>
          </cell>
          <cell r="P80">
            <v>10828.285714285714</v>
          </cell>
          <cell r="Q80">
            <v>5183.5714285714284</v>
          </cell>
          <cell r="R80">
            <v>6242.7142857142862</v>
          </cell>
          <cell r="S80">
            <v>11426.285714285714</v>
          </cell>
          <cell r="T80">
            <v>5243</v>
          </cell>
          <cell r="U80">
            <v>5399.4285714285716</v>
          </cell>
          <cell r="V80">
            <v>10642.428571428571</v>
          </cell>
          <cell r="W80">
            <v>5609.8571428571431</v>
          </cell>
          <cell r="X80">
            <v>5885.2857142857147</v>
          </cell>
          <cell r="Y80">
            <v>11495.142857142857</v>
          </cell>
          <cell r="Z80">
            <v>6028.2857142857147</v>
          </cell>
          <cell r="AA80">
            <v>5669.5714285714284</v>
          </cell>
          <cell r="AB80">
            <v>11697.857142857143</v>
          </cell>
          <cell r="AC80">
            <v>4553.2857142857147</v>
          </cell>
          <cell r="AD80">
            <v>5183.8571428571431</v>
          </cell>
          <cell r="AE80">
            <v>9737.1428571428569</v>
          </cell>
          <cell r="AF80">
            <v>2224.4285714285716</v>
          </cell>
          <cell r="AG80">
            <v>2069.2857142857142</v>
          </cell>
          <cell r="AH80">
            <v>4293.7142857142853</v>
          </cell>
          <cell r="AI80">
            <v>5055.7142857142853</v>
          </cell>
          <cell r="AJ80">
            <v>3440.7142857142858</v>
          </cell>
          <cell r="AK80">
            <v>8496.4285714285706</v>
          </cell>
          <cell r="AL80">
            <v>4725</v>
          </cell>
          <cell r="AM80">
            <v>3755</v>
          </cell>
          <cell r="AN80">
            <v>8480</v>
          </cell>
          <cell r="AO80">
            <v>5625</v>
          </cell>
          <cell r="AP80">
            <v>4680</v>
          </cell>
          <cell r="AQ80">
            <v>10305</v>
          </cell>
          <cell r="AR80">
            <v>4833</v>
          </cell>
          <cell r="AS80">
            <v>5274</v>
          </cell>
          <cell r="AT80">
            <v>10107</v>
          </cell>
          <cell r="AU80">
            <v>4844.6794984000007</v>
          </cell>
          <cell r="AV80" t="e">
            <v>#N/A</v>
          </cell>
          <cell r="AW80" t="e">
            <v>#N/A</v>
          </cell>
          <cell r="AX80">
            <v>5272.7432665227743</v>
          </cell>
          <cell r="AY80">
            <v>5401.0860384051539</v>
          </cell>
          <cell r="AZ80">
            <v>10673.829304927929</v>
          </cell>
          <cell r="BA80">
            <v>5391.9531329112488</v>
          </cell>
          <cell r="BB80">
            <v>5364.2328877734153</v>
          </cell>
          <cell r="BC80">
            <v>10756.186020684663</v>
          </cell>
          <cell r="BD80">
            <v>5524.3771066148029</v>
          </cell>
          <cell r="BE80">
            <v>5543.7137199867193</v>
          </cell>
          <cell r="BF80">
            <v>11068.090826601521</v>
          </cell>
          <cell r="BG80">
            <v>5809.5287375289372</v>
          </cell>
          <cell r="BH80">
            <v>5936.9534936328637</v>
          </cell>
          <cell r="BI80">
            <v>11746.482231161803</v>
          </cell>
          <cell r="BJ80">
            <v>6139.5489973077947</v>
          </cell>
          <cell r="BK80">
            <v>6273.6218072537686</v>
          </cell>
          <cell r="BL80">
            <v>12413.170804561561</v>
          </cell>
          <cell r="BM80">
            <v>6315.3344823642501</v>
          </cell>
          <cell r="BN80">
            <v>6268.3837179184766</v>
          </cell>
          <cell r="BO80">
            <v>12583.718200282729</v>
          </cell>
          <cell r="BP80">
            <v>6363.6995307109764</v>
          </cell>
          <cell r="BQ80">
            <v>6273.8492875510547</v>
          </cell>
          <cell r="BR80">
            <v>12637.548818262034</v>
          </cell>
          <cell r="BS80">
            <v>6413.1503263109544</v>
          </cell>
          <cell r="BT80">
            <v>6392.1784164970222</v>
          </cell>
          <cell r="BU80">
            <v>12805.328742807978</v>
          </cell>
          <cell r="BV80">
            <v>6545.4484515270588</v>
          </cell>
          <cell r="BW80">
            <v>6558.0914217894115</v>
          </cell>
          <cell r="BX80">
            <v>13103.539873316467</v>
          </cell>
        </row>
        <row r="81">
          <cell r="A81" t="str">
            <v>Additional Income Statement Items</v>
          </cell>
        </row>
        <row r="82">
          <cell r="B82" t="str">
            <v>Operating lease cost</v>
          </cell>
          <cell r="C82" t="str">
            <v>LEASE_PAY</v>
          </cell>
          <cell r="D82" t="str">
            <v>AUD</v>
          </cell>
        </row>
        <row r="83">
          <cell r="B83" t="str">
            <v>NI impact from a 10% reporting currency depreciation vs USD</v>
          </cell>
          <cell r="C83" t="str">
            <v>FX_USD_NI_SENSITIVITY</v>
          </cell>
          <cell r="D83" t="str">
            <v>AUD</v>
          </cell>
        </row>
        <row r="84">
          <cell r="B84" t="str">
            <v>NI impact from a 10% reporting currency depreciation vs EUR</v>
          </cell>
          <cell r="C84" t="str">
            <v>FX_EUR_NI_SENSITIVITY</v>
          </cell>
          <cell r="D84" t="str">
            <v>AUD</v>
          </cell>
        </row>
        <row r="85">
          <cell r="B85" t="str">
            <v>NI impact from a 10% reporting currency depreciation vs AUD</v>
          </cell>
          <cell r="C85" t="str">
            <v>FX_AUD_NI_SENSITIVITY</v>
          </cell>
          <cell r="D85" t="str">
            <v>AUD</v>
          </cell>
        </row>
        <row r="86">
          <cell r="B86" t="str">
            <v>Depreciation ROU assets   (applicable to IFRS cos.)</v>
          </cell>
          <cell r="C86" t="str">
            <v>DEPR_ROU_ASSETS</v>
          </cell>
          <cell r="D86" t="str">
            <v>AUD</v>
          </cell>
        </row>
        <row r="87">
          <cell r="B87" t="str">
            <v>Lease interest charge  (applicable to IFRS cos.)</v>
          </cell>
          <cell r="C87" t="str">
            <v>LEASE_INT_CHG</v>
          </cell>
          <cell r="D87" t="str">
            <v>AUD</v>
          </cell>
        </row>
        <row r="88">
          <cell r="B88" t="str">
            <v>Lease standard adopted (US GAAP ASC 842/ IFRS 16)</v>
          </cell>
          <cell r="C88" t="str">
            <v>LEASE_ADOPT</v>
          </cell>
        </row>
        <row r="89">
          <cell r="A89" t="str">
            <v>Balance Sheet</v>
          </cell>
        </row>
        <row r="90">
          <cell r="B90" t="str">
            <v>Cash &amp; cash equivalents</v>
          </cell>
          <cell r="C90" t="str">
            <v>CASH_EQ</v>
          </cell>
          <cell r="D90" t="str">
            <v>AUD</v>
          </cell>
          <cell r="F90">
            <v>2478</v>
          </cell>
          <cell r="G90">
            <v>2243</v>
          </cell>
          <cell r="H90">
            <v>5031</v>
          </cell>
          <cell r="I90">
            <v>3272</v>
          </cell>
          <cell r="J90">
            <v>4464</v>
          </cell>
          <cell r="K90">
            <v>16258</v>
          </cell>
          <cell r="L90">
            <v>12523</v>
          </cell>
          <cell r="M90">
            <v>11699</v>
          </cell>
          <cell r="N90">
            <v>16375</v>
          </cell>
          <cell r="O90">
            <v>25760</v>
          </cell>
          <cell r="P90">
            <v>25760</v>
          </cell>
          <cell r="Q90">
            <v>14738</v>
          </cell>
          <cell r="R90">
            <v>14770</v>
          </cell>
          <cell r="S90">
            <v>14770</v>
          </cell>
          <cell r="T90">
            <v>18811</v>
          </cell>
          <cell r="U90">
            <v>17015</v>
          </cell>
          <cell r="V90">
            <v>17015</v>
          </cell>
          <cell r="W90">
            <v>15912</v>
          </cell>
          <cell r="X90">
            <v>18397</v>
          </cell>
          <cell r="Y90">
            <v>18397</v>
          </cell>
          <cell r="Z90">
            <v>21932</v>
          </cell>
          <cell r="AA90">
            <v>26788</v>
          </cell>
          <cell r="AB90">
            <v>26788</v>
          </cell>
          <cell r="AC90">
            <v>19486</v>
          </cell>
          <cell r="AD90">
            <v>20059</v>
          </cell>
          <cell r="AE90">
            <v>20059</v>
          </cell>
          <cell r="AF90">
            <v>45815</v>
          </cell>
          <cell r="AG90">
            <v>30129</v>
          </cell>
          <cell r="AH90">
            <v>30129</v>
          </cell>
          <cell r="AI90">
            <v>33877</v>
          </cell>
          <cell r="AJ90">
            <v>71353</v>
          </cell>
          <cell r="AK90">
            <v>71353</v>
          </cell>
          <cell r="AL90">
            <v>102410</v>
          </cell>
          <cell r="AM90">
            <v>105257</v>
          </cell>
          <cell r="AN90">
            <v>105257</v>
          </cell>
          <cell r="AO90">
            <v>117886</v>
          </cell>
          <cell r="AP90">
            <v>102522</v>
          </cell>
          <cell r="AQ90">
            <v>102522</v>
          </cell>
          <cell r="AR90">
            <v>95907</v>
          </cell>
          <cell r="AS90">
            <v>65667</v>
          </cell>
          <cell r="AT90">
            <v>65667</v>
          </cell>
          <cell r="AU90">
            <v>58352</v>
          </cell>
          <cell r="AV90" t="e">
            <v>#N/A</v>
          </cell>
          <cell r="AW90" t="e">
            <v>#N/A</v>
          </cell>
          <cell r="AX90">
            <v>52322.992663217919</v>
          </cell>
          <cell r="AY90">
            <v>53661.614027657015</v>
          </cell>
          <cell r="AZ90">
            <v>53661.614027657015</v>
          </cell>
          <cell r="BA90">
            <v>55023.797547993941</v>
          </cell>
          <cell r="BB90">
            <v>56425.362442419522</v>
          </cell>
          <cell r="BC90">
            <v>56425.362442419522</v>
          </cell>
          <cell r="BD90">
            <v>57766.019376485652</v>
          </cell>
          <cell r="BE90">
            <v>59119.799235704457</v>
          </cell>
          <cell r="BF90">
            <v>59119.799235704457</v>
          </cell>
          <cell r="BG90">
            <v>60441.51546220509</v>
          </cell>
          <cell r="BH90">
            <v>61727.779494825627</v>
          </cell>
          <cell r="BI90">
            <v>61727.779494825627</v>
          </cell>
          <cell r="BJ90">
            <v>62952.731054183845</v>
          </cell>
          <cell r="BK90">
            <v>64110.285328677928</v>
          </cell>
          <cell r="BL90">
            <v>64110.285328677928</v>
          </cell>
          <cell r="BM90">
            <v>65331.766790811896</v>
          </cell>
          <cell r="BN90">
            <v>66615.919547958896</v>
          </cell>
          <cell r="BO90">
            <v>66615.919547958896</v>
          </cell>
          <cell r="BP90">
            <v>67925.560706599979</v>
          </cell>
          <cell r="BQ90">
            <v>69261.198957101558</v>
          </cell>
          <cell r="BR90">
            <v>69261.198957101558</v>
          </cell>
          <cell r="BS90">
            <v>70623.353173480427</v>
          </cell>
          <cell r="BT90">
            <v>72012.552617627662</v>
          </cell>
          <cell r="BU90">
            <v>72012.552617627662</v>
          </cell>
          <cell r="BV90">
            <v>73429.337147631843</v>
          </cell>
          <cell r="BW90">
            <v>74874.257430284473</v>
          </cell>
          <cell r="BX90">
            <v>74874.257430284473</v>
          </cell>
        </row>
        <row r="91">
          <cell r="B91" t="str">
            <v>Interbank loans</v>
          </cell>
          <cell r="C91" t="str">
            <v>B_BS_A_LNBNK</v>
          </cell>
          <cell r="D91" t="str">
            <v>AUD</v>
          </cell>
          <cell r="F91">
            <v>12865</v>
          </cell>
          <cell r="G91">
            <v>28379</v>
          </cell>
          <cell r="H91">
            <v>31962</v>
          </cell>
          <cell r="I91">
            <v>9974</v>
          </cell>
          <cell r="J91">
            <v>12588</v>
          </cell>
          <cell r="K91">
            <v>8551</v>
          </cell>
          <cell r="L91">
            <v>10228</v>
          </cell>
          <cell r="M91">
            <v>11210</v>
          </cell>
          <cell r="N91">
            <v>8744</v>
          </cell>
          <cell r="O91">
            <v>7424</v>
          </cell>
          <cell r="P91">
            <v>7424</v>
          </cell>
          <cell r="Q91">
            <v>13637</v>
          </cell>
          <cell r="R91">
            <v>9583</v>
          </cell>
          <cell r="S91">
            <v>9583</v>
          </cell>
          <cell r="T91">
            <v>13503</v>
          </cell>
          <cell r="U91">
            <v>9951</v>
          </cell>
          <cell r="V91">
            <v>9951</v>
          </cell>
          <cell r="W91">
            <v>9545</v>
          </cell>
          <cell r="X91">
            <v>7128</v>
          </cell>
          <cell r="Y91">
            <v>7128</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t="e">
            <v>#N/A</v>
          </cell>
          <cell r="AW91" t="e">
            <v>#N/A</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row>
        <row r="92">
          <cell r="B92" t="str">
            <v>Net customer loans and advances</v>
          </cell>
          <cell r="C92" t="str">
            <v>B_BS_A_NETLOANS</v>
          </cell>
          <cell r="D92" t="str">
            <v>AUD</v>
          </cell>
          <cell r="F92">
            <v>234326</v>
          </cell>
          <cell r="G92">
            <v>275188</v>
          </cell>
          <cell r="H92">
            <v>433701</v>
          </cell>
          <cell r="I92">
            <v>463459</v>
          </cell>
          <cell r="J92">
            <v>477655</v>
          </cell>
          <cell r="K92">
            <v>496609</v>
          </cell>
          <cell r="L92">
            <v>514445</v>
          </cell>
          <cell r="M92">
            <v>536164</v>
          </cell>
          <cell r="N92">
            <v>564569</v>
          </cell>
          <cell r="O92">
            <v>580343</v>
          </cell>
          <cell r="P92">
            <v>580343</v>
          </cell>
          <cell r="Q92">
            <v>605064</v>
          </cell>
          <cell r="R92">
            <v>623316</v>
          </cell>
          <cell r="S92">
            <v>623316</v>
          </cell>
          <cell r="T92">
            <v>640687</v>
          </cell>
          <cell r="U92">
            <v>661926</v>
          </cell>
          <cell r="V92">
            <v>661926</v>
          </cell>
          <cell r="W92">
            <v>666946</v>
          </cell>
          <cell r="X92">
            <v>684919</v>
          </cell>
          <cell r="Y92">
            <v>684919</v>
          </cell>
          <cell r="Z92">
            <v>701393</v>
          </cell>
          <cell r="AA92">
            <v>709690</v>
          </cell>
          <cell r="AB92">
            <v>709690</v>
          </cell>
          <cell r="AC92">
            <v>714286</v>
          </cell>
          <cell r="AD92">
            <v>714770</v>
          </cell>
          <cell r="AE92">
            <v>714770</v>
          </cell>
          <cell r="AF92">
            <v>719678</v>
          </cell>
          <cell r="AG92">
            <v>693059</v>
          </cell>
          <cell r="AH92">
            <v>693059</v>
          </cell>
          <cell r="AI92">
            <v>688126</v>
          </cell>
          <cell r="AJ92">
            <v>709775</v>
          </cell>
          <cell r="AK92">
            <v>709775</v>
          </cell>
          <cell r="AL92">
            <v>719556</v>
          </cell>
          <cell r="AM92">
            <v>739647</v>
          </cell>
          <cell r="AN92">
            <v>739647</v>
          </cell>
          <cell r="AO92">
            <v>749931</v>
          </cell>
          <cell r="AP92">
            <v>773254</v>
          </cell>
          <cell r="AQ92">
            <v>773254</v>
          </cell>
          <cell r="AR92">
            <v>784839</v>
          </cell>
          <cell r="AS92">
            <v>806767</v>
          </cell>
          <cell r="AT92">
            <v>806767</v>
          </cell>
          <cell r="AU92">
            <v>824808</v>
          </cell>
          <cell r="AV92" t="e">
            <v>#N/A</v>
          </cell>
          <cell r="AW92" t="e">
            <v>#N/A</v>
          </cell>
          <cell r="AX92">
            <v>884096.05918402062</v>
          </cell>
          <cell r="AY92">
            <v>906973.79878323316</v>
          </cell>
          <cell r="AZ92">
            <v>906973.79878323316</v>
          </cell>
          <cell r="BA92">
            <v>930279.52716639719</v>
          </cell>
          <cell r="BB92">
            <v>954281.86578796594</v>
          </cell>
          <cell r="BC92">
            <v>954281.86578796594</v>
          </cell>
          <cell r="BD92">
            <v>977162.59800379118</v>
          </cell>
          <cell r="BE92">
            <v>1000235.3195851237</v>
          </cell>
          <cell r="BF92">
            <v>1000235.3195851237</v>
          </cell>
          <cell r="BG92">
            <v>1022749.3317492114</v>
          </cell>
          <cell r="BH92">
            <v>1044649.6286922571</v>
          </cell>
          <cell r="BI92">
            <v>1044649.6286922571</v>
          </cell>
          <cell r="BJ92">
            <v>1065534.3435301771</v>
          </cell>
          <cell r="BK92">
            <v>1085330.4972642183</v>
          </cell>
          <cell r="BL92">
            <v>1085330.4972642183</v>
          </cell>
          <cell r="BM92">
            <v>1106054.2590771152</v>
          </cell>
          <cell r="BN92">
            <v>1127840.2750917042</v>
          </cell>
          <cell r="BO92">
            <v>1127840.2750917042</v>
          </cell>
          <cell r="BP92">
            <v>1150018.6946891043</v>
          </cell>
          <cell r="BQ92">
            <v>1172637.7609966299</v>
          </cell>
          <cell r="BR92">
            <v>1172637.7609966299</v>
          </cell>
          <cell r="BS92">
            <v>1195706.280071184</v>
          </cell>
          <cell r="BT92">
            <v>1219233.234598279</v>
          </cell>
          <cell r="BU92">
            <v>1219233.234598279</v>
          </cell>
          <cell r="BV92">
            <v>1243227.7874441361</v>
          </cell>
          <cell r="BW92">
            <v>1267699.2852793918</v>
          </cell>
          <cell r="BX92">
            <v>1267699.2852793918</v>
          </cell>
        </row>
        <row r="93">
          <cell r="B93" t="str">
            <v>Total debt securities</v>
          </cell>
          <cell r="C93" t="str">
            <v>B_BS_A_DEBTTOT</v>
          </cell>
          <cell r="D93" t="str">
            <v>AUD</v>
          </cell>
        </row>
        <row r="94">
          <cell r="B94" t="str">
            <v>Other interest earning assets</v>
          </cell>
          <cell r="C94" t="str">
            <v>B_BS_A_OTHINT1</v>
          </cell>
          <cell r="D94" t="str">
            <v>AUD</v>
          </cell>
          <cell r="F94">
            <v>17811</v>
          </cell>
          <cell r="G94">
            <v>24505</v>
          </cell>
          <cell r="H94">
            <v>53886</v>
          </cell>
          <cell r="I94">
            <v>47807</v>
          </cell>
          <cell r="J94">
            <v>55599</v>
          </cell>
          <cell r="K94">
            <v>69006</v>
          </cell>
          <cell r="L94">
            <v>71739</v>
          </cell>
          <cell r="M94">
            <v>79100</v>
          </cell>
          <cell r="N94">
            <v>79392</v>
          </cell>
          <cell r="O94">
            <v>81933</v>
          </cell>
          <cell r="P94">
            <v>81933</v>
          </cell>
          <cell r="Q94">
            <v>82625</v>
          </cell>
          <cell r="R94">
            <v>82287</v>
          </cell>
          <cell r="S94">
            <v>82287</v>
          </cell>
          <cell r="T94">
            <v>84331</v>
          </cell>
          <cell r="U94">
            <v>81833</v>
          </cell>
          <cell r="V94">
            <v>81833</v>
          </cell>
          <cell r="W94">
            <v>90929</v>
          </cell>
          <cell r="X94">
            <v>86034</v>
          </cell>
          <cell r="Y94">
            <v>86034</v>
          </cell>
          <cell r="Z94">
            <v>86450</v>
          </cell>
          <cell r="AA94">
            <v>84251</v>
          </cell>
          <cell r="AB94">
            <v>84251</v>
          </cell>
          <cell r="AC94">
            <v>90301</v>
          </cell>
          <cell r="AD94">
            <v>103260</v>
          </cell>
          <cell r="AE94">
            <v>103260</v>
          </cell>
          <cell r="AF94">
            <v>142450</v>
          </cell>
          <cell r="AG94">
            <v>114906</v>
          </cell>
          <cell r="AH94">
            <v>114906</v>
          </cell>
          <cell r="AI94">
            <v>113676</v>
          </cell>
          <cell r="AJ94">
            <v>102770</v>
          </cell>
          <cell r="AK94">
            <v>102770</v>
          </cell>
          <cell r="AL94">
            <v>88711</v>
          </cell>
          <cell r="AM94">
            <v>117748</v>
          </cell>
          <cell r="AN94">
            <v>117748</v>
          </cell>
          <cell r="AO94">
            <v>93898</v>
          </cell>
          <cell r="AP94">
            <v>96669</v>
          </cell>
          <cell r="AQ94">
            <v>96669</v>
          </cell>
          <cell r="AR94">
            <v>106382</v>
          </cell>
          <cell r="AS94">
            <v>127994</v>
          </cell>
          <cell r="AT94">
            <v>127994</v>
          </cell>
          <cell r="AU94">
            <v>134533</v>
          </cell>
          <cell r="AV94" t="e">
            <v>#N/A</v>
          </cell>
          <cell r="AW94" t="e">
            <v>#N/A</v>
          </cell>
          <cell r="AX94">
            <v>141110.22441326498</v>
          </cell>
          <cell r="AY94">
            <v>144720.36121022192</v>
          </cell>
          <cell r="AZ94">
            <v>144720.36121022192</v>
          </cell>
          <cell r="BA94">
            <v>148394.04294100564</v>
          </cell>
          <cell r="BB94">
            <v>152173.93255961264</v>
          </cell>
          <cell r="BC94">
            <v>152173.93255961264</v>
          </cell>
          <cell r="BD94">
            <v>155789.55909773801</v>
          </cell>
          <cell r="BE94">
            <v>159440.57693936114</v>
          </cell>
          <cell r="BF94">
            <v>159440.57693936114</v>
          </cell>
          <cell r="BG94">
            <v>163005.12215818363</v>
          </cell>
          <cell r="BH94">
            <v>166474.05612123254</v>
          </cell>
          <cell r="BI94">
            <v>166474.05612123254</v>
          </cell>
          <cell r="BJ94">
            <v>169777.63607028101</v>
          </cell>
          <cell r="BK94">
            <v>172899.4518367408</v>
          </cell>
          <cell r="BL94">
            <v>172899.4518367408</v>
          </cell>
          <cell r="BM94">
            <v>176193.67325767141</v>
          </cell>
          <cell r="BN94">
            <v>179656.91330795453</v>
          </cell>
          <cell r="BO94">
            <v>179656.91330795453</v>
          </cell>
          <cell r="BP94">
            <v>183188.89319653239</v>
          </cell>
          <cell r="BQ94">
            <v>186790.98481381312</v>
          </cell>
          <cell r="BR94">
            <v>186790.98481381312</v>
          </cell>
          <cell r="BS94">
            <v>190464.58751455887</v>
          </cell>
          <cell r="BT94">
            <v>194211.12866865849</v>
          </cell>
          <cell r="BU94">
            <v>194211.12866865849</v>
          </cell>
          <cell r="BV94">
            <v>198032.06422295593</v>
          </cell>
          <cell r="BW94">
            <v>201928.87927435731</v>
          </cell>
          <cell r="BX94">
            <v>201928.87927435731</v>
          </cell>
        </row>
        <row r="95">
          <cell r="B95" t="str">
            <v>Interest earning assets</v>
          </cell>
          <cell r="C95" t="str">
            <v>B_BS_A_PERIOD</v>
          </cell>
          <cell r="D95" t="str">
            <v>AUD</v>
          </cell>
          <cell r="F95">
            <v>265002</v>
          </cell>
          <cell r="G95">
            <v>328072</v>
          </cell>
          <cell r="H95">
            <v>519549</v>
          </cell>
          <cell r="I95">
            <v>521240</v>
          </cell>
          <cell r="J95">
            <v>545842</v>
          </cell>
          <cell r="K95">
            <v>574166</v>
          </cell>
          <cell r="L95">
            <v>596412</v>
          </cell>
          <cell r="M95">
            <v>626474</v>
          </cell>
          <cell r="N95">
            <v>652705</v>
          </cell>
          <cell r="O95">
            <v>669700</v>
          </cell>
          <cell r="P95">
            <v>669700</v>
          </cell>
          <cell r="Q95">
            <v>701326</v>
          </cell>
          <cell r="R95">
            <v>715186</v>
          </cell>
          <cell r="S95">
            <v>715186</v>
          </cell>
          <cell r="T95">
            <v>738521</v>
          </cell>
          <cell r="U95">
            <v>753710</v>
          </cell>
          <cell r="V95">
            <v>753710</v>
          </cell>
          <cell r="W95">
            <v>767420</v>
          </cell>
          <cell r="X95">
            <v>778081</v>
          </cell>
          <cell r="Y95">
            <v>778081</v>
          </cell>
          <cell r="Z95">
            <v>787843</v>
          </cell>
          <cell r="AA95">
            <v>793941</v>
          </cell>
          <cell r="AB95">
            <v>793941</v>
          </cell>
          <cell r="AC95">
            <v>804587</v>
          </cell>
          <cell r="AD95">
            <v>818030</v>
          </cell>
          <cell r="AE95">
            <v>818030</v>
          </cell>
          <cell r="AF95">
            <v>862128</v>
          </cell>
          <cell r="AG95">
            <v>807965</v>
          </cell>
          <cell r="AH95">
            <v>807965</v>
          </cell>
          <cell r="AI95">
            <v>801802</v>
          </cell>
          <cell r="AJ95">
            <v>812545</v>
          </cell>
          <cell r="AK95">
            <v>812545</v>
          </cell>
          <cell r="AL95">
            <v>808267</v>
          </cell>
          <cell r="AM95">
            <v>857395</v>
          </cell>
          <cell r="AN95">
            <v>857395</v>
          </cell>
          <cell r="AO95">
            <v>843829</v>
          </cell>
          <cell r="AP95">
            <v>869923</v>
          </cell>
          <cell r="AQ95">
            <v>869923</v>
          </cell>
          <cell r="AR95">
            <v>891221</v>
          </cell>
          <cell r="AS95">
            <v>934761</v>
          </cell>
          <cell r="AT95">
            <v>934761</v>
          </cell>
          <cell r="AU95">
            <v>959341</v>
          </cell>
          <cell r="AV95" t="e">
            <v>#N/A</v>
          </cell>
          <cell r="AW95" t="e">
            <v>#N/A</v>
          </cell>
          <cell r="AX95">
            <v>1025206.2835972856</v>
          </cell>
          <cell r="AY95">
            <v>1051694.159993455</v>
          </cell>
          <cell r="AZ95">
            <v>1051694.159993455</v>
          </cell>
          <cell r="BA95">
            <v>1078673.5701074027</v>
          </cell>
          <cell r="BB95">
            <v>1106455.7983475786</v>
          </cell>
          <cell r="BC95">
            <v>1106455.7983475786</v>
          </cell>
          <cell r="BD95">
            <v>1132952.157101529</v>
          </cell>
          <cell r="BE95">
            <v>1159675.8965244847</v>
          </cell>
          <cell r="BF95">
            <v>1159675.8965244847</v>
          </cell>
          <cell r="BG95">
            <v>1185754.453907395</v>
          </cell>
          <cell r="BH95">
            <v>1211123.6848134897</v>
          </cell>
          <cell r="BI95">
            <v>1211123.6848134897</v>
          </cell>
          <cell r="BJ95">
            <v>1235311.9796004582</v>
          </cell>
          <cell r="BK95">
            <v>1258229.9491009591</v>
          </cell>
          <cell r="BL95">
            <v>1258229.9491009591</v>
          </cell>
          <cell r="BM95">
            <v>1282247.9323347865</v>
          </cell>
          <cell r="BN95">
            <v>1307497.1883996588</v>
          </cell>
          <cell r="BO95">
            <v>1307497.1883996588</v>
          </cell>
          <cell r="BP95">
            <v>1333207.5878856368</v>
          </cell>
          <cell r="BQ95">
            <v>1359428.7458104431</v>
          </cell>
          <cell r="BR95">
            <v>1359428.7458104431</v>
          </cell>
          <cell r="BS95">
            <v>1386170.8675857428</v>
          </cell>
          <cell r="BT95">
            <v>1413444.3632669374</v>
          </cell>
          <cell r="BU95">
            <v>1413444.3632669374</v>
          </cell>
          <cell r="BV95">
            <v>1441259.8516670919</v>
          </cell>
          <cell r="BW95">
            <v>1469628.1645537491</v>
          </cell>
          <cell r="BX95">
            <v>1469628.1645537491</v>
          </cell>
        </row>
        <row r="96">
          <cell r="B96" t="str">
            <v>Net PP&amp;E</v>
          </cell>
          <cell r="C96" t="str">
            <v>NET_FIX_ASS</v>
          </cell>
          <cell r="D96" t="str">
            <v>AUD</v>
          </cell>
          <cell r="F96">
            <v>466</v>
          </cell>
          <cell r="G96">
            <v>489</v>
          </cell>
          <cell r="H96">
            <v>853</v>
          </cell>
          <cell r="I96">
            <v>888</v>
          </cell>
          <cell r="J96">
            <v>1010</v>
          </cell>
          <cell r="K96">
            <v>1158</v>
          </cell>
          <cell r="L96">
            <v>1137</v>
          </cell>
          <cell r="M96">
            <v>1174</v>
          </cell>
          <cell r="N96">
            <v>1294</v>
          </cell>
          <cell r="O96">
            <v>1452</v>
          </cell>
          <cell r="P96">
            <v>1452</v>
          </cell>
          <cell r="Q96">
            <v>1539</v>
          </cell>
          <cell r="R96">
            <v>1592</v>
          </cell>
          <cell r="S96">
            <v>1592</v>
          </cell>
          <cell r="T96">
            <v>1628</v>
          </cell>
          <cell r="U96">
            <v>1737</v>
          </cell>
          <cell r="V96">
            <v>1737</v>
          </cell>
          <cell r="W96">
            <v>1574</v>
          </cell>
          <cell r="X96">
            <v>1487</v>
          </cell>
          <cell r="Y96">
            <v>1487</v>
          </cell>
          <cell r="Z96">
            <v>1328</v>
          </cell>
          <cell r="AA96">
            <v>1329</v>
          </cell>
          <cell r="AB96">
            <v>1329</v>
          </cell>
          <cell r="AC96">
            <v>1200</v>
          </cell>
          <cell r="AD96">
            <v>1155</v>
          </cell>
          <cell r="AE96">
            <v>1155</v>
          </cell>
          <cell r="AF96">
            <v>4170</v>
          </cell>
          <cell r="AG96">
            <v>3910</v>
          </cell>
          <cell r="AH96">
            <v>3910</v>
          </cell>
          <cell r="AI96">
            <v>3337</v>
          </cell>
          <cell r="AJ96">
            <v>2853</v>
          </cell>
          <cell r="AK96">
            <v>2853</v>
          </cell>
          <cell r="AL96">
            <v>2614</v>
          </cell>
          <cell r="AM96">
            <v>2429</v>
          </cell>
          <cell r="AN96">
            <v>2429</v>
          </cell>
          <cell r="AO96">
            <v>2415</v>
          </cell>
          <cell r="AP96">
            <v>2245</v>
          </cell>
          <cell r="AQ96">
            <v>2245</v>
          </cell>
          <cell r="AR96">
            <v>2179</v>
          </cell>
          <cell r="AS96">
            <v>2251</v>
          </cell>
          <cell r="AT96">
            <v>2251</v>
          </cell>
          <cell r="AU96">
            <v>2254</v>
          </cell>
          <cell r="AV96" t="e">
            <v>#N/A</v>
          </cell>
          <cell r="AW96" t="e">
            <v>#N/A</v>
          </cell>
          <cell r="AX96">
            <v>2351.0589207783423</v>
          </cell>
          <cell r="AY96">
            <v>2411.2079592835771</v>
          </cell>
          <cell r="AZ96">
            <v>2411.2079592835771</v>
          </cell>
          <cell r="BA96">
            <v>2472.415729600521</v>
          </cell>
          <cell r="BB96">
            <v>2535.3930456974549</v>
          </cell>
          <cell r="BC96">
            <v>2535.3930456974549</v>
          </cell>
          <cell r="BD96">
            <v>2595.6335496156353</v>
          </cell>
          <cell r="BE96">
            <v>2656.4637134266573</v>
          </cell>
          <cell r="BF96">
            <v>2656.4637134266573</v>
          </cell>
          <cell r="BG96">
            <v>2715.8531437112188</v>
          </cell>
          <cell r="BH96">
            <v>2773.6495803147909</v>
          </cell>
          <cell r="BI96">
            <v>2773.6495803147909</v>
          </cell>
          <cell r="BJ96">
            <v>2828.6910285302524</v>
          </cell>
          <cell r="BK96">
            <v>2880.7040760417258</v>
          </cell>
          <cell r="BL96">
            <v>2880.7040760417258</v>
          </cell>
          <cell r="BM96">
            <v>2935.5896003961889</v>
          </cell>
          <cell r="BN96">
            <v>2993.2911698527637</v>
          </cell>
          <cell r="BO96">
            <v>2993.2911698527637</v>
          </cell>
          <cell r="BP96">
            <v>3052.1380242148639</v>
          </cell>
          <cell r="BQ96">
            <v>3112.1530207573305</v>
          </cell>
          <cell r="BR96">
            <v>3112.1530207573305</v>
          </cell>
          <cell r="BS96">
            <v>3173.3594743427857</v>
          </cell>
          <cell r="BT96">
            <v>3235.7811665981421</v>
          </cell>
          <cell r="BU96">
            <v>3235.7811665981421</v>
          </cell>
          <cell r="BV96">
            <v>3299.4423552753083</v>
          </cell>
          <cell r="BW96">
            <v>3364.3677837998148</v>
          </cell>
          <cell r="BX96">
            <v>3364.3677837998148</v>
          </cell>
        </row>
        <row r="97">
          <cell r="B97" t="str">
            <v>Goodwill, net book value</v>
          </cell>
          <cell r="C97" t="str">
            <v>GOODWILL</v>
          </cell>
          <cell r="D97" t="str">
            <v>AUD</v>
          </cell>
          <cell r="F97">
            <v>2472</v>
          </cell>
          <cell r="G97">
            <v>2283</v>
          </cell>
          <cell r="H97">
            <v>10938</v>
          </cell>
          <cell r="I97">
            <v>10912</v>
          </cell>
          <cell r="J97">
            <v>10672</v>
          </cell>
          <cell r="K97">
            <v>10476</v>
          </cell>
          <cell r="L97">
            <v>10583</v>
          </cell>
          <cell r="M97">
            <v>10444</v>
          </cell>
          <cell r="N97">
            <v>10660</v>
          </cell>
          <cell r="O97">
            <v>10536</v>
          </cell>
          <cell r="P97">
            <v>10536</v>
          </cell>
          <cell r="Q97">
            <v>10490</v>
          </cell>
          <cell r="R97">
            <v>9920</v>
          </cell>
          <cell r="S97">
            <v>9920</v>
          </cell>
          <cell r="T97">
            <v>9814</v>
          </cell>
          <cell r="U97">
            <v>9940</v>
          </cell>
          <cell r="V97">
            <v>9940</v>
          </cell>
          <cell r="W97">
            <v>9825</v>
          </cell>
          <cell r="X97">
            <v>9736</v>
          </cell>
          <cell r="Y97">
            <v>9736</v>
          </cell>
          <cell r="Z97">
            <v>9688</v>
          </cell>
          <cell r="AA97">
            <v>9586</v>
          </cell>
          <cell r="AB97">
            <v>9586</v>
          </cell>
          <cell r="AC97">
            <v>9606</v>
          </cell>
          <cell r="AD97">
            <v>9588</v>
          </cell>
          <cell r="AE97">
            <v>9588</v>
          </cell>
          <cell r="AF97">
            <v>9608</v>
          </cell>
          <cell r="AG97">
            <v>9067</v>
          </cell>
          <cell r="AH97">
            <v>9067</v>
          </cell>
          <cell r="AI97">
            <v>8737</v>
          </cell>
          <cell r="AJ97">
            <v>8269</v>
          </cell>
          <cell r="AK97">
            <v>8269</v>
          </cell>
          <cell r="AL97">
            <v>8143</v>
          </cell>
          <cell r="AM97">
            <v>8063</v>
          </cell>
          <cell r="AN97">
            <v>8063</v>
          </cell>
          <cell r="AO97">
            <v>8092</v>
          </cell>
          <cell r="AP97">
            <v>8089</v>
          </cell>
          <cell r="AQ97">
            <v>8089</v>
          </cell>
          <cell r="AR97">
            <v>8050</v>
          </cell>
          <cell r="AS97">
            <v>8071</v>
          </cell>
          <cell r="AT97">
            <v>8071</v>
          </cell>
          <cell r="AU97">
            <v>8067</v>
          </cell>
          <cell r="AV97" t="e">
            <v>#N/A</v>
          </cell>
          <cell r="AW97" t="e">
            <v>#N/A</v>
          </cell>
          <cell r="AX97">
            <v>8051</v>
          </cell>
          <cell r="AY97">
            <v>8051</v>
          </cell>
          <cell r="AZ97">
            <v>8051</v>
          </cell>
          <cell r="BA97">
            <v>8051</v>
          </cell>
          <cell r="BB97">
            <v>8051</v>
          </cell>
          <cell r="BC97">
            <v>8051</v>
          </cell>
          <cell r="BD97">
            <v>8051</v>
          </cell>
          <cell r="BE97">
            <v>8051</v>
          </cell>
          <cell r="BF97">
            <v>8051</v>
          </cell>
          <cell r="BG97">
            <v>8051</v>
          </cell>
          <cell r="BH97">
            <v>8051</v>
          </cell>
          <cell r="BI97">
            <v>8051</v>
          </cell>
          <cell r="BJ97">
            <v>8051</v>
          </cell>
          <cell r="BK97">
            <v>8051</v>
          </cell>
          <cell r="BL97">
            <v>8051</v>
          </cell>
          <cell r="BM97">
            <v>8051</v>
          </cell>
          <cell r="BN97">
            <v>8051</v>
          </cell>
          <cell r="BO97">
            <v>8051</v>
          </cell>
          <cell r="BP97">
            <v>8051</v>
          </cell>
          <cell r="BQ97">
            <v>8051</v>
          </cell>
          <cell r="BR97">
            <v>8051</v>
          </cell>
          <cell r="BS97">
            <v>8051</v>
          </cell>
          <cell r="BT97">
            <v>8051</v>
          </cell>
          <cell r="BU97">
            <v>8051</v>
          </cell>
          <cell r="BV97">
            <v>8051</v>
          </cell>
          <cell r="BW97">
            <v>8051</v>
          </cell>
          <cell r="BX97">
            <v>8051</v>
          </cell>
        </row>
        <row r="98">
          <cell r="B98" t="str">
            <v>Intangible assets</v>
          </cell>
          <cell r="C98" t="str">
            <v>OTH_INTANG</v>
          </cell>
          <cell r="D98" t="str">
            <v>AUD</v>
          </cell>
        </row>
        <row r="99">
          <cell r="B99" t="str">
            <v>Net intangible assets</v>
          </cell>
          <cell r="C99" t="str">
            <v>NET_INTANG</v>
          </cell>
          <cell r="D99" t="str">
            <v>AUD</v>
          </cell>
          <cell r="F99">
            <v>2472</v>
          </cell>
          <cell r="G99">
            <v>2283</v>
          </cell>
          <cell r="H99">
            <v>10938</v>
          </cell>
          <cell r="I99">
            <v>10912</v>
          </cell>
          <cell r="J99">
            <v>10672</v>
          </cell>
          <cell r="K99">
            <v>10476</v>
          </cell>
          <cell r="L99">
            <v>10583</v>
          </cell>
          <cell r="M99">
            <v>10444</v>
          </cell>
          <cell r="N99">
            <v>10660</v>
          </cell>
          <cell r="O99">
            <v>10536</v>
          </cell>
          <cell r="P99">
            <v>10536</v>
          </cell>
          <cell r="Q99">
            <v>10490</v>
          </cell>
          <cell r="R99">
            <v>9920</v>
          </cell>
          <cell r="S99">
            <v>9920</v>
          </cell>
          <cell r="T99">
            <v>9814</v>
          </cell>
          <cell r="U99">
            <v>9940</v>
          </cell>
          <cell r="V99">
            <v>9940</v>
          </cell>
          <cell r="W99">
            <v>9825</v>
          </cell>
          <cell r="X99">
            <v>9736</v>
          </cell>
          <cell r="Y99">
            <v>9736</v>
          </cell>
          <cell r="Z99">
            <v>9688</v>
          </cell>
          <cell r="AA99">
            <v>9586</v>
          </cell>
          <cell r="AB99">
            <v>9586</v>
          </cell>
          <cell r="AC99">
            <v>9606</v>
          </cell>
          <cell r="AD99">
            <v>9588</v>
          </cell>
          <cell r="AE99">
            <v>9588</v>
          </cell>
          <cell r="AF99">
            <v>9608</v>
          </cell>
          <cell r="AG99">
            <v>9067</v>
          </cell>
          <cell r="AH99">
            <v>9067</v>
          </cell>
          <cell r="AI99">
            <v>8737</v>
          </cell>
          <cell r="AJ99">
            <v>8269</v>
          </cell>
          <cell r="AK99">
            <v>8269</v>
          </cell>
          <cell r="AL99">
            <v>8143</v>
          </cell>
          <cell r="AM99">
            <v>8063</v>
          </cell>
          <cell r="AN99">
            <v>8063</v>
          </cell>
          <cell r="AO99">
            <v>8092</v>
          </cell>
          <cell r="AP99">
            <v>8089</v>
          </cell>
          <cell r="AQ99">
            <v>8089</v>
          </cell>
          <cell r="AR99">
            <v>8050</v>
          </cell>
          <cell r="AS99">
            <v>8071</v>
          </cell>
          <cell r="AT99">
            <v>8071</v>
          </cell>
          <cell r="AU99">
            <v>8067</v>
          </cell>
          <cell r="AV99" t="e">
            <v>#N/A</v>
          </cell>
          <cell r="AW99" t="e">
            <v>#N/A</v>
          </cell>
          <cell r="AX99">
            <v>8051</v>
          </cell>
          <cell r="AY99">
            <v>8051</v>
          </cell>
          <cell r="AZ99">
            <v>8051</v>
          </cell>
          <cell r="BA99">
            <v>8051</v>
          </cell>
          <cell r="BB99">
            <v>8051</v>
          </cell>
          <cell r="BC99">
            <v>8051</v>
          </cell>
          <cell r="BD99">
            <v>8051</v>
          </cell>
          <cell r="BE99">
            <v>8051</v>
          </cell>
          <cell r="BF99">
            <v>8051</v>
          </cell>
          <cell r="BG99">
            <v>8051</v>
          </cell>
          <cell r="BH99">
            <v>8051</v>
          </cell>
          <cell r="BI99">
            <v>8051</v>
          </cell>
          <cell r="BJ99">
            <v>8051</v>
          </cell>
          <cell r="BK99">
            <v>8051</v>
          </cell>
          <cell r="BL99">
            <v>8051</v>
          </cell>
          <cell r="BM99">
            <v>8051</v>
          </cell>
          <cell r="BN99">
            <v>8051</v>
          </cell>
          <cell r="BO99">
            <v>8051</v>
          </cell>
          <cell r="BP99">
            <v>8051</v>
          </cell>
          <cell r="BQ99">
            <v>8051</v>
          </cell>
          <cell r="BR99">
            <v>8051</v>
          </cell>
          <cell r="BS99">
            <v>8051</v>
          </cell>
          <cell r="BT99">
            <v>8051</v>
          </cell>
          <cell r="BU99">
            <v>8051</v>
          </cell>
          <cell r="BV99">
            <v>8051</v>
          </cell>
          <cell r="BW99">
            <v>8051</v>
          </cell>
          <cell r="BX99">
            <v>8051</v>
          </cell>
        </row>
        <row r="100">
          <cell r="B100" t="str">
            <v>Pre-payments &amp; accrued income</v>
          </cell>
          <cell r="C100" t="str">
            <v>PRE_PAYMNTS</v>
          </cell>
          <cell r="D100" t="str">
            <v>AUD</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t="e">
            <v>#N/A</v>
          </cell>
          <cell r="AW100" t="e">
            <v>#N/A</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row>
        <row r="101">
          <cell r="B101" t="str">
            <v>Equity method investments</v>
          </cell>
          <cell r="C101" t="str">
            <v>FIX_ASS_INV</v>
          </cell>
          <cell r="D101" t="str">
            <v>AUD</v>
          </cell>
        </row>
        <row r="102">
          <cell r="B102" t="str">
            <v>Investments in securities</v>
          </cell>
          <cell r="C102" t="str">
            <v>INV_SECUR</v>
          </cell>
          <cell r="D102" t="str">
            <v>AUD</v>
          </cell>
        </row>
        <row r="103">
          <cell r="B103" t="str">
            <v>Life assurance business attributable to shareholders</v>
          </cell>
          <cell r="C103" t="str">
            <v>LIFE_SHARE</v>
          </cell>
          <cell r="D103" t="str">
            <v>AUD</v>
          </cell>
        </row>
        <row r="104">
          <cell r="B104" t="str">
            <v>Life assurance assets attributable to policyholders</v>
          </cell>
          <cell r="C104" t="str">
            <v>LIFE_POLICY_ASS</v>
          </cell>
          <cell r="D104" t="str">
            <v>AUD</v>
          </cell>
        </row>
        <row r="105">
          <cell r="B105" t="str">
            <v>Other assets</v>
          </cell>
          <cell r="C105" t="str">
            <v>OTH_ASSET</v>
          </cell>
          <cell r="D105" t="str">
            <v>AUD</v>
          </cell>
          <cell r="F105">
            <v>29160</v>
          </cell>
          <cell r="G105">
            <v>41734</v>
          </cell>
          <cell r="H105">
            <v>50743</v>
          </cell>
          <cell r="I105">
            <v>53275</v>
          </cell>
          <cell r="J105">
            <v>56289</v>
          </cell>
          <cell r="K105">
            <v>68170</v>
          </cell>
          <cell r="L105">
            <v>54310</v>
          </cell>
          <cell r="M105">
            <v>51306</v>
          </cell>
          <cell r="N105">
            <v>48341</v>
          </cell>
          <cell r="O105">
            <v>63394</v>
          </cell>
          <cell r="P105">
            <v>63394</v>
          </cell>
          <cell r="Q105">
            <v>67868</v>
          </cell>
          <cell r="R105">
            <v>70688</v>
          </cell>
          <cell r="S105">
            <v>70688</v>
          </cell>
          <cell r="T105">
            <v>62986</v>
          </cell>
          <cell r="U105">
            <v>56800</v>
          </cell>
          <cell r="V105">
            <v>56800</v>
          </cell>
          <cell r="W105">
            <v>45262</v>
          </cell>
          <cell r="X105">
            <v>44174</v>
          </cell>
          <cell r="Y105">
            <v>44174</v>
          </cell>
          <cell r="Z105">
            <v>51064</v>
          </cell>
          <cell r="AA105">
            <v>47948</v>
          </cell>
          <cell r="AB105">
            <v>47948</v>
          </cell>
          <cell r="AC105">
            <v>56183</v>
          </cell>
          <cell r="AD105">
            <v>57794</v>
          </cell>
          <cell r="AE105">
            <v>57794</v>
          </cell>
          <cell r="AF105">
            <v>45941</v>
          </cell>
          <cell r="AG105">
            <v>60875</v>
          </cell>
          <cell r="AH105">
            <v>60875</v>
          </cell>
          <cell r="AI105">
            <v>41706</v>
          </cell>
          <cell r="AJ105">
            <v>40857</v>
          </cell>
          <cell r="AK105">
            <v>40857</v>
          </cell>
          <cell r="AL105">
            <v>43315</v>
          </cell>
          <cell r="AM105">
            <v>41054</v>
          </cell>
          <cell r="AN105">
            <v>41054</v>
          </cell>
          <cell r="AO105">
            <v>46886</v>
          </cell>
          <cell r="AP105">
            <v>46995</v>
          </cell>
          <cell r="AQ105">
            <v>46995</v>
          </cell>
          <cell r="AR105">
            <v>55304</v>
          </cell>
          <cell r="AS105">
            <v>66794</v>
          </cell>
          <cell r="AT105">
            <v>66794</v>
          </cell>
          <cell r="AU105">
            <v>70879</v>
          </cell>
          <cell r="AV105" t="e">
            <v>#N/A</v>
          </cell>
          <cell r="AW105" t="e">
            <v>#N/A</v>
          </cell>
          <cell r="AX105">
            <v>79667.192114142817</v>
          </cell>
          <cell r="AY105">
            <v>81652.161103244624</v>
          </cell>
          <cell r="AZ105">
            <v>81652.161103244624</v>
          </cell>
          <cell r="BA105">
            <v>83646.769924942637</v>
          </cell>
          <cell r="BB105">
            <v>85676.213301949902</v>
          </cell>
          <cell r="BC105">
            <v>85676.213301949902</v>
          </cell>
          <cell r="BD105">
            <v>87695.997060301044</v>
          </cell>
          <cell r="BE105">
            <v>89767.528384710808</v>
          </cell>
          <cell r="BF105">
            <v>89767.528384710808</v>
          </cell>
          <cell r="BG105">
            <v>91802.23944356486</v>
          </cell>
          <cell r="BH105">
            <v>93792.199043731394</v>
          </cell>
          <cell r="BI105">
            <v>93792.199043731394</v>
          </cell>
          <cell r="BJ105">
            <v>95658.961557202769</v>
          </cell>
          <cell r="BK105">
            <v>97362.49053139583</v>
          </cell>
          <cell r="BL105">
            <v>97362.49053139583</v>
          </cell>
          <cell r="BM105">
            <v>99325.754673587013</v>
          </cell>
          <cell r="BN105">
            <v>101390.7817037237</v>
          </cell>
          <cell r="BO105">
            <v>101390.7817037237</v>
          </cell>
          <cell r="BP105">
            <v>103536.81063789141</v>
          </cell>
          <cell r="BQ105">
            <v>105725.04644267121</v>
          </cell>
          <cell r="BR105">
            <v>105725.04644267121</v>
          </cell>
          <cell r="BS105">
            <v>107956.32029975185</v>
          </cell>
          <cell r="BT105">
            <v>110231.47970003595</v>
          </cell>
          <cell r="BU105">
            <v>110231.47970003595</v>
          </cell>
          <cell r="BV105">
            <v>112551.38876080318</v>
          </cell>
          <cell r="BW105">
            <v>114916.92854894625</v>
          </cell>
          <cell r="BX105">
            <v>114916.92854894625</v>
          </cell>
        </row>
        <row r="106">
          <cell r="B106" t="str">
            <v>Total assets</v>
          </cell>
          <cell r="C106" t="str">
            <v>TOT_ASSET</v>
          </cell>
          <cell r="D106" t="str">
            <v>AUD</v>
          </cell>
          <cell r="F106">
            <v>299578</v>
          </cell>
          <cell r="G106">
            <v>374821</v>
          </cell>
          <cell r="H106">
            <v>587114</v>
          </cell>
          <cell r="I106">
            <v>589587</v>
          </cell>
          <cell r="J106">
            <v>618277</v>
          </cell>
          <cell r="K106">
            <v>670228</v>
          </cell>
          <cell r="L106">
            <v>674965</v>
          </cell>
          <cell r="M106">
            <v>701097</v>
          </cell>
          <cell r="N106">
            <v>729375</v>
          </cell>
          <cell r="O106">
            <v>770842</v>
          </cell>
          <cell r="P106">
            <v>770842</v>
          </cell>
          <cell r="Q106">
            <v>795961</v>
          </cell>
          <cell r="R106">
            <v>812156</v>
          </cell>
          <cell r="S106">
            <v>812156</v>
          </cell>
          <cell r="T106">
            <v>831760</v>
          </cell>
          <cell r="U106">
            <v>839202</v>
          </cell>
          <cell r="V106">
            <v>839202</v>
          </cell>
          <cell r="W106">
            <v>839993</v>
          </cell>
          <cell r="X106">
            <v>851875</v>
          </cell>
          <cell r="Y106">
            <v>851875</v>
          </cell>
          <cell r="Z106">
            <v>871855</v>
          </cell>
          <cell r="AA106">
            <v>879592</v>
          </cell>
          <cell r="AB106">
            <v>879592</v>
          </cell>
          <cell r="AC106">
            <v>891062</v>
          </cell>
          <cell r="AD106">
            <v>906626</v>
          </cell>
          <cell r="AE106">
            <v>906626</v>
          </cell>
          <cell r="AF106">
            <v>967662</v>
          </cell>
          <cell r="AG106">
            <v>911946</v>
          </cell>
          <cell r="AH106">
            <v>911946</v>
          </cell>
          <cell r="AI106">
            <v>889459</v>
          </cell>
          <cell r="AJ106">
            <v>935877</v>
          </cell>
          <cell r="AK106">
            <v>935877</v>
          </cell>
          <cell r="AL106">
            <v>964749</v>
          </cell>
          <cell r="AM106">
            <v>1014198</v>
          </cell>
          <cell r="AN106">
            <v>1014198</v>
          </cell>
          <cell r="AO106">
            <v>1019108</v>
          </cell>
          <cell r="AP106">
            <v>1029774</v>
          </cell>
          <cell r="AQ106">
            <v>1029774</v>
          </cell>
          <cell r="AR106">
            <v>1052661</v>
          </cell>
          <cell r="AS106">
            <v>1077544</v>
          </cell>
          <cell r="AT106">
            <v>1077544</v>
          </cell>
          <cell r="AU106">
            <v>1098893</v>
          </cell>
          <cell r="AV106" t="e">
            <v>#N/A</v>
          </cell>
          <cell r="AW106" t="e">
            <v>#N/A</v>
          </cell>
          <cell r="AX106">
            <v>1167598.5272954246</v>
          </cell>
          <cell r="AY106">
            <v>1197470.1430836404</v>
          </cell>
          <cell r="AZ106">
            <v>1197470.1430836404</v>
          </cell>
          <cell r="BA106">
            <v>1227867.5533099398</v>
          </cell>
          <cell r="BB106">
            <v>1259143.7671376455</v>
          </cell>
          <cell r="BC106">
            <v>1259143.7671376455</v>
          </cell>
          <cell r="BD106">
            <v>1289060.8070879313</v>
          </cell>
          <cell r="BE106">
            <v>1319270.6878583268</v>
          </cell>
          <cell r="BF106">
            <v>1319270.6878583268</v>
          </cell>
          <cell r="BG106">
            <v>1348765.0619568762</v>
          </cell>
          <cell r="BH106">
            <v>1377468.3129323614</v>
          </cell>
          <cell r="BI106">
            <v>1377468.3129323614</v>
          </cell>
          <cell r="BJ106">
            <v>1404803.363240375</v>
          </cell>
          <cell r="BK106">
            <v>1430634.4290370746</v>
          </cell>
          <cell r="BL106">
            <v>1430634.4290370746</v>
          </cell>
          <cell r="BM106">
            <v>1457892.0433995817</v>
          </cell>
          <cell r="BN106">
            <v>1486548.1808211941</v>
          </cell>
          <cell r="BO106">
            <v>1486548.1808211941</v>
          </cell>
          <cell r="BP106">
            <v>1515773.0972543431</v>
          </cell>
          <cell r="BQ106">
            <v>1545578.1442309732</v>
          </cell>
          <cell r="BR106">
            <v>1545578.1442309732</v>
          </cell>
          <cell r="BS106">
            <v>1575974.9005333181</v>
          </cell>
          <cell r="BT106">
            <v>1606975.1767511992</v>
          </cell>
          <cell r="BU106">
            <v>1606975.1767511992</v>
          </cell>
          <cell r="BV106">
            <v>1638591.0199308023</v>
          </cell>
          <cell r="BW106">
            <v>1670834.7183167797</v>
          </cell>
          <cell r="BX106">
            <v>1670834.7183167797</v>
          </cell>
        </row>
        <row r="107">
          <cell r="B107" t="str">
            <v>Bank deposits</v>
          </cell>
          <cell r="C107" t="str">
            <v>B_BS_L_BANKDEP</v>
          </cell>
          <cell r="D107" t="str">
            <v>AUD</v>
          </cell>
          <cell r="F107">
            <v>12051</v>
          </cell>
          <cell r="G107">
            <v>9133</v>
          </cell>
          <cell r="H107">
            <v>17606</v>
          </cell>
          <cell r="I107">
            <v>9235</v>
          </cell>
          <cell r="J107">
            <v>8898</v>
          </cell>
          <cell r="K107">
            <v>14512</v>
          </cell>
          <cell r="L107">
            <v>7564</v>
          </cell>
          <cell r="M107">
            <v>8836</v>
          </cell>
          <cell r="N107">
            <v>15211</v>
          </cell>
          <cell r="O107">
            <v>18636</v>
          </cell>
          <cell r="P107">
            <v>18636</v>
          </cell>
          <cell r="Q107">
            <v>15421</v>
          </cell>
          <cell r="R107">
            <v>18731</v>
          </cell>
          <cell r="S107">
            <v>18731</v>
          </cell>
          <cell r="T107">
            <v>21205</v>
          </cell>
          <cell r="U107">
            <v>18209</v>
          </cell>
          <cell r="V107">
            <v>18209</v>
          </cell>
          <cell r="W107">
            <v>21390</v>
          </cell>
          <cell r="X107">
            <v>21907</v>
          </cell>
          <cell r="Y107">
            <v>21907</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t="e">
            <v>#N/A</v>
          </cell>
          <cell r="AW107" t="e">
            <v>#N/A</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row>
        <row r="108">
          <cell r="B108" t="str">
            <v>Customer deposits</v>
          </cell>
          <cell r="C108" t="str">
            <v>B_BS_L_CUSTDEP</v>
          </cell>
          <cell r="D108" t="str">
            <v>AUD</v>
          </cell>
          <cell r="F108">
            <v>167741</v>
          </cell>
          <cell r="G108">
            <v>202054</v>
          </cell>
          <cell r="H108">
            <v>317286</v>
          </cell>
          <cell r="I108">
            <v>329456</v>
          </cell>
          <cell r="J108">
            <v>337385</v>
          </cell>
          <cell r="K108">
            <v>370278</v>
          </cell>
          <cell r="L108">
            <v>394991</v>
          </cell>
          <cell r="M108">
            <v>424482</v>
          </cell>
          <cell r="N108">
            <v>437405</v>
          </cell>
          <cell r="O108">
            <v>460822</v>
          </cell>
          <cell r="P108">
            <v>460822</v>
          </cell>
          <cell r="Q108">
            <v>466743</v>
          </cell>
          <cell r="R108">
            <v>475328</v>
          </cell>
          <cell r="S108">
            <v>475328</v>
          </cell>
          <cell r="T108">
            <v>494246</v>
          </cell>
          <cell r="U108">
            <v>513071</v>
          </cell>
          <cell r="V108">
            <v>513071</v>
          </cell>
          <cell r="W108">
            <v>522513</v>
          </cell>
          <cell r="X108">
            <v>533591</v>
          </cell>
          <cell r="Y108">
            <v>533591</v>
          </cell>
          <cell r="Z108">
            <v>547736</v>
          </cell>
          <cell r="AA108">
            <v>559285</v>
          </cell>
          <cell r="AB108">
            <v>559285</v>
          </cell>
          <cell r="AC108">
            <v>555007</v>
          </cell>
          <cell r="AD108">
            <v>563247</v>
          </cell>
          <cell r="AE108">
            <v>563247</v>
          </cell>
          <cell r="AF108">
            <v>582920</v>
          </cell>
          <cell r="AG108">
            <v>591131</v>
          </cell>
          <cell r="AH108">
            <v>591131</v>
          </cell>
          <cell r="AI108">
            <v>585401</v>
          </cell>
          <cell r="AJ108">
            <v>626955</v>
          </cell>
          <cell r="AK108">
            <v>626955</v>
          </cell>
          <cell r="AL108">
            <v>645606</v>
          </cell>
          <cell r="AM108">
            <v>659129</v>
          </cell>
          <cell r="AN108">
            <v>659129</v>
          </cell>
          <cell r="AO108">
            <v>676352</v>
          </cell>
          <cell r="AP108">
            <v>687634.8683431953</v>
          </cell>
          <cell r="AQ108">
            <v>687634.8683431953</v>
          </cell>
          <cell r="AR108">
            <v>703123.39734176034</v>
          </cell>
          <cell r="AS108">
            <v>720326.85641448875</v>
          </cell>
          <cell r="AT108">
            <v>720326.85641448875</v>
          </cell>
          <cell r="AU108">
            <v>739117.1390100529</v>
          </cell>
          <cell r="AV108" t="e">
            <v>#N/A</v>
          </cell>
          <cell r="AW108" t="e">
            <v>#N/A</v>
          </cell>
          <cell r="AX108">
            <v>788762.98455963784</v>
          </cell>
          <cell r="AY108">
            <v>808005.32212583045</v>
          </cell>
          <cell r="AZ108">
            <v>808005.32212583045</v>
          </cell>
          <cell r="BA108">
            <v>828108.2008212253</v>
          </cell>
          <cell r="BB108">
            <v>848711.31737941899</v>
          </cell>
          <cell r="BC108">
            <v>848711.31737941899</v>
          </cell>
          <cell r="BD108">
            <v>869080.3889965252</v>
          </cell>
          <cell r="BE108">
            <v>889938.31833244197</v>
          </cell>
          <cell r="BF108">
            <v>889938.31833244197</v>
          </cell>
          <cell r="BG108">
            <v>911296.83797242062</v>
          </cell>
          <cell r="BH108">
            <v>933167.96208375855</v>
          </cell>
          <cell r="BI108">
            <v>933167.96208375855</v>
          </cell>
          <cell r="BJ108">
            <v>955563.99317376886</v>
          </cell>
          <cell r="BK108">
            <v>978497.52900993929</v>
          </cell>
          <cell r="BL108">
            <v>978497.52900993929</v>
          </cell>
          <cell r="BM108">
            <v>996773.92257233837</v>
          </cell>
          <cell r="BN108">
            <v>1016219.5251282179</v>
          </cell>
          <cell r="BO108">
            <v>1016219.5251282179</v>
          </cell>
          <cell r="BP108">
            <v>1036049.6051500301</v>
          </cell>
          <cell r="BQ108">
            <v>1056271.8210272437</v>
          </cell>
          <cell r="BR108">
            <v>1056271.8210272437</v>
          </cell>
          <cell r="BS108">
            <v>1076893.9843169234</v>
          </cell>
          <cell r="BT108">
            <v>1097924.0628138976</v>
          </cell>
          <cell r="BU108">
            <v>1097924.0628138976</v>
          </cell>
          <cell r="BV108">
            <v>1119370.1836825369</v>
          </cell>
          <cell r="BW108">
            <v>1141240.636651393</v>
          </cell>
          <cell r="BX108">
            <v>1141240.636651393</v>
          </cell>
        </row>
        <row r="109">
          <cell r="B109" t="str">
            <v>Debt instruments and securities</v>
          </cell>
          <cell r="C109" t="str">
            <v>DEBT_SECUR</v>
          </cell>
          <cell r="D109" t="str">
            <v>AUD</v>
          </cell>
          <cell r="F109">
            <v>66080</v>
          </cell>
          <cell r="G109">
            <v>87126</v>
          </cell>
          <cell r="H109">
            <v>143168</v>
          </cell>
          <cell r="I109">
            <v>131353</v>
          </cell>
          <cell r="J109">
            <v>150336</v>
          </cell>
          <cell r="K109">
            <v>165659</v>
          </cell>
          <cell r="L109">
            <v>147581</v>
          </cell>
          <cell r="M109">
            <v>144133</v>
          </cell>
          <cell r="N109">
            <v>150098</v>
          </cell>
          <cell r="O109">
            <v>152251</v>
          </cell>
          <cell r="P109">
            <v>152251</v>
          </cell>
          <cell r="Q109">
            <v>168151</v>
          </cell>
          <cell r="R109">
            <v>171054</v>
          </cell>
          <cell r="S109">
            <v>171054</v>
          </cell>
          <cell r="T109">
            <v>165065</v>
          </cell>
          <cell r="U109">
            <v>169902</v>
          </cell>
          <cell r="V109">
            <v>169902</v>
          </cell>
          <cell r="W109">
            <v>167306</v>
          </cell>
          <cell r="X109">
            <v>168356</v>
          </cell>
          <cell r="Y109">
            <v>168356</v>
          </cell>
          <cell r="Z109">
            <v>207219</v>
          </cell>
          <cell r="AA109">
            <v>202885</v>
          </cell>
          <cell r="AB109">
            <v>202885</v>
          </cell>
          <cell r="AC109">
            <v>219661</v>
          </cell>
          <cell r="AD109">
            <v>213959</v>
          </cell>
          <cell r="AE109">
            <v>213959</v>
          </cell>
          <cell r="AF109">
            <v>232559</v>
          </cell>
          <cell r="AG109">
            <v>193500</v>
          </cell>
          <cell r="AH109">
            <v>193500</v>
          </cell>
          <cell r="AI109">
            <v>127850</v>
          </cell>
          <cell r="AJ109">
            <v>128779</v>
          </cell>
          <cell r="AK109">
            <v>128779</v>
          </cell>
          <cell r="AL109">
            <v>133629</v>
          </cell>
          <cell r="AM109">
            <v>144868</v>
          </cell>
          <cell r="AN109">
            <v>144868</v>
          </cell>
          <cell r="AO109">
            <v>148952</v>
          </cell>
          <cell r="AP109">
            <v>156573</v>
          </cell>
          <cell r="AQ109">
            <v>156573</v>
          </cell>
          <cell r="AR109">
            <v>159781</v>
          </cell>
          <cell r="AS109">
            <v>169284</v>
          </cell>
          <cell r="AT109">
            <v>169284</v>
          </cell>
          <cell r="AU109">
            <v>171864</v>
          </cell>
          <cell r="AV109" t="e">
            <v>#N/A</v>
          </cell>
          <cell r="AW109" t="e">
            <v>#N/A</v>
          </cell>
          <cell r="AX109">
            <v>181027.58880618308</v>
          </cell>
          <cell r="AY109">
            <v>188004.69341026305</v>
          </cell>
          <cell r="AZ109">
            <v>188004.69341026305</v>
          </cell>
          <cell r="BA109">
            <v>194646.72748651961</v>
          </cell>
          <cell r="BB109">
            <v>201514.33091360517</v>
          </cell>
          <cell r="BC109">
            <v>201514.33091360517</v>
          </cell>
          <cell r="BD109">
            <v>207357.84162758617</v>
          </cell>
          <cell r="BE109">
            <v>213004.72463052557</v>
          </cell>
          <cell r="BF109">
            <v>213004.72463052557</v>
          </cell>
          <cell r="BG109">
            <v>217425.23173042363</v>
          </cell>
          <cell r="BH109">
            <v>220624.02636202658</v>
          </cell>
          <cell r="BI109">
            <v>220624.02636202658</v>
          </cell>
          <cell r="BJ109">
            <v>221466.05916904472</v>
          </cell>
          <cell r="BK109">
            <v>220437.90458180686</v>
          </cell>
          <cell r="BL109">
            <v>220437.90458180686</v>
          </cell>
          <cell r="BM109">
            <v>225350.69869851042</v>
          </cell>
          <cell r="BN109">
            <v>230410.64035460819</v>
          </cell>
          <cell r="BO109">
            <v>230410.64035460819</v>
          </cell>
          <cell r="BP109">
            <v>235620.09811518155</v>
          </cell>
          <cell r="BQ109">
            <v>241095.42326386529</v>
          </cell>
          <cell r="BR109">
            <v>241095.42326386529</v>
          </cell>
          <cell r="BS109">
            <v>246609.85792674124</v>
          </cell>
          <cell r="BT109">
            <v>252323.33759411261</v>
          </cell>
          <cell r="BU109">
            <v>252323.33759411261</v>
          </cell>
          <cell r="BV109">
            <v>258072.39486870496</v>
          </cell>
          <cell r="BW109">
            <v>264004.97780628223</v>
          </cell>
          <cell r="BX109">
            <v>264004.97780628223</v>
          </cell>
        </row>
        <row r="110">
          <cell r="B110" t="str">
            <v>Other paying liabilities</v>
          </cell>
          <cell r="C110" t="str">
            <v>OTH_PAY_LIABS</v>
          </cell>
          <cell r="D110" t="str">
            <v>AUD</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t="e">
            <v>#N/A</v>
          </cell>
          <cell r="AW110" t="e">
            <v>#N/A</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row>
        <row r="111">
          <cell r="B111" t="str">
            <v>Subordinated liabilities (long-term debt)</v>
          </cell>
          <cell r="C111" t="str">
            <v>SUB_ORD_LIABS</v>
          </cell>
          <cell r="D111" t="str">
            <v>AUD</v>
          </cell>
        </row>
        <row r="112">
          <cell r="B112" t="str">
            <v>Interest bearing liabilities</v>
          </cell>
          <cell r="C112" t="str">
            <v>B_BS_L_PERIOD</v>
          </cell>
          <cell r="D112" t="str">
            <v>AUD</v>
          </cell>
          <cell r="F112">
            <v>245872</v>
          </cell>
          <cell r="G112">
            <v>298313</v>
          </cell>
          <cell r="H112">
            <v>478060</v>
          </cell>
          <cell r="I112">
            <v>470044</v>
          </cell>
          <cell r="J112">
            <v>496619</v>
          </cell>
          <cell r="K112">
            <v>550449</v>
          </cell>
          <cell r="L112">
            <v>550136</v>
          </cell>
          <cell r="M112">
            <v>577451</v>
          </cell>
          <cell r="N112">
            <v>602714</v>
          </cell>
          <cell r="O112">
            <v>631709</v>
          </cell>
          <cell r="P112">
            <v>631709</v>
          </cell>
          <cell r="Q112">
            <v>650315</v>
          </cell>
          <cell r="R112">
            <v>665113</v>
          </cell>
          <cell r="S112">
            <v>665113</v>
          </cell>
          <cell r="T112">
            <v>680516</v>
          </cell>
          <cell r="U112">
            <v>701182</v>
          </cell>
          <cell r="V112">
            <v>701182</v>
          </cell>
          <cell r="W112">
            <v>711209</v>
          </cell>
          <cell r="X112">
            <v>723854</v>
          </cell>
          <cell r="Y112">
            <v>723854</v>
          </cell>
          <cell r="Z112">
            <v>754955</v>
          </cell>
          <cell r="AA112">
            <v>762170</v>
          </cell>
          <cell r="AB112">
            <v>762170</v>
          </cell>
          <cell r="AC112">
            <v>774668</v>
          </cell>
          <cell r="AD112">
            <v>777206</v>
          </cell>
          <cell r="AE112">
            <v>777206</v>
          </cell>
          <cell r="AF112">
            <v>815479</v>
          </cell>
          <cell r="AG112">
            <v>784631</v>
          </cell>
          <cell r="AH112">
            <v>784631</v>
          </cell>
          <cell r="AI112">
            <v>713251</v>
          </cell>
          <cell r="AJ112">
            <v>755734</v>
          </cell>
          <cell r="AK112">
            <v>755734</v>
          </cell>
          <cell r="AL112">
            <v>779235</v>
          </cell>
          <cell r="AM112">
            <v>803997</v>
          </cell>
          <cell r="AN112">
            <v>803997</v>
          </cell>
          <cell r="AO112">
            <v>825304</v>
          </cell>
          <cell r="AP112">
            <v>844207.8683431953</v>
          </cell>
          <cell r="AQ112">
            <v>844207.8683431953</v>
          </cell>
          <cell r="AR112">
            <v>862904.39734176034</v>
          </cell>
          <cell r="AS112">
            <v>889610.85641448875</v>
          </cell>
          <cell r="AT112">
            <v>889610.85641448875</v>
          </cell>
          <cell r="AU112">
            <v>910981.1390100529</v>
          </cell>
          <cell r="AV112" t="e">
            <v>#N/A</v>
          </cell>
          <cell r="AW112" t="e">
            <v>#N/A</v>
          </cell>
          <cell r="AX112">
            <v>969790.57336582092</v>
          </cell>
          <cell r="AY112">
            <v>996010.01553609362</v>
          </cell>
          <cell r="AZ112">
            <v>996010.01553609362</v>
          </cell>
          <cell r="BA112">
            <v>1022754.9283077449</v>
          </cell>
          <cell r="BB112">
            <v>1050225.6482930239</v>
          </cell>
          <cell r="BC112">
            <v>1050225.6482930239</v>
          </cell>
          <cell r="BD112">
            <v>1076438.2306241111</v>
          </cell>
          <cell r="BE112">
            <v>1102943.0429629677</v>
          </cell>
          <cell r="BF112">
            <v>1102943.0429629677</v>
          </cell>
          <cell r="BG112">
            <v>1128722.0697028444</v>
          </cell>
          <cell r="BH112">
            <v>1153791.9884457851</v>
          </cell>
          <cell r="BI112">
            <v>1153791.9884457849</v>
          </cell>
          <cell r="BJ112">
            <v>1177030.0523428137</v>
          </cell>
          <cell r="BK112">
            <v>1198935.4335917463</v>
          </cell>
          <cell r="BL112">
            <v>1198935.433591746</v>
          </cell>
          <cell r="BM112">
            <v>1222124.6212708489</v>
          </cell>
          <cell r="BN112">
            <v>1246630.1654828263</v>
          </cell>
          <cell r="BO112">
            <v>1246630.1654828263</v>
          </cell>
          <cell r="BP112">
            <v>1271669.7032652118</v>
          </cell>
          <cell r="BQ112">
            <v>1297367.2442911088</v>
          </cell>
          <cell r="BR112">
            <v>1297367.2442911088</v>
          </cell>
          <cell r="BS112">
            <v>1323503.8422436647</v>
          </cell>
          <cell r="BT112">
            <v>1350247.4004080102</v>
          </cell>
          <cell r="BU112">
            <v>1350247.4004080102</v>
          </cell>
          <cell r="BV112">
            <v>1377442.5785512421</v>
          </cell>
          <cell r="BW112">
            <v>1405245.6144576753</v>
          </cell>
          <cell r="BX112">
            <v>1405245.6144576753</v>
          </cell>
        </row>
        <row r="113">
          <cell r="B113" t="str">
            <v>Preference share capital, non-equity</v>
          </cell>
          <cell r="C113" t="str">
            <v>PREF_SHARE_CAP</v>
          </cell>
          <cell r="D113" t="str">
            <v>AUD</v>
          </cell>
        </row>
        <row r="114">
          <cell r="B114" t="str">
            <v>Provisions for liabilities &amp; charges</v>
          </cell>
          <cell r="C114" t="str">
            <v>PROV_BS</v>
          </cell>
          <cell r="D114" t="str">
            <v>AUD</v>
          </cell>
          <cell r="F114">
            <v>868</v>
          </cell>
          <cell r="G114">
            <v>980</v>
          </cell>
          <cell r="H114">
            <v>1106</v>
          </cell>
          <cell r="I114">
            <v>1628</v>
          </cell>
          <cell r="J114">
            <v>1726</v>
          </cell>
          <cell r="K114">
            <v>1671</v>
          </cell>
          <cell r="L114">
            <v>1935</v>
          </cell>
          <cell r="M114">
            <v>1576</v>
          </cell>
          <cell r="N114">
            <v>1364</v>
          </cell>
          <cell r="O114">
            <v>1618</v>
          </cell>
          <cell r="P114">
            <v>1618</v>
          </cell>
          <cell r="Q114">
            <v>1320</v>
          </cell>
          <cell r="R114">
            <v>1489</v>
          </cell>
          <cell r="S114">
            <v>1489</v>
          </cell>
          <cell r="T114">
            <v>1216</v>
          </cell>
          <cell r="U114">
            <v>1420</v>
          </cell>
          <cell r="V114">
            <v>1420</v>
          </cell>
          <cell r="W114">
            <v>1187</v>
          </cell>
          <cell r="X114">
            <v>1639</v>
          </cell>
          <cell r="Y114">
            <v>1639</v>
          </cell>
          <cell r="Z114">
            <v>1416</v>
          </cell>
          <cell r="AA114">
            <v>1928</v>
          </cell>
          <cell r="AB114">
            <v>1928</v>
          </cell>
          <cell r="AC114">
            <v>2764</v>
          </cell>
          <cell r="AD114">
            <v>3169</v>
          </cell>
          <cell r="AE114">
            <v>3169</v>
          </cell>
          <cell r="AF114">
            <v>4669</v>
          </cell>
          <cell r="AG114">
            <v>5287</v>
          </cell>
          <cell r="AH114">
            <v>5287</v>
          </cell>
          <cell r="AI114">
            <v>3820</v>
          </cell>
          <cell r="AJ114">
            <v>3571</v>
          </cell>
          <cell r="AK114">
            <v>3571</v>
          </cell>
          <cell r="AL114">
            <v>3035</v>
          </cell>
          <cell r="AM114">
            <v>2950</v>
          </cell>
          <cell r="AN114">
            <v>2950</v>
          </cell>
          <cell r="AO114">
            <v>2424</v>
          </cell>
          <cell r="AP114">
            <v>2777</v>
          </cell>
          <cell r="AQ114">
            <v>2777</v>
          </cell>
          <cell r="AR114">
            <v>2414</v>
          </cell>
          <cell r="AS114">
            <v>2505</v>
          </cell>
          <cell r="AT114">
            <v>2505</v>
          </cell>
          <cell r="AU114">
            <v>2254</v>
          </cell>
          <cell r="AV114" t="e">
            <v>#N/A</v>
          </cell>
          <cell r="AW114" t="e">
            <v>#N/A</v>
          </cell>
          <cell r="AX114">
            <v>2714.3213069213261</v>
          </cell>
          <cell r="AY114">
            <v>2787.7062134082621</v>
          </cell>
          <cell r="AZ114">
            <v>2787.7062134082621</v>
          </cell>
          <cell r="BA114">
            <v>2862.5618457288515</v>
          </cell>
          <cell r="BB114">
            <v>2939.4489207534361</v>
          </cell>
          <cell r="BC114">
            <v>2939.4489207534361</v>
          </cell>
          <cell r="BD114">
            <v>3012.8146274170549</v>
          </cell>
          <cell r="BE114">
            <v>3086.9982489567242</v>
          </cell>
          <cell r="BF114">
            <v>3086.9982489567242</v>
          </cell>
          <cell r="BG114">
            <v>3159.1504882890686</v>
          </cell>
          <cell r="BH114">
            <v>3229.3180239154244</v>
          </cell>
          <cell r="BI114">
            <v>3229.3180239154244</v>
          </cell>
          <cell r="BJ114">
            <v>3294.3584292355017</v>
          </cell>
          <cell r="BK114">
            <v>3355.6688241735064</v>
          </cell>
          <cell r="BL114">
            <v>3355.6688241735064</v>
          </cell>
          <cell r="BM114">
            <v>3420.572431133854</v>
          </cell>
          <cell r="BN114">
            <v>3489.1603537421529</v>
          </cell>
          <cell r="BO114">
            <v>3489.1603537421529</v>
          </cell>
          <cell r="BP114">
            <v>3559.2428568977621</v>
          </cell>
          <cell r="BQ114">
            <v>3631.1670280102885</v>
          </cell>
          <cell r="BR114">
            <v>3631.1670280102885</v>
          </cell>
          <cell r="BS114">
            <v>3704.3200639970564</v>
          </cell>
          <cell r="BT114">
            <v>3779.1719049429166</v>
          </cell>
          <cell r="BU114">
            <v>3779.1719049429166</v>
          </cell>
          <cell r="BV114">
            <v>3855.287773159188</v>
          </cell>
          <cell r="BW114">
            <v>3933.1049584675702</v>
          </cell>
          <cell r="BX114">
            <v>3933.1049584675702</v>
          </cell>
        </row>
        <row r="115">
          <cell r="B115" t="str">
            <v>Accruals &amp; deferred income</v>
          </cell>
          <cell r="C115" t="str">
            <v>ACCRUAL</v>
          </cell>
          <cell r="D115" t="str">
            <v>AUD</v>
          </cell>
        </row>
        <row r="116">
          <cell r="B116" t="str">
            <v>Current lease liabilities (op lease: US GAAP)</v>
          </cell>
          <cell r="C116" t="str">
            <v>ST_LEASE_LIAB</v>
          </cell>
          <cell r="D116" t="str">
            <v>AUD</v>
          </cell>
        </row>
        <row r="117">
          <cell r="B117" t="str">
            <v>Non-current lease liabilities (op lease: US GAAP)</v>
          </cell>
          <cell r="C117" t="str">
            <v>LT_LEASE_LIAB</v>
          </cell>
          <cell r="D117" t="str">
            <v>AUD</v>
          </cell>
        </row>
        <row r="118">
          <cell r="B118" t="str">
            <v>Life assurance liabilities attributable to policyholders</v>
          </cell>
          <cell r="C118" t="str">
            <v>LIFE_POLICY_LIABS</v>
          </cell>
          <cell r="D118" t="str">
            <v>AUD</v>
          </cell>
        </row>
        <row r="119">
          <cell r="B119" t="str">
            <v>Other liabilities</v>
          </cell>
          <cell r="C119" t="str">
            <v>OTH_LIABS</v>
          </cell>
          <cell r="D119" t="str">
            <v>AUD</v>
          </cell>
          <cell r="F119">
            <v>36740</v>
          </cell>
          <cell r="G119">
            <v>57697</v>
          </cell>
          <cell r="H119">
            <v>88477</v>
          </cell>
          <cell r="I119">
            <v>81344</v>
          </cell>
          <cell r="J119">
            <v>79814</v>
          </cell>
          <cell r="K119">
            <v>74300</v>
          </cell>
          <cell r="L119">
            <v>76675</v>
          </cell>
          <cell r="M119">
            <v>74533</v>
          </cell>
          <cell r="N119">
            <v>77266</v>
          </cell>
          <cell r="O119">
            <v>88178</v>
          </cell>
          <cell r="P119">
            <v>88178</v>
          </cell>
          <cell r="Q119">
            <v>94009</v>
          </cell>
          <cell r="R119">
            <v>91639</v>
          </cell>
          <cell r="S119">
            <v>91639</v>
          </cell>
          <cell r="T119">
            <v>92047</v>
          </cell>
          <cell r="U119">
            <v>78419</v>
          </cell>
          <cell r="V119">
            <v>78419</v>
          </cell>
          <cell r="W119">
            <v>68225</v>
          </cell>
          <cell r="X119">
            <v>65040</v>
          </cell>
          <cell r="Y119">
            <v>65040</v>
          </cell>
          <cell r="Z119">
            <v>52819</v>
          </cell>
          <cell r="AA119">
            <v>50921</v>
          </cell>
          <cell r="AB119">
            <v>50921</v>
          </cell>
          <cell r="AC119">
            <v>49695</v>
          </cell>
          <cell r="AD119">
            <v>60744</v>
          </cell>
          <cell r="AE119">
            <v>60744</v>
          </cell>
          <cell r="AF119">
            <v>79868</v>
          </cell>
          <cell r="AG119">
            <v>53954</v>
          </cell>
          <cell r="AH119">
            <v>53954</v>
          </cell>
          <cell r="AI119">
            <v>100327</v>
          </cell>
          <cell r="AJ119">
            <v>104480</v>
          </cell>
          <cell r="AK119">
            <v>104480</v>
          </cell>
          <cell r="AL119">
            <v>112146</v>
          </cell>
          <cell r="AM119">
            <v>136742</v>
          </cell>
          <cell r="AN119">
            <v>136742</v>
          </cell>
          <cell r="AO119">
            <v>118712</v>
          </cell>
          <cell r="AP119">
            <v>110250.1316568047</v>
          </cell>
          <cell r="AQ119">
            <v>110250.1316568047</v>
          </cell>
          <cell r="AR119">
            <v>114782.60265823966</v>
          </cell>
          <cell r="AS119">
            <v>113376.14358551125</v>
          </cell>
          <cell r="AT119">
            <v>113376.14358551125</v>
          </cell>
          <cell r="AU119">
            <v>113605.8609899471</v>
          </cell>
          <cell r="AV119" t="e">
            <v>#N/A</v>
          </cell>
          <cell r="AW119" t="e">
            <v>#N/A</v>
          </cell>
          <cell r="AX119">
            <v>120978.98028321324</v>
          </cell>
          <cell r="AY119">
            <v>124249.79097623257</v>
          </cell>
          <cell r="AZ119">
            <v>124249.79097623257</v>
          </cell>
          <cell r="BA119">
            <v>127586.15282974934</v>
          </cell>
          <cell r="BB119">
            <v>131013.05734164866</v>
          </cell>
          <cell r="BC119">
            <v>131013.05734164866</v>
          </cell>
          <cell r="BD119">
            <v>134283.0122866618</v>
          </cell>
          <cell r="BE119">
            <v>137589.42220382977</v>
          </cell>
          <cell r="BF119">
            <v>137589.42220382977</v>
          </cell>
          <cell r="BG119">
            <v>140805.29215898924</v>
          </cell>
          <cell r="BH119">
            <v>143932.70264182956</v>
          </cell>
          <cell r="BI119">
            <v>143932.70264182956</v>
          </cell>
          <cell r="BJ119">
            <v>146831.5937542287</v>
          </cell>
          <cell r="BK119">
            <v>149564.23599575236</v>
          </cell>
          <cell r="BL119">
            <v>149564.23599575236</v>
          </cell>
          <cell r="BM119">
            <v>152457.02992060696</v>
          </cell>
          <cell r="BN119">
            <v>155514.03607376112</v>
          </cell>
          <cell r="BO119">
            <v>155514.03607376112</v>
          </cell>
          <cell r="BP119">
            <v>158637.6566067618</v>
          </cell>
          <cell r="BQ119">
            <v>161843.36142023435</v>
          </cell>
          <cell r="BR119">
            <v>161843.36142023435</v>
          </cell>
          <cell r="BS119">
            <v>165103.8375015787</v>
          </cell>
          <cell r="BT119">
            <v>168440.03037117765</v>
          </cell>
          <cell r="BU119">
            <v>168440.03037117765</v>
          </cell>
          <cell r="BV119">
            <v>171832.56171840435</v>
          </cell>
          <cell r="BW119">
            <v>175300.92182120879</v>
          </cell>
          <cell r="BX119">
            <v>175300.92182120879</v>
          </cell>
        </row>
        <row r="120">
          <cell r="B120" t="str">
            <v>Total liabilities</v>
          </cell>
          <cell r="C120" t="str">
            <v>TOT_LIAB</v>
          </cell>
          <cell r="D120" t="str">
            <v>AUD</v>
          </cell>
          <cell r="F120">
            <v>283480</v>
          </cell>
          <cell r="G120">
            <v>356990</v>
          </cell>
          <cell r="H120">
            <v>567643</v>
          </cell>
          <cell r="I120">
            <v>553016</v>
          </cell>
          <cell r="J120">
            <v>578159</v>
          </cell>
          <cell r="K120">
            <v>626420</v>
          </cell>
          <cell r="L120">
            <v>628746</v>
          </cell>
          <cell r="M120">
            <v>653560</v>
          </cell>
          <cell r="N120">
            <v>681344</v>
          </cell>
          <cell r="O120">
            <v>721505</v>
          </cell>
          <cell r="P120">
            <v>721505</v>
          </cell>
          <cell r="Q120">
            <v>745644</v>
          </cell>
          <cell r="R120">
            <v>758241</v>
          </cell>
          <cell r="S120">
            <v>758241</v>
          </cell>
          <cell r="T120">
            <v>773779</v>
          </cell>
          <cell r="U120">
            <v>781021</v>
          </cell>
          <cell r="V120">
            <v>781021</v>
          </cell>
          <cell r="W120">
            <v>780621</v>
          </cell>
          <cell r="X120">
            <v>790533</v>
          </cell>
          <cell r="Y120">
            <v>790533</v>
          </cell>
          <cell r="Z120">
            <v>809190</v>
          </cell>
          <cell r="AA120">
            <v>815019</v>
          </cell>
          <cell r="AB120">
            <v>815019</v>
          </cell>
          <cell r="AC120">
            <v>827127</v>
          </cell>
          <cell r="AD120">
            <v>841119</v>
          </cell>
          <cell r="AE120">
            <v>841119</v>
          </cell>
          <cell r="AF120">
            <v>900016</v>
          </cell>
          <cell r="AG120">
            <v>843872</v>
          </cell>
          <cell r="AH120">
            <v>843872</v>
          </cell>
          <cell r="AI120">
            <v>817398</v>
          </cell>
          <cell r="AJ120">
            <v>863785</v>
          </cell>
          <cell r="AK120">
            <v>863785</v>
          </cell>
          <cell r="AL120">
            <v>894416</v>
          </cell>
          <cell r="AM120">
            <v>943689</v>
          </cell>
          <cell r="AN120">
            <v>943689</v>
          </cell>
          <cell r="AO120">
            <v>946440</v>
          </cell>
          <cell r="AP120">
            <v>957235</v>
          </cell>
          <cell r="AQ120">
            <v>957235</v>
          </cell>
          <cell r="AR120">
            <v>980101</v>
          </cell>
          <cell r="AS120">
            <v>1005492</v>
          </cell>
          <cell r="AT120">
            <v>1005492</v>
          </cell>
          <cell r="AU120">
            <v>1026841</v>
          </cell>
          <cell r="AV120" t="e">
            <v>#N/A</v>
          </cell>
          <cell r="AW120" t="e">
            <v>#N/A</v>
          </cell>
          <cell r="AX120">
            <v>1093483.8749559554</v>
          </cell>
          <cell r="AY120">
            <v>1123047.5127257344</v>
          </cell>
          <cell r="AZ120">
            <v>1123047.5127257344</v>
          </cell>
          <cell r="BA120">
            <v>1153203.6429832231</v>
          </cell>
          <cell r="BB120">
            <v>1184178.1545554262</v>
          </cell>
          <cell r="BC120">
            <v>1184178.1545554262</v>
          </cell>
          <cell r="BD120">
            <v>1213734.0575381902</v>
          </cell>
          <cell r="BE120">
            <v>1243619.463415754</v>
          </cell>
          <cell r="BF120">
            <v>1243619.463415754</v>
          </cell>
          <cell r="BG120">
            <v>1272686.5123501227</v>
          </cell>
          <cell r="BH120">
            <v>1300954.0091115301</v>
          </cell>
          <cell r="BI120">
            <v>1300954.0091115299</v>
          </cell>
          <cell r="BJ120">
            <v>1327156.0045262778</v>
          </cell>
          <cell r="BK120">
            <v>1351855.338411672</v>
          </cell>
          <cell r="BL120">
            <v>1351855.3384116718</v>
          </cell>
          <cell r="BM120">
            <v>1378002.2236225896</v>
          </cell>
          <cell r="BN120">
            <v>1405633.3619103294</v>
          </cell>
          <cell r="BO120">
            <v>1405633.3619103294</v>
          </cell>
          <cell r="BP120">
            <v>1433866.6027288712</v>
          </cell>
          <cell r="BQ120">
            <v>1462841.7727393536</v>
          </cell>
          <cell r="BR120">
            <v>1462841.7727393536</v>
          </cell>
          <cell r="BS120">
            <v>1492311.9998092405</v>
          </cell>
          <cell r="BT120">
            <v>1522466.6026841309</v>
          </cell>
          <cell r="BU120">
            <v>1522466.6026841309</v>
          </cell>
          <cell r="BV120">
            <v>1553130.4280428055</v>
          </cell>
          <cell r="BW120">
            <v>1584479.6412373516</v>
          </cell>
          <cell r="BX120">
            <v>1584479.6412373516</v>
          </cell>
        </row>
        <row r="121">
          <cell r="B121" t="str">
            <v>Preferred shares</v>
          </cell>
          <cell r="C121" t="str">
            <v>PREF_SH</v>
          </cell>
          <cell r="D121" t="str">
            <v>AUD</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339</v>
          </cell>
          <cell r="AT121">
            <v>339</v>
          </cell>
          <cell r="AU121">
            <v>0</v>
          </cell>
          <cell r="AV121" t="e">
            <v>#N/A</v>
          </cell>
          <cell r="AW121" t="e">
            <v>#N/A</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row>
        <row r="122">
          <cell r="B122" t="str">
            <v>Total common equity</v>
          </cell>
          <cell r="C122" t="str">
            <v>ORD_SH_FUND</v>
          </cell>
          <cell r="D122" t="str">
            <v>AUD</v>
          </cell>
          <cell r="F122">
            <v>14186</v>
          </cell>
          <cell r="G122">
            <v>15919</v>
          </cell>
          <cell r="H122">
            <v>17547</v>
          </cell>
          <cell r="I122">
            <v>34637</v>
          </cell>
          <cell r="J122">
            <v>38189</v>
          </cell>
          <cell r="K122">
            <v>41826</v>
          </cell>
          <cell r="L122">
            <v>44249</v>
          </cell>
          <cell r="M122">
            <v>46674</v>
          </cell>
          <cell r="N122">
            <v>47165</v>
          </cell>
          <cell r="O122">
            <v>48456</v>
          </cell>
          <cell r="P122">
            <v>48456</v>
          </cell>
          <cell r="Q122">
            <v>49405</v>
          </cell>
          <cell r="R122">
            <v>53098</v>
          </cell>
          <cell r="S122">
            <v>53098</v>
          </cell>
          <cell r="T122">
            <v>57171</v>
          </cell>
          <cell r="U122">
            <v>58120</v>
          </cell>
          <cell r="V122">
            <v>58120</v>
          </cell>
          <cell r="W122">
            <v>59315</v>
          </cell>
          <cell r="X122">
            <v>61288</v>
          </cell>
          <cell r="Y122">
            <v>61288</v>
          </cell>
          <cell r="Z122">
            <v>62615</v>
          </cell>
          <cell r="AA122">
            <v>64521</v>
          </cell>
          <cell r="AB122">
            <v>64521</v>
          </cell>
          <cell r="AC122">
            <v>63884</v>
          </cell>
          <cell r="AD122">
            <v>65454</v>
          </cell>
          <cell r="AE122">
            <v>65454</v>
          </cell>
          <cell r="AF122">
            <v>67590</v>
          </cell>
          <cell r="AG122">
            <v>68023</v>
          </cell>
          <cell r="AH122">
            <v>68023</v>
          </cell>
          <cell r="AI122">
            <v>72012</v>
          </cell>
          <cell r="AJ122">
            <v>72035</v>
          </cell>
          <cell r="AK122">
            <v>72035</v>
          </cell>
          <cell r="AL122">
            <v>70279</v>
          </cell>
          <cell r="AM122">
            <v>70452</v>
          </cell>
          <cell r="AN122">
            <v>70452</v>
          </cell>
          <cell r="AO122">
            <v>72624</v>
          </cell>
          <cell r="AP122">
            <v>72539</v>
          </cell>
          <cell r="AQ122">
            <v>72539</v>
          </cell>
          <cell r="AR122">
            <v>72560</v>
          </cell>
          <cell r="AS122">
            <v>71713</v>
          </cell>
          <cell r="AT122">
            <v>71713</v>
          </cell>
          <cell r="AU122">
            <v>72052</v>
          </cell>
          <cell r="AV122" t="e">
            <v>#N/A</v>
          </cell>
          <cell r="AW122" t="e">
            <v>#N/A</v>
          </cell>
          <cell r="AX122">
            <v>74114.652339469219</v>
          </cell>
          <cell r="AY122">
            <v>74422.630357905931</v>
          </cell>
          <cell r="AZ122">
            <v>74422.630357905931</v>
          </cell>
          <cell r="BA122">
            <v>74663.910326716621</v>
          </cell>
          <cell r="BB122">
            <v>74965.612582219343</v>
          </cell>
          <cell r="BC122">
            <v>74965.612582219343</v>
          </cell>
          <cell r="BD122">
            <v>75326.749549741129</v>
          </cell>
          <cell r="BE122">
            <v>75651.224442572784</v>
          </cell>
          <cell r="BF122">
            <v>75651.224442572799</v>
          </cell>
          <cell r="BG122">
            <v>76078.549606753455</v>
          </cell>
          <cell r="BH122">
            <v>76514.303820831352</v>
          </cell>
          <cell r="BI122">
            <v>76514.303820831381</v>
          </cell>
          <cell r="BJ122">
            <v>77647.358714097165</v>
          </cell>
          <cell r="BK122">
            <v>78779.090625402619</v>
          </cell>
          <cell r="BL122">
            <v>78779.090625402663</v>
          </cell>
          <cell r="BM122">
            <v>79889.819776992008</v>
          </cell>
          <cell r="BN122">
            <v>80914.818910864706</v>
          </cell>
          <cell r="BO122">
            <v>80914.818910864749</v>
          </cell>
          <cell r="BP122">
            <v>81906.49452547192</v>
          </cell>
          <cell r="BQ122">
            <v>82736.371491619648</v>
          </cell>
          <cell r="BR122">
            <v>82736.371491619677</v>
          </cell>
          <cell r="BS122">
            <v>83662.900724077655</v>
          </cell>
          <cell r="BT122">
            <v>84508.574067068359</v>
          </cell>
          <cell r="BU122">
            <v>84508.574067068374</v>
          </cell>
          <cell r="BV122">
            <v>85460.591887996823</v>
          </cell>
          <cell r="BW122">
            <v>86355.077079428214</v>
          </cell>
          <cell r="BX122">
            <v>86355.077079428214</v>
          </cell>
        </row>
        <row r="123">
          <cell r="B123" t="str">
            <v>Minority interest</v>
          </cell>
          <cell r="C123" t="str">
            <v>MINOR_EQUITY_BS</v>
          </cell>
          <cell r="D123" t="str">
            <v>AUD</v>
          </cell>
          <cell r="F123">
            <v>1912</v>
          </cell>
          <cell r="G123">
            <v>1912</v>
          </cell>
          <cell r="H123">
            <v>1924</v>
          </cell>
          <cell r="I123">
            <v>1934</v>
          </cell>
          <cell r="J123">
            <v>1929</v>
          </cell>
          <cell r="K123">
            <v>1982</v>
          </cell>
          <cell r="L123">
            <v>1970</v>
          </cell>
          <cell r="M123">
            <v>863</v>
          </cell>
          <cell r="N123">
            <v>866</v>
          </cell>
          <cell r="O123">
            <v>881</v>
          </cell>
          <cell r="P123">
            <v>881</v>
          </cell>
          <cell r="Q123">
            <v>912</v>
          </cell>
          <cell r="R123">
            <v>817</v>
          </cell>
          <cell r="S123">
            <v>817</v>
          </cell>
          <cell r="T123">
            <v>810</v>
          </cell>
          <cell r="U123">
            <v>61</v>
          </cell>
          <cell r="V123">
            <v>61</v>
          </cell>
          <cell r="W123">
            <v>57</v>
          </cell>
          <cell r="X123">
            <v>54</v>
          </cell>
          <cell r="Y123">
            <v>54</v>
          </cell>
          <cell r="Z123">
            <v>50</v>
          </cell>
          <cell r="AA123">
            <v>52</v>
          </cell>
          <cell r="AB123">
            <v>52</v>
          </cell>
          <cell r="AC123">
            <v>51</v>
          </cell>
          <cell r="AD123">
            <v>53</v>
          </cell>
          <cell r="AE123">
            <v>53</v>
          </cell>
          <cell r="AF123">
            <v>56</v>
          </cell>
          <cell r="AG123">
            <v>51</v>
          </cell>
          <cell r="AH123">
            <v>51</v>
          </cell>
          <cell r="AI123">
            <v>49</v>
          </cell>
          <cell r="AJ123">
            <v>57</v>
          </cell>
          <cell r="AK123">
            <v>57</v>
          </cell>
          <cell r="AL123">
            <v>54</v>
          </cell>
          <cell r="AM123">
            <v>57</v>
          </cell>
          <cell r="AN123">
            <v>57</v>
          </cell>
          <cell r="AO123">
            <v>44</v>
          </cell>
          <cell r="AP123">
            <v>0</v>
          </cell>
          <cell r="AQ123">
            <v>0</v>
          </cell>
          <cell r="AR123">
            <v>0</v>
          </cell>
          <cell r="AS123">
            <v>0</v>
          </cell>
          <cell r="AT123">
            <v>0</v>
          </cell>
          <cell r="AU123">
            <v>0</v>
          </cell>
          <cell r="AV123" t="e">
            <v>#N/A</v>
          </cell>
          <cell r="AW123" t="e">
            <v>#N/A</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row>
        <row r="124">
          <cell r="B124" t="str">
            <v>Minority interest</v>
          </cell>
          <cell r="C124" t="str">
            <v>MINORITIES</v>
          </cell>
          <cell r="D124" t="str">
            <v>AUD</v>
          </cell>
          <cell r="F124">
            <v>1912</v>
          </cell>
          <cell r="G124">
            <v>1912</v>
          </cell>
          <cell r="H124">
            <v>1924</v>
          </cell>
          <cell r="I124">
            <v>1934</v>
          </cell>
          <cell r="J124">
            <v>1929</v>
          </cell>
          <cell r="K124">
            <v>1982</v>
          </cell>
          <cell r="L124">
            <v>1970</v>
          </cell>
          <cell r="M124">
            <v>863</v>
          </cell>
          <cell r="N124">
            <v>866</v>
          </cell>
          <cell r="O124">
            <v>881</v>
          </cell>
          <cell r="P124">
            <v>881</v>
          </cell>
          <cell r="Q124">
            <v>912</v>
          </cell>
          <cell r="R124">
            <v>817</v>
          </cell>
          <cell r="S124">
            <v>817</v>
          </cell>
          <cell r="T124">
            <v>810</v>
          </cell>
          <cell r="U124">
            <v>61</v>
          </cell>
          <cell r="V124">
            <v>61</v>
          </cell>
          <cell r="W124">
            <v>57</v>
          </cell>
          <cell r="X124">
            <v>54</v>
          </cell>
          <cell r="Y124">
            <v>54</v>
          </cell>
          <cell r="Z124">
            <v>50</v>
          </cell>
          <cell r="AA124">
            <v>52</v>
          </cell>
          <cell r="AB124">
            <v>52</v>
          </cell>
          <cell r="AC124">
            <v>51</v>
          </cell>
          <cell r="AD124">
            <v>53</v>
          </cell>
          <cell r="AE124">
            <v>53</v>
          </cell>
          <cell r="AF124">
            <v>56</v>
          </cell>
          <cell r="AG124">
            <v>51</v>
          </cell>
          <cell r="AH124">
            <v>51</v>
          </cell>
          <cell r="AI124">
            <v>49</v>
          </cell>
          <cell r="AJ124">
            <v>57</v>
          </cell>
          <cell r="AK124">
            <v>57</v>
          </cell>
          <cell r="AL124">
            <v>54</v>
          </cell>
          <cell r="AM124">
            <v>57</v>
          </cell>
          <cell r="AN124">
            <v>57</v>
          </cell>
          <cell r="AO124">
            <v>44</v>
          </cell>
          <cell r="AP124">
            <v>0</v>
          </cell>
          <cell r="AQ124">
            <v>0</v>
          </cell>
          <cell r="AR124">
            <v>0</v>
          </cell>
          <cell r="AS124">
            <v>0</v>
          </cell>
          <cell r="AT124">
            <v>0</v>
          </cell>
          <cell r="AU124">
            <v>0</v>
          </cell>
          <cell r="AV124" t="e">
            <v>#N/A</v>
          </cell>
          <cell r="AW124" t="e">
            <v>#N/A</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row>
        <row r="125">
          <cell r="B125" t="str">
            <v>Total shareholders' equity</v>
          </cell>
          <cell r="C125" t="str">
            <v>EQ</v>
          </cell>
          <cell r="D125" t="str">
            <v>AUD</v>
          </cell>
          <cell r="F125">
            <v>16098</v>
          </cell>
          <cell r="G125">
            <v>17831</v>
          </cell>
          <cell r="H125">
            <v>19471</v>
          </cell>
          <cell r="I125">
            <v>36571</v>
          </cell>
          <cell r="J125">
            <v>40118</v>
          </cell>
          <cell r="K125">
            <v>43808</v>
          </cell>
          <cell r="L125">
            <v>46219</v>
          </cell>
          <cell r="M125">
            <v>47537</v>
          </cell>
          <cell r="N125">
            <v>48031</v>
          </cell>
          <cell r="O125">
            <v>49337</v>
          </cell>
          <cell r="P125">
            <v>49337</v>
          </cell>
          <cell r="Q125">
            <v>50317</v>
          </cell>
          <cell r="R125">
            <v>53915</v>
          </cell>
          <cell r="S125">
            <v>53915</v>
          </cell>
          <cell r="T125">
            <v>57981</v>
          </cell>
          <cell r="U125">
            <v>58181</v>
          </cell>
          <cell r="V125">
            <v>58181</v>
          </cell>
          <cell r="W125">
            <v>59372</v>
          </cell>
          <cell r="X125">
            <v>61342</v>
          </cell>
          <cell r="Y125">
            <v>61342</v>
          </cell>
          <cell r="Z125">
            <v>62665</v>
          </cell>
          <cell r="AA125">
            <v>64573</v>
          </cell>
          <cell r="AB125">
            <v>64573</v>
          </cell>
          <cell r="AC125">
            <v>63935</v>
          </cell>
          <cell r="AD125">
            <v>65507</v>
          </cell>
          <cell r="AE125">
            <v>65507</v>
          </cell>
          <cell r="AF125">
            <v>67646</v>
          </cell>
          <cell r="AG125">
            <v>68074</v>
          </cell>
          <cell r="AH125">
            <v>68074</v>
          </cell>
          <cell r="AI125">
            <v>72061</v>
          </cell>
          <cell r="AJ125">
            <v>72092</v>
          </cell>
          <cell r="AK125">
            <v>72092</v>
          </cell>
          <cell r="AL125">
            <v>70333</v>
          </cell>
          <cell r="AM125">
            <v>70509</v>
          </cell>
          <cell r="AN125">
            <v>70509</v>
          </cell>
          <cell r="AO125">
            <v>72668</v>
          </cell>
          <cell r="AP125">
            <v>72539</v>
          </cell>
          <cell r="AQ125">
            <v>72539</v>
          </cell>
          <cell r="AR125">
            <v>72560</v>
          </cell>
          <cell r="AS125">
            <v>72052</v>
          </cell>
          <cell r="AT125">
            <v>72052</v>
          </cell>
          <cell r="AU125">
            <v>72052</v>
          </cell>
          <cell r="AV125" t="e">
            <v>#N/A</v>
          </cell>
          <cell r="AW125" t="e">
            <v>#N/A</v>
          </cell>
          <cell r="AX125">
            <v>74114.652339469219</v>
          </cell>
          <cell r="AY125">
            <v>74422.630357905931</v>
          </cell>
          <cell r="AZ125">
            <v>74422.630357905931</v>
          </cell>
          <cell r="BA125">
            <v>74663.910326716621</v>
          </cell>
          <cell r="BB125">
            <v>74965.612582219343</v>
          </cell>
          <cell r="BC125">
            <v>74965.612582219343</v>
          </cell>
          <cell r="BD125">
            <v>75326.749549741129</v>
          </cell>
          <cell r="BE125">
            <v>75651.224442572784</v>
          </cell>
          <cell r="BF125">
            <v>75651.224442572799</v>
          </cell>
          <cell r="BG125">
            <v>76078.549606753455</v>
          </cell>
          <cell r="BH125">
            <v>76514.303820831352</v>
          </cell>
          <cell r="BI125">
            <v>76514.303820831381</v>
          </cell>
          <cell r="BJ125">
            <v>77647.358714097165</v>
          </cell>
          <cell r="BK125">
            <v>78779.090625402619</v>
          </cell>
          <cell r="BL125">
            <v>78779.090625402663</v>
          </cell>
          <cell r="BM125">
            <v>79889.819776992008</v>
          </cell>
          <cell r="BN125">
            <v>80914.818910864706</v>
          </cell>
          <cell r="BO125">
            <v>80914.818910864749</v>
          </cell>
          <cell r="BP125">
            <v>81906.49452547192</v>
          </cell>
          <cell r="BQ125">
            <v>82736.371491619648</v>
          </cell>
          <cell r="BR125">
            <v>82736.371491619677</v>
          </cell>
          <cell r="BS125">
            <v>83662.900724077655</v>
          </cell>
          <cell r="BT125">
            <v>84508.574067068359</v>
          </cell>
          <cell r="BU125">
            <v>84508.574067068374</v>
          </cell>
          <cell r="BV125">
            <v>85460.591887996823</v>
          </cell>
          <cell r="BW125">
            <v>86355.077079428214</v>
          </cell>
          <cell r="BX125">
            <v>86355.077079428214</v>
          </cell>
        </row>
        <row r="126">
          <cell r="B126" t="str">
            <v>Total liabilities and equity</v>
          </cell>
          <cell r="C126" t="str">
            <v>TOT_LIAB_EQ</v>
          </cell>
          <cell r="D126" t="str">
            <v>AUD</v>
          </cell>
          <cell r="F126">
            <v>299578</v>
          </cell>
          <cell r="G126">
            <v>374821</v>
          </cell>
          <cell r="H126">
            <v>587114</v>
          </cell>
          <cell r="I126">
            <v>589587</v>
          </cell>
          <cell r="J126">
            <v>618277</v>
          </cell>
          <cell r="K126">
            <v>670228</v>
          </cell>
          <cell r="L126">
            <v>674965</v>
          </cell>
          <cell r="M126">
            <v>701097</v>
          </cell>
          <cell r="N126">
            <v>729375</v>
          </cell>
          <cell r="O126">
            <v>770842</v>
          </cell>
          <cell r="P126">
            <v>770842</v>
          </cell>
          <cell r="Q126">
            <v>795961</v>
          </cell>
          <cell r="R126">
            <v>812156</v>
          </cell>
          <cell r="S126">
            <v>812156</v>
          </cell>
          <cell r="T126">
            <v>831760</v>
          </cell>
          <cell r="U126">
            <v>839202</v>
          </cell>
          <cell r="V126">
            <v>839202</v>
          </cell>
          <cell r="W126">
            <v>839993</v>
          </cell>
          <cell r="X126">
            <v>851875</v>
          </cell>
          <cell r="Y126">
            <v>851875</v>
          </cell>
          <cell r="Z126">
            <v>871855</v>
          </cell>
          <cell r="AA126">
            <v>879592</v>
          </cell>
          <cell r="AB126">
            <v>879592</v>
          </cell>
          <cell r="AC126">
            <v>891062</v>
          </cell>
          <cell r="AD126">
            <v>906626</v>
          </cell>
          <cell r="AE126">
            <v>906626</v>
          </cell>
          <cell r="AF126">
            <v>967662</v>
          </cell>
          <cell r="AG126">
            <v>911946</v>
          </cell>
          <cell r="AH126">
            <v>911946</v>
          </cell>
          <cell r="AI126">
            <v>889459</v>
          </cell>
          <cell r="AJ126">
            <v>935877</v>
          </cell>
          <cell r="AK126">
            <v>935877</v>
          </cell>
          <cell r="AL126">
            <v>964749</v>
          </cell>
          <cell r="AM126">
            <v>1014198</v>
          </cell>
          <cell r="AN126">
            <v>1014198</v>
          </cell>
          <cell r="AO126">
            <v>1019108</v>
          </cell>
          <cell r="AP126">
            <v>1029774</v>
          </cell>
          <cell r="AQ126">
            <v>1029774</v>
          </cell>
          <cell r="AR126">
            <v>1052661</v>
          </cell>
          <cell r="AS126">
            <v>1077544</v>
          </cell>
          <cell r="AT126">
            <v>1077544</v>
          </cell>
          <cell r="AU126">
            <v>1098893</v>
          </cell>
          <cell r="AV126" t="e">
            <v>#N/A</v>
          </cell>
          <cell r="AW126" t="e">
            <v>#N/A</v>
          </cell>
          <cell r="AX126">
            <v>1167598.5272954246</v>
          </cell>
          <cell r="AY126">
            <v>1197470.1430836404</v>
          </cell>
          <cell r="AZ126">
            <v>1197470.1430836404</v>
          </cell>
          <cell r="BA126">
            <v>1227867.5533099398</v>
          </cell>
          <cell r="BB126">
            <v>1259143.7671376455</v>
          </cell>
          <cell r="BC126">
            <v>1259143.7671376455</v>
          </cell>
          <cell r="BD126">
            <v>1289060.8070879313</v>
          </cell>
          <cell r="BE126">
            <v>1319270.6878583268</v>
          </cell>
          <cell r="BF126">
            <v>1319270.6878583268</v>
          </cell>
          <cell r="BG126">
            <v>1348765.0619568762</v>
          </cell>
          <cell r="BH126">
            <v>1377468.3129323614</v>
          </cell>
          <cell r="BI126">
            <v>1377468.3129323614</v>
          </cell>
          <cell r="BJ126">
            <v>1404803.363240375</v>
          </cell>
          <cell r="BK126">
            <v>1430634.4290370746</v>
          </cell>
          <cell r="BL126">
            <v>1430634.4290370746</v>
          </cell>
          <cell r="BM126">
            <v>1457892.0433995817</v>
          </cell>
          <cell r="BN126">
            <v>1486548.1808211941</v>
          </cell>
          <cell r="BO126">
            <v>1486548.1808211941</v>
          </cell>
          <cell r="BP126">
            <v>1515773.0972543431</v>
          </cell>
          <cell r="BQ126">
            <v>1545578.1442309732</v>
          </cell>
          <cell r="BR126">
            <v>1545578.1442309732</v>
          </cell>
          <cell r="BS126">
            <v>1575974.9005333181</v>
          </cell>
          <cell r="BT126">
            <v>1606975.1767511992</v>
          </cell>
          <cell r="BU126">
            <v>1606975.1767511992</v>
          </cell>
          <cell r="BV126">
            <v>1638591.0199308023</v>
          </cell>
          <cell r="BW126">
            <v>1670834.7183167797</v>
          </cell>
          <cell r="BX126">
            <v>1670834.7183167797</v>
          </cell>
        </row>
        <row r="127">
          <cell r="B127" t="str">
            <v>Reserves</v>
          </cell>
          <cell r="C127" t="str">
            <v>RESERVES</v>
          </cell>
          <cell r="D127" t="str">
            <v>AUD</v>
          </cell>
          <cell r="F127">
            <v>186</v>
          </cell>
          <cell r="G127">
            <v>192</v>
          </cell>
          <cell r="H127">
            <v>256</v>
          </cell>
          <cell r="I127">
            <v>-56</v>
          </cell>
          <cell r="J127">
            <v>-57</v>
          </cell>
          <cell r="K127">
            <v>498</v>
          </cell>
          <cell r="L127">
            <v>958</v>
          </cell>
          <cell r="M127">
            <v>953</v>
          </cell>
          <cell r="N127">
            <v>960</v>
          </cell>
          <cell r="O127">
            <v>1176</v>
          </cell>
          <cell r="P127">
            <v>1176</v>
          </cell>
          <cell r="Q127">
            <v>1283</v>
          </cell>
          <cell r="R127">
            <v>1031</v>
          </cell>
          <cell r="S127">
            <v>1031</v>
          </cell>
          <cell r="T127">
            <v>710</v>
          </cell>
          <cell r="U127">
            <v>727</v>
          </cell>
          <cell r="V127">
            <v>727</v>
          </cell>
          <cell r="W127">
            <v>845</v>
          </cell>
          <cell r="X127">
            <v>794</v>
          </cell>
          <cell r="Y127">
            <v>794</v>
          </cell>
          <cell r="Z127">
            <v>890</v>
          </cell>
          <cell r="AA127">
            <v>1077</v>
          </cell>
          <cell r="AB127">
            <v>1077</v>
          </cell>
          <cell r="AC127">
            <v>1141</v>
          </cell>
          <cell r="AD127">
            <v>1311</v>
          </cell>
          <cell r="AE127">
            <v>1311</v>
          </cell>
          <cell r="AF127">
            <v>1688</v>
          </cell>
          <cell r="AG127">
            <v>1544</v>
          </cell>
          <cell r="AH127">
            <v>1544</v>
          </cell>
          <cell r="AI127">
            <v>1954</v>
          </cell>
          <cell r="AJ127">
            <v>2227</v>
          </cell>
          <cell r="AK127">
            <v>2227</v>
          </cell>
          <cell r="AL127">
            <v>2901</v>
          </cell>
          <cell r="AM127">
            <v>2378</v>
          </cell>
          <cell r="AN127">
            <v>2378</v>
          </cell>
          <cell r="AO127">
            <v>2816</v>
          </cell>
          <cell r="AP127">
            <v>1935</v>
          </cell>
          <cell r="AQ127">
            <v>1935</v>
          </cell>
          <cell r="AR127">
            <v>2157</v>
          </cell>
          <cell r="AS127">
            <v>1732</v>
          </cell>
          <cell r="AT127">
            <v>1732</v>
          </cell>
          <cell r="AU127">
            <v>2030</v>
          </cell>
          <cell r="AV127" t="e">
            <v>#N/A</v>
          </cell>
          <cell r="AW127" t="e">
            <v>#N/A</v>
          </cell>
          <cell r="AX127">
            <v>2285.8980659049116</v>
          </cell>
          <cell r="AY127">
            <v>2154.4407991175212</v>
          </cell>
          <cell r="AZ127">
            <v>2154.4407991175212</v>
          </cell>
          <cell r="BA127">
            <v>1984.5766622996719</v>
          </cell>
          <cell r="BB127">
            <v>1916.5284519897907</v>
          </cell>
          <cell r="BC127">
            <v>1916.5284519897907</v>
          </cell>
          <cell r="BD127">
            <v>1819.1646356395208</v>
          </cell>
          <cell r="BE127">
            <v>1694.2868362874246</v>
          </cell>
          <cell r="BF127">
            <v>1694.2868362874246</v>
          </cell>
          <cell r="BG127">
            <v>1577.3810322508502</v>
          </cell>
          <cell r="BH127">
            <v>1469.7445386274078</v>
          </cell>
          <cell r="BI127">
            <v>1469.7445386274078</v>
          </cell>
          <cell r="BJ127">
            <v>1368.8190654041846</v>
          </cell>
          <cell r="BK127">
            <v>1273.003076529043</v>
          </cell>
          <cell r="BL127">
            <v>1273.003076529043</v>
          </cell>
          <cell r="BM127">
            <v>1226.6997072528241</v>
          </cell>
          <cell r="BN127">
            <v>1226.6997072528241</v>
          </cell>
          <cell r="BO127">
            <v>1226.6997072528241</v>
          </cell>
          <cell r="BP127">
            <v>1226.6997072528241</v>
          </cell>
          <cell r="BQ127">
            <v>1226.6997072528241</v>
          </cell>
          <cell r="BR127">
            <v>1226.6997072528241</v>
          </cell>
          <cell r="BS127">
            <v>1226.6997072528241</v>
          </cell>
          <cell r="BT127">
            <v>1226.6997072528241</v>
          </cell>
          <cell r="BU127">
            <v>1226.6997072528241</v>
          </cell>
          <cell r="BV127">
            <v>1226.6997072528241</v>
          </cell>
          <cell r="BW127">
            <v>1226.6997072528241</v>
          </cell>
          <cell r="BX127">
            <v>1226.6997072528241</v>
          </cell>
        </row>
        <row r="128">
          <cell r="B128" t="str">
            <v>Retained profits or accumulated losses</v>
          </cell>
          <cell r="C128" t="str">
            <v>RETAIN_PROFIT_LOSS</v>
          </cell>
          <cell r="D128" t="str">
            <v>AUD</v>
          </cell>
          <cell r="F128">
            <v>8532</v>
          </cell>
          <cell r="G128">
            <v>9716</v>
          </cell>
          <cell r="H128">
            <v>10698</v>
          </cell>
          <cell r="I128">
            <v>11197</v>
          </cell>
          <cell r="J128">
            <v>13750</v>
          </cell>
          <cell r="K128">
            <v>16059</v>
          </cell>
          <cell r="L128">
            <v>17128</v>
          </cell>
          <cell r="M128">
            <v>18953</v>
          </cell>
          <cell r="N128">
            <v>19556</v>
          </cell>
          <cell r="O128">
            <v>20641</v>
          </cell>
          <cell r="P128">
            <v>20641</v>
          </cell>
          <cell r="Q128">
            <v>21275</v>
          </cell>
          <cell r="R128">
            <v>23172</v>
          </cell>
          <cell r="S128">
            <v>23172</v>
          </cell>
          <cell r="T128">
            <v>23756</v>
          </cell>
          <cell r="U128">
            <v>24379</v>
          </cell>
          <cell r="V128">
            <v>24379</v>
          </cell>
          <cell r="W128">
            <v>25206</v>
          </cell>
          <cell r="X128">
            <v>26100</v>
          </cell>
          <cell r="Y128">
            <v>26100</v>
          </cell>
          <cell r="Z128">
            <v>27122</v>
          </cell>
          <cell r="AA128">
            <v>27883</v>
          </cell>
          <cell r="AB128">
            <v>27883</v>
          </cell>
          <cell r="AC128">
            <v>26949</v>
          </cell>
          <cell r="AD128">
            <v>27188</v>
          </cell>
          <cell r="AE128">
            <v>27188</v>
          </cell>
          <cell r="AF128">
            <v>25985</v>
          </cell>
          <cell r="AG128">
            <v>26533</v>
          </cell>
          <cell r="AH128">
            <v>26533</v>
          </cell>
          <cell r="AI128">
            <v>29097</v>
          </cell>
          <cell r="AJ128">
            <v>28813</v>
          </cell>
          <cell r="AK128">
            <v>28813</v>
          </cell>
          <cell r="AL128">
            <v>28362</v>
          </cell>
          <cell r="AM128">
            <v>29063</v>
          </cell>
          <cell r="AN128">
            <v>29063</v>
          </cell>
          <cell r="AO128">
            <v>30686</v>
          </cell>
          <cell r="AP128">
            <v>31436</v>
          </cell>
          <cell r="AQ128">
            <v>31436</v>
          </cell>
          <cell r="AR128">
            <v>32179</v>
          </cell>
          <cell r="AS128">
            <v>32773</v>
          </cell>
          <cell r="AT128">
            <v>32773</v>
          </cell>
          <cell r="AU128">
            <v>33451</v>
          </cell>
          <cell r="AV128" t="e">
            <v>#N/A</v>
          </cell>
          <cell r="AW128" t="e">
            <v>#N/A</v>
          </cell>
          <cell r="AX128">
            <v>35483.754273564307</v>
          </cell>
          <cell r="AY128">
            <v>36562.189558788414</v>
          </cell>
          <cell r="AZ128">
            <v>36562.189558788414</v>
          </cell>
          <cell r="BA128">
            <v>37612.333664416947</v>
          </cell>
          <cell r="BB128">
            <v>38621.084130229552</v>
          </cell>
          <cell r="BC128">
            <v>38621.084130229552</v>
          </cell>
          <cell r="BD128">
            <v>39718.584914101622</v>
          </cell>
          <cell r="BE128">
            <v>40806.937606285384</v>
          </cell>
          <cell r="BF128">
            <v>40806.937606285384</v>
          </cell>
          <cell r="BG128">
            <v>41990.168574502633</v>
          </cell>
          <cell r="BH128">
            <v>43172.559282203983</v>
          </cell>
          <cell r="BI128">
            <v>43172.559282203983</v>
          </cell>
          <cell r="BJ128">
            <v>44406.539648693026</v>
          </cell>
          <cell r="BK128">
            <v>45634.087548873635</v>
          </cell>
          <cell r="BL128">
            <v>45634.087548873635</v>
          </cell>
          <cell r="BM128">
            <v>46791.120069739256</v>
          </cell>
          <cell r="BN128">
            <v>47816.119203611946</v>
          </cell>
          <cell r="BO128">
            <v>47816.119203611946</v>
          </cell>
          <cell r="BP128">
            <v>48807.794818219154</v>
          </cell>
          <cell r="BQ128">
            <v>49637.671784366874</v>
          </cell>
          <cell r="BR128">
            <v>49637.671784366874</v>
          </cell>
          <cell r="BS128">
            <v>50564.201016824874</v>
          </cell>
          <cell r="BT128">
            <v>51409.874359815578</v>
          </cell>
          <cell r="BU128">
            <v>51409.874359815578</v>
          </cell>
          <cell r="BV128">
            <v>52361.892180744027</v>
          </cell>
          <cell r="BW128">
            <v>53256.377372175419</v>
          </cell>
          <cell r="BX128">
            <v>53256.377372175419</v>
          </cell>
        </row>
        <row r="129">
          <cell r="A129" t="str">
            <v>ANZ Balance Sheet</v>
          </cell>
        </row>
        <row r="130">
          <cell r="B130" t="str">
            <v>Average Loans and Advances</v>
          </cell>
          <cell r="C130" t="str">
            <v>AVG_LOANS_ADVANCES</v>
          </cell>
          <cell r="D130" t="str">
            <v>AUD</v>
          </cell>
          <cell r="F130">
            <v>218796</v>
          </cell>
          <cell r="G130">
            <v>255604</v>
          </cell>
          <cell r="H130">
            <v>406807</v>
          </cell>
          <cell r="I130">
            <v>442337</v>
          </cell>
          <cell r="J130">
            <v>469999</v>
          </cell>
          <cell r="K130">
            <v>476083</v>
          </cell>
          <cell r="L130">
            <v>501118</v>
          </cell>
          <cell r="M130">
            <v>516482</v>
          </cell>
          <cell r="N130">
            <v>547786</v>
          </cell>
          <cell r="O130">
            <v>571727</v>
          </cell>
          <cell r="P130">
            <v>559789</v>
          </cell>
          <cell r="Q130">
            <v>587796</v>
          </cell>
          <cell r="R130">
            <v>600569</v>
          </cell>
          <cell r="S130">
            <v>594200</v>
          </cell>
          <cell r="T130">
            <v>621986</v>
          </cell>
          <cell r="U130">
            <v>636332</v>
          </cell>
          <cell r="V130">
            <v>629159</v>
          </cell>
          <cell r="W130">
            <v>649117</v>
          </cell>
          <cell r="X130">
            <v>666950</v>
          </cell>
          <cell r="Y130">
            <v>658058</v>
          </cell>
          <cell r="Z130">
            <v>673413</v>
          </cell>
          <cell r="AA130">
            <v>688947</v>
          </cell>
          <cell r="AB130">
            <v>681158.72054794512</v>
          </cell>
          <cell r="AC130">
            <v>696112</v>
          </cell>
          <cell r="AD130">
            <v>694373</v>
          </cell>
          <cell r="AE130">
            <v>695244.88219178084</v>
          </cell>
          <cell r="AF130">
            <v>700256</v>
          </cell>
          <cell r="AG130">
            <v>696096</v>
          </cell>
          <cell r="AH130">
            <v>698176</v>
          </cell>
          <cell r="AI130">
            <v>680286</v>
          </cell>
          <cell r="AJ130">
            <v>702821</v>
          </cell>
          <cell r="AK130">
            <v>650400</v>
          </cell>
          <cell r="AL130">
            <v>669815</v>
          </cell>
          <cell r="AM130">
            <v>683786</v>
          </cell>
          <cell r="AN130">
            <v>676054</v>
          </cell>
          <cell r="AO130">
            <v>699735</v>
          </cell>
          <cell r="AP130">
            <v>709756</v>
          </cell>
          <cell r="AQ130">
            <v>703832</v>
          </cell>
          <cell r="AR130">
            <v>725592</v>
          </cell>
          <cell r="AS130">
            <v>739728</v>
          </cell>
          <cell r="AT130">
            <v>732704.71786082967</v>
          </cell>
          <cell r="AU130">
            <v>755530</v>
          </cell>
          <cell r="AV130" t="e">
            <v>#N/A</v>
          </cell>
          <cell r="AW130" t="e">
            <v>#N/A</v>
          </cell>
          <cell r="AX130">
            <v>797611.499566096</v>
          </cell>
          <cell r="AY130">
            <v>822046.09017342131</v>
          </cell>
          <cell r="AZ130">
            <v>809862.2669116864</v>
          </cell>
          <cell r="BA130">
            <v>842156.32614963804</v>
          </cell>
          <cell r="BB130">
            <v>862797.27690247446</v>
          </cell>
          <cell r="BC130">
            <v>852505.07680106012</v>
          </cell>
          <cell r="BD130">
            <v>883324.34107213712</v>
          </cell>
          <cell r="BE130">
            <v>903470.64862489118</v>
          </cell>
          <cell r="BF130">
            <v>893397.49484851421</v>
          </cell>
          <cell r="BG130">
            <v>923456.51905542694</v>
          </cell>
          <cell r="BH130">
            <v>942919.19447503868</v>
          </cell>
          <cell r="BI130">
            <v>933214.5179644376</v>
          </cell>
          <cell r="BJ130">
            <v>961632.49992183014</v>
          </cell>
          <cell r="BK130">
            <v>979349.49693744245</v>
          </cell>
          <cell r="BL130">
            <v>970515.26828856184</v>
          </cell>
          <cell r="BM130">
            <v>997043.14910185081</v>
          </cell>
          <cell r="BN130">
            <v>1015719.7464399775</v>
          </cell>
          <cell r="BO130">
            <v>1006407.0321508296</v>
          </cell>
          <cell r="BP130">
            <v>1035067.2125994819</v>
          </cell>
          <cell r="BQ130">
            <v>1054791.2310862804</v>
          </cell>
          <cell r="BR130">
            <v>1044929.2218428813</v>
          </cell>
          <cell r="BS130">
            <v>1074899.2274720967</v>
          </cell>
          <cell r="BT130">
            <v>1095398.7749129548</v>
          </cell>
          <cell r="BU130">
            <v>1085177.0827643625</v>
          </cell>
          <cell r="BV130">
            <v>1116297.5970960602</v>
          </cell>
          <cell r="BW130">
            <v>1137603.5712456782</v>
          </cell>
          <cell r="BX130">
            <v>1126979.7704368276</v>
          </cell>
        </row>
        <row r="131">
          <cell r="B131" t="str">
            <v>Average Other Productive Assets</v>
          </cell>
          <cell r="C131" t="str">
            <v>AVG_OTH_PROD_ASSETS</v>
          </cell>
          <cell r="D131" t="str">
            <v>AUD</v>
          </cell>
          <cell r="F131">
            <v>31491</v>
          </cell>
          <cell r="G131">
            <v>36396</v>
          </cell>
          <cell r="H131">
            <v>73069</v>
          </cell>
          <cell r="I131">
            <v>63503.5</v>
          </cell>
          <cell r="J131">
            <v>61109</v>
          </cell>
          <cell r="K131">
            <v>67874.5</v>
          </cell>
          <cell r="L131">
            <v>72466.5</v>
          </cell>
          <cell r="M131">
            <v>79745.5</v>
          </cell>
          <cell r="N131">
            <v>84973</v>
          </cell>
          <cell r="O131">
            <v>84987.5</v>
          </cell>
          <cell r="P131">
            <v>84933.5</v>
          </cell>
          <cell r="Q131">
            <v>88842</v>
          </cell>
          <cell r="R131">
            <v>86750.5</v>
          </cell>
          <cell r="S131">
            <v>87802.5</v>
          </cell>
          <cell r="T131">
            <v>91022</v>
          </cell>
          <cell r="U131">
            <v>90521</v>
          </cell>
          <cell r="V131">
            <v>90962</v>
          </cell>
          <cell r="W131">
            <v>93955.5</v>
          </cell>
          <cell r="X131">
            <v>91458</v>
          </cell>
          <cell r="Y131">
            <v>92739.5</v>
          </cell>
          <cell r="Z131">
            <v>92467</v>
          </cell>
          <cell r="AA131">
            <v>92737</v>
          </cell>
          <cell r="AB131">
            <v>92581.104109589054</v>
          </cell>
          <cell r="AC131">
            <v>97096.5</v>
          </cell>
          <cell r="AD131">
            <v>106906.5</v>
          </cell>
          <cell r="AE131">
            <v>102041.96712328769</v>
          </cell>
          <cell r="AF131">
            <v>110379.5</v>
          </cell>
          <cell r="AG131">
            <v>131525.5</v>
          </cell>
          <cell r="AH131">
            <v>120986</v>
          </cell>
          <cell r="AI131">
            <v>129964.5</v>
          </cell>
          <cell r="AJ131">
            <v>120719</v>
          </cell>
          <cell r="AK131">
            <v>166305.5</v>
          </cell>
          <cell r="AL131">
            <v>200126</v>
          </cell>
          <cell r="AM131">
            <v>216207.5</v>
          </cell>
          <cell r="AN131">
            <v>208055.5</v>
          </cell>
          <cell r="AO131">
            <v>232744.5</v>
          </cell>
          <cell r="AP131">
            <v>236850</v>
          </cell>
          <cell r="AQ131">
            <v>234692.5</v>
          </cell>
          <cell r="AR131">
            <v>237069</v>
          </cell>
          <cell r="AS131">
            <v>233601</v>
          </cell>
          <cell r="AT131">
            <v>235229.28213917033</v>
          </cell>
          <cell r="AU131">
            <v>238926</v>
          </cell>
          <cell r="AV131" t="e">
            <v>#N/A</v>
          </cell>
          <cell r="AW131" t="e">
            <v>#N/A</v>
          </cell>
          <cell r="AX131" t="e">
            <v>#N/A</v>
          </cell>
          <cell r="AY131">
            <v>248676.03598820552</v>
          </cell>
          <cell r="AZ131" t="e">
            <v>#N/A</v>
          </cell>
          <cell r="BA131">
            <v>254691.45815322487</v>
          </cell>
          <cell r="BB131">
            <v>260739.53251095657</v>
          </cell>
          <cell r="BC131">
            <v>257704.07153974607</v>
          </cell>
          <cell r="BD131">
            <v>266743.92547929269</v>
          </cell>
          <cell r="BE131">
            <v>272623.85954712343</v>
          </cell>
          <cell r="BF131">
            <v>269681.40718680667</v>
          </cell>
          <cell r="BG131">
            <v>278706.83098479669</v>
          </cell>
          <cell r="BH131">
            <v>284894.74472854543</v>
          </cell>
          <cell r="BI131">
            <v>281796.44925174065</v>
          </cell>
          <cell r="BJ131">
            <v>290869.45285753341</v>
          </cell>
          <cell r="BK131">
            <v>296555.45331713266</v>
          </cell>
          <cell r="BL131">
            <v>293708.75527366583</v>
          </cell>
          <cell r="BM131">
            <v>302068.76089823991</v>
          </cell>
          <cell r="BN131">
            <v>307707.12391023256</v>
          </cell>
          <cell r="BO131">
            <v>304879.24117286952</v>
          </cell>
          <cell r="BP131">
            <v>313547.44662249635</v>
          </cell>
          <cell r="BQ131">
            <v>319500.83622047526</v>
          </cell>
          <cell r="BR131">
            <v>316523.68624739285</v>
          </cell>
          <cell r="BS131">
            <v>325569.50473638577</v>
          </cell>
          <cell r="BT131">
            <v>331755.70764299092</v>
          </cell>
          <cell r="BU131">
            <v>328653.5578661373</v>
          </cell>
          <cell r="BV131">
            <v>338061.74470530963</v>
          </cell>
          <cell r="BW131">
            <v>344489.96084890986</v>
          </cell>
          <cell r="BX131">
            <v>341266.43853383249</v>
          </cell>
        </row>
        <row r="132">
          <cell r="B132" t="str">
            <v>Average Productive Interest Earning Assets</v>
          </cell>
          <cell r="C132" t="str">
            <v>AVG_PROD_INT_EARN_ASSETS</v>
          </cell>
          <cell r="D132" t="str">
            <v>AUD</v>
          </cell>
          <cell r="F132">
            <v>250287</v>
          </cell>
          <cell r="G132">
            <v>292000</v>
          </cell>
          <cell r="H132">
            <v>479876</v>
          </cell>
          <cell r="I132">
            <v>505840.5</v>
          </cell>
          <cell r="J132">
            <v>531108</v>
          </cell>
          <cell r="K132">
            <v>543957.5</v>
          </cell>
          <cell r="L132">
            <v>573584.5</v>
          </cell>
          <cell r="M132">
            <v>596227.5</v>
          </cell>
          <cell r="N132">
            <v>632759</v>
          </cell>
          <cell r="O132">
            <v>656714.5</v>
          </cell>
          <cell r="P132">
            <v>644722.5</v>
          </cell>
          <cell r="Q132">
            <v>676638</v>
          </cell>
          <cell r="R132">
            <v>687319.5</v>
          </cell>
          <cell r="S132">
            <v>682002.5</v>
          </cell>
          <cell r="T132">
            <v>713008</v>
          </cell>
          <cell r="U132">
            <v>726853</v>
          </cell>
          <cell r="V132">
            <v>720121</v>
          </cell>
          <cell r="W132">
            <v>743072.5</v>
          </cell>
          <cell r="X132">
            <v>758408</v>
          </cell>
          <cell r="Y132">
            <v>750797.5</v>
          </cell>
          <cell r="Z132">
            <v>765880</v>
          </cell>
          <cell r="AA132">
            <v>781684</v>
          </cell>
          <cell r="AB132">
            <v>773783</v>
          </cell>
          <cell r="AC132">
            <v>793208.5</v>
          </cell>
          <cell r="AD132">
            <v>801279.5</v>
          </cell>
          <cell r="AE132">
            <v>797310</v>
          </cell>
          <cell r="AF132">
            <v>810635.5</v>
          </cell>
          <cell r="AG132">
            <v>827621.5</v>
          </cell>
          <cell r="AH132">
            <v>819162</v>
          </cell>
          <cell r="AI132">
            <v>810250.5</v>
          </cell>
          <cell r="AJ132">
            <v>823540</v>
          </cell>
          <cell r="AK132">
            <v>816705.5</v>
          </cell>
          <cell r="AL132">
            <v>869941</v>
          </cell>
          <cell r="AM132">
            <v>899993.5</v>
          </cell>
          <cell r="AN132">
            <v>884109.5</v>
          </cell>
          <cell r="AO132">
            <v>932479.5</v>
          </cell>
          <cell r="AP132">
            <v>946606</v>
          </cell>
          <cell r="AQ132">
            <v>938524.5</v>
          </cell>
          <cell r="AR132">
            <v>962661</v>
          </cell>
          <cell r="AS132">
            <v>973329</v>
          </cell>
          <cell r="AT132">
            <v>967934</v>
          </cell>
          <cell r="AU132">
            <v>994456</v>
          </cell>
          <cell r="AV132" t="e">
            <v>#N/A</v>
          </cell>
          <cell r="AW132" t="e">
            <v>#N/A</v>
          </cell>
          <cell r="AX132" t="e">
            <v>#N/A</v>
          </cell>
          <cell r="AY132">
            <v>1070722.1261616268</v>
          </cell>
          <cell r="AZ132" t="e">
            <v>#N/A</v>
          </cell>
          <cell r="BA132">
            <v>1096847.7843028628</v>
          </cell>
          <cell r="BB132">
            <v>1123536.809413431</v>
          </cell>
          <cell r="BC132">
            <v>1110209.1483408064</v>
          </cell>
          <cell r="BD132">
            <v>1150068.2665514299</v>
          </cell>
          <cell r="BE132">
            <v>1176094.5081720147</v>
          </cell>
          <cell r="BF132">
            <v>1163078.9020353209</v>
          </cell>
          <cell r="BG132">
            <v>1202163.3500402237</v>
          </cell>
          <cell r="BH132">
            <v>1227813.9392035841</v>
          </cell>
          <cell r="BI132">
            <v>1215010.9672161783</v>
          </cell>
          <cell r="BJ132">
            <v>1252501.9527793636</v>
          </cell>
          <cell r="BK132">
            <v>1275904.9502545751</v>
          </cell>
          <cell r="BL132">
            <v>1264224.0235622276</v>
          </cell>
          <cell r="BM132">
            <v>1299111.9100000907</v>
          </cell>
          <cell r="BN132">
            <v>1323426.8703502102</v>
          </cell>
          <cell r="BO132">
            <v>1311286.2733236991</v>
          </cell>
          <cell r="BP132">
            <v>1348614.6592219782</v>
          </cell>
          <cell r="BQ132">
            <v>1374292.0673067558</v>
          </cell>
          <cell r="BR132">
            <v>1361452.9080902743</v>
          </cell>
          <cell r="BS132">
            <v>1400468.7322084825</v>
          </cell>
          <cell r="BT132">
            <v>1427154.4825559456</v>
          </cell>
          <cell r="BU132">
            <v>1413830.6406304997</v>
          </cell>
          <cell r="BV132">
            <v>1454359.3418013698</v>
          </cell>
          <cell r="BW132">
            <v>1482093.532094588</v>
          </cell>
          <cell r="BX132">
            <v>1468246.2089706601</v>
          </cell>
        </row>
        <row r="133">
          <cell r="B133" t="str">
            <v>Average Gross Non-Performing Assets</v>
          </cell>
          <cell r="C133" t="str">
            <v>AVG_GROSS_NON_PERF_ASSETS</v>
          </cell>
          <cell r="D133" t="str">
            <v>AUD</v>
          </cell>
          <cell r="F133">
            <v>416</v>
          </cell>
          <cell r="G133">
            <v>417</v>
          </cell>
          <cell r="H133">
            <v>741</v>
          </cell>
          <cell r="I133">
            <v>2292.5</v>
          </cell>
          <cell r="J133">
            <v>3883</v>
          </cell>
          <cell r="K133">
            <v>4263.5</v>
          </cell>
          <cell r="L133">
            <v>4160.5</v>
          </cell>
          <cell r="M133">
            <v>3641.5</v>
          </cell>
          <cell r="N133">
            <v>2898</v>
          </cell>
          <cell r="O133">
            <v>2288.5</v>
          </cell>
          <cell r="P133">
            <v>2639.5</v>
          </cell>
          <cell r="Q133">
            <v>1930</v>
          </cell>
          <cell r="R133">
            <v>1711.5</v>
          </cell>
          <cell r="S133">
            <v>1811.5</v>
          </cell>
          <cell r="T133">
            <v>1848</v>
          </cell>
          <cell r="U133">
            <v>1977</v>
          </cell>
          <cell r="V133">
            <v>1722</v>
          </cell>
          <cell r="W133">
            <v>1710.5</v>
          </cell>
          <cell r="X133">
            <v>1356</v>
          </cell>
          <cell r="Y133">
            <v>1496.5</v>
          </cell>
          <cell r="Z133">
            <v>1131</v>
          </cell>
          <cell r="AA133">
            <v>1150</v>
          </cell>
          <cell r="AB133">
            <v>1161</v>
          </cell>
          <cell r="AC133">
            <v>1451.5</v>
          </cell>
          <cell r="AD133">
            <v>1885.5</v>
          </cell>
          <cell r="AE133">
            <v>1614</v>
          </cell>
          <cell r="AF133">
            <v>2335.5</v>
          </cell>
          <cell r="AG133">
            <v>2843.5</v>
          </cell>
          <cell r="AH133">
            <v>2556</v>
          </cell>
          <cell r="AI133">
            <v>2699.5</v>
          </cell>
          <cell r="AJ133">
            <v>2386</v>
          </cell>
          <cell r="AK133">
            <v>2750.5</v>
          </cell>
          <cell r="AL133">
            <v>2134</v>
          </cell>
          <cell r="AM133">
            <v>1792.5</v>
          </cell>
          <cell r="AN133">
            <v>2095.5</v>
          </cell>
          <cell r="AO133">
            <v>1728.5</v>
          </cell>
          <cell r="AP133">
            <v>1899</v>
          </cell>
          <cell r="AQ133">
            <v>1924.5</v>
          </cell>
          <cell r="AR133">
            <v>2047</v>
          </cell>
          <cell r="AS133">
            <v>2073</v>
          </cell>
          <cell r="AT133">
            <v>2121</v>
          </cell>
          <cell r="AU133">
            <v>2245</v>
          </cell>
          <cell r="AV133" t="e">
            <v>#N/A</v>
          </cell>
          <cell r="AW133" t="e">
            <v>#N/A</v>
          </cell>
          <cell r="AX133" t="e">
            <v>#N/A</v>
          </cell>
          <cell r="AY133">
            <v>2076.3997558736546</v>
          </cell>
          <cell r="AZ133" t="e">
            <v>#N/A</v>
          </cell>
          <cell r="BA133">
            <v>2195.2937985511016</v>
          </cell>
          <cell r="BB133">
            <v>2443.421976440527</v>
          </cell>
          <cell r="BC133">
            <v>2322.1567448601809</v>
          </cell>
          <cell r="BD133">
            <v>2700.4922043250808</v>
          </cell>
          <cell r="BE133">
            <v>2965.8774202788245</v>
          </cell>
          <cell r="BF133">
            <v>2835.670138703349</v>
          </cell>
          <cell r="BG133">
            <v>2979.2864055878808</v>
          </cell>
          <cell r="BH133">
            <v>2728.1605450275642</v>
          </cell>
          <cell r="BI133">
            <v>2849.9294940967757</v>
          </cell>
          <cell r="BJ133">
            <v>2461.6565881633114</v>
          </cell>
          <cell r="BK133">
            <v>2179.9518351442975</v>
          </cell>
          <cell r="BL133">
            <v>2317.0988805174447</v>
          </cell>
          <cell r="BM133">
            <v>2063.8189751014288</v>
          </cell>
          <cell r="BN133">
            <v>2122.4628948716972</v>
          </cell>
          <cell r="BO133">
            <v>2094.0380472686998</v>
          </cell>
          <cell r="BP133">
            <v>2183.7852642705002</v>
          </cell>
          <cell r="BQ133">
            <v>2246.9022069194971</v>
          </cell>
          <cell r="BR133">
            <v>2215.7989096879655</v>
          </cell>
          <cell r="BS133">
            <v>2311.8667463194524</v>
          </cell>
          <cell r="BT133">
            <v>2378.7334837316944</v>
          </cell>
          <cell r="BU133">
            <v>2345.7825897492048</v>
          </cell>
          <cell r="BV133">
            <v>2447.5586453673868</v>
          </cell>
          <cell r="BW133">
            <v>2518.4001309934147</v>
          </cell>
          <cell r="BX133">
            <v>2483.4908127874746</v>
          </cell>
        </row>
        <row r="134">
          <cell r="B134" t="str">
            <v>Average Interest Earning Assets</v>
          </cell>
          <cell r="C134" t="str">
            <v>AVG_INT_EARN_ASSETS</v>
          </cell>
          <cell r="D134" t="str">
            <v>AUD</v>
          </cell>
          <cell r="F134">
            <v>250703</v>
          </cell>
          <cell r="G134">
            <v>292417</v>
          </cell>
          <cell r="H134">
            <v>480617</v>
          </cell>
          <cell r="I134">
            <v>508133</v>
          </cell>
          <cell r="J134">
            <v>534991</v>
          </cell>
          <cell r="K134">
            <v>548221</v>
          </cell>
          <cell r="L134">
            <v>577745</v>
          </cell>
          <cell r="M134">
            <v>599869</v>
          </cell>
          <cell r="N134">
            <v>635657</v>
          </cell>
          <cell r="O134">
            <v>659003</v>
          </cell>
          <cell r="P134">
            <v>647362</v>
          </cell>
          <cell r="Q134">
            <v>678568</v>
          </cell>
          <cell r="R134">
            <v>689031</v>
          </cell>
          <cell r="S134">
            <v>683814</v>
          </cell>
          <cell r="T134">
            <v>714856</v>
          </cell>
          <cell r="U134">
            <v>728830</v>
          </cell>
          <cell r="V134">
            <v>721843</v>
          </cell>
          <cell r="W134">
            <v>744783</v>
          </cell>
          <cell r="X134">
            <v>759764</v>
          </cell>
          <cell r="Y134">
            <v>752294</v>
          </cell>
          <cell r="Z134">
            <v>767011</v>
          </cell>
          <cell r="AA134">
            <v>782834</v>
          </cell>
          <cell r="AB134">
            <v>774944</v>
          </cell>
          <cell r="AC134">
            <v>794660</v>
          </cell>
          <cell r="AD134">
            <v>803165</v>
          </cell>
          <cell r="AE134">
            <v>798924</v>
          </cell>
          <cell r="AF134">
            <v>812971</v>
          </cell>
          <cell r="AG134">
            <v>830465</v>
          </cell>
          <cell r="AH134">
            <v>821718</v>
          </cell>
          <cell r="AI134">
            <v>812950</v>
          </cell>
          <cell r="AJ134">
            <v>825926</v>
          </cell>
          <cell r="AK134">
            <v>819456</v>
          </cell>
          <cell r="AL134">
            <v>872075</v>
          </cell>
          <cell r="AM134">
            <v>901786</v>
          </cell>
          <cell r="AN134">
            <v>886205</v>
          </cell>
          <cell r="AO134">
            <v>934208</v>
          </cell>
          <cell r="AP134">
            <v>948505</v>
          </cell>
          <cell r="AQ134">
            <v>940449</v>
          </cell>
          <cell r="AR134">
            <v>964708</v>
          </cell>
          <cell r="AS134">
            <v>975402</v>
          </cell>
          <cell r="AT134">
            <v>970055</v>
          </cell>
          <cell r="AU134">
            <v>996701</v>
          </cell>
          <cell r="AV134" t="e">
            <v>#N/A</v>
          </cell>
          <cell r="AW134" t="e">
            <v>#N/A</v>
          </cell>
          <cell r="AX134">
            <v>1040910.5416569024</v>
          </cell>
          <cell r="AY134">
            <v>1072798.5259175005</v>
          </cell>
          <cell r="AZ134">
            <v>1056877.7957008369</v>
          </cell>
          <cell r="BA134">
            <v>1099043.078101414</v>
          </cell>
          <cell r="BB134">
            <v>1125980.2313898716</v>
          </cell>
          <cell r="BC134">
            <v>1112531.3050856665</v>
          </cell>
          <cell r="BD134">
            <v>1152768.7587557549</v>
          </cell>
          <cell r="BE134">
            <v>1179060.3855922935</v>
          </cell>
          <cell r="BF134">
            <v>1165914.5721740243</v>
          </cell>
          <cell r="BG134">
            <v>1205142.6364458115</v>
          </cell>
          <cell r="BH134">
            <v>1230542.0997486117</v>
          </cell>
          <cell r="BI134">
            <v>1217860.896710275</v>
          </cell>
          <cell r="BJ134">
            <v>1254963.6093675268</v>
          </cell>
          <cell r="BK134">
            <v>1278084.9020897194</v>
          </cell>
          <cell r="BL134">
            <v>1266541.1224427451</v>
          </cell>
          <cell r="BM134">
            <v>1301175.7289751922</v>
          </cell>
          <cell r="BN134">
            <v>1325549.3332450818</v>
          </cell>
          <cell r="BO134">
            <v>1313380.3113709679</v>
          </cell>
          <cell r="BP134">
            <v>1350798.4444862488</v>
          </cell>
          <cell r="BQ134">
            <v>1376538.9695136752</v>
          </cell>
          <cell r="BR134">
            <v>1363668.7069999622</v>
          </cell>
          <cell r="BS134">
            <v>1402780.5989548019</v>
          </cell>
          <cell r="BT134">
            <v>1429533.2160396774</v>
          </cell>
          <cell r="BU134">
            <v>1416176.4232202489</v>
          </cell>
          <cell r="BV134">
            <v>1456806.9004467372</v>
          </cell>
          <cell r="BW134">
            <v>1484611.9322255815</v>
          </cell>
          <cell r="BX134">
            <v>1470729.6997834477</v>
          </cell>
        </row>
        <row r="135">
          <cell r="B135" t="str">
            <v>Average Provisions for Bad Debts</v>
          </cell>
          <cell r="C135" t="str">
            <v>AVG_PROV_BAD_DEBT</v>
          </cell>
          <cell r="D135" t="str">
            <v>AUD</v>
          </cell>
          <cell r="F135">
            <v>-1543.5</v>
          </cell>
          <cell r="G135">
            <v>-1458</v>
          </cell>
          <cell r="H135">
            <v>-1866</v>
          </cell>
          <cell r="I135">
            <v>-3454</v>
          </cell>
          <cell r="J135">
            <v>-4897.5</v>
          </cell>
          <cell r="K135">
            <v>-4737.5</v>
          </cell>
          <cell r="L135">
            <v>-4327.5</v>
          </cell>
          <cell r="M135">
            <v>-4095</v>
          </cell>
          <cell r="N135">
            <v>-3870</v>
          </cell>
          <cell r="O135">
            <v>-3636</v>
          </cell>
          <cell r="P135">
            <v>-3715</v>
          </cell>
          <cell r="Q135">
            <v>-3493</v>
          </cell>
          <cell r="R135">
            <v>-3418.5</v>
          </cell>
          <cell r="S135">
            <v>-3406.5</v>
          </cell>
          <cell r="T135">
            <v>-3500.5</v>
          </cell>
          <cell r="U135">
            <v>-3635.5</v>
          </cell>
          <cell r="V135">
            <v>-3467</v>
          </cell>
          <cell r="W135">
            <v>-3557.5</v>
          </cell>
          <cell r="X135">
            <v>-3316</v>
          </cell>
          <cell r="Y135">
            <v>-3360.5</v>
          </cell>
          <cell r="Z135">
            <v>-3142</v>
          </cell>
          <cell r="AA135">
            <v>-3109</v>
          </cell>
          <cell r="AB135">
            <v>-3086</v>
          </cell>
          <cell r="AC135">
            <v>-3519</v>
          </cell>
          <cell r="AD135">
            <v>-3949</v>
          </cell>
          <cell r="AE135">
            <v>-3483</v>
          </cell>
          <cell r="AF135">
            <v>-4839.5</v>
          </cell>
          <cell r="AG135">
            <v>-5949</v>
          </cell>
          <cell r="AH135">
            <v>-5022.5</v>
          </cell>
          <cell r="AI135">
            <v>-5807</v>
          </cell>
          <cell r="AJ135">
            <v>-5240.5</v>
          </cell>
          <cell r="AK135">
            <v>-5565.5</v>
          </cell>
          <cell r="AL135">
            <v>-4837</v>
          </cell>
          <cell r="AM135">
            <v>-4650</v>
          </cell>
          <cell r="AN135">
            <v>-4812</v>
          </cell>
          <cell r="AO135">
            <v>-4768.5</v>
          </cell>
          <cell r="AP135">
            <v>-4921</v>
          </cell>
          <cell r="AQ135">
            <v>-4777.5</v>
          </cell>
          <cell r="AR135">
            <v>-5025.5</v>
          </cell>
          <cell r="AS135">
            <v>-5102.5</v>
          </cell>
          <cell r="AT135">
            <v>-5007</v>
          </cell>
          <cell r="AU135">
            <v>-5073</v>
          </cell>
          <cell r="AV135" t="e">
            <v>#N/A</v>
          </cell>
          <cell r="AW135" t="e">
            <v>#N/A</v>
          </cell>
          <cell r="AX135" t="e">
            <v>#N/A</v>
          </cell>
          <cell r="AY135">
            <v>-4807.060853880972</v>
          </cell>
          <cell r="AZ135" t="e">
            <v>#N/A</v>
          </cell>
          <cell r="BA135">
            <v>-4646.7830667037997</v>
          </cell>
          <cell r="BB135">
            <v>-4458.634156473503</v>
          </cell>
          <cell r="BC135">
            <v>-4545.7418158052205</v>
          </cell>
          <cell r="BD135">
            <v>-4300.2096785936328</v>
          </cell>
          <cell r="BE135">
            <v>-4200.8700611081022</v>
          </cell>
          <cell r="BF135">
            <v>-4258.2532880893923</v>
          </cell>
          <cell r="BG135">
            <v>-4124.0724820612104</v>
          </cell>
          <cell r="BH135">
            <v>-4060.2372886127459</v>
          </cell>
          <cell r="BI135">
            <v>-4095.0784771553972</v>
          </cell>
          <cell r="BJ135">
            <v>-3989.4605948194567</v>
          </cell>
          <cell r="BK135">
            <v>-3877.9323259855792</v>
          </cell>
          <cell r="BL135">
            <v>-3919.7150148730557</v>
          </cell>
          <cell r="BM135">
            <v>-3817.4173592811085</v>
          </cell>
          <cell r="BN135">
            <v>-3836.8684345514844</v>
          </cell>
          <cell r="BO135">
            <v>-3827.6378213095541</v>
          </cell>
          <cell r="BP135">
            <v>-3877.5194101563593</v>
          </cell>
          <cell r="BQ135">
            <v>-3938.7880120484278</v>
          </cell>
          <cell r="BR135">
            <v>-3908.357498471998</v>
          </cell>
          <cell r="BS135">
            <v>-4000.8742871266841</v>
          </cell>
          <cell r="BT135">
            <v>-4063.7831677958034</v>
          </cell>
          <cell r="BU135">
            <v>-4032.5349810331854</v>
          </cell>
          <cell r="BV135">
            <v>-4127.5193491787113</v>
          </cell>
          <cell r="BW135">
            <v>-4192.0872743016607</v>
          </cell>
          <cell r="BX135">
            <v>-4160.0117868252546</v>
          </cell>
        </row>
        <row r="136">
          <cell r="B136" t="str">
            <v>Average Acceptances</v>
          </cell>
          <cell r="C136" t="str">
            <v>AVG_ACCEPTANCES</v>
          </cell>
          <cell r="D136" t="str">
            <v>AUD</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t="e">
            <v>#N/A</v>
          </cell>
          <cell r="AW136" t="e">
            <v>#N/A</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cell r="BM136">
            <v>0</v>
          </cell>
          <cell r="BN136">
            <v>0</v>
          </cell>
          <cell r="BO136">
            <v>0</v>
          </cell>
          <cell r="BP136">
            <v>0</v>
          </cell>
          <cell r="BQ136">
            <v>0</v>
          </cell>
          <cell r="BR136">
            <v>0</v>
          </cell>
          <cell r="BS136">
            <v>0</v>
          </cell>
          <cell r="BT136">
            <v>0</v>
          </cell>
          <cell r="BU136">
            <v>0</v>
          </cell>
          <cell r="BV136">
            <v>0</v>
          </cell>
          <cell r="BW136">
            <v>0</v>
          </cell>
          <cell r="BX136">
            <v>0</v>
          </cell>
        </row>
        <row r="137">
          <cell r="B137" t="str">
            <v>Average Other Assets</v>
          </cell>
          <cell r="C137" t="str">
            <v>AVG_OTHER_ASSETS</v>
          </cell>
          <cell r="D137" t="str">
            <v>AUD</v>
          </cell>
          <cell r="F137">
            <v>32707</v>
          </cell>
          <cell r="G137">
            <v>41653</v>
          </cell>
          <cell r="H137">
            <v>58283</v>
          </cell>
          <cell r="I137">
            <v>94119</v>
          </cell>
          <cell r="J137">
            <v>77747</v>
          </cell>
          <cell r="K137">
            <v>84621</v>
          </cell>
          <cell r="L137">
            <v>88633</v>
          </cell>
          <cell r="M137">
            <v>92375</v>
          </cell>
          <cell r="N137">
            <v>92788</v>
          </cell>
          <cell r="O137">
            <v>94004</v>
          </cell>
          <cell r="P137">
            <v>93243</v>
          </cell>
          <cell r="Q137">
            <v>114758</v>
          </cell>
          <cell r="R137">
            <v>121837</v>
          </cell>
          <cell r="S137">
            <v>118221</v>
          </cell>
          <cell r="T137">
            <v>122548</v>
          </cell>
          <cell r="U137">
            <v>128147</v>
          </cell>
          <cell r="V137">
            <v>125314</v>
          </cell>
          <cell r="W137">
            <v>120405</v>
          </cell>
          <cell r="X137">
            <v>110714</v>
          </cell>
          <cell r="Y137">
            <v>115350</v>
          </cell>
          <cell r="Z137">
            <v>101707</v>
          </cell>
          <cell r="AA137">
            <v>101243</v>
          </cell>
          <cell r="AB137">
            <v>101419</v>
          </cell>
          <cell r="AC137">
            <v>96479</v>
          </cell>
          <cell r="AD137">
            <v>103001</v>
          </cell>
          <cell r="AE137">
            <v>99713</v>
          </cell>
          <cell r="AF137">
            <v>105159</v>
          </cell>
          <cell r="AG137">
            <v>103463</v>
          </cell>
          <cell r="AH137">
            <v>104494</v>
          </cell>
          <cell r="AI137">
            <v>93963</v>
          </cell>
          <cell r="AJ137">
            <v>89727</v>
          </cell>
          <cell r="AK137">
            <v>91598</v>
          </cell>
          <cell r="AL137">
            <v>90433</v>
          </cell>
          <cell r="AM137">
            <v>94439</v>
          </cell>
          <cell r="AN137">
            <v>93183</v>
          </cell>
          <cell r="AO137">
            <v>88627</v>
          </cell>
          <cell r="AP137">
            <v>84929</v>
          </cell>
          <cell r="AQ137">
            <v>87709</v>
          </cell>
          <cell r="AR137">
            <v>89350</v>
          </cell>
          <cell r="AS137">
            <v>95362</v>
          </cell>
          <cell r="AT137">
            <v>92338</v>
          </cell>
          <cell r="AU137">
            <v>112664</v>
          </cell>
          <cell r="AV137" t="e">
            <v>#N/A</v>
          </cell>
          <cell r="AW137" t="e">
            <v>#N/A</v>
          </cell>
          <cell r="AX137">
            <v>117165.986023198</v>
          </cell>
          <cell r="AY137">
            <v>120459.48641294084</v>
          </cell>
          <cell r="AZ137">
            <v>118667.90989589534</v>
          </cell>
          <cell r="BA137">
            <v>123116.33989391233</v>
          </cell>
          <cell r="BB137">
            <v>125820.03889265399</v>
          </cell>
          <cell r="BC137">
            <v>124306.61706977336</v>
          </cell>
          <cell r="BD137">
            <v>128595.02127045876</v>
          </cell>
          <cell r="BE137">
            <v>131347.25535554902</v>
          </cell>
          <cell r="BF137">
            <v>129929.18192249953</v>
          </cell>
          <cell r="BG137">
            <v>134091.13390715444</v>
          </cell>
          <cell r="BH137">
            <v>136773.05273896569</v>
          </cell>
          <cell r="BI137">
            <v>135346.02362270115</v>
          </cell>
          <cell r="BJ137">
            <v>139323.89976943439</v>
          </cell>
          <cell r="BK137">
            <v>141678.563204915</v>
          </cell>
          <cell r="BL137">
            <v>140379.52953924678</v>
          </cell>
          <cell r="BM137">
            <v>144187.89259691865</v>
          </cell>
          <cell r="BN137">
            <v>146837.5782533522</v>
          </cell>
          <cell r="BO137">
            <v>145468.18542222015</v>
          </cell>
          <cell r="BP137">
            <v>149622.12725020084</v>
          </cell>
          <cell r="BQ137">
            <v>152460.50149280406</v>
          </cell>
          <cell r="BR137">
            <v>151072.15245981785</v>
          </cell>
          <cell r="BS137">
            <v>155353.75138202056</v>
          </cell>
          <cell r="BT137">
            <v>158302.9478652371</v>
          </cell>
          <cell r="BU137">
            <v>156799.89392030667</v>
          </cell>
          <cell r="BV137">
            <v>161309.18283670192</v>
          </cell>
          <cell r="BW137">
            <v>164373.56954557626</v>
          </cell>
          <cell r="BX137">
            <v>162811.38732723394</v>
          </cell>
        </row>
        <row r="138">
          <cell r="B138" t="str">
            <v>Average Total Assets</v>
          </cell>
          <cell r="C138" t="str">
            <v>AVG_TOTAL_ASSETS</v>
          </cell>
          <cell r="D138" t="str">
            <v>AUD</v>
          </cell>
          <cell r="F138">
            <v>282052</v>
          </cell>
          <cell r="G138">
            <v>332512</v>
          </cell>
          <cell r="H138">
            <v>536726</v>
          </cell>
          <cell r="I138">
            <v>597518</v>
          </cell>
          <cell r="J138">
            <v>607677</v>
          </cell>
          <cell r="K138">
            <v>628428</v>
          </cell>
          <cell r="L138">
            <v>662137</v>
          </cell>
          <cell r="M138">
            <v>688295</v>
          </cell>
          <cell r="N138">
            <v>724654</v>
          </cell>
          <cell r="O138">
            <v>749526</v>
          </cell>
          <cell r="P138">
            <v>737124</v>
          </cell>
          <cell r="Q138">
            <v>789821</v>
          </cell>
          <cell r="R138">
            <v>807536</v>
          </cell>
          <cell r="S138">
            <v>798703</v>
          </cell>
          <cell r="T138">
            <v>833735</v>
          </cell>
          <cell r="U138">
            <v>853375</v>
          </cell>
          <cell r="V138">
            <v>843555</v>
          </cell>
          <cell r="W138">
            <v>861675</v>
          </cell>
          <cell r="X138">
            <v>867359</v>
          </cell>
          <cell r="Y138">
            <v>864525</v>
          </cell>
          <cell r="Z138">
            <v>865553</v>
          </cell>
          <cell r="AA138">
            <v>881024</v>
          </cell>
          <cell r="AB138">
            <v>873310</v>
          </cell>
          <cell r="AC138">
            <v>887154</v>
          </cell>
          <cell r="AD138">
            <v>902253</v>
          </cell>
          <cell r="AE138">
            <v>894724</v>
          </cell>
          <cell r="AF138">
            <v>912364</v>
          </cell>
          <cell r="AG138">
            <v>927796</v>
          </cell>
          <cell r="AH138">
            <v>920080</v>
          </cell>
          <cell r="AI138">
            <v>901431</v>
          </cell>
          <cell r="AJ138">
            <v>910654</v>
          </cell>
          <cell r="AK138">
            <v>906055</v>
          </cell>
          <cell r="AL138">
            <v>957833</v>
          </cell>
          <cell r="AM138">
            <v>991600</v>
          </cell>
          <cell r="AN138">
            <v>974763</v>
          </cell>
          <cell r="AO138">
            <v>1017923</v>
          </cell>
          <cell r="AP138">
            <v>1028504</v>
          </cell>
          <cell r="AQ138">
            <v>1023228</v>
          </cell>
          <cell r="AR138">
            <v>1048937</v>
          </cell>
          <cell r="AS138">
            <v>1065680</v>
          </cell>
          <cell r="AT138">
            <v>1057309</v>
          </cell>
          <cell r="AU138">
            <v>1104303</v>
          </cell>
          <cell r="AV138" t="e">
            <v>#N/A</v>
          </cell>
          <cell r="AW138" t="e">
            <v>#N/A</v>
          </cell>
          <cell r="AX138">
            <v>1153196.296698374</v>
          </cell>
          <cell r="AY138">
            <v>1188524.1216044058</v>
          </cell>
          <cell r="AZ138">
            <v>1170811.8148706967</v>
          </cell>
          <cell r="BA138">
            <v>1217599.7425879543</v>
          </cell>
          <cell r="BB138">
            <v>1247442.6773769506</v>
          </cell>
          <cell r="BC138">
            <v>1232480.3292498649</v>
          </cell>
          <cell r="BD138">
            <v>1277120.9535746013</v>
          </cell>
          <cell r="BE138">
            <v>1306248.7272772386</v>
          </cell>
          <cell r="BF138">
            <v>1291684.84042592</v>
          </cell>
          <cell r="BG138">
            <v>1335144.5390594474</v>
          </cell>
          <cell r="BH138">
            <v>1363283.9092038705</v>
          </cell>
          <cell r="BI138">
            <v>1349175.6770492692</v>
          </cell>
          <cell r="BJ138">
            <v>1390339.8312310292</v>
          </cell>
          <cell r="BK138">
            <v>1415955.2785485953</v>
          </cell>
          <cell r="BL138">
            <v>1403112.4652359528</v>
          </cell>
          <cell r="BM138">
            <v>1441536.9735995878</v>
          </cell>
          <cell r="BN138">
            <v>1468539.8226018541</v>
          </cell>
          <cell r="BO138">
            <v>1455001.4078966081</v>
          </cell>
          <cell r="BP138">
            <v>1496512.6218127168</v>
          </cell>
          <cell r="BQ138">
            <v>1525029.8449061152</v>
          </cell>
          <cell r="BR138">
            <v>1510771.233359416</v>
          </cell>
          <cell r="BS138">
            <v>1554102.2278629332</v>
          </cell>
          <cell r="BT138">
            <v>1583740.7200432122</v>
          </cell>
          <cell r="BU138">
            <v>1568880.8732788533</v>
          </cell>
          <cell r="BV138">
            <v>1613956.488446784</v>
          </cell>
          <cell r="BW138">
            <v>1644760.9220592096</v>
          </cell>
          <cell r="BX138">
            <v>1629316.5073987334</v>
          </cell>
        </row>
        <row r="139">
          <cell r="B139" t="str">
            <v>Average Interest Bearing Liabilities</v>
          </cell>
          <cell r="C139" t="str">
            <v>AVG_INT_BEARING_LIABS</v>
          </cell>
          <cell r="D139" t="str">
            <v>AUD</v>
          </cell>
          <cell r="F139">
            <v>233015.03013698629</v>
          </cell>
          <cell r="G139">
            <v>274954.2301369863</v>
          </cell>
          <cell r="H139">
            <v>459081</v>
          </cell>
          <cell r="I139">
            <v>483019.00273972598</v>
          </cell>
          <cell r="J139">
            <v>501968.85205479455</v>
          </cell>
          <cell r="K139">
            <v>513537.79178082186</v>
          </cell>
          <cell r="L139">
            <v>540527</v>
          </cell>
          <cell r="M139">
            <v>560475.82465753425</v>
          </cell>
          <cell r="N139">
            <v>595340</v>
          </cell>
          <cell r="O139">
            <v>617705</v>
          </cell>
          <cell r="P139">
            <v>606553.24109589041</v>
          </cell>
          <cell r="Q139">
            <v>638007</v>
          </cell>
          <cell r="R139">
            <v>643235</v>
          </cell>
          <cell r="S139">
            <v>640637.80000000005</v>
          </cell>
          <cell r="T139">
            <v>660751</v>
          </cell>
          <cell r="U139">
            <v>673801</v>
          </cell>
          <cell r="V139">
            <v>667276</v>
          </cell>
          <cell r="W139">
            <v>689655</v>
          </cell>
          <cell r="X139">
            <v>700165</v>
          </cell>
          <cell r="Y139">
            <v>697048.8641975309</v>
          </cell>
          <cell r="Z139">
            <v>708776</v>
          </cell>
          <cell r="AA139">
            <v>722205</v>
          </cell>
          <cell r="AB139">
            <v>716419.79452054796</v>
          </cell>
          <cell r="AC139">
            <v>729379</v>
          </cell>
          <cell r="AD139">
            <v>739159</v>
          </cell>
          <cell r="AE139">
            <v>734284.86027397262</v>
          </cell>
          <cell r="AF139">
            <v>742568</v>
          </cell>
          <cell r="AG139">
            <v>748714</v>
          </cell>
          <cell r="AH139">
            <v>745641</v>
          </cell>
          <cell r="AI139">
            <v>729287</v>
          </cell>
          <cell r="AJ139">
            <v>743346</v>
          </cell>
          <cell r="AK139">
            <v>687844.24109589041</v>
          </cell>
          <cell r="AL139">
            <v>733893</v>
          </cell>
          <cell r="AM139">
            <v>765402</v>
          </cell>
          <cell r="AN139">
            <v>749691.04657534242</v>
          </cell>
          <cell r="AO139">
            <v>793113</v>
          </cell>
          <cell r="AP139">
            <v>804852.88</v>
          </cell>
          <cell r="AQ139">
            <v>798126.43938356172</v>
          </cell>
          <cell r="AR139">
            <v>820691.63500000001</v>
          </cell>
          <cell r="AS139">
            <v>835115.755</v>
          </cell>
          <cell r="AT139">
            <v>827618.53</v>
          </cell>
          <cell r="AU139">
            <v>865608.63500000001</v>
          </cell>
          <cell r="AV139" t="e">
            <v>#N/A</v>
          </cell>
          <cell r="AW139" t="e">
            <v>#N/A</v>
          </cell>
          <cell r="AX139">
            <v>913247.63513109309</v>
          </cell>
          <cell r="AY139">
            <v>942832.17844714376</v>
          </cell>
          <cell r="AZ139">
            <v>928085.91308348987</v>
          </cell>
          <cell r="BA139">
            <v>966719.56262508454</v>
          </cell>
          <cell r="BB139">
            <v>991331.65486079594</v>
          </cell>
          <cell r="BC139">
            <v>979064.67452606536</v>
          </cell>
          <cell r="BD139">
            <v>1015832.7171571923</v>
          </cell>
          <cell r="BE139">
            <v>1040003.5590097057</v>
          </cell>
          <cell r="BF139">
            <v>1027918.1380834491</v>
          </cell>
          <cell r="BG139">
            <v>1063956.3158438883</v>
          </cell>
          <cell r="BH139">
            <v>1087351.2788299804</v>
          </cell>
          <cell r="BI139">
            <v>1075690.498548999</v>
          </cell>
          <cell r="BJ139">
            <v>1108825.644746704</v>
          </cell>
          <cell r="BK139">
            <v>1129449.758249535</v>
          </cell>
          <cell r="BL139">
            <v>1119170.1180820989</v>
          </cell>
          <cell r="BM139">
            <v>1150067.6076485696</v>
          </cell>
          <cell r="BN139">
            <v>1171828.9361949472</v>
          </cell>
          <cell r="BO139">
            <v>1160982.5857886667</v>
          </cell>
          <cell r="BP139">
            <v>1194585.6395688858</v>
          </cell>
          <cell r="BQ139">
            <v>1217761.750136476</v>
          </cell>
          <cell r="BR139">
            <v>1206173.6948526811</v>
          </cell>
          <cell r="BS139">
            <v>1241490.5147054079</v>
          </cell>
          <cell r="BT139">
            <v>1265620.7345381966</v>
          </cell>
          <cell r="BU139">
            <v>1253593.6672173396</v>
          </cell>
          <cell r="BV139">
            <v>1290279.7746260057</v>
          </cell>
          <cell r="BW139">
            <v>1315355.0845032842</v>
          </cell>
          <cell r="BX139">
            <v>1302856.9650267996</v>
          </cell>
        </row>
        <row r="140">
          <cell r="B140" t="str">
            <v>Average Non-Interest Bearing Liabilities</v>
          </cell>
          <cell r="C140" t="str">
            <v>AVG_NON_INT_BEARING_LIABS</v>
          </cell>
          <cell r="D140" t="str">
            <v>AUD</v>
          </cell>
          <cell r="F140">
            <v>6406.9698630136991</v>
          </cell>
          <cell r="G140">
            <v>6923.7698630136993</v>
          </cell>
          <cell r="H140">
            <v>9317</v>
          </cell>
          <cell r="I140">
            <v>13029.997260273973</v>
          </cell>
          <cell r="J140">
            <v>14667.147945205481</v>
          </cell>
          <cell r="K140">
            <v>16523.208219178083</v>
          </cell>
          <cell r="L140">
            <v>18814</v>
          </cell>
          <cell r="M140">
            <v>22528.175342465755</v>
          </cell>
          <cell r="N140">
            <v>26614</v>
          </cell>
          <cell r="O140">
            <v>28993</v>
          </cell>
          <cell r="P140">
            <v>27806.758904109593</v>
          </cell>
          <cell r="Q140">
            <v>32783</v>
          </cell>
          <cell r="R140">
            <v>36287</v>
          </cell>
          <cell r="S140">
            <v>34530.200000000004</v>
          </cell>
          <cell r="T140">
            <v>40664</v>
          </cell>
          <cell r="U140">
            <v>42780</v>
          </cell>
          <cell r="V140">
            <v>41722</v>
          </cell>
          <cell r="W140">
            <v>45165</v>
          </cell>
          <cell r="X140">
            <v>47028</v>
          </cell>
          <cell r="Y140">
            <v>43974.135802469136</v>
          </cell>
          <cell r="Z140">
            <v>47108</v>
          </cell>
          <cell r="AA140">
            <v>48053</v>
          </cell>
          <cell r="AB140">
            <v>47579.205479452052</v>
          </cell>
          <cell r="AC140">
            <v>48772</v>
          </cell>
          <cell r="AD140">
            <v>49765</v>
          </cell>
          <cell r="AE140">
            <v>49267.139726027403</v>
          </cell>
          <cell r="AF140">
            <v>52823</v>
          </cell>
          <cell r="AG140">
            <v>56961</v>
          </cell>
          <cell r="AH140">
            <v>54892</v>
          </cell>
          <cell r="AI140">
            <v>60473</v>
          </cell>
          <cell r="AJ140">
            <v>63569</v>
          </cell>
          <cell r="AK140">
            <v>62016.758904109585</v>
          </cell>
          <cell r="AL140">
            <v>69413</v>
          </cell>
          <cell r="AM140">
            <v>69082</v>
          </cell>
          <cell r="AN140">
            <v>69247.953424657535</v>
          </cell>
          <cell r="AO140">
            <v>70994</v>
          </cell>
          <cell r="AP140">
            <v>71552</v>
          </cell>
          <cell r="AQ140">
            <v>71272.235616438353</v>
          </cell>
          <cell r="AR140">
            <v>71884</v>
          </cell>
          <cell r="AS140">
            <v>71214</v>
          </cell>
          <cell r="AT140">
            <v>71549</v>
          </cell>
          <cell r="AU140">
            <v>70928</v>
          </cell>
          <cell r="AV140" t="e">
            <v>#N/A</v>
          </cell>
          <cell r="AW140" t="e">
            <v>#N/A</v>
          </cell>
          <cell r="AX140">
            <v>65531.383173021168</v>
          </cell>
          <cell r="AY140">
            <v>67531.408960598943</v>
          </cell>
          <cell r="AZ140">
            <v>66528.656305457218</v>
          </cell>
          <cell r="BA140">
            <v>69466.3623494231</v>
          </cell>
          <cell r="BB140">
            <v>71419.327072222819</v>
          </cell>
          <cell r="BC140">
            <v>70440.169416682154</v>
          </cell>
          <cell r="BD140">
            <v>73327.600006028253</v>
          </cell>
          <cell r="BE140">
            <v>75144.65283661375</v>
          </cell>
          <cell r="BF140">
            <v>74236.126421321009</v>
          </cell>
          <cell r="BG140">
            <v>76943.222974798598</v>
          </cell>
          <cell r="BH140">
            <v>78641.683885262231</v>
          </cell>
          <cell r="BI140">
            <v>77790.126771248964</v>
          </cell>
          <cell r="BJ140">
            <v>80530.983298886509</v>
          </cell>
          <cell r="BK140">
            <v>82050.979699874835</v>
          </cell>
          <cell r="BL140">
            <v>81288.899312530004</v>
          </cell>
          <cell r="BM140">
            <v>83564.543197258419</v>
          </cell>
          <cell r="BN140">
            <v>85208.440345600175</v>
          </cell>
          <cell r="BO140">
            <v>84384.239857527471</v>
          </cell>
          <cell r="BP140">
            <v>86865.742244657071</v>
          </cell>
          <cell r="BQ140">
            <v>88610.650252441468</v>
          </cell>
          <cell r="BR140">
            <v>87738.19624854927</v>
          </cell>
          <cell r="BS140">
            <v>90369.358437994146</v>
          </cell>
          <cell r="BT140">
            <v>92189.795892733629</v>
          </cell>
          <cell r="BU140">
            <v>91277.083415425892</v>
          </cell>
          <cell r="BV140">
            <v>94024.300706822381</v>
          </cell>
          <cell r="BW140">
            <v>95917.08945462713</v>
          </cell>
          <cell r="BX140">
            <v>94968.102219426393</v>
          </cell>
        </row>
        <row r="141">
          <cell r="B141" t="str">
            <v>Average Other Liabilities</v>
          </cell>
          <cell r="C141" t="str">
            <v>AVG_OTHER_LIABS</v>
          </cell>
          <cell r="D141" t="str">
            <v>AUD</v>
          </cell>
          <cell r="F141">
            <v>27788</v>
          </cell>
          <cell r="G141">
            <v>34015</v>
          </cell>
          <cell r="H141">
            <v>43040</v>
          </cell>
          <cell r="I141">
            <v>66065</v>
          </cell>
          <cell r="J141">
            <v>52693</v>
          </cell>
          <cell r="K141">
            <v>57068</v>
          </cell>
          <cell r="L141">
            <v>58227</v>
          </cell>
          <cell r="M141">
            <v>58969</v>
          </cell>
          <cell r="N141">
            <v>55930</v>
          </cell>
          <cell r="O141">
            <v>54923</v>
          </cell>
          <cell r="P141">
            <v>55425</v>
          </cell>
          <cell r="Q141">
            <v>70254</v>
          </cell>
          <cell r="R141">
            <v>76369</v>
          </cell>
          <cell r="S141">
            <v>73320</v>
          </cell>
          <cell r="T141">
            <v>76375</v>
          </cell>
          <cell r="U141">
            <v>79797</v>
          </cell>
          <cell r="V141">
            <v>78086</v>
          </cell>
          <cell r="W141">
            <v>69087</v>
          </cell>
          <cell r="X141">
            <v>60786</v>
          </cell>
          <cell r="Y141">
            <v>64926</v>
          </cell>
          <cell r="Z141">
            <v>48604</v>
          </cell>
          <cell r="AA141">
            <v>47740</v>
          </cell>
          <cell r="AB141">
            <v>47263</v>
          </cell>
          <cell r="AC141">
            <v>45603</v>
          </cell>
          <cell r="AD141">
            <v>49203</v>
          </cell>
          <cell r="AE141">
            <v>47408</v>
          </cell>
          <cell r="AF141">
            <v>49295</v>
          </cell>
          <cell r="AG141">
            <v>53667</v>
          </cell>
          <cell r="AH141">
            <v>51481</v>
          </cell>
          <cell r="AI141">
            <v>42037</v>
          </cell>
          <cell r="AJ141">
            <v>31582</v>
          </cell>
          <cell r="AK141">
            <v>85295</v>
          </cell>
          <cell r="AL141">
            <v>83397</v>
          </cell>
          <cell r="AM141">
            <v>87596</v>
          </cell>
          <cell r="AN141">
            <v>85501</v>
          </cell>
          <cell r="AO141">
            <v>82822</v>
          </cell>
          <cell r="AP141">
            <v>80547.12</v>
          </cell>
          <cell r="AQ141">
            <v>82555.324999999953</v>
          </cell>
          <cell r="AR141">
            <v>84477.364999999991</v>
          </cell>
          <cell r="AS141">
            <v>88136.244999999995</v>
          </cell>
          <cell r="AT141">
            <v>86592.469999999972</v>
          </cell>
          <cell r="AU141">
            <v>96838.364999999991</v>
          </cell>
          <cell r="AV141" t="e">
            <v>#N/A</v>
          </cell>
          <cell r="AW141" t="e">
            <v>#N/A</v>
          </cell>
          <cell r="AX141">
            <v>100887.99673137651</v>
          </cell>
          <cell r="AY141">
            <v>103967.11066655873</v>
          </cell>
          <cell r="AZ141">
            <v>102336.80266863562</v>
          </cell>
          <cell r="BA141">
            <v>106946.04322855943</v>
          </cell>
          <cell r="BB141">
            <v>109952.70490774442</v>
          </cell>
          <cell r="BC141">
            <v>108372.47437555436</v>
          </cell>
          <cell r="BD141">
            <v>112890.56191894202</v>
          </cell>
          <cell r="BE141">
            <v>115687.98219540459</v>
          </cell>
          <cell r="BF141">
            <v>114289.27205717331</v>
          </cell>
          <cell r="BG141">
            <v>118456.94768089196</v>
          </cell>
          <cell r="BH141">
            <v>121071.79129453585</v>
          </cell>
          <cell r="BI141">
            <v>119692.0384035951</v>
          </cell>
          <cell r="BJ141">
            <v>123980.43786717206</v>
          </cell>
          <cell r="BK141">
            <v>126320.5287443893</v>
          </cell>
          <cell r="BL141">
            <v>125086.60890758224</v>
          </cell>
          <cell r="BM141">
            <v>128650.71592773614</v>
          </cell>
          <cell r="BN141">
            <v>131181.55660434347</v>
          </cell>
          <cell r="BO141">
            <v>129848.54545499058</v>
          </cell>
          <cell r="BP141">
            <v>133733.03439222253</v>
          </cell>
          <cell r="BQ141">
            <v>136419.38503617444</v>
          </cell>
          <cell r="BR141">
            <v>135076.20971419825</v>
          </cell>
          <cell r="BS141">
            <v>139126.98156602355</v>
          </cell>
          <cell r="BT141">
            <v>141929.61259699869</v>
          </cell>
          <cell r="BU141">
            <v>140453.360169722</v>
          </cell>
          <cell r="BV141">
            <v>144753.90084983199</v>
          </cell>
          <cell r="BW141">
            <v>147667.91938195308</v>
          </cell>
          <cell r="BX141">
            <v>146133.03310797177</v>
          </cell>
        </row>
        <row r="142">
          <cell r="B142" t="str">
            <v>Net Free Funds</v>
          </cell>
          <cell r="C142" t="str">
            <v>NET_FREE_FUNDS</v>
          </cell>
          <cell r="D142" t="str">
            <v>AUD</v>
          </cell>
          <cell r="F142">
            <v>11281</v>
          </cell>
          <cell r="G142">
            <v>10539</v>
          </cell>
          <cell r="H142">
            <v>12219</v>
          </cell>
          <cell r="I142">
            <v>12084</v>
          </cell>
          <cell r="J142">
            <v>18355</v>
          </cell>
          <cell r="K142">
            <v>18160</v>
          </cell>
          <cell r="L142">
            <v>18404</v>
          </cell>
          <cell r="M142">
            <v>16865</v>
          </cell>
          <cell r="N142">
            <v>13703</v>
          </cell>
          <cell r="O142">
            <v>12305</v>
          </cell>
          <cell r="P142">
            <v>13002</v>
          </cell>
          <cell r="Q142">
            <v>7778</v>
          </cell>
          <cell r="R142">
            <v>9509</v>
          </cell>
          <cell r="S142">
            <v>8646</v>
          </cell>
          <cell r="T142">
            <v>13441</v>
          </cell>
          <cell r="U142">
            <v>12249</v>
          </cell>
          <cell r="V142">
            <v>12845</v>
          </cell>
          <cell r="W142">
            <v>9963</v>
          </cell>
          <cell r="X142">
            <v>12571</v>
          </cell>
          <cell r="Y142">
            <v>11271</v>
          </cell>
          <cell r="Z142">
            <v>11127</v>
          </cell>
          <cell r="AA142">
            <v>12576</v>
          </cell>
          <cell r="AB142">
            <v>11849.515068493152</v>
          </cell>
          <cell r="AC142">
            <v>16509</v>
          </cell>
          <cell r="AD142">
            <v>14241</v>
          </cell>
          <cell r="AE142">
            <v>15378.106849315069</v>
          </cell>
          <cell r="AF142">
            <v>17580</v>
          </cell>
          <cell r="AG142">
            <v>24790</v>
          </cell>
          <cell r="AH142">
            <v>21185</v>
          </cell>
          <cell r="AI142">
            <v>23190</v>
          </cell>
          <cell r="AJ142">
            <v>19011</v>
          </cell>
          <cell r="AK142">
            <v>69595</v>
          </cell>
          <cell r="AL142">
            <v>68769</v>
          </cell>
          <cell r="AM142">
            <v>67302</v>
          </cell>
          <cell r="AN142">
            <v>67266</v>
          </cell>
          <cell r="AO142">
            <v>70101</v>
          </cell>
          <cell r="AP142">
            <v>72100.12</v>
          </cell>
          <cell r="AQ142">
            <v>71050.325000000012</v>
          </cell>
          <cell r="AR142">
            <v>72132.364999999991</v>
          </cell>
          <cell r="AS142">
            <v>69072.244999999995</v>
          </cell>
          <cell r="AT142">
            <v>70887.47</v>
          </cell>
          <cell r="AU142">
            <v>60164.364999999991</v>
          </cell>
          <cell r="AV142" t="e">
            <v>#N/A</v>
          </cell>
          <cell r="AW142" t="e">
            <v>#N/A</v>
          </cell>
          <cell r="AX142">
            <v>62131.523352788237</v>
          </cell>
          <cell r="AY142">
            <v>62434.938509757703</v>
          </cell>
          <cell r="AZ142">
            <v>62263.226311889826</v>
          </cell>
          <cell r="BA142">
            <v>62857.1531269064</v>
          </cell>
          <cell r="BB142">
            <v>63229.249456853024</v>
          </cell>
          <cell r="BC142">
            <v>63026.461142918968</v>
          </cell>
          <cell r="BD142">
            <v>63608.441592534255</v>
          </cell>
          <cell r="BE142">
            <v>63912.17374597388</v>
          </cell>
          <cell r="BF142">
            <v>63760.307669254253</v>
          </cell>
          <cell r="BG142">
            <v>64243.097627124436</v>
          </cell>
          <cell r="BH142">
            <v>64549.137033368926</v>
          </cell>
          <cell r="BI142">
            <v>64380.271390027192</v>
          </cell>
          <cell r="BJ142">
            <v>65606.981321936328</v>
          </cell>
          <cell r="BK142">
            <v>66584.164140309571</v>
          </cell>
          <cell r="BL142">
            <v>66082.105048116413</v>
          </cell>
          <cell r="BM142">
            <v>67543.578129364105</v>
          </cell>
          <cell r="BN142">
            <v>68511.956704534314</v>
          </cell>
          <cell r="BO142">
            <v>68013.485724773782</v>
          </cell>
          <cell r="BP142">
            <v>69347.062672705812</v>
          </cell>
          <cell r="BQ142">
            <v>70166.569124757822</v>
          </cell>
          <cell r="BR142">
            <v>69756.815898731875</v>
          </cell>
          <cell r="BS142">
            <v>70920.725811399665</v>
          </cell>
          <cell r="BT142">
            <v>71722.685608747124</v>
          </cell>
          <cell r="BU142">
            <v>71305.672587483365</v>
          </cell>
          <cell r="BV142">
            <v>72502.825113909057</v>
          </cell>
          <cell r="BW142">
            <v>73339.758267670142</v>
          </cell>
          <cell r="BX142">
            <v>72904.632537221769</v>
          </cell>
        </row>
        <row r="143">
          <cell r="B143" t="str">
            <v>Gross Loans &amp; Advances</v>
          </cell>
          <cell r="C143" t="str">
            <v>GROSS_LOANS_ADVANCES</v>
          </cell>
          <cell r="D143" t="str">
            <v>AUD</v>
          </cell>
          <cell r="F143">
            <v>235684</v>
          </cell>
          <cell r="G143">
            <v>276746</v>
          </cell>
          <cell r="H143">
            <v>435875</v>
          </cell>
          <cell r="I143">
            <v>467843</v>
          </cell>
          <cell r="J143">
            <v>482366</v>
          </cell>
          <cell r="K143">
            <v>500654</v>
          </cell>
          <cell r="L143">
            <v>518279</v>
          </cell>
          <cell r="M143">
            <v>539806</v>
          </cell>
          <cell r="N143">
            <v>568057</v>
          </cell>
          <cell r="O143">
            <v>583516</v>
          </cell>
          <cell r="P143">
            <v>583516</v>
          </cell>
          <cell r="Q143">
            <v>608264</v>
          </cell>
          <cell r="R143">
            <v>626344</v>
          </cell>
          <cell r="S143">
            <v>626344</v>
          </cell>
          <cell r="T143">
            <v>644054</v>
          </cell>
          <cell r="U143">
            <v>665256</v>
          </cell>
          <cell r="V143">
            <v>665256</v>
          </cell>
          <cell r="W143">
            <v>670208</v>
          </cell>
          <cell r="X143">
            <v>687785</v>
          </cell>
          <cell r="Y143">
            <v>687785</v>
          </cell>
          <cell r="Z143">
            <v>704306</v>
          </cell>
          <cell r="AA143">
            <v>712504</v>
          </cell>
          <cell r="AB143">
            <v>712504</v>
          </cell>
          <cell r="AC143">
            <v>717934</v>
          </cell>
          <cell r="AD143">
            <v>718378</v>
          </cell>
          <cell r="AE143">
            <v>718378</v>
          </cell>
          <cell r="AF143">
            <v>724868</v>
          </cell>
          <cell r="AG143">
            <v>698661</v>
          </cell>
          <cell r="AH143">
            <v>698661</v>
          </cell>
          <cell r="AI143">
            <v>693131</v>
          </cell>
          <cell r="AJ143">
            <v>714373</v>
          </cell>
          <cell r="AK143">
            <v>714373</v>
          </cell>
          <cell r="AL143">
            <v>723751</v>
          </cell>
          <cell r="AM143">
            <v>743853</v>
          </cell>
          <cell r="AN143">
            <v>743853</v>
          </cell>
          <cell r="AO143">
            <v>754401</v>
          </cell>
          <cell r="AP143">
            <v>777687</v>
          </cell>
          <cell r="AQ143">
            <v>777687</v>
          </cell>
          <cell r="AR143">
            <v>789421</v>
          </cell>
          <cell r="AS143">
            <v>811335</v>
          </cell>
          <cell r="AT143">
            <v>811335</v>
          </cell>
          <cell r="AU143">
            <v>829386</v>
          </cell>
          <cell r="AV143" t="e">
            <v>#N/A</v>
          </cell>
          <cell r="AW143" t="e">
            <v>#N/A</v>
          </cell>
          <cell r="AX143">
            <v>888507.29016574705</v>
          </cell>
          <cell r="AY143">
            <v>911238.68950926862</v>
          </cell>
          <cell r="AZ143">
            <v>911238.68950926862</v>
          </cell>
          <cell r="BA143">
            <v>934370.20257376926</v>
          </cell>
          <cell r="BB143">
            <v>958170.45869354089</v>
          </cell>
          <cell r="BC143">
            <v>958170.45869354089</v>
          </cell>
          <cell r="BD143">
            <v>980936.42445540347</v>
          </cell>
          <cell r="BE143">
            <v>1003925.2332557276</v>
          </cell>
          <cell r="BF143">
            <v>1003925.2332557276</v>
          </cell>
          <cell r="BG143">
            <v>1026369.56304273</v>
          </cell>
          <cell r="BH143">
            <v>1048211.8719759641</v>
          </cell>
          <cell r="BI143">
            <v>1048211.8719759641</v>
          </cell>
          <cell r="BJ143">
            <v>1069013.0214361092</v>
          </cell>
          <cell r="BK143">
            <v>1088669.6840102575</v>
          </cell>
          <cell r="BL143">
            <v>1088669.6840102575</v>
          </cell>
          <cell r="BM143">
            <v>1109411.9070496382</v>
          </cell>
          <cell r="BN143">
            <v>1131218.3639882843</v>
          </cell>
          <cell r="BO143">
            <v>1131218.3639882843</v>
          </cell>
          <cell r="BP143">
            <v>1153457.6446128371</v>
          </cell>
          <cell r="BQ143">
            <v>1176138.3870969941</v>
          </cell>
          <cell r="BR143">
            <v>1176138.3870969941</v>
          </cell>
          <cell r="BS143">
            <v>1199269.4025450733</v>
          </cell>
          <cell r="BT143">
            <v>1222859.6784599812</v>
          </cell>
          <cell r="BU143">
            <v>1222859.6784599812</v>
          </cell>
          <cell r="BV143">
            <v>1246918.3822807912</v>
          </cell>
          <cell r="BW143">
            <v>1271454.8649913401</v>
          </cell>
          <cell r="BX143">
            <v>1271454.8649913401</v>
          </cell>
        </row>
        <row r="144">
          <cell r="B144" t="str">
            <v>Specific Provision For Doubtful Debts</v>
          </cell>
          <cell r="C144" t="str">
            <v>SPECIFIC_PROV_DOUBTFUL</v>
          </cell>
          <cell r="D144" t="str">
            <v>AUD</v>
          </cell>
          <cell r="F144">
            <v>164</v>
          </cell>
          <cell r="G144">
            <v>148</v>
          </cell>
          <cell r="H144">
            <v>413</v>
          </cell>
          <cell r="I144">
            <v>1228</v>
          </cell>
          <cell r="J144">
            <v>1622</v>
          </cell>
          <cell r="K144">
            <v>1461</v>
          </cell>
          <cell r="L144">
            <v>1470</v>
          </cell>
          <cell r="M144">
            <v>1364</v>
          </cell>
          <cell r="N144">
            <v>1139</v>
          </cell>
          <cell r="O144">
            <v>867</v>
          </cell>
          <cell r="P144">
            <v>867</v>
          </cell>
          <cell r="Q144">
            <v>806</v>
          </cell>
          <cell r="R144">
            <v>669</v>
          </cell>
          <cell r="S144">
            <v>669</v>
          </cell>
          <cell r="T144">
            <v>952</v>
          </cell>
          <cell r="U144">
            <v>869</v>
          </cell>
          <cell r="V144">
            <v>869</v>
          </cell>
          <cell r="W144">
            <v>787</v>
          </cell>
          <cell r="X144">
            <v>480</v>
          </cell>
          <cell r="Y144">
            <v>480</v>
          </cell>
          <cell r="Z144">
            <v>471</v>
          </cell>
          <cell r="AA144">
            <v>422</v>
          </cell>
          <cell r="AB144">
            <v>422</v>
          </cell>
          <cell r="AC144">
            <v>433</v>
          </cell>
          <cell r="AD144">
            <v>412</v>
          </cell>
          <cell r="AE144">
            <v>412</v>
          </cell>
          <cell r="AF144">
            <v>606</v>
          </cell>
          <cell r="AG144">
            <v>611</v>
          </cell>
          <cell r="AH144">
            <v>611</v>
          </cell>
          <cell r="AI144">
            <v>564</v>
          </cell>
          <cell r="AJ144">
            <v>832</v>
          </cell>
          <cell r="AK144">
            <v>832</v>
          </cell>
          <cell r="AL144">
            <v>501</v>
          </cell>
          <cell r="AM144">
            <v>452</v>
          </cell>
          <cell r="AN144">
            <v>452</v>
          </cell>
          <cell r="AO144">
            <v>382</v>
          </cell>
          <cell r="AP144">
            <v>351</v>
          </cell>
          <cell r="AQ144">
            <v>351</v>
          </cell>
          <cell r="AR144">
            <v>461</v>
          </cell>
          <cell r="AS144">
            <v>536</v>
          </cell>
          <cell r="AT144">
            <v>536</v>
          </cell>
          <cell r="AU144">
            <v>611</v>
          </cell>
          <cell r="AV144" t="e">
            <v>#N/A</v>
          </cell>
          <cell r="AW144" t="e">
            <v>#N/A</v>
          </cell>
          <cell r="AX144">
            <v>410.91504833966729</v>
          </cell>
          <cell r="AY144">
            <v>241.47045052705772</v>
          </cell>
          <cell r="AZ144">
            <v>241.47045052705772</v>
          </cell>
          <cell r="BA144">
            <v>43.727598733106049</v>
          </cell>
          <cell r="BB144">
            <v>-180.84485800936665</v>
          </cell>
          <cell r="BC144">
            <v>-180.84485800936665</v>
          </cell>
          <cell r="BD144">
            <v>-375.70589970677321</v>
          </cell>
          <cell r="BE144">
            <v>-540.10025387843029</v>
          </cell>
          <cell r="BF144">
            <v>-540.10025387843029</v>
          </cell>
          <cell r="BG144">
            <v>-689.63500439167672</v>
          </cell>
          <cell r="BH144">
            <v>-826.82153737661736</v>
          </cell>
          <cell r="BI144">
            <v>-826.82153737661736</v>
          </cell>
          <cell r="BJ144">
            <v>-1022.051947749317</v>
          </cell>
          <cell r="BK144">
            <v>-1272.7883794162931</v>
          </cell>
          <cell r="BL144">
            <v>-1272.7883794162931</v>
          </cell>
          <cell r="BM144">
            <v>-1308.33806999169</v>
          </cell>
          <cell r="BN144">
            <v>-1346.1317172972524</v>
          </cell>
          <cell r="BO144">
            <v>-1346.1317172972524</v>
          </cell>
          <cell r="BP144">
            <v>-1385.0312254986243</v>
          </cell>
          <cell r="BQ144">
            <v>-1425.0692656203012</v>
          </cell>
          <cell r="BR144">
            <v>-1425.0692656203012</v>
          </cell>
          <cell r="BS144">
            <v>-1466.2794807680043</v>
          </cell>
          <cell r="BT144">
            <v>-1508.6965152010812</v>
          </cell>
          <cell r="BU144">
            <v>-1508.6965152010812</v>
          </cell>
          <cell r="BV144">
            <v>-1552.3560442776188</v>
          </cell>
          <cell r="BW144">
            <v>-1597.2948052985491</v>
          </cell>
          <cell r="BX144">
            <v>-1597.2948052985491</v>
          </cell>
        </row>
        <row r="145">
          <cell r="B145" t="str">
            <v>General Provision For Doubtful Debts</v>
          </cell>
          <cell r="C145" t="str">
            <v>GENERAL_PROV_DOUBTFUL</v>
          </cell>
          <cell r="D145" t="str">
            <v>AUD</v>
          </cell>
          <cell r="F145">
            <v>1194</v>
          </cell>
          <cell r="G145">
            <v>1410</v>
          </cell>
          <cell r="H145">
            <v>1761</v>
          </cell>
          <cell r="I145">
            <v>3506</v>
          </cell>
          <cell r="J145">
            <v>3439</v>
          </cell>
          <cell r="K145">
            <v>2953</v>
          </cell>
          <cell r="L145">
            <v>2771</v>
          </cell>
          <cell r="M145">
            <v>2585</v>
          </cell>
          <cell r="N145">
            <v>2652</v>
          </cell>
          <cell r="O145">
            <v>2614</v>
          </cell>
          <cell r="P145">
            <v>2614</v>
          </cell>
          <cell r="Q145">
            <v>2699</v>
          </cell>
          <cell r="R145">
            <v>2663</v>
          </cell>
          <cell r="S145">
            <v>2663</v>
          </cell>
          <cell r="T145">
            <v>2717</v>
          </cell>
          <cell r="U145">
            <v>2733</v>
          </cell>
          <cell r="V145">
            <v>2733</v>
          </cell>
          <cell r="W145">
            <v>2726</v>
          </cell>
          <cell r="X145">
            <v>2639</v>
          </cell>
          <cell r="Y145">
            <v>2639</v>
          </cell>
          <cell r="Z145">
            <v>2694</v>
          </cell>
          <cell r="AA145">
            <v>2631</v>
          </cell>
          <cell r="AB145">
            <v>2631</v>
          </cell>
          <cell r="AC145">
            <v>3552</v>
          </cell>
          <cell r="AD145">
            <v>3501</v>
          </cell>
          <cell r="AE145">
            <v>3501</v>
          </cell>
          <cell r="AF145">
            <v>5160</v>
          </cell>
          <cell r="AG145">
            <v>5521</v>
          </cell>
          <cell r="AH145">
            <v>5521</v>
          </cell>
          <cell r="AI145">
            <v>4918</v>
          </cell>
          <cell r="AJ145">
            <v>4167</v>
          </cell>
          <cell r="AK145">
            <v>4167</v>
          </cell>
          <cell r="AL145">
            <v>4174</v>
          </cell>
          <cell r="AM145">
            <v>4173</v>
          </cell>
          <cell r="AN145">
            <v>4173</v>
          </cell>
          <cell r="AO145">
            <v>4530</v>
          </cell>
          <cell r="AP145">
            <v>4579</v>
          </cell>
          <cell r="AQ145">
            <v>4579</v>
          </cell>
          <cell r="AR145">
            <v>4660</v>
          </cell>
          <cell r="AS145">
            <v>4548</v>
          </cell>
          <cell r="AT145">
            <v>4548</v>
          </cell>
          <cell r="AU145">
            <v>4451</v>
          </cell>
          <cell r="AV145" t="e">
            <v>#N/A</v>
          </cell>
          <cell r="AW145" t="e">
            <v>#N/A</v>
          </cell>
          <cell r="AX145">
            <v>4469.3159333867598</v>
          </cell>
          <cell r="AY145">
            <v>4492.4202755084607</v>
          </cell>
          <cell r="AZ145">
            <v>4492.4202755084607</v>
          </cell>
          <cell r="BA145">
            <v>4515.9478086389754</v>
          </cell>
          <cell r="BB145">
            <v>4538.4377635842902</v>
          </cell>
          <cell r="BC145">
            <v>4538.4377635842902</v>
          </cell>
          <cell r="BD145">
            <v>4618.5323513191152</v>
          </cell>
          <cell r="BE145">
            <v>4699.0139244822922</v>
          </cell>
          <cell r="BF145">
            <v>4699.0139244822922</v>
          </cell>
          <cell r="BG145">
            <v>4778.8662979102355</v>
          </cell>
          <cell r="BH145">
            <v>4858.0648210835507</v>
          </cell>
          <cell r="BI145">
            <v>4858.0648210835507</v>
          </cell>
          <cell r="BJ145">
            <v>4969.7298536812978</v>
          </cell>
          <cell r="BK145">
            <v>5080.9751254554712</v>
          </cell>
          <cell r="BL145">
            <v>5080.9751254554712</v>
          </cell>
          <cell r="BM145">
            <v>5134.986042514729</v>
          </cell>
          <cell r="BN145">
            <v>5193.2206138771817</v>
          </cell>
          <cell r="BO145">
            <v>5193.2206138771817</v>
          </cell>
          <cell r="BP145">
            <v>5292.9811492314138</v>
          </cell>
          <cell r="BQ145">
            <v>5394.6953659843675</v>
          </cell>
          <cell r="BR145">
            <v>5394.6953659843675</v>
          </cell>
          <cell r="BS145">
            <v>5498.4019546573063</v>
          </cell>
          <cell r="BT145">
            <v>5604.1403769033859</v>
          </cell>
          <cell r="BU145">
            <v>5604.1403769033859</v>
          </cell>
          <cell r="BV145">
            <v>5711.9508809327363</v>
          </cell>
          <cell r="BW145">
            <v>5821.8745172467534</v>
          </cell>
          <cell r="BX145">
            <v>5821.8745172467534</v>
          </cell>
        </row>
        <row r="146">
          <cell r="B146" t="str">
            <v>Unearned income</v>
          </cell>
          <cell r="C146" t="str">
            <v>UNEARNED_INCOME</v>
          </cell>
          <cell r="D146" t="str">
            <v>AUD</v>
          </cell>
          <cell r="F146">
            <v>0</v>
          </cell>
          <cell r="G146">
            <v>0</v>
          </cell>
          <cell r="H146">
            <v>0</v>
          </cell>
          <cell r="I146">
            <v>-350</v>
          </cell>
          <cell r="J146">
            <v>-350</v>
          </cell>
          <cell r="K146">
            <v>-369</v>
          </cell>
          <cell r="L146">
            <v>-407</v>
          </cell>
          <cell r="M146">
            <v>-307</v>
          </cell>
          <cell r="N146">
            <v>-303</v>
          </cell>
          <cell r="O146">
            <v>-308</v>
          </cell>
          <cell r="P146">
            <v>-308</v>
          </cell>
          <cell r="Q146">
            <v>-305</v>
          </cell>
          <cell r="R146">
            <v>-304</v>
          </cell>
          <cell r="S146">
            <v>-304</v>
          </cell>
          <cell r="T146">
            <v>-302</v>
          </cell>
          <cell r="U146">
            <v>-272</v>
          </cell>
          <cell r="V146">
            <v>-272</v>
          </cell>
          <cell r="W146">
            <v>-251</v>
          </cell>
          <cell r="X146">
            <v>-253</v>
          </cell>
          <cell r="Y146">
            <v>-253</v>
          </cell>
          <cell r="Z146">
            <v>-252</v>
          </cell>
          <cell r="AA146">
            <v>-239</v>
          </cell>
          <cell r="AB146">
            <v>-239</v>
          </cell>
          <cell r="AC146">
            <v>-337</v>
          </cell>
          <cell r="AD146">
            <v>-305</v>
          </cell>
          <cell r="AE146">
            <v>-305</v>
          </cell>
          <cell r="AF146">
            <v>-576</v>
          </cell>
          <cell r="AG146">
            <v>-530</v>
          </cell>
          <cell r="AH146">
            <v>-530</v>
          </cell>
          <cell r="AI146">
            <v>-477</v>
          </cell>
          <cell r="AJ146">
            <v>-401</v>
          </cell>
          <cell r="AK146">
            <v>-401</v>
          </cell>
          <cell r="AL146">
            <v>-480</v>
          </cell>
          <cell r="AM146">
            <v>-419</v>
          </cell>
          <cell r="AN146">
            <v>-419</v>
          </cell>
          <cell r="AO146">
            <v>-442</v>
          </cell>
          <cell r="AP146">
            <v>-497</v>
          </cell>
          <cell r="AQ146">
            <v>-497</v>
          </cell>
          <cell r="AR146">
            <v>-539</v>
          </cell>
          <cell r="AS146">
            <v>-516</v>
          </cell>
          <cell r="AT146">
            <v>-516</v>
          </cell>
          <cell r="AU146">
            <v>-484</v>
          </cell>
          <cell r="AV146" t="e">
            <v>#N/A</v>
          </cell>
          <cell r="AW146" t="e">
            <v>#N/A</v>
          </cell>
          <cell r="AX146">
            <v>-469</v>
          </cell>
          <cell r="AY146">
            <v>-469</v>
          </cell>
          <cell r="AZ146">
            <v>-469</v>
          </cell>
          <cell r="BA146">
            <v>-469</v>
          </cell>
          <cell r="BB146">
            <v>-469</v>
          </cell>
          <cell r="BC146">
            <v>-469</v>
          </cell>
          <cell r="BD146">
            <v>-469</v>
          </cell>
          <cell r="BE146">
            <v>-469</v>
          </cell>
          <cell r="BF146">
            <v>-469</v>
          </cell>
          <cell r="BG146">
            <v>-469</v>
          </cell>
          <cell r="BH146">
            <v>-469</v>
          </cell>
          <cell r="BI146">
            <v>-469</v>
          </cell>
          <cell r="BJ146">
            <v>-469</v>
          </cell>
          <cell r="BK146">
            <v>-469</v>
          </cell>
          <cell r="BL146">
            <v>-469</v>
          </cell>
          <cell r="BM146">
            <v>-469</v>
          </cell>
          <cell r="BN146">
            <v>-469</v>
          </cell>
          <cell r="BO146">
            <v>-469</v>
          </cell>
          <cell r="BP146">
            <v>-469</v>
          </cell>
          <cell r="BQ146">
            <v>-469</v>
          </cell>
          <cell r="BR146">
            <v>-469</v>
          </cell>
          <cell r="BS146">
            <v>-469</v>
          </cell>
          <cell r="BT146">
            <v>-469</v>
          </cell>
          <cell r="BU146">
            <v>-469</v>
          </cell>
          <cell r="BV146">
            <v>-469</v>
          </cell>
          <cell r="BW146">
            <v>-469</v>
          </cell>
          <cell r="BX146">
            <v>-469</v>
          </cell>
        </row>
        <row r="147">
          <cell r="B147" t="str">
            <v>Acceptances</v>
          </cell>
          <cell r="C147" t="str">
            <v>ACCEPTANCES_ASSETS</v>
          </cell>
          <cell r="D147" t="str">
            <v>AUD</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t="e">
            <v>#N/A</v>
          </cell>
          <cell r="AW147" t="e">
            <v>#N/A</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cell r="BM147">
            <v>0</v>
          </cell>
          <cell r="BN147">
            <v>0</v>
          </cell>
          <cell r="BO147">
            <v>0</v>
          </cell>
          <cell r="BP147">
            <v>0</v>
          </cell>
          <cell r="BQ147">
            <v>0</v>
          </cell>
          <cell r="BR147">
            <v>0</v>
          </cell>
          <cell r="BS147">
            <v>0</v>
          </cell>
          <cell r="BT147">
            <v>0</v>
          </cell>
          <cell r="BU147">
            <v>0</v>
          </cell>
          <cell r="BV147">
            <v>0</v>
          </cell>
          <cell r="BW147">
            <v>0</v>
          </cell>
          <cell r="BX147">
            <v>0</v>
          </cell>
        </row>
        <row r="148">
          <cell r="B148" t="str">
            <v>Liquid Assets (incl. regulatory deposits)</v>
          </cell>
          <cell r="C148" t="str">
            <v>LIQUID_ASSETS</v>
          </cell>
          <cell r="D148" t="str">
            <v>AUD</v>
          </cell>
        </row>
        <row r="149">
          <cell r="B149" t="str">
            <v>Investments (Current assets)</v>
          </cell>
          <cell r="C149" t="str">
            <v>INVESTMENTS</v>
          </cell>
          <cell r="D149" t="str">
            <v>AUD</v>
          </cell>
        </row>
        <row r="150">
          <cell r="B150" t="str">
            <v>Other Intangibles - Depreciable (Net of Amort)</v>
          </cell>
          <cell r="C150" t="str">
            <v>OTHER_INTANGIBLES_DEPREC</v>
          </cell>
          <cell r="D150" t="str">
            <v>AUD</v>
          </cell>
        </row>
        <row r="151">
          <cell r="B151" t="str">
            <v>Other Intangibles - Non-Depreciable (Net of Amort)</v>
          </cell>
          <cell r="C151" t="str">
            <v>OTHER_INTANGIBLES_NON_DEPREC</v>
          </cell>
          <cell r="D151" t="str">
            <v>AUD</v>
          </cell>
        </row>
        <row r="152">
          <cell r="B152" t="str">
            <v>Defined Benefit Surplus</v>
          </cell>
          <cell r="C152" t="str">
            <v>DEFINED_BENEFIT_SURPLUS</v>
          </cell>
          <cell r="D152" t="str">
            <v>AUD</v>
          </cell>
        </row>
        <row r="153">
          <cell r="B153" t="str">
            <v>Other Assets</v>
          </cell>
          <cell r="C153" t="str">
            <v>ASSET_MISC</v>
          </cell>
          <cell r="D153" t="str">
            <v>AUD</v>
          </cell>
        </row>
        <row r="154">
          <cell r="B154" t="str">
            <v>Bonds, notes &amp; subordinated debt</v>
          </cell>
          <cell r="C154" t="str">
            <v>BONDS_NOTES_SUBORD_DEBT</v>
          </cell>
          <cell r="D154" t="str">
            <v>AUD</v>
          </cell>
        </row>
        <row r="155">
          <cell r="B155" t="str">
            <v>Acceptances</v>
          </cell>
          <cell r="C155" t="str">
            <v>ACCEPTANCES_LIABS</v>
          </cell>
          <cell r="D155" t="str">
            <v>AUD</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t="e">
            <v>#N/A</v>
          </cell>
          <cell r="AW155" t="e">
            <v>#N/A</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cell r="BN155">
            <v>0</v>
          </cell>
          <cell r="BO155">
            <v>0</v>
          </cell>
          <cell r="BP155">
            <v>0</v>
          </cell>
          <cell r="BQ155">
            <v>0</v>
          </cell>
          <cell r="BR155">
            <v>0</v>
          </cell>
          <cell r="BS155">
            <v>0</v>
          </cell>
          <cell r="BT155">
            <v>0</v>
          </cell>
          <cell r="BU155">
            <v>0</v>
          </cell>
          <cell r="BV155">
            <v>0</v>
          </cell>
          <cell r="BW155">
            <v>0</v>
          </cell>
          <cell r="BX155">
            <v>0</v>
          </cell>
        </row>
        <row r="156">
          <cell r="B156" t="str">
            <v>Loan capital</v>
          </cell>
          <cell r="C156" t="str">
            <v>LOAN_CAPITAL</v>
          </cell>
          <cell r="D156" t="str">
            <v>AUD</v>
          </cell>
        </row>
        <row r="157">
          <cell r="B157" t="str">
            <v>Financial Instruments/Hedging (Current liab)</v>
          </cell>
          <cell r="C157" t="str">
            <v>FIN_INSTR_HEDGE_CURR_LIABILITY</v>
          </cell>
          <cell r="D157" t="str">
            <v>AUD</v>
          </cell>
        </row>
        <row r="158">
          <cell r="B158" t="str">
            <v>Defined Benefit Obligation</v>
          </cell>
          <cell r="C158" t="str">
            <v>DEFINED_BENEFIT_OBLIGATION</v>
          </cell>
          <cell r="D158" t="str">
            <v>AUD</v>
          </cell>
        </row>
        <row r="159">
          <cell r="B159" t="str">
            <v>Other Liabilities</v>
          </cell>
          <cell r="C159" t="str">
            <v>LIAB_MISC</v>
          </cell>
          <cell r="D159" t="str">
            <v>AUD</v>
          </cell>
        </row>
        <row r="160">
          <cell r="B160" t="str">
            <v>Ordinary Capital</v>
          </cell>
          <cell r="C160" t="str">
            <v>ORD_SHARE_CAPITAL</v>
          </cell>
          <cell r="D160" t="str">
            <v>AUD</v>
          </cell>
          <cell r="F160">
            <v>5468</v>
          </cell>
          <cell r="G160">
            <v>6011</v>
          </cell>
          <cell r="H160">
            <v>6593</v>
          </cell>
          <cell r="I160">
            <v>23496</v>
          </cell>
          <cell r="J160">
            <v>24496</v>
          </cell>
          <cell r="K160">
            <v>25269</v>
          </cell>
          <cell r="L160">
            <v>26163</v>
          </cell>
          <cell r="M160">
            <v>26768</v>
          </cell>
          <cell r="N160">
            <v>26649</v>
          </cell>
          <cell r="O160">
            <v>26639</v>
          </cell>
          <cell r="P160">
            <v>26639</v>
          </cell>
          <cell r="Q160">
            <v>26847</v>
          </cell>
          <cell r="R160">
            <v>28895</v>
          </cell>
          <cell r="S160">
            <v>28895</v>
          </cell>
          <cell r="T160">
            <v>32705</v>
          </cell>
          <cell r="U160">
            <v>33014</v>
          </cell>
          <cell r="V160">
            <v>33014</v>
          </cell>
          <cell r="W160">
            <v>33264</v>
          </cell>
          <cell r="X160">
            <v>34394</v>
          </cell>
          <cell r="Y160">
            <v>34394</v>
          </cell>
          <cell r="Z160">
            <v>34603</v>
          </cell>
          <cell r="AA160">
            <v>35561</v>
          </cell>
          <cell r="AB160">
            <v>35561</v>
          </cell>
          <cell r="AC160">
            <v>35794</v>
          </cell>
          <cell r="AD160">
            <v>36955</v>
          </cell>
          <cell r="AE160">
            <v>36955</v>
          </cell>
          <cell r="AF160">
            <v>39917</v>
          </cell>
          <cell r="AG160">
            <v>39946</v>
          </cell>
          <cell r="AH160">
            <v>39946</v>
          </cell>
          <cell r="AI160">
            <v>40961</v>
          </cell>
          <cell r="AJ160">
            <v>40995</v>
          </cell>
          <cell r="AK160">
            <v>40995</v>
          </cell>
          <cell r="AL160">
            <v>39016</v>
          </cell>
          <cell r="AM160">
            <v>39011</v>
          </cell>
          <cell r="AN160">
            <v>39011</v>
          </cell>
          <cell r="AO160">
            <v>39122</v>
          </cell>
          <cell r="AP160">
            <v>39168</v>
          </cell>
          <cell r="AQ160">
            <v>39168</v>
          </cell>
          <cell r="AR160">
            <v>38224</v>
          </cell>
          <cell r="AS160">
            <v>37208</v>
          </cell>
          <cell r="AT160">
            <v>37208</v>
          </cell>
          <cell r="AU160">
            <v>36571</v>
          </cell>
          <cell r="AV160" t="e">
            <v>#N/A</v>
          </cell>
          <cell r="AW160" t="e">
            <v>#N/A</v>
          </cell>
          <cell r="AX160">
            <v>36345</v>
          </cell>
          <cell r="AY160">
            <v>35705.999999999993</v>
          </cell>
          <cell r="AZ160">
            <v>35705.999999999993</v>
          </cell>
          <cell r="BA160">
            <v>35067</v>
          </cell>
          <cell r="BB160">
            <v>34427.999999999993</v>
          </cell>
          <cell r="BC160">
            <v>34427.999999999993</v>
          </cell>
          <cell r="BD160">
            <v>33788.999999999985</v>
          </cell>
          <cell r="BE160">
            <v>33149.999999999971</v>
          </cell>
          <cell r="BF160">
            <v>33149.999999999985</v>
          </cell>
          <cell r="BG160">
            <v>32510.999999999971</v>
          </cell>
          <cell r="BH160">
            <v>31871.999999999964</v>
          </cell>
          <cell r="BI160">
            <v>31871.999999999993</v>
          </cell>
          <cell r="BJ160">
            <v>31871.999999999956</v>
          </cell>
          <cell r="BK160">
            <v>31871.999999999942</v>
          </cell>
          <cell r="BL160">
            <v>31871.999999999985</v>
          </cell>
          <cell r="BM160">
            <v>31871.999999999935</v>
          </cell>
          <cell r="BN160">
            <v>31871.999999999942</v>
          </cell>
          <cell r="BO160">
            <v>31871.999999999985</v>
          </cell>
          <cell r="BP160">
            <v>31871.999999999949</v>
          </cell>
          <cell r="BQ160">
            <v>31871.999999999956</v>
          </cell>
          <cell r="BR160">
            <v>31871.999999999985</v>
          </cell>
          <cell r="BS160">
            <v>31871.999999999964</v>
          </cell>
          <cell r="BT160">
            <v>31871.999999999964</v>
          </cell>
          <cell r="BU160">
            <v>31871.999999999978</v>
          </cell>
          <cell r="BV160">
            <v>31871.999999999978</v>
          </cell>
          <cell r="BW160">
            <v>31871.999999999978</v>
          </cell>
          <cell r="BX160">
            <v>31871.999999999978</v>
          </cell>
        </row>
        <row r="161">
          <cell r="B161" t="str">
            <v>Net Assets</v>
          </cell>
          <cell r="C161" t="str">
            <v>NET_ASSETS</v>
          </cell>
          <cell r="D161" t="str">
            <v>AUD</v>
          </cell>
          <cell r="F161">
            <v>16098</v>
          </cell>
          <cell r="G161">
            <v>17831</v>
          </cell>
          <cell r="H161">
            <v>19471</v>
          </cell>
          <cell r="I161">
            <v>36571</v>
          </cell>
          <cell r="J161">
            <v>40118</v>
          </cell>
          <cell r="K161">
            <v>43808</v>
          </cell>
          <cell r="L161">
            <v>46219</v>
          </cell>
          <cell r="M161">
            <v>47537</v>
          </cell>
          <cell r="N161">
            <v>48031</v>
          </cell>
          <cell r="O161">
            <v>49337</v>
          </cell>
          <cell r="P161">
            <v>49337</v>
          </cell>
          <cell r="Q161">
            <v>50317</v>
          </cell>
          <cell r="R161">
            <v>53915</v>
          </cell>
          <cell r="S161">
            <v>53915</v>
          </cell>
          <cell r="T161">
            <v>57981</v>
          </cell>
          <cell r="U161">
            <v>58181</v>
          </cell>
          <cell r="V161">
            <v>58181</v>
          </cell>
          <cell r="W161">
            <v>59372</v>
          </cell>
          <cell r="X161">
            <v>61342</v>
          </cell>
          <cell r="Y161">
            <v>61342</v>
          </cell>
          <cell r="Z161">
            <v>62665</v>
          </cell>
          <cell r="AA161">
            <v>64573</v>
          </cell>
          <cell r="AB161">
            <v>64573</v>
          </cell>
          <cell r="AC161">
            <v>63935</v>
          </cell>
          <cell r="AD161">
            <v>65507</v>
          </cell>
          <cell r="AE161">
            <v>65507</v>
          </cell>
          <cell r="AF161">
            <v>67646</v>
          </cell>
          <cell r="AG161">
            <v>68074</v>
          </cell>
          <cell r="AH161">
            <v>68074</v>
          </cell>
          <cell r="AI161">
            <v>72061</v>
          </cell>
          <cell r="AJ161">
            <v>72092</v>
          </cell>
          <cell r="AK161">
            <v>72092</v>
          </cell>
          <cell r="AL161">
            <v>70333</v>
          </cell>
          <cell r="AM161">
            <v>70509</v>
          </cell>
          <cell r="AN161">
            <v>70509</v>
          </cell>
          <cell r="AO161">
            <v>72668</v>
          </cell>
          <cell r="AP161">
            <v>72539</v>
          </cell>
          <cell r="AQ161">
            <v>72539</v>
          </cell>
          <cell r="AR161">
            <v>72560</v>
          </cell>
          <cell r="AS161">
            <v>72052</v>
          </cell>
          <cell r="AT161">
            <v>72052</v>
          </cell>
          <cell r="AU161">
            <v>72052</v>
          </cell>
          <cell r="AV161" t="e">
            <v>#N/A</v>
          </cell>
          <cell r="AW161" t="e">
            <v>#N/A</v>
          </cell>
          <cell r="AX161">
            <v>74114.652339469219</v>
          </cell>
          <cell r="AY161">
            <v>74422.630357905931</v>
          </cell>
          <cell r="AZ161">
            <v>74422.630357905931</v>
          </cell>
          <cell r="BA161">
            <v>74663.910326716621</v>
          </cell>
          <cell r="BB161">
            <v>74965.612582219343</v>
          </cell>
          <cell r="BC161">
            <v>74965.612582219343</v>
          </cell>
          <cell r="BD161">
            <v>75326.749549741129</v>
          </cell>
          <cell r="BE161">
            <v>75651.224442572784</v>
          </cell>
          <cell r="BF161">
            <v>75651.224442572799</v>
          </cell>
          <cell r="BG161">
            <v>76078.549606753455</v>
          </cell>
          <cell r="BH161">
            <v>76514.303820831352</v>
          </cell>
          <cell r="BI161">
            <v>76514.303820831381</v>
          </cell>
          <cell r="BJ161">
            <v>77647.358714097165</v>
          </cell>
          <cell r="BK161">
            <v>78779.090625402619</v>
          </cell>
          <cell r="BL161">
            <v>78779.090625402663</v>
          </cell>
          <cell r="BM161">
            <v>79889.819776992008</v>
          </cell>
          <cell r="BN161">
            <v>80914.818910864706</v>
          </cell>
          <cell r="BO161">
            <v>80914.818910864749</v>
          </cell>
          <cell r="BP161">
            <v>81906.49452547192</v>
          </cell>
          <cell r="BQ161">
            <v>82736.371491619648</v>
          </cell>
          <cell r="BR161">
            <v>82736.371491619677</v>
          </cell>
          <cell r="BS161">
            <v>83662.900724077655</v>
          </cell>
          <cell r="BT161">
            <v>84508.574067068359</v>
          </cell>
          <cell r="BU161">
            <v>84508.574067068374</v>
          </cell>
          <cell r="BV161">
            <v>85460.591887996823</v>
          </cell>
          <cell r="BW161">
            <v>86355.077079428214</v>
          </cell>
          <cell r="BX161">
            <v>86355.077079428214</v>
          </cell>
        </row>
        <row r="162">
          <cell r="B162" t="str">
            <v>Net Tangible Assets</v>
          </cell>
          <cell r="C162" t="str">
            <v>NET_TANGIBLE_ASSETS</v>
          </cell>
          <cell r="D162" t="str">
            <v>AUD</v>
          </cell>
          <cell r="F162">
            <v>13146</v>
          </cell>
          <cell r="G162">
            <v>14842</v>
          </cell>
          <cell r="H162">
            <v>7877</v>
          </cell>
          <cell r="I162">
            <v>25030</v>
          </cell>
          <cell r="J162">
            <v>28614</v>
          </cell>
          <cell r="K162">
            <v>32029</v>
          </cell>
          <cell r="L162">
            <v>34085</v>
          </cell>
          <cell r="M162">
            <v>35196</v>
          </cell>
          <cell r="N162">
            <v>35348</v>
          </cell>
          <cell r="O162">
            <v>36731</v>
          </cell>
          <cell r="P162">
            <v>36731</v>
          </cell>
          <cell r="Q162">
            <v>37725</v>
          </cell>
          <cell r="R162">
            <v>42341</v>
          </cell>
          <cell r="S162">
            <v>42341</v>
          </cell>
          <cell r="T162">
            <v>46516</v>
          </cell>
          <cell r="U162">
            <v>46460</v>
          </cell>
          <cell r="V162">
            <v>46460</v>
          </cell>
          <cell r="W162">
            <v>47733</v>
          </cell>
          <cell r="X162">
            <v>49690</v>
          </cell>
          <cell r="Y162">
            <v>49690</v>
          </cell>
          <cell r="Z162">
            <v>50972</v>
          </cell>
          <cell r="AA162">
            <v>52810</v>
          </cell>
          <cell r="AB162">
            <v>52810</v>
          </cell>
          <cell r="AC162">
            <v>52085</v>
          </cell>
          <cell r="AD162">
            <v>53554</v>
          </cell>
          <cell r="AE162">
            <v>53554</v>
          </cell>
          <cell r="AF162">
            <v>55703</v>
          </cell>
          <cell r="AG162">
            <v>56577</v>
          </cell>
          <cell r="AH162">
            <v>56577</v>
          </cell>
          <cell r="AI162">
            <v>61064</v>
          </cell>
          <cell r="AJ162">
            <v>61983</v>
          </cell>
          <cell r="AK162">
            <v>61983</v>
          </cell>
          <cell r="AL162">
            <v>60269</v>
          </cell>
          <cell r="AM162">
            <v>60182</v>
          </cell>
          <cell r="AN162">
            <v>60182</v>
          </cell>
          <cell r="AO162">
            <v>61944</v>
          </cell>
          <cell r="AP162">
            <v>61653</v>
          </cell>
          <cell r="AQ162">
            <v>61653</v>
          </cell>
          <cell r="AR162">
            <v>61852</v>
          </cell>
          <cell r="AS162">
            <v>61306</v>
          </cell>
          <cell r="AT162">
            <v>61306</v>
          </cell>
          <cell r="AU162">
            <v>61453</v>
          </cell>
          <cell r="AV162" t="e">
            <v>#N/A</v>
          </cell>
          <cell r="AW162" t="e">
            <v>#N/A</v>
          </cell>
          <cell r="AX162">
            <v>63840.358172802553</v>
          </cell>
          <cell r="AY162">
            <v>64233.275794017041</v>
          </cell>
          <cell r="AZ162">
            <v>64233.275794017041</v>
          </cell>
          <cell r="BA162">
            <v>64649.6075664944</v>
          </cell>
          <cell r="BB162">
            <v>65002.924914830452</v>
          </cell>
          <cell r="BC162">
            <v>65002.924914830452</v>
          </cell>
          <cell r="BD162">
            <v>65493.685908782798</v>
          </cell>
          <cell r="BE162">
            <v>65811.289796715151</v>
          </cell>
          <cell r="BF162">
            <v>65811.289796715166</v>
          </cell>
          <cell r="BG162">
            <v>66327.101795231065</v>
          </cell>
          <cell r="BH162">
            <v>66722.009439596499</v>
          </cell>
          <cell r="BI162">
            <v>66722.009439596528</v>
          </cell>
          <cell r="BJ162">
            <v>67920.878696227985</v>
          </cell>
          <cell r="BK162">
            <v>68991.543333729889</v>
          </cell>
          <cell r="BL162">
            <v>68991.543333729933</v>
          </cell>
          <cell r="BM162">
            <v>69980.356685999883</v>
          </cell>
          <cell r="BN162">
            <v>70916.617074258043</v>
          </cell>
          <cell r="BO162">
            <v>70916.617074258087</v>
          </cell>
          <cell r="BP162">
            <v>71818.31518125294</v>
          </cell>
          <cell r="BQ162">
            <v>72575.939101400334</v>
          </cell>
          <cell r="BR162">
            <v>72575.939101400363</v>
          </cell>
          <cell r="BS162">
            <v>73427.207437740799</v>
          </cell>
          <cell r="BT162">
            <v>74215.075983120012</v>
          </cell>
          <cell r="BU162">
            <v>74215.075983120027</v>
          </cell>
          <cell r="BV162">
            <v>75102.020268834211</v>
          </cell>
          <cell r="BW162">
            <v>75948.186350742675</v>
          </cell>
          <cell r="BX162">
            <v>75948.186350742675</v>
          </cell>
        </row>
        <row r="163">
          <cell r="B163" t="str">
            <v>Gross Non-Accrual Loans</v>
          </cell>
          <cell r="C163" t="str">
            <v>GROSS_NON_ACCRUAL</v>
          </cell>
          <cell r="D163" t="str">
            <v>AUD</v>
          </cell>
          <cell r="F163">
            <v>411</v>
          </cell>
          <cell r="G163">
            <v>423</v>
          </cell>
          <cell r="H163">
            <v>1059</v>
          </cell>
          <cell r="I163">
            <v>3526</v>
          </cell>
          <cell r="J163">
            <v>4240</v>
          </cell>
          <cell r="K163">
            <v>4287</v>
          </cell>
          <cell r="L163">
            <v>4034</v>
          </cell>
          <cell r="M163">
            <v>3249</v>
          </cell>
          <cell r="N163">
            <v>2547</v>
          </cell>
          <cell r="O163">
            <v>2030</v>
          </cell>
          <cell r="P163">
            <v>2030</v>
          </cell>
          <cell r="Q163">
            <v>1830</v>
          </cell>
          <cell r="R163">
            <v>1593</v>
          </cell>
          <cell r="S163">
            <v>1593</v>
          </cell>
          <cell r="T163">
            <v>2103</v>
          </cell>
          <cell r="U163">
            <v>1851</v>
          </cell>
          <cell r="V163">
            <v>1851</v>
          </cell>
          <cell r="W163">
            <v>1570</v>
          </cell>
          <cell r="X163">
            <v>1142</v>
          </cell>
          <cell r="Y163">
            <v>1142</v>
          </cell>
          <cell r="Z163">
            <v>1120</v>
          </cell>
          <cell r="AA163">
            <v>1180</v>
          </cell>
          <cell r="AB163">
            <v>1180</v>
          </cell>
          <cell r="AC163">
            <v>1723</v>
          </cell>
          <cell r="AD163">
            <v>2048</v>
          </cell>
          <cell r="AE163">
            <v>2048</v>
          </cell>
          <cell r="AF163">
            <v>2623</v>
          </cell>
          <cell r="AG163">
            <v>3064</v>
          </cell>
          <cell r="AH163">
            <v>3064</v>
          </cell>
          <cell r="AI163">
            <v>2335</v>
          </cell>
          <cell r="AJ163">
            <v>2437</v>
          </cell>
          <cell r="AK163">
            <v>2437</v>
          </cell>
          <cell r="AL163">
            <v>1831</v>
          </cell>
          <cell r="AM163">
            <v>1754</v>
          </cell>
          <cell r="AN163">
            <v>1754</v>
          </cell>
          <cell r="AO163">
            <v>1703</v>
          </cell>
          <cell r="AP163">
            <v>2095</v>
          </cell>
          <cell r="AQ163">
            <v>2095</v>
          </cell>
          <cell r="AR163">
            <v>1999</v>
          </cell>
          <cell r="AS163">
            <v>2147</v>
          </cell>
          <cell r="AT163">
            <v>2147</v>
          </cell>
          <cell r="AU163">
            <v>2343</v>
          </cell>
          <cell r="AV163" t="e">
            <v>#N/A</v>
          </cell>
          <cell r="AW163" t="e">
            <v>#N/A</v>
          </cell>
          <cell r="AX163">
            <v>2078.7709447765542</v>
          </cell>
          <cell r="AY163">
            <v>2074.0285669707555</v>
          </cell>
          <cell r="AZ163">
            <v>2074.0285669707555</v>
          </cell>
          <cell r="BA163">
            <v>2316.5590301314478</v>
          </cell>
          <cell r="BB163">
            <v>2570.2849227496058</v>
          </cell>
          <cell r="BC163">
            <v>2570.2849227496058</v>
          </cell>
          <cell r="BD163">
            <v>2830.6994859005563</v>
          </cell>
          <cell r="BE163">
            <v>3101.0553546570923</v>
          </cell>
          <cell r="BF163">
            <v>3101.0553546570923</v>
          </cell>
          <cell r="BG163">
            <v>2857.5174565186699</v>
          </cell>
          <cell r="BH163">
            <v>2598.8036335364586</v>
          </cell>
          <cell r="BI163">
            <v>2598.8036335364586</v>
          </cell>
          <cell r="BJ163">
            <v>2324.5095427901642</v>
          </cell>
          <cell r="BK163">
            <v>2035.3941274984313</v>
          </cell>
          <cell r="BL163">
            <v>2035.3941274984313</v>
          </cell>
          <cell r="BM163">
            <v>2092.2438227044267</v>
          </cell>
          <cell r="BN163">
            <v>2152.6819670389682</v>
          </cell>
          <cell r="BO163">
            <v>2152.6819670389682</v>
          </cell>
          <cell r="BP163">
            <v>2214.8885615020317</v>
          </cell>
          <cell r="BQ163">
            <v>2278.9158523369629</v>
          </cell>
          <cell r="BR163">
            <v>2278.9158523369629</v>
          </cell>
          <cell r="BS163">
            <v>2344.8176403019415</v>
          </cell>
          <cell r="BT163">
            <v>2412.6493271614472</v>
          </cell>
          <cell r="BU163">
            <v>2412.6493271614472</v>
          </cell>
          <cell r="BV163">
            <v>2482.4679635733269</v>
          </cell>
          <cell r="BW163">
            <v>2554.332298413502</v>
          </cell>
          <cell r="BX163">
            <v>2554.332298413502</v>
          </cell>
        </row>
        <row r="164">
          <cell r="A164" t="str">
            <v>Additional Balance Sheet Items</v>
          </cell>
        </row>
        <row r="165">
          <cell r="B165" t="str">
            <v>Total US$ debt (in US$)</v>
          </cell>
          <cell r="C165" t="str">
            <v>TOT_USD_DEBT</v>
          </cell>
          <cell r="S165">
            <v>33358.5</v>
          </cell>
          <cell r="V165">
            <v>62242.560000000005</v>
          </cell>
          <cell r="Y165">
            <v>62242.560000000005</v>
          </cell>
        </row>
        <row r="166">
          <cell r="B166" t="str">
            <v>% US$ debt hedged (principal)</v>
          </cell>
          <cell r="C166" t="str">
            <v>TOT_PCT_USD_DEBT_HEDGED</v>
          </cell>
          <cell r="F166">
            <v>1</v>
          </cell>
          <cell r="G166">
            <v>1</v>
          </cell>
          <cell r="H166">
            <v>1</v>
          </cell>
          <cell r="I166">
            <v>1</v>
          </cell>
          <cell r="J166">
            <v>1</v>
          </cell>
          <cell r="K166">
            <v>1</v>
          </cell>
          <cell r="L166">
            <v>1</v>
          </cell>
          <cell r="M166">
            <v>1</v>
          </cell>
          <cell r="N166">
            <v>1</v>
          </cell>
          <cell r="O166">
            <v>1</v>
          </cell>
          <cell r="P166">
            <v>1</v>
          </cell>
          <cell r="Q166">
            <v>1</v>
          </cell>
          <cell r="R166">
            <v>1</v>
          </cell>
          <cell r="S166">
            <v>1</v>
          </cell>
          <cell r="T166">
            <v>1</v>
          </cell>
          <cell r="U166">
            <v>1</v>
          </cell>
          <cell r="V166">
            <v>1</v>
          </cell>
          <cell r="W166">
            <v>1</v>
          </cell>
          <cell r="X166">
            <v>1</v>
          </cell>
          <cell r="Y166">
            <v>1</v>
          </cell>
          <cell r="Z166">
            <v>1</v>
          </cell>
          <cell r="AA166">
            <v>1</v>
          </cell>
          <cell r="AB166">
            <v>1</v>
          </cell>
          <cell r="AC166">
            <v>1</v>
          </cell>
          <cell r="AD166">
            <v>1</v>
          </cell>
          <cell r="AE166">
            <v>1</v>
          </cell>
          <cell r="AF166">
            <v>1</v>
          </cell>
          <cell r="AG166">
            <v>1</v>
          </cell>
          <cell r="AH166">
            <v>1</v>
          </cell>
          <cell r="AI166">
            <v>1</v>
          </cell>
          <cell r="AJ166">
            <v>1</v>
          </cell>
          <cell r="AK166">
            <v>1</v>
          </cell>
          <cell r="AL166">
            <v>1</v>
          </cell>
          <cell r="AM166">
            <v>1</v>
          </cell>
          <cell r="AN166">
            <v>1</v>
          </cell>
          <cell r="AO166">
            <v>1</v>
          </cell>
          <cell r="AP166">
            <v>1</v>
          </cell>
          <cell r="AQ166">
            <v>1</v>
          </cell>
          <cell r="AR166">
            <v>1</v>
          </cell>
          <cell r="AS166">
            <v>1</v>
          </cell>
          <cell r="AT166">
            <v>1</v>
          </cell>
          <cell r="AU166">
            <v>1</v>
          </cell>
          <cell r="AV166">
            <v>1</v>
          </cell>
          <cell r="AW166">
            <v>1</v>
          </cell>
          <cell r="AX166">
            <v>1</v>
          </cell>
          <cell r="AY166">
            <v>1</v>
          </cell>
          <cell r="AZ166">
            <v>1</v>
          </cell>
          <cell r="BA166">
            <v>1</v>
          </cell>
          <cell r="BB166">
            <v>1</v>
          </cell>
          <cell r="BC166">
            <v>1</v>
          </cell>
          <cell r="BD166">
            <v>1</v>
          </cell>
          <cell r="BE166">
            <v>1</v>
          </cell>
          <cell r="BF166">
            <v>1</v>
          </cell>
          <cell r="BG166">
            <v>1</v>
          </cell>
          <cell r="BH166">
            <v>1</v>
          </cell>
          <cell r="BI166">
            <v>1</v>
          </cell>
          <cell r="BJ166">
            <v>1</v>
          </cell>
          <cell r="BK166">
            <v>1</v>
          </cell>
          <cell r="BL166">
            <v>1</v>
          </cell>
          <cell r="BM166">
            <v>1</v>
          </cell>
          <cell r="BN166">
            <v>1</v>
          </cell>
          <cell r="BO166">
            <v>1</v>
          </cell>
          <cell r="BP166">
            <v>1</v>
          </cell>
          <cell r="BQ166">
            <v>1</v>
          </cell>
          <cell r="BR166">
            <v>1</v>
          </cell>
          <cell r="BS166">
            <v>1</v>
          </cell>
          <cell r="BT166">
            <v>1</v>
          </cell>
          <cell r="BU166">
            <v>1</v>
          </cell>
          <cell r="BV166">
            <v>1</v>
          </cell>
          <cell r="BW166">
            <v>1</v>
          </cell>
          <cell r="BX166">
            <v>1</v>
          </cell>
        </row>
        <row r="167">
          <cell r="B167" t="str">
            <v>% Floating debt (local currency debt)</v>
          </cell>
          <cell r="C167" t="str">
            <v>FLOATING_PCT_LOCAL_DEBT</v>
          </cell>
        </row>
        <row r="168">
          <cell r="B168" t="str">
            <v>% floating debt hedged (rates)</v>
          </cell>
          <cell r="C168" t="str">
            <v>FLOATING_PCT_LOCAL_DEBT_HEDGED</v>
          </cell>
        </row>
        <row r="169">
          <cell r="B169" t="str">
            <v>Net debt</v>
          </cell>
          <cell r="C169" t="str">
            <v>NET_DEBT</v>
          </cell>
          <cell r="D169" t="str">
            <v>AUD</v>
          </cell>
        </row>
        <row r="170">
          <cell r="B170" t="str">
            <v>GS tangible equity</v>
          </cell>
          <cell r="C170" t="str">
            <v>B_BS_L_GSTANGEQ</v>
          </cell>
          <cell r="D170" t="str">
            <v>AUD</v>
          </cell>
          <cell r="F170">
            <v>11714</v>
          </cell>
          <cell r="G170">
            <v>13636</v>
          </cell>
          <cell r="H170">
            <v>6609</v>
          </cell>
          <cell r="I170">
            <v>23725</v>
          </cell>
          <cell r="J170">
            <v>27517</v>
          </cell>
          <cell r="K170">
            <v>31350</v>
          </cell>
          <cell r="L170">
            <v>33666</v>
          </cell>
          <cell r="M170">
            <v>36230</v>
          </cell>
          <cell r="N170">
            <v>36505</v>
          </cell>
          <cell r="O170">
            <v>37920</v>
          </cell>
          <cell r="P170">
            <v>37920</v>
          </cell>
          <cell r="Q170">
            <v>38915</v>
          </cell>
          <cell r="R170">
            <v>43178</v>
          </cell>
          <cell r="S170">
            <v>43178</v>
          </cell>
          <cell r="T170">
            <v>47357</v>
          </cell>
          <cell r="U170">
            <v>48180</v>
          </cell>
          <cell r="V170">
            <v>48180</v>
          </cell>
          <cell r="W170">
            <v>49490</v>
          </cell>
          <cell r="X170">
            <v>51552</v>
          </cell>
          <cell r="Y170">
            <v>51552</v>
          </cell>
          <cell r="Z170">
            <v>52927</v>
          </cell>
          <cell r="AA170">
            <v>54935</v>
          </cell>
          <cell r="AB170">
            <v>54935</v>
          </cell>
          <cell r="AC170">
            <v>54278</v>
          </cell>
          <cell r="AD170">
            <v>55866</v>
          </cell>
          <cell r="AE170">
            <v>55866</v>
          </cell>
          <cell r="AF170">
            <v>57982</v>
          </cell>
          <cell r="AG170">
            <v>58956</v>
          </cell>
          <cell r="AH170">
            <v>58956</v>
          </cell>
          <cell r="AI170">
            <v>63275</v>
          </cell>
          <cell r="AJ170">
            <v>63766</v>
          </cell>
          <cell r="AK170">
            <v>63766</v>
          </cell>
          <cell r="AL170">
            <v>62136</v>
          </cell>
          <cell r="AM170">
            <v>62389</v>
          </cell>
          <cell r="AN170">
            <v>62389</v>
          </cell>
          <cell r="AO170">
            <v>64532</v>
          </cell>
          <cell r="AP170">
            <v>64450</v>
          </cell>
          <cell r="AQ170">
            <v>64450</v>
          </cell>
          <cell r="AR170">
            <v>64510</v>
          </cell>
          <cell r="AS170">
            <v>63642</v>
          </cell>
          <cell r="AT170">
            <v>63642</v>
          </cell>
          <cell r="AU170">
            <v>63985</v>
          </cell>
          <cell r="AV170" t="e">
            <v>#N/A</v>
          </cell>
          <cell r="AW170" t="e">
            <v>#N/A</v>
          </cell>
          <cell r="AX170">
            <v>66063.652339469219</v>
          </cell>
          <cell r="AY170">
            <v>66371.630357905931</v>
          </cell>
          <cell r="AZ170">
            <v>66371.630357905931</v>
          </cell>
          <cell r="BA170">
            <v>66612.910326716621</v>
          </cell>
          <cell r="BB170">
            <v>66914.612582219343</v>
          </cell>
          <cell r="BC170">
            <v>66914.612582219343</v>
          </cell>
          <cell r="BD170">
            <v>67275.749549741129</v>
          </cell>
          <cell r="BE170">
            <v>67600.224442572784</v>
          </cell>
          <cell r="BF170">
            <v>67600.224442572799</v>
          </cell>
          <cell r="BG170">
            <v>68027.549606753455</v>
          </cell>
          <cell r="BH170">
            <v>68463.303820831352</v>
          </cell>
          <cell r="BI170">
            <v>68463.303820831381</v>
          </cell>
          <cell r="BJ170">
            <v>69596.358714097165</v>
          </cell>
          <cell r="BK170">
            <v>70728.090625402619</v>
          </cell>
          <cell r="BL170">
            <v>70728.090625402663</v>
          </cell>
          <cell r="BM170">
            <v>71838.819776992008</v>
          </cell>
          <cell r="BN170">
            <v>72863.818910864706</v>
          </cell>
          <cell r="BO170">
            <v>72863.818910864749</v>
          </cell>
          <cell r="BP170">
            <v>73855.49452547192</v>
          </cell>
          <cell r="BQ170">
            <v>74685.371491619648</v>
          </cell>
          <cell r="BR170">
            <v>74685.371491619677</v>
          </cell>
          <cell r="BS170">
            <v>75611.900724077655</v>
          </cell>
          <cell r="BT170">
            <v>76457.574067068359</v>
          </cell>
          <cell r="BU170">
            <v>76457.574067068374</v>
          </cell>
          <cell r="BV170">
            <v>77409.591887996823</v>
          </cell>
          <cell r="BW170">
            <v>78304.077079428214</v>
          </cell>
          <cell r="BX170">
            <v>78304.077079428214</v>
          </cell>
        </row>
        <row r="171">
          <cell r="B171" t="str">
            <v>Capitalized operating leases (off-balance sheet)</v>
          </cell>
          <cell r="C171" t="str">
            <v>CAP_LEASES</v>
          </cell>
          <cell r="D171" t="str">
            <v>AUD</v>
          </cell>
        </row>
        <row r="172">
          <cell r="B172" t="str">
            <v>Associates (mkt value) used in EV calculation</v>
          </cell>
          <cell r="C172" t="str">
            <v>MV_ASSOCIATES</v>
          </cell>
          <cell r="D172" t="str">
            <v>AUD</v>
          </cell>
        </row>
        <row r="173">
          <cell r="B173" t="str">
            <v>Unfunded pensions &amp; other provisions</v>
          </cell>
          <cell r="C173" t="str">
            <v>UNF_PENS</v>
          </cell>
          <cell r="D173" t="str">
            <v>AUD</v>
          </cell>
        </row>
        <row r="174">
          <cell r="B174" t="str">
            <v>Unfunded pension liabilities (off balance sheet)</v>
          </cell>
          <cell r="C174" t="str">
            <v>UNF_PENS_OFF</v>
          </cell>
          <cell r="D174" t="str">
            <v>AUD</v>
          </cell>
        </row>
        <row r="175">
          <cell r="B175" t="str">
            <v>Unfunded pension liabilities &amp; other, used in EV</v>
          </cell>
          <cell r="C175" t="str">
            <v>UNF_PENS_LIAB_OTH</v>
          </cell>
          <cell r="D175" t="str">
            <v>AUD</v>
          </cell>
        </row>
        <row r="176">
          <cell r="B176" t="str">
            <v>Other GCI adjustments</v>
          </cell>
          <cell r="C176" t="str">
            <v>OTH_GCI_ADJ</v>
          </cell>
          <cell r="D176" t="str">
            <v>AUD</v>
          </cell>
        </row>
        <row r="177">
          <cell r="B177" t="str">
            <v>Minority interest</v>
          </cell>
          <cell r="C177" t="str">
            <v>BAL_MINO_INT</v>
          </cell>
          <cell r="D177" t="str">
            <v>AUD</v>
          </cell>
          <cell r="F177">
            <v>1912</v>
          </cell>
          <cell r="G177">
            <v>1912</v>
          </cell>
          <cell r="H177">
            <v>1924</v>
          </cell>
          <cell r="I177">
            <v>1934</v>
          </cell>
          <cell r="J177">
            <v>1929</v>
          </cell>
          <cell r="K177">
            <v>1982</v>
          </cell>
          <cell r="L177">
            <v>1970</v>
          </cell>
          <cell r="M177">
            <v>863</v>
          </cell>
          <cell r="N177">
            <v>866</v>
          </cell>
          <cell r="O177">
            <v>881</v>
          </cell>
          <cell r="P177">
            <v>881</v>
          </cell>
          <cell r="Q177">
            <v>912</v>
          </cell>
          <cell r="R177">
            <v>817</v>
          </cell>
          <cell r="S177">
            <v>817</v>
          </cell>
          <cell r="T177">
            <v>810</v>
          </cell>
          <cell r="U177">
            <v>61</v>
          </cell>
          <cell r="V177">
            <v>61</v>
          </cell>
          <cell r="W177">
            <v>57</v>
          </cell>
          <cell r="X177">
            <v>54</v>
          </cell>
          <cell r="Y177">
            <v>54</v>
          </cell>
          <cell r="Z177">
            <v>50</v>
          </cell>
          <cell r="AA177">
            <v>52</v>
          </cell>
          <cell r="AB177">
            <v>52</v>
          </cell>
          <cell r="AC177">
            <v>51</v>
          </cell>
          <cell r="AD177">
            <v>53</v>
          </cell>
          <cell r="AE177">
            <v>53</v>
          </cell>
          <cell r="AF177">
            <v>56</v>
          </cell>
          <cell r="AG177">
            <v>51</v>
          </cell>
          <cell r="AH177">
            <v>51</v>
          </cell>
          <cell r="AI177">
            <v>49</v>
          </cell>
          <cell r="AJ177">
            <v>57</v>
          </cell>
          <cell r="AK177">
            <v>57</v>
          </cell>
          <cell r="AL177">
            <v>54</v>
          </cell>
          <cell r="AM177">
            <v>57</v>
          </cell>
          <cell r="AN177">
            <v>57</v>
          </cell>
          <cell r="AO177">
            <v>44</v>
          </cell>
          <cell r="AP177">
            <v>0</v>
          </cell>
          <cell r="AQ177">
            <v>0</v>
          </cell>
          <cell r="AR177">
            <v>0</v>
          </cell>
          <cell r="AS177">
            <v>0</v>
          </cell>
          <cell r="AT177">
            <v>0</v>
          </cell>
          <cell r="AU177">
            <v>0</v>
          </cell>
          <cell r="AV177" t="e">
            <v>#N/A</v>
          </cell>
          <cell r="AW177" t="e">
            <v>#N/A</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row>
        <row r="178">
          <cell r="B178" t="str">
            <v>Right-of-use assets (op lease assets under US GAAP)</v>
          </cell>
          <cell r="C178" t="str">
            <v>ROU_ASSET</v>
          </cell>
          <cell r="D178" t="str">
            <v>AUD</v>
          </cell>
        </row>
        <row r="179">
          <cell r="A179" t="str">
            <v>Cash Flow Statement</v>
          </cell>
        </row>
        <row r="180">
          <cell r="B180" t="str">
            <v>Dividends paid</v>
          </cell>
          <cell r="C180" t="str">
            <v>DIV_PAID</v>
          </cell>
          <cell r="D180" t="str">
            <v>AUD</v>
          </cell>
          <cell r="F180">
            <v>-1979.1100000000001</v>
          </cell>
          <cell r="G180">
            <v>-2270.13</v>
          </cell>
          <cell r="H180">
            <v>-2583.5</v>
          </cell>
          <cell r="I180">
            <v>-2994.5600000000004</v>
          </cell>
          <cell r="J180">
            <v>-3699</v>
          </cell>
          <cell r="K180">
            <v>-4498.7000000000007</v>
          </cell>
          <cell r="L180">
            <v>-4928.2800000000007</v>
          </cell>
          <cell r="M180">
            <v>-5629.12</v>
          </cell>
          <cell r="N180">
            <v>-3046.82</v>
          </cell>
          <cell r="O180">
            <v>-2798.1</v>
          </cell>
          <cell r="P180">
            <v>-5844.92</v>
          </cell>
          <cell r="Q180">
            <v>-2860.28</v>
          </cell>
          <cell r="R180">
            <v>-2901.6</v>
          </cell>
          <cell r="S180">
            <v>-5761.88</v>
          </cell>
          <cell r="T180">
            <v>-3008.1526903553299</v>
          </cell>
          <cell r="U180">
            <v>-3135.8399999999997</v>
          </cell>
          <cell r="V180">
            <v>-6143.9926903553296</v>
          </cell>
          <cell r="W180">
            <v>-3145.24</v>
          </cell>
          <cell r="X180">
            <v>-3155.58</v>
          </cell>
          <cell r="Y180">
            <v>-6300.82</v>
          </cell>
          <cell r="Z180">
            <v>-3190.7024222599998</v>
          </cell>
          <cell r="AA180">
            <v>-3199.9217157200001</v>
          </cell>
          <cell r="AB180">
            <v>-6390.6241379799994</v>
          </cell>
          <cell r="AC180">
            <v>-3228.7089083399997</v>
          </cell>
          <cell r="AD180">
            <v>-3240.7167616199999</v>
          </cell>
          <cell r="AE180">
            <v>-6469.4256699599991</v>
          </cell>
          <cell r="AF180">
            <v>-2791.9430184000003</v>
          </cell>
          <cell r="AG180">
            <v>0</v>
          </cell>
          <cell r="AH180">
            <v>-2791.9430184000003</v>
          </cell>
          <cell r="AI180">
            <v>-1119.6223097</v>
          </cell>
          <cell r="AJ180">
            <v>-2127.7832486399998</v>
          </cell>
          <cell r="AK180">
            <v>-3247.4055583399995</v>
          </cell>
          <cell r="AL180">
            <v>-2201.1550848000002</v>
          </cell>
          <cell r="AM180">
            <v>-2135.6878933399998</v>
          </cell>
          <cell r="AN180">
            <v>-4336.84297814</v>
          </cell>
          <cell r="AO180">
            <v>-2240.7217241600001</v>
          </cell>
          <cell r="AP180">
            <v>-2456.3538719999997</v>
          </cell>
          <cell r="AQ180">
            <v>-4697.0755961599998</v>
          </cell>
          <cell r="AR180">
            <v>-2526.5354112</v>
          </cell>
          <cell r="AS180">
            <v>-3127.1710589999998</v>
          </cell>
          <cell r="AT180">
            <v>-5653.7064701999998</v>
          </cell>
          <cell r="AU180">
            <v>-2615.47263436</v>
          </cell>
          <cell r="AV180">
            <v>-2602.0115508399999</v>
          </cell>
          <cell r="AW180" t="e">
            <v>#N/A</v>
          </cell>
          <cell r="AX180" t="e">
            <v>#N/A</v>
          </cell>
          <cell r="AY180">
            <v>-2660.0400444352281</v>
          </cell>
          <cell r="AZ180" t="e">
            <v>#N/A</v>
          </cell>
          <cell r="BA180">
            <v>-2681.9944729064559</v>
          </cell>
          <cell r="BB180">
            <v>-2704.154770752371</v>
          </cell>
          <cell r="BC180">
            <v>-5386.1492436588269</v>
          </cell>
          <cell r="BD180">
            <v>-2726.5184962442099</v>
          </cell>
          <cell r="BE180">
            <v>-2749.0830528907063</v>
          </cell>
          <cell r="BF180">
            <v>-5475.6015491349162</v>
          </cell>
          <cell r="BG180">
            <v>-2838.6371694185018</v>
          </cell>
          <cell r="BH180">
            <v>-2927.8894875264905</v>
          </cell>
          <cell r="BI180">
            <v>-5766.5266569449923</v>
          </cell>
          <cell r="BJ180">
            <v>-3016.8681600934888</v>
          </cell>
          <cell r="BK180">
            <v>-3116.3253521844827</v>
          </cell>
          <cell r="BL180">
            <v>-6133.1935122779714</v>
          </cell>
          <cell r="BM180">
            <v>-3215.782544275477</v>
          </cell>
          <cell r="BN180">
            <v>-3315.2397363664709</v>
          </cell>
          <cell r="BO180">
            <v>-6531.0222806419479</v>
          </cell>
          <cell r="BP180">
            <v>-3414.6969284574652</v>
          </cell>
          <cell r="BQ180">
            <v>-3514.1541205484591</v>
          </cell>
          <cell r="BR180">
            <v>-6928.8510490059243</v>
          </cell>
          <cell r="BS180">
            <v>-3514.1541205484591</v>
          </cell>
          <cell r="BT180">
            <v>-3580.458915275789</v>
          </cell>
          <cell r="BU180">
            <v>-7094.6130358242481</v>
          </cell>
          <cell r="BV180">
            <v>-3580.458915275789</v>
          </cell>
          <cell r="BW180">
            <v>-3646.7637100031184</v>
          </cell>
          <cell r="BX180">
            <v>-7227.2226252789078</v>
          </cell>
        </row>
        <row r="181">
          <cell r="B181" t="str">
            <v>Lease principal payments  (applicable to IFRS cos.)</v>
          </cell>
          <cell r="C181" t="str">
            <v>LEASE_PRINCIPAL_CASH</v>
          </cell>
          <cell r="D181" t="str">
            <v>AUD</v>
          </cell>
        </row>
        <row r="182">
          <cell r="A182" t="str">
            <v>Additional Cash Flow Items</v>
          </cell>
        </row>
        <row r="183">
          <cell r="B183" t="str">
            <v>Other DACF adjustments</v>
          </cell>
          <cell r="C183" t="str">
            <v>OTH_DACF_ADJ</v>
          </cell>
          <cell r="D183" t="str">
            <v>AUD</v>
          </cell>
        </row>
        <row r="184">
          <cell r="A184" t="str">
            <v>Other Items</v>
          </cell>
        </row>
        <row r="185">
          <cell r="B185" t="str">
            <v>Number of employees</v>
          </cell>
          <cell r="C185" t="str">
            <v>EMPLOYEES</v>
          </cell>
          <cell r="F185">
            <v>27.224</v>
          </cell>
          <cell r="G185">
            <v>28.018000000000001</v>
          </cell>
          <cell r="H185">
            <v>36.69</v>
          </cell>
          <cell r="I185">
            <v>36.198999999999998</v>
          </cell>
          <cell r="J185">
            <v>38.478999999999999</v>
          </cell>
          <cell r="K185">
            <v>37.712000000000003</v>
          </cell>
          <cell r="L185">
            <v>35.674999999999997</v>
          </cell>
          <cell r="M185">
            <v>35.597000000000001</v>
          </cell>
          <cell r="N185">
            <v>36.494</v>
          </cell>
          <cell r="O185">
            <v>36.372999999999998</v>
          </cell>
          <cell r="P185">
            <v>36.372999999999998</v>
          </cell>
          <cell r="Q185">
            <v>36.558999999999997</v>
          </cell>
          <cell r="R185">
            <v>35.241</v>
          </cell>
          <cell r="S185">
            <v>35.241</v>
          </cell>
          <cell r="T185">
            <v>34.963999999999999</v>
          </cell>
          <cell r="U185">
            <v>35.58</v>
          </cell>
          <cell r="V185">
            <v>35.58</v>
          </cell>
          <cell r="W185">
            <v>35.29</v>
          </cell>
          <cell r="X185">
            <v>35.095999999999997</v>
          </cell>
          <cell r="Y185">
            <v>35.095999999999997</v>
          </cell>
          <cell r="Z185">
            <v>35.72</v>
          </cell>
          <cell r="AA185">
            <v>35.029000000000003</v>
          </cell>
          <cell r="AB185">
            <v>35.029000000000003</v>
          </cell>
          <cell r="AC185">
            <v>34.241</v>
          </cell>
          <cell r="AD185">
            <v>33.287999999999997</v>
          </cell>
          <cell r="AE185">
            <v>33.287999999999997</v>
          </cell>
          <cell r="AF185">
            <v>34.198999999999998</v>
          </cell>
          <cell r="AG185">
            <v>36.848999999999997</v>
          </cell>
          <cell r="AH185">
            <v>36.848999999999997</v>
          </cell>
          <cell r="AI185">
            <v>38.747</v>
          </cell>
          <cell r="AJ185">
            <v>40.143000000000001</v>
          </cell>
          <cell r="AK185">
            <v>40.143000000000001</v>
          </cell>
          <cell r="AL185">
            <v>38.823</v>
          </cell>
          <cell r="AM185">
            <v>37.475999999999999</v>
          </cell>
          <cell r="AN185">
            <v>37.475999999999999</v>
          </cell>
          <cell r="AO185">
            <v>38.503</v>
          </cell>
          <cell r="AP185">
            <v>36.146000000000001</v>
          </cell>
          <cell r="AQ185">
            <v>36.146000000000001</v>
          </cell>
          <cell r="AR185">
            <v>35.347999999999999</v>
          </cell>
          <cell r="AS185">
            <v>35.253999999999998</v>
          </cell>
          <cell r="AT185">
            <v>35.253999999999998</v>
          </cell>
          <cell r="AU185">
            <v>35.969000000000001</v>
          </cell>
          <cell r="AV185" t="e">
            <v>#N/A</v>
          </cell>
          <cell r="AW185" t="e">
            <v>#N/A</v>
          </cell>
          <cell r="AX185">
            <v>35.940719999999999</v>
          </cell>
          <cell r="AY185">
            <v>36.659534400000005</v>
          </cell>
          <cell r="AZ185">
            <v>36.659534400000005</v>
          </cell>
          <cell r="BA185">
            <v>37.392725088000006</v>
          </cell>
          <cell r="BB185">
            <v>38.140579589760002</v>
          </cell>
          <cell r="BC185">
            <v>38.140579589760002</v>
          </cell>
          <cell r="BD185">
            <v>38.521985385657601</v>
          </cell>
          <cell r="BE185">
            <v>38.907205239514177</v>
          </cell>
          <cell r="BF185">
            <v>38.907205239514177</v>
          </cell>
          <cell r="BG185">
            <v>39.29627729190932</v>
          </cell>
          <cell r="BH185">
            <v>39.689240064828411</v>
          </cell>
          <cell r="BI185">
            <v>39.689240064828411</v>
          </cell>
          <cell r="BJ185">
            <v>40.086132465476695</v>
          </cell>
          <cell r="BK185">
            <v>40.486993790131464</v>
          </cell>
          <cell r="BL185">
            <v>40.486993790131464</v>
          </cell>
          <cell r="BM185">
            <v>40.586993790131466</v>
          </cell>
          <cell r="BN185">
            <v>40.68699379013146</v>
          </cell>
          <cell r="BO185">
            <v>40.68699379013146</v>
          </cell>
          <cell r="BP185">
            <v>40.786993790131461</v>
          </cell>
          <cell r="BQ185">
            <v>40.886993790131463</v>
          </cell>
          <cell r="BR185">
            <v>40.886993790131463</v>
          </cell>
          <cell r="BS185">
            <v>40.986993790131464</v>
          </cell>
          <cell r="BT185">
            <v>41.086993790131466</v>
          </cell>
          <cell r="BU185">
            <v>41.086993790131466</v>
          </cell>
          <cell r="BV185">
            <v>41.18699379013146</v>
          </cell>
          <cell r="BW185">
            <v>41.286993790131461</v>
          </cell>
          <cell r="BX185">
            <v>41.286993790131461</v>
          </cell>
        </row>
        <row r="186">
          <cell r="B186" t="str">
            <v>Number of branches</v>
          </cell>
          <cell r="C186" t="str">
            <v>BRANCHES</v>
          </cell>
        </row>
        <row r="187">
          <cell r="A187" t="str">
            <v>ANZ Other Items</v>
          </cell>
        </row>
        <row r="188">
          <cell r="B188" t="str">
            <v>Balance Of Franking Credits</v>
          </cell>
          <cell r="C188" t="str">
            <v>BAL_OF_FRANK_CREDITS</v>
          </cell>
          <cell r="D188" t="str">
            <v>AUD</v>
          </cell>
          <cell r="F188">
            <v>417</v>
          </cell>
          <cell r="G188">
            <v>274</v>
          </cell>
          <cell r="H188">
            <v>112</v>
          </cell>
          <cell r="I188">
            <v>1914</v>
          </cell>
          <cell r="J188">
            <v>1608</v>
          </cell>
          <cell r="K188">
            <v>1343</v>
          </cell>
          <cell r="L188">
            <v>1029</v>
          </cell>
          <cell r="M188">
            <v>585</v>
          </cell>
          <cell r="N188">
            <v>315</v>
          </cell>
          <cell r="O188">
            <v>565</v>
          </cell>
          <cell r="P188">
            <v>565</v>
          </cell>
          <cell r="Q188">
            <v>471</v>
          </cell>
          <cell r="R188">
            <v>793</v>
          </cell>
          <cell r="S188">
            <v>793</v>
          </cell>
          <cell r="T188">
            <v>844</v>
          </cell>
          <cell r="U188">
            <v>911</v>
          </cell>
          <cell r="V188">
            <v>911</v>
          </cell>
          <cell r="W188">
            <v>742</v>
          </cell>
          <cell r="X188">
            <v>1063</v>
          </cell>
          <cell r="Y188">
            <v>1063</v>
          </cell>
          <cell r="Z188">
            <v>1279</v>
          </cell>
          <cell r="AA188">
            <v>1357</v>
          </cell>
          <cell r="AB188">
            <v>1357</v>
          </cell>
          <cell r="AC188">
            <v>1234</v>
          </cell>
          <cell r="AD188">
            <v>1558</v>
          </cell>
          <cell r="AE188">
            <v>1558</v>
          </cell>
          <cell r="AF188">
            <v>2881</v>
          </cell>
          <cell r="AG188">
            <v>3448</v>
          </cell>
          <cell r="AH188">
            <v>3448</v>
          </cell>
          <cell r="AI188">
            <v>3560</v>
          </cell>
          <cell r="AJ188">
            <v>3857</v>
          </cell>
          <cell r="AK188">
            <v>3857</v>
          </cell>
          <cell r="AL188">
            <v>3135</v>
          </cell>
          <cell r="AM188">
            <v>3298</v>
          </cell>
          <cell r="AN188">
            <v>3298</v>
          </cell>
          <cell r="AO188">
            <v>3396</v>
          </cell>
          <cell r="AP188">
            <v>3520</v>
          </cell>
          <cell r="AQ188">
            <v>3520</v>
          </cell>
          <cell r="AR188">
            <v>3321</v>
          </cell>
          <cell r="AS188">
            <v>3504</v>
          </cell>
          <cell r="AT188">
            <v>3504</v>
          </cell>
          <cell r="AU188">
            <v>3522</v>
          </cell>
          <cell r="AV188" t="e">
            <v>#N/A</v>
          </cell>
          <cell r="AW188" t="e">
            <v>#N/A</v>
          </cell>
          <cell r="AX188">
            <v>3914.1844868375506</v>
          </cell>
          <cell r="AY188">
            <v>4137.583054252128</v>
          </cell>
          <cell r="AZ188">
            <v>4137.583054252128</v>
          </cell>
          <cell r="BA188">
            <v>4349.165742102321</v>
          </cell>
          <cell r="BB188">
            <v>4544.122964409773</v>
          </cell>
          <cell r="BC188">
            <v>4544.122964409773</v>
          </cell>
          <cell r="BD188">
            <v>4770.1134096549094</v>
          </cell>
          <cell r="BE188">
            <v>4962.6412105069267</v>
          </cell>
          <cell r="BF188">
            <v>4962.6412105069267</v>
          </cell>
          <cell r="BG188">
            <v>5184.4779776506948</v>
          </cell>
          <cell r="BH188">
            <v>5400.5701367087158</v>
          </cell>
          <cell r="BI188">
            <v>5400.5701367087158</v>
          </cell>
          <cell r="BJ188">
            <v>5625.5298053638144</v>
          </cell>
          <cell r="BK188">
            <v>5841.9434301927158</v>
          </cell>
          <cell r="BL188">
            <v>5841.9434301927158</v>
          </cell>
          <cell r="BM188">
            <v>6026.1742775498697</v>
          </cell>
          <cell r="BN188">
            <v>6155.8480354565118</v>
          </cell>
          <cell r="BO188">
            <v>6155.8480354565118</v>
          </cell>
          <cell r="BP188">
            <v>6267.1218810874243</v>
          </cell>
          <cell r="BQ188">
            <v>6355.5602074825747</v>
          </cell>
          <cell r="BR188">
            <v>6355.5602074825747</v>
          </cell>
          <cell r="BS188">
            <v>6450.9856762124637</v>
          </cell>
          <cell r="BT188">
            <v>6541.0811154051571</v>
          </cell>
          <cell r="BU188">
            <v>6541.0811154051571</v>
          </cell>
          <cell r="BV188">
            <v>6641.7139297623798</v>
          </cell>
          <cell r="BW188">
            <v>6745.5599662597942</v>
          </cell>
          <cell r="BX188">
            <v>6745.5599662597942</v>
          </cell>
        </row>
        <row r="189">
          <cell r="B189" t="str">
            <v>Interest earning assets</v>
          </cell>
          <cell r="C189" t="str">
            <v>INT_EARN_ASSETS</v>
          </cell>
          <cell r="D189" t="str">
            <v>AUD</v>
          </cell>
        </row>
        <row r="190">
          <cell r="B190" t="str">
            <v>Pre-tax hybrid distributions</v>
          </cell>
          <cell r="C190" t="str">
            <v>HYBRID_DIST_PRE_TAX</v>
          </cell>
          <cell r="D190" t="str">
            <v>AUD</v>
          </cell>
          <cell r="F190">
            <v>0</v>
          </cell>
          <cell r="G190">
            <v>0</v>
          </cell>
          <cell r="H190">
            <v>-44.285714285714292</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t="e">
            <v>#N/A</v>
          </cell>
          <cell r="AW190" t="e">
            <v>#N/A</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cell r="BM190">
            <v>0</v>
          </cell>
          <cell r="BN190">
            <v>0</v>
          </cell>
          <cell r="BO190">
            <v>0</v>
          </cell>
          <cell r="BP190">
            <v>0</v>
          </cell>
          <cell r="BQ190">
            <v>0</v>
          </cell>
          <cell r="BR190">
            <v>0</v>
          </cell>
          <cell r="BS190">
            <v>0</v>
          </cell>
          <cell r="BT190">
            <v>0</v>
          </cell>
          <cell r="BU190">
            <v>0</v>
          </cell>
          <cell r="BV190">
            <v>0</v>
          </cell>
          <cell r="BW190">
            <v>0</v>
          </cell>
          <cell r="BX190">
            <v>0</v>
          </cell>
        </row>
        <row r="191">
          <cell r="B191" t="str">
            <v>Cost of Debt</v>
          </cell>
          <cell r="C191" t="str">
            <v>COST_OF_DEBT_DCF</v>
          </cell>
        </row>
        <row r="192">
          <cell r="B192" t="str">
            <v>Debt to Equity (Market Values)</v>
          </cell>
          <cell r="C192" t="str">
            <v>DEBT_TO_EQUITY_MKT_VALUES_DCF</v>
          </cell>
        </row>
        <row r="193">
          <cell r="B193" t="str">
            <v>Capital at End of Year - Adjusted total capital employed</v>
          </cell>
          <cell r="C193" t="str">
            <v>TOTAL_CAPITAL_EMPLOYED_ADJ</v>
          </cell>
          <cell r="D193" t="str">
            <v>AUD</v>
          </cell>
        </row>
        <row r="194">
          <cell r="B194" t="str">
            <v>Average Capital Employed</v>
          </cell>
          <cell r="C194" t="str">
            <v>AVG_CAPITAL_EMPLOYED_ADJ</v>
          </cell>
          <cell r="D194" t="str">
            <v>AUD</v>
          </cell>
        </row>
        <row r="195">
          <cell r="A195" t="str">
            <v>Operating Metrics</v>
          </cell>
        </row>
        <row r="196">
          <cell r="B196" t="str">
            <v>Sustainable ROE estimate</v>
          </cell>
          <cell r="C196" t="str">
            <v>B_CAMELOT_SUST_ROE</v>
          </cell>
        </row>
        <row r="197">
          <cell r="B197" t="str">
            <v>Long-term dividend payout estimate</v>
          </cell>
          <cell r="C197" t="str">
            <v>B_LT_DIV_PAYOUT</v>
          </cell>
        </row>
        <row r="198">
          <cell r="A198" t="str">
            <v>NPLs (Gross)</v>
          </cell>
        </row>
        <row r="199">
          <cell r="B199" t="str">
            <v>Total NPLs, gross</v>
          </cell>
          <cell r="C199" t="str">
            <v>B_NPL_TOTNPL</v>
          </cell>
          <cell r="D199" t="str">
            <v>AUD</v>
          </cell>
          <cell r="F199">
            <v>1017</v>
          </cell>
          <cell r="G199">
            <v>1102</v>
          </cell>
          <cell r="H199">
            <v>1940</v>
          </cell>
          <cell r="I199">
            <v>5696</v>
          </cell>
          <cell r="J199">
            <v>7728</v>
          </cell>
          <cell r="K199">
            <v>7640</v>
          </cell>
          <cell r="L199">
            <v>7072</v>
          </cell>
          <cell r="M199">
            <v>6087</v>
          </cell>
          <cell r="P199">
            <v>4581</v>
          </cell>
          <cell r="S199">
            <v>4187</v>
          </cell>
          <cell r="V199">
            <v>5340</v>
          </cell>
          <cell r="Y199">
            <v>5000</v>
          </cell>
          <cell r="Z199">
            <v>5304</v>
          </cell>
          <cell r="AA199">
            <v>5433</v>
          </cell>
          <cell r="AB199">
            <v>5433</v>
          </cell>
          <cell r="AC199">
            <v>6271</v>
          </cell>
          <cell r="AD199">
            <v>6851</v>
          </cell>
          <cell r="AE199">
            <v>6851</v>
          </cell>
          <cell r="AF199">
            <v>7563</v>
          </cell>
          <cell r="AG199">
            <v>11311</v>
          </cell>
          <cell r="AH199">
            <v>11311</v>
          </cell>
          <cell r="AI199">
            <v>9180</v>
          </cell>
          <cell r="AJ199">
            <v>7429.4999999999991</v>
          </cell>
          <cell r="AK199">
            <v>7429.4999999999991</v>
          </cell>
          <cell r="AL199">
            <v>8209</v>
          </cell>
          <cell r="AM199">
            <v>7593</v>
          </cell>
          <cell r="AN199">
            <v>7593</v>
          </cell>
          <cell r="AO199">
            <v>8230</v>
          </cell>
          <cell r="AP199">
            <v>8709</v>
          </cell>
          <cell r="AQ199">
            <v>8709</v>
          </cell>
          <cell r="AR199">
            <v>10217</v>
          </cell>
          <cell r="AS199">
            <v>10755</v>
          </cell>
          <cell r="AT199">
            <v>10755</v>
          </cell>
          <cell r="AU199">
            <v>10483</v>
          </cell>
          <cell r="AV199" t="e">
            <v>#N/A</v>
          </cell>
          <cell r="AW199" t="e">
            <v>#N/A</v>
          </cell>
          <cell r="AX199">
            <v>10229.209600462664</v>
          </cell>
          <cell r="AY199">
            <v>10205.873322503809</v>
          </cell>
          <cell r="AZ199">
            <v>10205.873322503809</v>
          </cell>
          <cell r="BA199">
            <v>11399.316471399983</v>
          </cell>
          <cell r="BB199">
            <v>12647.850054754739</v>
          </cell>
          <cell r="BC199">
            <v>12647.850054754739</v>
          </cell>
          <cell r="BD199">
            <v>13929.29722726673</v>
          </cell>
          <cell r="BE199">
            <v>15259.663545487059</v>
          </cell>
          <cell r="BF199">
            <v>15259.663545487059</v>
          </cell>
          <cell r="BG199">
            <v>14061.263013685404</v>
          </cell>
          <cell r="BH199">
            <v>12788.184838106758</v>
          </cell>
          <cell r="BI199">
            <v>12788.184838106758</v>
          </cell>
          <cell r="BJ199">
            <v>11438.439329366369</v>
          </cell>
          <cell r="BK199">
            <v>10015.761092894369</v>
          </cell>
          <cell r="BL199">
            <v>10015.761092894369</v>
          </cell>
          <cell r="BM199">
            <v>10295.506896271976</v>
          </cell>
          <cell r="BN199">
            <v>10592.910728961917</v>
          </cell>
          <cell r="BO199">
            <v>10592.910728961917</v>
          </cell>
          <cell r="BP199">
            <v>10899.016745544737</v>
          </cell>
          <cell r="BQ199">
            <v>11214.082039172215</v>
          </cell>
          <cell r="BR199">
            <v>11214.082039172215</v>
          </cell>
          <cell r="BS199">
            <v>11538.371352447892</v>
          </cell>
          <cell r="BT199">
            <v>11872.157306202125</v>
          </cell>
          <cell r="BU199">
            <v>11872.157306202125</v>
          </cell>
          <cell r="BV199">
            <v>12215.720635134636</v>
          </cell>
          <cell r="BW199">
            <v>12569.35043053136</v>
          </cell>
          <cell r="BX199">
            <v>12569.35043053136</v>
          </cell>
        </row>
        <row r="200">
          <cell r="B200" t="str">
            <v>Other impaired loans</v>
          </cell>
          <cell r="C200" t="str">
            <v>B_NPL_PROBLN</v>
          </cell>
          <cell r="D200" t="str">
            <v>AUD</v>
          </cell>
        </row>
        <row r="201">
          <cell r="A201" t="str">
            <v>Capital Adequacy</v>
          </cell>
        </row>
        <row r="202">
          <cell r="B202" t="str">
            <v>Tier 1 capital</v>
          </cell>
          <cell r="C202" t="str">
            <v>B_CA_T1CAP</v>
          </cell>
          <cell r="D202" t="str">
            <v>AUD</v>
          </cell>
          <cell r="F202">
            <v>13318</v>
          </cell>
          <cell r="G202">
            <v>13519</v>
          </cell>
          <cell r="H202">
            <v>15215</v>
          </cell>
          <cell r="I202">
            <v>23416</v>
          </cell>
          <cell r="J202">
            <v>25398</v>
          </cell>
          <cell r="K202">
            <v>27098</v>
          </cell>
          <cell r="L202">
            <v>30542</v>
          </cell>
          <cell r="M202">
            <v>32738</v>
          </cell>
          <cell r="N202">
            <v>33304</v>
          </cell>
          <cell r="O202">
            <v>34997</v>
          </cell>
          <cell r="P202">
            <v>34997</v>
          </cell>
          <cell r="Q202">
            <v>35742</v>
          </cell>
          <cell r="R202">
            <v>40798</v>
          </cell>
          <cell r="S202">
            <v>40798</v>
          </cell>
          <cell r="T202">
            <v>44005</v>
          </cell>
          <cell r="U202">
            <v>45785</v>
          </cell>
          <cell r="V202">
            <v>45785</v>
          </cell>
          <cell r="W202">
            <v>47245</v>
          </cell>
          <cell r="X202">
            <v>51175</v>
          </cell>
          <cell r="Y202">
            <v>51175</v>
          </cell>
          <cell r="Z202">
            <v>53246</v>
          </cell>
          <cell r="AA202">
            <v>54383</v>
          </cell>
          <cell r="AB202">
            <v>54383</v>
          </cell>
          <cell r="AC202">
            <v>53896</v>
          </cell>
          <cell r="AD202">
            <v>55051</v>
          </cell>
          <cell r="AE202">
            <v>55051</v>
          </cell>
          <cell r="AF202">
            <v>57455</v>
          </cell>
          <cell r="AG202">
            <v>57939</v>
          </cell>
          <cell r="AH202">
            <v>57939</v>
          </cell>
          <cell r="AI202">
            <v>62425</v>
          </cell>
          <cell r="AJ202">
            <v>63988</v>
          </cell>
          <cell r="AK202">
            <v>63988</v>
          </cell>
          <cell r="AL202">
            <v>61692</v>
          </cell>
          <cell r="AM202">
            <v>63964</v>
          </cell>
          <cell r="AN202">
            <v>63964</v>
          </cell>
          <cell r="AO202">
            <v>65602</v>
          </cell>
          <cell r="AP202">
            <v>65922</v>
          </cell>
          <cell r="AQ202">
            <v>65922</v>
          </cell>
          <cell r="AR202">
            <v>66720</v>
          </cell>
          <cell r="AS202">
            <v>64873</v>
          </cell>
          <cell r="AT202">
            <v>64873</v>
          </cell>
          <cell r="AU202">
            <v>65420</v>
          </cell>
          <cell r="AV202" t="e">
            <v>#N/A</v>
          </cell>
          <cell r="AW202" t="e">
            <v>#N/A</v>
          </cell>
          <cell r="AX202">
            <v>66223.905172802552</v>
          </cell>
          <cell r="AY202">
            <v>66616.369341017038</v>
          </cell>
          <cell r="AZ202">
            <v>66616.369341017038</v>
          </cell>
          <cell r="BA202">
            <v>67032.247207041408</v>
          </cell>
          <cell r="BB202">
            <v>67385.110195018002</v>
          </cell>
          <cell r="BC202">
            <v>67385.110195018002</v>
          </cell>
          <cell r="BD202">
            <v>67875.416374250519</v>
          </cell>
          <cell r="BE202">
            <v>68192.564992648346</v>
          </cell>
          <cell r="BF202">
            <v>68192.564992648375</v>
          </cell>
          <cell r="BG202">
            <v>68707.921266360194</v>
          </cell>
          <cell r="BH202">
            <v>69102.372730196759</v>
          </cell>
          <cell r="BI202">
            <v>69102.372730196788</v>
          </cell>
          <cell r="BJ202">
            <v>70300.785350118851</v>
          </cell>
          <cell r="BK202">
            <v>71370.992894274648</v>
          </cell>
          <cell r="BL202">
            <v>71370.992894274692</v>
          </cell>
          <cell r="BM202">
            <v>72359.348696105182</v>
          </cell>
          <cell r="BN202">
            <v>73295.151076373455</v>
          </cell>
          <cell r="BO202">
            <v>73295.151076373499</v>
          </cell>
          <cell r="BP202">
            <v>74196.390717370465</v>
          </cell>
          <cell r="BQ202">
            <v>74953.555713053982</v>
          </cell>
          <cell r="BR202">
            <v>74953.555713054011</v>
          </cell>
          <cell r="BS202">
            <v>75804.364666006091</v>
          </cell>
          <cell r="BT202">
            <v>76591.773368613576</v>
          </cell>
          <cell r="BU202">
            <v>76591.773368613591</v>
          </cell>
          <cell r="BV202">
            <v>77478.257351713255</v>
          </cell>
          <cell r="BW202">
            <v>78323.962670704612</v>
          </cell>
          <cell r="BX202">
            <v>78323.962670704612</v>
          </cell>
        </row>
        <row r="203">
          <cell r="B203" t="str">
            <v>Tier 1 core equity</v>
          </cell>
          <cell r="C203" t="str">
            <v>B_CA_CORECAP</v>
          </cell>
          <cell r="D203" t="str">
            <v>AUD</v>
          </cell>
          <cell r="F203">
            <v>10101</v>
          </cell>
          <cell r="G203">
            <v>10394</v>
          </cell>
          <cell r="H203">
            <v>11636</v>
          </cell>
          <cell r="I203">
            <v>18956</v>
          </cell>
          <cell r="J203">
            <v>20957</v>
          </cell>
          <cell r="K203">
            <v>22659</v>
          </cell>
          <cell r="L203">
            <v>24971</v>
          </cell>
          <cell r="M203">
            <v>27969</v>
          </cell>
          <cell r="N203">
            <v>28455</v>
          </cell>
          <cell r="O203">
            <v>29724</v>
          </cell>
          <cell r="P203">
            <v>29724</v>
          </cell>
          <cell r="Q203">
            <v>30388</v>
          </cell>
          <cell r="R203">
            <v>34069</v>
          </cell>
          <cell r="S203">
            <v>34069</v>
          </cell>
          <cell r="T203">
            <v>38041</v>
          </cell>
          <cell r="U203">
            <v>38875</v>
          </cell>
          <cell r="V203">
            <v>38875</v>
          </cell>
          <cell r="W203">
            <v>40335</v>
          </cell>
          <cell r="X203">
            <v>42670</v>
          </cell>
          <cell r="Y203">
            <v>42670</v>
          </cell>
          <cell r="Z203">
            <v>43639</v>
          </cell>
          <cell r="AA203">
            <v>45239</v>
          </cell>
          <cell r="AB203">
            <v>45239</v>
          </cell>
          <cell r="AC203">
            <v>44680</v>
          </cell>
          <cell r="AD203">
            <v>45752</v>
          </cell>
          <cell r="AE203">
            <v>45752</v>
          </cell>
          <cell r="AF203">
            <v>47982</v>
          </cell>
          <cell r="AG203">
            <v>48733</v>
          </cell>
          <cell r="AH203">
            <v>48733</v>
          </cell>
          <cell r="AI203">
            <v>52932</v>
          </cell>
          <cell r="AJ203">
            <v>53808</v>
          </cell>
          <cell r="AK203">
            <v>53808</v>
          </cell>
          <cell r="AL203">
            <v>52126</v>
          </cell>
          <cell r="AM203">
            <v>53943</v>
          </cell>
          <cell r="AN203">
            <v>53943</v>
          </cell>
          <cell r="AO203">
            <v>55644</v>
          </cell>
          <cell r="AP203">
            <v>55885</v>
          </cell>
          <cell r="AQ203">
            <v>55885</v>
          </cell>
          <cell r="AR203">
            <v>55764</v>
          </cell>
          <cell r="AS203">
            <v>54309</v>
          </cell>
          <cell r="AT203">
            <v>54309</v>
          </cell>
          <cell r="AU203">
            <v>55007</v>
          </cell>
          <cell r="AV203" t="e">
            <v>#N/A</v>
          </cell>
          <cell r="AW203" t="e">
            <v>#N/A</v>
          </cell>
          <cell r="AX203">
            <v>57594.905172802552</v>
          </cell>
          <cell r="AY203">
            <v>57987.369341017038</v>
          </cell>
          <cell r="AZ203">
            <v>57987.369341017038</v>
          </cell>
          <cell r="BA203">
            <v>58403.247207041408</v>
          </cell>
          <cell r="BB203">
            <v>58756.110195018002</v>
          </cell>
          <cell r="BC203">
            <v>58756.110195018002</v>
          </cell>
          <cell r="BD203">
            <v>59246.416374250519</v>
          </cell>
          <cell r="BE203">
            <v>59563.564992648346</v>
          </cell>
          <cell r="BF203">
            <v>59563.564992648375</v>
          </cell>
          <cell r="BG203">
            <v>60078.921266360194</v>
          </cell>
          <cell r="BH203">
            <v>60473.372730196759</v>
          </cell>
          <cell r="BI203">
            <v>60473.372730196788</v>
          </cell>
          <cell r="BJ203">
            <v>61671.785350118851</v>
          </cell>
          <cell r="BK203">
            <v>62741.992894274648</v>
          </cell>
          <cell r="BL203">
            <v>62741.992894274692</v>
          </cell>
          <cell r="BM203">
            <v>63730.348696105182</v>
          </cell>
          <cell r="BN203">
            <v>64666.151076373455</v>
          </cell>
          <cell r="BO203">
            <v>64666.151076373499</v>
          </cell>
          <cell r="BP203">
            <v>65567.390717370465</v>
          </cell>
          <cell r="BQ203">
            <v>66324.555713053982</v>
          </cell>
          <cell r="BR203">
            <v>66324.555713054011</v>
          </cell>
          <cell r="BS203">
            <v>67175.364666006091</v>
          </cell>
          <cell r="BT203">
            <v>67962.773368613576</v>
          </cell>
          <cell r="BU203">
            <v>67962.773368613591</v>
          </cell>
          <cell r="BV203">
            <v>68849.257351713255</v>
          </cell>
          <cell r="BW203">
            <v>69694.962670704612</v>
          </cell>
          <cell r="BX203">
            <v>69694.962670704612</v>
          </cell>
        </row>
        <row r="204">
          <cell r="B204" t="str">
            <v>Tier 1 preference share capital</v>
          </cell>
          <cell r="C204" t="str">
            <v>B_CA_PREFCAP</v>
          </cell>
          <cell r="D204" t="str">
            <v>AUD</v>
          </cell>
        </row>
        <row r="205">
          <cell r="B205" t="str">
            <v>Tier 1 capital ratio</v>
          </cell>
          <cell r="C205" t="str">
            <v>B_CA_T1RATIO</v>
          </cell>
          <cell r="F205">
            <v>6.8856408692100482E-2</v>
          </cell>
          <cell r="G205">
            <v>8.0240978157644818E-2</v>
          </cell>
          <cell r="H205">
            <v>7.7824096570420193E-2</v>
          </cell>
          <cell r="I205">
            <v>8.1097461721485492E-2</v>
          </cell>
          <cell r="J205">
            <v>9.0908765512082157E-2</v>
          </cell>
          <cell r="K205">
            <v>9.679205317883563E-2</v>
          </cell>
          <cell r="L205">
            <v>0.10252399287011457</v>
          </cell>
          <cell r="M205">
            <v>0.10650937626068738</v>
          </cell>
          <cell r="N205">
            <v>0.10326885748128671</v>
          </cell>
          <cell r="O205">
            <v>0.10560764302763838</v>
          </cell>
          <cell r="P205">
            <v>0.10560764302763838</v>
          </cell>
          <cell r="Q205">
            <v>0.10305544903308027</v>
          </cell>
          <cell r="R205">
            <v>0.11377656311004518</v>
          </cell>
          <cell r="S205">
            <v>0.11377656311004518</v>
          </cell>
          <cell r="T205">
            <v>0.12114313086376249</v>
          </cell>
          <cell r="U205">
            <v>0.1116562980882959</v>
          </cell>
          <cell r="V205">
            <v>0.1116562980882959</v>
          </cell>
          <cell r="W205">
            <v>0.11683259887927752</v>
          </cell>
          <cell r="X205">
            <v>0.12659715264635671</v>
          </cell>
          <cell r="Y205">
            <v>0.12659715264635671</v>
          </cell>
          <cell r="Z205">
            <v>0.12807400708128078</v>
          </cell>
          <cell r="AA205">
            <v>0.12784448874428753</v>
          </cell>
          <cell r="AB205">
            <v>0.12784448874428753</v>
          </cell>
          <cell r="AC205">
            <v>0.12837913481762378</v>
          </cell>
          <cell r="AD205">
            <v>0.12838565838141391</v>
          </cell>
          <cell r="AE205">
            <v>0.12838565838141391</v>
          </cell>
          <cell r="AF205">
            <v>0.12943084669017019</v>
          </cell>
          <cell r="AG205">
            <v>0.13230951918795172</v>
          </cell>
          <cell r="AH205">
            <v>0.13230951918795172</v>
          </cell>
          <cell r="AI205">
            <v>0.14554708684328946</v>
          </cell>
          <cell r="AJ205">
            <v>0.14654299782434443</v>
          </cell>
          <cell r="AK205">
            <v>0.14654299782434443</v>
          </cell>
          <cell r="AL205">
            <v>0.13412587290958267</v>
          </cell>
          <cell r="AM205">
            <v>0.13392236506008962</v>
          </cell>
          <cell r="AN205">
            <v>0.13392236506008962</v>
          </cell>
          <cell r="AO205">
            <v>0.14483404202708491</v>
          </cell>
          <cell r="AP205">
            <v>0.14603316659947099</v>
          </cell>
          <cell r="AQ205">
            <v>0.14603316659947099</v>
          </cell>
          <cell r="AR205">
            <v>0.15012927048245228</v>
          </cell>
          <cell r="AS205">
            <v>0.14830487163660472</v>
          </cell>
          <cell r="AT205">
            <v>0.14830487163660472</v>
          </cell>
          <cell r="AU205">
            <v>0.14554110724257222</v>
          </cell>
          <cell r="AV205" t="e">
            <v>#N/A</v>
          </cell>
          <cell r="AW205" t="e">
            <v>#N/A</v>
          </cell>
          <cell r="AX205">
            <v>0.1469961389433771</v>
          </cell>
          <cell r="AY205">
            <v>0.14481565589979431</v>
          </cell>
          <cell r="AZ205">
            <v>0.14481565589979431</v>
          </cell>
          <cell r="BA205">
            <v>0.14315764444375914</v>
          </cell>
          <cell r="BB205">
            <v>0.14151839806158648</v>
          </cell>
          <cell r="BC205">
            <v>0.14151839806158648</v>
          </cell>
          <cell r="BD205">
            <v>0.14049896171991255</v>
          </cell>
          <cell r="BE205">
            <v>0.13909426517194959</v>
          </cell>
          <cell r="BF205">
            <v>0.13909426517194964</v>
          </cell>
          <cell r="BG205">
            <v>0.13814323008933796</v>
          </cell>
          <cell r="BH205">
            <v>0.13696224419541722</v>
          </cell>
          <cell r="BI205">
            <v>0.13696224419541728</v>
          </cell>
          <cell r="BJ205">
            <v>0.13651741486577787</v>
          </cell>
          <cell r="BK205">
            <v>0.13585523787525852</v>
          </cell>
          <cell r="BL205">
            <v>0.13585523787525861</v>
          </cell>
          <cell r="BM205">
            <v>0.13702014851274413</v>
          </cell>
          <cell r="BN205">
            <v>0.13799317036068523</v>
          </cell>
          <cell r="BO205">
            <v>0.13799317036068531</v>
          </cell>
          <cell r="BP205">
            <v>0.13704882149236242</v>
          </cell>
          <cell r="BQ205">
            <v>0.13582888225930678</v>
          </cell>
          <cell r="BR205">
            <v>0.13582888225930684</v>
          </cell>
          <cell r="BS205">
            <v>0.13477168677703175</v>
          </cell>
          <cell r="BT205">
            <v>0.13359443462402673</v>
          </cell>
          <cell r="BU205">
            <v>0.13359443462402676</v>
          </cell>
          <cell r="BV205">
            <v>0.13258216896996944</v>
          </cell>
          <cell r="BW205">
            <v>0.13149106009403649</v>
          </cell>
          <cell r="BX205">
            <v>0.13149106009403649</v>
          </cell>
        </row>
        <row r="206">
          <cell r="B206" t="str">
            <v>Basel 3 CET1 ratio (CRD4 - fully loaded)</v>
          </cell>
          <cell r="C206" t="str">
            <v>B_CA_B3T1RATIO</v>
          </cell>
          <cell r="N206">
            <v>0.1126331053215834</v>
          </cell>
          <cell r="O206">
            <v>0.12389573338724816</v>
          </cell>
          <cell r="P206">
            <v>0.12389573338724816</v>
          </cell>
          <cell r="Q206">
            <v>0.12231817987849711</v>
          </cell>
          <cell r="R206">
            <v>0.13201087623403426</v>
          </cell>
          <cell r="S206">
            <v>0.13201087623403426</v>
          </cell>
          <cell r="T206">
            <v>0.14672459586838746</v>
          </cell>
          <cell r="U206">
            <v>0.14380481791378186</v>
          </cell>
          <cell r="V206">
            <v>0.14380481791378186</v>
          </cell>
          <cell r="W206">
            <v>0.15274479576242267</v>
          </cell>
          <cell r="X206">
            <v>0.16155741091196954</v>
          </cell>
          <cell r="Y206">
            <v>0.16155741091196954</v>
          </cell>
          <cell r="Z206">
            <v>0.16096603679187194</v>
          </cell>
          <cell r="AA206">
            <v>0.16134861677919246</v>
          </cell>
          <cell r="AB206">
            <v>0.16134861677919246</v>
          </cell>
          <cell r="AC206">
            <v>0.1624268172712526</v>
          </cell>
          <cell r="AD206">
            <v>0.15869925418732539</v>
          </cell>
          <cell r="AE206">
            <v>0.15869925418732539</v>
          </cell>
          <cell r="AF206">
            <v>0.15809069508115475</v>
          </cell>
          <cell r="AG206">
            <v>0.16528669460271064</v>
          </cell>
          <cell r="AH206">
            <v>0.16528669460271064</v>
          </cell>
          <cell r="AI206">
            <v>0.18141367081760507</v>
          </cell>
          <cell r="AJ206">
            <v>0.18222913088285814</v>
          </cell>
          <cell r="AK206">
            <v>0.18222913088285814</v>
          </cell>
          <cell r="AL206">
            <v>0.17432823139604658</v>
          </cell>
          <cell r="AM206">
            <v>0.17594125036640007</v>
          </cell>
          <cell r="AN206">
            <v>0.17594125036640007</v>
          </cell>
          <cell r="AO206">
            <v>0.18584908134744538</v>
          </cell>
          <cell r="AP206">
            <v>0.18679878516142467</v>
          </cell>
          <cell r="AQ206">
            <v>0.18679878516142467</v>
          </cell>
          <cell r="AR206">
            <v>0.18647674818920068</v>
          </cell>
          <cell r="AS206">
            <v>0.17915472189836087</v>
          </cell>
          <cell r="AT206">
            <v>0.17915472189836087</v>
          </cell>
          <cell r="AU206">
            <v>0.18237510984549329</v>
          </cell>
          <cell r="AV206" t="e">
            <v>#N/A</v>
          </cell>
          <cell r="AW206" t="e">
            <v>#N/A</v>
          </cell>
          <cell r="AX206">
            <v>0.19581407856886146</v>
          </cell>
          <cell r="AY206">
            <v>0.19222027904364608</v>
          </cell>
          <cell r="AZ206">
            <v>0.19222027904364608</v>
          </cell>
          <cell r="BA206">
            <v>0.19117926925474876</v>
          </cell>
          <cell r="BB206">
            <v>0.19036149050115583</v>
          </cell>
          <cell r="BC206">
            <v>0.19036149050115583</v>
          </cell>
          <cell r="BD206">
            <v>0.19053671788555182</v>
          </cell>
          <cell r="BE206">
            <v>0.19008987389985429</v>
          </cell>
          <cell r="BF206">
            <v>0.19008987389985438</v>
          </cell>
          <cell r="BG206">
            <v>0.1901660359935127</v>
          </cell>
          <cell r="BH206">
            <v>0.18974284181668852</v>
          </cell>
          <cell r="BI206">
            <v>0.1897428418166886</v>
          </cell>
          <cell r="BJ206">
            <v>0.18969824492554124</v>
          </cell>
          <cell r="BK206">
            <v>0.1891472081868234</v>
          </cell>
          <cell r="BL206">
            <v>0.18914720818682351</v>
          </cell>
          <cell r="BM206">
            <v>0.19267028540457937</v>
          </cell>
          <cell r="BN206">
            <v>0.1959992164150777</v>
          </cell>
          <cell r="BO206">
            <v>0.19599921641507786</v>
          </cell>
          <cell r="BP206">
            <v>0.19484908173432572</v>
          </cell>
          <cell r="BQ206">
            <v>0.19328441336108229</v>
          </cell>
          <cell r="BR206">
            <v>0.19328441336108235</v>
          </cell>
          <cell r="BS206">
            <v>0.1919568069317131</v>
          </cell>
          <cell r="BT206">
            <v>0.19044578200396978</v>
          </cell>
          <cell r="BU206">
            <v>0.19044578200396983</v>
          </cell>
          <cell r="BV206">
            <v>0.18917554215467136</v>
          </cell>
          <cell r="BW206">
            <v>0.18778330523094369</v>
          </cell>
          <cell r="BX206">
            <v>0.18778330523094369</v>
          </cell>
        </row>
        <row r="207">
          <cell r="B207" t="str">
            <v>Tier 2 capital</v>
          </cell>
          <cell r="C207" t="str">
            <v>B_CA_T2CAP</v>
          </cell>
          <cell r="D207" t="str">
            <v>AUD</v>
          </cell>
          <cell r="F207">
            <v>5864</v>
          </cell>
          <cell r="G207">
            <v>5576</v>
          </cell>
          <cell r="H207">
            <v>5986</v>
          </cell>
          <cell r="I207">
            <v>7711</v>
          </cell>
          <cell r="J207">
            <v>5263</v>
          </cell>
          <cell r="K207">
            <v>3816</v>
          </cell>
          <cell r="L207">
            <v>4170</v>
          </cell>
          <cell r="M207">
            <v>4918</v>
          </cell>
          <cell r="N207">
            <v>5712</v>
          </cell>
          <cell r="O207">
            <v>5704</v>
          </cell>
          <cell r="P207">
            <v>5704</v>
          </cell>
          <cell r="Q207">
            <v>6373</v>
          </cell>
          <cell r="R207">
            <v>6736</v>
          </cell>
          <cell r="S207">
            <v>6736</v>
          </cell>
          <cell r="T207">
            <v>6925</v>
          </cell>
          <cell r="U207">
            <v>7983</v>
          </cell>
          <cell r="V207">
            <v>7983</v>
          </cell>
          <cell r="W207">
            <v>9364</v>
          </cell>
          <cell r="X207">
            <v>8735</v>
          </cell>
          <cell r="Y207">
            <v>8735</v>
          </cell>
          <cell r="Z207">
            <v>8407</v>
          </cell>
          <cell r="AA207">
            <v>8332</v>
          </cell>
          <cell r="AB207">
            <v>8332</v>
          </cell>
          <cell r="AC207">
            <v>7461</v>
          </cell>
          <cell r="AD207">
            <v>11971</v>
          </cell>
          <cell r="AE207">
            <v>11971</v>
          </cell>
          <cell r="AF207">
            <v>14859</v>
          </cell>
          <cell r="AG207">
            <v>13791</v>
          </cell>
          <cell r="AH207">
            <v>13791</v>
          </cell>
          <cell r="AI207">
            <v>16657</v>
          </cell>
          <cell r="AJ207">
            <v>18405</v>
          </cell>
          <cell r="AK207">
            <v>18405</v>
          </cell>
          <cell r="AL207">
            <v>19800</v>
          </cell>
          <cell r="AM207">
            <v>23959</v>
          </cell>
          <cell r="AN207">
            <v>23959</v>
          </cell>
          <cell r="AO207">
            <v>23896</v>
          </cell>
          <cell r="AP207">
            <v>26421</v>
          </cell>
          <cell r="AQ207">
            <v>26421</v>
          </cell>
          <cell r="AR207">
            <v>28553</v>
          </cell>
          <cell r="AS207">
            <v>28695</v>
          </cell>
          <cell r="AT207">
            <v>28695</v>
          </cell>
          <cell r="AU207">
            <v>31742</v>
          </cell>
          <cell r="AV207" t="e">
            <v>#N/A</v>
          </cell>
          <cell r="AW207" t="e">
            <v>#N/A</v>
          </cell>
          <cell r="AX207">
            <v>32518.470390322771</v>
          </cell>
          <cell r="AY207">
            <v>32522.639477513469</v>
          </cell>
          <cell r="AZ207">
            <v>32522.639477513469</v>
          </cell>
          <cell r="BA207">
            <v>32526.884927848572</v>
          </cell>
          <cell r="BB207">
            <v>32530.943151302323</v>
          </cell>
          <cell r="BC207">
            <v>32530.943151302323</v>
          </cell>
          <cell r="BD207">
            <v>32545.395902997661</v>
          </cell>
          <cell r="BE207">
            <v>32559.918484683556</v>
          </cell>
          <cell r="BF207">
            <v>32559.918484683556</v>
          </cell>
          <cell r="BG207">
            <v>32574.327529764836</v>
          </cell>
          <cell r="BH207">
            <v>32588.618590152721</v>
          </cell>
          <cell r="BI207">
            <v>32588.618590152721</v>
          </cell>
          <cell r="BJ207">
            <v>32608.768103806877</v>
          </cell>
          <cell r="BK207">
            <v>32628.841873279984</v>
          </cell>
          <cell r="BL207">
            <v>32628.841873279984</v>
          </cell>
          <cell r="BM207">
            <v>32638.587929726134</v>
          </cell>
          <cell r="BN207">
            <v>32649.096127892684</v>
          </cell>
          <cell r="BO207">
            <v>32649.096127892684</v>
          </cell>
          <cell r="BP207">
            <v>32667.097522084783</v>
          </cell>
          <cell r="BQ207">
            <v>32685.451450361223</v>
          </cell>
          <cell r="BR207">
            <v>32685.451450361223</v>
          </cell>
          <cell r="BS207">
            <v>32704.164894273599</v>
          </cell>
          <cell r="BT207">
            <v>32723.2449745212</v>
          </cell>
          <cell r="BU207">
            <v>32723.2449745212</v>
          </cell>
          <cell r="BV207">
            <v>32742.698953734427</v>
          </cell>
          <cell r="BW207">
            <v>32762.534239313958</v>
          </cell>
          <cell r="BX207">
            <v>32762.534239313958</v>
          </cell>
        </row>
        <row r="208">
          <cell r="B208" t="str">
            <v>Tier 2 ratio</v>
          </cell>
          <cell r="C208" t="str">
            <v>B_CA_T2RATIO</v>
          </cell>
          <cell r="F208">
            <v>2.6802194222844952E-2</v>
          </cell>
          <cell r="G208">
            <v>3.3095916429249764E-2</v>
          </cell>
          <cell r="H208">
            <v>3.0618142758497224E-2</v>
          </cell>
          <cell r="I208">
            <v>2.6705779267781629E-2</v>
          </cell>
          <cell r="J208">
            <v>1.8838209027879693E-2</v>
          </cell>
          <cell r="K208">
            <v>1.3630469958315614E-2</v>
          </cell>
          <cell r="L208">
            <v>1.3997938912591767E-2</v>
          </cell>
          <cell r="M208">
            <v>1.6000156162565227E-2</v>
          </cell>
          <cell r="N208">
            <v>1.7711737747210826E-2</v>
          </cell>
          <cell r="O208">
            <v>1.7212503809745108E-2</v>
          </cell>
          <cell r="P208">
            <v>1.7212503809745108E-2</v>
          </cell>
          <cell r="Q208">
            <v>1.8375367262263465E-2</v>
          </cell>
          <cell r="R208">
            <v>1.8785208321713417E-2</v>
          </cell>
          <cell r="S208">
            <v>1.8785208321713417E-2</v>
          </cell>
          <cell r="T208">
            <v>1.9064110469981937E-2</v>
          </cell>
          <cell r="U208">
            <v>1.9468215084391546E-2</v>
          </cell>
          <cell r="V208">
            <v>1.9468215084391546E-2</v>
          </cell>
          <cell r="W208">
            <v>2.3156322487153241E-2</v>
          </cell>
          <cell r="X208">
            <v>2.1608717701337071E-2</v>
          </cell>
          <cell r="Y208">
            <v>2.1608717701337071E-2</v>
          </cell>
          <cell r="Z208">
            <v>2.0221578663793122E-2</v>
          </cell>
          <cell r="AA208">
            <v>1.9587008444135162E-2</v>
          </cell>
          <cell r="AB208">
            <v>1.9587008444135162E-2</v>
          </cell>
          <cell r="AC208">
            <v>1.7771944576114945E-2</v>
          </cell>
          <cell r="AD208">
            <v>2.7917834671194103E-2</v>
          </cell>
          <cell r="AE208">
            <v>2.7917834671194103E-2</v>
          </cell>
          <cell r="AF208">
            <v>3.3473378312927321E-2</v>
          </cell>
          <cell r="AG208">
            <v>3.1493132072024754E-2</v>
          </cell>
          <cell r="AH208">
            <v>3.1493132072024754E-2</v>
          </cell>
          <cell r="AI208">
            <v>3.8836649187804106E-2</v>
          </cell>
          <cell r="AJ208">
            <v>4.2150463758158702E-2</v>
          </cell>
          <cell r="AK208">
            <v>4.2150463758158702E-2</v>
          </cell>
          <cell r="AL208">
            <v>4.3047595856994997E-2</v>
          </cell>
          <cell r="AM208">
            <v>5.0163309744148066E-2</v>
          </cell>
          <cell r="AN208">
            <v>5.0163309744148066E-2</v>
          </cell>
          <cell r="AO208">
            <v>5.2756840771306074E-2</v>
          </cell>
          <cell r="AP208">
            <v>5.8528902259103538E-2</v>
          </cell>
          <cell r="AQ208">
            <v>5.8528902259103538E-2</v>
          </cell>
          <cell r="AR208">
            <v>6.4248217327419976E-2</v>
          </cell>
          <cell r="AS208">
            <v>6.5599067279336121E-2</v>
          </cell>
          <cell r="AT208">
            <v>6.5599067279336121E-2</v>
          </cell>
          <cell r="AU208">
            <v>7.0617025773367897E-2</v>
          </cell>
          <cell r="AV208" t="e">
            <v>#N/A</v>
          </cell>
          <cell r="AW208" t="e">
            <v>#N/A</v>
          </cell>
          <cell r="AX208">
            <v>7.2180726570699322E-2</v>
          </cell>
          <cell r="AY208">
            <v>7.0700150940659956E-2</v>
          </cell>
          <cell r="AZ208">
            <v>7.0700150940659956E-2</v>
          </cell>
          <cell r="BA208">
            <v>6.9466151313436419E-2</v>
          </cell>
          <cell r="BB208">
            <v>6.8319647306078174E-2</v>
          </cell>
          <cell r="BC208">
            <v>6.8319647306078174E-2</v>
          </cell>
          <cell r="BD208">
            <v>6.7367459050598821E-2</v>
          </cell>
          <cell r="BE208">
            <v>6.641336832210204E-2</v>
          </cell>
          <cell r="BF208">
            <v>6.641336832210204E-2</v>
          </cell>
          <cell r="BG208">
            <v>6.5493508463236649E-2</v>
          </cell>
          <cell r="BH208">
            <v>6.4591274669579674E-2</v>
          </cell>
          <cell r="BI208">
            <v>6.4591274669579674E-2</v>
          </cell>
          <cell r="BJ208">
            <v>6.3323115116264123E-2</v>
          </cell>
          <cell r="BK208">
            <v>6.210925327682032E-2</v>
          </cell>
          <cell r="BL208">
            <v>6.2109253276820348E-2</v>
          </cell>
          <cell r="BM208">
            <v>6.1804649239719484E-2</v>
          </cell>
          <cell r="BN208">
            <v>6.146862675000303E-2</v>
          </cell>
          <cell r="BO208">
            <v>6.146862675000303E-2</v>
          </cell>
          <cell r="BP208">
            <v>6.0339690026588649E-2</v>
          </cell>
          <cell r="BQ208">
            <v>5.9231724157819937E-2</v>
          </cell>
          <cell r="BR208">
            <v>5.9231724157819937E-2</v>
          </cell>
          <cell r="BS208">
            <v>5.8144349429683856E-2</v>
          </cell>
          <cell r="BT208">
            <v>5.7077192747519462E-2</v>
          </cell>
          <cell r="BU208">
            <v>5.7077192747519434E-2</v>
          </cell>
          <cell r="BV208">
            <v>5.6029887527160094E-2</v>
          </cell>
          <cell r="BW208">
            <v>5.500207358770251E-2</v>
          </cell>
          <cell r="BX208">
            <v>5.500207358770251E-2</v>
          </cell>
        </row>
        <row r="209">
          <cell r="B209" t="str">
            <v>Total BIS capital</v>
          </cell>
          <cell r="C209" t="str">
            <v>B_CA_CAPBASE</v>
          </cell>
          <cell r="D209" t="str">
            <v>AUD</v>
          </cell>
          <cell r="F209">
            <v>18502</v>
          </cell>
          <cell r="G209">
            <v>19095</v>
          </cell>
          <cell r="H209">
            <v>21201</v>
          </cell>
          <cell r="I209">
            <v>31127</v>
          </cell>
          <cell r="J209">
            <v>30661</v>
          </cell>
          <cell r="K209">
            <v>30914</v>
          </cell>
          <cell r="L209">
            <v>34712</v>
          </cell>
          <cell r="M209">
            <v>37656</v>
          </cell>
          <cell r="N209">
            <v>39016</v>
          </cell>
          <cell r="O209">
            <v>40701</v>
          </cell>
          <cell r="P209">
            <v>40701</v>
          </cell>
          <cell r="Q209">
            <v>42115</v>
          </cell>
          <cell r="R209">
            <v>47534</v>
          </cell>
          <cell r="S209">
            <v>47534</v>
          </cell>
          <cell r="T209">
            <v>50930</v>
          </cell>
          <cell r="U209">
            <v>53768</v>
          </cell>
          <cell r="V209">
            <v>53768</v>
          </cell>
          <cell r="W209">
            <v>56609</v>
          </cell>
          <cell r="X209">
            <v>59910</v>
          </cell>
          <cell r="Y209">
            <v>59910</v>
          </cell>
          <cell r="Z209">
            <v>61653</v>
          </cell>
          <cell r="AA209">
            <v>62715</v>
          </cell>
          <cell r="AB209">
            <v>62715</v>
          </cell>
          <cell r="AC209">
            <v>61357</v>
          </cell>
          <cell r="AD209">
            <v>67022</v>
          </cell>
          <cell r="AE209">
            <v>67022</v>
          </cell>
          <cell r="AF209">
            <v>72314</v>
          </cell>
          <cell r="AG209">
            <v>71730</v>
          </cell>
          <cell r="AH209">
            <v>71730</v>
          </cell>
          <cell r="AI209">
            <v>79082</v>
          </cell>
          <cell r="AJ209">
            <v>82393</v>
          </cell>
          <cell r="AK209">
            <v>82393</v>
          </cell>
          <cell r="AL209">
            <v>81492</v>
          </cell>
          <cell r="AM209">
            <v>87923</v>
          </cell>
          <cell r="AN209">
            <v>87923</v>
          </cell>
          <cell r="AO209">
            <v>89498</v>
          </cell>
          <cell r="AP209">
            <v>92343</v>
          </cell>
          <cell r="AQ209">
            <v>92343</v>
          </cell>
          <cell r="AR209">
            <v>95273</v>
          </cell>
          <cell r="AS209">
            <v>93568</v>
          </cell>
          <cell r="AT209">
            <v>93568</v>
          </cell>
          <cell r="AU209">
            <v>97162</v>
          </cell>
          <cell r="AV209" t="e">
            <v>#N/A</v>
          </cell>
          <cell r="AW209" t="e">
            <v>#N/A</v>
          </cell>
          <cell r="AX209">
            <v>98742.37556312533</v>
          </cell>
          <cell r="AY209">
            <v>99139.008818530507</v>
          </cell>
          <cell r="AZ209">
            <v>99139.008818530507</v>
          </cell>
          <cell r="BA209">
            <v>99559.13213488998</v>
          </cell>
          <cell r="BB209">
            <v>99916.053346320317</v>
          </cell>
          <cell r="BC209">
            <v>99916.053346320317</v>
          </cell>
          <cell r="BD209">
            <v>100420.81227724819</v>
          </cell>
          <cell r="BE209">
            <v>100752.4834773319</v>
          </cell>
          <cell r="BF209">
            <v>100752.48347733193</v>
          </cell>
          <cell r="BG209">
            <v>101282.24879612503</v>
          </cell>
          <cell r="BH209">
            <v>101690.99132034948</v>
          </cell>
          <cell r="BI209">
            <v>101690.99132034951</v>
          </cell>
          <cell r="BJ209">
            <v>102909.55345392574</v>
          </cell>
          <cell r="BK209">
            <v>103999.83476755462</v>
          </cell>
          <cell r="BL209">
            <v>103999.83476755468</v>
          </cell>
          <cell r="BM209">
            <v>104997.93662583132</v>
          </cell>
          <cell r="BN209">
            <v>105944.24720426614</v>
          </cell>
          <cell r="BO209">
            <v>105944.24720426618</v>
          </cell>
          <cell r="BP209">
            <v>106863.48823945524</v>
          </cell>
          <cell r="BQ209">
            <v>107639.0071634152</v>
          </cell>
          <cell r="BR209">
            <v>107639.00716341523</v>
          </cell>
          <cell r="BS209">
            <v>108508.52956027968</v>
          </cell>
          <cell r="BT209">
            <v>109315.01834313478</v>
          </cell>
          <cell r="BU209">
            <v>109315.01834313478</v>
          </cell>
          <cell r="BV209">
            <v>110220.95630544767</v>
          </cell>
          <cell r="BW209">
            <v>111086.49691001857</v>
          </cell>
          <cell r="BX209">
            <v>111086.49691001857</v>
          </cell>
        </row>
        <row r="210">
          <cell r="B210" t="str">
            <v>Total capital (BIS) ratio</v>
          </cell>
          <cell r="C210" t="str">
            <v>B_CA_BISRATIO</v>
          </cell>
          <cell r="F210">
            <v>9.5658602914945434E-2</v>
          </cell>
          <cell r="G210">
            <v>0.11333689458689458</v>
          </cell>
          <cell r="H210">
            <v>0.10844223932891742</v>
          </cell>
          <cell r="I210">
            <v>0.10780324098926712</v>
          </cell>
          <cell r="J210">
            <v>0.10974697453996185</v>
          </cell>
          <cell r="K210">
            <v>0.11042252313715124</v>
          </cell>
          <cell r="L210">
            <v>0.11652193178270634</v>
          </cell>
          <cell r="M210">
            <v>0.1225095324232526</v>
          </cell>
          <cell r="N210">
            <v>0.12098059522849754</v>
          </cell>
          <cell r="O210">
            <v>0.12282014683738349</v>
          </cell>
          <cell r="P210">
            <v>0.12282014683738349</v>
          </cell>
          <cell r="Q210">
            <v>0.12143081629534373</v>
          </cell>
          <cell r="R210">
            <v>0.1325617714317586</v>
          </cell>
          <cell r="S210">
            <v>0.1325617714317586</v>
          </cell>
          <cell r="T210">
            <v>0.14020724133374443</v>
          </cell>
          <cell r="U210">
            <v>0.13112451317268745</v>
          </cell>
          <cell r="V210">
            <v>0.13112451317268745</v>
          </cell>
          <cell r="W210">
            <v>0.13998892136643076</v>
          </cell>
          <cell r="X210">
            <v>0.14820587034769378</v>
          </cell>
          <cell r="Y210">
            <v>0.14820587034769378</v>
          </cell>
          <cell r="Z210">
            <v>0.1482955857450739</v>
          </cell>
          <cell r="AA210">
            <v>0.14743149718842269</v>
          </cell>
          <cell r="AB210">
            <v>0.14743149718842269</v>
          </cell>
          <cell r="AC210">
            <v>0.14615107939373873</v>
          </cell>
          <cell r="AD210">
            <v>0.15630349305260802</v>
          </cell>
          <cell r="AE210">
            <v>0.15630349305260802</v>
          </cell>
          <cell r="AF210">
            <v>0.16290422500309751</v>
          </cell>
          <cell r="AG210">
            <v>0.16380265125997648</v>
          </cell>
          <cell r="AH210">
            <v>0.16380265125997648</v>
          </cell>
          <cell r="AI210">
            <v>0.18438373603109356</v>
          </cell>
          <cell r="AJ210">
            <v>0.18869346158250314</v>
          </cell>
          <cell r="AK210">
            <v>0.18869346158250314</v>
          </cell>
          <cell r="AL210">
            <v>0.17717346876657766</v>
          </cell>
          <cell r="AM210">
            <v>0.18408567480423768</v>
          </cell>
          <cell r="AN210">
            <v>0.18408567480423768</v>
          </cell>
          <cell r="AO210">
            <v>0.19759088279839099</v>
          </cell>
          <cell r="AP210">
            <v>0.20456206885857453</v>
          </cell>
          <cell r="AQ210">
            <v>0.20456206885857453</v>
          </cell>
          <cell r="AR210">
            <v>0.21437748780987226</v>
          </cell>
          <cell r="AS210">
            <v>0.21390393891594084</v>
          </cell>
          <cell r="AT210">
            <v>0.21390393891594084</v>
          </cell>
          <cell r="AU210">
            <v>0.21615813301594011</v>
          </cell>
          <cell r="AV210" t="e">
            <v>#N/A</v>
          </cell>
          <cell r="AW210" t="e">
            <v>#N/A</v>
          </cell>
          <cell r="AX210">
            <v>0.21917686551407642</v>
          </cell>
          <cell r="AY210">
            <v>0.21551580684045427</v>
          </cell>
          <cell r="AZ210">
            <v>0.21551580684045427</v>
          </cell>
          <cell r="BA210">
            <v>0.21262379575719556</v>
          </cell>
          <cell r="BB210">
            <v>0.20983804536766465</v>
          </cell>
          <cell r="BC210">
            <v>0.20983804536766465</v>
          </cell>
          <cell r="BD210">
            <v>0.20786642077051137</v>
          </cell>
          <cell r="BE210">
            <v>0.20550763349405163</v>
          </cell>
          <cell r="BF210">
            <v>0.20550763349405168</v>
          </cell>
          <cell r="BG210">
            <v>0.20363673855257461</v>
          </cell>
          <cell r="BH210">
            <v>0.20155351886499689</v>
          </cell>
          <cell r="BI210">
            <v>0.20155351886499695</v>
          </cell>
          <cell r="BJ210">
            <v>0.19984052998204199</v>
          </cell>
          <cell r="BK210">
            <v>0.19796449115207884</v>
          </cell>
          <cell r="BL210">
            <v>0.19796449115207895</v>
          </cell>
          <cell r="BM210">
            <v>0.19882479775246362</v>
          </cell>
          <cell r="BN210">
            <v>0.19946179711068826</v>
          </cell>
          <cell r="BO210">
            <v>0.19946179711068834</v>
          </cell>
          <cell r="BP210">
            <v>0.19738851151895107</v>
          </cell>
          <cell r="BQ210">
            <v>0.19506060641712672</v>
          </cell>
          <cell r="BR210">
            <v>0.19506060641712678</v>
          </cell>
          <cell r="BS210">
            <v>0.1929160362067156</v>
          </cell>
          <cell r="BT210">
            <v>0.19067162737154619</v>
          </cell>
          <cell r="BU210">
            <v>0.19067162737154619</v>
          </cell>
          <cell r="BV210">
            <v>0.18861205649712953</v>
          </cell>
          <cell r="BW210">
            <v>0.186493133681739</v>
          </cell>
          <cell r="BX210">
            <v>0.186493133681739</v>
          </cell>
        </row>
        <row r="211">
          <cell r="B211" t="str">
            <v>Risk weighted assets</v>
          </cell>
          <cell r="C211" t="str">
            <v>B_CA_RWA</v>
          </cell>
          <cell r="D211" t="str">
            <v>AUD</v>
          </cell>
          <cell r="F211">
            <v>193417</v>
          </cell>
          <cell r="G211">
            <v>168480</v>
          </cell>
          <cell r="H211">
            <v>195505</v>
          </cell>
          <cell r="I211">
            <v>288739</v>
          </cell>
          <cell r="J211">
            <v>279379</v>
          </cell>
          <cell r="K211">
            <v>279961</v>
          </cell>
          <cell r="L211">
            <v>297901</v>
          </cell>
          <cell r="M211">
            <v>307372</v>
          </cell>
          <cell r="N211">
            <v>322498</v>
          </cell>
          <cell r="O211">
            <v>331387</v>
          </cell>
          <cell r="P211">
            <v>331387</v>
          </cell>
          <cell r="Q211">
            <v>346823</v>
          </cell>
          <cell r="R211">
            <v>358580</v>
          </cell>
          <cell r="S211">
            <v>358580</v>
          </cell>
          <cell r="T211">
            <v>363248</v>
          </cell>
          <cell r="U211">
            <v>410053</v>
          </cell>
          <cell r="V211">
            <v>410053</v>
          </cell>
          <cell r="W211">
            <v>404382</v>
          </cell>
          <cell r="X211">
            <v>404235</v>
          </cell>
          <cell r="Y211">
            <v>404235</v>
          </cell>
          <cell r="Z211">
            <v>415744</v>
          </cell>
          <cell r="AA211">
            <v>425384</v>
          </cell>
          <cell r="AB211">
            <v>425384</v>
          </cell>
          <cell r="AC211">
            <v>419819</v>
          </cell>
          <cell r="AD211">
            <v>428794</v>
          </cell>
          <cell r="AE211">
            <v>428794</v>
          </cell>
          <cell r="AF211">
            <v>443905</v>
          </cell>
          <cell r="AG211">
            <v>437905</v>
          </cell>
          <cell r="AH211">
            <v>437905</v>
          </cell>
          <cell r="AI211">
            <v>428899</v>
          </cell>
          <cell r="AJ211">
            <v>436650</v>
          </cell>
          <cell r="AK211">
            <v>436650</v>
          </cell>
          <cell r="AL211">
            <v>459956</v>
          </cell>
          <cell r="AM211">
            <v>477620</v>
          </cell>
          <cell r="AN211">
            <v>477620</v>
          </cell>
          <cell r="AO211">
            <v>452946</v>
          </cell>
          <cell r="AP211">
            <v>451418</v>
          </cell>
          <cell r="AQ211">
            <v>451418</v>
          </cell>
          <cell r="AR211">
            <v>444417</v>
          </cell>
          <cell r="AS211">
            <v>437430</v>
          </cell>
          <cell r="AT211">
            <v>437430</v>
          </cell>
          <cell r="AU211">
            <v>449495</v>
          </cell>
          <cell r="AV211" t="e">
            <v>#N/A</v>
          </cell>
          <cell r="AW211" t="e">
            <v>#N/A</v>
          </cell>
          <cell r="AX211">
            <v>450514.58935470402</v>
          </cell>
          <cell r="AY211">
            <v>460008.0628513844</v>
          </cell>
          <cell r="AZ211">
            <v>460008.0628513844</v>
          </cell>
          <cell r="BA211">
            <v>468240.78076651832</v>
          </cell>
          <cell r="BB211">
            <v>476157.94919960236</v>
          </cell>
          <cell r="BC211">
            <v>476157.94919960236</v>
          </cell>
          <cell r="BD211">
            <v>483102.61900412833</v>
          </cell>
          <cell r="BE211">
            <v>490261.51371767977</v>
          </cell>
          <cell r="BF211">
            <v>490261.51371767977</v>
          </cell>
          <cell r="BG211">
            <v>497367.27034633851</v>
          </cell>
          <cell r="BH211">
            <v>504535.92620460968</v>
          </cell>
          <cell r="BI211">
            <v>504535.92620460968</v>
          </cell>
          <cell r="BJ211">
            <v>514958.36937168532</v>
          </cell>
          <cell r="BK211">
            <v>525345.90502728405</v>
          </cell>
          <cell r="BL211">
            <v>525345.90502728405</v>
          </cell>
          <cell r="BM211">
            <v>528092.76213399449</v>
          </cell>
          <cell r="BN211">
            <v>531150.56987817073</v>
          </cell>
          <cell r="BO211">
            <v>531150.56987817073</v>
          </cell>
          <cell r="BP211">
            <v>541386.56508991099</v>
          </cell>
          <cell r="BQ211">
            <v>551823.40063700464</v>
          </cell>
          <cell r="BR211">
            <v>551823.40063700464</v>
          </cell>
          <cell r="BS211">
            <v>562465.05834283982</v>
          </cell>
          <cell r="BT211">
            <v>573315.5994421842</v>
          </cell>
          <cell r="BU211">
            <v>573315.5994421842</v>
          </cell>
          <cell r="BV211">
            <v>584379.16617024492</v>
          </cell>
          <cell r="BW211">
            <v>595659.98338359152</v>
          </cell>
          <cell r="BX211">
            <v>595659.98338359152</v>
          </cell>
        </row>
        <row r="212">
          <cell r="A212" t="str">
            <v>Loan Book (Gross)</v>
          </cell>
        </row>
        <row r="213">
          <cell r="B213" t="str">
            <v>Mortgages</v>
          </cell>
          <cell r="C213" t="str">
            <v>B_LB_MORTG</v>
          </cell>
          <cell r="D213" t="str">
            <v>AUD</v>
          </cell>
          <cell r="F213">
            <v>111154</v>
          </cell>
          <cell r="G213">
            <v>127676</v>
          </cell>
          <cell r="H213">
            <v>220802</v>
          </cell>
          <cell r="I213">
            <v>257601</v>
          </cell>
          <cell r="J213">
            <v>287798</v>
          </cell>
          <cell r="K213">
            <v>304569</v>
          </cell>
          <cell r="L213">
            <v>316342</v>
          </cell>
          <cell r="M213">
            <v>328532</v>
          </cell>
          <cell r="N213">
            <v>338036</v>
          </cell>
          <cell r="O213">
            <v>351037</v>
          </cell>
          <cell r="P213">
            <v>351037</v>
          </cell>
          <cell r="Q213">
            <v>362779</v>
          </cell>
          <cell r="R213">
            <v>375848</v>
          </cell>
          <cell r="S213">
            <v>375848</v>
          </cell>
          <cell r="T213">
            <v>390823</v>
          </cell>
          <cell r="U213">
            <v>404190</v>
          </cell>
          <cell r="V213">
            <v>404190</v>
          </cell>
          <cell r="W213">
            <v>413938</v>
          </cell>
          <cell r="X213">
            <v>427167</v>
          </cell>
          <cell r="Y213">
            <v>427167</v>
          </cell>
          <cell r="Z213">
            <v>437239</v>
          </cell>
          <cell r="AA213">
            <v>444741</v>
          </cell>
          <cell r="AB213">
            <v>444741</v>
          </cell>
          <cell r="AC213">
            <v>447164</v>
          </cell>
          <cell r="AD213">
            <v>449201</v>
          </cell>
          <cell r="AE213">
            <v>449201</v>
          </cell>
          <cell r="AF213">
            <v>445663</v>
          </cell>
          <cell r="AG213">
            <v>440933</v>
          </cell>
          <cell r="AH213">
            <v>440933</v>
          </cell>
          <cell r="AI213">
            <v>443557</v>
          </cell>
          <cell r="AJ213">
            <v>455604</v>
          </cell>
          <cell r="AK213">
            <v>455604</v>
          </cell>
          <cell r="AL213">
            <v>458278</v>
          </cell>
          <cell r="AM213">
            <v>467382</v>
          </cell>
          <cell r="AN213">
            <v>467382</v>
          </cell>
          <cell r="AO213">
            <v>472570</v>
          </cell>
          <cell r="AP213">
            <v>485474</v>
          </cell>
          <cell r="AQ213">
            <v>485474</v>
          </cell>
          <cell r="AR213">
            <v>495058</v>
          </cell>
          <cell r="AS213">
            <v>503271</v>
          </cell>
          <cell r="AT213">
            <v>503271</v>
          </cell>
          <cell r="AU213">
            <v>510182</v>
          </cell>
          <cell r="AV213" t="e">
            <v>#N/A</v>
          </cell>
          <cell r="AW213" t="e">
            <v>#N/A</v>
          </cell>
          <cell r="AX213">
            <v>532790.43342400005</v>
          </cell>
          <cell r="AY213">
            <v>545689.42301480344</v>
          </cell>
          <cell r="AZ213">
            <v>545689.42301480344</v>
          </cell>
          <cell r="BA213">
            <v>561629.14748342161</v>
          </cell>
          <cell r="BB213">
            <v>578034.47528869926</v>
          </cell>
          <cell r="BC213">
            <v>578034.47528869926</v>
          </cell>
          <cell r="BD213">
            <v>594919.00682050094</v>
          </cell>
          <cell r="BE213">
            <v>612296.7397394795</v>
          </cell>
          <cell r="BF213">
            <v>612296.7397394795</v>
          </cell>
          <cell r="BG213">
            <v>628939.7304965232</v>
          </cell>
          <cell r="BH213">
            <v>644761.49559182639</v>
          </cell>
          <cell r="BI213">
            <v>644761.49559182639</v>
          </cell>
          <cell r="BJ213">
            <v>659349.22442959144</v>
          </cell>
          <cell r="BK213">
            <v>672602.14384062623</v>
          </cell>
          <cell r="BL213">
            <v>672602.14384062623</v>
          </cell>
          <cell r="BM213">
            <v>686121.44693182281</v>
          </cell>
          <cell r="BN213">
            <v>699912.4880151524</v>
          </cell>
          <cell r="BO213">
            <v>699912.4880151524</v>
          </cell>
          <cell r="BP213">
            <v>713980.72902425693</v>
          </cell>
          <cell r="BQ213">
            <v>728331.74167764455</v>
          </cell>
          <cell r="BR213">
            <v>728331.74167764455</v>
          </cell>
          <cell r="BS213">
            <v>742971.2096853652</v>
          </cell>
          <cell r="BT213">
            <v>757904.93100004108</v>
          </cell>
          <cell r="BU213">
            <v>757904.93100004108</v>
          </cell>
          <cell r="BV213">
            <v>773138.8201131419</v>
          </cell>
          <cell r="BW213">
            <v>788678.9103974161</v>
          </cell>
          <cell r="BX213">
            <v>788678.9103974161</v>
          </cell>
        </row>
        <row r="214">
          <cell r="B214" t="str">
            <v>Other personal secured loans</v>
          </cell>
          <cell r="C214" t="str">
            <v>B_LB_OTHSECURE</v>
          </cell>
          <cell r="D214" t="str">
            <v>AUD</v>
          </cell>
        </row>
        <row r="215">
          <cell r="B215" t="str">
            <v>Personal unsecured loans and other</v>
          </cell>
          <cell r="C215" t="str">
            <v>B_LB_PERSON</v>
          </cell>
          <cell r="D215" t="str">
            <v>AUD</v>
          </cell>
        </row>
        <row r="216">
          <cell r="B216" t="str">
            <v>Total personal lending</v>
          </cell>
          <cell r="C216" t="str">
            <v>B_LB_TOTPERSNL</v>
          </cell>
          <cell r="D216" t="str">
            <v>AUD</v>
          </cell>
          <cell r="F216">
            <v>119922</v>
          </cell>
          <cell r="G216">
            <v>136969</v>
          </cell>
          <cell r="H216">
            <v>235419</v>
          </cell>
          <cell r="I216">
            <v>272816</v>
          </cell>
          <cell r="J216">
            <v>303237</v>
          </cell>
          <cell r="K216">
            <v>320257</v>
          </cell>
          <cell r="L216">
            <v>335011</v>
          </cell>
          <cell r="M216">
            <v>347715</v>
          </cell>
          <cell r="N216">
            <v>360598</v>
          </cell>
          <cell r="O216">
            <v>374239</v>
          </cell>
          <cell r="P216">
            <v>374239</v>
          </cell>
          <cell r="Q216">
            <v>386655</v>
          </cell>
          <cell r="R216">
            <v>400062</v>
          </cell>
          <cell r="S216">
            <v>400062</v>
          </cell>
          <cell r="T216">
            <v>415665</v>
          </cell>
          <cell r="U216">
            <v>428927</v>
          </cell>
          <cell r="V216">
            <v>428927</v>
          </cell>
          <cell r="W216">
            <v>438582</v>
          </cell>
          <cell r="X216">
            <v>451004</v>
          </cell>
          <cell r="Y216">
            <v>451004</v>
          </cell>
          <cell r="Z216">
            <v>460991</v>
          </cell>
          <cell r="AA216">
            <v>467738</v>
          </cell>
          <cell r="AB216">
            <v>467738</v>
          </cell>
          <cell r="AC216">
            <v>469627</v>
          </cell>
          <cell r="AD216">
            <v>470448</v>
          </cell>
          <cell r="AE216">
            <v>470448</v>
          </cell>
          <cell r="AF216">
            <v>465517</v>
          </cell>
          <cell r="AG216">
            <v>458014</v>
          </cell>
          <cell r="AH216">
            <v>458014</v>
          </cell>
          <cell r="AI216">
            <v>460015</v>
          </cell>
          <cell r="AJ216">
            <v>470341</v>
          </cell>
          <cell r="AK216">
            <v>470341</v>
          </cell>
          <cell r="AL216">
            <v>472406</v>
          </cell>
          <cell r="AM216">
            <v>480214</v>
          </cell>
          <cell r="AN216">
            <v>480214</v>
          </cell>
          <cell r="AO216">
            <v>484598</v>
          </cell>
          <cell r="AP216">
            <v>496763</v>
          </cell>
          <cell r="AQ216">
            <v>496763</v>
          </cell>
          <cell r="AR216">
            <v>505921</v>
          </cell>
          <cell r="AS216">
            <v>513445</v>
          </cell>
          <cell r="AT216">
            <v>513445</v>
          </cell>
          <cell r="AU216">
            <v>519547</v>
          </cell>
          <cell r="AV216" t="e">
            <v>#N/A</v>
          </cell>
          <cell r="AW216" t="e">
            <v>#N/A</v>
          </cell>
          <cell r="AX216">
            <v>542033.46458400006</v>
          </cell>
          <cell r="AY216">
            <v>555094.90044744045</v>
          </cell>
          <cell r="AZ216">
            <v>555094.90044744045</v>
          </cell>
          <cell r="BA216">
            <v>571128.91482732084</v>
          </cell>
          <cell r="BB216">
            <v>587629.47780022107</v>
          </cell>
          <cell r="BC216">
            <v>587629.47780022107</v>
          </cell>
          <cell r="BD216">
            <v>604610.19923220074</v>
          </cell>
          <cell r="BE216">
            <v>622085.08635510656</v>
          </cell>
          <cell r="BF216">
            <v>622085.08635510656</v>
          </cell>
          <cell r="BG216">
            <v>638826.20528697188</v>
          </cell>
          <cell r="BH216">
            <v>654747.08229204931</v>
          </cell>
          <cell r="BI216">
            <v>654747.08229204931</v>
          </cell>
          <cell r="BJ216">
            <v>669434.91663648409</v>
          </cell>
          <cell r="BK216">
            <v>682788.945111893</v>
          </cell>
          <cell r="BL216">
            <v>682788.945111893</v>
          </cell>
          <cell r="BM216">
            <v>696410.3708858341</v>
          </cell>
          <cell r="BN216">
            <v>710304.55843180255</v>
          </cell>
          <cell r="BO216">
            <v>710304.55843180255</v>
          </cell>
          <cell r="BP216">
            <v>724476.97994683404</v>
          </cell>
          <cell r="BQ216">
            <v>738933.21751572052</v>
          </cell>
          <cell r="BR216">
            <v>738933.21751572052</v>
          </cell>
          <cell r="BS216">
            <v>753678.96531871788</v>
          </cell>
          <cell r="BT216">
            <v>768720.0318836181</v>
          </cell>
          <cell r="BU216">
            <v>768720.0318836181</v>
          </cell>
          <cell r="BV216">
            <v>784062.34238307679</v>
          </cell>
          <cell r="BW216">
            <v>799711.94097810704</v>
          </cell>
          <cell r="BX216">
            <v>799711.94097810704</v>
          </cell>
        </row>
        <row r="217">
          <cell r="B217" t="str">
            <v>Commercial &amp; industrial loans</v>
          </cell>
          <cell r="C217" t="str">
            <v>B_LB_FINANCL</v>
          </cell>
          <cell r="D217" t="str">
            <v>AUD</v>
          </cell>
        </row>
        <row r="218">
          <cell r="B218" t="str">
            <v>Construction &amp; real estate loans</v>
          </cell>
          <cell r="C218" t="str">
            <v>B_LB_CONSTRUCT</v>
          </cell>
          <cell r="D218" t="str">
            <v>AUD</v>
          </cell>
        </row>
        <row r="219">
          <cell r="B219" t="str">
            <v>Other commercial loans</v>
          </cell>
          <cell r="C219" t="str">
            <v>B_LB_COMMCL</v>
          </cell>
          <cell r="D219" t="str">
            <v>AUD</v>
          </cell>
        </row>
        <row r="220">
          <cell r="B220" t="str">
            <v>Total commercial lending</v>
          </cell>
          <cell r="C220" t="str">
            <v>B_LB_TOTCORP</v>
          </cell>
          <cell r="D220" t="str">
            <v>AUD</v>
          </cell>
          <cell r="F220">
            <v>75737</v>
          </cell>
          <cell r="G220">
            <v>92062</v>
          </cell>
          <cell r="H220">
            <v>147838</v>
          </cell>
          <cell r="I220">
            <v>143255</v>
          </cell>
          <cell r="J220">
            <v>130717</v>
          </cell>
          <cell r="K220">
            <v>128225</v>
          </cell>
          <cell r="L220">
            <v>128003</v>
          </cell>
          <cell r="M220">
            <v>126429</v>
          </cell>
          <cell r="N220">
            <v>133303</v>
          </cell>
          <cell r="O220">
            <v>137016</v>
          </cell>
          <cell r="P220">
            <v>137016</v>
          </cell>
          <cell r="Q220">
            <v>139795</v>
          </cell>
          <cell r="R220">
            <v>145593</v>
          </cell>
          <cell r="S220">
            <v>145593</v>
          </cell>
          <cell r="T220">
            <v>148822</v>
          </cell>
          <cell r="U220">
            <v>150317</v>
          </cell>
          <cell r="V220">
            <v>150317</v>
          </cell>
          <cell r="W220">
            <v>147810</v>
          </cell>
          <cell r="X220">
            <v>150642</v>
          </cell>
          <cell r="Y220">
            <v>150642</v>
          </cell>
          <cell r="Z220">
            <v>151904</v>
          </cell>
          <cell r="AA220">
            <v>154347</v>
          </cell>
          <cell r="AB220">
            <v>154347</v>
          </cell>
          <cell r="AC220">
            <v>152424</v>
          </cell>
          <cell r="AD220">
            <v>152360</v>
          </cell>
          <cell r="AE220">
            <v>152360</v>
          </cell>
          <cell r="AF220">
            <v>155322</v>
          </cell>
          <cell r="AG220">
            <v>147584</v>
          </cell>
          <cell r="AH220">
            <v>147584</v>
          </cell>
          <cell r="AI220">
            <v>142965</v>
          </cell>
          <cell r="AJ220">
            <v>148453</v>
          </cell>
          <cell r="AK220">
            <v>148453</v>
          </cell>
          <cell r="AL220">
            <v>156763</v>
          </cell>
          <cell r="AM220">
            <v>170636</v>
          </cell>
          <cell r="AN220">
            <v>170636</v>
          </cell>
          <cell r="AO220">
            <v>169891</v>
          </cell>
          <cell r="AP220">
            <v>181509</v>
          </cell>
          <cell r="AQ220">
            <v>181509</v>
          </cell>
          <cell r="AR220">
            <v>183883</v>
          </cell>
          <cell r="AS220">
            <v>195483</v>
          </cell>
          <cell r="AT220">
            <v>195483</v>
          </cell>
          <cell r="AU220">
            <v>204642</v>
          </cell>
          <cell r="AV220" t="e">
            <v>#N/A</v>
          </cell>
          <cell r="AW220" t="e">
            <v>#N/A</v>
          </cell>
          <cell r="AX220">
            <v>233042.91999999995</v>
          </cell>
          <cell r="AY220">
            <v>242434.54967599991</v>
          </cell>
          <cell r="AZ220">
            <v>242434.54967599991</v>
          </cell>
          <cell r="BA220">
            <v>249762.1339399569</v>
          </cell>
          <cell r="BB220">
            <v>256043.65160854685</v>
          </cell>
          <cell r="BC220">
            <v>256043.65160854685</v>
          </cell>
          <cell r="BD220">
            <v>261190.12900587864</v>
          </cell>
          <cell r="BE220">
            <v>266440.05059889681</v>
          </cell>
          <cell r="BF220">
            <v>266440.05059889681</v>
          </cell>
          <cell r="BG220">
            <v>271795.4956159346</v>
          </cell>
          <cell r="BH220">
            <v>277258.58507781487</v>
          </cell>
          <cell r="BI220">
            <v>277258.58507781487</v>
          </cell>
          <cell r="BJ220">
            <v>282831.48263787897</v>
          </cell>
          <cell r="BK220">
            <v>288516.39543890033</v>
          </cell>
          <cell r="BL220">
            <v>288516.39543890033</v>
          </cell>
          <cell r="BM220">
            <v>294315.57498722227</v>
          </cell>
          <cell r="BN220">
            <v>300231.31804446544</v>
          </cell>
          <cell r="BO220">
            <v>300231.31804446544</v>
          </cell>
          <cell r="BP220">
            <v>306265.96753715922</v>
          </cell>
          <cell r="BQ220">
            <v>312421.91348465614</v>
          </cell>
          <cell r="BR220">
            <v>312421.91348465614</v>
          </cell>
          <cell r="BS220">
            <v>318701.59394569771</v>
          </cell>
          <cell r="BT220">
            <v>325107.49598400621</v>
          </cell>
          <cell r="BU220">
            <v>325107.49598400621</v>
          </cell>
          <cell r="BV220">
            <v>331642.15665328479</v>
          </cell>
          <cell r="BW220">
            <v>338308.16400201578</v>
          </cell>
          <cell r="BX220">
            <v>338308.16400201578</v>
          </cell>
        </row>
        <row r="221">
          <cell r="B221" t="str">
            <v>Finance leases</v>
          </cell>
          <cell r="C221" t="str">
            <v>B_LB_FINLEASE</v>
          </cell>
          <cell r="D221" t="str">
            <v>AUD</v>
          </cell>
        </row>
        <row r="222">
          <cell r="B222" t="str">
            <v>Government &amp; public authorities loans</v>
          </cell>
          <cell r="C222" t="str">
            <v>B_LB_GOVERNMT</v>
          </cell>
          <cell r="D222" t="str">
            <v>AUD</v>
          </cell>
        </row>
        <row r="223">
          <cell r="B223" t="str">
            <v>Other loans</v>
          </cell>
          <cell r="C223" t="str">
            <v>B_LB_OTHER</v>
          </cell>
          <cell r="D223" t="str">
            <v>AUD</v>
          </cell>
        </row>
        <row r="224">
          <cell r="B224" t="str">
            <v>Total other lending</v>
          </cell>
          <cell r="C224" t="str">
            <v>B_LB_OTHLEND</v>
          </cell>
          <cell r="D224" t="str">
            <v>AUD</v>
          </cell>
          <cell r="F224">
            <v>102515</v>
          </cell>
          <cell r="G224">
            <v>123548</v>
          </cell>
          <cell r="H224">
            <v>187984</v>
          </cell>
          <cell r="I224">
            <v>182737</v>
          </cell>
          <cell r="J224">
            <v>167610</v>
          </cell>
          <cell r="K224">
            <v>167589</v>
          </cell>
          <cell r="L224">
            <v>172291</v>
          </cell>
          <cell r="M224">
            <v>177000</v>
          </cell>
          <cell r="N224">
            <v>192920</v>
          </cell>
          <cell r="O224">
            <v>196133</v>
          </cell>
          <cell r="P224">
            <v>196133</v>
          </cell>
          <cell r="Q224">
            <v>204524</v>
          </cell>
          <cell r="R224">
            <v>212145</v>
          </cell>
          <cell r="S224">
            <v>212145</v>
          </cell>
          <cell r="T224">
            <v>214077</v>
          </cell>
          <cell r="U224">
            <v>218031</v>
          </cell>
          <cell r="V224">
            <v>218031</v>
          </cell>
          <cell r="W224">
            <v>213989</v>
          </cell>
          <cell r="X224">
            <v>217420</v>
          </cell>
          <cell r="Y224">
            <v>217420</v>
          </cell>
          <cell r="Z224">
            <v>222093</v>
          </cell>
          <cell r="AA224">
            <v>222991</v>
          </cell>
          <cell r="AB224">
            <v>222991</v>
          </cell>
          <cell r="AC224">
            <v>223271</v>
          </cell>
          <cell r="AD224">
            <v>221446</v>
          </cell>
          <cell r="AE224">
            <v>221446</v>
          </cell>
          <cell r="AF224">
            <v>227168</v>
          </cell>
          <cell r="AG224">
            <v>206602</v>
          </cell>
          <cell r="AH224">
            <v>206602</v>
          </cell>
          <cell r="AI224">
            <v>196033</v>
          </cell>
          <cell r="AJ224">
            <v>200318</v>
          </cell>
          <cell r="AK224">
            <v>200318</v>
          </cell>
          <cell r="AL224">
            <v>207348</v>
          </cell>
          <cell r="AM224">
            <v>219901</v>
          </cell>
          <cell r="AN224">
            <v>219901</v>
          </cell>
          <cell r="AO224">
            <v>220380</v>
          </cell>
          <cell r="AP224">
            <v>230613</v>
          </cell>
          <cell r="AQ224">
            <v>230613</v>
          </cell>
          <cell r="AR224">
            <v>232158</v>
          </cell>
          <cell r="AS224">
            <v>245254</v>
          </cell>
          <cell r="AT224">
            <v>245254</v>
          </cell>
          <cell r="AU224">
            <v>255675</v>
          </cell>
          <cell r="AV224" t="e">
            <v>#N/A</v>
          </cell>
          <cell r="AW224" t="e">
            <v>#N/A</v>
          </cell>
          <cell r="AX224">
            <v>288033.81584613235</v>
          </cell>
          <cell r="AY224">
            <v>297702.48311092774</v>
          </cell>
          <cell r="AZ224">
            <v>297702.48311092774</v>
          </cell>
          <cell r="BA224">
            <v>305046.90523259412</v>
          </cell>
          <cell r="BB224">
            <v>311476.80628207757</v>
          </cell>
          <cell r="BC224">
            <v>311476.80628207757</v>
          </cell>
          <cell r="BD224">
            <v>316650.52975327789</v>
          </cell>
          <cell r="BE224">
            <v>321809.78575022612</v>
          </cell>
          <cell r="BF224">
            <v>321809.78575022612</v>
          </cell>
          <cell r="BG224">
            <v>327056.26895472058</v>
          </cell>
          <cell r="BH224">
            <v>332406.06026091962</v>
          </cell>
          <cell r="BI224">
            <v>332406.06026091962</v>
          </cell>
          <cell r="BJ224">
            <v>337902.8679272068</v>
          </cell>
          <cell r="BK224">
            <v>343545.99208719097</v>
          </cell>
          <cell r="BL224">
            <v>343545.99208719097</v>
          </cell>
          <cell r="BM224">
            <v>349644.97385526344</v>
          </cell>
          <cell r="BN224">
            <v>356183.2516445074</v>
          </cell>
          <cell r="BO224">
            <v>356183.2516445074</v>
          </cell>
          <cell r="BP224">
            <v>362847.49408083316</v>
          </cell>
          <cell r="BQ224">
            <v>369640.17178487848</v>
          </cell>
          <cell r="BR224">
            <v>369640.17178487848</v>
          </cell>
          <cell r="BS224">
            <v>376563.80434322159</v>
          </cell>
          <cell r="BT224">
            <v>383620.96128468995</v>
          </cell>
          <cell r="BU224">
            <v>383620.96128468995</v>
          </cell>
          <cell r="BV224">
            <v>390814.26307619864</v>
          </cell>
          <cell r="BW224">
            <v>398146.38213851652</v>
          </cell>
          <cell r="BX224">
            <v>398146.38213851652</v>
          </cell>
        </row>
        <row r="225">
          <cell r="B225" t="str">
            <v>Gross loans to customers</v>
          </cell>
          <cell r="C225" t="str">
            <v>B_LB_GROSSLOANS</v>
          </cell>
          <cell r="D225" t="str">
            <v>AUD</v>
          </cell>
          <cell r="F225">
            <v>235684</v>
          </cell>
          <cell r="G225">
            <v>276746</v>
          </cell>
          <cell r="H225">
            <v>435875</v>
          </cell>
          <cell r="I225">
            <v>467843</v>
          </cell>
          <cell r="J225">
            <v>482366</v>
          </cell>
          <cell r="K225">
            <v>500654</v>
          </cell>
          <cell r="L225">
            <v>518279</v>
          </cell>
          <cell r="M225">
            <v>539806</v>
          </cell>
          <cell r="N225">
            <v>568057</v>
          </cell>
          <cell r="O225">
            <v>583516</v>
          </cell>
          <cell r="P225">
            <v>583516</v>
          </cell>
          <cell r="Q225">
            <v>608264</v>
          </cell>
          <cell r="R225">
            <v>626344</v>
          </cell>
          <cell r="S225">
            <v>626344</v>
          </cell>
          <cell r="T225">
            <v>644054</v>
          </cell>
          <cell r="U225">
            <v>665256</v>
          </cell>
          <cell r="V225">
            <v>665256</v>
          </cell>
          <cell r="W225">
            <v>670208</v>
          </cell>
          <cell r="X225">
            <v>687785</v>
          </cell>
          <cell r="Y225">
            <v>687785</v>
          </cell>
          <cell r="Z225">
            <v>704306</v>
          </cell>
          <cell r="AA225">
            <v>712504</v>
          </cell>
          <cell r="AB225">
            <v>712504</v>
          </cell>
          <cell r="AC225">
            <v>717934</v>
          </cell>
          <cell r="AD225">
            <v>718378</v>
          </cell>
          <cell r="AE225">
            <v>718378</v>
          </cell>
          <cell r="AF225">
            <v>724868</v>
          </cell>
          <cell r="AG225">
            <v>698661</v>
          </cell>
          <cell r="AH225">
            <v>698661</v>
          </cell>
          <cell r="AI225">
            <v>693131</v>
          </cell>
          <cell r="AJ225">
            <v>714373</v>
          </cell>
          <cell r="AK225">
            <v>714373</v>
          </cell>
          <cell r="AL225">
            <v>723751</v>
          </cell>
          <cell r="AM225">
            <v>743853</v>
          </cell>
          <cell r="AN225">
            <v>743853</v>
          </cell>
          <cell r="AO225">
            <v>754401</v>
          </cell>
          <cell r="AP225">
            <v>777687</v>
          </cell>
          <cell r="AQ225">
            <v>777687</v>
          </cell>
          <cell r="AR225">
            <v>789421</v>
          </cell>
          <cell r="AS225">
            <v>811335</v>
          </cell>
          <cell r="AT225">
            <v>811335</v>
          </cell>
          <cell r="AU225">
            <v>829386</v>
          </cell>
          <cell r="AV225" t="e">
            <v>#N/A</v>
          </cell>
          <cell r="AW225" t="e">
            <v>#N/A</v>
          </cell>
          <cell r="AX225">
            <v>888507.29016574705</v>
          </cell>
          <cell r="AY225">
            <v>911238.68950926862</v>
          </cell>
          <cell r="AZ225">
            <v>911238.68950926862</v>
          </cell>
          <cell r="BA225">
            <v>934370.20257376926</v>
          </cell>
          <cell r="BB225">
            <v>958170.45869354089</v>
          </cell>
          <cell r="BC225">
            <v>958170.45869354089</v>
          </cell>
          <cell r="BD225">
            <v>980936.42445540347</v>
          </cell>
          <cell r="BE225">
            <v>1003925.2332557276</v>
          </cell>
          <cell r="BF225">
            <v>1003925.2332557276</v>
          </cell>
          <cell r="BG225">
            <v>1026369.56304273</v>
          </cell>
          <cell r="BH225">
            <v>1048211.8719759641</v>
          </cell>
          <cell r="BI225">
            <v>1048211.8719759641</v>
          </cell>
          <cell r="BJ225">
            <v>1069013.0214361092</v>
          </cell>
          <cell r="BK225">
            <v>1088669.6840102575</v>
          </cell>
          <cell r="BL225">
            <v>1088669.6840102575</v>
          </cell>
          <cell r="BM225">
            <v>1109411.9070496382</v>
          </cell>
          <cell r="BN225">
            <v>1131218.3639882843</v>
          </cell>
          <cell r="BO225">
            <v>1131218.3639882843</v>
          </cell>
          <cell r="BP225">
            <v>1153457.6446128371</v>
          </cell>
          <cell r="BQ225">
            <v>1176138.3870969941</v>
          </cell>
          <cell r="BR225">
            <v>1176138.3870969941</v>
          </cell>
          <cell r="BS225">
            <v>1199269.4025450733</v>
          </cell>
          <cell r="BT225">
            <v>1222859.6784599812</v>
          </cell>
          <cell r="BU225">
            <v>1222859.6784599812</v>
          </cell>
          <cell r="BV225">
            <v>1246918.3822807912</v>
          </cell>
          <cell r="BW225">
            <v>1271454.8649913401</v>
          </cell>
          <cell r="BX225">
            <v>1271454.8649913401</v>
          </cell>
        </row>
        <row r="226">
          <cell r="B226" t="str">
            <v>Total overseas lending, gross</v>
          </cell>
          <cell r="C226" t="str">
            <v>B_LB_OVSEASLEND</v>
          </cell>
          <cell r="D226" t="str">
            <v>AUD</v>
          </cell>
          <cell r="F226">
            <v>40025</v>
          </cell>
          <cell r="G226">
            <v>47715</v>
          </cell>
          <cell r="H226">
            <v>52618</v>
          </cell>
          <cell r="I226">
            <v>51772</v>
          </cell>
          <cell r="J226">
            <v>48412</v>
          </cell>
          <cell r="K226">
            <v>52172</v>
          </cell>
          <cell r="L226">
            <v>55265</v>
          </cell>
          <cell r="M226">
            <v>65662</v>
          </cell>
          <cell r="N226">
            <v>74156</v>
          </cell>
          <cell r="O226">
            <v>72261</v>
          </cell>
          <cell r="P226">
            <v>72261</v>
          </cell>
          <cell r="Q226">
            <v>81814</v>
          </cell>
          <cell r="R226">
            <v>80689</v>
          </cell>
          <cell r="S226">
            <v>80689</v>
          </cell>
          <cell r="T226">
            <v>79567</v>
          </cell>
          <cell r="U226">
            <v>86012</v>
          </cell>
          <cell r="V226">
            <v>86012</v>
          </cell>
          <cell r="W226">
            <v>83816</v>
          </cell>
          <cell r="X226">
            <v>86139</v>
          </cell>
          <cell r="Y226">
            <v>86139</v>
          </cell>
          <cell r="Z226">
            <v>91411</v>
          </cell>
          <cell r="AA226">
            <v>90419</v>
          </cell>
          <cell r="AB226">
            <v>90419</v>
          </cell>
          <cell r="AC226">
            <v>95883</v>
          </cell>
          <cell r="AD226">
            <v>95570</v>
          </cell>
          <cell r="AE226">
            <v>95570</v>
          </cell>
          <cell r="AF226">
            <v>104029</v>
          </cell>
          <cell r="AG226">
            <v>93063</v>
          </cell>
          <cell r="AH226">
            <v>93063</v>
          </cell>
          <cell r="AI226">
            <v>90151</v>
          </cell>
          <cell r="AJ226">
            <v>95579</v>
          </cell>
          <cell r="AK226">
            <v>95579</v>
          </cell>
          <cell r="AL226">
            <v>94582</v>
          </cell>
          <cell r="AM226">
            <v>93003</v>
          </cell>
          <cell r="AN226">
            <v>93003</v>
          </cell>
          <cell r="AO226">
            <v>99912</v>
          </cell>
          <cell r="AP226">
            <v>99415</v>
          </cell>
          <cell r="AQ226">
            <v>99415</v>
          </cell>
          <cell r="AR226">
            <v>99617</v>
          </cell>
          <cell r="AS226">
            <v>102407</v>
          </cell>
          <cell r="AT226">
            <v>102407</v>
          </cell>
          <cell r="AU226">
            <v>105197</v>
          </cell>
          <cell r="AV226" t="e">
            <v>#N/A</v>
          </cell>
          <cell r="AW226" t="e">
            <v>#N/A</v>
          </cell>
          <cell r="AX226">
            <v>113430.90558174701</v>
          </cell>
          <cell r="AY226">
            <v>113709.23938582822</v>
          </cell>
          <cell r="AZ226">
            <v>113709.23938582822</v>
          </cell>
          <cell r="BA226">
            <v>113479.15380649152</v>
          </cell>
          <cell r="BB226">
            <v>114497.32928477298</v>
          </cell>
          <cell r="BC226">
            <v>114497.32928477298</v>
          </cell>
          <cell r="BD226">
            <v>115136.09621732411</v>
          </cell>
          <cell r="BE226">
            <v>115400.09630172429</v>
          </cell>
          <cell r="BF226">
            <v>115400.09630172429</v>
          </cell>
          <cell r="BG226">
            <v>115747.86213982344</v>
          </cell>
          <cell r="BH226">
            <v>116206.20460609983</v>
          </cell>
          <cell r="BI226">
            <v>116206.20460609983</v>
          </cell>
          <cell r="BJ226">
            <v>116746.622161746</v>
          </cell>
          <cell r="BK226">
            <v>117364.34345946432</v>
          </cell>
          <cell r="BL226">
            <v>117364.34345946432</v>
          </cell>
          <cell r="BM226">
            <v>118685.9611765818</v>
          </cell>
          <cell r="BN226">
            <v>120682.48751201633</v>
          </cell>
          <cell r="BO226">
            <v>120682.48751201633</v>
          </cell>
          <cell r="BP226">
            <v>122714.69712884389</v>
          </cell>
          <cell r="BQ226">
            <v>124783.25609661749</v>
          </cell>
          <cell r="BR226">
            <v>124783.25609661749</v>
          </cell>
          <cell r="BS226">
            <v>126888.84328065805</v>
          </cell>
          <cell r="BT226">
            <v>129032.15059235702</v>
          </cell>
          <cell r="BU226">
            <v>129032.15059235702</v>
          </cell>
          <cell r="BV226">
            <v>131213.88324442963</v>
          </cell>
          <cell r="BW226">
            <v>133434.76001121709</v>
          </cell>
          <cell r="BX226">
            <v>133434.76001121709</v>
          </cell>
        </row>
        <row r="227">
          <cell r="B227" t="str">
            <v>Commitments</v>
          </cell>
          <cell r="C227" t="str">
            <v>COMMITMENTS</v>
          </cell>
          <cell r="D227" t="str">
            <v>AUD</v>
          </cell>
        </row>
        <row r="228">
          <cell r="B228" t="str">
            <v>Contingent liabilities</v>
          </cell>
          <cell r="C228" t="str">
            <v>CONTINGENCIES</v>
          </cell>
          <cell r="D228" t="str">
            <v>AUD</v>
          </cell>
        </row>
        <row r="229">
          <cell r="A229" t="str">
            <v>Provisions &amp; Reserves</v>
          </cell>
        </row>
        <row r="230">
          <cell r="B230" t="str">
            <v>Specific loan loss reserve against customers</v>
          </cell>
          <cell r="C230" t="str">
            <v>B_PV_SLLRCUST</v>
          </cell>
          <cell r="D230" t="str">
            <v>AUD</v>
          </cell>
          <cell r="F230">
            <v>164</v>
          </cell>
          <cell r="G230">
            <v>148</v>
          </cell>
          <cell r="H230">
            <v>413</v>
          </cell>
          <cell r="I230">
            <v>1228</v>
          </cell>
          <cell r="J230">
            <v>1622</v>
          </cell>
          <cell r="K230">
            <v>1461</v>
          </cell>
          <cell r="L230">
            <v>1470</v>
          </cell>
          <cell r="M230">
            <v>1364</v>
          </cell>
          <cell r="N230">
            <v>1139</v>
          </cell>
          <cell r="O230">
            <v>867</v>
          </cell>
          <cell r="P230">
            <v>867</v>
          </cell>
          <cell r="Q230">
            <v>806</v>
          </cell>
          <cell r="R230">
            <v>669</v>
          </cell>
          <cell r="S230">
            <v>669</v>
          </cell>
          <cell r="T230">
            <v>952</v>
          </cell>
          <cell r="U230">
            <v>869</v>
          </cell>
          <cell r="V230">
            <v>869</v>
          </cell>
          <cell r="W230">
            <v>787</v>
          </cell>
          <cell r="X230">
            <v>480</v>
          </cell>
          <cell r="Y230">
            <v>480</v>
          </cell>
          <cell r="Z230">
            <v>471</v>
          </cell>
          <cell r="AA230">
            <v>422</v>
          </cell>
          <cell r="AB230">
            <v>422</v>
          </cell>
          <cell r="AC230">
            <v>433</v>
          </cell>
          <cell r="AD230">
            <v>412</v>
          </cell>
          <cell r="AE230">
            <v>412</v>
          </cell>
          <cell r="AF230">
            <v>606</v>
          </cell>
          <cell r="AG230">
            <v>611</v>
          </cell>
          <cell r="AH230">
            <v>611</v>
          </cell>
          <cell r="AI230">
            <v>564</v>
          </cell>
          <cell r="AJ230">
            <v>832</v>
          </cell>
          <cell r="AK230">
            <v>832</v>
          </cell>
          <cell r="AL230">
            <v>501</v>
          </cell>
          <cell r="AM230">
            <v>452</v>
          </cell>
          <cell r="AN230">
            <v>452</v>
          </cell>
          <cell r="AO230">
            <v>382</v>
          </cell>
          <cell r="AP230">
            <v>351</v>
          </cell>
          <cell r="AQ230">
            <v>351</v>
          </cell>
          <cell r="AR230">
            <v>461</v>
          </cell>
          <cell r="AS230">
            <v>536</v>
          </cell>
          <cell r="AT230">
            <v>536</v>
          </cell>
          <cell r="AU230">
            <v>611</v>
          </cell>
          <cell r="AV230" t="e">
            <v>#N/A</v>
          </cell>
          <cell r="AW230" t="e">
            <v>#N/A</v>
          </cell>
          <cell r="AX230">
            <v>410.91504833966729</v>
          </cell>
          <cell r="AY230">
            <v>241.47045052705772</v>
          </cell>
          <cell r="AZ230">
            <v>241.47045052705772</v>
          </cell>
          <cell r="BA230">
            <v>43.727598733106049</v>
          </cell>
          <cell r="BB230">
            <v>-180.84485800936665</v>
          </cell>
          <cell r="BC230">
            <v>-180.84485800936665</v>
          </cell>
          <cell r="BD230">
            <v>-375.70589970677321</v>
          </cell>
          <cell r="BE230">
            <v>-540.10025387843029</v>
          </cell>
          <cell r="BF230">
            <v>-540.10025387843029</v>
          </cell>
          <cell r="BG230">
            <v>-689.63500439167672</v>
          </cell>
          <cell r="BH230">
            <v>-826.82153737661736</v>
          </cell>
          <cell r="BI230">
            <v>-826.82153737661736</v>
          </cell>
          <cell r="BJ230">
            <v>-1022.051947749317</v>
          </cell>
          <cell r="BK230">
            <v>-1272.7883794162931</v>
          </cell>
          <cell r="BL230">
            <v>-1272.7883794162931</v>
          </cell>
          <cell r="BM230">
            <v>-1308.33806999169</v>
          </cell>
          <cell r="BN230">
            <v>-1346.1317172972524</v>
          </cell>
          <cell r="BO230">
            <v>-1346.1317172972524</v>
          </cell>
          <cell r="BP230">
            <v>-1385.0312254986243</v>
          </cell>
          <cell r="BQ230">
            <v>-1425.0692656203012</v>
          </cell>
          <cell r="BR230">
            <v>-1425.0692656203012</v>
          </cell>
          <cell r="BS230">
            <v>-1466.2794807680043</v>
          </cell>
          <cell r="BT230">
            <v>-1508.6965152010812</v>
          </cell>
          <cell r="BU230">
            <v>-1508.6965152010812</v>
          </cell>
          <cell r="BV230">
            <v>-1552.3560442776188</v>
          </cell>
          <cell r="BW230">
            <v>-1597.2948052985491</v>
          </cell>
          <cell r="BX230">
            <v>-1597.2948052985491</v>
          </cell>
        </row>
        <row r="231">
          <cell r="B231" t="str">
            <v>General loan loss reserve against customers</v>
          </cell>
          <cell r="C231" t="str">
            <v>B_PV_GLLRCUST</v>
          </cell>
          <cell r="D231" t="str">
            <v>AUD</v>
          </cell>
          <cell r="F231">
            <v>1194</v>
          </cell>
          <cell r="G231">
            <v>1410</v>
          </cell>
          <cell r="H231">
            <v>1761</v>
          </cell>
          <cell r="I231">
            <v>3506</v>
          </cell>
          <cell r="J231">
            <v>3439</v>
          </cell>
          <cell r="K231">
            <v>2953</v>
          </cell>
          <cell r="L231">
            <v>2771</v>
          </cell>
          <cell r="M231">
            <v>2585</v>
          </cell>
          <cell r="N231">
            <v>2652</v>
          </cell>
          <cell r="O231">
            <v>2614</v>
          </cell>
          <cell r="P231">
            <v>2614</v>
          </cell>
          <cell r="Q231">
            <v>2699</v>
          </cell>
          <cell r="R231">
            <v>2663</v>
          </cell>
          <cell r="S231">
            <v>2663</v>
          </cell>
          <cell r="T231">
            <v>2717</v>
          </cell>
          <cell r="U231">
            <v>2733</v>
          </cell>
          <cell r="V231">
            <v>2733</v>
          </cell>
          <cell r="W231">
            <v>2726</v>
          </cell>
          <cell r="X231">
            <v>2639</v>
          </cell>
          <cell r="Y231">
            <v>2639</v>
          </cell>
          <cell r="Z231">
            <v>2694</v>
          </cell>
          <cell r="AA231">
            <v>2631</v>
          </cell>
          <cell r="AB231">
            <v>2631</v>
          </cell>
          <cell r="AC231">
            <v>3552</v>
          </cell>
          <cell r="AD231">
            <v>3501</v>
          </cell>
          <cell r="AE231">
            <v>3501</v>
          </cell>
          <cell r="AF231">
            <v>5160</v>
          </cell>
          <cell r="AG231">
            <v>5521</v>
          </cell>
          <cell r="AH231">
            <v>5521</v>
          </cell>
          <cell r="AI231">
            <v>4918</v>
          </cell>
          <cell r="AJ231">
            <v>4167</v>
          </cell>
          <cell r="AK231">
            <v>4167</v>
          </cell>
          <cell r="AL231">
            <v>4174</v>
          </cell>
          <cell r="AM231">
            <v>4173</v>
          </cell>
          <cell r="AN231">
            <v>4173</v>
          </cell>
          <cell r="AO231">
            <v>4530</v>
          </cell>
          <cell r="AP231">
            <v>4579</v>
          </cell>
          <cell r="AQ231">
            <v>4579</v>
          </cell>
          <cell r="AR231">
            <v>4660</v>
          </cell>
          <cell r="AS231">
            <v>4548</v>
          </cell>
          <cell r="AT231">
            <v>4548</v>
          </cell>
          <cell r="AU231">
            <v>4451</v>
          </cell>
          <cell r="AV231" t="e">
            <v>#N/A</v>
          </cell>
          <cell r="AW231" t="e">
            <v>#N/A</v>
          </cell>
          <cell r="AX231">
            <v>4469.3159333867598</v>
          </cell>
          <cell r="AY231">
            <v>4492.4202755084607</v>
          </cell>
          <cell r="AZ231">
            <v>4492.4202755084607</v>
          </cell>
          <cell r="BA231">
            <v>4515.9478086389754</v>
          </cell>
          <cell r="BB231">
            <v>4538.4377635842902</v>
          </cell>
          <cell r="BC231">
            <v>4538.4377635842902</v>
          </cell>
          <cell r="BD231">
            <v>4618.5323513191152</v>
          </cell>
          <cell r="BE231">
            <v>4699.0139244822922</v>
          </cell>
          <cell r="BF231">
            <v>4699.0139244822922</v>
          </cell>
          <cell r="BG231">
            <v>4778.8662979102355</v>
          </cell>
          <cell r="BH231">
            <v>4858.0648210835507</v>
          </cell>
          <cell r="BI231">
            <v>4858.0648210835507</v>
          </cell>
          <cell r="BJ231">
            <v>4969.7298536812978</v>
          </cell>
          <cell r="BK231">
            <v>5080.9751254554712</v>
          </cell>
          <cell r="BL231">
            <v>5080.9751254554712</v>
          </cell>
          <cell r="BM231">
            <v>5134.986042514729</v>
          </cell>
          <cell r="BN231">
            <v>5193.2206138771817</v>
          </cell>
          <cell r="BO231">
            <v>5193.2206138771817</v>
          </cell>
          <cell r="BP231">
            <v>5292.9811492314138</v>
          </cell>
          <cell r="BQ231">
            <v>5394.6953659843675</v>
          </cell>
          <cell r="BR231">
            <v>5394.6953659843675</v>
          </cell>
          <cell r="BS231">
            <v>5498.4019546573063</v>
          </cell>
          <cell r="BT231">
            <v>5604.1403769033859</v>
          </cell>
          <cell r="BU231">
            <v>5604.1403769033859</v>
          </cell>
          <cell r="BV231">
            <v>5711.9508809327363</v>
          </cell>
          <cell r="BW231">
            <v>5821.8745172467534</v>
          </cell>
          <cell r="BX231">
            <v>5821.8745172467534</v>
          </cell>
        </row>
        <row r="232">
          <cell r="B232" t="str">
            <v>Total loan loss reserve against customers</v>
          </cell>
          <cell r="C232" t="str">
            <v>B_PV_TOTLLRCUST</v>
          </cell>
          <cell r="D232" t="str">
            <v>AUD</v>
          </cell>
          <cell r="F232">
            <v>1358</v>
          </cell>
          <cell r="G232">
            <v>1558</v>
          </cell>
          <cell r="H232">
            <v>2174</v>
          </cell>
          <cell r="I232">
            <v>4734</v>
          </cell>
          <cell r="J232">
            <v>5061</v>
          </cell>
          <cell r="K232">
            <v>4414</v>
          </cell>
          <cell r="L232">
            <v>4241</v>
          </cell>
          <cell r="M232">
            <v>3949</v>
          </cell>
          <cell r="N232">
            <v>3791</v>
          </cell>
          <cell r="O232">
            <v>3481</v>
          </cell>
          <cell r="P232">
            <v>3481</v>
          </cell>
          <cell r="Q232">
            <v>3505</v>
          </cell>
          <cell r="R232">
            <v>3332</v>
          </cell>
          <cell r="S232">
            <v>3332</v>
          </cell>
          <cell r="T232">
            <v>3669</v>
          </cell>
          <cell r="U232">
            <v>3602</v>
          </cell>
          <cell r="V232">
            <v>3602</v>
          </cell>
          <cell r="W232">
            <v>3513</v>
          </cell>
          <cell r="X232">
            <v>3119</v>
          </cell>
          <cell r="Y232">
            <v>3119</v>
          </cell>
          <cell r="Z232">
            <v>3165</v>
          </cell>
          <cell r="AA232">
            <v>3053</v>
          </cell>
          <cell r="AB232">
            <v>3053</v>
          </cell>
          <cell r="AC232">
            <v>3985</v>
          </cell>
          <cell r="AD232">
            <v>3913</v>
          </cell>
          <cell r="AE232">
            <v>3913</v>
          </cell>
          <cell r="AF232">
            <v>5766</v>
          </cell>
          <cell r="AG232">
            <v>6132</v>
          </cell>
          <cell r="AH232">
            <v>6132</v>
          </cell>
          <cell r="AI232">
            <v>5482</v>
          </cell>
          <cell r="AJ232">
            <v>4999</v>
          </cell>
          <cell r="AK232">
            <v>4999</v>
          </cell>
          <cell r="AL232">
            <v>4675</v>
          </cell>
          <cell r="AM232">
            <v>4625</v>
          </cell>
          <cell r="AN232">
            <v>4625</v>
          </cell>
          <cell r="AO232">
            <v>4912</v>
          </cell>
          <cell r="AP232">
            <v>4930</v>
          </cell>
          <cell r="AQ232">
            <v>4930</v>
          </cell>
          <cell r="AR232">
            <v>5121</v>
          </cell>
          <cell r="AS232">
            <v>5084</v>
          </cell>
          <cell r="AT232">
            <v>5084</v>
          </cell>
          <cell r="AU232">
            <v>5062</v>
          </cell>
          <cell r="AV232" t="e">
            <v>#N/A</v>
          </cell>
          <cell r="AW232" t="e">
            <v>#N/A</v>
          </cell>
          <cell r="AX232">
            <v>4880.2309817264268</v>
          </cell>
          <cell r="AY232">
            <v>4733.8907260355181</v>
          </cell>
          <cell r="AZ232">
            <v>4733.8907260355181</v>
          </cell>
          <cell r="BA232">
            <v>4559.6754073720813</v>
          </cell>
          <cell r="BB232">
            <v>4357.5929055749239</v>
          </cell>
          <cell r="BC232">
            <v>4357.5929055749239</v>
          </cell>
          <cell r="BD232">
            <v>4242.8264516123418</v>
          </cell>
          <cell r="BE232">
            <v>4158.9136706038616</v>
          </cell>
          <cell r="BF232">
            <v>4158.9136706038616</v>
          </cell>
          <cell r="BG232">
            <v>4089.2312935185587</v>
          </cell>
          <cell r="BH232">
            <v>4031.2432837069332</v>
          </cell>
          <cell r="BI232">
            <v>4031.2432837069332</v>
          </cell>
          <cell r="BJ232">
            <v>3947.6779059319806</v>
          </cell>
          <cell r="BK232">
            <v>3808.1867460391782</v>
          </cell>
          <cell r="BL232">
            <v>3808.1867460391782</v>
          </cell>
          <cell r="BM232">
            <v>3826.6479725230392</v>
          </cell>
          <cell r="BN232">
            <v>3847.0888965799295</v>
          </cell>
          <cell r="BO232">
            <v>3847.0888965799295</v>
          </cell>
          <cell r="BP232">
            <v>3907.9499237327896</v>
          </cell>
          <cell r="BQ232">
            <v>3969.6261003640666</v>
          </cell>
          <cell r="BR232">
            <v>3969.6261003640666</v>
          </cell>
          <cell r="BS232">
            <v>4032.122473889302</v>
          </cell>
          <cell r="BT232">
            <v>4095.4438617023047</v>
          </cell>
          <cell r="BU232">
            <v>4095.4438617023047</v>
          </cell>
          <cell r="BV232">
            <v>4159.5948366551174</v>
          </cell>
          <cell r="BW232">
            <v>4224.579711948204</v>
          </cell>
          <cell r="BX232">
            <v>4224.579711948204</v>
          </cell>
        </row>
        <row r="233">
          <cell r="B233" t="str">
            <v>Write-offs</v>
          </cell>
          <cell r="C233" t="str">
            <v>WRITE_OFFS_BS</v>
          </cell>
          <cell r="D233" t="str">
            <v>AUD</v>
          </cell>
          <cell r="F233">
            <v>-223</v>
          </cell>
          <cell r="G233">
            <v>-302</v>
          </cell>
          <cell r="H233">
            <v>-378</v>
          </cell>
          <cell r="I233">
            <v>-632</v>
          </cell>
          <cell r="J233">
            <v>-667</v>
          </cell>
          <cell r="K233">
            <v>-739</v>
          </cell>
          <cell r="L233">
            <v>-756</v>
          </cell>
          <cell r="M233">
            <v>-708</v>
          </cell>
          <cell r="N233">
            <v>-331</v>
          </cell>
          <cell r="O233">
            <v>-371</v>
          </cell>
          <cell r="P233">
            <v>-702</v>
          </cell>
          <cell r="Q233">
            <v>-330</v>
          </cell>
          <cell r="R233">
            <v>-463</v>
          </cell>
          <cell r="S233">
            <v>-793</v>
          </cell>
          <cell r="T233">
            <v>-418</v>
          </cell>
          <cell r="U233">
            <v>-484</v>
          </cell>
          <cell r="V233">
            <v>-902</v>
          </cell>
          <cell r="W233">
            <v>-443</v>
          </cell>
          <cell r="X233">
            <v>-525</v>
          </cell>
          <cell r="Y233">
            <v>-927</v>
          </cell>
          <cell r="Z233">
            <v>-430</v>
          </cell>
          <cell r="AA233">
            <v>-428</v>
          </cell>
          <cell r="AB233">
            <v>-858</v>
          </cell>
          <cell r="AC233">
            <v>-418</v>
          </cell>
          <cell r="AD233">
            <v>-535</v>
          </cell>
          <cell r="AE233">
            <v>-953</v>
          </cell>
          <cell r="AF233">
            <v>-438</v>
          </cell>
          <cell r="AG233">
            <v>-438</v>
          </cell>
          <cell r="AH233">
            <v>-876</v>
          </cell>
          <cell r="AI233">
            <v>-318</v>
          </cell>
          <cell r="AJ233">
            <v>-296</v>
          </cell>
          <cell r="AK233">
            <v>-614</v>
          </cell>
          <cell r="AL233">
            <v>-218</v>
          </cell>
          <cell r="AM233">
            <v>-228</v>
          </cell>
          <cell r="AN233">
            <v>-446</v>
          </cell>
          <cell r="AO233">
            <v>-218</v>
          </cell>
          <cell r="AP233">
            <v>-222</v>
          </cell>
          <cell r="AQ233">
            <v>-440</v>
          </cell>
          <cell r="AR233">
            <v>-211</v>
          </cell>
          <cell r="AS233">
            <v>-275</v>
          </cell>
          <cell r="AT233">
            <v>-486</v>
          </cell>
          <cell r="AU233">
            <v>-279</v>
          </cell>
          <cell r="AV233" t="e">
            <v>#N/A</v>
          </cell>
          <cell r="AW233" t="e">
            <v>#N/A</v>
          </cell>
          <cell r="AX233">
            <v>-333.78012070777351</v>
          </cell>
          <cell r="AY233">
            <v>-376.80614768272426</v>
          </cell>
          <cell r="AZ233">
            <v>-710.58626839049771</v>
          </cell>
          <cell r="BA233">
            <v>-419.10759139202708</v>
          </cell>
          <cell r="BB233">
            <v>-465.15242591970957</v>
          </cell>
          <cell r="BC233">
            <v>-884.26001731173665</v>
          </cell>
          <cell r="BD233">
            <v>-451.46239611146001</v>
          </cell>
          <cell r="BE233">
            <v>-437.74524471076296</v>
          </cell>
          <cell r="BF233">
            <v>-889.20764082222297</v>
          </cell>
          <cell r="BG233">
            <v>-412.9895057431371</v>
          </cell>
          <cell r="BH233">
            <v>-389.42990416183068</v>
          </cell>
          <cell r="BI233">
            <v>-802.41940990496778</v>
          </cell>
          <cell r="BJ233">
            <v>-415.02335105641413</v>
          </cell>
          <cell r="BK233">
            <v>-438.25660256643567</v>
          </cell>
          <cell r="BL233">
            <v>-853.2799536228498</v>
          </cell>
          <cell r="BM233">
            <v>-459.93667843758277</v>
          </cell>
          <cell r="BN233">
            <v>-487.82321999052681</v>
          </cell>
          <cell r="BO233">
            <v>-947.75989842810964</v>
          </cell>
          <cell r="BP233">
            <v>-512.82020353065968</v>
          </cell>
          <cell r="BQ233">
            <v>-540.05114791371795</v>
          </cell>
          <cell r="BR233">
            <v>-1052.8713514443775</v>
          </cell>
          <cell r="BS233">
            <v>-566.65210521068991</v>
          </cell>
          <cell r="BT233">
            <v>-598.95608249634995</v>
          </cell>
          <cell r="BU233">
            <v>-1165.6081877070399</v>
          </cell>
          <cell r="BV233">
            <v>-601.60561129379914</v>
          </cell>
          <cell r="BW233">
            <v>-610.96733131562041</v>
          </cell>
          <cell r="BX233">
            <v>-1212.5729426094194</v>
          </cell>
        </row>
        <row r="234">
          <cell r="B234" t="str">
            <v>Recoveries</v>
          </cell>
          <cell r="C234" t="str">
            <v>RECOVERIES_BS</v>
          </cell>
          <cell r="D234" t="str">
            <v>AUD</v>
          </cell>
          <cell r="F234">
            <v>-43</v>
          </cell>
          <cell r="G234">
            <v>-47</v>
          </cell>
          <cell r="H234">
            <v>-245</v>
          </cell>
          <cell r="I234">
            <v>-1242</v>
          </cell>
          <cell r="J234">
            <v>-633</v>
          </cell>
          <cell r="K234">
            <v>-1128</v>
          </cell>
          <cell r="L234">
            <v>-848</v>
          </cell>
          <cell r="M234">
            <v>-615</v>
          </cell>
          <cell r="N234">
            <v>-266</v>
          </cell>
          <cell r="O234">
            <v>-334</v>
          </cell>
          <cell r="P234">
            <v>-600</v>
          </cell>
          <cell r="Q234">
            <v>-141</v>
          </cell>
          <cell r="R234">
            <v>-173</v>
          </cell>
          <cell r="S234">
            <v>-314</v>
          </cell>
          <cell r="T234">
            <v>-7</v>
          </cell>
          <cell r="U234">
            <v>-143</v>
          </cell>
          <cell r="V234">
            <v>-150</v>
          </cell>
          <cell r="W234">
            <v>-205</v>
          </cell>
          <cell r="X234">
            <v>-315</v>
          </cell>
          <cell r="Y234">
            <v>-561</v>
          </cell>
          <cell r="Z234">
            <v>-4</v>
          </cell>
          <cell r="AA234">
            <v>-86</v>
          </cell>
          <cell r="AB234">
            <v>-90</v>
          </cell>
          <cell r="AC234">
            <v>-10</v>
          </cell>
          <cell r="AD234">
            <v>-19</v>
          </cell>
          <cell r="AE234">
            <v>-29</v>
          </cell>
          <cell r="AF234">
            <v>1</v>
          </cell>
          <cell r="AG234">
            <v>-102</v>
          </cell>
          <cell r="AH234">
            <v>-101</v>
          </cell>
          <cell r="AI234">
            <v>19</v>
          </cell>
          <cell r="AJ234">
            <v>-298</v>
          </cell>
          <cell r="AK234">
            <v>-279</v>
          </cell>
          <cell r="AL234">
            <v>-348</v>
          </cell>
          <cell r="AM234">
            <v>-141</v>
          </cell>
          <cell r="AN234">
            <v>-489</v>
          </cell>
          <cell r="AO234">
            <v>-53</v>
          </cell>
          <cell r="AP234">
            <v>-108</v>
          </cell>
          <cell r="AQ234">
            <v>-161</v>
          </cell>
          <cell r="AR234">
            <v>-66</v>
          </cell>
          <cell r="AS234">
            <v>-68</v>
          </cell>
          <cell r="AT234">
            <v>-134</v>
          </cell>
          <cell r="AU234">
            <v>-85</v>
          </cell>
          <cell r="AV234" t="e">
            <v>#N/A</v>
          </cell>
          <cell r="AW234" t="e">
            <v>#N/A</v>
          </cell>
          <cell r="AX234">
            <v>-138.48324157024649</v>
          </cell>
          <cell r="AY234">
            <v>-156.33446552793885</v>
          </cell>
          <cell r="AZ234">
            <v>-294.81770709818534</v>
          </cell>
          <cell r="BA234">
            <v>-173.88506451371347</v>
          </cell>
          <cell r="BB234">
            <v>-192.9887724560499</v>
          </cell>
          <cell r="BC234">
            <v>-366.87383696976349</v>
          </cell>
          <cell r="BD234">
            <v>-187.30886647177618</v>
          </cell>
          <cell r="BE234">
            <v>-181.61770791191253</v>
          </cell>
          <cell r="BF234">
            <v>-368.92657438368872</v>
          </cell>
          <cell r="BG234">
            <v>-171.34670982959972</v>
          </cell>
          <cell r="BH234">
            <v>-161.5719815139513</v>
          </cell>
          <cell r="BI234">
            <v>-332.91869134355102</v>
          </cell>
          <cell r="BJ234">
            <v>-172.19053926808709</v>
          </cell>
          <cell r="BK234">
            <v>-181.82986702224497</v>
          </cell>
          <cell r="BL234">
            <v>-354.02040629033206</v>
          </cell>
          <cell r="BM234">
            <v>-190.82479211772096</v>
          </cell>
          <cell r="BN234">
            <v>-202.39474020883608</v>
          </cell>
          <cell r="BO234">
            <v>-393.2195323265571</v>
          </cell>
          <cell r="BP234">
            <v>-212.76582912442313</v>
          </cell>
          <cell r="BQ234">
            <v>-224.06377413441544</v>
          </cell>
          <cell r="BR234">
            <v>-436.82960325883869</v>
          </cell>
          <cell r="BS234">
            <v>-235.10034152358469</v>
          </cell>
          <cell r="BT234">
            <v>-248.5030555038054</v>
          </cell>
          <cell r="BU234">
            <v>-483.60339702738997</v>
          </cell>
          <cell r="BV234">
            <v>-249.60232808998103</v>
          </cell>
          <cell r="BW234">
            <v>-253.48644597137491</v>
          </cell>
          <cell r="BX234">
            <v>-503.08877406135616</v>
          </cell>
        </row>
        <row r="235">
          <cell r="B235" t="str">
            <v>Net write-offs/(net charge-offs)</v>
          </cell>
          <cell r="C235" t="str">
            <v>NETCHGOFF_BS</v>
          </cell>
          <cell r="D235" t="str">
            <v>AUD</v>
          </cell>
          <cell r="F235">
            <v>-266</v>
          </cell>
          <cell r="G235">
            <v>-349</v>
          </cell>
          <cell r="H235">
            <v>-623</v>
          </cell>
          <cell r="I235">
            <v>-1874</v>
          </cell>
          <cell r="J235">
            <v>-1300</v>
          </cell>
          <cell r="K235">
            <v>-1867</v>
          </cell>
          <cell r="L235">
            <v>-1604</v>
          </cell>
          <cell r="M235">
            <v>-1323</v>
          </cell>
          <cell r="N235">
            <v>-597</v>
          </cell>
          <cell r="O235">
            <v>-705</v>
          </cell>
          <cell r="P235">
            <v>-1302</v>
          </cell>
          <cell r="Q235">
            <v>-471</v>
          </cell>
          <cell r="R235">
            <v>-636</v>
          </cell>
          <cell r="S235">
            <v>-1107</v>
          </cell>
          <cell r="T235">
            <v>-425</v>
          </cell>
          <cell r="U235">
            <v>-627</v>
          </cell>
          <cell r="V235">
            <v>-1052</v>
          </cell>
          <cell r="W235">
            <v>-648</v>
          </cell>
          <cell r="X235">
            <v>-840</v>
          </cell>
          <cell r="Y235">
            <v>-1488</v>
          </cell>
          <cell r="Z235">
            <v>-434</v>
          </cell>
          <cell r="AA235">
            <v>-514</v>
          </cell>
          <cell r="AB235">
            <v>-948</v>
          </cell>
          <cell r="AC235">
            <v>-428</v>
          </cell>
          <cell r="AD235">
            <v>-554</v>
          </cell>
          <cell r="AE235">
            <v>-982</v>
          </cell>
          <cell r="AF235">
            <v>-437</v>
          </cell>
          <cell r="AG235">
            <v>-540</v>
          </cell>
          <cell r="AH235">
            <v>-977</v>
          </cell>
          <cell r="AI235">
            <v>-299</v>
          </cell>
          <cell r="AJ235">
            <v>-594</v>
          </cell>
          <cell r="AK235">
            <v>-893</v>
          </cell>
          <cell r="AL235">
            <v>-566</v>
          </cell>
          <cell r="AM235">
            <v>-369</v>
          </cell>
          <cell r="AN235">
            <v>-935</v>
          </cell>
          <cell r="AO235">
            <v>-271</v>
          </cell>
          <cell r="AP235">
            <v>-330</v>
          </cell>
          <cell r="AQ235">
            <v>-601</v>
          </cell>
          <cell r="AR235">
            <v>-277</v>
          </cell>
          <cell r="AS235">
            <v>-343</v>
          </cell>
          <cell r="AT235">
            <v>-620</v>
          </cell>
          <cell r="AU235">
            <v>-364</v>
          </cell>
          <cell r="AV235" t="e">
            <v>#N/A</v>
          </cell>
          <cell r="AW235" t="e">
            <v>#N/A</v>
          </cell>
          <cell r="AX235">
            <v>-472.26336227802</v>
          </cell>
          <cell r="AY235">
            <v>-533.1406132106631</v>
          </cell>
          <cell r="AZ235">
            <v>-1005.403975488683</v>
          </cell>
          <cell r="BA235">
            <v>-592.99265590574055</v>
          </cell>
          <cell r="BB235">
            <v>-658.14119837575947</v>
          </cell>
          <cell r="BC235">
            <v>-1251.1338542815001</v>
          </cell>
          <cell r="BD235">
            <v>-638.77126258323619</v>
          </cell>
          <cell r="BE235">
            <v>-619.36295262267549</v>
          </cell>
          <cell r="BF235">
            <v>-1258.1342152059117</v>
          </cell>
          <cell r="BG235">
            <v>-584.33621557273682</v>
          </cell>
          <cell r="BH235">
            <v>-551.00188567578198</v>
          </cell>
          <cell r="BI235">
            <v>-1135.3381012485188</v>
          </cell>
          <cell r="BJ235">
            <v>-587.21389032450122</v>
          </cell>
          <cell r="BK235">
            <v>-620.08646958868064</v>
          </cell>
          <cell r="BL235">
            <v>-1207.3003599131819</v>
          </cell>
          <cell r="BM235">
            <v>-650.76147055530373</v>
          </cell>
          <cell r="BN235">
            <v>-690.21796019936289</v>
          </cell>
          <cell r="BO235">
            <v>-1340.9794307546667</v>
          </cell>
          <cell r="BP235">
            <v>-725.58603265508282</v>
          </cell>
          <cell r="BQ235">
            <v>-764.11492204813339</v>
          </cell>
          <cell r="BR235">
            <v>-1489.7009547032162</v>
          </cell>
          <cell r="BS235">
            <v>-801.7524467342746</v>
          </cell>
          <cell r="BT235">
            <v>-847.45913800015535</v>
          </cell>
          <cell r="BU235">
            <v>-1649.2115847344298</v>
          </cell>
          <cell r="BV235">
            <v>-851.20793938378017</v>
          </cell>
          <cell r="BW235">
            <v>-864.45377728699532</v>
          </cell>
          <cell r="BX235">
            <v>-1715.6617166707756</v>
          </cell>
        </row>
        <row r="236">
          <cell r="A236" t="str">
            <v>Margin Analysis</v>
          </cell>
        </row>
        <row r="237">
          <cell r="B237" t="str">
            <v>Average interest-earning assets</v>
          </cell>
          <cell r="C237" t="str">
            <v>B_MA_REPINTAST</v>
          </cell>
          <cell r="D237" t="str">
            <v>AUD</v>
          </cell>
          <cell r="F237">
            <v>250703</v>
          </cell>
          <cell r="G237">
            <v>292417</v>
          </cell>
          <cell r="H237">
            <v>480617</v>
          </cell>
          <cell r="I237">
            <v>508133</v>
          </cell>
          <cell r="J237">
            <v>534991</v>
          </cell>
          <cell r="K237">
            <v>548221</v>
          </cell>
          <cell r="L237">
            <v>577745</v>
          </cell>
          <cell r="M237">
            <v>599869</v>
          </cell>
          <cell r="N237">
            <v>635657</v>
          </cell>
          <cell r="O237">
            <v>659003</v>
          </cell>
          <cell r="P237">
            <v>647362</v>
          </cell>
          <cell r="Q237">
            <v>678568</v>
          </cell>
          <cell r="R237">
            <v>689031</v>
          </cell>
          <cell r="S237">
            <v>683814</v>
          </cell>
          <cell r="T237">
            <v>714856</v>
          </cell>
          <cell r="U237">
            <v>728830</v>
          </cell>
          <cell r="V237">
            <v>721843</v>
          </cell>
          <cell r="W237">
            <v>744783</v>
          </cell>
          <cell r="X237">
            <v>759764</v>
          </cell>
          <cell r="Y237">
            <v>752294</v>
          </cell>
          <cell r="Z237">
            <v>767011</v>
          </cell>
          <cell r="AA237">
            <v>782834</v>
          </cell>
          <cell r="AB237">
            <v>774944</v>
          </cell>
          <cell r="AC237">
            <v>794660</v>
          </cell>
          <cell r="AD237">
            <v>803165</v>
          </cell>
          <cell r="AE237">
            <v>798924</v>
          </cell>
          <cell r="AF237">
            <v>812971</v>
          </cell>
          <cell r="AG237">
            <v>830465</v>
          </cell>
          <cell r="AH237">
            <v>821718</v>
          </cell>
          <cell r="AI237">
            <v>812950</v>
          </cell>
          <cell r="AJ237">
            <v>825926</v>
          </cell>
          <cell r="AK237">
            <v>819456</v>
          </cell>
          <cell r="AL237">
            <v>872075</v>
          </cell>
          <cell r="AM237">
            <v>901786</v>
          </cell>
          <cell r="AN237">
            <v>886205</v>
          </cell>
          <cell r="AO237">
            <v>934208</v>
          </cell>
          <cell r="AP237">
            <v>948505</v>
          </cell>
          <cell r="AQ237">
            <v>940449</v>
          </cell>
          <cell r="AR237">
            <v>964708</v>
          </cell>
          <cell r="AS237">
            <v>975402</v>
          </cell>
          <cell r="AT237">
            <v>970055</v>
          </cell>
          <cell r="AU237">
            <v>996701</v>
          </cell>
          <cell r="AV237" t="e">
            <v>#N/A</v>
          </cell>
          <cell r="AW237" t="e">
            <v>#N/A</v>
          </cell>
          <cell r="AX237">
            <v>1040910.5416569024</v>
          </cell>
          <cell r="AY237">
            <v>1072798.5259175005</v>
          </cell>
          <cell r="AZ237">
            <v>1056877.7957008369</v>
          </cell>
          <cell r="BA237">
            <v>1099043.078101414</v>
          </cell>
          <cell r="BB237">
            <v>1125980.2313898716</v>
          </cell>
          <cell r="BC237">
            <v>1112531.3050856665</v>
          </cell>
          <cell r="BD237">
            <v>1152768.7587557549</v>
          </cell>
          <cell r="BE237">
            <v>1179060.3855922935</v>
          </cell>
          <cell r="BF237">
            <v>1165914.5721740243</v>
          </cell>
          <cell r="BG237">
            <v>1205142.6364458115</v>
          </cell>
          <cell r="BH237">
            <v>1230542.0997486117</v>
          </cell>
          <cell r="BI237">
            <v>1217860.896710275</v>
          </cell>
          <cell r="BJ237">
            <v>1254963.6093675268</v>
          </cell>
          <cell r="BK237">
            <v>1278084.9020897194</v>
          </cell>
          <cell r="BL237">
            <v>1266541.1224427451</v>
          </cell>
          <cell r="BM237">
            <v>1301175.7289751922</v>
          </cell>
          <cell r="BN237">
            <v>1325549.3332450818</v>
          </cell>
          <cell r="BO237">
            <v>1313380.3113709679</v>
          </cell>
          <cell r="BP237">
            <v>1350798.4444862488</v>
          </cell>
          <cell r="BQ237">
            <v>1376538.9695136752</v>
          </cell>
          <cell r="BR237">
            <v>1363668.7069999622</v>
          </cell>
          <cell r="BS237">
            <v>1402780.5989548019</v>
          </cell>
          <cell r="BT237">
            <v>1429533.2160396774</v>
          </cell>
          <cell r="BU237">
            <v>1416176.4232202489</v>
          </cell>
          <cell r="BV237">
            <v>1456806.9004467372</v>
          </cell>
          <cell r="BW237">
            <v>1484611.9322255815</v>
          </cell>
          <cell r="BX237">
            <v>1470729.6997834477</v>
          </cell>
        </row>
        <row r="238">
          <cell r="B238" t="str">
            <v>Gross yield on interest-earning assets</v>
          </cell>
          <cell r="C238" t="str">
            <v>B_MA_REPGYLD</v>
          </cell>
          <cell r="F238">
            <v>7.2484174501302331E-2</v>
          </cell>
          <cell r="G238">
            <v>7.5655656134903243E-2</v>
          </cell>
          <cell r="H238">
            <v>8.282478564012509E-2</v>
          </cell>
          <cell r="I238">
            <v>6.0005943325861538E-2</v>
          </cell>
          <cell r="J238">
            <v>6.3696398631005013E-2</v>
          </cell>
          <cell r="K238">
            <v>6.9448269949527658E-2</v>
          </cell>
          <cell r="L238">
            <v>6.3808427593488481E-2</v>
          </cell>
          <cell r="M238">
            <v>5.4978670343024894E-2</v>
          </cell>
          <cell r="N238">
            <v>2.4994611874013816E-2</v>
          </cell>
          <cell r="O238">
            <v>2.4927048890520984E-2</v>
          </cell>
          <cell r="P238">
            <v>4.9917974796172777E-2</v>
          </cell>
          <cell r="Q238">
            <v>2.4360123082727156E-2</v>
          </cell>
          <cell r="R238">
            <v>2.2882860132562979E-2</v>
          </cell>
          <cell r="S238">
            <v>4.7230679687751347E-2</v>
          </cell>
          <cell r="T238">
            <v>2.2432489900063791E-2</v>
          </cell>
          <cell r="U238">
            <v>2.1644279187190429E-2</v>
          </cell>
          <cell r="V238">
            <v>4.4069139688270163E-2</v>
          </cell>
          <cell r="W238">
            <v>2.0659708935354324E-2</v>
          </cell>
          <cell r="X238">
            <v>2.0884116646748201E-2</v>
          </cell>
          <cell r="Y238">
            <v>4.1544927913820924E-2</v>
          </cell>
          <cell r="Z238">
            <v>2.1536848884826945E-2</v>
          </cell>
          <cell r="AA238">
            <v>2.1611222813521128E-2</v>
          </cell>
          <cell r="AB238">
            <v>4.3147633893545853E-2</v>
          </cell>
          <cell r="AC238">
            <v>2.1343719326504418E-2</v>
          </cell>
          <cell r="AD238">
            <v>2.021128908754739E-2</v>
          </cell>
          <cell r="AE238">
            <v>4.1548382574562788E-2</v>
          </cell>
          <cell r="AF238">
            <v>1.8020322988150868E-2</v>
          </cell>
          <cell r="AG238">
            <v>1.4823020837723442E-2</v>
          </cell>
          <cell r="AH238">
            <v>3.2809309276418432E-2</v>
          </cell>
          <cell r="AI238">
            <v>1.4148471615720524E-2</v>
          </cell>
          <cell r="AJ238">
            <v>1.3102868780011769E-2</v>
          </cell>
          <cell r="AK238">
            <v>2.7242463292721026E-2</v>
          </cell>
          <cell r="AL238">
            <v>1.1701975174153599E-2</v>
          </cell>
          <cell r="AM238">
            <v>1.4466846901593061E-2</v>
          </cell>
          <cell r="AN238">
            <v>2.6236593113331565E-2</v>
          </cell>
          <cell r="AO238">
            <v>2.1236170103445914E-2</v>
          </cell>
          <cell r="AP238">
            <v>2.521125349892726E-2</v>
          </cell>
          <cell r="AQ238">
            <v>4.6522458953117074E-2</v>
          </cell>
          <cell r="AR238">
            <v>2.7515061552303908E-2</v>
          </cell>
          <cell r="AS238">
            <v>2.8504144957668735E-2</v>
          </cell>
          <cell r="AT238">
            <v>5.6024658395657977E-2</v>
          </cell>
          <cell r="AU238">
            <v>2.8176955777108683E-2</v>
          </cell>
          <cell r="AV238" t="e">
            <v>#N/A</v>
          </cell>
          <cell r="AW238" t="e">
            <v>#N/A</v>
          </cell>
          <cell r="AX238">
            <v>2.6540657972834975E-2</v>
          </cell>
          <cell r="AY238">
            <v>2.7142801433182456E-2</v>
          </cell>
          <cell r="AZ238">
            <v>5.3691361729853455E-2</v>
          </cell>
          <cell r="BA238">
            <v>2.7323655803248997E-2</v>
          </cell>
          <cell r="BB238">
            <v>2.7428536065522688E-2</v>
          </cell>
          <cell r="BC238">
            <v>5.4752494501751174E-2</v>
          </cell>
          <cell r="BD238">
            <v>2.7308229774996737E-2</v>
          </cell>
          <cell r="BE238">
            <v>2.7262580850776673E-2</v>
          </cell>
          <cell r="BF238">
            <v>5.4570295929195399E-2</v>
          </cell>
          <cell r="BG238">
            <v>2.7142049254100461E-2</v>
          </cell>
          <cell r="BH238">
            <v>2.7244814336459155E-2</v>
          </cell>
          <cell r="BI238">
            <v>5.4387107769364194E-2</v>
          </cell>
          <cell r="BJ238">
            <v>2.7049581781435458E-2</v>
          </cell>
          <cell r="BK238">
            <v>2.715140511209092E-2</v>
          </cell>
          <cell r="BL238">
            <v>5.4201194506971605E-2</v>
          </cell>
          <cell r="BM238">
            <v>2.6953173764446441E-2</v>
          </cell>
          <cell r="BN238">
            <v>2.7051131139488181E-2</v>
          </cell>
          <cell r="BO238">
            <v>5.4004482747715347E-2</v>
          </cell>
          <cell r="BP238">
            <v>2.6927220945117993E-2</v>
          </cell>
          <cell r="BQ238">
            <v>2.6877220945117995E-2</v>
          </cell>
          <cell r="BR238">
            <v>5.3803969991803188E-2</v>
          </cell>
          <cell r="BS238">
            <v>2.6753721709651922E-2</v>
          </cell>
          <cell r="BT238">
            <v>2.6850583194282698E-2</v>
          </cell>
          <cell r="BU238">
            <v>5.3604481098322269E-2</v>
          </cell>
          <cell r="BV238">
            <v>2.6653995682254655E-2</v>
          </cell>
          <cell r="BW238">
            <v>2.6750309221679959E-2</v>
          </cell>
          <cell r="BX238">
            <v>5.3404478815638971E-2</v>
          </cell>
        </row>
        <row r="239">
          <cell r="B239" t="str">
            <v>Avg yield on loans</v>
          </cell>
          <cell r="C239" t="str">
            <v>AVG_YIELD_LOANS</v>
          </cell>
          <cell r="F239">
            <v>1.6684939489565152E-2</v>
          </cell>
          <cell r="G239">
            <v>1.2940563499173656E-2</v>
          </cell>
          <cell r="H239">
            <v>1.0563657776216899E-2</v>
          </cell>
          <cell r="I239">
            <v>2.5826061011243556E-2</v>
          </cell>
          <cell r="J239">
            <v>2.2331786810190261E-2</v>
          </cell>
          <cell r="K239">
            <v>2.3326895360741815E-2</v>
          </cell>
          <cell r="L239">
            <v>2.5669069904309352E-2</v>
          </cell>
          <cell r="M239">
            <v>2.8640874879809743E-2</v>
          </cell>
          <cell r="N239">
            <v>2.6534582906222699E-2</v>
          </cell>
          <cell r="O239">
            <v>2.5458483007351835E-2</v>
          </cell>
          <cell r="P239">
            <v>2.5983567040805476E-2</v>
          </cell>
          <cell r="Q239">
            <v>2.5445168370427367E-2</v>
          </cell>
          <cell r="R239">
            <v>2.6356540720168565E-2</v>
          </cell>
          <cell r="S239">
            <v>2.5907000588835803E-2</v>
          </cell>
          <cell r="T239">
            <v>2.4658857550682936E-2</v>
          </cell>
          <cell r="U239">
            <v>2.6181705149978612E-2</v>
          </cell>
          <cell r="V239">
            <v>2.5428962292532786E-2</v>
          </cell>
          <cell r="W239">
            <v>2.5988992466428662E-2</v>
          </cell>
          <cell r="X239">
            <v>2.651520598808212E-2</v>
          </cell>
          <cell r="Y239">
            <v>2.6256382221426799E-2</v>
          </cell>
          <cell r="Z239">
            <v>2.7591384400504154E-2</v>
          </cell>
          <cell r="AA239">
            <v>2.5108895873755102E-2</v>
          </cell>
          <cell r="AB239">
            <v>2.6334232275077703E-2</v>
          </cell>
          <cell r="AC239">
            <v>2.522689536381283E-2</v>
          </cell>
          <cell r="AD239">
            <v>2.9982395183253189E-2</v>
          </cell>
          <cell r="AE239">
            <v>2.7607996759515013E-2</v>
          </cell>
          <cell r="AF239">
            <v>3.0151257293733868E-2</v>
          </cell>
          <cell r="AG239">
            <v>3.2046422251091805E-2</v>
          </cell>
          <cell r="AH239">
            <v>3.1096016742753193E-2</v>
          </cell>
          <cell r="AI239">
            <v>3.1228351712795213E-2</v>
          </cell>
          <cell r="AJ239">
            <v>2.8216781949811743E-2</v>
          </cell>
          <cell r="AK239">
            <v>3.1574174754730032E-2</v>
          </cell>
          <cell r="AL239">
            <v>0</v>
          </cell>
          <cell r="AM239">
            <v>0</v>
          </cell>
          <cell r="AN239">
            <v>0</v>
          </cell>
          <cell r="AO239">
            <v>0</v>
          </cell>
          <cell r="AP239">
            <v>0</v>
          </cell>
          <cell r="AQ239">
            <v>0</v>
          </cell>
          <cell r="AR239">
            <v>0</v>
          </cell>
          <cell r="AS239">
            <v>0</v>
          </cell>
          <cell r="AT239">
            <v>0</v>
          </cell>
          <cell r="AU239">
            <v>0</v>
          </cell>
          <cell r="AV239" t="e">
            <v>#N/A</v>
          </cell>
          <cell r="AW239" t="e">
            <v>#N/A</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row>
        <row r="240">
          <cell r="B240" t="str">
            <v>Average interest-bearing liabilities</v>
          </cell>
          <cell r="C240" t="str">
            <v>B_MA_REPINTLIB</v>
          </cell>
          <cell r="D240" t="str">
            <v>AUD</v>
          </cell>
          <cell r="F240">
            <v>239422</v>
          </cell>
          <cell r="G240">
            <v>281878</v>
          </cell>
          <cell r="H240">
            <v>468398</v>
          </cell>
          <cell r="I240">
            <v>496049</v>
          </cell>
          <cell r="J240">
            <v>516636</v>
          </cell>
          <cell r="K240">
            <v>530061</v>
          </cell>
          <cell r="L240">
            <v>559341</v>
          </cell>
          <cell r="M240">
            <v>583004</v>
          </cell>
          <cell r="N240">
            <v>621954</v>
          </cell>
          <cell r="O240">
            <v>646698</v>
          </cell>
          <cell r="P240">
            <v>634360</v>
          </cell>
          <cell r="Q240">
            <v>670790</v>
          </cell>
          <cell r="R240">
            <v>679522</v>
          </cell>
          <cell r="S240">
            <v>675168</v>
          </cell>
          <cell r="T240">
            <v>701415</v>
          </cell>
          <cell r="U240">
            <v>716581</v>
          </cell>
          <cell r="V240">
            <v>708998</v>
          </cell>
          <cell r="W240">
            <v>734820</v>
          </cell>
          <cell r="X240">
            <v>747193</v>
          </cell>
          <cell r="Y240">
            <v>741023</v>
          </cell>
          <cell r="Z240">
            <v>755884</v>
          </cell>
          <cell r="AA240">
            <v>770258</v>
          </cell>
          <cell r="AB240">
            <v>763999</v>
          </cell>
          <cell r="AC240">
            <v>778151</v>
          </cell>
          <cell r="AD240">
            <v>788924</v>
          </cell>
          <cell r="AE240">
            <v>783552</v>
          </cell>
          <cell r="AF240">
            <v>795391</v>
          </cell>
          <cell r="AG240">
            <v>805675</v>
          </cell>
          <cell r="AH240">
            <v>800533</v>
          </cell>
          <cell r="AI240">
            <v>789760</v>
          </cell>
          <cell r="AJ240">
            <v>806915</v>
          </cell>
          <cell r="AK240">
            <v>749861</v>
          </cell>
          <cell r="AL240">
            <v>803306</v>
          </cell>
          <cell r="AM240">
            <v>834484</v>
          </cell>
          <cell r="AN240">
            <v>818939</v>
          </cell>
          <cell r="AO240">
            <v>864107</v>
          </cell>
          <cell r="AP240">
            <v>876404.88</v>
          </cell>
          <cell r="AQ240">
            <v>869398.67500000005</v>
          </cell>
          <cell r="AR240">
            <v>892575.63500000001</v>
          </cell>
          <cell r="AS240">
            <v>906329.755</v>
          </cell>
          <cell r="AT240">
            <v>899167.53</v>
          </cell>
          <cell r="AU240">
            <v>936536.63500000001</v>
          </cell>
          <cell r="AV240" t="e">
            <v>#N/A</v>
          </cell>
          <cell r="AW240" t="e">
            <v>#N/A</v>
          </cell>
          <cell r="AX240">
            <v>978779.01830411423</v>
          </cell>
          <cell r="AY240">
            <v>1010363.5874077427</v>
          </cell>
          <cell r="AZ240">
            <v>994614.5693889471</v>
          </cell>
          <cell r="BA240">
            <v>1036185.9249745077</v>
          </cell>
          <cell r="BB240">
            <v>1062750.9819330187</v>
          </cell>
          <cell r="BC240">
            <v>1049504.8439427475</v>
          </cell>
          <cell r="BD240">
            <v>1089160.3171632206</v>
          </cell>
          <cell r="BE240">
            <v>1115148.2118463195</v>
          </cell>
          <cell r="BF240">
            <v>1102154.26450477</v>
          </cell>
          <cell r="BG240">
            <v>1140899.538818687</v>
          </cell>
          <cell r="BH240">
            <v>1165992.9627152428</v>
          </cell>
          <cell r="BI240">
            <v>1153480.6253202478</v>
          </cell>
          <cell r="BJ240">
            <v>1189356.6280455906</v>
          </cell>
          <cell r="BK240">
            <v>1211500.7379494098</v>
          </cell>
          <cell r="BL240">
            <v>1200459.0173946288</v>
          </cell>
          <cell r="BM240">
            <v>1233632.150845828</v>
          </cell>
          <cell r="BN240">
            <v>1257037.3765405475</v>
          </cell>
          <cell r="BO240">
            <v>1245366.8256461942</v>
          </cell>
          <cell r="BP240">
            <v>1281451.3818135429</v>
          </cell>
          <cell r="BQ240">
            <v>1306372.4003889174</v>
          </cell>
          <cell r="BR240">
            <v>1293911.8911012304</v>
          </cell>
          <cell r="BS240">
            <v>1331859.8731434022</v>
          </cell>
          <cell r="BT240">
            <v>1357810.5304309302</v>
          </cell>
          <cell r="BU240">
            <v>1344870.7506327655</v>
          </cell>
          <cell r="BV240">
            <v>1384304.0753328281</v>
          </cell>
          <cell r="BW240">
            <v>1411272.1739579113</v>
          </cell>
          <cell r="BX240">
            <v>1397825.0672462259</v>
          </cell>
        </row>
        <row r="241">
          <cell r="B241" t="str">
            <v>Cost of interest-bearing liabilities</v>
          </cell>
          <cell r="C241" t="str">
            <v>B_MA_REPCOSTLIB</v>
          </cell>
          <cell r="F241">
            <v>5.2334371945769398E-2</v>
          </cell>
          <cell r="G241">
            <v>5.6088094849544835E-2</v>
          </cell>
          <cell r="H241">
            <v>6.4379011012002607E-2</v>
          </cell>
          <cell r="I241">
            <v>3.7701920576394668E-2</v>
          </cell>
          <cell r="J241">
            <v>4.301287560293901E-2</v>
          </cell>
          <cell r="K241">
            <v>4.8869847055338915E-2</v>
          </cell>
          <cell r="L241">
            <v>4.3447557035868993E-2</v>
          </cell>
          <cell r="M241">
            <v>3.4421719233487247E-2</v>
          </cell>
          <cell r="N241">
            <v>1.4809776928840394E-2</v>
          </cell>
          <cell r="O241">
            <v>1.4857012082919693E-2</v>
          </cell>
          <cell r="P241">
            <v>2.9666120184122579E-2</v>
          </cell>
          <cell r="Q241">
            <v>1.4305520356594463E-2</v>
          </cell>
          <cell r="R241">
            <v>1.2452871283048969E-2</v>
          </cell>
          <cell r="S241">
            <v>2.6745935826342479E-2</v>
          </cell>
          <cell r="T241">
            <v>1.1951555070821128E-2</v>
          </cell>
          <cell r="U241">
            <v>1.1275766452082878E-2</v>
          </cell>
          <cell r="V241">
            <v>2.3220093709714278E-2</v>
          </cell>
          <cell r="W241">
            <v>1.0470591437358808E-2</v>
          </cell>
          <cell r="X241">
            <v>1.0514017128104788E-2</v>
          </cell>
          <cell r="Y241">
            <v>2.0984503854806127E-2</v>
          </cell>
          <cell r="Z241">
            <v>1.0321689571415721E-2</v>
          </cell>
          <cell r="AA241">
            <v>1.0967753661760086E-2</v>
          </cell>
          <cell r="AB241">
            <v>2.1269661347724279E-2</v>
          </cell>
          <cell r="AC241">
            <v>1.1015856819563298E-2</v>
          </cell>
          <cell r="AD241">
            <v>9.7208349600214992E-3</v>
          </cell>
          <cell r="AE241">
            <v>2.072740545617904E-2</v>
          </cell>
          <cell r="AF241">
            <v>7.5233438648413167E-3</v>
          </cell>
          <cell r="AG241">
            <v>4.8282496043690051E-3</v>
          </cell>
          <cell r="AH241">
            <v>1.2334282284427997E-2</v>
          </cell>
          <cell r="AI241">
            <v>3.8404072123176666E-3</v>
          </cell>
          <cell r="AJ241">
            <v>3.1936449316222891E-3</v>
          </cell>
          <cell r="AK241">
            <v>7.4813865503073236E-3</v>
          </cell>
          <cell r="AL241">
            <v>2.3863882505545833E-3</v>
          </cell>
          <cell r="AM241">
            <v>5.0006950402883702E-3</v>
          </cell>
          <cell r="AN241">
            <v>7.4364513107813895E-3</v>
          </cell>
          <cell r="AO241">
            <v>1.2412814616708347E-2</v>
          </cell>
          <cell r="AP241">
            <v>1.6783338769177095E-2</v>
          </cell>
          <cell r="AQ241">
            <v>2.9255853190712534E-2</v>
          </cell>
          <cell r="AR241">
            <v>1.9513192290981592E-2</v>
          </cell>
          <cell r="AS241">
            <v>2.0055614305634267E-2</v>
          </cell>
          <cell r="AT241">
            <v>3.958550416072075E-2</v>
          </cell>
          <cell r="AU241">
            <v>1.9769990633201444E-2</v>
          </cell>
          <cell r="AV241" t="e">
            <v>#N/A</v>
          </cell>
          <cell r="AW241" t="e">
            <v>#N/A</v>
          </cell>
          <cell r="AX241">
            <v>1.8012317601041609E-2</v>
          </cell>
          <cell r="AY241">
            <v>1.8740845123777571E-2</v>
          </cell>
          <cell r="AZ241">
            <v>3.6763131342130301E-2</v>
          </cell>
          <cell r="BA241">
            <v>1.9099428304859351E-2</v>
          </cell>
          <cell r="BB241">
            <v>1.9239048282436323E-2</v>
          </cell>
          <cell r="BC241">
            <v>3.8338914270286052E-2</v>
          </cell>
          <cell r="BD241">
            <v>1.9168893731116285E-2</v>
          </cell>
          <cell r="BE241">
            <v>1.9150822927007975E-2</v>
          </cell>
          <cell r="BF241">
            <v>3.8319503610745535E-2</v>
          </cell>
          <cell r="BG241">
            <v>1.908146397504433E-2</v>
          </cell>
          <cell r="BH241">
            <v>1.9169692711374111E-2</v>
          </cell>
          <cell r="BI241">
            <v>3.8250976461559172E-2</v>
          </cell>
          <cell r="BJ241">
            <v>1.9061272869339459E-2</v>
          </cell>
          <cell r="BK241">
            <v>1.9161418855954376E-2</v>
          </cell>
          <cell r="BL241">
            <v>3.8222649541060666E-2</v>
          </cell>
          <cell r="BM241">
            <v>1.9052949456163978E-2</v>
          </cell>
          <cell r="BN241">
            <v>1.9153111956400532E-2</v>
          </cell>
          <cell r="BO241">
            <v>3.8206019017037025E-2</v>
          </cell>
          <cell r="BP241">
            <v>1.9093776733104802E-2</v>
          </cell>
          <cell r="BQ241">
            <v>1.9086440202473257E-2</v>
          </cell>
          <cell r="BR241">
            <v>3.8180146284006872E-2</v>
          </cell>
          <cell r="BS241">
            <v>1.9025810084948233E-2</v>
          </cell>
          <cell r="BT241">
            <v>1.9122590334279353E-2</v>
          </cell>
          <cell r="BU241">
            <v>3.8148325783018106E-2</v>
          </cell>
          <cell r="BV241">
            <v>1.9010013860351897E-2</v>
          </cell>
          <cell r="BW241">
            <v>1.9107057516297297E-2</v>
          </cell>
          <cell r="BX241">
            <v>3.8117000121444394E-2</v>
          </cell>
        </row>
        <row r="242">
          <cell r="B242" t="str">
            <v>Spread (gross yield less % cost of liabilites)</v>
          </cell>
          <cell r="C242" t="str">
            <v>B_MA_REPIMPSPD</v>
          </cell>
          <cell r="F242">
            <v>2.0149802555532934E-2</v>
          </cell>
          <cell r="G242">
            <v>1.9567561285358408E-2</v>
          </cell>
          <cell r="H242">
            <v>1.8445774628122483E-2</v>
          </cell>
          <cell r="I242">
            <v>2.230402274946687E-2</v>
          </cell>
          <cell r="J242">
            <v>2.0683523028066003E-2</v>
          </cell>
          <cell r="K242">
            <v>2.0578422894188743E-2</v>
          </cell>
          <cell r="L242">
            <v>2.0360870557619488E-2</v>
          </cell>
          <cell r="M242">
            <v>2.0556951109537647E-2</v>
          </cell>
          <cell r="N242">
            <v>1.0184834945173422E-2</v>
          </cell>
          <cell r="O242">
            <v>1.0070036807601291E-2</v>
          </cell>
          <cell r="P242">
            <v>2.0251854612050198E-2</v>
          </cell>
          <cell r="Q242">
            <v>1.0054602726132693E-2</v>
          </cell>
          <cell r="R242">
            <v>1.0429988849514011E-2</v>
          </cell>
          <cell r="S242">
            <v>2.0484743861408868E-2</v>
          </cell>
          <cell r="T242">
            <v>1.0480934829242663E-2</v>
          </cell>
          <cell r="U242">
            <v>1.0368512735107551E-2</v>
          </cell>
          <cell r="V242">
            <v>2.0849045978555886E-2</v>
          </cell>
          <cell r="W242">
            <v>1.0189117497995516E-2</v>
          </cell>
          <cell r="X242">
            <v>1.0370099518643414E-2</v>
          </cell>
          <cell r="Y242">
            <v>2.0560424059014797E-2</v>
          </cell>
          <cell r="Z242">
            <v>1.1215159313411225E-2</v>
          </cell>
          <cell r="AA242">
            <v>1.0643469151761042E-2</v>
          </cell>
          <cell r="AB242">
            <v>2.1877972545821574E-2</v>
          </cell>
          <cell r="AC242">
            <v>1.0327862506941119E-2</v>
          </cell>
          <cell r="AD242">
            <v>1.0490454127525891E-2</v>
          </cell>
          <cell r="AE242">
            <v>2.0820977118383748E-2</v>
          </cell>
          <cell r="AF242">
            <v>1.0496979123309552E-2</v>
          </cell>
          <cell r="AG242">
            <v>9.994771233354436E-3</v>
          </cell>
          <cell r="AH242">
            <v>2.0475026991990435E-2</v>
          </cell>
          <cell r="AI242">
            <v>1.0308064403402858E-2</v>
          </cell>
          <cell r="AJ242">
            <v>9.9092238483894802E-3</v>
          </cell>
          <cell r="AK242">
            <v>1.9761076742413702E-2</v>
          </cell>
          <cell r="AL242">
            <v>9.3155869235990157E-3</v>
          </cell>
          <cell r="AM242">
            <v>9.4661518613046898E-3</v>
          </cell>
          <cell r="AN242">
            <v>1.8800141802550175E-2</v>
          </cell>
          <cell r="AO242">
            <v>8.8233554867375667E-3</v>
          </cell>
          <cell r="AP242">
            <v>8.4279147297501647E-3</v>
          </cell>
          <cell r="AQ242">
            <v>1.726660576240454E-2</v>
          </cell>
          <cell r="AR242">
            <v>8.0018692613223162E-3</v>
          </cell>
          <cell r="AS242">
            <v>8.4485306520344673E-3</v>
          </cell>
          <cell r="AT242">
            <v>1.6439154234937227E-2</v>
          </cell>
          <cell r="AU242">
            <v>8.4069651439072392E-3</v>
          </cell>
          <cell r="AV242" t="e">
            <v>#N/A</v>
          </cell>
          <cell r="AW242" t="e">
            <v>#N/A</v>
          </cell>
          <cell r="AX242">
            <v>8.5283403717933658E-3</v>
          </cell>
          <cell r="AY242">
            <v>8.4019563094048857E-3</v>
          </cell>
          <cell r="AZ242">
            <v>1.6928230387723155E-2</v>
          </cell>
          <cell r="BA242">
            <v>8.2242274983896461E-3</v>
          </cell>
          <cell r="BB242">
            <v>8.1894877830863654E-3</v>
          </cell>
          <cell r="BC242">
            <v>1.6413580231465122E-2</v>
          </cell>
          <cell r="BD242">
            <v>8.1393360438804518E-3</v>
          </cell>
          <cell r="BE242">
            <v>8.1117579237686976E-3</v>
          </cell>
          <cell r="BF242">
            <v>1.6250792318449864E-2</v>
          </cell>
          <cell r="BG242">
            <v>8.060585279056131E-3</v>
          </cell>
          <cell r="BH242">
            <v>8.0751216250850438E-3</v>
          </cell>
          <cell r="BI242">
            <v>1.6136131307805023E-2</v>
          </cell>
          <cell r="BJ242">
            <v>7.9883089120959989E-3</v>
          </cell>
          <cell r="BK242">
            <v>7.9899862561365435E-3</v>
          </cell>
          <cell r="BL242">
            <v>1.5978544965910939E-2</v>
          </cell>
          <cell r="BM242">
            <v>7.9002243082824629E-3</v>
          </cell>
          <cell r="BN242">
            <v>7.8980191830876484E-3</v>
          </cell>
          <cell r="BO242">
            <v>1.5798463730678322E-2</v>
          </cell>
          <cell r="BP242">
            <v>7.8334442120131902E-3</v>
          </cell>
          <cell r="BQ242">
            <v>7.790780742644738E-3</v>
          </cell>
          <cell r="BR242">
            <v>1.5623823707796317E-2</v>
          </cell>
          <cell r="BS242">
            <v>7.7279116247036886E-3</v>
          </cell>
          <cell r="BT242">
            <v>7.7279928600033458E-3</v>
          </cell>
          <cell r="BU242">
            <v>1.5456155315304164E-2</v>
          </cell>
          <cell r="BV242">
            <v>7.6439818219027587E-3</v>
          </cell>
          <cell r="BW242">
            <v>7.6432517053826622E-3</v>
          </cell>
          <cell r="BX242">
            <v>1.5287478694194577E-2</v>
          </cell>
        </row>
        <row r="243">
          <cell r="B243" t="str">
            <v>Net interest margin</v>
          </cell>
          <cell r="C243" t="str">
            <v>B_MA_REPNIM</v>
          </cell>
          <cell r="F243">
            <v>2.2504716736536867E-2</v>
          </cell>
          <cell r="G243">
            <v>2.158903210141682E-2</v>
          </cell>
          <cell r="H243">
            <v>2.0082518928793605E-2</v>
          </cell>
          <cell r="I243">
            <v>2.3200618735645988E-2</v>
          </cell>
          <cell r="J243">
            <v>2.2159251277124294E-2</v>
          </cell>
          <cell r="K243">
            <v>2.2197252567851287E-2</v>
          </cell>
          <cell r="L243">
            <v>2.1744887450345751E-2</v>
          </cell>
          <cell r="M243">
            <v>2.1524699559403802E-2</v>
          </cell>
          <cell r="N243">
            <v>2.1065900026565922E-2</v>
          </cell>
          <cell r="O243">
            <v>2.0638354764573198E-2</v>
          </cell>
          <cell r="P243">
            <v>2.0847686456727459E-2</v>
          </cell>
          <cell r="Q243">
            <v>2.0493301925671274E-2</v>
          </cell>
          <cell r="R243">
            <v>2.1145756819668654E-2</v>
          </cell>
          <cell r="S243">
            <v>2.0822913833293849E-2</v>
          </cell>
          <cell r="T243">
            <v>2.1411305213917205E-2</v>
          </cell>
          <cell r="U243">
            <v>2.1116035289436494E-2</v>
          </cell>
          <cell r="V243">
            <v>2.1262241235282465E-2</v>
          </cell>
          <cell r="W243">
            <v>2.0715120015855935E-2</v>
          </cell>
          <cell r="X243">
            <v>2.1030509531533275E-2</v>
          </cell>
          <cell r="Y243">
            <v>2.0874817558029175E-2</v>
          </cell>
          <cell r="Z243">
            <v>2.2792235840679728E-2</v>
          </cell>
          <cell r="AA243">
            <v>2.1580201993008145E-2</v>
          </cell>
          <cell r="AB243">
            <v>2.2178262826782261E-2</v>
          </cell>
          <cell r="AC243">
            <v>2.1171436094170347E-2</v>
          </cell>
          <cell r="AD243">
            <v>2.1267363724505363E-2</v>
          </cell>
          <cell r="AE243">
            <v>2.1219668431958411E-2</v>
          </cell>
          <cell r="AF243">
            <v>2.1319333653967976E-2</v>
          </cell>
          <cell r="AG243">
            <v>2.0277796174432396E-2</v>
          </cell>
          <cell r="AH243">
            <v>2.079302145018121E-2</v>
          </cell>
          <cell r="AI243">
            <v>2.0892469361009861E-2</v>
          </cell>
          <cell r="AJ243">
            <v>1.9910918599476538E-2</v>
          </cell>
          <cell r="AK243">
            <v>2.0396458138081847E-2</v>
          </cell>
          <cell r="AL243">
            <v>1.9099999999999999E-2</v>
          </cell>
          <cell r="AM243">
            <v>1.9600000000000003E-2</v>
          </cell>
          <cell r="AN243">
            <v>1.9348753932805336E-2</v>
          </cell>
          <cell r="AO243">
            <v>1.9600000000000006E-2</v>
          </cell>
          <cell r="AP243">
            <v>1.9400000000000004E-2</v>
          </cell>
          <cell r="AQ243">
            <v>1.9458090532120404E-2</v>
          </cell>
          <cell r="AR243">
            <v>1.8900000000000004E-2</v>
          </cell>
          <cell r="AS243">
            <v>1.9700000000000002E-2</v>
          </cell>
          <cell r="AT243">
            <v>1.9331893552427436E-2</v>
          </cell>
          <cell r="AU243">
            <v>1.9200000000000005E-2</v>
          </cell>
          <cell r="AV243" t="e">
            <v>#N/A</v>
          </cell>
          <cell r="AW243" t="e">
            <v>#N/A</v>
          </cell>
          <cell r="AX243">
            <v>1.9259742863856299E-2</v>
          </cell>
          <cell r="AY243">
            <v>1.8933407013335887E-2</v>
          </cell>
          <cell r="AZ243">
            <v>1.9095455653560172E-2</v>
          </cell>
          <cell r="BA243">
            <v>1.8684337653377452E-2</v>
          </cell>
          <cell r="BB243">
            <v>1.8489052316585101E-2</v>
          </cell>
          <cell r="BC243">
            <v>1.8586861887609381E-2</v>
          </cell>
          <cell r="BD243">
            <v>1.8394106684731189E-2</v>
          </cell>
          <cell r="BE243">
            <v>1.8299695723048116E-2</v>
          </cell>
          <cell r="BF243">
            <v>1.8347368956966703E-2</v>
          </cell>
          <cell r="BG243">
            <v>1.8205417319079188E-2</v>
          </cell>
          <cell r="BH243">
            <v>1.8111747238643536E-2</v>
          </cell>
          <cell r="BI243">
            <v>1.8159484384832506E-2</v>
          </cell>
          <cell r="BJ243">
            <v>1.8018955080724146E-2</v>
          </cell>
          <cell r="BK243">
            <v>1.7927354601899228E-2</v>
          </cell>
          <cell r="BL243">
            <v>1.7974060797713538E-2</v>
          </cell>
          <cell r="BM243">
            <v>1.7827354601899228E-2</v>
          </cell>
          <cell r="BN243">
            <v>1.7727354601899229E-2</v>
          </cell>
          <cell r="BO243">
            <v>1.7777354601899227E-2</v>
          </cell>
          <cell r="BP243">
            <v>1.762735460189923E-2</v>
          </cell>
          <cell r="BQ243">
            <v>1.752735460189923E-2</v>
          </cell>
          <cell r="BR243">
            <v>1.7577354601899228E-2</v>
          </cell>
          <cell r="BS243">
            <v>1.7427354601899231E-2</v>
          </cell>
          <cell r="BT243">
            <v>1.7327354601899232E-2</v>
          </cell>
          <cell r="BU243">
            <v>1.7377354601899229E-2</v>
          </cell>
          <cell r="BV243">
            <v>1.7227354601899232E-2</v>
          </cell>
          <cell r="BW243">
            <v>1.7127354601899233E-2</v>
          </cell>
          <cell r="BX243">
            <v>1.7177354601899231E-2</v>
          </cell>
        </row>
        <row r="244">
          <cell r="A244" t="str">
            <v>Deposits</v>
          </cell>
        </row>
        <row r="245">
          <cell r="B245" t="str">
            <v>Demand deposits</v>
          </cell>
          <cell r="C245" t="str">
            <v>B_DE_DEMAND</v>
          </cell>
          <cell r="D245" t="str">
            <v>AUD</v>
          </cell>
          <cell r="F245">
            <v>88880</v>
          </cell>
          <cell r="G245">
            <v>104636</v>
          </cell>
          <cell r="H245">
            <v>146936</v>
          </cell>
          <cell r="I245">
            <v>166983</v>
          </cell>
          <cell r="J245">
            <v>169155</v>
          </cell>
          <cell r="K245">
            <v>172352</v>
          </cell>
          <cell r="L245">
            <v>181481</v>
          </cell>
          <cell r="M245">
            <v>217570</v>
          </cell>
          <cell r="N245">
            <v>226836</v>
          </cell>
          <cell r="O245">
            <v>237920</v>
          </cell>
          <cell r="P245">
            <v>237920</v>
          </cell>
          <cell r="Q245">
            <v>254098</v>
          </cell>
          <cell r="R245">
            <v>270952</v>
          </cell>
          <cell r="S245">
            <v>270952</v>
          </cell>
          <cell r="T245">
            <v>271067</v>
          </cell>
          <cell r="U245">
            <v>277492</v>
          </cell>
          <cell r="V245">
            <v>277492</v>
          </cell>
          <cell r="W245">
            <v>285746</v>
          </cell>
          <cell r="X245">
            <v>293033</v>
          </cell>
          <cell r="Y245">
            <v>293033</v>
          </cell>
          <cell r="Z245">
            <v>298240</v>
          </cell>
          <cell r="AA245">
            <v>304077</v>
          </cell>
          <cell r="AB245">
            <v>304077</v>
          </cell>
          <cell r="AC245">
            <v>297144</v>
          </cell>
          <cell r="AD245">
            <v>321595</v>
          </cell>
          <cell r="AE245">
            <v>321595</v>
          </cell>
          <cell r="AF245">
            <v>356817</v>
          </cell>
          <cell r="AG245">
            <v>392807</v>
          </cell>
          <cell r="AH245">
            <v>392807</v>
          </cell>
          <cell r="AI245">
            <v>407048</v>
          </cell>
          <cell r="AJ245">
            <v>446325</v>
          </cell>
          <cell r="AK245">
            <v>446325</v>
          </cell>
          <cell r="AL245">
            <v>464036</v>
          </cell>
          <cell r="AM245">
            <v>450976</v>
          </cell>
          <cell r="AN245">
            <v>450976</v>
          </cell>
          <cell r="AO245">
            <v>448419</v>
          </cell>
          <cell r="AP245">
            <v>454905.34171597636</v>
          </cell>
          <cell r="AQ245">
            <v>454905.34171597636</v>
          </cell>
          <cell r="AR245">
            <v>463788.90789106791</v>
          </cell>
          <cell r="AS245">
            <v>476383.52457510337</v>
          </cell>
          <cell r="AT245">
            <v>476383.52457510337</v>
          </cell>
          <cell r="AU245">
            <v>497148.97436596674</v>
          </cell>
          <cell r="AV245" t="e">
            <v>#N/A</v>
          </cell>
          <cell r="AW245" t="e">
            <v>#N/A</v>
          </cell>
          <cell r="AX245">
            <v>530542.03196650452</v>
          </cell>
          <cell r="AY245">
            <v>543484.9173097522</v>
          </cell>
          <cell r="AZ245">
            <v>543484.9173097522</v>
          </cell>
          <cell r="BA245">
            <v>557006.62448948936</v>
          </cell>
          <cell r="BB245">
            <v>570864.80437064776</v>
          </cell>
          <cell r="BC245">
            <v>570864.80437064776</v>
          </cell>
          <cell r="BD245">
            <v>584565.55967554334</v>
          </cell>
          <cell r="BE245">
            <v>598595.1331077565</v>
          </cell>
          <cell r="BF245">
            <v>598595.1331077565</v>
          </cell>
          <cell r="BG245">
            <v>612961.41630234267</v>
          </cell>
          <cell r="BH245">
            <v>627672.49029359873</v>
          </cell>
          <cell r="BI245">
            <v>627672.49029359873</v>
          </cell>
          <cell r="BJ245">
            <v>642736.63006064517</v>
          </cell>
          <cell r="BK245">
            <v>658162.30918210058</v>
          </cell>
          <cell r="BL245">
            <v>658162.30918210058</v>
          </cell>
          <cell r="BM245">
            <v>670455.47603630868</v>
          </cell>
          <cell r="BN245">
            <v>683535.08257815102</v>
          </cell>
          <cell r="BO245">
            <v>683535.08257815102</v>
          </cell>
          <cell r="BP245">
            <v>696873.29843611794</v>
          </cell>
          <cell r="BQ245">
            <v>710475.27483762463</v>
          </cell>
          <cell r="BR245">
            <v>710475.27483762463</v>
          </cell>
          <cell r="BS245">
            <v>724346.26603450486</v>
          </cell>
          <cell r="BT245">
            <v>738491.6313680833</v>
          </cell>
          <cell r="BU245">
            <v>738491.6313680833</v>
          </cell>
          <cell r="BV245">
            <v>752916.83737568965</v>
          </cell>
          <cell r="BW245">
            <v>767627.45993945363</v>
          </cell>
          <cell r="BX245">
            <v>767627.45993945363</v>
          </cell>
        </row>
        <row r="246">
          <cell r="B246" t="str">
            <v>Time deposits</v>
          </cell>
          <cell r="C246" t="str">
            <v>B_DE_TIME</v>
          </cell>
          <cell r="D246" t="str">
            <v>AUD</v>
          </cell>
          <cell r="F246">
            <v>78861</v>
          </cell>
          <cell r="G246">
            <v>97418</v>
          </cell>
          <cell r="H246">
            <v>170350</v>
          </cell>
          <cell r="I246">
            <v>162473</v>
          </cell>
          <cell r="J246">
            <v>168230</v>
          </cell>
          <cell r="K246">
            <v>197926</v>
          </cell>
          <cell r="L246">
            <v>213510</v>
          </cell>
          <cell r="M246">
            <v>206912</v>
          </cell>
          <cell r="N246">
            <v>210569</v>
          </cell>
          <cell r="O246">
            <v>222902</v>
          </cell>
          <cell r="P246">
            <v>222902</v>
          </cell>
          <cell r="Q246">
            <v>212645</v>
          </cell>
          <cell r="R246">
            <v>204376</v>
          </cell>
          <cell r="S246">
            <v>204376</v>
          </cell>
          <cell r="T246">
            <v>223179</v>
          </cell>
          <cell r="U246">
            <v>235579</v>
          </cell>
          <cell r="V246">
            <v>235579</v>
          </cell>
          <cell r="W246">
            <v>236767</v>
          </cell>
          <cell r="X246">
            <v>240558</v>
          </cell>
          <cell r="Y246">
            <v>240558</v>
          </cell>
          <cell r="Z246">
            <v>249496</v>
          </cell>
          <cell r="AA246">
            <v>255208</v>
          </cell>
          <cell r="AB246">
            <v>255208</v>
          </cell>
          <cell r="AC246">
            <v>257863</v>
          </cell>
          <cell r="AD246">
            <v>241652</v>
          </cell>
          <cell r="AE246">
            <v>241652</v>
          </cell>
          <cell r="AF246">
            <v>226103</v>
          </cell>
          <cell r="AG246">
            <v>198324</v>
          </cell>
          <cell r="AH246">
            <v>198324</v>
          </cell>
          <cell r="AI246">
            <v>178353</v>
          </cell>
          <cell r="AJ246">
            <v>180630</v>
          </cell>
          <cell r="AK246">
            <v>180630</v>
          </cell>
          <cell r="AL246">
            <v>181570</v>
          </cell>
          <cell r="AM246">
            <v>208153</v>
          </cell>
          <cell r="AN246">
            <v>208153</v>
          </cell>
          <cell r="AO246">
            <v>227933</v>
          </cell>
          <cell r="AP246">
            <v>232729.52662721893</v>
          </cell>
          <cell r="AQ246">
            <v>232729.52662721893</v>
          </cell>
          <cell r="AR246">
            <v>239334.48945069243</v>
          </cell>
          <cell r="AS246">
            <v>243943.33183938536</v>
          </cell>
          <cell r="AT246">
            <v>243943.33183938536</v>
          </cell>
          <cell r="AU246">
            <v>241968.16464408621</v>
          </cell>
          <cell r="AV246" t="e">
            <v>#N/A</v>
          </cell>
          <cell r="AW246" t="e">
            <v>#N/A</v>
          </cell>
          <cell r="AX246">
            <v>258220.95259313344</v>
          </cell>
          <cell r="AY246">
            <v>264520.40481607837</v>
          </cell>
          <cell r="AZ246">
            <v>264520.40481607837</v>
          </cell>
          <cell r="BA246">
            <v>271101.57633173611</v>
          </cell>
          <cell r="BB246">
            <v>277846.51300877141</v>
          </cell>
          <cell r="BC246">
            <v>277846.51300877141</v>
          </cell>
          <cell r="BD246">
            <v>284514.82932098198</v>
          </cell>
          <cell r="BE246">
            <v>291343.18522468559</v>
          </cell>
          <cell r="BF246">
            <v>291343.18522468559</v>
          </cell>
          <cell r="BG246">
            <v>298335.42167007801</v>
          </cell>
          <cell r="BH246">
            <v>305495.47179015988</v>
          </cell>
          <cell r="BI246">
            <v>305495.47179015988</v>
          </cell>
          <cell r="BJ246">
            <v>312827.36311312375</v>
          </cell>
          <cell r="BK246">
            <v>320335.21982783871</v>
          </cell>
          <cell r="BL246">
            <v>320335.21982783871</v>
          </cell>
          <cell r="BM246">
            <v>326318.44653602975</v>
          </cell>
          <cell r="BN246">
            <v>332684.44255006686</v>
          </cell>
          <cell r="BO246">
            <v>332684.44255006686</v>
          </cell>
          <cell r="BP246">
            <v>339176.30671391217</v>
          </cell>
          <cell r="BQ246">
            <v>345796.54618961905</v>
          </cell>
          <cell r="BR246">
            <v>345796.54618961905</v>
          </cell>
          <cell r="BS246">
            <v>352547.7182824185</v>
          </cell>
          <cell r="BT246">
            <v>359432.43144581426</v>
          </cell>
          <cell r="BU246">
            <v>359432.43144581426</v>
          </cell>
          <cell r="BV246">
            <v>366453.34630684729</v>
          </cell>
          <cell r="BW246">
            <v>373613.17671193945</v>
          </cell>
          <cell r="BX246">
            <v>373613.17671193945</v>
          </cell>
        </row>
        <row r="247">
          <cell r="B247" t="str">
            <v>Other deposits</v>
          </cell>
          <cell r="C247" t="str">
            <v>B_DE_OTHERS</v>
          </cell>
          <cell r="D247" t="str">
            <v>AUD</v>
          </cell>
        </row>
        <row r="248">
          <cell r="B248" t="str">
            <v>Total deposits</v>
          </cell>
          <cell r="C248" t="str">
            <v>B_DE_TOTDEPOSIT</v>
          </cell>
          <cell r="D248" t="str">
            <v>AUD</v>
          </cell>
          <cell r="F248">
            <v>167741</v>
          </cell>
          <cell r="G248">
            <v>202054</v>
          </cell>
          <cell r="H248">
            <v>317286</v>
          </cell>
          <cell r="I248">
            <v>329456</v>
          </cell>
          <cell r="J248">
            <v>337385</v>
          </cell>
          <cell r="K248">
            <v>370278</v>
          </cell>
          <cell r="L248">
            <v>394991</v>
          </cell>
          <cell r="M248">
            <v>424482</v>
          </cell>
          <cell r="N248">
            <v>437405</v>
          </cell>
          <cell r="O248">
            <v>460822</v>
          </cell>
          <cell r="P248">
            <v>460822</v>
          </cell>
          <cell r="Q248">
            <v>466743</v>
          </cell>
          <cell r="R248">
            <v>475328</v>
          </cell>
          <cell r="S248">
            <v>475328</v>
          </cell>
          <cell r="T248">
            <v>494246</v>
          </cell>
          <cell r="U248">
            <v>513071</v>
          </cell>
          <cell r="V248">
            <v>513071</v>
          </cell>
          <cell r="W248">
            <v>522513</v>
          </cell>
          <cell r="X248">
            <v>533591</v>
          </cell>
          <cell r="Y248">
            <v>533591</v>
          </cell>
          <cell r="Z248">
            <v>547736</v>
          </cell>
          <cell r="AA248">
            <v>559285</v>
          </cell>
          <cell r="AB248">
            <v>559285</v>
          </cell>
          <cell r="AC248">
            <v>555007</v>
          </cell>
          <cell r="AD248">
            <v>563247</v>
          </cell>
          <cell r="AE248">
            <v>563247</v>
          </cell>
          <cell r="AF248">
            <v>582920</v>
          </cell>
          <cell r="AG248">
            <v>591131</v>
          </cell>
          <cell r="AH248">
            <v>591131</v>
          </cell>
          <cell r="AI248">
            <v>585401</v>
          </cell>
          <cell r="AJ248">
            <v>626955</v>
          </cell>
          <cell r="AK248">
            <v>626955</v>
          </cell>
          <cell r="AL248">
            <v>645606</v>
          </cell>
          <cell r="AM248">
            <v>659129</v>
          </cell>
          <cell r="AN248">
            <v>659129</v>
          </cell>
          <cell r="AO248">
            <v>676352</v>
          </cell>
          <cell r="AP248">
            <v>687634.8683431953</v>
          </cell>
          <cell r="AQ248">
            <v>687634.8683431953</v>
          </cell>
          <cell r="AR248">
            <v>703123.39734176034</v>
          </cell>
          <cell r="AS248">
            <v>720326.85641448875</v>
          </cell>
          <cell r="AT248">
            <v>720326.85641448875</v>
          </cell>
          <cell r="AU248">
            <v>739117.1390100529</v>
          </cell>
          <cell r="AV248" t="e">
            <v>#N/A</v>
          </cell>
          <cell r="AW248" t="e">
            <v>#N/A</v>
          </cell>
          <cell r="AX248">
            <v>788762.98455963784</v>
          </cell>
          <cell r="AY248">
            <v>808005.32212583045</v>
          </cell>
          <cell r="AZ248">
            <v>808005.32212583045</v>
          </cell>
          <cell r="BA248">
            <v>828108.2008212253</v>
          </cell>
          <cell r="BB248">
            <v>848711.31737941899</v>
          </cell>
          <cell r="BC248">
            <v>848711.31737941899</v>
          </cell>
          <cell r="BD248">
            <v>869080.3889965252</v>
          </cell>
          <cell r="BE248">
            <v>889938.31833244197</v>
          </cell>
          <cell r="BF248">
            <v>889938.31833244197</v>
          </cell>
          <cell r="BG248">
            <v>911296.83797242062</v>
          </cell>
          <cell r="BH248">
            <v>933167.96208375855</v>
          </cell>
          <cell r="BI248">
            <v>933167.96208375855</v>
          </cell>
          <cell r="BJ248">
            <v>955563.99317376886</v>
          </cell>
          <cell r="BK248">
            <v>978497.52900993929</v>
          </cell>
          <cell r="BL248">
            <v>978497.52900993929</v>
          </cell>
          <cell r="BM248">
            <v>996773.92257233837</v>
          </cell>
          <cell r="BN248">
            <v>1016219.5251282179</v>
          </cell>
          <cell r="BO248">
            <v>1016219.5251282179</v>
          </cell>
          <cell r="BP248">
            <v>1036049.6051500301</v>
          </cell>
          <cell r="BQ248">
            <v>1056271.8210272437</v>
          </cell>
          <cell r="BR248">
            <v>1056271.8210272437</v>
          </cell>
          <cell r="BS248">
            <v>1076893.9843169234</v>
          </cell>
          <cell r="BT248">
            <v>1097924.0628138976</v>
          </cell>
          <cell r="BU248">
            <v>1097924.0628138976</v>
          </cell>
          <cell r="BV248">
            <v>1119370.1836825369</v>
          </cell>
          <cell r="BW248">
            <v>1141240.636651393</v>
          </cell>
          <cell r="BX248">
            <v>1141240.636651393</v>
          </cell>
        </row>
        <row r="249">
          <cell r="A249" t="str">
            <v>Industrial Holdings</v>
          </cell>
        </row>
        <row r="250">
          <cell r="B250" t="str">
            <v>Market value of holding portfolio</v>
          </cell>
          <cell r="C250" t="str">
            <v>B_IH_MKTVALUE</v>
          </cell>
          <cell r="D250" t="str">
            <v>AUD</v>
          </cell>
        </row>
        <row r="251">
          <cell r="B251" t="str">
            <v>Book value of holding portfolio</v>
          </cell>
          <cell r="C251" t="str">
            <v>B_IH_BKVALUE</v>
          </cell>
          <cell r="D251" t="str">
            <v>AUD</v>
          </cell>
        </row>
        <row r="252">
          <cell r="B252" t="str">
            <v>Gross unrealized gains on holding portfolio</v>
          </cell>
          <cell r="C252" t="str">
            <v>B_IH_UNREALISE</v>
          </cell>
          <cell r="D252" t="str">
            <v>AUD</v>
          </cell>
        </row>
        <row r="253">
          <cell r="B253" t="str">
            <v>% Tax on unrealized gains</v>
          </cell>
          <cell r="C253" t="str">
            <v>B_IH_TAX</v>
          </cell>
        </row>
        <row r="254">
          <cell r="B254" t="str">
            <v>Post-tax value of unrealized gains</v>
          </cell>
          <cell r="C254" t="str">
            <v>B_IH_PTAXVALUE</v>
          </cell>
          <cell r="D254" t="str">
            <v>AUD</v>
          </cell>
        </row>
        <row r="255">
          <cell r="A255" t="str">
            <v>Revenue Breakdown Data</v>
          </cell>
        </row>
        <row r="256">
          <cell r="B256" t="str">
            <v>Revenue from Domestic Market</v>
          </cell>
          <cell r="C256" t="str">
            <v>DOM_SALES</v>
          </cell>
          <cell r="D256" t="str">
            <v>AUD</v>
          </cell>
        </row>
        <row r="257">
          <cell r="B257" t="str">
            <v>Revenue from emerging markets</v>
          </cell>
          <cell r="C257" t="str">
            <v>EMER_SALES</v>
          </cell>
          <cell r="D257" t="str">
            <v>AUD</v>
          </cell>
        </row>
        <row r="258">
          <cell r="B258" t="str">
            <v>Revenue from Europe</v>
          </cell>
          <cell r="C258" t="str">
            <v>EURO_SALES</v>
          </cell>
          <cell r="D258" t="str">
            <v>AUD</v>
          </cell>
        </row>
        <row r="259">
          <cell r="B259" t="str">
            <v>Revenue from North America</v>
          </cell>
          <cell r="C259" t="str">
            <v>NAM_SALES</v>
          </cell>
          <cell r="D259" t="str">
            <v>AUD</v>
          </cell>
        </row>
        <row r="260">
          <cell r="B260" t="str">
            <v>Revenue from Latin America</v>
          </cell>
          <cell r="C260" t="str">
            <v>LATAM_SALES</v>
          </cell>
          <cell r="D260" t="str">
            <v>AUD</v>
          </cell>
        </row>
        <row r="261">
          <cell r="B261" t="str">
            <v>Revenue from Asia</v>
          </cell>
          <cell r="C261" t="str">
            <v>ASIA_SALES</v>
          </cell>
          <cell r="D261" t="str">
            <v>AUD</v>
          </cell>
        </row>
        <row r="262">
          <cell r="B262" t="str">
            <v>Other revenue</v>
          </cell>
          <cell r="C262" t="str">
            <v>OTH_SALES</v>
          </cell>
          <cell r="D262" t="str">
            <v>AUD</v>
          </cell>
        </row>
        <row r="263">
          <cell r="B263" t="str">
            <v>Total revenue</v>
          </cell>
          <cell r="C263" t="str">
            <v>TOT_SALES</v>
          </cell>
          <cell r="D263" t="str">
            <v>AUD</v>
          </cell>
          <cell r="F263">
            <v>9098</v>
          </cell>
          <cell r="G263">
            <v>10086</v>
          </cell>
          <cell r="H263">
            <v>14858</v>
          </cell>
          <cell r="I263">
            <v>16823</v>
          </cell>
          <cell r="J263">
            <v>16910</v>
          </cell>
          <cell r="K263">
            <v>17123</v>
          </cell>
          <cell r="L263">
            <v>18076</v>
          </cell>
          <cell r="M263">
            <v>18833</v>
          </cell>
          <cell r="N263">
            <v>9859</v>
          </cell>
          <cell r="O263">
            <v>9961</v>
          </cell>
          <cell r="P263">
            <v>19820</v>
          </cell>
          <cell r="Q263">
            <v>10020</v>
          </cell>
          <cell r="R263">
            <v>10520</v>
          </cell>
          <cell r="S263">
            <v>20540</v>
          </cell>
          <cell r="T263">
            <v>10619</v>
          </cell>
          <cell r="U263">
            <v>10617</v>
          </cell>
          <cell r="V263">
            <v>21236</v>
          </cell>
          <cell r="W263">
            <v>10761</v>
          </cell>
          <cell r="X263">
            <v>10795</v>
          </cell>
          <cell r="Y263">
            <v>21556</v>
          </cell>
          <cell r="Z263">
            <v>11239</v>
          </cell>
          <cell r="AA263">
            <v>10926</v>
          </cell>
          <cell r="AB263">
            <v>22165</v>
          </cell>
          <cell r="AC263">
            <v>10103</v>
          </cell>
          <cell r="AD263">
            <v>10552</v>
          </cell>
          <cell r="AE263">
            <v>20655</v>
          </cell>
          <cell r="AF263">
            <v>10341</v>
          </cell>
          <cell r="AG263">
            <v>10285</v>
          </cell>
          <cell r="AH263">
            <v>20626</v>
          </cell>
          <cell r="AI263">
            <v>10799</v>
          </cell>
          <cell r="AJ263">
            <v>10239</v>
          </cell>
          <cell r="AK263">
            <v>21038</v>
          </cell>
          <cell r="AL263">
            <v>10230</v>
          </cell>
          <cell r="AM263">
            <v>9376</v>
          </cell>
          <cell r="AN263">
            <v>19606</v>
          </cell>
          <cell r="AO263">
            <v>11003</v>
          </cell>
          <cell r="AP263">
            <v>10642</v>
          </cell>
          <cell r="AQ263">
            <v>21645</v>
          </cell>
          <cell r="AR263">
            <v>10590</v>
          </cell>
          <cell r="AS263">
            <v>10998</v>
          </cell>
          <cell r="AT263">
            <v>21588</v>
          </cell>
          <cell r="AU263">
            <v>10992.679498400001</v>
          </cell>
          <cell r="AV263" t="e">
            <v>#N/A</v>
          </cell>
          <cell r="AW263" t="e">
            <v>#N/A</v>
          </cell>
          <cell r="AX263">
            <v>11524.265110527222</v>
          </cell>
          <cell r="AY263">
            <v>11777.650285508242</v>
          </cell>
          <cell r="AZ263">
            <v>23301.915396035463</v>
          </cell>
          <cell r="BA263">
            <v>11804.222462353551</v>
          </cell>
          <cell r="BB263">
            <v>12041.103132002627</v>
          </cell>
          <cell r="BC263">
            <v>23845.325594356178</v>
          </cell>
          <cell r="BD263">
            <v>12207.112302094458</v>
          </cell>
          <cell r="BE263">
            <v>12436.578277137287</v>
          </cell>
          <cell r="BF263">
            <v>24643.690579231745</v>
          </cell>
          <cell r="BG263">
            <v>12576.857063585692</v>
          </cell>
          <cell r="BH263">
            <v>12870.324134530307</v>
          </cell>
          <cell r="BI263">
            <v>25447.181198115999</v>
          </cell>
          <cell r="BJ263">
            <v>12942.968406095541</v>
          </cell>
          <cell r="BK263">
            <v>13224.938543596838</v>
          </cell>
          <cell r="BL263">
            <v>26167.906949692377</v>
          </cell>
          <cell r="BM263">
            <v>13330.898043488294</v>
          </cell>
          <cell r="BN263">
            <v>13569.979593467737</v>
          </cell>
          <cell r="BO263">
            <v>26900.877636956033</v>
          </cell>
          <cell r="BP263">
            <v>13727.339976758492</v>
          </cell>
          <cell r="BQ263">
            <v>13900.627987727394</v>
          </cell>
          <cell r="BR263">
            <v>27627.967964485888</v>
          </cell>
          <cell r="BS263">
            <v>14061.033784168611</v>
          </cell>
          <cell r="BT263">
            <v>14315.771555965592</v>
          </cell>
          <cell r="BU263">
            <v>28376.805340134204</v>
          </cell>
          <cell r="BV263">
            <v>14440.667793884702</v>
          </cell>
          <cell r="BW263">
            <v>14701.21879858952</v>
          </cell>
          <cell r="BX263">
            <v>29141.88659247422</v>
          </cell>
        </row>
        <row r="264">
          <cell r="B264" t="str">
            <v>% Revenue from Domestic Market</v>
          </cell>
          <cell r="C264" t="str">
            <v>PCT_DOM_SALES</v>
          </cell>
        </row>
        <row r="265">
          <cell r="B265" t="str">
            <v>% Revenue from Emerging Markets</v>
          </cell>
          <cell r="C265" t="str">
            <v>PCT_EMER_SALES</v>
          </cell>
        </row>
        <row r="266">
          <cell r="B266" t="str">
            <v>% Revenue from Europe</v>
          </cell>
          <cell r="C266" t="str">
            <v>PCT_EURO_SALES</v>
          </cell>
        </row>
        <row r="267">
          <cell r="B267" t="str">
            <v>% Revenue from North America</v>
          </cell>
          <cell r="C267" t="str">
            <v>PCT_NAM_SALES</v>
          </cell>
        </row>
        <row r="268">
          <cell r="B268" t="str">
            <v>% Revenue from Latin America</v>
          </cell>
          <cell r="C268" t="str">
            <v>PCT_LATAM_SALES</v>
          </cell>
        </row>
        <row r="269">
          <cell r="B269" t="str">
            <v>% Revenue from Asia</v>
          </cell>
          <cell r="C269" t="str">
            <v>PCT_ASIA_SALES</v>
          </cell>
        </row>
        <row r="270">
          <cell r="B270" t="str">
            <v>% Revenue from other Markets</v>
          </cell>
          <cell r="C270" t="str">
            <v>PCT_OTH_SALES</v>
          </cell>
        </row>
        <row r="271">
          <cell r="A271" t="str">
            <v>Operating Profits Breakdown Data</v>
          </cell>
        </row>
        <row r="272">
          <cell r="B272" t="str">
            <v>Operating profits from domestic markets</v>
          </cell>
          <cell r="C272" t="str">
            <v>DOM_OP</v>
          </cell>
          <cell r="D272" t="str">
            <v>AUD</v>
          </cell>
        </row>
        <row r="273">
          <cell r="B273" t="str">
            <v>Operating profits from emerging markets</v>
          </cell>
          <cell r="C273" t="str">
            <v>EMER_OP</v>
          </cell>
          <cell r="D273" t="str">
            <v>AUD</v>
          </cell>
        </row>
        <row r="274">
          <cell r="B274" t="str">
            <v>Operating profits from Europe</v>
          </cell>
          <cell r="C274" t="str">
            <v>EURO_OP</v>
          </cell>
          <cell r="D274" t="str">
            <v>AUD</v>
          </cell>
        </row>
        <row r="275">
          <cell r="B275" t="str">
            <v>Operating profits from North America</v>
          </cell>
          <cell r="C275" t="str">
            <v>NAM_OP</v>
          </cell>
          <cell r="D275" t="str">
            <v>AUD</v>
          </cell>
        </row>
        <row r="276">
          <cell r="B276" t="str">
            <v>Operating profit from Latin America</v>
          </cell>
          <cell r="C276" t="str">
            <v>LATAM_OP</v>
          </cell>
          <cell r="D276" t="str">
            <v>AUD</v>
          </cell>
        </row>
        <row r="277">
          <cell r="B277" t="str">
            <v>Operating profits from Asia</v>
          </cell>
          <cell r="C277" t="str">
            <v>ASIA_OP</v>
          </cell>
          <cell r="D277" t="str">
            <v>AUD</v>
          </cell>
        </row>
        <row r="278">
          <cell r="B278" t="str">
            <v>Operating profits from other markets</v>
          </cell>
          <cell r="C278" t="str">
            <v>OTH_OP</v>
          </cell>
          <cell r="D278" t="str">
            <v>AUD</v>
          </cell>
        </row>
        <row r="279">
          <cell r="B279" t="str">
            <v>Total operating profit</v>
          </cell>
          <cell r="C279" t="str">
            <v>TOT_OP</v>
          </cell>
          <cell r="D279" t="str">
            <v>AUD</v>
          </cell>
          <cell r="F279">
            <v>4428</v>
          </cell>
          <cell r="G279">
            <v>5061</v>
          </cell>
          <cell r="H279">
            <v>7213</v>
          </cell>
          <cell r="I279">
            <v>6791</v>
          </cell>
          <cell r="J279">
            <v>8482</v>
          </cell>
          <cell r="K279">
            <v>9024</v>
          </cell>
          <cell r="L279">
            <v>9485</v>
          </cell>
          <cell r="M279">
            <v>10227</v>
          </cell>
          <cell r="N279">
            <v>5453</v>
          </cell>
          <cell r="O279">
            <v>5471</v>
          </cell>
          <cell r="P279">
            <v>10924</v>
          </cell>
          <cell r="Q279">
            <v>5425</v>
          </cell>
          <cell r="R279">
            <v>5727</v>
          </cell>
          <cell r="S279">
            <v>11152</v>
          </cell>
          <cell r="T279">
            <v>5533</v>
          </cell>
          <cell r="U279">
            <v>5648</v>
          </cell>
          <cell r="V279">
            <v>11181</v>
          </cell>
          <cell r="W279">
            <v>5767</v>
          </cell>
          <cell r="X279">
            <v>5831</v>
          </cell>
          <cell r="Y279">
            <v>11598</v>
          </cell>
          <cell r="Z279">
            <v>6104</v>
          </cell>
          <cell r="AA279">
            <v>5551</v>
          </cell>
          <cell r="AB279">
            <v>11655</v>
          </cell>
          <cell r="AC279">
            <v>4729</v>
          </cell>
          <cell r="AD279">
            <v>5101</v>
          </cell>
          <cell r="AE279">
            <v>9830</v>
          </cell>
          <cell r="AF279">
            <v>1943</v>
          </cell>
          <cell r="AG279">
            <v>2805</v>
          </cell>
          <cell r="AH279">
            <v>4748</v>
          </cell>
          <cell r="AI279">
            <v>5190</v>
          </cell>
          <cell r="AJ279">
            <v>3155</v>
          </cell>
          <cell r="AK279">
            <v>8345</v>
          </cell>
          <cell r="AL279">
            <v>4725</v>
          </cell>
          <cell r="AM279">
            <v>3755</v>
          </cell>
          <cell r="AN279">
            <v>8480</v>
          </cell>
          <cell r="AO279">
            <v>5625</v>
          </cell>
          <cell r="AP279">
            <v>4680</v>
          </cell>
          <cell r="AQ279">
            <v>10305</v>
          </cell>
          <cell r="AR279">
            <v>4833</v>
          </cell>
          <cell r="AS279">
            <v>5274</v>
          </cell>
          <cell r="AT279">
            <v>10107</v>
          </cell>
          <cell r="AU279">
            <v>5044.6794984000007</v>
          </cell>
          <cell r="AV279" t="e">
            <v>#N/A</v>
          </cell>
          <cell r="AW279" t="e">
            <v>#N/A</v>
          </cell>
          <cell r="AX279">
            <v>5272.7432665227743</v>
          </cell>
          <cell r="AY279">
            <v>5401.0860384051539</v>
          </cell>
          <cell r="AZ279">
            <v>10673.829304927929</v>
          </cell>
          <cell r="BA279">
            <v>5391.9531329112488</v>
          </cell>
          <cell r="BB279">
            <v>5364.2328877734153</v>
          </cell>
          <cell r="BC279">
            <v>10756.186020684663</v>
          </cell>
          <cell r="BD279">
            <v>5524.3771066148029</v>
          </cell>
          <cell r="BE279">
            <v>5543.7137199867193</v>
          </cell>
          <cell r="BF279">
            <v>11068.090826601521</v>
          </cell>
          <cell r="BG279">
            <v>5809.5287375289372</v>
          </cell>
          <cell r="BH279">
            <v>5936.9534936328637</v>
          </cell>
          <cell r="BI279">
            <v>11746.482231161803</v>
          </cell>
          <cell r="BJ279">
            <v>6139.5489973077947</v>
          </cell>
          <cell r="BK279">
            <v>6273.6218072537686</v>
          </cell>
          <cell r="BL279">
            <v>12413.170804561561</v>
          </cell>
          <cell r="BM279">
            <v>6315.3344823642501</v>
          </cell>
          <cell r="BN279">
            <v>6268.3837179184766</v>
          </cell>
          <cell r="BO279">
            <v>12583.718200282729</v>
          </cell>
          <cell r="BP279">
            <v>6363.6995307109764</v>
          </cell>
          <cell r="BQ279">
            <v>6273.8492875510547</v>
          </cell>
          <cell r="BR279">
            <v>12637.548818262034</v>
          </cell>
          <cell r="BS279">
            <v>6413.1503263109544</v>
          </cell>
          <cell r="BT279">
            <v>6392.1784164970222</v>
          </cell>
          <cell r="BU279">
            <v>12805.328742807978</v>
          </cell>
          <cell r="BV279">
            <v>6545.4484515270588</v>
          </cell>
          <cell r="BW279">
            <v>6558.0914217894115</v>
          </cell>
          <cell r="BX279">
            <v>13103.539873316467</v>
          </cell>
        </row>
        <row r="280">
          <cell r="B280" t="str">
            <v>% Operating profits from Domestic Markets</v>
          </cell>
          <cell r="C280" t="str">
            <v>PCT_DOM_OP</v>
          </cell>
        </row>
        <row r="281">
          <cell r="B281" t="str">
            <v>% Operating profits from Emerging Markets</v>
          </cell>
          <cell r="C281" t="str">
            <v>PCT_EMER_OP</v>
          </cell>
        </row>
        <row r="282">
          <cell r="B282" t="str">
            <v>% Operating profits from Europe</v>
          </cell>
          <cell r="C282" t="str">
            <v>PCT_EURO_OP</v>
          </cell>
        </row>
        <row r="283">
          <cell r="B283" t="str">
            <v>% Operating profits from North America</v>
          </cell>
          <cell r="C283" t="str">
            <v>PCT_NAM_OP</v>
          </cell>
        </row>
        <row r="284">
          <cell r="B284" t="str">
            <v>% Operating profits from Latin America</v>
          </cell>
          <cell r="C284" t="str">
            <v>PCT_LATAM_OP</v>
          </cell>
        </row>
        <row r="285">
          <cell r="B285" t="str">
            <v>% Operating profits from Asia</v>
          </cell>
          <cell r="C285" t="str">
            <v>PCT_ASIA_OP</v>
          </cell>
        </row>
        <row r="286">
          <cell r="B286" t="str">
            <v>% Operating profits from other Markets</v>
          </cell>
          <cell r="C286" t="str">
            <v>PCT_OTH_OP</v>
          </cell>
        </row>
        <row r="287">
          <cell r="A287" t="str">
            <v>Assets Breakdown Data</v>
          </cell>
        </row>
        <row r="288">
          <cell r="B288" t="str">
            <v>Assets from domestic market</v>
          </cell>
          <cell r="C288" t="str">
            <v>DOM_ASS</v>
          </cell>
          <cell r="D288" t="str">
            <v>AUD</v>
          </cell>
          <cell r="F288">
            <v>299578</v>
          </cell>
          <cell r="G288">
            <v>374821</v>
          </cell>
          <cell r="H288">
            <v>587114</v>
          </cell>
          <cell r="I288">
            <v>589587</v>
          </cell>
          <cell r="J288">
            <v>618277</v>
          </cell>
          <cell r="K288">
            <v>670228</v>
          </cell>
          <cell r="L288">
            <v>674965</v>
          </cell>
          <cell r="M288">
            <v>701097</v>
          </cell>
          <cell r="N288">
            <v>729375</v>
          </cell>
          <cell r="O288">
            <v>770842</v>
          </cell>
          <cell r="P288">
            <v>770842</v>
          </cell>
          <cell r="Q288">
            <v>795961</v>
          </cell>
          <cell r="R288">
            <v>812156</v>
          </cell>
          <cell r="S288">
            <v>812156</v>
          </cell>
          <cell r="T288">
            <v>831760</v>
          </cell>
          <cell r="U288">
            <v>839202</v>
          </cell>
          <cell r="V288">
            <v>839202</v>
          </cell>
          <cell r="W288">
            <v>839993</v>
          </cell>
          <cell r="X288">
            <v>851875</v>
          </cell>
          <cell r="Y288">
            <v>851875</v>
          </cell>
          <cell r="Z288">
            <v>871855</v>
          </cell>
          <cell r="AA288">
            <v>879592</v>
          </cell>
          <cell r="AB288">
            <v>879592</v>
          </cell>
          <cell r="AC288">
            <v>891062</v>
          </cell>
          <cell r="AD288">
            <v>906626</v>
          </cell>
          <cell r="AE288">
            <v>906626</v>
          </cell>
          <cell r="AF288">
            <v>967662</v>
          </cell>
          <cell r="AG288">
            <v>911946</v>
          </cell>
          <cell r="AH288">
            <v>911946</v>
          </cell>
          <cell r="AI288">
            <v>889459</v>
          </cell>
          <cell r="AJ288">
            <v>935877</v>
          </cell>
          <cell r="AK288">
            <v>935877</v>
          </cell>
          <cell r="AL288">
            <v>964749</v>
          </cell>
          <cell r="AM288">
            <v>1014198</v>
          </cell>
          <cell r="AN288">
            <v>1014198</v>
          </cell>
          <cell r="AO288">
            <v>1019108</v>
          </cell>
          <cell r="AP288">
            <v>1029774</v>
          </cell>
          <cell r="AQ288">
            <v>1029774</v>
          </cell>
          <cell r="AR288">
            <v>1052661</v>
          </cell>
          <cell r="AS288">
            <v>1077544</v>
          </cell>
          <cell r="AT288">
            <v>1077544</v>
          </cell>
          <cell r="AU288">
            <v>1098893</v>
          </cell>
          <cell r="AV288" t="e">
            <v>#N/A</v>
          </cell>
          <cell r="AW288" t="e">
            <v>#N/A</v>
          </cell>
          <cell r="AX288">
            <v>1167598.5272954246</v>
          </cell>
          <cell r="AY288">
            <v>1197470.1430836404</v>
          </cell>
          <cell r="AZ288">
            <v>1197470.1430836404</v>
          </cell>
          <cell r="BA288">
            <v>1227867.5533099398</v>
          </cell>
          <cell r="BB288">
            <v>1259143.7671376455</v>
          </cell>
          <cell r="BC288">
            <v>1259143.7671376455</v>
          </cell>
          <cell r="BD288">
            <v>1289060.8070879313</v>
          </cell>
          <cell r="BE288">
            <v>1319270.6878583268</v>
          </cell>
          <cell r="BF288">
            <v>1319270.6878583268</v>
          </cell>
          <cell r="BG288">
            <v>1348765.0619568762</v>
          </cell>
          <cell r="BH288">
            <v>1377468.3129323614</v>
          </cell>
          <cell r="BI288">
            <v>1377468.3129323614</v>
          </cell>
          <cell r="BJ288">
            <v>1404803.363240375</v>
          </cell>
          <cell r="BK288">
            <v>1430634.4290370746</v>
          </cell>
          <cell r="BL288">
            <v>1430634.4290370746</v>
          </cell>
          <cell r="BM288">
            <v>1457892.0433995817</v>
          </cell>
          <cell r="BN288">
            <v>1486548.1808211941</v>
          </cell>
          <cell r="BO288">
            <v>1486548.1808211941</v>
          </cell>
          <cell r="BP288">
            <v>1515773.0972543431</v>
          </cell>
          <cell r="BQ288">
            <v>1545578.1442309732</v>
          </cell>
          <cell r="BR288">
            <v>1545578.1442309732</v>
          </cell>
          <cell r="BS288">
            <v>1575974.9005333181</v>
          </cell>
          <cell r="BT288">
            <v>1606975.1767511992</v>
          </cell>
          <cell r="BU288">
            <v>1606975.1767511992</v>
          </cell>
          <cell r="BV288">
            <v>1638591.0199308023</v>
          </cell>
          <cell r="BW288">
            <v>1670834.7183167797</v>
          </cell>
          <cell r="BX288">
            <v>1670834.7183167797</v>
          </cell>
        </row>
        <row r="289">
          <cell r="B289" t="str">
            <v>Assets from emerging markets</v>
          </cell>
          <cell r="C289" t="str">
            <v>EMER_ASS</v>
          </cell>
          <cell r="D289" t="str">
            <v>AUD</v>
          </cell>
        </row>
        <row r="290">
          <cell r="B290" t="str">
            <v>Assets from Europe</v>
          </cell>
          <cell r="C290" t="str">
            <v>EUR_ASS</v>
          </cell>
          <cell r="D290" t="str">
            <v>AUD</v>
          </cell>
        </row>
        <row r="291">
          <cell r="B291" t="str">
            <v>Assets from North America</v>
          </cell>
          <cell r="C291" t="str">
            <v>NAM_ASS</v>
          </cell>
          <cell r="D291" t="str">
            <v>AUD</v>
          </cell>
        </row>
        <row r="292">
          <cell r="B292" t="str">
            <v>Assets from Latin America</v>
          </cell>
          <cell r="C292" t="str">
            <v>LATAM_ASS</v>
          </cell>
          <cell r="D292" t="str">
            <v>AUD</v>
          </cell>
        </row>
        <row r="293">
          <cell r="B293" t="str">
            <v>Assets from Asia</v>
          </cell>
          <cell r="C293" t="str">
            <v>ASIA_ASS</v>
          </cell>
          <cell r="D293" t="str">
            <v>AUD</v>
          </cell>
        </row>
        <row r="294">
          <cell r="B294" t="str">
            <v>Assets from other markets</v>
          </cell>
          <cell r="C294" t="str">
            <v>OTH_ASS</v>
          </cell>
          <cell r="D294" t="str">
            <v>AUD</v>
          </cell>
        </row>
        <row r="295">
          <cell r="B295" t="str">
            <v>Total assets</v>
          </cell>
          <cell r="C295" t="str">
            <v>TOT_ASS</v>
          </cell>
          <cell r="D295" t="str">
            <v>AUD</v>
          </cell>
          <cell r="F295">
            <v>299578</v>
          </cell>
          <cell r="G295">
            <v>374821</v>
          </cell>
          <cell r="H295">
            <v>587114</v>
          </cell>
          <cell r="I295">
            <v>589587</v>
          </cell>
          <cell r="J295">
            <v>618277</v>
          </cell>
          <cell r="K295">
            <v>670228</v>
          </cell>
          <cell r="L295">
            <v>674965</v>
          </cell>
          <cell r="M295">
            <v>701097</v>
          </cell>
          <cell r="N295">
            <v>729375</v>
          </cell>
          <cell r="O295">
            <v>770842</v>
          </cell>
          <cell r="P295">
            <v>770842</v>
          </cell>
          <cell r="Q295">
            <v>795961</v>
          </cell>
          <cell r="R295">
            <v>812156</v>
          </cell>
          <cell r="S295">
            <v>812156</v>
          </cell>
          <cell r="T295">
            <v>831760</v>
          </cell>
          <cell r="U295">
            <v>839202</v>
          </cell>
          <cell r="V295">
            <v>839202</v>
          </cell>
          <cell r="W295">
            <v>839993</v>
          </cell>
          <cell r="X295">
            <v>851875</v>
          </cell>
          <cell r="Y295">
            <v>851875</v>
          </cell>
          <cell r="Z295">
            <v>871855</v>
          </cell>
          <cell r="AA295">
            <v>879592</v>
          </cell>
          <cell r="AB295">
            <v>879592</v>
          </cell>
          <cell r="AC295">
            <v>891062</v>
          </cell>
          <cell r="AD295">
            <v>906626</v>
          </cell>
          <cell r="AE295">
            <v>906626</v>
          </cell>
          <cell r="AF295">
            <v>967662</v>
          </cell>
          <cell r="AG295">
            <v>911946</v>
          </cell>
          <cell r="AH295">
            <v>911946</v>
          </cell>
          <cell r="AI295">
            <v>889459</v>
          </cell>
          <cell r="AJ295">
            <v>935877</v>
          </cell>
          <cell r="AK295">
            <v>935877</v>
          </cell>
          <cell r="AL295">
            <v>964749</v>
          </cell>
          <cell r="AM295">
            <v>1014198</v>
          </cell>
          <cell r="AN295">
            <v>1014198</v>
          </cell>
          <cell r="AO295">
            <v>1019108</v>
          </cell>
          <cell r="AP295">
            <v>1029774</v>
          </cell>
          <cell r="AQ295">
            <v>1029774</v>
          </cell>
          <cell r="AR295">
            <v>1052661</v>
          </cell>
          <cell r="AS295">
            <v>1077544</v>
          </cell>
          <cell r="AT295">
            <v>1077544</v>
          </cell>
          <cell r="AU295">
            <v>1098893</v>
          </cell>
          <cell r="AV295" t="e">
            <v>#N/A</v>
          </cell>
          <cell r="AW295" t="e">
            <v>#N/A</v>
          </cell>
          <cell r="AX295">
            <v>1167598.5272954246</v>
          </cell>
          <cell r="AY295">
            <v>1197470.1430836404</v>
          </cell>
          <cell r="AZ295">
            <v>1197470.1430836404</v>
          </cell>
          <cell r="BA295">
            <v>1227867.5533099398</v>
          </cell>
          <cell r="BB295">
            <v>1259143.7671376455</v>
          </cell>
          <cell r="BC295">
            <v>1259143.7671376455</v>
          </cell>
          <cell r="BD295">
            <v>1289060.8070879313</v>
          </cell>
          <cell r="BE295">
            <v>1319270.6878583268</v>
          </cell>
          <cell r="BF295">
            <v>1319270.6878583268</v>
          </cell>
          <cell r="BG295">
            <v>1348765.0619568762</v>
          </cell>
          <cell r="BH295">
            <v>1377468.3129323614</v>
          </cell>
          <cell r="BI295">
            <v>1377468.3129323614</v>
          </cell>
          <cell r="BJ295">
            <v>1404803.363240375</v>
          </cell>
          <cell r="BK295">
            <v>1430634.4290370746</v>
          </cell>
          <cell r="BL295">
            <v>1430634.4290370746</v>
          </cell>
          <cell r="BM295">
            <v>1457892.0433995817</v>
          </cell>
          <cell r="BN295">
            <v>1486548.1808211941</v>
          </cell>
          <cell r="BO295">
            <v>1486548.1808211941</v>
          </cell>
          <cell r="BP295">
            <v>1515773.0972543431</v>
          </cell>
          <cell r="BQ295">
            <v>1545578.1442309732</v>
          </cell>
          <cell r="BR295">
            <v>1545578.1442309732</v>
          </cell>
          <cell r="BS295">
            <v>1575974.9005333181</v>
          </cell>
          <cell r="BT295">
            <v>1606975.1767511992</v>
          </cell>
          <cell r="BU295">
            <v>1606975.1767511992</v>
          </cell>
          <cell r="BV295">
            <v>1638591.0199308023</v>
          </cell>
          <cell r="BW295">
            <v>1670834.7183167797</v>
          </cell>
          <cell r="BX295">
            <v>1670834.7183167797</v>
          </cell>
        </row>
        <row r="296">
          <cell r="B296" t="str">
            <v>% Assets from Domestic markets</v>
          </cell>
          <cell r="C296" t="str">
            <v>PCT_DOM_ASS</v>
          </cell>
        </row>
        <row r="297">
          <cell r="B297" t="str">
            <v>% Assets from Emerging markets</v>
          </cell>
          <cell r="C297" t="str">
            <v>PCT_EMER_ASS</v>
          </cell>
        </row>
        <row r="298">
          <cell r="B298" t="str">
            <v>% Assets from Europe</v>
          </cell>
          <cell r="C298" t="str">
            <v>PCT_EURO_ASS</v>
          </cell>
        </row>
        <row r="299">
          <cell r="B299" t="str">
            <v>% Assets from North America</v>
          </cell>
          <cell r="C299" t="str">
            <v>PCT_NAM_ASS</v>
          </cell>
        </row>
        <row r="300">
          <cell r="B300" t="str">
            <v>% Assets from Latin America</v>
          </cell>
          <cell r="C300" t="str">
            <v>PCT_LATAM_ASS</v>
          </cell>
        </row>
        <row r="301">
          <cell r="B301" t="str">
            <v>% Assets from Asia</v>
          </cell>
          <cell r="C301" t="str">
            <v>PCT_ASIA_ASS</v>
          </cell>
        </row>
        <row r="302">
          <cell r="B302" t="str">
            <v>% Assets from other markets</v>
          </cell>
          <cell r="C302" t="str">
            <v>PCT_OTH_ASS</v>
          </cell>
        </row>
        <row r="303">
          <cell r="A303" t="str">
            <v>Geographical Breakdown</v>
          </cell>
        </row>
        <row r="304">
          <cell r="B304" t="str">
            <v>Sales - % Canada</v>
          </cell>
          <cell r="C304" t="str">
            <v>SALES_CANADA</v>
          </cell>
          <cell r="M304">
            <v>0</v>
          </cell>
          <cell r="P304">
            <v>0</v>
          </cell>
          <cell r="S304">
            <v>0</v>
          </cell>
          <cell r="V304">
            <v>0</v>
          </cell>
          <cell r="Y304">
            <v>0</v>
          </cell>
          <cell r="AB304">
            <v>0</v>
          </cell>
          <cell r="AE304">
            <v>0</v>
          </cell>
        </row>
        <row r="305">
          <cell r="B305" t="str">
            <v>Sales - % United States</v>
          </cell>
          <cell r="C305" t="str">
            <v>SALES_US</v>
          </cell>
          <cell r="M305">
            <v>0</v>
          </cell>
          <cell r="P305">
            <v>0</v>
          </cell>
          <cell r="S305">
            <v>0</v>
          </cell>
          <cell r="V305">
            <v>0</v>
          </cell>
          <cell r="Y305">
            <v>0</v>
          </cell>
          <cell r="AB305">
            <v>0</v>
          </cell>
          <cell r="AE305">
            <v>0</v>
          </cell>
        </row>
        <row r="306">
          <cell r="B306" t="str">
            <v>Sales - % Other North Americas</v>
          </cell>
          <cell r="C306" t="str">
            <v>SALES_OTH_NO_AMER</v>
          </cell>
          <cell r="M306">
            <v>0</v>
          </cell>
          <cell r="P306">
            <v>0</v>
          </cell>
          <cell r="S306">
            <v>0</v>
          </cell>
          <cell r="V306">
            <v>0</v>
          </cell>
          <cell r="Y306">
            <v>0</v>
          </cell>
          <cell r="AB306">
            <v>0</v>
          </cell>
          <cell r="AE306">
            <v>0</v>
          </cell>
        </row>
        <row r="307">
          <cell r="B307" t="str">
            <v>Sales - % Argentina</v>
          </cell>
          <cell r="C307" t="str">
            <v>SALES_ARGENTINA</v>
          </cell>
          <cell r="M307">
            <v>0</v>
          </cell>
          <cell r="P307">
            <v>0</v>
          </cell>
          <cell r="S307">
            <v>0</v>
          </cell>
          <cell r="V307">
            <v>0</v>
          </cell>
          <cell r="Y307">
            <v>0</v>
          </cell>
          <cell r="AB307">
            <v>0</v>
          </cell>
          <cell r="AE307">
            <v>0</v>
          </cell>
        </row>
        <row r="308">
          <cell r="B308" t="str">
            <v>Sales - % Brazil</v>
          </cell>
          <cell r="C308" t="str">
            <v>SALES_BRAZIL</v>
          </cell>
          <cell r="M308">
            <v>0</v>
          </cell>
          <cell r="P308">
            <v>0</v>
          </cell>
          <cell r="S308">
            <v>0</v>
          </cell>
          <cell r="V308">
            <v>0</v>
          </cell>
          <cell r="Y308">
            <v>0</v>
          </cell>
          <cell r="AB308">
            <v>0</v>
          </cell>
          <cell r="AE308">
            <v>0</v>
          </cell>
        </row>
        <row r="309">
          <cell r="B309" t="str">
            <v>Sales - % Chile</v>
          </cell>
          <cell r="C309" t="str">
            <v>SALES_CHILE</v>
          </cell>
          <cell r="M309">
            <v>0</v>
          </cell>
          <cell r="P309">
            <v>0</v>
          </cell>
          <cell r="S309">
            <v>0</v>
          </cell>
          <cell r="V309">
            <v>0</v>
          </cell>
          <cell r="Y309">
            <v>0</v>
          </cell>
          <cell r="AB309">
            <v>0</v>
          </cell>
          <cell r="AE309">
            <v>0</v>
          </cell>
        </row>
        <row r="310">
          <cell r="B310" t="str">
            <v>Sales - % Colombia</v>
          </cell>
          <cell r="C310" t="str">
            <v>SALES_COLOMBIA</v>
          </cell>
          <cell r="M310">
            <v>0</v>
          </cell>
          <cell r="P310">
            <v>0</v>
          </cell>
          <cell r="S310">
            <v>0</v>
          </cell>
          <cell r="V310">
            <v>0</v>
          </cell>
          <cell r="Y310">
            <v>0</v>
          </cell>
          <cell r="AB310">
            <v>0</v>
          </cell>
          <cell r="AE310">
            <v>0</v>
          </cell>
        </row>
        <row r="311">
          <cell r="B311" t="str">
            <v>Sales - % Mexico</v>
          </cell>
          <cell r="C311" t="str">
            <v>SALES_MEXICO</v>
          </cell>
          <cell r="M311">
            <v>0</v>
          </cell>
          <cell r="P311">
            <v>0</v>
          </cell>
          <cell r="S311">
            <v>0</v>
          </cell>
          <cell r="V311">
            <v>0</v>
          </cell>
          <cell r="Y311">
            <v>0</v>
          </cell>
          <cell r="AB311">
            <v>0</v>
          </cell>
          <cell r="AE311">
            <v>0</v>
          </cell>
        </row>
        <row r="312">
          <cell r="B312" t="str">
            <v>Sales - % Venezuela</v>
          </cell>
          <cell r="C312" t="str">
            <v>SALES_VENEZUELA</v>
          </cell>
          <cell r="M312">
            <v>0</v>
          </cell>
          <cell r="P312">
            <v>0</v>
          </cell>
          <cell r="S312">
            <v>0</v>
          </cell>
          <cell r="V312">
            <v>0</v>
          </cell>
          <cell r="Y312">
            <v>0</v>
          </cell>
          <cell r="AB312">
            <v>0</v>
          </cell>
          <cell r="AE312">
            <v>0</v>
          </cell>
        </row>
        <row r="313">
          <cell r="B313" t="str">
            <v>Sales - % Other Latin Americas</v>
          </cell>
          <cell r="C313" t="str">
            <v>SALES_OTH_LATAM</v>
          </cell>
          <cell r="M313">
            <v>0</v>
          </cell>
          <cell r="P313">
            <v>0</v>
          </cell>
          <cell r="S313">
            <v>0</v>
          </cell>
          <cell r="V313">
            <v>0</v>
          </cell>
          <cell r="Y313">
            <v>0</v>
          </cell>
          <cell r="AB313">
            <v>0</v>
          </cell>
          <cell r="AE313">
            <v>0</v>
          </cell>
        </row>
        <row r="314">
          <cell r="B314" t="str">
            <v>Sales - % Austria</v>
          </cell>
          <cell r="C314" t="str">
            <v>SALES_AUSTRIA</v>
          </cell>
          <cell r="M314">
            <v>0</v>
          </cell>
          <cell r="P314">
            <v>0</v>
          </cell>
          <cell r="S314">
            <v>0</v>
          </cell>
          <cell r="V314">
            <v>0</v>
          </cell>
          <cell r="Y314">
            <v>0</v>
          </cell>
          <cell r="AB314">
            <v>0</v>
          </cell>
          <cell r="AE314">
            <v>0</v>
          </cell>
        </row>
        <row r="315">
          <cell r="B315" t="str">
            <v>Sales - % Belgium</v>
          </cell>
          <cell r="C315" t="str">
            <v>SALES_BEL</v>
          </cell>
          <cell r="M315">
            <v>0</v>
          </cell>
          <cell r="P315">
            <v>0</v>
          </cell>
          <cell r="S315">
            <v>0</v>
          </cell>
          <cell r="V315">
            <v>0</v>
          </cell>
          <cell r="Y315">
            <v>0</v>
          </cell>
          <cell r="AB315">
            <v>0</v>
          </cell>
          <cell r="AE315">
            <v>0</v>
          </cell>
        </row>
        <row r="316">
          <cell r="B316" t="str">
            <v>Sales - % France</v>
          </cell>
          <cell r="C316" t="str">
            <v>SALES_FRA</v>
          </cell>
          <cell r="M316">
            <v>0</v>
          </cell>
          <cell r="P316">
            <v>0</v>
          </cell>
          <cell r="S316">
            <v>0</v>
          </cell>
          <cell r="V316">
            <v>0</v>
          </cell>
          <cell r="Y316">
            <v>0</v>
          </cell>
          <cell r="AB316">
            <v>0</v>
          </cell>
          <cell r="AE316">
            <v>0</v>
          </cell>
        </row>
        <row r="317">
          <cell r="B317" t="str">
            <v>Sales - % Germany</v>
          </cell>
          <cell r="C317" t="str">
            <v>SALES_GER</v>
          </cell>
          <cell r="M317">
            <v>0</v>
          </cell>
          <cell r="P317">
            <v>0</v>
          </cell>
          <cell r="S317">
            <v>0</v>
          </cell>
          <cell r="V317">
            <v>0</v>
          </cell>
          <cell r="Y317">
            <v>0</v>
          </cell>
          <cell r="AB317">
            <v>0</v>
          </cell>
          <cell r="AE317">
            <v>0</v>
          </cell>
        </row>
        <row r="318">
          <cell r="B318" t="str">
            <v>Sales - % Greece</v>
          </cell>
          <cell r="C318" t="str">
            <v>SALES_GRE</v>
          </cell>
          <cell r="M318">
            <v>0</v>
          </cell>
          <cell r="P318">
            <v>0</v>
          </cell>
          <cell r="S318">
            <v>0</v>
          </cell>
          <cell r="V318">
            <v>0</v>
          </cell>
          <cell r="Y318">
            <v>0</v>
          </cell>
          <cell r="AB318">
            <v>0</v>
          </cell>
          <cell r="AE318">
            <v>0</v>
          </cell>
        </row>
        <row r="319">
          <cell r="B319" t="str">
            <v>Sales - % Ireland</v>
          </cell>
          <cell r="C319" t="str">
            <v>SALES_IRE</v>
          </cell>
          <cell r="M319">
            <v>0</v>
          </cell>
          <cell r="P319">
            <v>0</v>
          </cell>
          <cell r="S319">
            <v>0</v>
          </cell>
          <cell r="V319">
            <v>0</v>
          </cell>
          <cell r="Y319">
            <v>0</v>
          </cell>
          <cell r="AB319">
            <v>0</v>
          </cell>
          <cell r="AE319">
            <v>0</v>
          </cell>
        </row>
        <row r="320">
          <cell r="B320" t="str">
            <v>Sales - % Italy</v>
          </cell>
          <cell r="C320" t="str">
            <v>SALES_ITA</v>
          </cell>
          <cell r="M320">
            <v>0</v>
          </cell>
          <cell r="P320">
            <v>0</v>
          </cell>
          <cell r="S320">
            <v>0</v>
          </cell>
          <cell r="V320">
            <v>0</v>
          </cell>
          <cell r="Y320">
            <v>0</v>
          </cell>
          <cell r="AB320">
            <v>0</v>
          </cell>
          <cell r="AE320">
            <v>0</v>
          </cell>
        </row>
        <row r="321">
          <cell r="B321" t="str">
            <v>Sales - % Netherlands</v>
          </cell>
          <cell r="C321" t="str">
            <v>SALES_NETH</v>
          </cell>
          <cell r="M321">
            <v>0</v>
          </cell>
          <cell r="P321">
            <v>0</v>
          </cell>
          <cell r="S321">
            <v>0</v>
          </cell>
          <cell r="V321">
            <v>0</v>
          </cell>
          <cell r="Y321">
            <v>0</v>
          </cell>
          <cell r="AB321">
            <v>0</v>
          </cell>
          <cell r="AE321">
            <v>0</v>
          </cell>
        </row>
        <row r="322">
          <cell r="B322" t="str">
            <v>Sales - % Norway</v>
          </cell>
          <cell r="C322" t="str">
            <v>SALES_NOR</v>
          </cell>
          <cell r="M322">
            <v>0</v>
          </cell>
          <cell r="P322">
            <v>0</v>
          </cell>
          <cell r="S322">
            <v>0</v>
          </cell>
          <cell r="V322">
            <v>0</v>
          </cell>
          <cell r="Y322">
            <v>0</v>
          </cell>
          <cell r="AB322">
            <v>0</v>
          </cell>
          <cell r="AE322">
            <v>0</v>
          </cell>
        </row>
        <row r="323">
          <cell r="B323" t="str">
            <v>Sales - % Portugal</v>
          </cell>
          <cell r="C323" t="str">
            <v>SALES_POR</v>
          </cell>
          <cell r="M323">
            <v>0</v>
          </cell>
          <cell r="P323">
            <v>0</v>
          </cell>
          <cell r="S323">
            <v>0</v>
          </cell>
          <cell r="V323">
            <v>0</v>
          </cell>
          <cell r="Y323">
            <v>0</v>
          </cell>
          <cell r="AB323">
            <v>0</v>
          </cell>
          <cell r="AE323">
            <v>0</v>
          </cell>
        </row>
        <row r="324">
          <cell r="B324" t="str">
            <v>Sales - % Spain</v>
          </cell>
          <cell r="C324" t="str">
            <v>SALES_SPA</v>
          </cell>
          <cell r="M324">
            <v>0</v>
          </cell>
          <cell r="P324">
            <v>0</v>
          </cell>
          <cell r="S324">
            <v>0</v>
          </cell>
          <cell r="V324">
            <v>0</v>
          </cell>
          <cell r="Y324">
            <v>0</v>
          </cell>
          <cell r="AB324">
            <v>0</v>
          </cell>
          <cell r="AE324">
            <v>0</v>
          </cell>
        </row>
        <row r="325">
          <cell r="B325" t="str">
            <v>Sales - % Sweden</v>
          </cell>
          <cell r="C325" t="str">
            <v>SALES_SWE</v>
          </cell>
          <cell r="M325">
            <v>0</v>
          </cell>
          <cell r="P325">
            <v>0</v>
          </cell>
          <cell r="S325">
            <v>0</v>
          </cell>
          <cell r="V325">
            <v>0</v>
          </cell>
          <cell r="Y325">
            <v>0</v>
          </cell>
          <cell r="AB325">
            <v>0</v>
          </cell>
          <cell r="AE325">
            <v>0</v>
          </cell>
        </row>
        <row r="326">
          <cell r="B326" t="str">
            <v>Sales - % Switzerland</v>
          </cell>
          <cell r="C326" t="str">
            <v>SALES_SWIT</v>
          </cell>
          <cell r="M326">
            <v>0</v>
          </cell>
          <cell r="P326">
            <v>0</v>
          </cell>
          <cell r="S326">
            <v>0</v>
          </cell>
          <cell r="V326">
            <v>0</v>
          </cell>
          <cell r="Y326">
            <v>0</v>
          </cell>
          <cell r="AB326">
            <v>0</v>
          </cell>
          <cell r="AE326">
            <v>0</v>
          </cell>
        </row>
        <row r="327">
          <cell r="B327" t="str">
            <v>Sales - % UK</v>
          </cell>
          <cell r="C327" t="str">
            <v>SALES_UK</v>
          </cell>
          <cell r="M327">
            <v>0</v>
          </cell>
          <cell r="P327">
            <v>0</v>
          </cell>
          <cell r="S327">
            <v>0</v>
          </cell>
          <cell r="V327">
            <v>0</v>
          </cell>
          <cell r="Y327">
            <v>0</v>
          </cell>
          <cell r="AB327">
            <v>0</v>
          </cell>
          <cell r="AE327">
            <v>0</v>
          </cell>
        </row>
        <row r="328">
          <cell r="B328" t="str">
            <v>Sales - % Other Western Europe</v>
          </cell>
          <cell r="C328" t="str">
            <v>SALES_OTH_WEST_EURO</v>
          </cell>
          <cell r="M328">
            <v>0</v>
          </cell>
          <cell r="P328">
            <v>0</v>
          </cell>
          <cell r="S328">
            <v>0</v>
          </cell>
          <cell r="V328">
            <v>0</v>
          </cell>
          <cell r="Y328">
            <v>0</v>
          </cell>
          <cell r="AB328">
            <v>0</v>
          </cell>
          <cell r="AE328">
            <v>0</v>
          </cell>
        </row>
        <row r="329">
          <cell r="B329" t="str">
            <v>Sales - % Poland</v>
          </cell>
          <cell r="C329" t="str">
            <v>SALES_POLAND</v>
          </cell>
          <cell r="M329">
            <v>0</v>
          </cell>
          <cell r="P329">
            <v>0</v>
          </cell>
          <cell r="S329">
            <v>0</v>
          </cell>
          <cell r="V329">
            <v>0</v>
          </cell>
          <cell r="Y329">
            <v>0</v>
          </cell>
          <cell r="AB329">
            <v>0</v>
          </cell>
          <cell r="AE329">
            <v>0</v>
          </cell>
        </row>
        <row r="330">
          <cell r="B330" t="str">
            <v>Sales - % Russia</v>
          </cell>
          <cell r="C330" t="str">
            <v>SALES_RUSSIA</v>
          </cell>
          <cell r="M330">
            <v>0</v>
          </cell>
          <cell r="P330">
            <v>0</v>
          </cell>
          <cell r="S330">
            <v>0</v>
          </cell>
          <cell r="V330">
            <v>0</v>
          </cell>
          <cell r="Y330">
            <v>0</v>
          </cell>
          <cell r="AB330">
            <v>0</v>
          </cell>
          <cell r="AE330">
            <v>0</v>
          </cell>
        </row>
        <row r="331">
          <cell r="B331" t="str">
            <v>Sales - % Turkey</v>
          </cell>
          <cell r="C331" t="str">
            <v>SALES_TURKEY</v>
          </cell>
          <cell r="M331">
            <v>0</v>
          </cell>
          <cell r="P331">
            <v>0</v>
          </cell>
          <cell r="S331">
            <v>0</v>
          </cell>
          <cell r="V331">
            <v>0</v>
          </cell>
          <cell r="Y331">
            <v>0</v>
          </cell>
          <cell r="AB331">
            <v>0</v>
          </cell>
          <cell r="AE331">
            <v>0</v>
          </cell>
        </row>
        <row r="332">
          <cell r="B332" t="str">
            <v>Sales - % Other CEE</v>
          </cell>
          <cell r="C332" t="str">
            <v>SALES_OTH_CEE</v>
          </cell>
          <cell r="M332">
            <v>0</v>
          </cell>
          <cell r="P332">
            <v>0</v>
          </cell>
          <cell r="S332">
            <v>0</v>
          </cell>
          <cell r="V332">
            <v>0</v>
          </cell>
          <cell r="Y332">
            <v>0</v>
          </cell>
          <cell r="AB332">
            <v>0</v>
          </cell>
          <cell r="AE332">
            <v>0</v>
          </cell>
        </row>
        <row r="333">
          <cell r="B333" t="str">
            <v>Sales - % Saudi Arabia</v>
          </cell>
          <cell r="C333" t="str">
            <v>SALES_SAUDI_ARABIA</v>
          </cell>
          <cell r="M333">
            <v>0</v>
          </cell>
          <cell r="P333">
            <v>0</v>
          </cell>
          <cell r="S333">
            <v>0</v>
          </cell>
          <cell r="V333">
            <v>0</v>
          </cell>
          <cell r="Y333">
            <v>0</v>
          </cell>
          <cell r="AB333">
            <v>0</v>
          </cell>
          <cell r="AE333">
            <v>0</v>
          </cell>
        </row>
        <row r="334">
          <cell r="B334" t="str">
            <v>Sales - % United Arab Emirates</v>
          </cell>
          <cell r="C334" t="str">
            <v>SALES_UAE</v>
          </cell>
          <cell r="M334">
            <v>0</v>
          </cell>
          <cell r="P334">
            <v>0</v>
          </cell>
          <cell r="S334">
            <v>0</v>
          </cell>
          <cell r="V334">
            <v>0</v>
          </cell>
          <cell r="Y334">
            <v>0</v>
          </cell>
          <cell r="AB334">
            <v>0</v>
          </cell>
          <cell r="AE334">
            <v>0</v>
          </cell>
        </row>
        <row r="335">
          <cell r="B335" t="str">
            <v>Sales - % Other Middle East</v>
          </cell>
          <cell r="C335" t="str">
            <v>SALES_OTH_ME</v>
          </cell>
          <cell r="M335">
            <v>0</v>
          </cell>
          <cell r="P335">
            <v>0</v>
          </cell>
          <cell r="S335">
            <v>0</v>
          </cell>
          <cell r="V335">
            <v>0</v>
          </cell>
          <cell r="Y335">
            <v>0</v>
          </cell>
          <cell r="AB335">
            <v>0</v>
          </cell>
          <cell r="AE335">
            <v>0</v>
          </cell>
        </row>
        <row r="336">
          <cell r="B336" t="str">
            <v>Sales - % Nigeria</v>
          </cell>
          <cell r="C336" t="str">
            <v>SALES_NIGERIA</v>
          </cell>
          <cell r="M336">
            <v>0</v>
          </cell>
          <cell r="P336">
            <v>0</v>
          </cell>
          <cell r="S336">
            <v>0</v>
          </cell>
          <cell r="V336">
            <v>0</v>
          </cell>
          <cell r="Y336">
            <v>0</v>
          </cell>
          <cell r="AB336">
            <v>0</v>
          </cell>
          <cell r="AE336">
            <v>0</v>
          </cell>
        </row>
        <row r="337">
          <cell r="B337" t="str">
            <v>Sales - % South Africa</v>
          </cell>
          <cell r="C337" t="str">
            <v>SALES_SO_AFRICA</v>
          </cell>
          <cell r="M337">
            <v>0</v>
          </cell>
          <cell r="P337">
            <v>0</v>
          </cell>
          <cell r="S337">
            <v>0</v>
          </cell>
          <cell r="V337">
            <v>0</v>
          </cell>
          <cell r="Y337">
            <v>0</v>
          </cell>
          <cell r="AB337">
            <v>0</v>
          </cell>
          <cell r="AE337">
            <v>0</v>
          </cell>
        </row>
        <row r="338">
          <cell r="B338" t="str">
            <v>Sales - % Other Africa</v>
          </cell>
          <cell r="C338" t="str">
            <v>SALES_OTH_AFRICA</v>
          </cell>
          <cell r="M338">
            <v>0</v>
          </cell>
          <cell r="P338">
            <v>0</v>
          </cell>
          <cell r="S338">
            <v>0</v>
          </cell>
          <cell r="V338">
            <v>0</v>
          </cell>
          <cell r="Y338">
            <v>0</v>
          </cell>
          <cell r="AB338">
            <v>0</v>
          </cell>
          <cell r="AE338">
            <v>0</v>
          </cell>
        </row>
        <row r="339">
          <cell r="B339" t="str">
            <v>Sales - % Hong Kong</v>
          </cell>
          <cell r="C339" t="str">
            <v>SALES_HONG_KONG</v>
          </cell>
          <cell r="M339">
            <v>0</v>
          </cell>
          <cell r="P339">
            <v>0</v>
          </cell>
          <cell r="S339">
            <v>0</v>
          </cell>
          <cell r="V339">
            <v>0</v>
          </cell>
          <cell r="Y339">
            <v>0</v>
          </cell>
          <cell r="AB339">
            <v>0</v>
          </cell>
          <cell r="AE339">
            <v>0</v>
          </cell>
        </row>
        <row r="340">
          <cell r="B340" t="str">
            <v>Sales - % Japan</v>
          </cell>
          <cell r="C340" t="str">
            <v>SALES_JAPAN</v>
          </cell>
          <cell r="M340">
            <v>0</v>
          </cell>
          <cell r="P340">
            <v>0</v>
          </cell>
          <cell r="S340">
            <v>0</v>
          </cell>
          <cell r="V340">
            <v>0</v>
          </cell>
          <cell r="Y340">
            <v>0</v>
          </cell>
          <cell r="AB340">
            <v>0</v>
          </cell>
          <cell r="AE340">
            <v>0</v>
          </cell>
        </row>
        <row r="341">
          <cell r="B341" t="str">
            <v>Sales - % Singapore</v>
          </cell>
          <cell r="C341" t="str">
            <v>SALES_SINGAPORE</v>
          </cell>
          <cell r="M341">
            <v>0</v>
          </cell>
          <cell r="P341">
            <v>0</v>
          </cell>
          <cell r="S341">
            <v>0</v>
          </cell>
          <cell r="V341">
            <v>0</v>
          </cell>
          <cell r="Y341">
            <v>0</v>
          </cell>
          <cell r="AB341">
            <v>0</v>
          </cell>
          <cell r="AE341">
            <v>0</v>
          </cell>
        </row>
        <row r="342">
          <cell r="B342" t="str">
            <v>Sales - % South Korea</v>
          </cell>
          <cell r="C342" t="str">
            <v>SALES_SK</v>
          </cell>
          <cell r="M342">
            <v>0</v>
          </cell>
          <cell r="P342">
            <v>0</v>
          </cell>
          <cell r="S342">
            <v>0</v>
          </cell>
          <cell r="V342">
            <v>0</v>
          </cell>
          <cell r="Y342">
            <v>0</v>
          </cell>
          <cell r="AB342">
            <v>0</v>
          </cell>
          <cell r="AE342">
            <v>0</v>
          </cell>
        </row>
        <row r="343">
          <cell r="B343" t="str">
            <v>Sales - % Taiwan</v>
          </cell>
          <cell r="C343" t="str">
            <v>SALES_TAIWAN</v>
          </cell>
          <cell r="M343">
            <v>0</v>
          </cell>
          <cell r="P343">
            <v>0</v>
          </cell>
          <cell r="S343">
            <v>0</v>
          </cell>
          <cell r="V343">
            <v>0</v>
          </cell>
          <cell r="Y343">
            <v>0</v>
          </cell>
          <cell r="AB343">
            <v>0</v>
          </cell>
          <cell r="AE343">
            <v>0</v>
          </cell>
        </row>
        <row r="344">
          <cell r="B344" t="str">
            <v>Sales - % Other Developed Asia</v>
          </cell>
          <cell r="C344" t="str">
            <v>SALES_OTH_DEV_ASIA</v>
          </cell>
          <cell r="M344">
            <v>0</v>
          </cell>
          <cell r="P344">
            <v>0</v>
          </cell>
          <cell r="S344">
            <v>0</v>
          </cell>
          <cell r="V344">
            <v>0</v>
          </cell>
          <cell r="Y344">
            <v>0</v>
          </cell>
          <cell r="AB344">
            <v>0</v>
          </cell>
          <cell r="AE344">
            <v>0</v>
          </cell>
        </row>
        <row r="345">
          <cell r="B345" t="str">
            <v>Sales - % China</v>
          </cell>
          <cell r="C345" t="str">
            <v>SALES_CHINA</v>
          </cell>
          <cell r="M345">
            <v>0</v>
          </cell>
          <cell r="P345">
            <v>0</v>
          </cell>
          <cell r="S345">
            <v>0</v>
          </cell>
          <cell r="V345">
            <v>0</v>
          </cell>
          <cell r="Y345">
            <v>0</v>
          </cell>
          <cell r="AB345">
            <v>0</v>
          </cell>
          <cell r="AE345">
            <v>0</v>
          </cell>
        </row>
        <row r="346">
          <cell r="B346" t="str">
            <v>Sales - % India</v>
          </cell>
          <cell r="C346" t="str">
            <v>SALES_INDIA</v>
          </cell>
          <cell r="M346">
            <v>0</v>
          </cell>
          <cell r="P346">
            <v>0</v>
          </cell>
          <cell r="S346">
            <v>0</v>
          </cell>
          <cell r="V346">
            <v>0</v>
          </cell>
          <cell r="Y346">
            <v>0</v>
          </cell>
          <cell r="AB346">
            <v>0</v>
          </cell>
          <cell r="AE346">
            <v>0</v>
          </cell>
        </row>
        <row r="347">
          <cell r="B347" t="str">
            <v>Sales - % Indonesia</v>
          </cell>
          <cell r="C347" t="str">
            <v>SALES_INDONESIA</v>
          </cell>
          <cell r="M347">
            <v>0</v>
          </cell>
          <cell r="P347">
            <v>0</v>
          </cell>
          <cell r="S347">
            <v>0</v>
          </cell>
          <cell r="V347">
            <v>0</v>
          </cell>
          <cell r="Y347">
            <v>0</v>
          </cell>
          <cell r="AB347">
            <v>0</v>
          </cell>
          <cell r="AE347">
            <v>0</v>
          </cell>
        </row>
        <row r="348">
          <cell r="B348" t="str">
            <v>Sales - % Thailand</v>
          </cell>
          <cell r="C348" t="str">
            <v>SALES_THAILAND</v>
          </cell>
          <cell r="M348">
            <v>0</v>
          </cell>
          <cell r="P348">
            <v>0</v>
          </cell>
          <cell r="S348">
            <v>0</v>
          </cell>
          <cell r="V348">
            <v>0</v>
          </cell>
          <cell r="Y348">
            <v>0</v>
          </cell>
          <cell r="AB348">
            <v>0</v>
          </cell>
          <cell r="AE348">
            <v>0</v>
          </cell>
        </row>
        <row r="349">
          <cell r="B349" t="str">
            <v>Sales - % Other Emerging Asia</v>
          </cell>
          <cell r="C349" t="str">
            <v>SALES_OTH_EMERG_ASIA</v>
          </cell>
          <cell r="M349">
            <v>0.1</v>
          </cell>
          <cell r="P349">
            <v>0.1</v>
          </cell>
          <cell r="S349">
            <v>0.1</v>
          </cell>
          <cell r="V349">
            <v>0.1</v>
          </cell>
          <cell r="Y349">
            <v>0.1</v>
          </cell>
          <cell r="AB349">
            <v>0.1</v>
          </cell>
          <cell r="AE349">
            <v>0.1</v>
          </cell>
        </row>
        <row r="350">
          <cell r="B350" t="str">
            <v>Sales - % Australia</v>
          </cell>
          <cell r="C350" t="str">
            <v>SALES_AUSTRA</v>
          </cell>
          <cell r="M350">
            <v>0.81132586417458719</v>
          </cell>
          <cell r="P350">
            <v>0.8044904137235116</v>
          </cell>
          <cell r="S350">
            <v>0.80034079844206429</v>
          </cell>
          <cell r="V350">
            <v>0.8039286893364147</v>
          </cell>
          <cell r="Y350">
            <v>0.8039286893364147</v>
          </cell>
          <cell r="AB350">
            <v>0.8039286893364147</v>
          </cell>
          <cell r="AE350">
            <v>0.8039286893364147</v>
          </cell>
        </row>
        <row r="351">
          <cell r="B351" t="str">
            <v>Sales - % New Zealand</v>
          </cell>
          <cell r="C351" t="str">
            <v>SALES_NZ</v>
          </cell>
          <cell r="M351">
            <v>8.8674135825412836E-2</v>
          </cell>
          <cell r="P351">
            <v>9.5509586276488395E-2</v>
          </cell>
          <cell r="S351">
            <v>9.9659201557935728E-2</v>
          </cell>
          <cell r="V351">
            <v>9.6071310663585346E-2</v>
          </cell>
          <cell r="Y351">
            <v>9.6071310663585346E-2</v>
          </cell>
          <cell r="AB351">
            <v>9.6071310663585346E-2</v>
          </cell>
          <cell r="AE351">
            <v>9.6071310663585346E-2</v>
          </cell>
        </row>
        <row r="352">
          <cell r="B352" t="str">
            <v>Sales - % Others</v>
          </cell>
          <cell r="C352" t="str">
            <v>SALES_OTHER</v>
          </cell>
          <cell r="M352">
            <v>0</v>
          </cell>
          <cell r="P352">
            <v>0</v>
          </cell>
          <cell r="S352">
            <v>0</v>
          </cell>
          <cell r="V352">
            <v>0</v>
          </cell>
          <cell r="Y352">
            <v>0</v>
          </cell>
          <cell r="AB352">
            <v>0</v>
          </cell>
          <cell r="AE352">
            <v>0</v>
          </cell>
        </row>
        <row r="353">
          <cell r="B353" t="str">
            <v>% of CoGS from U.S. (GS estimate)</v>
          </cell>
          <cell r="C353" t="str">
            <v>COGS_PCT_US</v>
          </cell>
        </row>
        <row r="354">
          <cell r="B354" t="str">
            <v>% of CoGS from non-U.S. (GS estimate)</v>
          </cell>
          <cell r="C354" t="str">
            <v>COGS_PCT_ROW</v>
          </cell>
        </row>
        <row r="355">
          <cell r="B355" t="str">
            <v>% of SG&amp;A from U.S. (GS estimate)</v>
          </cell>
          <cell r="C355" t="str">
            <v>SGA_PCT_US</v>
          </cell>
        </row>
        <row r="356">
          <cell r="B356" t="str">
            <v>% of SG&amp;A from non-U.S. (GS estimate)</v>
          </cell>
          <cell r="C356" t="str">
            <v>SGA_PCT_ROW</v>
          </cell>
        </row>
        <row r="357">
          <cell r="B357" t="str">
            <v>Sales -% Consumer (C)</v>
          </cell>
          <cell r="C357" t="str">
            <v>SALES_CONS</v>
          </cell>
          <cell r="M357">
            <v>0.54267784679195175</v>
          </cell>
          <cell r="P357">
            <v>0.53599683774925166</v>
          </cell>
          <cell r="S357">
            <v>0.57316413617023099</v>
          </cell>
          <cell r="V357">
            <v>0.57316413617023099</v>
          </cell>
          <cell r="Y357">
            <v>0.57316413617023099</v>
          </cell>
          <cell r="AB357">
            <v>0.57316413617023099</v>
          </cell>
          <cell r="AE357">
            <v>0.57316413617023099</v>
          </cell>
        </row>
        <row r="358">
          <cell r="B358" t="str">
            <v>Sales -% Industry (I)</v>
          </cell>
          <cell r="C358" t="str">
            <v>SALES_IND</v>
          </cell>
          <cell r="M358">
            <v>0.42582742241032356</v>
          </cell>
          <cell r="P358">
            <v>0.43317704756318964</v>
          </cell>
          <cell r="S358">
            <v>0.37254362281698494</v>
          </cell>
          <cell r="V358">
            <v>0.37254362281698494</v>
          </cell>
          <cell r="Y358">
            <v>0.37254362281698494</v>
          </cell>
          <cell r="AB358">
            <v>0.37254362281698494</v>
          </cell>
          <cell r="AE358">
            <v>0.37254362281698494</v>
          </cell>
        </row>
        <row r="359">
          <cell r="B359" t="str">
            <v>Sales -% Government (G)</v>
          </cell>
          <cell r="C359" t="str">
            <v>SALES_GOV</v>
          </cell>
          <cell r="M359">
            <v>3.149473079772467E-2</v>
          </cell>
          <cell r="P359">
            <v>3.0826114687558664E-2</v>
          </cell>
          <cell r="S359">
            <v>5.4292241012784029E-2</v>
          </cell>
          <cell r="V359">
            <v>5.4292241012784029E-2</v>
          </cell>
          <cell r="Y359">
            <v>5.4292241012784029E-2</v>
          </cell>
          <cell r="AB359">
            <v>5.4292241012784029E-2</v>
          </cell>
          <cell r="AE359">
            <v>5.4292241012784029E-2</v>
          </cell>
        </row>
        <row r="360">
          <cell r="B360" t="str">
            <v>Sales - % Industry Sub-Segment: Financial Services</v>
          </cell>
          <cell r="C360" t="str">
            <v>SALES_FINAN</v>
          </cell>
          <cell r="M360">
            <v>0</v>
          </cell>
          <cell r="P360">
            <v>0</v>
          </cell>
          <cell r="S360">
            <v>0</v>
          </cell>
          <cell r="V360">
            <v>0</v>
          </cell>
          <cell r="Y360">
            <v>0</v>
          </cell>
          <cell r="AB360">
            <v>0</v>
          </cell>
          <cell r="AE360">
            <v>0</v>
          </cell>
        </row>
        <row r="361">
          <cell r="B361" t="str">
            <v>Sales - % Industry Sub-Segment: Oil &amp; Gas</v>
          </cell>
          <cell r="C361" t="str">
            <v>SALES_OIL_GAS</v>
          </cell>
          <cell r="M361">
            <v>0</v>
          </cell>
          <cell r="P361">
            <v>0</v>
          </cell>
          <cell r="S361">
            <v>0</v>
          </cell>
          <cell r="V361">
            <v>0</v>
          </cell>
          <cell r="Y361">
            <v>0</v>
          </cell>
          <cell r="AB361">
            <v>0</v>
          </cell>
          <cell r="AE361">
            <v>0</v>
          </cell>
        </row>
        <row r="362">
          <cell r="A362" t="str">
            <v>Commodities Exposure - Expense</v>
          </cell>
        </row>
        <row r="363">
          <cell r="B363" t="str">
            <v>Expense - % Oil/Petrol/Fuel</v>
          </cell>
          <cell r="C363" t="str">
            <v>EXP_OIL_PETRO_FUEL</v>
          </cell>
          <cell r="M363">
            <v>0</v>
          </cell>
          <cell r="P363">
            <v>0</v>
          </cell>
          <cell r="S363">
            <v>0</v>
          </cell>
          <cell r="V363">
            <v>0</v>
          </cell>
          <cell r="Y363">
            <v>0</v>
          </cell>
          <cell r="AB363">
            <v>0</v>
          </cell>
          <cell r="AE363">
            <v>0</v>
          </cell>
        </row>
        <row r="364">
          <cell r="B364" t="str">
            <v>Expense - % Oil derivatives/NGLs/plastics</v>
          </cell>
          <cell r="C364" t="str">
            <v>EXP_OIL_DERIV_NGLS_PLASTICS</v>
          </cell>
          <cell r="M364">
            <v>0</v>
          </cell>
          <cell r="P364">
            <v>0</v>
          </cell>
          <cell r="S364">
            <v>0</v>
          </cell>
          <cell r="V364">
            <v>0</v>
          </cell>
          <cell r="Y364">
            <v>0</v>
          </cell>
          <cell r="AB364">
            <v>0</v>
          </cell>
          <cell r="AE364">
            <v>0</v>
          </cell>
        </row>
        <row r="365">
          <cell r="A365" t="str">
            <v>FX Exposure - Sales</v>
          </cell>
        </row>
        <row r="366">
          <cell r="B366" t="str">
            <v>Sales - % FX: British Pounds/Pence</v>
          </cell>
          <cell r="C366" t="str">
            <v>SALES_FX_GPB</v>
          </cell>
        </row>
        <row r="367">
          <cell r="B367" t="str">
            <v>Sales - % FX: Euro</v>
          </cell>
          <cell r="C367" t="str">
            <v>SALES_FX_EUR</v>
          </cell>
        </row>
        <row r="368">
          <cell r="B368" t="str">
            <v>Sales - % FX: New Russian Ruble</v>
          </cell>
          <cell r="C368" t="str">
            <v>SALES_FX_RUB</v>
          </cell>
        </row>
        <row r="369">
          <cell r="B369" t="str">
            <v>Sales - % FX: U.S. Dollar</v>
          </cell>
          <cell r="C369" t="str">
            <v>SALES_FX_USD</v>
          </cell>
        </row>
        <row r="370">
          <cell r="B370" t="str">
            <v>Sales - % FX: Brazilian Real</v>
          </cell>
          <cell r="C370" t="str">
            <v>SALES_FX_BRL</v>
          </cell>
        </row>
        <row r="371">
          <cell r="B371" t="str">
            <v>Sales - % FX: Japanese Yen</v>
          </cell>
          <cell r="C371" t="str">
            <v>SALES_FX_YEN</v>
          </cell>
        </row>
        <row r="372">
          <cell r="B372" t="str">
            <v>Sales - % FX: Chinese Renminbi</v>
          </cell>
          <cell r="C372" t="str">
            <v>SALES_FX_CNY</v>
          </cell>
        </row>
        <row r="373">
          <cell r="B373" t="str">
            <v>Sales - % FX: Indian Rupee</v>
          </cell>
          <cell r="C373" t="str">
            <v>SALES_FX_INR</v>
          </cell>
        </row>
        <row r="374">
          <cell r="B374" t="str">
            <v>Sales - % FX: Australian Dollar</v>
          </cell>
          <cell r="C374" t="str">
            <v>SALES_FX_AUD</v>
          </cell>
        </row>
        <row r="375">
          <cell r="B375" t="str">
            <v>Sales - % FX: New Zealand Dollar</v>
          </cell>
          <cell r="C375" t="str">
            <v>SALES_FX_NZD</v>
          </cell>
        </row>
        <row r="376">
          <cell r="B376" t="str">
            <v>Sales - % FX: Other Currency</v>
          </cell>
          <cell r="C376" t="str">
            <v>SALES_FX_OTH</v>
          </cell>
        </row>
        <row r="377">
          <cell r="A377" t="str">
            <v>Items to be removed</v>
          </cell>
        </row>
        <row r="378">
          <cell r="B378" t="str">
            <v>Sales - Total % Americas</v>
          </cell>
          <cell r="C378" t="str">
            <v>SALES_TOT_AM</v>
          </cell>
        </row>
        <row r="379">
          <cell r="B379" t="str">
            <v>Sales - % Other Americas</v>
          </cell>
          <cell r="C379" t="str">
            <v>SALES_OTH_AM</v>
          </cell>
        </row>
        <row r="380">
          <cell r="B380" t="str">
            <v>Sales - Total % EMEA</v>
          </cell>
          <cell r="C380" t="str">
            <v>SALES_TOT_EMEA</v>
          </cell>
        </row>
        <row r="381">
          <cell r="B381" t="str">
            <v>Sales - % Western Europe-Ex UK</v>
          </cell>
          <cell r="C381" t="str">
            <v>SALES_EU_EX_UK</v>
          </cell>
        </row>
        <row r="382">
          <cell r="B382" t="str">
            <v>Sales - % Central &amp; Eastern Europe</v>
          </cell>
          <cell r="C382" t="str">
            <v>SALES_CEE</v>
          </cell>
        </row>
        <row r="383">
          <cell r="B383" t="str">
            <v>Sales - % Middle East</v>
          </cell>
          <cell r="C383" t="str">
            <v>SALES_ME</v>
          </cell>
        </row>
        <row r="384">
          <cell r="B384" t="str">
            <v>Sales - % Total Africa</v>
          </cell>
          <cell r="C384" t="str">
            <v>SALES_TOT_AFRICA</v>
          </cell>
        </row>
        <row r="385">
          <cell r="B385" t="str">
            <v>Sales - % Other EMEA</v>
          </cell>
          <cell r="C385" t="str">
            <v>SALES_OTH_EMEA</v>
          </cell>
        </row>
        <row r="386">
          <cell r="B386" t="str">
            <v>Sales - Total % Asia (incl Australia &amp; New Zealand)</v>
          </cell>
          <cell r="C386" t="str">
            <v>SALES_TOT_ASIA</v>
          </cell>
        </row>
        <row r="387">
          <cell r="B387" t="str">
            <v>Sales - % Other Asia</v>
          </cell>
          <cell r="C387" t="str">
            <v>SALES_OTH_AEJ</v>
          </cell>
        </row>
        <row r="388">
          <cell r="A388" t="str">
            <v>Security: Westpac Banking Corp. | SecID: 200004995</v>
          </cell>
        </row>
        <row r="389">
          <cell r="A389" t="str">
            <v>Reference Data</v>
          </cell>
        </row>
        <row r="390">
          <cell r="B390" t="str">
            <v>Ticker</v>
          </cell>
          <cell r="C390" t="str">
            <v>Ticker</v>
          </cell>
          <cell r="E390" t="str">
            <v>WBC.AX</v>
          </cell>
        </row>
        <row r="391">
          <cell r="B391" t="str">
            <v>Security Name</v>
          </cell>
          <cell r="C391" t="str">
            <v>Security Name</v>
          </cell>
          <cell r="E391" t="str">
            <v>Westpac Banking Corp.</v>
          </cell>
        </row>
        <row r="392">
          <cell r="B392" t="str">
            <v>Interim Type</v>
          </cell>
          <cell r="C392" t="str">
            <v>Interim Type</v>
          </cell>
          <cell r="E392" t="str">
            <v>H</v>
          </cell>
        </row>
        <row r="393">
          <cell r="B393" t="str">
            <v>Publishing Currency</v>
          </cell>
          <cell r="C393" t="str">
            <v>PUB_CURRENCY_ISO</v>
          </cell>
          <cell r="E393" t="str">
            <v>AUD</v>
          </cell>
        </row>
        <row r="394">
          <cell r="B394" t="str">
            <v>Pricing Currency</v>
          </cell>
          <cell r="C394" t="str">
            <v>PRICE_CURRENCY_ISO</v>
          </cell>
          <cell r="E394" t="str">
            <v>AUD</v>
          </cell>
        </row>
        <row r="395">
          <cell r="B395" t="str">
            <v>Reporting Currency</v>
          </cell>
          <cell r="C395" t="str">
            <v>CURRENCY_ISO</v>
          </cell>
          <cell r="E395" t="str">
            <v>AUD</v>
          </cell>
        </row>
        <row r="396">
          <cell r="A396" t="str">
            <v>General Information</v>
          </cell>
        </row>
        <row r="397">
          <cell r="B397" t="str">
            <v>Australia/NZ Investment List</v>
          </cell>
          <cell r="C397" t="str">
            <v>ANZ_LIST</v>
          </cell>
        </row>
        <row r="398">
          <cell r="B398" t="str">
            <v>Australia/NZ Conviction List</v>
          </cell>
          <cell r="C398" t="str">
            <v>NOT IN USE</v>
          </cell>
        </row>
        <row r="399">
          <cell r="B399" t="str">
            <v>Legal rating</v>
          </cell>
          <cell r="C399" t="str">
            <v>LEGAL_RATING</v>
          </cell>
        </row>
        <row r="400">
          <cell r="B400" t="str">
            <v>Target price</v>
          </cell>
          <cell r="C400" t="str">
            <v>TARGET_PRICE</v>
          </cell>
          <cell r="D400" t="str">
            <v>AUD</v>
          </cell>
          <cell r="E400">
            <v>38.369999999999997</v>
          </cell>
        </row>
        <row r="401">
          <cell r="B401" t="str">
            <v>Target price period</v>
          </cell>
          <cell r="C401" t="str">
            <v>TP_PERIOD</v>
          </cell>
          <cell r="E401" t="str">
            <v>12 months</v>
          </cell>
        </row>
        <row r="402">
          <cell r="B402" t="str">
            <v>Fundamental value</v>
          </cell>
          <cell r="C402" t="str">
            <v>TARGET_PRICE_FUNDAMENTAL</v>
          </cell>
          <cell r="D402" t="str">
            <v>AUD</v>
          </cell>
        </row>
        <row r="403">
          <cell r="B403" t="str">
            <v>M&amp;A value</v>
          </cell>
          <cell r="C403" t="str">
            <v>TARGET_PRICE_MA</v>
          </cell>
          <cell r="D403" t="str">
            <v>AUD</v>
          </cell>
        </row>
        <row r="404">
          <cell r="B404" t="str">
            <v>Current shares outstanding (mn)</v>
          </cell>
          <cell r="C404" t="str">
            <v>NUM_SH</v>
          </cell>
          <cell r="E404">
            <v>3423.6994089999998</v>
          </cell>
        </row>
        <row r="405">
          <cell r="B405" t="str">
            <v>Free float</v>
          </cell>
          <cell r="C405" t="str">
            <v>FREE_FLOAT</v>
          </cell>
        </row>
        <row r="406">
          <cell r="B406" t="str">
            <v>Foreign ownership</v>
          </cell>
          <cell r="C406" t="str">
            <v>FOREIGN_HOLDNG</v>
          </cell>
        </row>
        <row r="407">
          <cell r="B407" t="str">
            <v>Catalyst 1 date</v>
          </cell>
          <cell r="C407" t="str">
            <v>CATALYST1_DATE</v>
          </cell>
        </row>
        <row r="408">
          <cell r="B408" t="str">
            <v>Catalyst 1 description</v>
          </cell>
          <cell r="C408" t="str">
            <v>CATALYST1_EVENT</v>
          </cell>
          <cell r="E408" t="str">
            <v/>
          </cell>
        </row>
        <row r="409">
          <cell r="B409" t="str">
            <v>Catalyst 2 date</v>
          </cell>
          <cell r="C409" t="str">
            <v>CATALYST2_DATE</v>
          </cell>
        </row>
        <row r="410">
          <cell r="B410" t="str">
            <v>Catalyst 2 description</v>
          </cell>
          <cell r="C410" t="str">
            <v>CATALYST2_EVENT</v>
          </cell>
          <cell r="E410" t="str">
            <v/>
          </cell>
        </row>
        <row r="411">
          <cell r="B411" t="str">
            <v>Catalyst 3 date</v>
          </cell>
          <cell r="C411" t="str">
            <v>CATALYST3_DATE</v>
          </cell>
        </row>
        <row r="412">
          <cell r="B412" t="str">
            <v>Catalyst 3 description</v>
          </cell>
          <cell r="C412" t="str">
            <v>CATALYST3_EVENT</v>
          </cell>
          <cell r="E412" t="str">
            <v/>
          </cell>
        </row>
        <row r="413">
          <cell r="B413" t="str">
            <v>Catalyst 4 date</v>
          </cell>
          <cell r="C413" t="str">
            <v>CATALYST4_DATE</v>
          </cell>
        </row>
        <row r="414">
          <cell r="B414" t="str">
            <v>Catalyst 4 description</v>
          </cell>
          <cell r="C414" t="str">
            <v>CATALYST4_EVENT</v>
          </cell>
          <cell r="E414" t="str">
            <v/>
          </cell>
        </row>
        <row r="415">
          <cell r="B415" t="str">
            <v>Catalyst 5 date</v>
          </cell>
          <cell r="C415" t="str">
            <v>CATALYST5_DATE</v>
          </cell>
        </row>
        <row r="416">
          <cell r="B416" t="str">
            <v>Catalyst 5 description</v>
          </cell>
          <cell r="C416" t="str">
            <v>CATALYST5_EVENT</v>
          </cell>
          <cell r="E416" t="str">
            <v/>
          </cell>
        </row>
        <row r="417">
          <cell r="B417" t="str">
            <v>Target price multiple</v>
          </cell>
          <cell r="C417" t="str">
            <v>PRI_TARG_MULT</v>
          </cell>
        </row>
        <row r="418">
          <cell r="B418" t="str">
            <v>Target price methodology</v>
          </cell>
          <cell r="C418" t="str">
            <v>PRI_TARG_METH</v>
          </cell>
          <cell r="E418" t="str">
            <v/>
          </cell>
        </row>
        <row r="419">
          <cell r="A419" t="str">
            <v>Publishing Items</v>
          </cell>
        </row>
        <row r="420">
          <cell r="B420" t="str">
            <v>Book value per share, BVPS (Pub)</v>
          </cell>
          <cell r="C420" t="str">
            <v>BVPS_PUB</v>
          </cell>
          <cell r="D420" t="str">
            <v>AUD</v>
          </cell>
          <cell r="F420">
            <v>7.6708443126921386</v>
          </cell>
          <cell r="G420">
            <v>8.4925474584992013</v>
          </cell>
          <cell r="H420">
            <v>9.212864795714399</v>
          </cell>
          <cell r="I420">
            <v>11.717805391555817</v>
          </cell>
          <cell r="J420">
            <v>12.711986036342008</v>
          </cell>
          <cell r="K420">
            <v>13.734243424342433</v>
          </cell>
          <cell r="L420">
            <v>14.294000065590975</v>
          </cell>
          <cell r="M420">
            <v>14.936723296002805</v>
          </cell>
          <cell r="N420">
            <v>15.093854271242497</v>
          </cell>
          <cell r="O420">
            <v>15.507003128746453</v>
          </cell>
          <cell r="P420">
            <v>15.507003128746453</v>
          </cell>
          <cell r="Q420">
            <v>15.754961473711475</v>
          </cell>
          <cell r="R420">
            <v>16.592282752144559</v>
          </cell>
          <cell r="S420">
            <v>16.592282752144559</v>
          </cell>
          <cell r="T420">
            <v>17.137589928057555</v>
          </cell>
          <cell r="U420">
            <v>17.369994022713687</v>
          </cell>
          <cell r="V420">
            <v>17.369994022713687</v>
          </cell>
          <cell r="W420">
            <v>17.669049746797736</v>
          </cell>
          <cell r="X420">
            <v>18.055811033356683</v>
          </cell>
          <cell r="Y420">
            <v>18.055811033356683</v>
          </cell>
          <cell r="Z420">
            <v>18.393606228193804</v>
          </cell>
          <cell r="AA420">
            <v>18.784517812472075</v>
          </cell>
          <cell r="AB420">
            <v>18.784517812472075</v>
          </cell>
          <cell r="AC420">
            <v>18.530147623879714</v>
          </cell>
          <cell r="AD420">
            <v>18.755110564544463</v>
          </cell>
          <cell r="AE420">
            <v>18.755110564544463</v>
          </cell>
          <cell r="AF420">
            <v>18.714257315589109</v>
          </cell>
          <cell r="AG420">
            <v>18.83414595914067</v>
          </cell>
          <cell r="AH420">
            <v>18.83414595914067</v>
          </cell>
          <cell r="AI420">
            <v>19.629330208655364</v>
          </cell>
          <cell r="AJ420">
            <v>19.635599644232755</v>
          </cell>
          <cell r="AK420">
            <v>19.635599644232755</v>
          </cell>
          <cell r="AL420">
            <v>20.073246720032373</v>
          </cell>
          <cell r="AM420">
            <v>20.122659370789577</v>
          </cell>
          <cell r="AN420">
            <v>20.122659370789577</v>
          </cell>
          <cell r="AO420">
            <v>20.696040818665889</v>
          </cell>
          <cell r="AP420">
            <v>20.671817924449282</v>
          </cell>
          <cell r="AQ420">
            <v>20.671817924449282</v>
          </cell>
          <cell r="AR420">
            <v>20.882771926420546</v>
          </cell>
          <cell r="AS420">
            <v>20.838252820540973</v>
          </cell>
          <cell r="AT420">
            <v>20.838252820540973</v>
          </cell>
          <cell r="AU420">
            <v>21.045071833874889</v>
          </cell>
          <cell r="AV420" t="e">
            <v>#N/A</v>
          </cell>
          <cell r="AW420" t="e">
            <v>#N/A</v>
          </cell>
          <cell r="AX420">
            <v>21.732540811076369</v>
          </cell>
          <cell r="AY420">
            <v>21.921699905306379</v>
          </cell>
          <cell r="AZ420">
            <v>21.921699905306379</v>
          </cell>
          <cell r="BA420">
            <v>22.088649994228859</v>
          </cell>
          <cell r="BB420">
            <v>22.270945997704647</v>
          </cell>
          <cell r="BC420">
            <v>22.270945997704647</v>
          </cell>
          <cell r="BD420">
            <v>22.468558949442329</v>
          </cell>
          <cell r="BE420">
            <v>22.652962297876034</v>
          </cell>
          <cell r="BF420">
            <v>22.652962297876037</v>
          </cell>
          <cell r="BG420">
            <v>22.866000898996468</v>
          </cell>
          <cell r="BH420">
            <v>23.079568871448082</v>
          </cell>
          <cell r="BI420">
            <v>23.079568871448092</v>
          </cell>
          <cell r="BJ420">
            <v>23.421340502873946</v>
          </cell>
          <cell r="BK420">
            <v>23.762713073578542</v>
          </cell>
          <cell r="BL420">
            <v>23.762713073578556</v>
          </cell>
          <cell r="BM420">
            <v>24.097750428314992</v>
          </cell>
          <cell r="BN420">
            <v>24.40692841101983</v>
          </cell>
          <cell r="BO420">
            <v>24.406928411019841</v>
          </cell>
          <cell r="BP420">
            <v>24.706054776974316</v>
          </cell>
          <cell r="BQ420">
            <v>24.956376633654667</v>
          </cell>
          <cell r="BR420">
            <v>24.956376633654674</v>
          </cell>
          <cell r="BS420">
            <v>25.235852420064457</v>
          </cell>
          <cell r="BT420">
            <v>25.490939053382132</v>
          </cell>
          <cell r="BU420">
            <v>25.490939053382139</v>
          </cell>
          <cell r="BV420">
            <v>25.778103149083968</v>
          </cell>
          <cell r="BW420">
            <v>26.047913257119095</v>
          </cell>
          <cell r="BX420">
            <v>26.047913257119095</v>
          </cell>
        </row>
        <row r="421">
          <cell r="B421" t="str">
            <v>DPS, dividend per share (Pub)</v>
          </cell>
          <cell r="C421" t="str">
            <v>DPS_PUB</v>
          </cell>
          <cell r="D421" t="str">
            <v>AUD</v>
          </cell>
          <cell r="F421">
            <v>1.1541414141414141</v>
          </cell>
          <cell r="G421">
            <v>1.3033838383838385</v>
          </cell>
          <cell r="H421">
            <v>1.4128282828282828</v>
          </cell>
          <cell r="I421">
            <v>1.1541414141414141</v>
          </cell>
          <cell r="J421">
            <v>1.382979797979798</v>
          </cell>
          <cell r="K421">
            <v>1.5521212121212122</v>
          </cell>
          <cell r="L421">
            <v>1.6516161616161615</v>
          </cell>
          <cell r="M421">
            <v>1.9501010101010101</v>
          </cell>
          <cell r="N421">
            <v>0.89545454545454539</v>
          </cell>
          <cell r="O421">
            <v>0.91535353535353536</v>
          </cell>
          <cell r="P421">
            <v>1.8108080808080809</v>
          </cell>
          <cell r="Q421">
            <v>0.92530303030303029</v>
          </cell>
          <cell r="R421">
            <v>0.94</v>
          </cell>
          <cell r="S421">
            <v>1.8653030303030302</v>
          </cell>
          <cell r="T421">
            <v>0.94</v>
          </cell>
          <cell r="U421">
            <v>0.94</v>
          </cell>
          <cell r="V421">
            <v>1.88</v>
          </cell>
          <cell r="W421">
            <v>0.94</v>
          </cell>
          <cell r="X421">
            <v>0.94</v>
          </cell>
          <cell r="Y421">
            <v>1.88</v>
          </cell>
          <cell r="Z421">
            <v>0.94</v>
          </cell>
          <cell r="AA421">
            <v>0.94</v>
          </cell>
          <cell r="AB421">
            <v>1.88</v>
          </cell>
          <cell r="AC421">
            <v>0.94</v>
          </cell>
          <cell r="AD421">
            <v>0.8</v>
          </cell>
          <cell r="AE421">
            <v>1.74</v>
          </cell>
          <cell r="AF421">
            <v>0</v>
          </cell>
          <cell r="AG421">
            <v>0.31</v>
          </cell>
          <cell r="AH421">
            <v>0.31</v>
          </cell>
          <cell r="AI421">
            <v>0.57999999999999996</v>
          </cell>
          <cell r="AJ421">
            <v>0.6</v>
          </cell>
          <cell r="AK421">
            <v>1.18</v>
          </cell>
          <cell r="AL421">
            <v>0.61</v>
          </cell>
          <cell r="AM421">
            <v>0.64</v>
          </cell>
          <cell r="AN421">
            <v>1.25</v>
          </cell>
          <cell r="AO421">
            <v>0.7</v>
          </cell>
          <cell r="AP421">
            <v>0.72</v>
          </cell>
          <cell r="AQ421">
            <v>1.42</v>
          </cell>
          <cell r="AR421">
            <v>0.9</v>
          </cell>
          <cell r="AS421">
            <v>0.76</v>
          </cell>
          <cell r="AT421">
            <v>1.6600000000000001</v>
          </cell>
          <cell r="AU421">
            <v>0.76</v>
          </cell>
          <cell r="AV421" t="e">
            <v>#N/A</v>
          </cell>
          <cell r="AW421" t="e">
            <v>#N/A</v>
          </cell>
          <cell r="AX421">
            <v>0.78</v>
          </cell>
          <cell r="AY421">
            <v>0.79</v>
          </cell>
          <cell r="AZ421">
            <v>1.57</v>
          </cell>
          <cell r="BA421">
            <v>0.8</v>
          </cell>
          <cell r="BB421">
            <v>0.81</v>
          </cell>
          <cell r="BC421">
            <v>1.61</v>
          </cell>
          <cell r="BD421">
            <v>0.82</v>
          </cell>
          <cell r="BE421">
            <v>0.85</v>
          </cell>
          <cell r="BF421">
            <v>1.67</v>
          </cell>
          <cell r="BG421">
            <v>0.88</v>
          </cell>
          <cell r="BH421">
            <v>0.91</v>
          </cell>
          <cell r="BI421">
            <v>1.79</v>
          </cell>
          <cell r="BJ421">
            <v>0.94000000000000006</v>
          </cell>
          <cell r="BK421">
            <v>0.97000000000000008</v>
          </cell>
          <cell r="BL421">
            <v>1.9100000000000001</v>
          </cell>
          <cell r="BM421">
            <v>1</v>
          </cell>
          <cell r="BN421">
            <v>1.03</v>
          </cell>
          <cell r="BO421">
            <v>2.0300000000000002</v>
          </cell>
          <cell r="BP421">
            <v>1.06</v>
          </cell>
          <cell r="BQ421">
            <v>1.06</v>
          </cell>
          <cell r="BR421">
            <v>2.12</v>
          </cell>
          <cell r="BS421">
            <v>1.08</v>
          </cell>
          <cell r="BT421">
            <v>1.08</v>
          </cell>
          <cell r="BU421">
            <v>2.16</v>
          </cell>
          <cell r="BV421">
            <v>1.1000000000000001</v>
          </cell>
          <cell r="BW421">
            <v>1.1000000000000001</v>
          </cell>
          <cell r="BX421">
            <v>2.2000000000000002</v>
          </cell>
        </row>
        <row r="422">
          <cell r="B422" t="str">
            <v>Special dividend per share</v>
          </cell>
          <cell r="C422" t="str">
            <v>DPS_SPECIAL_PUB</v>
          </cell>
          <cell r="D422" t="str">
            <v>AUD</v>
          </cell>
          <cell r="F422">
            <v>0</v>
          </cell>
          <cell r="G422">
            <v>0</v>
          </cell>
          <cell r="H422">
            <v>0</v>
          </cell>
          <cell r="I422">
            <v>0</v>
          </cell>
          <cell r="J422">
            <v>0</v>
          </cell>
          <cell r="K422">
            <v>0</v>
          </cell>
          <cell r="L422">
            <v>0</v>
          </cell>
          <cell r="M422">
            <v>0.2</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0.15</v>
          </cell>
          <cell r="AS422">
            <v>0</v>
          </cell>
          <cell r="AT422">
            <v>0.15</v>
          </cell>
          <cell r="AU422">
            <v>0</v>
          </cell>
          <cell r="AV422" t="e">
            <v>#N/A</v>
          </cell>
          <cell r="AW422" t="e">
            <v>#N/A</v>
          </cell>
          <cell r="AX422">
            <v>0</v>
          </cell>
          <cell r="AY422">
            <v>0</v>
          </cell>
          <cell r="AZ422">
            <v>0</v>
          </cell>
          <cell r="BA422">
            <v>0</v>
          </cell>
          <cell r="BB422">
            <v>0</v>
          </cell>
          <cell r="BC422">
            <v>0</v>
          </cell>
          <cell r="BD422">
            <v>0</v>
          </cell>
          <cell r="BE422">
            <v>0</v>
          </cell>
          <cell r="BF422">
            <v>0</v>
          </cell>
          <cell r="BG422">
            <v>0</v>
          </cell>
          <cell r="BH422">
            <v>0</v>
          </cell>
          <cell r="BI422">
            <v>0</v>
          </cell>
          <cell r="BJ422">
            <v>0</v>
          </cell>
          <cell r="BK422">
            <v>0</v>
          </cell>
          <cell r="BL422">
            <v>0</v>
          </cell>
          <cell r="BM422">
            <v>0</v>
          </cell>
          <cell r="BN422">
            <v>0</v>
          </cell>
          <cell r="BO422">
            <v>0</v>
          </cell>
          <cell r="BP422">
            <v>0</v>
          </cell>
          <cell r="BQ422">
            <v>0</v>
          </cell>
          <cell r="BR422">
            <v>0</v>
          </cell>
          <cell r="BS422">
            <v>0</v>
          </cell>
          <cell r="BT422">
            <v>0</v>
          </cell>
          <cell r="BU422">
            <v>0</v>
          </cell>
          <cell r="BV422">
            <v>0</v>
          </cell>
          <cell r="BW422">
            <v>0</v>
          </cell>
          <cell r="BX422">
            <v>0</v>
          </cell>
        </row>
        <row r="423">
          <cell r="B423" t="str">
            <v>EBITDA (Pub)</v>
          </cell>
          <cell r="C423" t="str">
            <v>EBITDA_PUB</v>
          </cell>
          <cell r="D423" t="str">
            <v>AUD</v>
          </cell>
        </row>
        <row r="424">
          <cell r="B424" t="str">
            <v>EPS (Pub)</v>
          </cell>
          <cell r="C424" t="str">
            <v>EPS_PUB</v>
          </cell>
          <cell r="D424" t="str">
            <v>AUD</v>
          </cell>
          <cell r="F424">
            <v>1.6486840084113288</v>
          </cell>
          <cell r="G424">
            <v>1.8666309108786983</v>
          </cell>
          <cell r="H424">
            <v>2.583342283595448</v>
          </cell>
          <cell r="I424">
            <v>1.6443343469295024</v>
          </cell>
          <cell r="J424">
            <v>1.9039588298717511</v>
          </cell>
          <cell r="K424">
            <v>2.0011061807056798</v>
          </cell>
          <cell r="L424">
            <v>2.0813601857080117</v>
          </cell>
          <cell r="M424">
            <v>2.2102507697709171</v>
          </cell>
          <cell r="N424">
            <v>1.1812914707083173</v>
          </cell>
          <cell r="O424">
            <v>1.2043804104252094</v>
          </cell>
          <cell r="P424">
            <v>2.3872048688859033</v>
          </cell>
          <cell r="Q424">
            <v>1.18841189674523</v>
          </cell>
          <cell r="R424">
            <v>1.2393388374401033</v>
          </cell>
          <cell r="S424">
            <v>2.4156353757923332</v>
          </cell>
          <cell r="T424">
            <v>1.1475972540045767</v>
          </cell>
          <cell r="U424">
            <v>1.1354548014643762</v>
          </cell>
          <cell r="V424">
            <v>2.2793992632473787</v>
          </cell>
          <cell r="W424">
            <v>1.154317548746518</v>
          </cell>
          <cell r="X424">
            <v>1.1538035961272475</v>
          </cell>
          <cell r="Y424">
            <v>2.3071587125416206</v>
          </cell>
          <cell r="Z424">
            <v>1.2089305402425579</v>
          </cell>
          <cell r="AA424">
            <v>1.0757534618517512</v>
          </cell>
          <cell r="AB424">
            <v>2.287750068511921</v>
          </cell>
          <cell r="AC424">
            <v>0.92717011556033324</v>
          </cell>
          <cell r="AD424">
            <v>0.98268513585508788</v>
          </cell>
          <cell r="AE424">
            <v>1.9113788487282464</v>
          </cell>
          <cell r="AF424">
            <v>0.27737430167597765</v>
          </cell>
          <cell r="AG424">
            <v>0.42893401015228427</v>
          </cell>
          <cell r="AH424">
            <v>0.72525027808676312</v>
          </cell>
          <cell r="AI424">
            <v>0.88602673147023081</v>
          </cell>
          <cell r="AJ424">
            <v>0.48148148148148145</v>
          </cell>
          <cell r="AK424">
            <v>1.3512857836001941</v>
          </cell>
          <cell r="AL424">
            <v>0.85746835443037972</v>
          </cell>
          <cell r="AM424">
            <v>0.6598551474392137</v>
          </cell>
          <cell r="AN424">
            <v>1.525301823786283</v>
          </cell>
          <cell r="AO424">
            <v>1.0755201643976369</v>
          </cell>
          <cell r="AP424">
            <v>0.87583547557840613</v>
          </cell>
          <cell r="AQ424">
            <v>1.9496790757381257</v>
          </cell>
          <cell r="AR424">
            <v>0.91483375959079283</v>
          </cell>
          <cell r="AS424">
            <v>1.0086864964464333</v>
          </cell>
          <cell r="AT424">
            <v>1.8992566008715714</v>
          </cell>
          <cell r="AU424">
            <v>0.9961295941621624</v>
          </cell>
          <cell r="AV424" t="e">
            <v>#N/A</v>
          </cell>
          <cell r="AW424" t="e">
            <v>#N/A</v>
          </cell>
          <cell r="AX424">
            <v>1.0458039442442353</v>
          </cell>
          <cell r="AY424">
            <v>1.0736176097078625</v>
          </cell>
          <cell r="AZ424">
            <v>2.1193635812070815</v>
          </cell>
          <cell r="BA424">
            <v>1.0762997335850628</v>
          </cell>
          <cell r="BB424">
            <v>1.0752850223291344</v>
          </cell>
          <cell r="BC424">
            <v>2.151575129747914</v>
          </cell>
          <cell r="BD424">
            <v>1.1099307116807149</v>
          </cell>
          <cell r="BE424">
            <v>1.1176928373170019</v>
          </cell>
          <cell r="BF424">
            <v>2.2276093818424787</v>
          </cell>
          <cell r="BG424">
            <v>1.1727080065374509</v>
          </cell>
          <cell r="BH424">
            <v>1.2012447342854211</v>
          </cell>
          <cell r="BI424">
            <v>2.3738935989126531</v>
          </cell>
          <cell r="BJ424">
            <v>1.2423670404395248</v>
          </cell>
          <cell r="BK424">
            <v>1.2682632483367429</v>
          </cell>
          <cell r="BL424">
            <v>2.5106302887762673</v>
          </cell>
          <cell r="BM424">
            <v>1.2763200654277358</v>
          </cell>
          <cell r="BN424">
            <v>1.2672515096369605</v>
          </cell>
          <cell r="BO424">
            <v>2.5435715750646963</v>
          </cell>
          <cell r="BP424">
            <v>1.2856617906250407</v>
          </cell>
          <cell r="BQ424">
            <v>1.2683071862319315</v>
          </cell>
          <cell r="BR424">
            <v>2.5539689768569729</v>
          </cell>
          <cell r="BS424">
            <v>1.2952132282659459</v>
          </cell>
          <cell r="BT424">
            <v>1.2911624969001891</v>
          </cell>
          <cell r="BU424">
            <v>2.586375725166135</v>
          </cell>
          <cell r="BV424">
            <v>1.3207666552164887</v>
          </cell>
          <cell r="BW424">
            <v>1.3232086491337054</v>
          </cell>
          <cell r="BX424">
            <v>2.6439753043501928</v>
          </cell>
        </row>
        <row r="425">
          <cell r="B425" t="str">
            <v>EV adjustment (Pub)</v>
          </cell>
          <cell r="C425" t="str">
            <v>EV_ADJ_PUB</v>
          </cell>
          <cell r="D425" t="str">
            <v>AUD</v>
          </cell>
        </row>
        <row r="426">
          <cell r="B426" t="str">
            <v>Net debt (Pub)</v>
          </cell>
          <cell r="C426" t="str">
            <v>NET_DEBT_PUB</v>
          </cell>
          <cell r="D426" t="str">
            <v>AUD</v>
          </cell>
        </row>
        <row r="427">
          <cell r="B427" t="str">
            <v>Net Debt (ex leases) (Pub)</v>
          </cell>
          <cell r="C427" t="str">
            <v>NET_DEBT_EX_LEASES_PUB</v>
          </cell>
          <cell r="D427" t="str">
            <v>AUD</v>
          </cell>
        </row>
        <row r="428">
          <cell r="B428" t="str">
            <v>Consensus equivalent net debt</v>
          </cell>
          <cell r="C428" t="str">
            <v>CEEE_NDEBT</v>
          </cell>
          <cell r="D428" t="str">
            <v>AUD</v>
          </cell>
        </row>
        <row r="429">
          <cell r="B429" t="str">
            <v>Net income (Pub)</v>
          </cell>
          <cell r="C429" t="str">
            <v>NI_PUB</v>
          </cell>
          <cell r="D429" t="str">
            <v>AUD</v>
          </cell>
          <cell r="F429">
            <v>3079</v>
          </cell>
          <cell r="G429">
            <v>3507</v>
          </cell>
          <cell r="H429">
            <v>5047</v>
          </cell>
          <cell r="I429">
            <v>4675</v>
          </cell>
          <cell r="J429">
            <v>5879</v>
          </cell>
          <cell r="K429">
            <v>6301</v>
          </cell>
          <cell r="L429">
            <v>6598</v>
          </cell>
          <cell r="M429">
            <v>7063</v>
          </cell>
          <cell r="N429">
            <v>3772</v>
          </cell>
          <cell r="O429">
            <v>3856</v>
          </cell>
          <cell r="P429">
            <v>7628</v>
          </cell>
          <cell r="Q429">
            <v>3778</v>
          </cell>
          <cell r="R429">
            <v>4042</v>
          </cell>
          <cell r="S429">
            <v>7820</v>
          </cell>
          <cell r="T429">
            <v>3904</v>
          </cell>
          <cell r="U429">
            <v>3918</v>
          </cell>
          <cell r="V429">
            <v>7822</v>
          </cell>
          <cell r="W429">
            <v>4017</v>
          </cell>
          <cell r="X429">
            <v>4045</v>
          </cell>
          <cell r="Y429">
            <v>8062</v>
          </cell>
          <cell r="Z429">
            <v>4251</v>
          </cell>
          <cell r="AA429">
            <v>3814</v>
          </cell>
          <cell r="AB429">
            <v>8065</v>
          </cell>
          <cell r="AC429">
            <v>3296</v>
          </cell>
          <cell r="AD429">
            <v>3553</v>
          </cell>
          <cell r="AE429">
            <v>6849</v>
          </cell>
          <cell r="AF429">
            <v>993</v>
          </cell>
          <cell r="AG429">
            <v>1615</v>
          </cell>
          <cell r="AH429">
            <v>2608</v>
          </cell>
          <cell r="AI429">
            <v>3537</v>
          </cell>
          <cell r="AJ429">
            <v>1815</v>
          </cell>
          <cell r="AK429">
            <v>5352</v>
          </cell>
          <cell r="AL429">
            <v>3287</v>
          </cell>
          <cell r="AM429">
            <v>2418</v>
          </cell>
          <cell r="AN429">
            <v>5705</v>
          </cell>
          <cell r="AO429">
            <v>4001</v>
          </cell>
          <cell r="AP429">
            <v>3194</v>
          </cell>
          <cell r="AQ429">
            <v>7195</v>
          </cell>
          <cell r="AR429">
            <v>3342</v>
          </cell>
          <cell r="AS429">
            <v>3648</v>
          </cell>
          <cell r="AT429">
            <v>6990</v>
          </cell>
          <cell r="AU429">
            <v>3456.6794984000007</v>
          </cell>
          <cell r="AV429" t="e">
            <v>#N/A</v>
          </cell>
          <cell r="AW429" t="e">
            <v>#N/A</v>
          </cell>
          <cell r="AX429">
            <v>3649.4263184143051</v>
          </cell>
          <cell r="AY429">
            <v>3738.4753296593349</v>
          </cell>
          <cell r="AZ429">
            <v>7387.9016480736409</v>
          </cell>
          <cell r="BA429">
            <v>3732.1385785349948</v>
          </cell>
          <cell r="BB429">
            <v>3712.9052365649763</v>
          </cell>
          <cell r="BC429">
            <v>7445.0438150999707</v>
          </cell>
          <cell r="BD429">
            <v>3824.0192801162757</v>
          </cell>
          <cell r="BE429">
            <v>3837.4357450744628</v>
          </cell>
          <cell r="BF429">
            <v>7661.4550251907376</v>
          </cell>
          <cell r="BG429">
            <v>4021.8681376357499</v>
          </cell>
          <cell r="BH429">
            <v>4110.2801952278423</v>
          </cell>
          <cell r="BI429">
            <v>8132.1483328635941</v>
          </cell>
          <cell r="BJ429">
            <v>4250.8485265825293</v>
          </cell>
          <cell r="BK429">
            <v>4343.8732523650879</v>
          </cell>
          <cell r="BL429">
            <v>8594.7217789476163</v>
          </cell>
          <cell r="BM429">
            <v>4372.8150651410942</v>
          </cell>
          <cell r="BN429">
            <v>4340.2388702391636</v>
          </cell>
          <cell r="BO429">
            <v>8713.0539353802596</v>
          </cell>
          <cell r="BP429">
            <v>4406.3725430646737</v>
          </cell>
          <cell r="BQ429">
            <v>4344.0310866961836</v>
          </cell>
          <cell r="BR429">
            <v>8750.40362976086</v>
          </cell>
          <cell r="BS429">
            <v>4440.6833530064587</v>
          </cell>
          <cell r="BT429">
            <v>4426.1322582664907</v>
          </cell>
          <cell r="BU429">
            <v>8866.8156112729503</v>
          </cell>
          <cell r="BV429">
            <v>4532.4767362042439</v>
          </cell>
          <cell r="BW429">
            <v>4541.2489014345119</v>
          </cell>
          <cell r="BX429">
            <v>9073.7256376387522</v>
          </cell>
        </row>
        <row r="430">
          <cell r="B430" t="str">
            <v>EBIT, operating profit (Pub)</v>
          </cell>
          <cell r="C430" t="str">
            <v>EBIT_PUB</v>
          </cell>
          <cell r="D430" t="str">
            <v>AUD</v>
          </cell>
          <cell r="F430">
            <v>4803</v>
          </cell>
          <cell r="G430">
            <v>5543</v>
          </cell>
          <cell r="H430">
            <v>8418</v>
          </cell>
          <cell r="I430">
            <v>10083</v>
          </cell>
          <cell r="J430">
            <v>9938</v>
          </cell>
          <cell r="K430">
            <v>10017</v>
          </cell>
          <cell r="L430">
            <v>10697</v>
          </cell>
          <cell r="M430">
            <v>11074</v>
          </cell>
          <cell r="N430">
            <v>5794</v>
          </cell>
          <cell r="O430">
            <v>5780</v>
          </cell>
          <cell r="P430">
            <v>11574</v>
          </cell>
          <cell r="Q430">
            <v>5766</v>
          </cell>
          <cell r="R430">
            <v>6139</v>
          </cell>
          <cell r="S430">
            <v>11905</v>
          </cell>
          <cell r="T430">
            <v>6200</v>
          </cell>
          <cell r="U430">
            <v>6105</v>
          </cell>
          <cell r="V430">
            <v>12305</v>
          </cell>
          <cell r="W430">
            <v>6260</v>
          </cell>
          <cell r="X430">
            <v>6191</v>
          </cell>
          <cell r="Y430">
            <v>12451</v>
          </cell>
          <cell r="Z430">
            <v>6548</v>
          </cell>
          <cell r="AA430">
            <v>5919</v>
          </cell>
          <cell r="AB430">
            <v>12467</v>
          </cell>
          <cell r="AC430">
            <v>5062</v>
          </cell>
          <cell r="AD430">
            <v>5562</v>
          </cell>
          <cell r="AE430">
            <v>10624</v>
          </cell>
          <cell r="AF430">
            <v>4181</v>
          </cell>
          <cell r="AG430">
            <v>3745</v>
          </cell>
          <cell r="AH430">
            <v>7926</v>
          </cell>
          <cell r="AI430">
            <v>4818</v>
          </cell>
          <cell r="AJ430">
            <v>2937</v>
          </cell>
          <cell r="AK430">
            <v>7755</v>
          </cell>
          <cell r="AL430">
            <v>4864</v>
          </cell>
          <cell r="AM430">
            <v>3951</v>
          </cell>
          <cell r="AN430">
            <v>8815</v>
          </cell>
          <cell r="AO430">
            <v>6015</v>
          </cell>
          <cell r="AP430">
            <v>4938</v>
          </cell>
          <cell r="AQ430">
            <v>10953</v>
          </cell>
          <cell r="AR430">
            <v>5195</v>
          </cell>
          <cell r="AS430">
            <v>5449</v>
          </cell>
          <cell r="AT430">
            <v>10644</v>
          </cell>
          <cell r="AU430">
            <v>5294.6794984000007</v>
          </cell>
          <cell r="AV430" t="e">
            <v>#N/A</v>
          </cell>
          <cell r="AW430" t="e">
            <v>#N/A</v>
          </cell>
          <cell r="AX430">
            <v>5647.2376105272215</v>
          </cell>
          <cell r="AY430">
            <v>5787.8863959249084</v>
          </cell>
          <cell r="AZ430">
            <v>11435.12400645213</v>
          </cell>
          <cell r="BA430">
            <v>5810.7304701535522</v>
          </cell>
          <cell r="BB430">
            <v>5820.2915843520168</v>
          </cell>
          <cell r="BC430">
            <v>11631.022054505569</v>
          </cell>
          <cell r="BD430">
            <v>6048.3819152354572</v>
          </cell>
          <cell r="BE430">
            <v>6079.1638916009142</v>
          </cell>
          <cell r="BF430">
            <v>12127.545806836371</v>
          </cell>
          <cell r="BG430">
            <v>6324.1825760163711</v>
          </cell>
          <cell r="BH430">
            <v>6429.9673694970206</v>
          </cell>
          <cell r="BI430">
            <v>12754.149945513393</v>
          </cell>
          <cell r="BJ430">
            <v>6643.197509857343</v>
          </cell>
          <cell r="BK430">
            <v>6754.2171169496469</v>
          </cell>
          <cell r="BL430">
            <v>13397.414626806989</v>
          </cell>
          <cell r="BM430">
            <v>6984.5571794034149</v>
          </cell>
          <cell r="BN430">
            <v>6979.0426021747298</v>
          </cell>
          <cell r="BO430">
            <v>13963.599781578147</v>
          </cell>
          <cell r="BP430">
            <v>7150.1465905189198</v>
          </cell>
          <cell r="BQ430">
            <v>7099.6403862304651</v>
          </cell>
          <cell r="BR430">
            <v>14249.786976749387</v>
          </cell>
          <cell r="BS430">
            <v>7277.3991465704648</v>
          </cell>
          <cell r="BT430">
            <v>7302.9589423101806</v>
          </cell>
          <cell r="BU430">
            <v>14580.358088880646</v>
          </cell>
          <cell r="BV430">
            <v>7460.8073658636513</v>
          </cell>
          <cell r="BW430">
            <v>7487.5300743694934</v>
          </cell>
          <cell r="BX430">
            <v>14948.337440233143</v>
          </cell>
        </row>
        <row r="431">
          <cell r="B431" t="str">
            <v>Pre-tax profit (Pub)</v>
          </cell>
          <cell r="C431" t="str">
            <v>PTP_PUB</v>
          </cell>
          <cell r="D431" t="str">
            <v>AUD</v>
          </cell>
          <cell r="F431">
            <v>4428</v>
          </cell>
          <cell r="G431">
            <v>5061</v>
          </cell>
          <cell r="H431">
            <v>7213</v>
          </cell>
          <cell r="I431">
            <v>6791</v>
          </cell>
          <cell r="J431">
            <v>8482</v>
          </cell>
          <cell r="K431">
            <v>9024</v>
          </cell>
          <cell r="L431">
            <v>9485</v>
          </cell>
          <cell r="M431">
            <v>10227</v>
          </cell>
          <cell r="N431">
            <v>5453</v>
          </cell>
          <cell r="O431">
            <v>5471</v>
          </cell>
          <cell r="P431">
            <v>10924</v>
          </cell>
          <cell r="Q431">
            <v>5425</v>
          </cell>
          <cell r="R431">
            <v>5727</v>
          </cell>
          <cell r="S431">
            <v>11152</v>
          </cell>
          <cell r="T431">
            <v>5533</v>
          </cell>
          <cell r="U431">
            <v>5648</v>
          </cell>
          <cell r="V431">
            <v>11181</v>
          </cell>
          <cell r="W431">
            <v>5767</v>
          </cell>
          <cell r="X431">
            <v>5831</v>
          </cell>
          <cell r="Y431">
            <v>11598</v>
          </cell>
          <cell r="Z431">
            <v>6104</v>
          </cell>
          <cell r="AA431">
            <v>5551</v>
          </cell>
          <cell r="AB431">
            <v>11655</v>
          </cell>
          <cell r="AC431">
            <v>4729</v>
          </cell>
          <cell r="AD431">
            <v>5101</v>
          </cell>
          <cell r="AE431">
            <v>9830</v>
          </cell>
          <cell r="AF431">
            <v>1943</v>
          </cell>
          <cell r="AG431">
            <v>2805</v>
          </cell>
          <cell r="AH431">
            <v>4748</v>
          </cell>
          <cell r="AI431">
            <v>5190</v>
          </cell>
          <cell r="AJ431">
            <v>3155</v>
          </cell>
          <cell r="AK431">
            <v>8345</v>
          </cell>
          <cell r="AL431">
            <v>4725</v>
          </cell>
          <cell r="AM431">
            <v>3755</v>
          </cell>
          <cell r="AN431">
            <v>8480</v>
          </cell>
          <cell r="AO431">
            <v>5625</v>
          </cell>
          <cell r="AP431">
            <v>4680</v>
          </cell>
          <cell r="AQ431">
            <v>10305</v>
          </cell>
          <cell r="AR431">
            <v>4833</v>
          </cell>
          <cell r="AS431">
            <v>5274</v>
          </cell>
          <cell r="AT431">
            <v>10107</v>
          </cell>
          <cell r="AU431">
            <v>5044.6794984000007</v>
          </cell>
          <cell r="AV431" t="e">
            <v>#N/A</v>
          </cell>
          <cell r="AW431" t="e">
            <v>#N/A</v>
          </cell>
          <cell r="AX431">
            <v>5272.7432665227743</v>
          </cell>
          <cell r="AY431">
            <v>5401.0860384051539</v>
          </cell>
          <cell r="AZ431">
            <v>10673.829304927929</v>
          </cell>
          <cell r="BA431">
            <v>5391.9531329112488</v>
          </cell>
          <cell r="BB431">
            <v>5364.2328877734153</v>
          </cell>
          <cell r="BC431">
            <v>10756.186020684663</v>
          </cell>
          <cell r="BD431">
            <v>5524.3771066148029</v>
          </cell>
          <cell r="BE431">
            <v>5543.7137199867193</v>
          </cell>
          <cell r="BF431">
            <v>11068.090826601521</v>
          </cell>
          <cell r="BG431">
            <v>5809.5287375289372</v>
          </cell>
          <cell r="BH431">
            <v>5936.9534936328637</v>
          </cell>
          <cell r="BI431">
            <v>11746.482231161803</v>
          </cell>
          <cell r="BJ431">
            <v>6139.5489973077947</v>
          </cell>
          <cell r="BK431">
            <v>6273.6218072537686</v>
          </cell>
          <cell r="BL431">
            <v>12413.170804561561</v>
          </cell>
          <cell r="BM431">
            <v>6315.3344823642501</v>
          </cell>
          <cell r="BN431">
            <v>6268.3837179184766</v>
          </cell>
          <cell r="BO431">
            <v>12583.718200282729</v>
          </cell>
          <cell r="BP431">
            <v>6363.6995307109764</v>
          </cell>
          <cell r="BQ431">
            <v>6273.8492875510547</v>
          </cell>
          <cell r="BR431">
            <v>12637.548818262034</v>
          </cell>
          <cell r="BS431">
            <v>6413.1503263109544</v>
          </cell>
          <cell r="BT431">
            <v>6392.1784164970222</v>
          </cell>
          <cell r="BU431">
            <v>12805.328742807978</v>
          </cell>
          <cell r="BV431">
            <v>6545.4484515270588</v>
          </cell>
          <cell r="BW431">
            <v>6558.0914217894115</v>
          </cell>
          <cell r="BX431">
            <v>13103.539873316467</v>
          </cell>
        </row>
        <row r="432">
          <cell r="B432" t="str">
            <v>Sales, revenue (Pub)</v>
          </cell>
          <cell r="C432" t="str">
            <v>REVS_PUB</v>
          </cell>
          <cell r="D432" t="str">
            <v>AUD</v>
          </cell>
          <cell r="F432">
            <v>9098</v>
          </cell>
          <cell r="G432">
            <v>10086</v>
          </cell>
          <cell r="H432">
            <v>14858</v>
          </cell>
          <cell r="I432">
            <v>16823</v>
          </cell>
          <cell r="J432">
            <v>16910</v>
          </cell>
          <cell r="K432">
            <v>17123</v>
          </cell>
          <cell r="L432">
            <v>18076</v>
          </cell>
          <cell r="M432">
            <v>18833</v>
          </cell>
          <cell r="N432">
            <v>9859</v>
          </cell>
          <cell r="O432">
            <v>9961</v>
          </cell>
          <cell r="P432">
            <v>19820</v>
          </cell>
          <cell r="Q432">
            <v>10020</v>
          </cell>
          <cell r="R432">
            <v>10520</v>
          </cell>
          <cell r="S432">
            <v>20540</v>
          </cell>
          <cell r="T432">
            <v>10619</v>
          </cell>
          <cell r="U432">
            <v>10617</v>
          </cell>
          <cell r="V432">
            <v>21236</v>
          </cell>
          <cell r="W432">
            <v>10761</v>
          </cell>
          <cell r="X432">
            <v>10795</v>
          </cell>
          <cell r="Y432">
            <v>21556</v>
          </cell>
          <cell r="Z432">
            <v>11239</v>
          </cell>
          <cell r="AA432">
            <v>10926</v>
          </cell>
          <cell r="AB432">
            <v>22165</v>
          </cell>
          <cell r="AC432">
            <v>10103</v>
          </cell>
          <cell r="AD432">
            <v>10552</v>
          </cell>
          <cell r="AE432">
            <v>20655</v>
          </cell>
          <cell r="AF432">
            <v>10341</v>
          </cell>
          <cell r="AG432">
            <v>10285</v>
          </cell>
          <cell r="AH432">
            <v>20626</v>
          </cell>
          <cell r="AI432">
            <v>10799</v>
          </cell>
          <cell r="AJ432">
            <v>10239</v>
          </cell>
          <cell r="AK432">
            <v>21038</v>
          </cell>
          <cell r="AL432">
            <v>10230</v>
          </cell>
          <cell r="AM432">
            <v>9376</v>
          </cell>
          <cell r="AN432">
            <v>19606</v>
          </cell>
          <cell r="AO432">
            <v>11003</v>
          </cell>
          <cell r="AP432">
            <v>10642</v>
          </cell>
          <cell r="AQ432">
            <v>21645</v>
          </cell>
          <cell r="AR432">
            <v>10590</v>
          </cell>
          <cell r="AS432">
            <v>10998</v>
          </cell>
          <cell r="AT432">
            <v>21588</v>
          </cell>
          <cell r="AU432">
            <v>10992.679498400001</v>
          </cell>
          <cell r="AV432" t="e">
            <v>#N/A</v>
          </cell>
          <cell r="AW432" t="e">
            <v>#N/A</v>
          </cell>
          <cell r="AX432">
            <v>11524.265110527222</v>
          </cell>
          <cell r="AY432">
            <v>11777.650285508242</v>
          </cell>
          <cell r="AZ432">
            <v>23301.915396035463</v>
          </cell>
          <cell r="BA432">
            <v>11804.222462353551</v>
          </cell>
          <cell r="BB432">
            <v>12041.103132002627</v>
          </cell>
          <cell r="BC432">
            <v>23845.325594356178</v>
          </cell>
          <cell r="BD432">
            <v>12207.112302094458</v>
          </cell>
          <cell r="BE432">
            <v>12436.578277137287</v>
          </cell>
          <cell r="BF432">
            <v>24643.690579231745</v>
          </cell>
          <cell r="BG432">
            <v>12576.857063585692</v>
          </cell>
          <cell r="BH432">
            <v>12870.324134530307</v>
          </cell>
          <cell r="BI432">
            <v>25447.181198115999</v>
          </cell>
          <cell r="BJ432">
            <v>12942.968406095541</v>
          </cell>
          <cell r="BK432">
            <v>13224.938543596838</v>
          </cell>
          <cell r="BL432">
            <v>26167.906949692377</v>
          </cell>
          <cell r="BM432">
            <v>13330.898043488294</v>
          </cell>
          <cell r="BN432">
            <v>13569.979593467737</v>
          </cell>
          <cell r="BO432">
            <v>26900.877636956033</v>
          </cell>
          <cell r="BP432">
            <v>13727.339976758492</v>
          </cell>
          <cell r="BQ432">
            <v>13900.627987727394</v>
          </cell>
          <cell r="BR432">
            <v>27627.967964485888</v>
          </cell>
          <cell r="BS432">
            <v>14061.033784168611</v>
          </cell>
          <cell r="BT432">
            <v>14315.771555965592</v>
          </cell>
          <cell r="BU432">
            <v>28376.805340134204</v>
          </cell>
          <cell r="BV432">
            <v>14440.667793884702</v>
          </cell>
          <cell r="BW432">
            <v>14701.21879858952</v>
          </cell>
          <cell r="BX432">
            <v>29141.88659247422</v>
          </cell>
        </row>
        <row r="433">
          <cell r="B433" t="str">
            <v>Total shareholders' equity (Pub)</v>
          </cell>
          <cell r="C433" t="str">
            <v>EQ_PUB</v>
          </cell>
          <cell r="D433" t="str">
            <v>AUD</v>
          </cell>
          <cell r="F433">
            <v>16098</v>
          </cell>
          <cell r="G433">
            <v>17831</v>
          </cell>
          <cell r="H433">
            <v>19471</v>
          </cell>
          <cell r="I433">
            <v>36571</v>
          </cell>
          <cell r="J433">
            <v>40118</v>
          </cell>
          <cell r="K433">
            <v>43808</v>
          </cell>
          <cell r="L433">
            <v>46219</v>
          </cell>
          <cell r="M433">
            <v>47537</v>
          </cell>
          <cell r="N433">
            <v>48031</v>
          </cell>
          <cell r="O433">
            <v>49337</v>
          </cell>
          <cell r="P433">
            <v>49337</v>
          </cell>
          <cell r="Q433">
            <v>50317</v>
          </cell>
          <cell r="R433">
            <v>53915</v>
          </cell>
          <cell r="S433">
            <v>53915</v>
          </cell>
          <cell r="T433">
            <v>57981</v>
          </cell>
          <cell r="U433">
            <v>58181</v>
          </cell>
          <cell r="V433">
            <v>58181</v>
          </cell>
          <cell r="W433">
            <v>59372</v>
          </cell>
          <cell r="X433">
            <v>61342</v>
          </cell>
          <cell r="Y433">
            <v>61342</v>
          </cell>
          <cell r="Z433">
            <v>62665</v>
          </cell>
          <cell r="AA433">
            <v>64573</v>
          </cell>
          <cell r="AB433">
            <v>64573</v>
          </cell>
          <cell r="AC433">
            <v>63935</v>
          </cell>
          <cell r="AD433">
            <v>65507</v>
          </cell>
          <cell r="AE433">
            <v>65507</v>
          </cell>
          <cell r="AF433">
            <v>67646</v>
          </cell>
          <cell r="AG433">
            <v>68074</v>
          </cell>
          <cell r="AH433">
            <v>68074</v>
          </cell>
          <cell r="AI433">
            <v>72061</v>
          </cell>
          <cell r="AJ433">
            <v>72092</v>
          </cell>
          <cell r="AK433">
            <v>72092</v>
          </cell>
          <cell r="AL433">
            <v>70333</v>
          </cell>
          <cell r="AM433">
            <v>70509</v>
          </cell>
          <cell r="AN433">
            <v>70509</v>
          </cell>
          <cell r="AO433">
            <v>72668</v>
          </cell>
          <cell r="AP433">
            <v>72539</v>
          </cell>
          <cell r="AQ433">
            <v>72539</v>
          </cell>
          <cell r="AR433">
            <v>72560</v>
          </cell>
          <cell r="AS433">
            <v>72052</v>
          </cell>
          <cell r="AT433">
            <v>72052</v>
          </cell>
          <cell r="AU433">
            <v>72052</v>
          </cell>
          <cell r="AV433" t="e">
            <v>#N/A</v>
          </cell>
          <cell r="AW433" t="e">
            <v>#N/A</v>
          </cell>
          <cell r="AX433">
            <v>74114.652339469219</v>
          </cell>
          <cell r="AY433">
            <v>74422.630357905931</v>
          </cell>
          <cell r="AZ433">
            <v>74422.630357905931</v>
          </cell>
          <cell r="BA433">
            <v>74663.910326716621</v>
          </cell>
          <cell r="BB433">
            <v>74965.612582219343</v>
          </cell>
          <cell r="BC433">
            <v>74965.612582219343</v>
          </cell>
          <cell r="BD433">
            <v>75326.749549741129</v>
          </cell>
          <cell r="BE433">
            <v>75651.224442572784</v>
          </cell>
          <cell r="BF433">
            <v>75651.224442572799</v>
          </cell>
          <cell r="BG433">
            <v>76078.549606753455</v>
          </cell>
          <cell r="BH433">
            <v>76514.303820831352</v>
          </cell>
          <cell r="BI433">
            <v>76514.303820831381</v>
          </cell>
          <cell r="BJ433">
            <v>77647.358714097165</v>
          </cell>
          <cell r="BK433">
            <v>78779.090625402619</v>
          </cell>
          <cell r="BL433">
            <v>78779.090625402663</v>
          </cell>
          <cell r="BM433">
            <v>79889.819776992008</v>
          </cell>
          <cell r="BN433">
            <v>80914.818910864706</v>
          </cell>
          <cell r="BO433">
            <v>80914.818910864749</v>
          </cell>
          <cell r="BP433">
            <v>81906.49452547192</v>
          </cell>
          <cell r="BQ433">
            <v>82736.371491619648</v>
          </cell>
          <cell r="BR433">
            <v>82736.371491619677</v>
          </cell>
          <cell r="BS433">
            <v>83662.900724077655</v>
          </cell>
          <cell r="BT433">
            <v>84508.574067068359</v>
          </cell>
          <cell r="BU433">
            <v>84508.574067068374</v>
          </cell>
          <cell r="BV433">
            <v>85460.591887996823</v>
          </cell>
          <cell r="BW433">
            <v>86355.077079428214</v>
          </cell>
          <cell r="BX433">
            <v>86355.077079428214</v>
          </cell>
        </row>
        <row r="434">
          <cell r="B434" t="str">
            <v>EPS (consensus)</v>
          </cell>
          <cell r="C434" t="str">
            <v>EPS_CONS_PUB</v>
          </cell>
          <cell r="D434" t="str">
            <v>AUD</v>
          </cell>
        </row>
        <row r="435">
          <cell r="B435" t="str">
            <v>NTA Per Share</v>
          </cell>
          <cell r="C435" t="str">
            <v>NTA_PER_SHARE</v>
          </cell>
          <cell r="D435" t="str">
            <v>AUD</v>
          </cell>
          <cell r="F435">
            <v>6.3341512955643395</v>
          </cell>
          <cell r="G435">
            <v>7.2746012402848859</v>
          </cell>
          <cell r="H435">
            <v>3.4699848085072356</v>
          </cell>
          <cell r="I435">
            <v>8.0262416755106312</v>
          </cell>
          <cell r="J435">
            <v>9.1595935940198245</v>
          </cell>
          <cell r="K435">
            <v>10.294279427942794</v>
          </cell>
          <cell r="L435">
            <v>10.875314836678474</v>
          </cell>
          <cell r="M435">
            <v>11.594409843042843</v>
          </cell>
          <cell r="N435">
            <v>11.682415990071183</v>
          </cell>
          <cell r="O435">
            <v>12.135247619326099</v>
          </cell>
          <cell r="P435">
            <v>12.135247619326099</v>
          </cell>
          <cell r="Q435">
            <v>12.409762691012691</v>
          </cell>
          <cell r="R435">
            <v>13.492440104563221</v>
          </cell>
          <cell r="S435">
            <v>13.492440104563221</v>
          </cell>
          <cell r="T435">
            <v>14.195743405275779</v>
          </cell>
          <cell r="U435">
            <v>14.399282725642559</v>
          </cell>
          <cell r="V435">
            <v>14.399282725642559</v>
          </cell>
          <cell r="W435">
            <v>14.74232946082812</v>
          </cell>
          <cell r="X435">
            <v>15.187527254790558</v>
          </cell>
          <cell r="Y435">
            <v>15.187527254790558</v>
          </cell>
          <cell r="Z435">
            <v>15.547686606078631</v>
          </cell>
          <cell r="AA435">
            <v>15.993668511463763</v>
          </cell>
          <cell r="AB435">
            <v>15.993668511463763</v>
          </cell>
          <cell r="AC435">
            <v>15.743838092933176</v>
          </cell>
          <cell r="AD435">
            <v>16.007776557564718</v>
          </cell>
          <cell r="AE435">
            <v>16.007776557564718</v>
          </cell>
          <cell r="AF435">
            <v>16.054003072532737</v>
          </cell>
          <cell r="AG435">
            <v>16.323683300752649</v>
          </cell>
          <cell r="AH435">
            <v>16.323683300752649</v>
          </cell>
          <cell r="AI435">
            <v>17.247762441713437</v>
          </cell>
          <cell r="AJ435">
            <v>17.381601262082956</v>
          </cell>
          <cell r="AK435">
            <v>17.381601262082956</v>
          </cell>
          <cell r="AL435">
            <v>17.7474246673392</v>
          </cell>
          <cell r="AM435">
            <v>17.819687098793377</v>
          </cell>
          <cell r="AN435">
            <v>17.819687098793377</v>
          </cell>
          <cell r="AO435">
            <v>18.390021289245251</v>
          </cell>
          <cell r="AP435">
            <v>18.366653320706881</v>
          </cell>
          <cell r="AQ435">
            <v>18.366653320706881</v>
          </cell>
          <cell r="AR435">
            <v>18.565981490812973</v>
          </cell>
          <cell r="AS435">
            <v>18.492994101555766</v>
          </cell>
          <cell r="AT435">
            <v>18.492994101555766</v>
          </cell>
          <cell r="AU435">
            <v>18.688848627248166</v>
          </cell>
          <cell r="AV435" t="e">
            <v>#N/A</v>
          </cell>
          <cell r="AW435" t="e">
            <v>#N/A</v>
          </cell>
          <cell r="AX435">
            <v>19.371756802152433</v>
          </cell>
          <cell r="AY435">
            <v>19.550222236634152</v>
          </cell>
          <cell r="AZ435">
            <v>19.550222236634152</v>
          </cell>
          <cell r="BA435">
            <v>19.706833661205884</v>
          </cell>
          <cell r="BB435">
            <v>19.879137539781791</v>
          </cell>
          <cell r="BC435">
            <v>19.879137539781791</v>
          </cell>
          <cell r="BD435">
            <v>20.067096398844569</v>
          </cell>
          <cell r="BE435">
            <v>20.242175151943652</v>
          </cell>
          <cell r="BF435">
            <v>20.242175151943655</v>
          </cell>
          <cell r="BG435">
            <v>20.446210114479744</v>
          </cell>
          <cell r="BH435">
            <v>20.651086879124971</v>
          </cell>
          <cell r="BI435">
            <v>20.651086879124978</v>
          </cell>
          <cell r="BJ435">
            <v>20.992858510550832</v>
          </cell>
          <cell r="BK435">
            <v>21.334231081255428</v>
          </cell>
          <cell r="BL435">
            <v>21.334231081255442</v>
          </cell>
          <cell r="BM435">
            <v>21.669268435991881</v>
          </cell>
          <cell r="BN435">
            <v>21.978446418696716</v>
          </cell>
          <cell r="BO435">
            <v>21.978446418696731</v>
          </cell>
          <cell r="BP435">
            <v>22.277572784651202</v>
          </cell>
          <cell r="BQ435">
            <v>22.527894641331553</v>
          </cell>
          <cell r="BR435">
            <v>22.52789464133156</v>
          </cell>
          <cell r="BS435">
            <v>22.807370427741343</v>
          </cell>
          <cell r="BT435">
            <v>23.062457061059021</v>
          </cell>
          <cell r="BU435">
            <v>23.062457061059025</v>
          </cell>
          <cell r="BV435">
            <v>23.349621156760854</v>
          </cell>
          <cell r="BW435">
            <v>23.619431264795981</v>
          </cell>
          <cell r="BX435">
            <v>23.619431264795981</v>
          </cell>
        </row>
        <row r="436">
          <cell r="A436" t="str">
            <v>ANZ Publishing Items</v>
          </cell>
        </row>
        <row r="437">
          <cell r="B437" t="str">
            <v>Risk to Earnings (+,0,-)</v>
          </cell>
          <cell r="C437" t="str">
            <v>RISK_TO_EARNINGS</v>
          </cell>
          <cell r="E437" t="str">
            <v>0</v>
          </cell>
        </row>
        <row r="438">
          <cell r="B438" t="str">
            <v>Cost of equity</v>
          </cell>
          <cell r="C438" t="str">
            <v>COST_OF_EQUITY_DCF</v>
          </cell>
          <cell r="E438">
            <v>8.8999999999999996E-2</v>
          </cell>
        </row>
        <row r="439">
          <cell r="B439" t="str">
            <v>Risk Margin of Debt</v>
          </cell>
          <cell r="C439" t="str">
            <v>DEBT_RISK_MARGIN_DCF</v>
          </cell>
        </row>
        <row r="440">
          <cell r="B440" t="str">
            <v>Perpetuity Growth Rate</v>
          </cell>
          <cell r="C440" t="str">
            <v>PERPETUITY_GROWTH_RATE_DCF</v>
          </cell>
          <cell r="E440">
            <v>2.5000000000000001E-2</v>
          </cell>
        </row>
        <row r="441">
          <cell r="B441" t="str">
            <v>Discount Factor</v>
          </cell>
          <cell r="C441" t="str">
            <v>DISCOUNT_FACTOR_DCF</v>
          </cell>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0</v>
          </cell>
          <cell r="AS441">
            <v>0</v>
          </cell>
          <cell r="AT441">
            <v>0</v>
          </cell>
          <cell r="AU441">
            <v>0</v>
          </cell>
          <cell r="AV441" t="e">
            <v>#N/A</v>
          </cell>
          <cell r="AW441" t="e">
            <v>#N/A</v>
          </cell>
          <cell r="AX441">
            <v>0</v>
          </cell>
          <cell r="AY441">
            <v>0</v>
          </cell>
          <cell r="AZ441">
            <v>0</v>
          </cell>
          <cell r="BA441">
            <v>0</v>
          </cell>
          <cell r="BB441">
            <v>0</v>
          </cell>
          <cell r="BC441">
            <v>0</v>
          </cell>
          <cell r="BD441">
            <v>0</v>
          </cell>
          <cell r="BE441">
            <v>0</v>
          </cell>
          <cell r="BF441">
            <v>0</v>
          </cell>
          <cell r="BG441">
            <v>0</v>
          </cell>
          <cell r="BH441">
            <v>0</v>
          </cell>
          <cell r="BI441">
            <v>0</v>
          </cell>
          <cell r="BJ441">
            <v>0</v>
          </cell>
          <cell r="BK441">
            <v>0</v>
          </cell>
          <cell r="BL441">
            <v>0</v>
          </cell>
          <cell r="BM441">
            <v>0</v>
          </cell>
          <cell r="BN441">
            <v>0</v>
          </cell>
          <cell r="BO441">
            <v>0</v>
          </cell>
          <cell r="BP441">
            <v>0</v>
          </cell>
          <cell r="BQ441">
            <v>0</v>
          </cell>
          <cell r="BR441">
            <v>0</v>
          </cell>
          <cell r="BS441">
            <v>0</v>
          </cell>
          <cell r="BT441">
            <v>0</v>
          </cell>
          <cell r="BU441">
            <v>0</v>
          </cell>
          <cell r="BV441">
            <v>0</v>
          </cell>
          <cell r="BW441">
            <v>0</v>
          </cell>
          <cell r="BX441">
            <v>0</v>
          </cell>
        </row>
        <row r="442">
          <cell r="B442" t="str">
            <v>Present Value of Cash Flow</v>
          </cell>
          <cell r="C442" t="str">
            <v>PRESENT_VALUE_OF_CASH_FLOW_DCF</v>
          </cell>
          <cell r="D442" t="str">
            <v>AUD</v>
          </cell>
          <cell r="J442">
            <v>3136</v>
          </cell>
          <cell r="K442">
            <v>3935</v>
          </cell>
          <cell r="L442">
            <v>4188</v>
          </cell>
          <cell r="M442">
            <v>2144</v>
          </cell>
          <cell r="N442">
            <v>3018</v>
          </cell>
          <cell r="O442">
            <v>2770</v>
          </cell>
          <cell r="P442">
            <v>5788</v>
          </cell>
          <cell r="Q442">
            <v>2477</v>
          </cell>
          <cell r="R442">
            <v>847</v>
          </cell>
          <cell r="S442">
            <v>3324</v>
          </cell>
          <cell r="T442">
            <v>-923</v>
          </cell>
          <cell r="U442">
            <v>2813</v>
          </cell>
          <cell r="V442">
            <v>1890</v>
          </cell>
          <cell r="W442">
            <v>2845</v>
          </cell>
          <cell r="X442">
            <v>2020</v>
          </cell>
          <cell r="Y442">
            <v>4865</v>
          </cell>
          <cell r="Z442">
            <v>2978</v>
          </cell>
          <cell r="AA442">
            <v>2255</v>
          </cell>
          <cell r="AB442">
            <v>5233</v>
          </cell>
          <cell r="AC442">
            <v>2994</v>
          </cell>
          <cell r="AD442">
            <v>2078</v>
          </cell>
          <cell r="AE442">
            <v>5072</v>
          </cell>
          <cell r="AF442">
            <v>2581</v>
          </cell>
          <cell r="AG442">
            <v>-47</v>
          </cell>
          <cell r="AH442">
            <v>2534</v>
          </cell>
          <cell r="AI442">
            <v>74</v>
          </cell>
          <cell r="AJ442">
            <v>2129</v>
          </cell>
          <cell r="AK442">
            <v>2203</v>
          </cell>
          <cell r="AL442">
            <v>5792</v>
          </cell>
          <cell r="AM442">
            <v>2140</v>
          </cell>
          <cell r="AN442">
            <v>7932</v>
          </cell>
          <cell r="AO442">
            <v>2336</v>
          </cell>
          <cell r="AP442">
            <v>2460</v>
          </cell>
          <cell r="AQ442">
            <v>4796</v>
          </cell>
          <cell r="AR442">
            <v>2621</v>
          </cell>
          <cell r="AS442">
            <v>3172</v>
          </cell>
          <cell r="AT442">
            <v>5793</v>
          </cell>
          <cell r="AU442">
            <v>2712</v>
          </cell>
          <cell r="AV442" t="e">
            <v>#N/A</v>
          </cell>
          <cell r="AW442" t="e">
            <v>#N/A</v>
          </cell>
          <cell r="AX442">
            <v>3033.6720448499987</v>
          </cell>
          <cell r="AY442">
            <v>3299.0400444352363</v>
          </cell>
          <cell r="AZ442">
            <v>6332.7120892852363</v>
          </cell>
          <cell r="BA442">
            <v>3320.9944729064432</v>
          </cell>
          <cell r="BB442">
            <v>3343.1547707523819</v>
          </cell>
          <cell r="BC442">
            <v>6664.1492436588242</v>
          </cell>
          <cell r="BD442">
            <v>3365.5184962442304</v>
          </cell>
          <cell r="BE442">
            <v>3388.0830528907027</v>
          </cell>
          <cell r="BF442">
            <v>6753.6015491349317</v>
          </cell>
          <cell r="BG442">
            <v>3477.6371694185032</v>
          </cell>
          <cell r="BH442">
            <v>3566.8894875265064</v>
          </cell>
          <cell r="BI442">
            <v>7044.5266569450114</v>
          </cell>
          <cell r="BJ442">
            <v>3016.8681600934874</v>
          </cell>
          <cell r="BK442">
            <v>3116.3253521844881</v>
          </cell>
          <cell r="BL442">
            <v>6133.1935122779742</v>
          </cell>
          <cell r="BM442">
            <v>3215.7825442754875</v>
          </cell>
          <cell r="BN442">
            <v>3315.2397363664627</v>
          </cell>
          <cell r="BO442">
            <v>6531.0222806419533</v>
          </cell>
          <cell r="BP442">
            <v>3414.6969284574589</v>
          </cell>
          <cell r="BQ442">
            <v>3514.1541205484586</v>
          </cell>
          <cell r="BR442">
            <v>6928.8510490059198</v>
          </cell>
          <cell r="BS442">
            <v>3514.15412054846</v>
          </cell>
          <cell r="BT442">
            <v>3580.4589152757808</v>
          </cell>
          <cell r="BU442">
            <v>7094.6130358242417</v>
          </cell>
          <cell r="BV442">
            <v>3580.4589152757931</v>
          </cell>
          <cell r="BW442">
            <v>3646.7637100031075</v>
          </cell>
          <cell r="BX442">
            <v>7227.2226252788969</v>
          </cell>
        </row>
        <row r="443">
          <cell r="B443" t="str">
            <v>Cumulative Present Value of Cash Flows</v>
          </cell>
          <cell r="C443" t="str">
            <v>CUM_PRESENT_VAL_CASH_FLOWS_DCF</v>
          </cell>
          <cell r="D443" t="str">
            <v>AUD</v>
          </cell>
          <cell r="E443">
            <v>37833.566115873473</v>
          </cell>
        </row>
        <row r="444">
          <cell r="B444" t="str">
            <v>Terminal Year</v>
          </cell>
          <cell r="C444" t="str">
            <v>TERMINAL_YEAR_DCF</v>
          </cell>
          <cell r="D444" t="str">
            <v>AUD</v>
          </cell>
          <cell r="E444">
            <v>61058.286051496027</v>
          </cell>
        </row>
        <row r="445">
          <cell r="B445" t="str">
            <v>Market Value of Investments</v>
          </cell>
          <cell r="C445" t="str">
            <v>MARKET_VALUE_OF_INVESTMENTS_DCF</v>
          </cell>
          <cell r="D445" t="str">
            <v>AUD</v>
          </cell>
        </row>
        <row r="446">
          <cell r="B446" t="str">
            <v>Net debt/(net cash) including options in the money</v>
          </cell>
          <cell r="C446" t="str">
            <v>NET_DEBT_NET_CASH_DCF</v>
          </cell>
          <cell r="D446" t="str">
            <v>AUD</v>
          </cell>
        </row>
        <row r="447">
          <cell r="B447" t="str">
            <v>Equity Value</v>
          </cell>
          <cell r="C447" t="str">
            <v>EQUITY_VALUE_DCF</v>
          </cell>
          <cell r="D447" t="str">
            <v>AUD</v>
          </cell>
          <cell r="E447">
            <v>98891.852167369492</v>
          </cell>
        </row>
        <row r="448">
          <cell r="B448" t="str">
            <v>Value of Imputation Credits per Share</v>
          </cell>
          <cell r="C448" t="str">
            <v>IMP_CREDITS_PER_SHARE_DCF</v>
          </cell>
          <cell r="D448" t="str">
            <v>AUD</v>
          </cell>
          <cell r="E448">
            <v>7.0143029851484249</v>
          </cell>
        </row>
        <row r="449">
          <cell r="B449" t="str">
            <v>Base case valuation</v>
          </cell>
          <cell r="C449" t="str">
            <v>BASE_CASE_VAL_DCF</v>
          </cell>
          <cell r="D449" t="str">
            <v>AUD</v>
          </cell>
          <cell r="E449">
            <v>36.126162090412578</v>
          </cell>
        </row>
        <row r="450">
          <cell r="B450" t="str">
            <v>Risk adjusted option value</v>
          </cell>
          <cell r="C450" t="str">
            <v>RISK_ADJ_OPTION_VALUE_DCF</v>
          </cell>
          <cell r="D450" t="str">
            <v>AUD</v>
          </cell>
        </row>
        <row r="451">
          <cell r="B451" t="str">
            <v>Intrinsic per Share Value (pre Imputation Credits)</v>
          </cell>
          <cell r="C451" t="str">
            <v>INTRINSIC_PER_SHARE_VALUE_DCF</v>
          </cell>
          <cell r="D451" t="str">
            <v>AUD</v>
          </cell>
          <cell r="E451">
            <v>29.111859105264163</v>
          </cell>
        </row>
        <row r="452">
          <cell r="B452" t="str">
            <v>Capital at End of Year</v>
          </cell>
          <cell r="C452" t="str">
            <v>YEAR_END_CAPITAL_EVA</v>
          </cell>
          <cell r="D452" t="str">
            <v>AUD</v>
          </cell>
        </row>
        <row r="453">
          <cell r="B453" t="str">
            <v>Net Profit - Reported</v>
          </cell>
          <cell r="C453" t="str">
            <v>NI_REPT_PUB</v>
          </cell>
          <cell r="D453" t="str">
            <v>AUD</v>
          </cell>
          <cell r="F453">
            <v>3071</v>
          </cell>
          <cell r="G453">
            <v>3451</v>
          </cell>
          <cell r="H453">
            <v>3859</v>
          </cell>
          <cell r="I453">
            <v>3446</v>
          </cell>
          <cell r="J453">
            <v>6346</v>
          </cell>
          <cell r="K453">
            <v>6991</v>
          </cell>
          <cell r="L453">
            <v>5970</v>
          </cell>
          <cell r="M453">
            <v>6751</v>
          </cell>
          <cell r="N453">
            <v>3622</v>
          </cell>
          <cell r="O453">
            <v>3939</v>
          </cell>
          <cell r="P453">
            <v>7561</v>
          </cell>
          <cell r="Q453">
            <v>3609</v>
          </cell>
          <cell r="R453">
            <v>4403</v>
          </cell>
          <cell r="S453">
            <v>8012</v>
          </cell>
          <cell r="T453">
            <v>3701</v>
          </cell>
          <cell r="U453">
            <v>3744</v>
          </cell>
          <cell r="V453">
            <v>7445</v>
          </cell>
          <cell r="W453">
            <v>3907</v>
          </cell>
          <cell r="X453">
            <v>4083</v>
          </cell>
          <cell r="Y453">
            <v>7990</v>
          </cell>
          <cell r="Z453">
            <v>4198</v>
          </cell>
          <cell r="AA453">
            <v>3897</v>
          </cell>
          <cell r="AB453">
            <v>8095</v>
          </cell>
          <cell r="AC453">
            <v>3173</v>
          </cell>
          <cell r="AD453">
            <v>3611</v>
          </cell>
          <cell r="AE453">
            <v>6784</v>
          </cell>
          <cell r="AF453">
            <v>1190</v>
          </cell>
          <cell r="AG453">
            <v>1100</v>
          </cell>
          <cell r="AH453">
            <v>2290</v>
          </cell>
          <cell r="AI453">
            <v>3443</v>
          </cell>
          <cell r="AJ453">
            <v>2015</v>
          </cell>
          <cell r="AK453">
            <v>5458</v>
          </cell>
          <cell r="AL453">
            <v>3287</v>
          </cell>
          <cell r="AM453">
            <v>2418</v>
          </cell>
          <cell r="AN453">
            <v>5705</v>
          </cell>
          <cell r="AO453">
            <v>4001</v>
          </cell>
          <cell r="AP453">
            <v>3194</v>
          </cell>
          <cell r="AQ453">
            <v>7195</v>
          </cell>
          <cell r="AR453">
            <v>3342</v>
          </cell>
          <cell r="AS453">
            <v>3648</v>
          </cell>
          <cell r="AT453">
            <v>6990</v>
          </cell>
          <cell r="AU453">
            <v>3316.6794984000007</v>
          </cell>
          <cell r="AV453" t="e">
            <v>#N/A</v>
          </cell>
          <cell r="AW453" t="e">
            <v>#N/A</v>
          </cell>
          <cell r="AX453">
            <v>3649.4263184143051</v>
          </cell>
          <cell r="AY453">
            <v>3738.4753296593349</v>
          </cell>
          <cell r="AZ453">
            <v>7387.90164807364</v>
          </cell>
          <cell r="BA453">
            <v>3732.1385785349948</v>
          </cell>
          <cell r="BB453">
            <v>3712.9052365649763</v>
          </cell>
          <cell r="BC453">
            <v>7445.0438150999707</v>
          </cell>
          <cell r="BD453">
            <v>3824.0192801162757</v>
          </cell>
          <cell r="BE453">
            <v>3837.4357450744628</v>
          </cell>
          <cell r="BF453">
            <v>7661.4550251907385</v>
          </cell>
          <cell r="BG453">
            <v>4021.8681376357499</v>
          </cell>
          <cell r="BH453">
            <v>4110.2801952278423</v>
          </cell>
          <cell r="BI453">
            <v>8132.1483328635923</v>
          </cell>
          <cell r="BJ453">
            <v>4250.8485265825293</v>
          </cell>
          <cell r="BK453">
            <v>4343.8732523650879</v>
          </cell>
          <cell r="BL453">
            <v>8594.7217789476163</v>
          </cell>
          <cell r="BM453">
            <v>4372.8150651410942</v>
          </cell>
          <cell r="BN453">
            <v>4340.2388702391636</v>
          </cell>
          <cell r="BO453">
            <v>8713.0539353802578</v>
          </cell>
          <cell r="BP453">
            <v>4406.3725430646737</v>
          </cell>
          <cell r="BQ453">
            <v>4344.0310866961836</v>
          </cell>
          <cell r="BR453">
            <v>8750.4036297608582</v>
          </cell>
          <cell r="BS453">
            <v>4440.6833530064587</v>
          </cell>
          <cell r="BT453">
            <v>4426.1322582664907</v>
          </cell>
          <cell r="BU453">
            <v>8866.8156112729484</v>
          </cell>
          <cell r="BV453">
            <v>4532.4767362042439</v>
          </cell>
          <cell r="BW453">
            <v>4541.2489014345119</v>
          </cell>
          <cell r="BX453">
            <v>9073.7256376387559</v>
          </cell>
        </row>
        <row r="454">
          <cell r="B454" t="str">
            <v>Franking (Pub)</v>
          </cell>
          <cell r="C454" t="str">
            <v>FRANKING_ANZPUB</v>
          </cell>
          <cell r="F454">
            <v>1</v>
          </cell>
          <cell r="G454">
            <v>1</v>
          </cell>
          <cell r="H454">
            <v>1</v>
          </cell>
          <cell r="I454">
            <v>1</v>
          </cell>
          <cell r="J454">
            <v>1</v>
          </cell>
          <cell r="K454">
            <v>1</v>
          </cell>
          <cell r="L454">
            <v>1</v>
          </cell>
          <cell r="M454">
            <v>1</v>
          </cell>
          <cell r="N454">
            <v>1</v>
          </cell>
          <cell r="O454">
            <v>1</v>
          </cell>
          <cell r="P454">
            <v>1</v>
          </cell>
          <cell r="Q454">
            <v>1</v>
          </cell>
          <cell r="R454">
            <v>1</v>
          </cell>
          <cell r="S454">
            <v>1</v>
          </cell>
          <cell r="T454">
            <v>1</v>
          </cell>
          <cell r="U454">
            <v>1</v>
          </cell>
          <cell r="V454">
            <v>1</v>
          </cell>
          <cell r="W454">
            <v>1</v>
          </cell>
          <cell r="X454">
            <v>1</v>
          </cell>
          <cell r="Y454">
            <v>1</v>
          </cell>
          <cell r="Z454">
            <v>1</v>
          </cell>
          <cell r="AA454">
            <v>1</v>
          </cell>
          <cell r="AB454">
            <v>1</v>
          </cell>
          <cell r="AC454">
            <v>1</v>
          </cell>
          <cell r="AD454">
            <v>1</v>
          </cell>
          <cell r="AE454">
            <v>1</v>
          </cell>
          <cell r="AF454">
            <v>1</v>
          </cell>
          <cell r="AG454">
            <v>1</v>
          </cell>
          <cell r="AH454">
            <v>1</v>
          </cell>
          <cell r="AI454">
            <v>1</v>
          </cell>
          <cell r="AJ454">
            <v>1</v>
          </cell>
          <cell r="AK454">
            <v>1</v>
          </cell>
          <cell r="AL454">
            <v>1</v>
          </cell>
          <cell r="AM454">
            <v>1</v>
          </cell>
          <cell r="AN454">
            <v>1</v>
          </cell>
          <cell r="AO454">
            <v>1</v>
          </cell>
          <cell r="AP454">
            <v>1</v>
          </cell>
          <cell r="AQ454">
            <v>1</v>
          </cell>
          <cell r="AR454">
            <v>1</v>
          </cell>
          <cell r="AS454">
            <v>1</v>
          </cell>
          <cell r="AT454">
            <v>1</v>
          </cell>
          <cell r="AU454">
            <v>1</v>
          </cell>
          <cell r="AV454" t="e">
            <v>#N/A</v>
          </cell>
          <cell r="AW454" t="e">
            <v>#N/A</v>
          </cell>
          <cell r="AX454">
            <v>1</v>
          </cell>
          <cell r="AY454">
            <v>1</v>
          </cell>
          <cell r="AZ454">
            <v>1</v>
          </cell>
          <cell r="BA454">
            <v>1</v>
          </cell>
          <cell r="BB454">
            <v>1</v>
          </cell>
          <cell r="BC454">
            <v>1</v>
          </cell>
          <cell r="BD454">
            <v>1</v>
          </cell>
          <cell r="BE454">
            <v>1</v>
          </cell>
          <cell r="BF454">
            <v>1</v>
          </cell>
          <cell r="BG454">
            <v>1</v>
          </cell>
          <cell r="BH454">
            <v>1</v>
          </cell>
          <cell r="BI454">
            <v>1</v>
          </cell>
          <cell r="BJ454">
            <v>1</v>
          </cell>
          <cell r="BK454">
            <v>1</v>
          </cell>
          <cell r="BL454">
            <v>1</v>
          </cell>
          <cell r="BM454">
            <v>1</v>
          </cell>
          <cell r="BN454">
            <v>1</v>
          </cell>
          <cell r="BO454">
            <v>1</v>
          </cell>
          <cell r="BP454">
            <v>1</v>
          </cell>
          <cell r="BQ454">
            <v>1</v>
          </cell>
          <cell r="BR454">
            <v>1</v>
          </cell>
          <cell r="BS454">
            <v>1</v>
          </cell>
          <cell r="BT454">
            <v>1</v>
          </cell>
          <cell r="BU454">
            <v>1</v>
          </cell>
          <cell r="BV454">
            <v>1</v>
          </cell>
          <cell r="BW454">
            <v>1</v>
          </cell>
          <cell r="BX454">
            <v>1</v>
          </cell>
        </row>
        <row r="455">
          <cell r="B455" t="str">
            <v>Franking for special dividends</v>
          </cell>
          <cell r="C455" t="str">
            <v>FRANKING_SPECIAL_ANZPUB</v>
          </cell>
        </row>
        <row r="456">
          <cell r="B456" t="str">
            <v>Debt to equity</v>
          </cell>
          <cell r="C456" t="str">
            <v>DEBT_EQUITY</v>
          </cell>
        </row>
        <row r="457">
          <cell r="A457" t="str">
            <v>Income Statement</v>
          </cell>
        </row>
        <row r="458">
          <cell r="B458" t="str">
            <v>Provision for income tax</v>
          </cell>
          <cell r="C458" t="str">
            <v>PROV_INC_TAX</v>
          </cell>
          <cell r="D458" t="str">
            <v>AUD</v>
          </cell>
          <cell r="F458">
            <v>-1295</v>
          </cell>
          <cell r="G458">
            <v>-1487</v>
          </cell>
          <cell r="H458">
            <v>-2061</v>
          </cell>
          <cell r="I458">
            <v>-2045</v>
          </cell>
          <cell r="J458">
            <v>-2537</v>
          </cell>
          <cell r="K458">
            <v>-2655</v>
          </cell>
          <cell r="L458">
            <v>-2818</v>
          </cell>
          <cell r="M458">
            <v>-3088</v>
          </cell>
          <cell r="N458">
            <v>-1643</v>
          </cell>
          <cell r="O458">
            <v>-1587</v>
          </cell>
          <cell r="P458">
            <v>-3230</v>
          </cell>
          <cell r="Q458">
            <v>-1613</v>
          </cell>
          <cell r="R458">
            <v>-1661</v>
          </cell>
          <cell r="S458">
            <v>-3274</v>
          </cell>
          <cell r="T458">
            <v>-1620</v>
          </cell>
          <cell r="U458">
            <v>-1724</v>
          </cell>
          <cell r="V458">
            <v>-3344</v>
          </cell>
          <cell r="W458">
            <v>-1745</v>
          </cell>
          <cell r="X458">
            <v>-1784</v>
          </cell>
          <cell r="Y458">
            <v>-3529</v>
          </cell>
          <cell r="Z458">
            <v>-1851</v>
          </cell>
          <cell r="AA458">
            <v>-1735</v>
          </cell>
          <cell r="AB458">
            <v>-3586</v>
          </cell>
          <cell r="AC458">
            <v>-1430</v>
          </cell>
          <cell r="AD458">
            <v>-1545</v>
          </cell>
          <cell r="AE458">
            <v>-2975</v>
          </cell>
          <cell r="AF458">
            <v>-949</v>
          </cell>
          <cell r="AG458">
            <v>-1189</v>
          </cell>
          <cell r="AH458">
            <v>-2138</v>
          </cell>
          <cell r="AI458">
            <v>-1651</v>
          </cell>
          <cell r="AJ458">
            <v>-1337</v>
          </cell>
          <cell r="AK458">
            <v>-2988</v>
          </cell>
          <cell r="AL458">
            <v>-1434</v>
          </cell>
          <cell r="AM458">
            <v>-1336</v>
          </cell>
          <cell r="AN458">
            <v>-2770</v>
          </cell>
          <cell r="AO458">
            <v>-1620</v>
          </cell>
          <cell r="AP458">
            <v>-1484</v>
          </cell>
          <cell r="AQ458">
            <v>-3104</v>
          </cell>
          <cell r="AR458">
            <v>-1491</v>
          </cell>
          <cell r="AS458">
            <v>-1626</v>
          </cell>
          <cell r="AT458">
            <v>-3117</v>
          </cell>
          <cell r="AU458">
            <v>-1580</v>
          </cell>
          <cell r="AV458" t="e">
            <v>#N/A</v>
          </cell>
          <cell r="AW458" t="e">
            <v>#N/A</v>
          </cell>
          <cell r="AX458">
            <v>-1614.3169481084692</v>
          </cell>
          <cell r="AY458">
            <v>-1653.610708745819</v>
          </cell>
          <cell r="AZ458">
            <v>-3267.9276568542882</v>
          </cell>
          <cell r="BA458">
            <v>-1650.8145543762537</v>
          </cell>
          <cell r="BB458">
            <v>-1642.327651208439</v>
          </cell>
          <cell r="BC458">
            <v>-3293.1422055846924</v>
          </cell>
          <cell r="BD458">
            <v>-1691.3578264985272</v>
          </cell>
          <cell r="BE458">
            <v>-1697.2779749122562</v>
          </cell>
          <cell r="BF458">
            <v>-3388.6358014107836</v>
          </cell>
          <cell r="BG458">
            <v>-1778.6605998931873</v>
          </cell>
          <cell r="BH458">
            <v>-1817.6732984050213</v>
          </cell>
          <cell r="BI458">
            <v>-3596.3338982982086</v>
          </cell>
          <cell r="BJ458">
            <v>-1879.7004707252652</v>
          </cell>
          <cell r="BK458">
            <v>-1920.7485548886809</v>
          </cell>
          <cell r="BL458">
            <v>-3800.4490256139461</v>
          </cell>
          <cell r="BM458">
            <v>-1933.5194172231561</v>
          </cell>
          <cell r="BN458">
            <v>-1919.1448476793132</v>
          </cell>
          <cell r="BO458">
            <v>-3852.6642649024693</v>
          </cell>
          <cell r="BP458">
            <v>-1948.3269876463023</v>
          </cell>
          <cell r="BQ458">
            <v>-1920.8182008548713</v>
          </cell>
          <cell r="BR458">
            <v>-3869.1451885011738</v>
          </cell>
          <cell r="BS458">
            <v>-1963.4669733044959</v>
          </cell>
          <cell r="BT458">
            <v>-1957.0461582305318</v>
          </cell>
          <cell r="BU458">
            <v>-3920.5131315350277</v>
          </cell>
          <cell r="BV458">
            <v>-2003.971715322815</v>
          </cell>
          <cell r="BW458">
            <v>-2007.8425203548998</v>
          </cell>
          <cell r="BX458">
            <v>-4011.8142356777148</v>
          </cell>
        </row>
        <row r="459">
          <cell r="B459" t="str">
            <v>Profit after-tax</v>
          </cell>
          <cell r="C459" t="str">
            <v>PROF_AT</v>
          </cell>
          <cell r="D459" t="str">
            <v>AUD</v>
          </cell>
          <cell r="F459">
            <v>3133</v>
          </cell>
          <cell r="G459">
            <v>3574</v>
          </cell>
          <cell r="H459">
            <v>5152</v>
          </cell>
          <cell r="I459">
            <v>4746</v>
          </cell>
          <cell r="J459">
            <v>5945</v>
          </cell>
          <cell r="K459">
            <v>6369</v>
          </cell>
          <cell r="L459">
            <v>6667</v>
          </cell>
          <cell r="M459">
            <v>7139</v>
          </cell>
          <cell r="N459">
            <v>3810</v>
          </cell>
          <cell r="O459">
            <v>3884</v>
          </cell>
          <cell r="P459">
            <v>7694</v>
          </cell>
          <cell r="Q459">
            <v>3812</v>
          </cell>
          <cell r="R459">
            <v>4066</v>
          </cell>
          <cell r="S459">
            <v>7878</v>
          </cell>
          <cell r="T459">
            <v>3913</v>
          </cell>
          <cell r="U459">
            <v>3924</v>
          </cell>
          <cell r="V459">
            <v>7837</v>
          </cell>
          <cell r="W459">
            <v>4022</v>
          </cell>
          <cell r="X459">
            <v>4047</v>
          </cell>
          <cell r="Y459">
            <v>8069</v>
          </cell>
          <cell r="Z459">
            <v>4253</v>
          </cell>
          <cell r="AA459">
            <v>3816</v>
          </cell>
          <cell r="AB459">
            <v>8069</v>
          </cell>
          <cell r="AC459">
            <v>3299</v>
          </cell>
          <cell r="AD459">
            <v>3556</v>
          </cell>
          <cell r="AE459">
            <v>6855</v>
          </cell>
          <cell r="AF459">
            <v>994</v>
          </cell>
          <cell r="AG459">
            <v>1616</v>
          </cell>
          <cell r="AH459">
            <v>2610</v>
          </cell>
          <cell r="AI459">
            <v>3539</v>
          </cell>
          <cell r="AJ459">
            <v>1818</v>
          </cell>
          <cell r="AK459">
            <v>5357</v>
          </cell>
          <cell r="AL459">
            <v>3291</v>
          </cell>
          <cell r="AM459">
            <v>2419</v>
          </cell>
          <cell r="AN459">
            <v>5710</v>
          </cell>
          <cell r="AO459">
            <v>4005</v>
          </cell>
          <cell r="AP459">
            <v>3196</v>
          </cell>
          <cell r="AQ459">
            <v>7201</v>
          </cell>
          <cell r="AR459">
            <v>3342</v>
          </cell>
          <cell r="AS459">
            <v>3648</v>
          </cell>
          <cell r="AT459">
            <v>6990</v>
          </cell>
          <cell r="AU459">
            <v>3464.6794984000007</v>
          </cell>
          <cell r="AV459" t="e">
            <v>#N/A</v>
          </cell>
          <cell r="AW459" t="e">
            <v>#N/A</v>
          </cell>
          <cell r="AX459">
            <v>3658.4263184143051</v>
          </cell>
          <cell r="AY459">
            <v>3747.4753296593349</v>
          </cell>
          <cell r="AZ459">
            <v>7405.9016480736409</v>
          </cell>
          <cell r="BA459">
            <v>3741.1385785349948</v>
          </cell>
          <cell r="BB459">
            <v>3721.9052365649763</v>
          </cell>
          <cell r="BC459">
            <v>7463.0438150999707</v>
          </cell>
          <cell r="BD459">
            <v>3833.0192801162757</v>
          </cell>
          <cell r="BE459">
            <v>3846.4357450744628</v>
          </cell>
          <cell r="BF459">
            <v>7679.4550251907376</v>
          </cell>
          <cell r="BG459">
            <v>4030.8681376357499</v>
          </cell>
          <cell r="BH459">
            <v>4119.2801952278423</v>
          </cell>
          <cell r="BI459">
            <v>8150.1483328635941</v>
          </cell>
          <cell r="BJ459">
            <v>4259.8485265825293</v>
          </cell>
          <cell r="BK459">
            <v>4352.8732523650879</v>
          </cell>
          <cell r="BL459">
            <v>8612.7217789476163</v>
          </cell>
          <cell r="BM459">
            <v>4381.8150651410942</v>
          </cell>
          <cell r="BN459">
            <v>4349.2388702391636</v>
          </cell>
          <cell r="BO459">
            <v>8731.0539353802596</v>
          </cell>
          <cell r="BP459">
            <v>4415.3725430646737</v>
          </cell>
          <cell r="BQ459">
            <v>4353.0310866961836</v>
          </cell>
          <cell r="BR459">
            <v>8768.40362976086</v>
          </cell>
          <cell r="BS459">
            <v>4449.6833530064587</v>
          </cell>
          <cell r="BT459">
            <v>4435.1322582664907</v>
          </cell>
          <cell r="BU459">
            <v>8884.8156112729503</v>
          </cell>
          <cell r="BV459">
            <v>4541.4767362042439</v>
          </cell>
          <cell r="BW459">
            <v>4550.2489014345119</v>
          </cell>
          <cell r="BX459">
            <v>9091.7256376387522</v>
          </cell>
        </row>
        <row r="460">
          <cell r="B460" t="str">
            <v>Minority interest</v>
          </cell>
          <cell r="C460" t="str">
            <v>INC_MINORITY</v>
          </cell>
          <cell r="D460" t="str">
            <v>AUD</v>
          </cell>
        </row>
        <row r="461">
          <cell r="B461" t="str">
            <v>Net income (pre-exceptionals)</v>
          </cell>
          <cell r="C461" t="str">
            <v>NET_EARNING</v>
          </cell>
          <cell r="D461" t="str">
            <v>AUD</v>
          </cell>
          <cell r="F461">
            <v>3079</v>
          </cell>
          <cell r="G461">
            <v>3507</v>
          </cell>
          <cell r="H461">
            <v>5047</v>
          </cell>
          <cell r="I461">
            <v>4675</v>
          </cell>
          <cell r="J461">
            <v>5879</v>
          </cell>
          <cell r="K461">
            <v>6301</v>
          </cell>
          <cell r="L461">
            <v>6598</v>
          </cell>
          <cell r="M461">
            <v>7063</v>
          </cell>
          <cell r="N461">
            <v>3772</v>
          </cell>
          <cell r="O461">
            <v>3856</v>
          </cell>
          <cell r="P461">
            <v>7628</v>
          </cell>
          <cell r="Q461">
            <v>3778</v>
          </cell>
          <cell r="R461">
            <v>4042</v>
          </cell>
          <cell r="S461">
            <v>7820</v>
          </cell>
          <cell r="T461">
            <v>3904</v>
          </cell>
          <cell r="U461">
            <v>3918</v>
          </cell>
          <cell r="V461">
            <v>7822</v>
          </cell>
          <cell r="W461">
            <v>4017</v>
          </cell>
          <cell r="X461">
            <v>4045</v>
          </cell>
          <cell r="Y461">
            <v>8062</v>
          </cell>
          <cell r="Z461">
            <v>4251</v>
          </cell>
          <cell r="AA461">
            <v>3814</v>
          </cell>
          <cell r="AB461">
            <v>8065</v>
          </cell>
          <cell r="AC461">
            <v>3296</v>
          </cell>
          <cell r="AD461">
            <v>3553</v>
          </cell>
          <cell r="AE461">
            <v>6849</v>
          </cell>
          <cell r="AF461">
            <v>993</v>
          </cell>
          <cell r="AG461">
            <v>1615</v>
          </cell>
          <cell r="AH461">
            <v>2608</v>
          </cell>
          <cell r="AI461">
            <v>3537</v>
          </cell>
          <cell r="AJ461">
            <v>1815</v>
          </cell>
          <cell r="AK461">
            <v>5352</v>
          </cell>
          <cell r="AL461">
            <v>3287</v>
          </cell>
          <cell r="AM461">
            <v>2418</v>
          </cell>
          <cell r="AN461">
            <v>5705</v>
          </cell>
          <cell r="AO461">
            <v>4001</v>
          </cell>
          <cell r="AP461">
            <v>3194</v>
          </cell>
          <cell r="AQ461">
            <v>7195</v>
          </cell>
          <cell r="AR461">
            <v>3342</v>
          </cell>
          <cell r="AS461">
            <v>3648</v>
          </cell>
          <cell r="AT461">
            <v>6990</v>
          </cell>
          <cell r="AU461">
            <v>3456.6794984000007</v>
          </cell>
          <cell r="AV461" t="e">
            <v>#N/A</v>
          </cell>
          <cell r="AW461" t="e">
            <v>#N/A</v>
          </cell>
          <cell r="AX461">
            <v>3649.4263184143051</v>
          </cell>
          <cell r="AY461">
            <v>3738.4753296593349</v>
          </cell>
          <cell r="AZ461">
            <v>7387.9016480736409</v>
          </cell>
          <cell r="BA461">
            <v>3732.1385785349948</v>
          </cell>
          <cell r="BB461">
            <v>3712.9052365649763</v>
          </cell>
          <cell r="BC461">
            <v>7445.0438150999707</v>
          </cell>
          <cell r="BD461">
            <v>3824.0192801162757</v>
          </cell>
          <cell r="BE461">
            <v>3837.4357450744628</v>
          </cell>
          <cell r="BF461">
            <v>7661.4550251907376</v>
          </cell>
          <cell r="BG461">
            <v>4021.8681376357499</v>
          </cell>
          <cell r="BH461">
            <v>4110.2801952278423</v>
          </cell>
          <cell r="BI461">
            <v>8132.1483328635941</v>
          </cell>
          <cell r="BJ461">
            <v>4250.8485265825293</v>
          </cell>
          <cell r="BK461">
            <v>4343.8732523650879</v>
          </cell>
          <cell r="BL461">
            <v>8594.7217789476163</v>
          </cell>
          <cell r="BM461">
            <v>4372.8150651410942</v>
          </cell>
          <cell r="BN461">
            <v>4340.2388702391636</v>
          </cell>
          <cell r="BO461">
            <v>8713.0539353802596</v>
          </cell>
          <cell r="BP461">
            <v>4406.3725430646737</v>
          </cell>
          <cell r="BQ461">
            <v>4344.0310866961836</v>
          </cell>
          <cell r="BR461">
            <v>8750.40362976086</v>
          </cell>
          <cell r="BS461">
            <v>4440.6833530064587</v>
          </cell>
          <cell r="BT461">
            <v>4426.1322582664907</v>
          </cell>
          <cell r="BU461">
            <v>8866.8156112729503</v>
          </cell>
          <cell r="BV461">
            <v>4532.4767362042439</v>
          </cell>
          <cell r="BW461">
            <v>4541.2489014345119</v>
          </cell>
          <cell r="BX461">
            <v>9073.7256376387522</v>
          </cell>
        </row>
        <row r="462">
          <cell r="B462" t="str">
            <v>Post-tax exceptionals</v>
          </cell>
          <cell r="C462" t="str">
            <v>TAX_EXC</v>
          </cell>
          <cell r="D462" t="str">
            <v>AUD</v>
          </cell>
          <cell r="F462">
            <v>31</v>
          </cell>
          <cell r="G462">
            <v>0</v>
          </cell>
          <cell r="H462">
            <v>-1267</v>
          </cell>
          <cell r="I462">
            <v>-1185</v>
          </cell>
          <cell r="J462">
            <v>624</v>
          </cell>
          <cell r="K462">
            <v>969</v>
          </cell>
          <cell r="L462">
            <v>-377</v>
          </cell>
          <cell r="M462">
            <v>-43</v>
          </cell>
          <cell r="N462">
            <v>5</v>
          </cell>
          <cell r="O462">
            <v>40</v>
          </cell>
          <cell r="P462">
            <v>45</v>
          </cell>
          <cell r="Q462">
            <v>-34</v>
          </cell>
          <cell r="R462">
            <v>344</v>
          </cell>
          <cell r="S462">
            <v>310</v>
          </cell>
          <cell r="T462">
            <v>-7</v>
          </cell>
          <cell r="U462">
            <v>-8</v>
          </cell>
          <cell r="V462">
            <v>-15</v>
          </cell>
          <cell r="W462">
            <v>0</v>
          </cell>
          <cell r="X462">
            <v>171</v>
          </cell>
          <cell r="Y462">
            <v>171</v>
          </cell>
          <cell r="Z462">
            <v>0</v>
          </cell>
          <cell r="AA462">
            <v>0</v>
          </cell>
          <cell r="AB462">
            <v>0</v>
          </cell>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t="e">
            <v>#N/A</v>
          </cell>
          <cell r="AW462" t="e">
            <v>#N/A</v>
          </cell>
          <cell r="AX462">
            <v>0</v>
          </cell>
          <cell r="AY462">
            <v>0</v>
          </cell>
          <cell r="AZ462">
            <v>0</v>
          </cell>
          <cell r="BA462">
            <v>0</v>
          </cell>
          <cell r="BB462">
            <v>0</v>
          </cell>
          <cell r="BC462">
            <v>0</v>
          </cell>
          <cell r="BD462">
            <v>0</v>
          </cell>
          <cell r="BE462">
            <v>0</v>
          </cell>
          <cell r="BF462">
            <v>0</v>
          </cell>
          <cell r="BG462">
            <v>0</v>
          </cell>
          <cell r="BH462">
            <v>0</v>
          </cell>
          <cell r="BI462">
            <v>0</v>
          </cell>
          <cell r="BJ462">
            <v>0</v>
          </cell>
          <cell r="BK462">
            <v>0</v>
          </cell>
          <cell r="BL462">
            <v>0</v>
          </cell>
          <cell r="BM462">
            <v>0</v>
          </cell>
          <cell r="BN462">
            <v>0</v>
          </cell>
          <cell r="BO462">
            <v>0</v>
          </cell>
          <cell r="BP462">
            <v>0</v>
          </cell>
          <cell r="BQ462">
            <v>0</v>
          </cell>
          <cell r="BR462">
            <v>0</v>
          </cell>
          <cell r="BS462">
            <v>0</v>
          </cell>
          <cell r="BT462">
            <v>0</v>
          </cell>
          <cell r="BU462">
            <v>0</v>
          </cell>
          <cell r="BV462">
            <v>0</v>
          </cell>
          <cell r="BW462">
            <v>0</v>
          </cell>
          <cell r="BX462">
            <v>0</v>
          </cell>
        </row>
        <row r="463">
          <cell r="B463" t="str">
            <v>Post-tax other</v>
          </cell>
          <cell r="C463" t="str">
            <v>B_PL_PTASSOC</v>
          </cell>
          <cell r="D463" t="str">
            <v>AUD</v>
          </cell>
          <cell r="F463">
            <v>-39</v>
          </cell>
          <cell r="G463">
            <v>-56</v>
          </cell>
          <cell r="H463">
            <v>48</v>
          </cell>
          <cell r="I463">
            <v>-44</v>
          </cell>
          <cell r="J463">
            <v>-157</v>
          </cell>
          <cell r="K463">
            <v>-279</v>
          </cell>
          <cell r="L463">
            <v>-251</v>
          </cell>
          <cell r="M463">
            <v>-269</v>
          </cell>
          <cell r="N463">
            <v>-155</v>
          </cell>
          <cell r="O463">
            <v>43</v>
          </cell>
          <cell r="P463">
            <v>-112</v>
          </cell>
          <cell r="Q463">
            <v>-135</v>
          </cell>
          <cell r="R463">
            <v>17</v>
          </cell>
          <cell r="S463">
            <v>-118</v>
          </cell>
          <cell r="T463">
            <v>-196</v>
          </cell>
          <cell r="U463">
            <v>-166</v>
          </cell>
          <cell r="V463">
            <v>-362</v>
          </cell>
          <cell r="W463">
            <v>-110</v>
          </cell>
          <cell r="X463">
            <v>-133</v>
          </cell>
          <cell r="Y463">
            <v>-243</v>
          </cell>
          <cell r="Z463">
            <v>-53</v>
          </cell>
          <cell r="AA463">
            <v>83</v>
          </cell>
          <cell r="AB463">
            <v>30</v>
          </cell>
          <cell r="AC463">
            <v>-123</v>
          </cell>
          <cell r="AD463">
            <v>58</v>
          </cell>
          <cell r="AE463">
            <v>-65</v>
          </cell>
          <cell r="AF463">
            <v>197</v>
          </cell>
          <cell r="AG463">
            <v>-515</v>
          </cell>
          <cell r="AH463">
            <v>-318</v>
          </cell>
          <cell r="AI463">
            <v>-94</v>
          </cell>
          <cell r="AJ463">
            <v>200</v>
          </cell>
          <cell r="AK463">
            <v>106</v>
          </cell>
          <cell r="AL463">
            <v>0</v>
          </cell>
          <cell r="AM463">
            <v>0</v>
          </cell>
          <cell r="AN463">
            <v>0</v>
          </cell>
          <cell r="AO463">
            <v>0</v>
          </cell>
          <cell r="AP463">
            <v>0</v>
          </cell>
          <cell r="AQ463">
            <v>0</v>
          </cell>
          <cell r="AR463">
            <v>0</v>
          </cell>
          <cell r="AS463">
            <v>0</v>
          </cell>
          <cell r="AT463">
            <v>0</v>
          </cell>
          <cell r="AU463">
            <v>-140</v>
          </cell>
          <cell r="AV463" t="e">
            <v>#N/A</v>
          </cell>
          <cell r="AW463" t="e">
            <v>#N/A</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cell r="BL463">
            <v>0</v>
          </cell>
          <cell r="BM463">
            <v>0</v>
          </cell>
          <cell r="BN463">
            <v>0</v>
          </cell>
          <cell r="BO463">
            <v>0</v>
          </cell>
          <cell r="BP463">
            <v>0</v>
          </cell>
          <cell r="BQ463">
            <v>0</v>
          </cell>
          <cell r="BR463">
            <v>0</v>
          </cell>
          <cell r="BS463">
            <v>0</v>
          </cell>
          <cell r="BT463">
            <v>0</v>
          </cell>
          <cell r="BU463">
            <v>0</v>
          </cell>
          <cell r="BV463">
            <v>0</v>
          </cell>
          <cell r="BW463">
            <v>0</v>
          </cell>
          <cell r="BX463">
            <v>0</v>
          </cell>
        </row>
        <row r="464">
          <cell r="B464" t="str">
            <v>Minority interest</v>
          </cell>
          <cell r="C464" t="str">
            <v>MINOR_EQUITY</v>
          </cell>
          <cell r="D464" t="str">
            <v>AUD</v>
          </cell>
          <cell r="F464">
            <v>-54</v>
          </cell>
          <cell r="G464">
            <v>-67</v>
          </cell>
          <cell r="H464">
            <v>-74</v>
          </cell>
          <cell r="I464">
            <v>-71</v>
          </cell>
          <cell r="J464">
            <v>-66</v>
          </cell>
          <cell r="K464">
            <v>-68</v>
          </cell>
          <cell r="L464">
            <v>-69</v>
          </cell>
          <cell r="M464">
            <v>-76</v>
          </cell>
          <cell r="N464">
            <v>-38</v>
          </cell>
          <cell r="O464">
            <v>-28</v>
          </cell>
          <cell r="P464">
            <v>-66</v>
          </cell>
          <cell r="Q464">
            <v>-34</v>
          </cell>
          <cell r="R464">
            <v>-24</v>
          </cell>
          <cell r="S464">
            <v>-58</v>
          </cell>
          <cell r="T464">
            <v>-9</v>
          </cell>
          <cell r="U464">
            <v>-6</v>
          </cell>
          <cell r="V464">
            <v>-15</v>
          </cell>
          <cell r="W464">
            <v>-5</v>
          </cell>
          <cell r="X464">
            <v>-2</v>
          </cell>
          <cell r="Y464">
            <v>-7</v>
          </cell>
          <cell r="Z464">
            <v>-2</v>
          </cell>
          <cell r="AA464">
            <v>-2</v>
          </cell>
          <cell r="AB464">
            <v>-4</v>
          </cell>
          <cell r="AC464">
            <v>-3</v>
          </cell>
          <cell r="AD464">
            <v>-3</v>
          </cell>
          <cell r="AE464">
            <v>-6</v>
          </cell>
          <cell r="AF464">
            <v>-1</v>
          </cell>
          <cell r="AG464">
            <v>-1</v>
          </cell>
          <cell r="AH464">
            <v>-2</v>
          </cell>
          <cell r="AI464">
            <v>-2</v>
          </cell>
          <cell r="AJ464">
            <v>-3</v>
          </cell>
          <cell r="AK464">
            <v>-5</v>
          </cell>
          <cell r="AL464">
            <v>-4</v>
          </cell>
          <cell r="AM464">
            <v>-1</v>
          </cell>
          <cell r="AN464">
            <v>-5</v>
          </cell>
          <cell r="AO464">
            <v>-4</v>
          </cell>
          <cell r="AP464">
            <v>-2</v>
          </cell>
          <cell r="AQ464">
            <v>-6</v>
          </cell>
          <cell r="AR464">
            <v>0</v>
          </cell>
          <cell r="AS464">
            <v>0</v>
          </cell>
          <cell r="AT464">
            <v>0</v>
          </cell>
          <cell r="AU464">
            <v>-8</v>
          </cell>
          <cell r="AV464" t="e">
            <v>#N/A</v>
          </cell>
          <cell r="AW464" t="e">
            <v>#N/A</v>
          </cell>
          <cell r="AX464">
            <v>-9</v>
          </cell>
          <cell r="AY464">
            <v>-9</v>
          </cell>
          <cell r="AZ464">
            <v>-18</v>
          </cell>
          <cell r="BA464">
            <v>-9</v>
          </cell>
          <cell r="BB464">
            <v>-9</v>
          </cell>
          <cell r="BC464">
            <v>-18</v>
          </cell>
          <cell r="BD464">
            <v>-9</v>
          </cell>
          <cell r="BE464">
            <v>-9</v>
          </cell>
          <cell r="BF464">
            <v>-18</v>
          </cell>
          <cell r="BG464">
            <v>-9</v>
          </cell>
          <cell r="BH464">
            <v>-9</v>
          </cell>
          <cell r="BI464">
            <v>-18</v>
          </cell>
          <cell r="BJ464">
            <v>-9</v>
          </cell>
          <cell r="BK464">
            <v>-9</v>
          </cell>
          <cell r="BL464">
            <v>-18</v>
          </cell>
          <cell r="BM464">
            <v>-9</v>
          </cell>
          <cell r="BN464">
            <v>-9</v>
          </cell>
          <cell r="BO464">
            <v>-18</v>
          </cell>
          <cell r="BP464">
            <v>-9</v>
          </cell>
          <cell r="BQ464">
            <v>-9</v>
          </cell>
          <cell r="BR464">
            <v>-18</v>
          </cell>
          <cell r="BS464">
            <v>-9</v>
          </cell>
          <cell r="BT464">
            <v>-9</v>
          </cell>
          <cell r="BU464">
            <v>-18</v>
          </cell>
          <cell r="BV464">
            <v>-9</v>
          </cell>
          <cell r="BW464">
            <v>-9</v>
          </cell>
          <cell r="BX464">
            <v>-18</v>
          </cell>
        </row>
        <row r="465">
          <cell r="B465" t="str">
            <v>Preferred dividends (non-equity)</v>
          </cell>
          <cell r="C465" t="str">
            <v>MINOR_NON_EQUITY</v>
          </cell>
          <cell r="D465" t="str">
            <v>AUD</v>
          </cell>
        </row>
        <row r="466">
          <cell r="B466" t="str">
            <v>Net income (post-exceptionals)</v>
          </cell>
          <cell r="C466" t="str">
            <v>NET_INC</v>
          </cell>
          <cell r="D466" t="str">
            <v>AUD</v>
          </cell>
          <cell r="F466">
            <v>3071</v>
          </cell>
          <cell r="G466">
            <v>3451</v>
          </cell>
          <cell r="H466">
            <v>3859</v>
          </cell>
          <cell r="I466">
            <v>3446</v>
          </cell>
          <cell r="J466">
            <v>6346</v>
          </cell>
          <cell r="K466">
            <v>6991</v>
          </cell>
          <cell r="L466">
            <v>5970</v>
          </cell>
          <cell r="M466">
            <v>6751</v>
          </cell>
          <cell r="N466">
            <v>3622</v>
          </cell>
          <cell r="O466">
            <v>3939</v>
          </cell>
          <cell r="P466">
            <v>7561</v>
          </cell>
          <cell r="Q466">
            <v>3609</v>
          </cell>
          <cell r="R466">
            <v>4403</v>
          </cell>
          <cell r="S466">
            <v>8012</v>
          </cell>
          <cell r="T466">
            <v>3701</v>
          </cell>
          <cell r="U466">
            <v>3744</v>
          </cell>
          <cell r="V466">
            <v>7445</v>
          </cell>
          <cell r="W466">
            <v>3907</v>
          </cell>
          <cell r="X466">
            <v>4083</v>
          </cell>
          <cell r="Y466">
            <v>7990</v>
          </cell>
          <cell r="Z466">
            <v>4198</v>
          </cell>
          <cell r="AA466">
            <v>3897</v>
          </cell>
          <cell r="AB466">
            <v>8095</v>
          </cell>
          <cell r="AC466">
            <v>3173</v>
          </cell>
          <cell r="AD466">
            <v>3611</v>
          </cell>
          <cell r="AE466">
            <v>6784</v>
          </cell>
          <cell r="AF466">
            <v>1190</v>
          </cell>
          <cell r="AG466">
            <v>1100</v>
          </cell>
          <cell r="AH466">
            <v>2290</v>
          </cell>
          <cell r="AI466">
            <v>3443</v>
          </cell>
          <cell r="AJ466">
            <v>2015</v>
          </cell>
          <cell r="AK466">
            <v>5458</v>
          </cell>
          <cell r="AL466">
            <v>3287</v>
          </cell>
          <cell r="AM466">
            <v>2418</v>
          </cell>
          <cell r="AN466">
            <v>5705</v>
          </cell>
          <cell r="AO466">
            <v>4001</v>
          </cell>
          <cell r="AP466">
            <v>3194</v>
          </cell>
          <cell r="AQ466">
            <v>7195</v>
          </cell>
          <cell r="AR466">
            <v>3342</v>
          </cell>
          <cell r="AS466">
            <v>3648</v>
          </cell>
          <cell r="AT466">
            <v>6990</v>
          </cell>
          <cell r="AU466">
            <v>3316.6794984000007</v>
          </cell>
          <cell r="AV466" t="e">
            <v>#N/A</v>
          </cell>
          <cell r="AW466" t="e">
            <v>#N/A</v>
          </cell>
          <cell r="AX466">
            <v>3649.4263184143051</v>
          </cell>
          <cell r="AY466">
            <v>3738.4753296593349</v>
          </cell>
          <cell r="AZ466">
            <v>7387.90164807364</v>
          </cell>
          <cell r="BA466">
            <v>3732.1385785349948</v>
          </cell>
          <cell r="BB466">
            <v>3712.9052365649763</v>
          </cell>
          <cell r="BC466">
            <v>7445.0438150999707</v>
          </cell>
          <cell r="BD466">
            <v>3824.0192801162757</v>
          </cell>
          <cell r="BE466">
            <v>3837.4357450744628</v>
          </cell>
          <cell r="BF466">
            <v>7661.4550251907385</v>
          </cell>
          <cell r="BG466">
            <v>4021.8681376357499</v>
          </cell>
          <cell r="BH466">
            <v>4110.2801952278423</v>
          </cell>
          <cell r="BI466">
            <v>8132.1483328635923</v>
          </cell>
          <cell r="BJ466">
            <v>4250.8485265825293</v>
          </cell>
          <cell r="BK466">
            <v>4343.8732523650879</v>
          </cell>
          <cell r="BL466">
            <v>8594.7217789476163</v>
          </cell>
          <cell r="BM466">
            <v>4372.8150651410942</v>
          </cell>
          <cell r="BN466">
            <v>4340.2388702391636</v>
          </cell>
          <cell r="BO466">
            <v>8713.0539353802578</v>
          </cell>
          <cell r="BP466">
            <v>4406.3725430646737</v>
          </cell>
          <cell r="BQ466">
            <v>4344.0310866961836</v>
          </cell>
          <cell r="BR466">
            <v>8750.4036297608582</v>
          </cell>
          <cell r="BS466">
            <v>4440.6833530064587</v>
          </cell>
          <cell r="BT466">
            <v>4426.1322582664907</v>
          </cell>
          <cell r="BU466">
            <v>8866.8156112729484</v>
          </cell>
          <cell r="BV466">
            <v>4532.4767362042439</v>
          </cell>
          <cell r="BW466">
            <v>4541.2489014345119</v>
          </cell>
          <cell r="BX466">
            <v>9073.7256376387559</v>
          </cell>
        </row>
        <row r="467">
          <cell r="B467" t="str">
            <v>EPS (pre-exceptionals, basic)</v>
          </cell>
          <cell r="C467" t="str">
            <v>EPS</v>
          </cell>
          <cell r="D467" t="str">
            <v>AUD</v>
          </cell>
          <cell r="F467">
            <v>1.6631104749997259</v>
          </cell>
          <cell r="G467">
            <v>1.8840647293671051</v>
          </cell>
          <cell r="H467">
            <v>2.6724375204949977</v>
          </cell>
          <cell r="I467">
            <v>1.6865079365079365</v>
          </cell>
          <cell r="J467">
            <v>1.9681386543768777</v>
          </cell>
          <cell r="K467">
            <v>2.0827829792946071</v>
          </cell>
          <cell r="L467">
            <v>2.1481272145539161</v>
          </cell>
          <cell r="M467">
            <v>2.2668800912349298</v>
          </cell>
          <cell r="N467">
            <v>1.2071243148760034</v>
          </cell>
          <cell r="O467">
            <v>1.2316292945506429</v>
          </cell>
          <cell r="P467">
            <v>2.4411305073897545</v>
          </cell>
          <cell r="Q467">
            <v>1.2067156314347325</v>
          </cell>
          <cell r="R467">
            <v>1.2758838383838385</v>
          </cell>
          <cell r="S467">
            <v>2.4826116944815095</v>
          </cell>
          <cell r="T467">
            <v>1.1819557977596125</v>
          </cell>
          <cell r="U467">
            <v>1.1727027835977253</v>
          </cell>
          <cell r="V467">
            <v>2.3546056592414208</v>
          </cell>
          <cell r="W467">
            <v>1.1983890214797137</v>
          </cell>
          <cell r="X467">
            <v>1.1985185185185185</v>
          </cell>
          <cell r="Y467">
            <v>2.396551724137931</v>
          </cell>
          <cell r="Z467">
            <v>1.2502941176470588</v>
          </cell>
          <cell r="AA467">
            <v>1.1122776319626713</v>
          </cell>
          <cell r="AB467">
            <v>2.362331575864089</v>
          </cell>
          <cell r="AC467">
            <v>0.95758280069726898</v>
          </cell>
          <cell r="AD467">
            <v>1.0239193083573488</v>
          </cell>
          <cell r="AE467">
            <v>1.9817708333333333</v>
          </cell>
          <cell r="AF467">
            <v>0.2774518021793797</v>
          </cell>
          <cell r="AG467">
            <v>0.4471207087486157</v>
          </cell>
          <cell r="AH467">
            <v>0.72545201668984705</v>
          </cell>
          <cell r="AI467">
            <v>0.96402289452166801</v>
          </cell>
          <cell r="AJ467">
            <v>0.49468520032706459</v>
          </cell>
          <cell r="AK467">
            <v>1.4634946677604594</v>
          </cell>
          <cell r="AL467">
            <v>0.90650854936569225</v>
          </cell>
          <cell r="AM467">
            <v>0.69065981148243361</v>
          </cell>
          <cell r="AN467">
            <v>1.600729517396184</v>
          </cell>
          <cell r="AO467">
            <v>1.141186537364518</v>
          </cell>
          <cell r="AP467">
            <v>0.91023083499572532</v>
          </cell>
          <cell r="AQ467">
            <v>2.0516110635871114</v>
          </cell>
          <cell r="AR467">
            <v>0.95513003715347244</v>
          </cell>
          <cell r="AS467">
            <v>1.0537261698440208</v>
          </cell>
          <cell r="AT467">
            <v>2.0080436656133296</v>
          </cell>
          <cell r="AU467">
            <v>1.0068976109525198</v>
          </cell>
          <cell r="AV467" t="e">
            <v>#N/A</v>
          </cell>
          <cell r="AW467" t="e">
            <v>#N/A</v>
          </cell>
          <cell r="AX467">
            <v>1.0685508761461753</v>
          </cell>
          <cell r="AY467">
            <v>1.0987137907234013</v>
          </cell>
          <cell r="AZ467">
            <v>2.1671973590267171</v>
          </cell>
          <cell r="BA467">
            <v>1.101726781152091</v>
          </cell>
          <cell r="BB467">
            <v>1.1007375071587009</v>
          </cell>
          <cell r="BC467">
            <v>2.2024535215472802</v>
          </cell>
          <cell r="BD467">
            <v>1.1383447754325795</v>
          </cell>
          <cell r="BE467">
            <v>1.1468619984276016</v>
          </cell>
          <cell r="BF467">
            <v>2.2851899441561674</v>
          </cell>
          <cell r="BG467">
            <v>1.206560030351127</v>
          </cell>
          <cell r="BH467">
            <v>1.2376008585395983</v>
          </cell>
          <cell r="BI467">
            <v>2.4440918933571556</v>
          </cell>
          <cell r="BJ467">
            <v>1.2822243956981503</v>
          </cell>
          <cell r="BK467">
            <v>1.3102843399788329</v>
          </cell>
          <cell r="BL467">
            <v>2.5925087356769829</v>
          </cell>
          <cell r="BM467">
            <v>1.3190143378051629</v>
          </cell>
          <cell r="BN467">
            <v>1.3091880662828854</v>
          </cell>
          <cell r="BO467">
            <v>2.6282024040880487</v>
          </cell>
          <cell r="BP467">
            <v>1.3291366031793912</v>
          </cell>
          <cell r="BQ467">
            <v>1.3103319490687697</v>
          </cell>
          <cell r="BR467">
            <v>2.6394685522481618</v>
          </cell>
          <cell r="BS467">
            <v>1.339486103348217</v>
          </cell>
          <cell r="BT467">
            <v>1.3350969164498776</v>
          </cell>
          <cell r="BU467">
            <v>2.6745830197980949</v>
          </cell>
          <cell r="BV467">
            <v>1.3671746259017352</v>
          </cell>
          <cell r="BW467">
            <v>1.3698206586152055</v>
          </cell>
          <cell r="BX467">
            <v>2.7369952845169396</v>
          </cell>
        </row>
        <row r="468">
          <cell r="B468" t="str">
            <v>EPS (pre-exceptionals, diluted)</v>
          </cell>
          <cell r="C468" t="str">
            <v>EPS_FUL_DIL</v>
          </cell>
          <cell r="D468" t="str">
            <v>AUD</v>
          </cell>
          <cell r="F468">
            <v>1.6486840084113288</v>
          </cell>
          <cell r="G468">
            <v>1.8666309108786983</v>
          </cell>
          <cell r="H468">
            <v>2.583342283595448</v>
          </cell>
          <cell r="I468">
            <v>1.6443343469295024</v>
          </cell>
          <cell r="J468">
            <v>1.9039588298717511</v>
          </cell>
          <cell r="K468">
            <v>2.0011061807056798</v>
          </cell>
          <cell r="L468">
            <v>2.0813601857080117</v>
          </cell>
          <cell r="M468">
            <v>2.2102507697709171</v>
          </cell>
          <cell r="N468">
            <v>1.1812914707083173</v>
          </cell>
          <cell r="O468">
            <v>1.2043804104252094</v>
          </cell>
          <cell r="P468">
            <v>2.3872048688859033</v>
          </cell>
          <cell r="Q468">
            <v>1.18841189674523</v>
          </cell>
          <cell r="R468">
            <v>1.2393388374401033</v>
          </cell>
          <cell r="S468">
            <v>2.4156353757923332</v>
          </cell>
          <cell r="T468">
            <v>1.1475972540045767</v>
          </cell>
          <cell r="U468">
            <v>1.1354548014643762</v>
          </cell>
          <cell r="V468">
            <v>2.2793992632473787</v>
          </cell>
          <cell r="W468">
            <v>1.154317548746518</v>
          </cell>
          <cell r="X468">
            <v>1.1538035961272475</v>
          </cell>
          <cell r="Y468">
            <v>2.3071587125416206</v>
          </cell>
          <cell r="Z468">
            <v>1.2089305402425579</v>
          </cell>
          <cell r="AA468">
            <v>1.0757534618517512</v>
          </cell>
          <cell r="AB468">
            <v>2.287750068511921</v>
          </cell>
          <cell r="AC468">
            <v>0.92717011556033324</v>
          </cell>
          <cell r="AD468">
            <v>0.98268513585508788</v>
          </cell>
          <cell r="AE468">
            <v>1.9113788487282464</v>
          </cell>
          <cell r="AF468">
            <v>0.27737430167597765</v>
          </cell>
          <cell r="AG468">
            <v>0.42893401015228427</v>
          </cell>
          <cell r="AH468">
            <v>0.72525027808676312</v>
          </cell>
          <cell r="AI468">
            <v>0.88602673147023081</v>
          </cell>
          <cell r="AJ468">
            <v>0.48148148148148145</v>
          </cell>
          <cell r="AK468">
            <v>1.3512857836001941</v>
          </cell>
          <cell r="AL468">
            <v>0.85746835443037972</v>
          </cell>
          <cell r="AM468">
            <v>0.6598551474392137</v>
          </cell>
          <cell r="AN468">
            <v>1.525301823786283</v>
          </cell>
          <cell r="AO468">
            <v>1.0755201643976369</v>
          </cell>
          <cell r="AP468">
            <v>0.87583547557840613</v>
          </cell>
          <cell r="AQ468">
            <v>1.9496790757381257</v>
          </cell>
          <cell r="AR468">
            <v>0.91483375959079283</v>
          </cell>
          <cell r="AS468">
            <v>1.0086864964464333</v>
          </cell>
          <cell r="AT468">
            <v>1.8992566008715714</v>
          </cell>
          <cell r="AU468">
            <v>0.9961295941621624</v>
          </cell>
          <cell r="AV468" t="e">
            <v>#N/A</v>
          </cell>
          <cell r="AW468" t="e">
            <v>#N/A</v>
          </cell>
          <cell r="AX468">
            <v>1.0458039442442353</v>
          </cell>
          <cell r="AY468">
            <v>1.0736176097078625</v>
          </cell>
          <cell r="AZ468">
            <v>2.1193635812070815</v>
          </cell>
          <cell r="BA468">
            <v>1.0762997335850628</v>
          </cell>
          <cell r="BB468">
            <v>1.0752850223291344</v>
          </cell>
          <cell r="BC468">
            <v>2.151575129747914</v>
          </cell>
          <cell r="BD468">
            <v>1.1099307116807149</v>
          </cell>
          <cell r="BE468">
            <v>1.1176928373170019</v>
          </cell>
          <cell r="BF468">
            <v>2.2276093818424787</v>
          </cell>
          <cell r="BG468">
            <v>1.1727080065374509</v>
          </cell>
          <cell r="BH468">
            <v>1.2012447342854211</v>
          </cell>
          <cell r="BI468">
            <v>2.3738935989126531</v>
          </cell>
          <cell r="BJ468">
            <v>1.2423670404395248</v>
          </cell>
          <cell r="BK468">
            <v>1.2682632483367429</v>
          </cell>
          <cell r="BL468">
            <v>2.5106302887762673</v>
          </cell>
          <cell r="BM468">
            <v>1.2763200654277358</v>
          </cell>
          <cell r="BN468">
            <v>1.2672515096369605</v>
          </cell>
          <cell r="BO468">
            <v>2.5435715750646963</v>
          </cell>
          <cell r="BP468">
            <v>1.2856617906250407</v>
          </cell>
          <cell r="BQ468">
            <v>1.2683071862319315</v>
          </cell>
          <cell r="BR468">
            <v>2.5539689768569729</v>
          </cell>
          <cell r="BS468">
            <v>1.2952132282659459</v>
          </cell>
          <cell r="BT468">
            <v>1.2911624969001891</v>
          </cell>
          <cell r="BU468">
            <v>2.586375725166135</v>
          </cell>
          <cell r="BV468">
            <v>1.3207666552164887</v>
          </cell>
          <cell r="BW468">
            <v>1.3232086491337054</v>
          </cell>
          <cell r="BX468">
            <v>2.6439753043501928</v>
          </cell>
        </row>
        <row r="469">
          <cell r="B469" t="str">
            <v>EPS (post-exceptionals, basic)</v>
          </cell>
          <cell r="C469" t="str">
            <v>EPS_POST_BASIC</v>
          </cell>
          <cell r="D469" t="str">
            <v>AUD</v>
          </cell>
          <cell r="F469">
            <v>1.6587893045547768</v>
          </cell>
          <cell r="G469">
            <v>1.8539798634291074</v>
          </cell>
          <cell r="H469">
            <v>2.0269646975341491</v>
          </cell>
          <cell r="I469">
            <v>1.2431457431457431</v>
          </cell>
          <cell r="J469">
            <v>2.1244782957434372</v>
          </cell>
          <cell r="K469">
            <v>2.3108611027215678</v>
          </cell>
          <cell r="L469">
            <v>1.9436676979216245</v>
          </cell>
          <cell r="M469">
            <v>2.166743238840013</v>
          </cell>
          <cell r="N469">
            <v>1.159120961951454</v>
          </cell>
          <cell r="O469">
            <v>1.2581399873534704</v>
          </cell>
          <cell r="P469">
            <v>2.4196890097501225</v>
          </cell>
          <cell r="Q469">
            <v>1.1527360280169268</v>
          </cell>
          <cell r="R469">
            <v>1.3898358585858586</v>
          </cell>
          <cell r="S469">
            <v>2.5435658435020274</v>
          </cell>
          <cell r="T469">
            <v>1.1204965183166817</v>
          </cell>
          <cell r="U469">
            <v>1.1206225680933852</v>
          </cell>
          <cell r="V469">
            <v>2.241119807344973</v>
          </cell>
          <cell r="W469">
            <v>1.1655727923627686</v>
          </cell>
          <cell r="X469">
            <v>1.2097777777777778</v>
          </cell>
          <cell r="Y469">
            <v>2.3751486325802618</v>
          </cell>
          <cell r="Z469">
            <v>1.2347058823529411</v>
          </cell>
          <cell r="AA469">
            <v>1.136482939632546</v>
          </cell>
          <cell r="AB469">
            <v>2.3711189220855302</v>
          </cell>
          <cell r="AC469">
            <v>0.92184776292852988</v>
          </cell>
          <cell r="AD469">
            <v>1.0406340057636887</v>
          </cell>
          <cell r="AE469">
            <v>1.962962962962963</v>
          </cell>
          <cell r="AF469">
            <v>0.33249511036602403</v>
          </cell>
          <cell r="AG469">
            <v>0.30454042081949056</v>
          </cell>
          <cell r="AH469">
            <v>0.63699582753824757</v>
          </cell>
          <cell r="AI469">
            <v>0.93840283455982554</v>
          </cell>
          <cell r="AJ469">
            <v>0.54919596620332511</v>
          </cell>
          <cell r="AK469">
            <v>1.4924801750068362</v>
          </cell>
          <cell r="AL469">
            <v>0.90650854936569225</v>
          </cell>
          <cell r="AM469">
            <v>0.69065981148243361</v>
          </cell>
          <cell r="AN469">
            <v>1.600729517396184</v>
          </cell>
          <cell r="AO469">
            <v>1.141186537364518</v>
          </cell>
          <cell r="AP469">
            <v>0.91023083499572532</v>
          </cell>
          <cell r="AQ469">
            <v>2.0516110635871114</v>
          </cell>
          <cell r="AR469">
            <v>0.95513003715347244</v>
          </cell>
          <cell r="AS469">
            <v>1.0537261698440208</v>
          </cell>
          <cell r="AT469">
            <v>2.0080436656133296</v>
          </cell>
          <cell r="AU469">
            <v>0.96611695263617847</v>
          </cell>
          <cell r="AV469" t="e">
            <v>#N/A</v>
          </cell>
          <cell r="AW469" t="e">
            <v>#N/A</v>
          </cell>
          <cell r="AX469">
            <v>1.0685508761461753</v>
          </cell>
          <cell r="AY469">
            <v>1.0987137907234013</v>
          </cell>
          <cell r="AZ469">
            <v>2.1671973590267166</v>
          </cell>
          <cell r="BA469">
            <v>1.101726781152091</v>
          </cell>
          <cell r="BB469">
            <v>1.1007375071587009</v>
          </cell>
          <cell r="BC469">
            <v>2.2024535215472802</v>
          </cell>
          <cell r="BD469">
            <v>1.1383447754325795</v>
          </cell>
          <cell r="BE469">
            <v>1.1468619984276016</v>
          </cell>
          <cell r="BF469">
            <v>2.2851899441561674</v>
          </cell>
          <cell r="BG469">
            <v>1.206560030351127</v>
          </cell>
          <cell r="BH469">
            <v>1.2376008585395983</v>
          </cell>
          <cell r="BI469">
            <v>2.4440918933571552</v>
          </cell>
          <cell r="BJ469">
            <v>1.2822243956981503</v>
          </cell>
          <cell r="BK469">
            <v>1.3102843399788329</v>
          </cell>
          <cell r="BL469">
            <v>2.5925087356769829</v>
          </cell>
          <cell r="BM469">
            <v>1.3190143378051629</v>
          </cell>
          <cell r="BN469">
            <v>1.3091880662828854</v>
          </cell>
          <cell r="BO469">
            <v>2.6282024040880483</v>
          </cell>
          <cell r="BP469">
            <v>1.3291366031793912</v>
          </cell>
          <cell r="BQ469">
            <v>1.3103319490687697</v>
          </cell>
          <cell r="BR469">
            <v>2.6394685522481613</v>
          </cell>
          <cell r="BS469">
            <v>1.339486103348217</v>
          </cell>
          <cell r="BT469">
            <v>1.3350969164498776</v>
          </cell>
          <cell r="BU469">
            <v>2.6745830197980944</v>
          </cell>
          <cell r="BV469">
            <v>1.3671746259017352</v>
          </cell>
          <cell r="BW469">
            <v>1.3698206586152055</v>
          </cell>
          <cell r="BX469">
            <v>2.7369952845169405</v>
          </cell>
        </row>
        <row r="470">
          <cell r="B470" t="str">
            <v>EPS (post-exceptionals, diluted)</v>
          </cell>
          <cell r="C470" t="str">
            <v>FULLY_DIL_EPS</v>
          </cell>
          <cell r="D470" t="str">
            <v>AUD</v>
          </cell>
          <cell r="F470">
            <v>1.6445101248457303</v>
          </cell>
          <cell r="G470">
            <v>1.8376266569915709</v>
          </cell>
          <cell r="H470">
            <v>1.9692443421557346</v>
          </cell>
          <cell r="I470">
            <v>1.2212226066897347</v>
          </cell>
          <cell r="J470">
            <v>2.0522738880118858</v>
          </cell>
          <cell r="K470">
            <v>2.2159106711672418</v>
          </cell>
          <cell r="L470">
            <v>1.8873141351402218</v>
          </cell>
          <cell r="M470">
            <v>2.1147649984930821</v>
          </cell>
          <cell r="N470">
            <v>1.1352432065175047</v>
          </cell>
          <cell r="O470">
            <v>1.2297197194404927</v>
          </cell>
          <cell r="P470">
            <v>2.3666809722844206</v>
          </cell>
          <cell r="Q470">
            <v>1.1365148397555804</v>
          </cell>
          <cell r="R470">
            <v>1.3475898222733667</v>
          </cell>
          <cell r="S470">
            <v>2.4735888922426805</v>
          </cell>
          <cell r="T470">
            <v>1.0895308924485125</v>
          </cell>
          <cell r="U470">
            <v>1.0864545198535625</v>
          </cell>
          <cell r="V470">
            <v>2.1725701331822047</v>
          </cell>
          <cell r="W470">
            <v>1.1236768802228412</v>
          </cell>
          <cell r="X470">
            <v>1.1643153526970955</v>
          </cell>
          <cell r="Y470">
            <v>2.287180910099889</v>
          </cell>
          <cell r="Z470">
            <v>1.1943219404630649</v>
          </cell>
          <cell r="AA470">
            <v>1.0982894379581862</v>
          </cell>
          <cell r="AB470">
            <v>2.2959714990408333</v>
          </cell>
          <cell r="AC470">
            <v>0.89411448535339966</v>
          </cell>
          <cell r="AD470">
            <v>0.99813532232285562</v>
          </cell>
          <cell r="AE470">
            <v>1.8939759036144579</v>
          </cell>
          <cell r="AF470">
            <v>0.33240223463687152</v>
          </cell>
          <cell r="AG470">
            <v>0.29822335025380708</v>
          </cell>
          <cell r="AH470">
            <v>0.63681868743047831</v>
          </cell>
          <cell r="AI470">
            <v>0.86318347509113003</v>
          </cell>
          <cell r="AJ470">
            <v>0.53153153153153154</v>
          </cell>
          <cell r="AK470">
            <v>1.3770014556040757</v>
          </cell>
          <cell r="AL470">
            <v>0.85746835443037972</v>
          </cell>
          <cell r="AM470">
            <v>0.6598551474392137</v>
          </cell>
          <cell r="AN470">
            <v>1.525301823786283</v>
          </cell>
          <cell r="AO470">
            <v>1.0755201643976369</v>
          </cell>
          <cell r="AP470">
            <v>0.87583547557840613</v>
          </cell>
          <cell r="AQ470">
            <v>1.9496790757381257</v>
          </cell>
          <cell r="AR470">
            <v>0.91483375959079283</v>
          </cell>
          <cell r="AS470">
            <v>1.0086864964464333</v>
          </cell>
          <cell r="AT470">
            <v>1.8992566008715714</v>
          </cell>
          <cell r="AU470">
            <v>0.95829175632432451</v>
          </cell>
          <cell r="AV470" t="e">
            <v>#N/A</v>
          </cell>
          <cell r="AW470" t="e">
            <v>#N/A</v>
          </cell>
          <cell r="AX470">
            <v>1.0458039442442353</v>
          </cell>
          <cell r="AY470">
            <v>1.0736176097078625</v>
          </cell>
          <cell r="AZ470">
            <v>2.1193635812070815</v>
          </cell>
          <cell r="BA470">
            <v>1.0762997335850628</v>
          </cell>
          <cell r="BB470">
            <v>1.0752850223291344</v>
          </cell>
          <cell r="BC470">
            <v>2.151575129747914</v>
          </cell>
          <cell r="BD470">
            <v>1.1099307116807149</v>
          </cell>
          <cell r="BE470">
            <v>1.1176928373170019</v>
          </cell>
          <cell r="BF470">
            <v>2.2276093818424791</v>
          </cell>
          <cell r="BG470">
            <v>1.1727080065374509</v>
          </cell>
          <cell r="BH470">
            <v>1.2012447342854211</v>
          </cell>
          <cell r="BI470">
            <v>2.3738935989126522</v>
          </cell>
          <cell r="BJ470">
            <v>1.2423670404395248</v>
          </cell>
          <cell r="BK470">
            <v>1.2682632483367429</v>
          </cell>
          <cell r="BL470">
            <v>2.5106302887762673</v>
          </cell>
          <cell r="BM470">
            <v>1.2763200654277358</v>
          </cell>
          <cell r="BN470">
            <v>1.2672515096369605</v>
          </cell>
          <cell r="BO470">
            <v>2.5435715750646959</v>
          </cell>
          <cell r="BP470">
            <v>1.2856617906250407</v>
          </cell>
          <cell r="BQ470">
            <v>1.2683071862319315</v>
          </cell>
          <cell r="BR470">
            <v>2.5539689768569724</v>
          </cell>
          <cell r="BS470">
            <v>1.2952132282659459</v>
          </cell>
          <cell r="BT470">
            <v>1.2911624969001891</v>
          </cell>
          <cell r="BU470">
            <v>2.5863757251661346</v>
          </cell>
          <cell r="BV470">
            <v>1.3207666552164887</v>
          </cell>
          <cell r="BW470">
            <v>1.3232086491337054</v>
          </cell>
          <cell r="BX470">
            <v>2.6439753043501937</v>
          </cell>
        </row>
        <row r="471">
          <cell r="B471" t="str">
            <v>Common dividends paid</v>
          </cell>
          <cell r="C471" t="str">
            <v>COMMON_DIV_PAID</v>
          </cell>
          <cell r="D471" t="str">
            <v>AUD</v>
          </cell>
          <cell r="F471">
            <v>-2129.92</v>
          </cell>
          <cell r="G471">
            <v>-2434.33</v>
          </cell>
          <cell r="H471">
            <v>-2679.7</v>
          </cell>
          <cell r="I471">
            <v>-3394.76</v>
          </cell>
          <cell r="J471">
            <v>-4146.26</v>
          </cell>
          <cell r="K471">
            <v>-4710.84</v>
          </cell>
          <cell r="L471">
            <v>-5091.4799999999996</v>
          </cell>
          <cell r="M471">
            <v>-6088.74</v>
          </cell>
          <cell r="N471">
            <v>-2798.1</v>
          </cell>
          <cell r="O471">
            <v>-2860.28</v>
          </cell>
          <cell r="P471">
            <v>-5658.38</v>
          </cell>
          <cell r="Q471">
            <v>-2901.6</v>
          </cell>
          <cell r="R471">
            <v>-3008.1526903553299</v>
          </cell>
          <cell r="S471">
            <v>-5909.7526903553298</v>
          </cell>
          <cell r="T471">
            <v>-3135.8399999999997</v>
          </cell>
          <cell r="U471">
            <v>-3145.24</v>
          </cell>
          <cell r="V471">
            <v>-6281.08</v>
          </cell>
          <cell r="W471">
            <v>-3155.58</v>
          </cell>
          <cell r="X471">
            <v>-3190.7024222599998</v>
          </cell>
          <cell r="Y471">
            <v>-6346.2824222599993</v>
          </cell>
          <cell r="Z471">
            <v>-3199.9217157200001</v>
          </cell>
          <cell r="AA471">
            <v>-3228.7089083399997</v>
          </cell>
          <cell r="AB471">
            <v>-6428.6306240599997</v>
          </cell>
          <cell r="AC471">
            <v>-3240.7167616199999</v>
          </cell>
          <cell r="AD471">
            <v>-2791.9430184000003</v>
          </cell>
          <cell r="AE471">
            <v>-6032.6597800199997</v>
          </cell>
          <cell r="AF471">
            <v>0</v>
          </cell>
          <cell r="AG471">
            <v>-1119.6223097</v>
          </cell>
          <cell r="AH471">
            <v>-1119.6223097</v>
          </cell>
          <cell r="AI471">
            <v>-2127.7832486399998</v>
          </cell>
          <cell r="AJ471">
            <v>-2201.1550848000002</v>
          </cell>
          <cell r="AK471">
            <v>-4328.93833344</v>
          </cell>
          <cell r="AL471">
            <v>-2135.6878933399998</v>
          </cell>
          <cell r="AM471">
            <v>-2240.7217241600001</v>
          </cell>
          <cell r="AN471">
            <v>-4376.4096174999995</v>
          </cell>
          <cell r="AO471">
            <v>-2456.3538719999997</v>
          </cell>
          <cell r="AP471">
            <v>-2526.5354112</v>
          </cell>
          <cell r="AQ471">
            <v>-4982.8892832000001</v>
          </cell>
          <cell r="AR471">
            <v>-3127.1710589999998</v>
          </cell>
          <cell r="AS471">
            <v>-2615.47263436</v>
          </cell>
          <cell r="AT471">
            <v>-5742.6436933599998</v>
          </cell>
          <cell r="AU471">
            <v>-2602.0115508399999</v>
          </cell>
          <cell r="AV471" t="e">
            <v>#N/A</v>
          </cell>
          <cell r="AW471" t="e">
            <v>#N/A</v>
          </cell>
          <cell r="AX471">
            <v>-2660.0400444352281</v>
          </cell>
          <cell r="AY471">
            <v>-2681.9944729064559</v>
          </cell>
          <cell r="AZ471">
            <v>-5342.0345173416845</v>
          </cell>
          <cell r="BA471">
            <v>-2704.154770752371</v>
          </cell>
          <cell r="BB471">
            <v>-2726.5184962442099</v>
          </cell>
          <cell r="BC471">
            <v>-5430.6732669965804</v>
          </cell>
          <cell r="BD471">
            <v>-2749.0830528907063</v>
          </cell>
          <cell r="BE471">
            <v>-2838.6371694185018</v>
          </cell>
          <cell r="BF471">
            <v>-5587.7202223092081</v>
          </cell>
          <cell r="BG471">
            <v>-2927.8894875264905</v>
          </cell>
          <cell r="BH471">
            <v>-3016.8681600934888</v>
          </cell>
          <cell r="BI471">
            <v>-5944.7576476199793</v>
          </cell>
          <cell r="BJ471">
            <v>-3116.3253521844827</v>
          </cell>
          <cell r="BK471">
            <v>-3215.782544275477</v>
          </cell>
          <cell r="BL471">
            <v>-6332.1078964599601</v>
          </cell>
          <cell r="BM471">
            <v>-3315.2397363664709</v>
          </cell>
          <cell r="BN471">
            <v>-3414.6969284574652</v>
          </cell>
          <cell r="BO471">
            <v>-6729.9366648239356</v>
          </cell>
          <cell r="BP471">
            <v>-3514.1541205484591</v>
          </cell>
          <cell r="BQ471">
            <v>-3514.1541205484591</v>
          </cell>
          <cell r="BR471">
            <v>-7028.3082410969182</v>
          </cell>
          <cell r="BS471">
            <v>-3580.458915275789</v>
          </cell>
          <cell r="BT471">
            <v>-3580.458915275789</v>
          </cell>
          <cell r="BU471">
            <v>-7160.9178305515779</v>
          </cell>
          <cell r="BV471">
            <v>-3646.7637100031184</v>
          </cell>
          <cell r="BW471">
            <v>-3646.7637100031184</v>
          </cell>
          <cell r="BX471">
            <v>-7293.5274200062368</v>
          </cell>
        </row>
        <row r="472">
          <cell r="B472" t="str">
            <v>DPS, dividend per share</v>
          </cell>
          <cell r="C472" t="str">
            <v>DPS</v>
          </cell>
          <cell r="D472" t="str">
            <v>AUD</v>
          </cell>
          <cell r="F472">
            <v>1.1541414141414141</v>
          </cell>
          <cell r="G472">
            <v>1.3033838383838385</v>
          </cell>
          <cell r="H472">
            <v>1.4128282828282828</v>
          </cell>
          <cell r="I472">
            <v>1.1541414141414141</v>
          </cell>
          <cell r="J472">
            <v>1.382979797979798</v>
          </cell>
          <cell r="K472">
            <v>1.5521212121212122</v>
          </cell>
          <cell r="L472">
            <v>1.6516161616161615</v>
          </cell>
          <cell r="M472">
            <v>1.9501010101010101</v>
          </cell>
          <cell r="N472">
            <v>0.89545454545454539</v>
          </cell>
          <cell r="O472">
            <v>0.91535353535353536</v>
          </cell>
          <cell r="P472">
            <v>1.8108080808080809</v>
          </cell>
          <cell r="Q472">
            <v>0.92530303030303029</v>
          </cell>
          <cell r="R472">
            <v>0.94</v>
          </cell>
          <cell r="S472">
            <v>1.8653030303030302</v>
          </cell>
          <cell r="T472">
            <v>0.94</v>
          </cell>
          <cell r="U472">
            <v>0.94</v>
          </cell>
          <cell r="V472">
            <v>1.88</v>
          </cell>
          <cell r="W472">
            <v>0.94</v>
          </cell>
          <cell r="X472">
            <v>0.94</v>
          </cell>
          <cell r="Y472">
            <v>1.88</v>
          </cell>
          <cell r="Z472">
            <v>0.94</v>
          </cell>
          <cell r="AA472">
            <v>0.94</v>
          </cell>
          <cell r="AB472">
            <v>1.88</v>
          </cell>
          <cell r="AC472">
            <v>0.94</v>
          </cell>
          <cell r="AD472">
            <v>0.8</v>
          </cell>
          <cell r="AE472">
            <v>1.74</v>
          </cell>
          <cell r="AF472">
            <v>0</v>
          </cell>
          <cell r="AG472">
            <v>0.31</v>
          </cell>
          <cell r="AH472">
            <v>0.31</v>
          </cell>
          <cell r="AI472">
            <v>0.57999999999999996</v>
          </cell>
          <cell r="AJ472">
            <v>0.6</v>
          </cell>
          <cell r="AK472">
            <v>1.18</v>
          </cell>
          <cell r="AL472">
            <v>0.61</v>
          </cell>
          <cell r="AM472">
            <v>0.64</v>
          </cell>
          <cell r="AN472">
            <v>1.25</v>
          </cell>
          <cell r="AO472">
            <v>0.7</v>
          </cell>
          <cell r="AP472">
            <v>0.72</v>
          </cell>
          <cell r="AQ472">
            <v>1.42</v>
          </cell>
          <cell r="AR472">
            <v>0.9</v>
          </cell>
          <cell r="AS472">
            <v>0.76</v>
          </cell>
          <cell r="AT472">
            <v>1.6600000000000001</v>
          </cell>
          <cell r="AU472">
            <v>0.76</v>
          </cell>
          <cell r="AV472" t="e">
            <v>#N/A</v>
          </cell>
          <cell r="AW472" t="e">
            <v>#N/A</v>
          </cell>
          <cell r="AX472">
            <v>0.78</v>
          </cell>
          <cell r="AY472">
            <v>0.79</v>
          </cell>
          <cell r="AZ472">
            <v>1.57</v>
          </cell>
          <cell r="BA472">
            <v>0.8</v>
          </cell>
          <cell r="BB472">
            <v>0.81</v>
          </cell>
          <cell r="BC472">
            <v>1.61</v>
          </cell>
          <cell r="BD472">
            <v>0.82</v>
          </cell>
          <cell r="BE472">
            <v>0.85</v>
          </cell>
          <cell r="BF472">
            <v>1.67</v>
          </cell>
          <cell r="BG472">
            <v>0.88</v>
          </cell>
          <cell r="BH472">
            <v>0.91</v>
          </cell>
          <cell r="BI472">
            <v>1.79</v>
          </cell>
          <cell r="BJ472">
            <v>0.94000000000000006</v>
          </cell>
          <cell r="BK472">
            <v>0.97000000000000008</v>
          </cell>
          <cell r="BL472">
            <v>1.9100000000000001</v>
          </cell>
          <cell r="BM472">
            <v>1</v>
          </cell>
          <cell r="BN472">
            <v>1.03</v>
          </cell>
          <cell r="BO472">
            <v>2.0300000000000002</v>
          </cell>
          <cell r="BP472">
            <v>1.06</v>
          </cell>
          <cell r="BQ472">
            <v>1.06</v>
          </cell>
          <cell r="BR472">
            <v>2.12</v>
          </cell>
          <cell r="BS472">
            <v>1.08</v>
          </cell>
          <cell r="BT472">
            <v>1.08</v>
          </cell>
          <cell r="BU472">
            <v>2.16</v>
          </cell>
          <cell r="BV472">
            <v>1.1000000000000001</v>
          </cell>
          <cell r="BW472">
            <v>1.1000000000000001</v>
          </cell>
          <cell r="BX472">
            <v>2.2000000000000002</v>
          </cell>
        </row>
        <row r="473">
          <cell r="B473" t="str">
            <v>Weighted average shares outstanding, basic</v>
          </cell>
          <cell r="C473" t="str">
            <v>SH</v>
          </cell>
          <cell r="F473">
            <v>1851.3502538071066</v>
          </cell>
          <cell r="G473">
            <v>1861.4010152284266</v>
          </cell>
          <cell r="H473">
            <v>1888.5380710659899</v>
          </cell>
          <cell r="I473">
            <v>2772</v>
          </cell>
          <cell r="J473">
            <v>2987.0862944162436</v>
          </cell>
          <cell r="K473">
            <v>3025.2791878172588</v>
          </cell>
          <cell r="L473">
            <v>3071.5126903553301</v>
          </cell>
          <cell r="M473">
            <v>3115.736040609137</v>
          </cell>
          <cell r="N473">
            <v>3124.7817258883251</v>
          </cell>
          <cell r="O473">
            <v>3130.8121827411169</v>
          </cell>
          <cell r="P473">
            <v>3124.7817258883251</v>
          </cell>
          <cell r="Q473">
            <v>3130.8121827411169</v>
          </cell>
          <cell r="R473">
            <v>3168</v>
          </cell>
          <cell r="S473">
            <v>3149.9086294416243</v>
          </cell>
          <cell r="T473">
            <v>3303</v>
          </cell>
          <cell r="U473">
            <v>3341</v>
          </cell>
          <cell r="V473">
            <v>3322</v>
          </cell>
          <cell r="W473">
            <v>3352</v>
          </cell>
          <cell r="X473">
            <v>3375</v>
          </cell>
          <cell r="Y473">
            <v>3364</v>
          </cell>
          <cell r="Z473">
            <v>3400</v>
          </cell>
          <cell r="AA473">
            <v>3429</v>
          </cell>
          <cell r="AB473">
            <v>3414</v>
          </cell>
          <cell r="AC473">
            <v>3442</v>
          </cell>
          <cell r="AD473">
            <v>3470</v>
          </cell>
          <cell r="AE473">
            <v>3456</v>
          </cell>
          <cell r="AF473">
            <v>3579</v>
          </cell>
          <cell r="AG473">
            <v>3612</v>
          </cell>
          <cell r="AH473">
            <v>3595</v>
          </cell>
          <cell r="AI473">
            <v>3669</v>
          </cell>
          <cell r="AJ473">
            <v>3669</v>
          </cell>
          <cell r="AK473">
            <v>3657</v>
          </cell>
          <cell r="AL473">
            <v>3626</v>
          </cell>
          <cell r="AM473">
            <v>3501</v>
          </cell>
          <cell r="AN473">
            <v>3564</v>
          </cell>
          <cell r="AO473">
            <v>3506</v>
          </cell>
          <cell r="AP473">
            <v>3509</v>
          </cell>
          <cell r="AQ473">
            <v>3507</v>
          </cell>
          <cell r="AR473">
            <v>3499</v>
          </cell>
          <cell r="AS473">
            <v>3462</v>
          </cell>
          <cell r="AT473">
            <v>3481</v>
          </cell>
          <cell r="AU473">
            <v>3433</v>
          </cell>
          <cell r="AV473" t="e">
            <v>#N/A</v>
          </cell>
          <cell r="AW473" t="e">
            <v>#N/A</v>
          </cell>
          <cell r="AX473">
            <v>3415.3042217103307</v>
          </cell>
          <cell r="AY473">
            <v>3402.5925233885482</v>
          </cell>
          <cell r="AZ473">
            <v>3408.9657858348119</v>
          </cell>
          <cell r="BA473">
            <v>3387.5354964433614</v>
          </cell>
          <cell r="BB473">
            <v>3373.1068600987187</v>
          </cell>
          <cell r="BC473">
            <v>3380.340943526307</v>
          </cell>
          <cell r="BD473">
            <v>3359.2803890746718</v>
          </cell>
          <cell r="BE473">
            <v>3346.0309525782145</v>
          </cell>
          <cell r="BF473">
            <v>3352.6556708264434</v>
          </cell>
          <cell r="BG473">
            <v>3333.3344686259215</v>
          </cell>
          <cell r="BH473">
            <v>3321.1678602728844</v>
          </cell>
          <cell r="BI473">
            <v>3327.2678310361885</v>
          </cell>
          <cell r="BJ473">
            <v>3315.2142018542795</v>
          </cell>
          <cell r="BK473">
            <v>3315.2142018542795</v>
          </cell>
          <cell r="BL473">
            <v>3315.2142018542795</v>
          </cell>
          <cell r="BM473">
            <v>3315.2142018542795</v>
          </cell>
          <cell r="BN473">
            <v>3315.2142018542795</v>
          </cell>
          <cell r="BO473">
            <v>3315.2142018542795</v>
          </cell>
          <cell r="BP473">
            <v>3315.2142018542795</v>
          </cell>
          <cell r="BQ473">
            <v>3315.2142018542795</v>
          </cell>
          <cell r="BR473">
            <v>3315.2142018542795</v>
          </cell>
          <cell r="BS473">
            <v>3315.2142018542795</v>
          </cell>
          <cell r="BT473">
            <v>3315.2142018542795</v>
          </cell>
          <cell r="BU473">
            <v>3315.2142018542795</v>
          </cell>
          <cell r="BV473">
            <v>3315.2142018542795</v>
          </cell>
          <cell r="BW473">
            <v>3315.2142018542795</v>
          </cell>
          <cell r="BX473">
            <v>3315.2142018542795</v>
          </cell>
        </row>
        <row r="474">
          <cell r="B474" t="str">
            <v>Diluted average shares outstanding (mn)</v>
          </cell>
          <cell r="C474" t="str">
            <v>DILUTE_SHARES</v>
          </cell>
          <cell r="F474">
            <v>1916.6802030456854</v>
          </cell>
          <cell r="G474">
            <v>1930.7512690355331</v>
          </cell>
          <cell r="H474">
            <v>1985.0253807106599</v>
          </cell>
          <cell r="I474">
            <v>2904.6700507614214</v>
          </cell>
          <cell r="J474">
            <v>3148.7025380710661</v>
          </cell>
          <cell r="K474">
            <v>3212.2233502538074</v>
          </cell>
          <cell r="L474">
            <v>3236.3451776649749</v>
          </cell>
          <cell r="M474">
            <v>3267.5025380710663</v>
          </cell>
          <cell r="N474">
            <v>3257.4517766497461</v>
          </cell>
          <cell r="O474">
            <v>3275.5431472081218</v>
          </cell>
          <cell r="P474">
            <v>3264.4873096446699</v>
          </cell>
          <cell r="Q474">
            <v>3256.4467005076144</v>
          </cell>
          <cell r="R474">
            <v>3334.8426395939086</v>
          </cell>
          <cell r="S474">
            <v>3313</v>
          </cell>
          <cell r="T474">
            <v>3496</v>
          </cell>
          <cell r="U474">
            <v>3551</v>
          </cell>
          <cell r="V474">
            <v>3529</v>
          </cell>
          <cell r="W474">
            <v>3590</v>
          </cell>
          <cell r="X474">
            <v>3615</v>
          </cell>
          <cell r="Y474">
            <v>3604</v>
          </cell>
          <cell r="Z474">
            <v>3628</v>
          </cell>
          <cell r="AA474">
            <v>3683</v>
          </cell>
          <cell r="AB474">
            <v>3649</v>
          </cell>
          <cell r="AC474">
            <v>3721</v>
          </cell>
          <cell r="AD474">
            <v>3754</v>
          </cell>
          <cell r="AE474">
            <v>3735</v>
          </cell>
          <cell r="AF474">
            <v>3580</v>
          </cell>
          <cell r="AG474">
            <v>3940</v>
          </cell>
          <cell r="AH474">
            <v>3596</v>
          </cell>
          <cell r="AI474">
            <v>4115</v>
          </cell>
          <cell r="AJ474">
            <v>3996</v>
          </cell>
          <cell r="AK474">
            <v>4122</v>
          </cell>
          <cell r="AL474">
            <v>3950</v>
          </cell>
          <cell r="AM474">
            <v>3866</v>
          </cell>
          <cell r="AN474">
            <v>3893</v>
          </cell>
          <cell r="AO474">
            <v>3893</v>
          </cell>
          <cell r="AP474">
            <v>3890</v>
          </cell>
          <cell r="AQ474">
            <v>3895</v>
          </cell>
          <cell r="AR474">
            <v>3910</v>
          </cell>
          <cell r="AS474">
            <v>3799</v>
          </cell>
          <cell r="AT474">
            <v>3901</v>
          </cell>
          <cell r="AU474">
            <v>3700</v>
          </cell>
          <cell r="AV474" t="e">
            <v>#N/A</v>
          </cell>
          <cell r="AW474" t="e">
            <v>#N/A</v>
          </cell>
          <cell r="AX474">
            <v>3692.3042217103302</v>
          </cell>
          <cell r="AY474">
            <v>3679.5925233885478</v>
          </cell>
          <cell r="AZ474">
            <v>3685.9657858348114</v>
          </cell>
          <cell r="BA474">
            <v>3664.5354964433609</v>
          </cell>
          <cell r="BB474">
            <v>3650.1068600987178</v>
          </cell>
          <cell r="BC474">
            <v>3657.3409435263061</v>
          </cell>
          <cell r="BD474">
            <v>3636.2803890746704</v>
          </cell>
          <cell r="BE474">
            <v>3623.0309525782131</v>
          </cell>
          <cell r="BF474">
            <v>3629.6556708264416</v>
          </cell>
          <cell r="BG474">
            <v>3610.3344686259202</v>
          </cell>
          <cell r="BH474">
            <v>3598.1678602728834</v>
          </cell>
          <cell r="BI474">
            <v>3604.2678310361866</v>
          </cell>
          <cell r="BJ474">
            <v>3592.2142018542781</v>
          </cell>
          <cell r="BK474">
            <v>3592.2142018542786</v>
          </cell>
          <cell r="BL474">
            <v>3592.2142018542791</v>
          </cell>
          <cell r="BM474">
            <v>3592.2142018542786</v>
          </cell>
          <cell r="BN474">
            <v>3592.2142018542786</v>
          </cell>
          <cell r="BO474">
            <v>3592.2142018542791</v>
          </cell>
          <cell r="BP474">
            <v>3592.2142018542786</v>
          </cell>
          <cell r="BQ474">
            <v>3592.2142018542786</v>
          </cell>
          <cell r="BR474">
            <v>3592.2142018542786</v>
          </cell>
          <cell r="BS474">
            <v>3592.2142018542786</v>
          </cell>
          <cell r="BT474">
            <v>3592.2142018542786</v>
          </cell>
          <cell r="BU474">
            <v>3592.2142018542791</v>
          </cell>
          <cell r="BV474">
            <v>3592.2142018542786</v>
          </cell>
          <cell r="BW474">
            <v>3592.2142018542786</v>
          </cell>
          <cell r="BX474">
            <v>3592.2142018542791</v>
          </cell>
        </row>
        <row r="475">
          <cell r="B475" t="str">
            <v>Period-end shares outstanding</v>
          </cell>
          <cell r="C475" t="str">
            <v>NON_OP_ADD</v>
          </cell>
          <cell r="F475">
            <v>1849.3401015228426</v>
          </cell>
          <cell r="G475">
            <v>1874.4670050761422</v>
          </cell>
          <cell r="H475">
            <v>1904.6192893401017</v>
          </cell>
          <cell r="I475">
            <v>2955.9289340101523</v>
          </cell>
          <cell r="J475">
            <v>3004.1725888324872</v>
          </cell>
          <cell r="K475">
            <v>3045.3807106598988</v>
          </cell>
          <cell r="L475">
            <v>3095.6345177664975</v>
          </cell>
          <cell r="M475">
            <v>3124.7817258883251</v>
          </cell>
          <cell r="N475">
            <v>3124.7817258883251</v>
          </cell>
          <cell r="O475">
            <v>3124.7817258883251</v>
          </cell>
          <cell r="P475">
            <v>3124.7817258883251</v>
          </cell>
          <cell r="Q475">
            <v>3135.8375634517765</v>
          </cell>
          <cell r="R475">
            <v>3200.1624365482235</v>
          </cell>
          <cell r="S475">
            <v>3200.1624365482235</v>
          </cell>
          <cell r="T475">
            <v>3336</v>
          </cell>
          <cell r="U475">
            <v>3346</v>
          </cell>
          <cell r="V475">
            <v>3346</v>
          </cell>
          <cell r="W475">
            <v>3357</v>
          </cell>
          <cell r="X475">
            <v>3394.3642789999999</v>
          </cell>
          <cell r="Y475">
            <v>3394.3642789999999</v>
          </cell>
          <cell r="Z475">
            <v>3404.1720380000002</v>
          </cell>
          <cell r="AA475">
            <v>3434.796711</v>
          </cell>
          <cell r="AB475">
            <v>3434.796711</v>
          </cell>
          <cell r="AC475">
            <v>3447.571023</v>
          </cell>
          <cell r="AD475">
            <v>3489.9287730000001</v>
          </cell>
          <cell r="AE475">
            <v>3489.9287730000001</v>
          </cell>
          <cell r="AF475">
            <v>3611.68487</v>
          </cell>
          <cell r="AG475">
            <v>3611.68487</v>
          </cell>
          <cell r="AH475">
            <v>3611.68487</v>
          </cell>
          <cell r="AI475">
            <v>3668.5918080000001</v>
          </cell>
          <cell r="AJ475">
            <v>3668.5918080000001</v>
          </cell>
          <cell r="AK475">
            <v>3668.5918080000001</v>
          </cell>
          <cell r="AL475">
            <v>3501.1276939999998</v>
          </cell>
          <cell r="AM475">
            <v>3501.1276939999998</v>
          </cell>
          <cell r="AN475">
            <v>3501.1276939999998</v>
          </cell>
          <cell r="AO475">
            <v>3509.0769599999999</v>
          </cell>
          <cell r="AP475">
            <v>3509.0769599999999</v>
          </cell>
          <cell r="AQ475">
            <v>3509.0769599999999</v>
          </cell>
          <cell r="AR475">
            <v>3474.6345099999999</v>
          </cell>
          <cell r="AS475">
            <v>3441.4113609999999</v>
          </cell>
          <cell r="AT475">
            <v>3441.4113609999999</v>
          </cell>
          <cell r="AU475">
            <v>3423.6994089999998</v>
          </cell>
          <cell r="AV475" t="e">
            <v>#N/A</v>
          </cell>
          <cell r="AW475" t="e">
            <v>#N/A</v>
          </cell>
          <cell r="AX475">
            <v>3410.3077492759335</v>
          </cell>
          <cell r="AY475">
            <v>3394.9297125398175</v>
          </cell>
          <cell r="AZ475">
            <v>3394.9297125398175</v>
          </cell>
          <cell r="BA475">
            <v>3380.1934634404633</v>
          </cell>
          <cell r="BB475">
            <v>3366.0722175854439</v>
          </cell>
          <cell r="BC475">
            <v>3366.0722175854439</v>
          </cell>
          <cell r="BD475">
            <v>3352.5403084033005</v>
          </cell>
          <cell r="BE475">
            <v>3339.5731404923554</v>
          </cell>
          <cell r="BF475">
            <v>3339.5731404923554</v>
          </cell>
          <cell r="BG475">
            <v>3327.1471449164665</v>
          </cell>
          <cell r="BH475">
            <v>3315.2397363664709</v>
          </cell>
          <cell r="BI475">
            <v>3315.2397363664709</v>
          </cell>
          <cell r="BJ475">
            <v>3315.2397363664709</v>
          </cell>
          <cell r="BK475">
            <v>3315.2397363664709</v>
          </cell>
          <cell r="BL475">
            <v>3315.2397363664709</v>
          </cell>
          <cell r="BM475">
            <v>3315.2397363664709</v>
          </cell>
          <cell r="BN475">
            <v>3315.2397363664709</v>
          </cell>
          <cell r="BO475">
            <v>3315.2397363664709</v>
          </cell>
          <cell r="BP475">
            <v>3315.2397363664709</v>
          </cell>
          <cell r="BQ475">
            <v>3315.2397363664709</v>
          </cell>
          <cell r="BR475">
            <v>3315.2397363664709</v>
          </cell>
          <cell r="BS475">
            <v>3315.2397363664709</v>
          </cell>
          <cell r="BT475">
            <v>3315.2397363664709</v>
          </cell>
          <cell r="BU475">
            <v>3315.2397363664709</v>
          </cell>
          <cell r="BV475">
            <v>3315.2397363664709</v>
          </cell>
          <cell r="BW475">
            <v>3315.2397363664709</v>
          </cell>
          <cell r="BX475">
            <v>3315.2397363664709</v>
          </cell>
        </row>
        <row r="476">
          <cell r="B476" t="str">
            <v>Franking</v>
          </cell>
          <cell r="C476" t="str">
            <v>FRANKING</v>
          </cell>
          <cell r="F476">
            <v>1</v>
          </cell>
          <cell r="G476">
            <v>1</v>
          </cell>
          <cell r="H476">
            <v>1</v>
          </cell>
          <cell r="I476">
            <v>1</v>
          </cell>
          <cell r="J476">
            <v>1</v>
          </cell>
          <cell r="K476">
            <v>1</v>
          </cell>
          <cell r="L476">
            <v>1</v>
          </cell>
          <cell r="M476">
            <v>1</v>
          </cell>
          <cell r="N476">
            <v>1</v>
          </cell>
          <cell r="O476">
            <v>1</v>
          </cell>
          <cell r="P476">
            <v>1</v>
          </cell>
          <cell r="Q476">
            <v>1</v>
          </cell>
          <cell r="R476">
            <v>1</v>
          </cell>
          <cell r="S476">
            <v>1</v>
          </cell>
          <cell r="T476">
            <v>1</v>
          </cell>
          <cell r="U476">
            <v>1</v>
          </cell>
          <cell r="V476">
            <v>1</v>
          </cell>
          <cell r="W476">
            <v>1</v>
          </cell>
          <cell r="X476">
            <v>1</v>
          </cell>
          <cell r="Y476">
            <v>1</v>
          </cell>
          <cell r="Z476">
            <v>1</v>
          </cell>
          <cell r="AA476">
            <v>1</v>
          </cell>
          <cell r="AB476">
            <v>1</v>
          </cell>
          <cell r="AC476">
            <v>1</v>
          </cell>
          <cell r="AD476">
            <v>1</v>
          </cell>
          <cell r="AE476">
            <v>1</v>
          </cell>
          <cell r="AF476">
            <v>1</v>
          </cell>
          <cell r="AG476">
            <v>1</v>
          </cell>
          <cell r="AH476">
            <v>1</v>
          </cell>
          <cell r="AI476">
            <v>1</v>
          </cell>
          <cell r="AJ476">
            <v>1</v>
          </cell>
          <cell r="AK476">
            <v>1</v>
          </cell>
          <cell r="AL476">
            <v>1</v>
          </cell>
          <cell r="AM476">
            <v>1</v>
          </cell>
          <cell r="AN476">
            <v>1</v>
          </cell>
          <cell r="AO476">
            <v>1</v>
          </cell>
          <cell r="AP476">
            <v>1</v>
          </cell>
          <cell r="AQ476">
            <v>1</v>
          </cell>
          <cell r="AR476">
            <v>1</v>
          </cell>
          <cell r="AS476">
            <v>1</v>
          </cell>
          <cell r="AT476">
            <v>1</v>
          </cell>
          <cell r="AU476">
            <v>1</v>
          </cell>
          <cell r="AV476" t="e">
            <v>#N/A</v>
          </cell>
          <cell r="AW476" t="e">
            <v>#N/A</v>
          </cell>
          <cell r="AX476">
            <v>1</v>
          </cell>
          <cell r="AY476">
            <v>1</v>
          </cell>
          <cell r="AZ476">
            <v>1</v>
          </cell>
          <cell r="BA476">
            <v>1</v>
          </cell>
          <cell r="BB476">
            <v>1</v>
          </cell>
          <cell r="BC476">
            <v>1</v>
          </cell>
          <cell r="BD476">
            <v>1</v>
          </cell>
          <cell r="BE476">
            <v>1</v>
          </cell>
          <cell r="BF476">
            <v>1</v>
          </cell>
          <cell r="BG476">
            <v>1</v>
          </cell>
          <cell r="BH476">
            <v>1</v>
          </cell>
          <cell r="BI476">
            <v>1</v>
          </cell>
          <cell r="BJ476">
            <v>1</v>
          </cell>
          <cell r="BK476">
            <v>1</v>
          </cell>
          <cell r="BL476">
            <v>1</v>
          </cell>
          <cell r="BM476">
            <v>1</v>
          </cell>
          <cell r="BN476">
            <v>1</v>
          </cell>
          <cell r="BO476">
            <v>1</v>
          </cell>
          <cell r="BP476">
            <v>1</v>
          </cell>
          <cell r="BQ476">
            <v>1</v>
          </cell>
          <cell r="BR476">
            <v>1</v>
          </cell>
          <cell r="BS476">
            <v>1</v>
          </cell>
          <cell r="BT476">
            <v>1</v>
          </cell>
          <cell r="BU476">
            <v>1</v>
          </cell>
          <cell r="BV476">
            <v>1</v>
          </cell>
          <cell r="BW476">
            <v>1</v>
          </cell>
          <cell r="BX476">
            <v>1</v>
          </cell>
        </row>
        <row r="477">
          <cell r="A477" t="str">
            <v>ANZ Income Statement</v>
          </cell>
        </row>
        <row r="478">
          <cell r="B478" t="str">
            <v>Income tax attributable to profit or loss on abnormal items</v>
          </cell>
          <cell r="C478" t="str">
            <v>INCTAX_PL_ON_AB</v>
          </cell>
          <cell r="D478" t="str">
            <v>AUD</v>
          </cell>
          <cell r="F478">
            <v>-13.285714285714286</v>
          </cell>
          <cell r="G478">
            <v>0</v>
          </cell>
          <cell r="H478">
            <v>543</v>
          </cell>
          <cell r="I478">
            <v>507.85714285714283</v>
          </cell>
          <cell r="J478">
            <v>-267.42857142857144</v>
          </cell>
          <cell r="K478">
            <v>-415.28571428571433</v>
          </cell>
          <cell r="L478">
            <v>161.57142857142856</v>
          </cell>
          <cell r="M478">
            <v>18.428571428571427</v>
          </cell>
          <cell r="N478">
            <v>-2.1428571428571428</v>
          </cell>
          <cell r="O478">
            <v>-17.142857142857142</v>
          </cell>
          <cell r="P478">
            <v>-19.285714285714288</v>
          </cell>
          <cell r="Q478">
            <v>14.571428571428573</v>
          </cell>
          <cell r="R478">
            <v>-147.42857142857142</v>
          </cell>
          <cell r="S478">
            <v>-132.85714285714286</v>
          </cell>
          <cell r="T478">
            <v>3</v>
          </cell>
          <cell r="U478">
            <v>3.4285714285714284</v>
          </cell>
          <cell r="V478">
            <v>6.4285714285714288</v>
          </cell>
          <cell r="W478">
            <v>0</v>
          </cell>
          <cell r="X478">
            <v>-73.285714285714292</v>
          </cell>
          <cell r="Y478">
            <v>-73.285714285714292</v>
          </cell>
          <cell r="Z478">
            <v>0</v>
          </cell>
          <cell r="AA478">
            <v>0</v>
          </cell>
          <cell r="AB478">
            <v>0</v>
          </cell>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t="e">
            <v>#N/A</v>
          </cell>
          <cell r="AW478" t="e">
            <v>#N/A</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cell r="BL478">
            <v>0</v>
          </cell>
          <cell r="BM478">
            <v>0</v>
          </cell>
          <cell r="BN478">
            <v>0</v>
          </cell>
          <cell r="BO478">
            <v>0</v>
          </cell>
          <cell r="BP478">
            <v>0</v>
          </cell>
          <cell r="BQ478">
            <v>0</v>
          </cell>
          <cell r="BR478">
            <v>0</v>
          </cell>
          <cell r="BS478">
            <v>0</v>
          </cell>
          <cell r="BT478">
            <v>0</v>
          </cell>
          <cell r="BU478">
            <v>0</v>
          </cell>
          <cell r="BV478">
            <v>0</v>
          </cell>
          <cell r="BW478">
            <v>0</v>
          </cell>
          <cell r="BX478">
            <v>0</v>
          </cell>
        </row>
        <row r="479">
          <cell r="B479" t="str">
            <v>Goodwill Asset impairment Charge (Post Tax)</v>
          </cell>
          <cell r="C479" t="str">
            <v>GWILL_ASSET_IMP_CHG_POST_TAX</v>
          </cell>
          <cell r="D479" t="str">
            <v>AUD</v>
          </cell>
        </row>
        <row r="480">
          <cell r="B480" t="str">
            <v>Other Asset impairment Charge (Post Tax)</v>
          </cell>
          <cell r="C480" t="str">
            <v>OTH_ASSET_IMPAIR_CHG_POST_TAX</v>
          </cell>
          <cell r="D480" t="str">
            <v>AUD</v>
          </cell>
        </row>
        <row r="481">
          <cell r="B481" t="str">
            <v>Financial instruments/hedging (Post Tax)</v>
          </cell>
          <cell r="C481" t="str">
            <v>FIN_INSTRUMENT_HEDGE_POST_TAX</v>
          </cell>
          <cell r="D481" t="str">
            <v>AUD</v>
          </cell>
          <cell r="F481">
            <v>-39</v>
          </cell>
          <cell r="G481">
            <v>-56</v>
          </cell>
          <cell r="H481">
            <v>48</v>
          </cell>
          <cell r="I481">
            <v>-44</v>
          </cell>
          <cell r="J481">
            <v>-157</v>
          </cell>
          <cell r="K481">
            <v>-279</v>
          </cell>
          <cell r="L481">
            <v>-251</v>
          </cell>
          <cell r="M481">
            <v>-269</v>
          </cell>
          <cell r="N481">
            <v>-155</v>
          </cell>
          <cell r="O481">
            <v>43</v>
          </cell>
          <cell r="P481">
            <v>-112</v>
          </cell>
          <cell r="Q481">
            <v>-135</v>
          </cell>
          <cell r="R481">
            <v>17</v>
          </cell>
          <cell r="S481">
            <v>-118</v>
          </cell>
          <cell r="T481">
            <v>-196</v>
          </cell>
          <cell r="U481">
            <v>-166</v>
          </cell>
          <cell r="V481">
            <v>-362</v>
          </cell>
          <cell r="W481">
            <v>-110</v>
          </cell>
          <cell r="X481">
            <v>-133</v>
          </cell>
          <cell r="Y481">
            <v>-243</v>
          </cell>
          <cell r="Z481">
            <v>-53</v>
          </cell>
          <cell r="AA481">
            <v>83</v>
          </cell>
          <cell r="AB481">
            <v>30</v>
          </cell>
          <cell r="AC481">
            <v>-123</v>
          </cell>
          <cell r="AD481">
            <v>58</v>
          </cell>
          <cell r="AE481">
            <v>-65</v>
          </cell>
          <cell r="AF481">
            <v>197</v>
          </cell>
          <cell r="AG481">
            <v>-515</v>
          </cell>
          <cell r="AH481">
            <v>-318</v>
          </cell>
          <cell r="AI481">
            <v>-94</v>
          </cell>
          <cell r="AJ481">
            <v>200</v>
          </cell>
          <cell r="AK481">
            <v>106</v>
          </cell>
          <cell r="AL481">
            <v>0</v>
          </cell>
          <cell r="AM481">
            <v>0</v>
          </cell>
          <cell r="AN481">
            <v>0</v>
          </cell>
          <cell r="AO481">
            <v>0</v>
          </cell>
          <cell r="AP481">
            <v>0</v>
          </cell>
          <cell r="AQ481">
            <v>0</v>
          </cell>
          <cell r="AR481">
            <v>0</v>
          </cell>
          <cell r="AS481">
            <v>0</v>
          </cell>
          <cell r="AT481">
            <v>0</v>
          </cell>
          <cell r="AU481">
            <v>-140</v>
          </cell>
          <cell r="AV481" t="e">
            <v>#N/A</v>
          </cell>
          <cell r="AW481" t="e">
            <v>#N/A</v>
          </cell>
          <cell r="AX481">
            <v>0</v>
          </cell>
          <cell r="AY481">
            <v>0</v>
          </cell>
          <cell r="AZ481">
            <v>0</v>
          </cell>
          <cell r="BA481">
            <v>0</v>
          </cell>
          <cell r="BB481">
            <v>0</v>
          </cell>
          <cell r="BC481">
            <v>0</v>
          </cell>
          <cell r="BD481">
            <v>0</v>
          </cell>
          <cell r="BE481">
            <v>0</v>
          </cell>
          <cell r="BF481">
            <v>0</v>
          </cell>
          <cell r="BG481">
            <v>0</v>
          </cell>
          <cell r="BH481">
            <v>0</v>
          </cell>
          <cell r="BI481">
            <v>0</v>
          </cell>
          <cell r="BJ481">
            <v>0</v>
          </cell>
          <cell r="BK481">
            <v>0</v>
          </cell>
          <cell r="BL481">
            <v>0</v>
          </cell>
          <cell r="BM481">
            <v>0</v>
          </cell>
          <cell r="BN481">
            <v>0</v>
          </cell>
          <cell r="BO481">
            <v>0</v>
          </cell>
          <cell r="BP481">
            <v>0</v>
          </cell>
          <cell r="BQ481">
            <v>0</v>
          </cell>
          <cell r="BR481">
            <v>0</v>
          </cell>
          <cell r="BS481">
            <v>0</v>
          </cell>
          <cell r="BT481">
            <v>0</v>
          </cell>
          <cell r="BU481">
            <v>0</v>
          </cell>
          <cell r="BV481">
            <v>0</v>
          </cell>
          <cell r="BW481">
            <v>0</v>
          </cell>
          <cell r="BX481">
            <v>0</v>
          </cell>
        </row>
        <row r="482">
          <cell r="B482" t="str">
            <v>Effective Interest Rate Impact (Post Tax)</v>
          </cell>
          <cell r="C482" t="str">
            <v>EFF_INT_RATE_IMPACT_POST_TAX</v>
          </cell>
          <cell r="D482" t="str">
            <v>AUD</v>
          </cell>
        </row>
        <row r="483">
          <cell r="B483" t="str">
            <v>Other IFRS adjustments (Post Tax)</v>
          </cell>
          <cell r="C483" t="str">
            <v>OTHER_IFRS_ADJUST_POST_TAX</v>
          </cell>
          <cell r="D483" t="str">
            <v>AUD</v>
          </cell>
          <cell r="F483">
            <v>0</v>
          </cell>
          <cell r="G483">
            <v>0</v>
          </cell>
          <cell r="H483">
            <v>0</v>
          </cell>
          <cell r="I483">
            <v>0</v>
          </cell>
          <cell r="J483">
            <v>0</v>
          </cell>
          <cell r="K483">
            <v>0</v>
          </cell>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t="e">
            <v>#N/A</v>
          </cell>
          <cell r="AW483" t="e">
            <v>#N/A</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row>
        <row r="484">
          <cell r="B484" t="str">
            <v>Total IFRS Adjustments (Post Tax)</v>
          </cell>
          <cell r="C484" t="str">
            <v>TOTAL_IFRS_ADJUST_POST_TAX</v>
          </cell>
          <cell r="D484" t="str">
            <v>AUD</v>
          </cell>
          <cell r="F484">
            <v>-39</v>
          </cell>
          <cell r="G484">
            <v>-56</v>
          </cell>
          <cell r="H484">
            <v>48</v>
          </cell>
          <cell r="I484">
            <v>-44</v>
          </cell>
          <cell r="J484">
            <v>-157</v>
          </cell>
          <cell r="K484">
            <v>-279</v>
          </cell>
          <cell r="L484">
            <v>-251</v>
          </cell>
          <cell r="M484">
            <v>-269</v>
          </cell>
          <cell r="N484">
            <v>-155</v>
          </cell>
          <cell r="O484">
            <v>43</v>
          </cell>
          <cell r="P484">
            <v>-112</v>
          </cell>
          <cell r="Q484">
            <v>-135</v>
          </cell>
          <cell r="R484">
            <v>17</v>
          </cell>
          <cell r="S484">
            <v>-118</v>
          </cell>
          <cell r="T484">
            <v>-196</v>
          </cell>
          <cell r="U484">
            <v>-166</v>
          </cell>
          <cell r="V484">
            <v>-362</v>
          </cell>
          <cell r="W484">
            <v>-110</v>
          </cell>
          <cell r="X484">
            <v>-133</v>
          </cell>
          <cell r="Y484">
            <v>-243</v>
          </cell>
          <cell r="Z484">
            <v>-53</v>
          </cell>
          <cell r="AA484">
            <v>83</v>
          </cell>
          <cell r="AB484">
            <v>30</v>
          </cell>
          <cell r="AC484">
            <v>-123</v>
          </cell>
          <cell r="AD484">
            <v>58</v>
          </cell>
          <cell r="AE484">
            <v>-65</v>
          </cell>
          <cell r="AF484">
            <v>197</v>
          </cell>
          <cell r="AG484">
            <v>-515</v>
          </cell>
          <cell r="AH484">
            <v>-318</v>
          </cell>
          <cell r="AI484">
            <v>-94</v>
          </cell>
          <cell r="AJ484">
            <v>200</v>
          </cell>
          <cell r="AK484">
            <v>106</v>
          </cell>
          <cell r="AL484">
            <v>0</v>
          </cell>
          <cell r="AM484">
            <v>0</v>
          </cell>
          <cell r="AN484">
            <v>0</v>
          </cell>
          <cell r="AO484">
            <v>0</v>
          </cell>
          <cell r="AP484">
            <v>0</v>
          </cell>
          <cell r="AQ484">
            <v>0</v>
          </cell>
          <cell r="AR484">
            <v>0</v>
          </cell>
          <cell r="AS484">
            <v>0</v>
          </cell>
          <cell r="AT484">
            <v>0</v>
          </cell>
          <cell r="AU484">
            <v>-140</v>
          </cell>
          <cell r="AV484" t="e">
            <v>#N/A</v>
          </cell>
          <cell r="AW484" t="e">
            <v>#N/A</v>
          </cell>
          <cell r="AX484">
            <v>0</v>
          </cell>
          <cell r="AY484">
            <v>0</v>
          </cell>
          <cell r="AZ484">
            <v>0</v>
          </cell>
          <cell r="BA484">
            <v>0</v>
          </cell>
          <cell r="BB484">
            <v>0</v>
          </cell>
          <cell r="BC484">
            <v>0</v>
          </cell>
          <cell r="BD484">
            <v>0</v>
          </cell>
          <cell r="BE484">
            <v>0</v>
          </cell>
          <cell r="BF484">
            <v>0</v>
          </cell>
          <cell r="BG484">
            <v>0</v>
          </cell>
          <cell r="BH484">
            <v>0</v>
          </cell>
          <cell r="BI484">
            <v>0</v>
          </cell>
          <cell r="BJ484">
            <v>0</v>
          </cell>
          <cell r="BK484">
            <v>0</v>
          </cell>
          <cell r="BL484">
            <v>0</v>
          </cell>
          <cell r="BM484">
            <v>0</v>
          </cell>
          <cell r="BN484">
            <v>0</v>
          </cell>
          <cell r="BO484">
            <v>0</v>
          </cell>
          <cell r="BP484">
            <v>0</v>
          </cell>
          <cell r="BQ484">
            <v>0</v>
          </cell>
          <cell r="BR484">
            <v>0</v>
          </cell>
          <cell r="BS484">
            <v>0</v>
          </cell>
          <cell r="BT484">
            <v>0</v>
          </cell>
          <cell r="BU484">
            <v>0</v>
          </cell>
          <cell r="BV484">
            <v>0</v>
          </cell>
          <cell r="BW484">
            <v>0</v>
          </cell>
          <cell r="BX484">
            <v>0</v>
          </cell>
        </row>
        <row r="485">
          <cell r="B485" t="str">
            <v>Income tax attributable to operating profit or loss (post abnormals)</v>
          </cell>
          <cell r="C485" t="str">
            <v>INCTAX_PL_POST_AB</v>
          </cell>
          <cell r="D485" t="str">
            <v>AUD</v>
          </cell>
          <cell r="F485">
            <v>-1291.5714285714287</v>
          </cell>
          <cell r="G485">
            <v>-1463</v>
          </cell>
          <cell r="H485">
            <v>-1538.5714285714284</v>
          </cell>
          <cell r="I485">
            <v>-1518.2857142857142</v>
          </cell>
          <cell r="J485">
            <v>-2737.1428571428573</v>
          </cell>
          <cell r="K485">
            <v>-2950.7142857142858</v>
          </cell>
          <cell r="L485">
            <v>-2548.8571428571427</v>
          </cell>
          <cell r="M485">
            <v>-2954.2857142857142</v>
          </cell>
          <cell r="N485">
            <v>-1578.7142857142858</v>
          </cell>
          <cell r="O485">
            <v>-1622.5714285714287</v>
          </cell>
          <cell r="P485">
            <v>-3201.2857142857142</v>
          </cell>
          <cell r="Q485">
            <v>-1540.5714285714287</v>
          </cell>
          <cell r="R485">
            <v>-1815.7142857142858</v>
          </cell>
          <cell r="S485">
            <v>-3356.2857142857142</v>
          </cell>
          <cell r="T485">
            <v>-1533</v>
          </cell>
          <cell r="U485">
            <v>-1649.4285714285713</v>
          </cell>
          <cell r="V485">
            <v>-3182.4285714285716</v>
          </cell>
          <cell r="W485">
            <v>-1697.8571428571429</v>
          </cell>
          <cell r="X485">
            <v>-1800.2857142857142</v>
          </cell>
          <cell r="Y485">
            <v>-3498.1428571428573</v>
          </cell>
          <cell r="Z485">
            <v>-1828.2857142857142</v>
          </cell>
          <cell r="AA485">
            <v>-1770.5714285714287</v>
          </cell>
          <cell r="AB485">
            <v>-3598.8571428571427</v>
          </cell>
          <cell r="AC485">
            <v>-1377.2857142857142</v>
          </cell>
          <cell r="AD485">
            <v>-1569.8571428571429</v>
          </cell>
          <cell r="AE485">
            <v>-2947.1428571428573</v>
          </cell>
          <cell r="AF485">
            <v>-1033.4285714285713</v>
          </cell>
          <cell r="AG485">
            <v>-968.28571428571422</v>
          </cell>
          <cell r="AH485">
            <v>-2001.7142857142858</v>
          </cell>
          <cell r="AI485">
            <v>-1610.7142857142858</v>
          </cell>
          <cell r="AJ485">
            <v>-1422.7142857142858</v>
          </cell>
          <cell r="AK485">
            <v>-3033.4285714285716</v>
          </cell>
          <cell r="AL485">
            <v>-1434</v>
          </cell>
          <cell r="AM485">
            <v>-1336</v>
          </cell>
          <cell r="AN485">
            <v>-2770</v>
          </cell>
          <cell r="AO485">
            <v>-1620</v>
          </cell>
          <cell r="AP485">
            <v>-1484</v>
          </cell>
          <cell r="AQ485">
            <v>-3104</v>
          </cell>
          <cell r="AR485">
            <v>-1491</v>
          </cell>
          <cell r="AS485">
            <v>-1626</v>
          </cell>
          <cell r="AT485">
            <v>-3117</v>
          </cell>
          <cell r="AU485">
            <v>-1520</v>
          </cell>
          <cell r="AV485" t="e">
            <v>#N/A</v>
          </cell>
          <cell r="AW485" t="e">
            <v>#N/A</v>
          </cell>
          <cell r="AX485">
            <v>-1614.3169481084692</v>
          </cell>
          <cell r="AY485">
            <v>-1653.610708745819</v>
          </cell>
          <cell r="AZ485">
            <v>-3267.9276568542882</v>
          </cell>
          <cell r="BA485">
            <v>-1650.8145543762537</v>
          </cell>
          <cell r="BB485">
            <v>-1642.327651208439</v>
          </cell>
          <cell r="BC485">
            <v>-3293.1422055846924</v>
          </cell>
          <cell r="BD485">
            <v>-1691.3578264985272</v>
          </cell>
          <cell r="BE485">
            <v>-1697.2779749122562</v>
          </cell>
          <cell r="BF485">
            <v>-3388.6358014107836</v>
          </cell>
          <cell r="BG485">
            <v>-1778.6605998931873</v>
          </cell>
          <cell r="BH485">
            <v>-1817.6732984050213</v>
          </cell>
          <cell r="BI485">
            <v>-3596.3338982982086</v>
          </cell>
          <cell r="BJ485">
            <v>-1879.7004707252652</v>
          </cell>
          <cell r="BK485">
            <v>-1920.7485548886809</v>
          </cell>
          <cell r="BL485">
            <v>-3800.4490256139461</v>
          </cell>
          <cell r="BM485">
            <v>-1933.5194172231561</v>
          </cell>
          <cell r="BN485">
            <v>-1919.1448476793132</v>
          </cell>
          <cell r="BO485">
            <v>-3852.6642649024693</v>
          </cell>
          <cell r="BP485">
            <v>-1948.3269876463023</v>
          </cell>
          <cell r="BQ485">
            <v>-1920.8182008548713</v>
          </cell>
          <cell r="BR485">
            <v>-3869.1451885011738</v>
          </cell>
          <cell r="BS485">
            <v>-1963.4669733044959</v>
          </cell>
          <cell r="BT485">
            <v>-1957.0461582305318</v>
          </cell>
          <cell r="BU485">
            <v>-3920.5131315350277</v>
          </cell>
          <cell r="BV485">
            <v>-2003.971715322815</v>
          </cell>
          <cell r="BW485">
            <v>-2007.8425203548998</v>
          </cell>
          <cell r="BX485">
            <v>-4011.8142356777148</v>
          </cell>
        </row>
        <row r="486">
          <cell r="B486" t="str">
            <v>Operating profit or loss after income tax (post abnormals)</v>
          </cell>
          <cell r="C486" t="str">
            <v>OPPL_ATAX_POST_AB</v>
          </cell>
          <cell r="D486" t="str">
            <v>AUD</v>
          </cell>
          <cell r="F486">
            <v>3125</v>
          </cell>
          <cell r="G486">
            <v>3518</v>
          </cell>
          <cell r="H486">
            <v>3933</v>
          </cell>
          <cell r="I486">
            <v>3517</v>
          </cell>
          <cell r="J486">
            <v>6412</v>
          </cell>
          <cell r="K486">
            <v>7059</v>
          </cell>
          <cell r="L486">
            <v>6039</v>
          </cell>
          <cell r="M486">
            <v>6827</v>
          </cell>
          <cell r="N486">
            <v>3660</v>
          </cell>
          <cell r="O486">
            <v>3967</v>
          </cell>
          <cell r="P486">
            <v>7627</v>
          </cell>
          <cell r="Q486">
            <v>3643</v>
          </cell>
          <cell r="R486">
            <v>4427</v>
          </cell>
          <cell r="S486">
            <v>8070</v>
          </cell>
          <cell r="T486">
            <v>3710</v>
          </cell>
          <cell r="U486">
            <v>3750</v>
          </cell>
          <cell r="V486">
            <v>7460</v>
          </cell>
          <cell r="W486">
            <v>3912</v>
          </cell>
          <cell r="X486">
            <v>4085</v>
          </cell>
          <cell r="Y486">
            <v>7997</v>
          </cell>
          <cell r="Z486">
            <v>4200</v>
          </cell>
          <cell r="AA486">
            <v>3899</v>
          </cell>
          <cell r="AB486">
            <v>8099</v>
          </cell>
          <cell r="AC486">
            <v>3176</v>
          </cell>
          <cell r="AD486">
            <v>3614</v>
          </cell>
          <cell r="AE486">
            <v>6790</v>
          </cell>
          <cell r="AF486">
            <v>1191</v>
          </cell>
          <cell r="AG486">
            <v>1101</v>
          </cell>
          <cell r="AH486">
            <v>2292</v>
          </cell>
          <cell r="AI486">
            <v>3445</v>
          </cell>
          <cell r="AJ486">
            <v>2018</v>
          </cell>
          <cell r="AK486">
            <v>5463</v>
          </cell>
          <cell r="AL486">
            <v>3291</v>
          </cell>
          <cell r="AM486">
            <v>2419</v>
          </cell>
          <cell r="AN486">
            <v>5710</v>
          </cell>
          <cell r="AO486">
            <v>4005</v>
          </cell>
          <cell r="AP486">
            <v>3196</v>
          </cell>
          <cell r="AQ486">
            <v>7201</v>
          </cell>
          <cell r="AR486">
            <v>3342</v>
          </cell>
          <cell r="AS486">
            <v>3648</v>
          </cell>
          <cell r="AT486">
            <v>6990</v>
          </cell>
          <cell r="AU486">
            <v>3324.6794984000007</v>
          </cell>
          <cell r="AV486" t="e">
            <v>#N/A</v>
          </cell>
          <cell r="AW486" t="e">
            <v>#N/A</v>
          </cell>
          <cell r="AX486">
            <v>3658.4263184143051</v>
          </cell>
          <cell r="AY486">
            <v>3747.4753296593349</v>
          </cell>
          <cell r="AZ486">
            <v>7405.90164807364</v>
          </cell>
          <cell r="BA486">
            <v>3741.1385785349948</v>
          </cell>
          <cell r="BB486">
            <v>3721.9052365649763</v>
          </cell>
          <cell r="BC486">
            <v>7463.0438150999707</v>
          </cell>
          <cell r="BD486">
            <v>3833.0192801162757</v>
          </cell>
          <cell r="BE486">
            <v>3846.4357450744628</v>
          </cell>
          <cell r="BF486">
            <v>7679.4550251907385</v>
          </cell>
          <cell r="BG486">
            <v>4030.8681376357499</v>
          </cell>
          <cell r="BH486">
            <v>4119.2801952278423</v>
          </cell>
          <cell r="BI486">
            <v>8150.1483328635923</v>
          </cell>
          <cell r="BJ486">
            <v>4259.8485265825293</v>
          </cell>
          <cell r="BK486">
            <v>4352.8732523650879</v>
          </cell>
          <cell r="BL486">
            <v>8612.7217789476163</v>
          </cell>
          <cell r="BM486">
            <v>4381.8150651410942</v>
          </cell>
          <cell r="BN486">
            <v>4349.2388702391636</v>
          </cell>
          <cell r="BO486">
            <v>8731.0539353802578</v>
          </cell>
          <cell r="BP486">
            <v>4415.3725430646737</v>
          </cell>
          <cell r="BQ486">
            <v>4353.0310866961836</v>
          </cell>
          <cell r="BR486">
            <v>8768.4036297608582</v>
          </cell>
          <cell r="BS486">
            <v>4449.6833530064587</v>
          </cell>
          <cell r="BT486">
            <v>4435.1322582664907</v>
          </cell>
          <cell r="BU486">
            <v>8884.8156112729484</v>
          </cell>
          <cell r="BV486">
            <v>4541.4767362042439</v>
          </cell>
          <cell r="BW486">
            <v>4550.2489014345119</v>
          </cell>
          <cell r="BX486">
            <v>9091.7256376387559</v>
          </cell>
        </row>
        <row r="487">
          <cell r="B487" t="str">
            <v>Net Profit - GS&amp;PA (NPAT after pref dividends, but before Abnormals, and Goodwill Amortisation)</v>
          </cell>
          <cell r="C487" t="str">
            <v>NET_PROFIT</v>
          </cell>
          <cell r="D487" t="str">
            <v>AUD</v>
          </cell>
          <cell r="F487">
            <v>3079</v>
          </cell>
          <cell r="G487">
            <v>3507</v>
          </cell>
          <cell r="H487">
            <v>5047</v>
          </cell>
          <cell r="I487">
            <v>4675</v>
          </cell>
          <cell r="J487">
            <v>5879</v>
          </cell>
          <cell r="K487">
            <v>6301</v>
          </cell>
          <cell r="L487">
            <v>6598</v>
          </cell>
          <cell r="M487">
            <v>7063</v>
          </cell>
          <cell r="N487">
            <v>3772</v>
          </cell>
          <cell r="O487">
            <v>3856</v>
          </cell>
          <cell r="P487">
            <v>7628</v>
          </cell>
          <cell r="Q487">
            <v>3778</v>
          </cell>
          <cell r="R487">
            <v>4042</v>
          </cell>
          <cell r="S487">
            <v>7820</v>
          </cell>
          <cell r="T487">
            <v>3904</v>
          </cell>
          <cell r="U487">
            <v>3918</v>
          </cell>
          <cell r="V487">
            <v>7822</v>
          </cell>
          <cell r="W487">
            <v>4017</v>
          </cell>
          <cell r="X487">
            <v>4045</v>
          </cell>
          <cell r="Y487">
            <v>8062</v>
          </cell>
          <cell r="Z487">
            <v>4251</v>
          </cell>
          <cell r="AA487">
            <v>3814</v>
          </cell>
          <cell r="AB487">
            <v>8065</v>
          </cell>
          <cell r="AC487">
            <v>3296</v>
          </cell>
          <cell r="AD487">
            <v>3553</v>
          </cell>
          <cell r="AE487">
            <v>6849</v>
          </cell>
          <cell r="AF487">
            <v>993</v>
          </cell>
          <cell r="AG487">
            <v>1615</v>
          </cell>
          <cell r="AH487">
            <v>2608</v>
          </cell>
          <cell r="AI487">
            <v>3537</v>
          </cell>
          <cell r="AJ487">
            <v>1815</v>
          </cell>
          <cell r="AK487">
            <v>5352</v>
          </cell>
          <cell r="AL487">
            <v>3287</v>
          </cell>
          <cell r="AM487">
            <v>2418</v>
          </cell>
          <cell r="AN487">
            <v>5705</v>
          </cell>
          <cell r="AO487">
            <v>4001</v>
          </cell>
          <cell r="AP487">
            <v>3194</v>
          </cell>
          <cell r="AQ487">
            <v>7195</v>
          </cell>
          <cell r="AR487">
            <v>3342</v>
          </cell>
          <cell r="AS487">
            <v>3648</v>
          </cell>
          <cell r="AT487">
            <v>6990</v>
          </cell>
          <cell r="AU487">
            <v>3456.6794984000007</v>
          </cell>
          <cell r="AV487" t="e">
            <v>#N/A</v>
          </cell>
          <cell r="AW487" t="e">
            <v>#N/A</v>
          </cell>
          <cell r="AX487">
            <v>3649.4263184143051</v>
          </cell>
          <cell r="AY487">
            <v>3738.4753296593349</v>
          </cell>
          <cell r="AZ487">
            <v>7387.9016480736409</v>
          </cell>
          <cell r="BA487">
            <v>3732.1385785349948</v>
          </cell>
          <cell r="BB487">
            <v>3712.9052365649763</v>
          </cell>
          <cell r="BC487">
            <v>7445.0438150999707</v>
          </cell>
          <cell r="BD487">
            <v>3824.0192801162757</v>
          </cell>
          <cell r="BE487">
            <v>3837.4357450744628</v>
          </cell>
          <cell r="BF487">
            <v>7661.4550251907376</v>
          </cell>
          <cell r="BG487">
            <v>4021.8681376357499</v>
          </cell>
          <cell r="BH487">
            <v>4110.2801952278423</v>
          </cell>
          <cell r="BI487">
            <v>8132.1483328635941</v>
          </cell>
          <cell r="BJ487">
            <v>4250.8485265825293</v>
          </cell>
          <cell r="BK487">
            <v>4343.8732523650879</v>
          </cell>
          <cell r="BL487">
            <v>8594.7217789476163</v>
          </cell>
          <cell r="BM487">
            <v>4372.8150651410942</v>
          </cell>
          <cell r="BN487">
            <v>4340.2388702391636</v>
          </cell>
          <cell r="BO487">
            <v>8713.0539353802596</v>
          </cell>
          <cell r="BP487">
            <v>4406.3725430646737</v>
          </cell>
          <cell r="BQ487">
            <v>4344.0310866961836</v>
          </cell>
          <cell r="BR487">
            <v>8750.40362976086</v>
          </cell>
          <cell r="BS487">
            <v>4440.6833530064587</v>
          </cell>
          <cell r="BT487">
            <v>4426.1322582664907</v>
          </cell>
          <cell r="BU487">
            <v>8866.8156112729503</v>
          </cell>
          <cell r="BV487">
            <v>4532.4767362042439</v>
          </cell>
          <cell r="BW487">
            <v>4541.2489014345119</v>
          </cell>
          <cell r="BX487">
            <v>9073.7256376387522</v>
          </cell>
        </row>
        <row r="488">
          <cell r="B488" t="str">
            <v>Foreign Exchange (gains/losses)</v>
          </cell>
          <cell r="C488" t="str">
            <v>FOREIGN_EXCHANGE_GAIN_LOSS</v>
          </cell>
          <cell r="D488" t="str">
            <v>AUD</v>
          </cell>
        </row>
        <row r="489">
          <cell r="B489" t="str">
            <v>Asset Sales (gains/losses)</v>
          </cell>
          <cell r="C489" t="str">
            <v>ASSET_SALES_GAIN_LOSS</v>
          </cell>
          <cell r="D489" t="str">
            <v>AUD</v>
          </cell>
        </row>
        <row r="490">
          <cell r="B490" t="str">
            <v>Restructuring Costs</v>
          </cell>
          <cell r="C490" t="str">
            <v>RESTRUC_COSTS</v>
          </cell>
          <cell r="D490" t="str">
            <v>AUD</v>
          </cell>
        </row>
        <row r="491">
          <cell r="B491" t="str">
            <v>Other Abnormal Items</v>
          </cell>
          <cell r="C491" t="str">
            <v>OTHER_ABNORMAL_ITEMS</v>
          </cell>
          <cell r="D491" t="str">
            <v>AUD</v>
          </cell>
        </row>
        <row r="492">
          <cell r="B492" t="str">
            <v>Profit Adjustment for EPS</v>
          </cell>
          <cell r="C492" t="str">
            <v>PROF_ADJUST_EPS</v>
          </cell>
          <cell r="D492" t="str">
            <v>AUD</v>
          </cell>
          <cell r="F492">
            <v>81</v>
          </cell>
          <cell r="G492">
            <v>97</v>
          </cell>
          <cell r="H492">
            <v>81</v>
          </cell>
          <cell r="I492">
            <v>101.248730964467</v>
          </cell>
          <cell r="J492">
            <v>116</v>
          </cell>
          <cell r="K492">
            <v>127</v>
          </cell>
          <cell r="L492">
            <v>138</v>
          </cell>
          <cell r="M492">
            <v>159</v>
          </cell>
          <cell r="N492">
            <v>76</v>
          </cell>
          <cell r="O492">
            <v>89</v>
          </cell>
          <cell r="P492">
            <v>165</v>
          </cell>
          <cell r="Q492">
            <v>92</v>
          </cell>
          <cell r="R492">
            <v>91</v>
          </cell>
          <cell r="S492">
            <v>183</v>
          </cell>
          <cell r="T492">
            <v>108</v>
          </cell>
          <cell r="U492">
            <v>114</v>
          </cell>
          <cell r="V492">
            <v>222</v>
          </cell>
          <cell r="W492">
            <v>127</v>
          </cell>
          <cell r="X492">
            <v>126</v>
          </cell>
          <cell r="Y492">
            <v>253</v>
          </cell>
          <cell r="Z492">
            <v>135</v>
          </cell>
          <cell r="AA492">
            <v>148</v>
          </cell>
          <cell r="AB492">
            <v>283</v>
          </cell>
          <cell r="AC492">
            <v>154</v>
          </cell>
          <cell r="AD492">
            <v>136</v>
          </cell>
          <cell r="AE492">
            <v>290</v>
          </cell>
          <cell r="AF492">
            <v>0</v>
          </cell>
          <cell r="AG492">
            <v>75</v>
          </cell>
          <cell r="AH492">
            <v>0</v>
          </cell>
          <cell r="AI492">
            <v>109</v>
          </cell>
          <cell r="AJ492">
            <v>109</v>
          </cell>
          <cell r="AK492">
            <v>218</v>
          </cell>
          <cell r="AL492">
            <v>100</v>
          </cell>
          <cell r="AM492">
            <v>133</v>
          </cell>
          <cell r="AN492">
            <v>233</v>
          </cell>
          <cell r="AO492">
            <v>186</v>
          </cell>
          <cell r="AP492">
            <v>213</v>
          </cell>
          <cell r="AQ492">
            <v>399</v>
          </cell>
          <cell r="AR492">
            <v>235</v>
          </cell>
          <cell r="AS492">
            <v>184</v>
          </cell>
          <cell r="AT492">
            <v>419</v>
          </cell>
          <cell r="AU492">
            <v>229</v>
          </cell>
          <cell r="AV492" t="e">
            <v>#N/A</v>
          </cell>
          <cell r="AW492" t="e">
            <v>#N/A</v>
          </cell>
          <cell r="AX492">
            <v>212</v>
          </cell>
          <cell r="AY492">
            <v>212</v>
          </cell>
          <cell r="AZ492">
            <v>424</v>
          </cell>
          <cell r="BA492">
            <v>212</v>
          </cell>
          <cell r="BB492">
            <v>212</v>
          </cell>
          <cell r="BC492">
            <v>424</v>
          </cell>
          <cell r="BD492">
            <v>212</v>
          </cell>
          <cell r="BE492">
            <v>212</v>
          </cell>
          <cell r="BF492">
            <v>424</v>
          </cell>
          <cell r="BG492">
            <v>212</v>
          </cell>
          <cell r="BH492">
            <v>212</v>
          </cell>
          <cell r="BI492">
            <v>424</v>
          </cell>
          <cell r="BJ492">
            <v>212</v>
          </cell>
          <cell r="BK492">
            <v>212</v>
          </cell>
          <cell r="BL492">
            <v>424</v>
          </cell>
          <cell r="BM492">
            <v>212</v>
          </cell>
          <cell r="BN492">
            <v>212</v>
          </cell>
          <cell r="BO492">
            <v>424</v>
          </cell>
          <cell r="BP492">
            <v>212</v>
          </cell>
          <cell r="BQ492">
            <v>212</v>
          </cell>
          <cell r="BR492">
            <v>424</v>
          </cell>
          <cell r="BS492">
            <v>212</v>
          </cell>
          <cell r="BT492">
            <v>212</v>
          </cell>
          <cell r="BU492">
            <v>424</v>
          </cell>
          <cell r="BV492">
            <v>212</v>
          </cell>
          <cell r="BW492">
            <v>212</v>
          </cell>
          <cell r="BX492">
            <v>424</v>
          </cell>
        </row>
        <row r="493">
          <cell r="B493" t="str">
            <v>EPS - GS&amp;PA</v>
          </cell>
          <cell r="C493" t="str">
            <v>EPS_PRE_GWILL</v>
          </cell>
          <cell r="D493" t="str">
            <v>AUD</v>
          </cell>
          <cell r="F493">
            <v>1.6486840084113288</v>
          </cell>
          <cell r="G493">
            <v>1.8666309108786983</v>
          </cell>
          <cell r="H493">
            <v>2.583342283595448</v>
          </cell>
          <cell r="I493">
            <v>1.6443343469295024</v>
          </cell>
          <cell r="J493">
            <v>1.9039588298717511</v>
          </cell>
          <cell r="K493">
            <v>2.0011061807056798</v>
          </cell>
          <cell r="L493">
            <v>2.0813601857080117</v>
          </cell>
          <cell r="M493">
            <v>2.2102507697709171</v>
          </cell>
          <cell r="N493">
            <v>1.1812914707083173</v>
          </cell>
          <cell r="O493">
            <v>1.2043804104252094</v>
          </cell>
          <cell r="P493">
            <v>2.3872048688859033</v>
          </cell>
          <cell r="Q493">
            <v>1.18841189674523</v>
          </cell>
          <cell r="R493">
            <v>1.2393388374401033</v>
          </cell>
          <cell r="S493">
            <v>2.4156353757923332</v>
          </cell>
          <cell r="T493">
            <v>1.1475972540045767</v>
          </cell>
          <cell r="U493">
            <v>1.1354548014643762</v>
          </cell>
          <cell r="V493">
            <v>2.2793992632473787</v>
          </cell>
          <cell r="W493">
            <v>1.154317548746518</v>
          </cell>
          <cell r="X493">
            <v>1.1538035961272475</v>
          </cell>
          <cell r="Y493">
            <v>2.3071587125416206</v>
          </cell>
          <cell r="Z493">
            <v>1.2089305402425579</v>
          </cell>
          <cell r="AA493">
            <v>1.0757534618517512</v>
          </cell>
          <cell r="AB493">
            <v>2.287750068511921</v>
          </cell>
          <cell r="AC493">
            <v>0.92717011556033324</v>
          </cell>
          <cell r="AD493">
            <v>0.98268513585508788</v>
          </cell>
          <cell r="AE493">
            <v>1.9113788487282464</v>
          </cell>
          <cell r="AF493">
            <v>0.27737430167597765</v>
          </cell>
          <cell r="AG493">
            <v>0.42893401015228427</v>
          </cell>
          <cell r="AH493">
            <v>0.72525027808676312</v>
          </cell>
          <cell r="AI493">
            <v>0.88602673147023081</v>
          </cell>
          <cell r="AJ493">
            <v>0.48148148148148145</v>
          </cell>
          <cell r="AK493">
            <v>1.3512857836001941</v>
          </cell>
          <cell r="AL493">
            <v>0.85746835443037972</v>
          </cell>
          <cell r="AM493">
            <v>0.6598551474392137</v>
          </cell>
          <cell r="AN493">
            <v>1.525301823786283</v>
          </cell>
          <cell r="AO493">
            <v>1.0755201643976369</v>
          </cell>
          <cell r="AP493">
            <v>0.87583547557840613</v>
          </cell>
          <cell r="AQ493">
            <v>1.9496790757381257</v>
          </cell>
          <cell r="AR493">
            <v>0.91483375959079283</v>
          </cell>
          <cell r="AS493">
            <v>1.0086864964464333</v>
          </cell>
          <cell r="AT493">
            <v>1.8992566008715714</v>
          </cell>
          <cell r="AU493">
            <v>0.9961295941621624</v>
          </cell>
          <cell r="AV493" t="e">
            <v>#N/A</v>
          </cell>
          <cell r="AW493" t="e">
            <v>#N/A</v>
          </cell>
          <cell r="AX493">
            <v>1.0458039442442353</v>
          </cell>
          <cell r="AY493">
            <v>1.0736176097078625</v>
          </cell>
          <cell r="AZ493">
            <v>2.1193635812070815</v>
          </cell>
          <cell r="BA493">
            <v>1.0762997335850628</v>
          </cell>
          <cell r="BB493">
            <v>1.0752850223291344</v>
          </cell>
          <cell r="BC493">
            <v>2.151575129747914</v>
          </cell>
          <cell r="BD493">
            <v>1.1099307116807149</v>
          </cell>
          <cell r="BE493">
            <v>1.1176928373170019</v>
          </cell>
          <cell r="BF493">
            <v>2.2276093818424787</v>
          </cell>
          <cell r="BG493">
            <v>1.1727080065374509</v>
          </cell>
          <cell r="BH493">
            <v>1.2012447342854211</v>
          </cell>
          <cell r="BI493">
            <v>2.3738935989126531</v>
          </cell>
          <cell r="BJ493">
            <v>1.2423670404395248</v>
          </cell>
          <cell r="BK493">
            <v>1.2682632483367429</v>
          </cell>
          <cell r="BL493">
            <v>2.5106302887762673</v>
          </cell>
          <cell r="BM493">
            <v>1.2763200654277358</v>
          </cell>
          <cell r="BN493">
            <v>1.2672515096369605</v>
          </cell>
          <cell r="BO493">
            <v>2.5435715750646963</v>
          </cell>
          <cell r="BP493">
            <v>1.2856617906250407</v>
          </cell>
          <cell r="BQ493">
            <v>1.2683071862319315</v>
          </cell>
          <cell r="BR493">
            <v>2.5539689768569729</v>
          </cell>
          <cell r="BS493">
            <v>1.2952132282659459</v>
          </cell>
          <cell r="BT493">
            <v>1.2911624969001891</v>
          </cell>
          <cell r="BU493">
            <v>2.586375725166135</v>
          </cell>
          <cell r="BV493">
            <v>1.3207666552164887</v>
          </cell>
          <cell r="BW493">
            <v>1.3232086491337054</v>
          </cell>
          <cell r="BX493">
            <v>2.6439753043501928</v>
          </cell>
        </row>
        <row r="494">
          <cell r="B494" t="str">
            <v>EPS - Reported</v>
          </cell>
          <cell r="C494" t="str">
            <v>EPS_REPORTED</v>
          </cell>
          <cell r="D494" t="str">
            <v>AUD</v>
          </cell>
          <cell r="F494">
            <v>1.6445101248457303</v>
          </cell>
          <cell r="G494">
            <v>1.8376266569915709</v>
          </cell>
          <cell r="H494">
            <v>1.9692443421557346</v>
          </cell>
          <cell r="I494">
            <v>1.2212226066897347</v>
          </cell>
          <cell r="J494">
            <v>2.0522738880118858</v>
          </cell>
          <cell r="K494">
            <v>2.2159106711672418</v>
          </cell>
          <cell r="L494">
            <v>1.8873141351402218</v>
          </cell>
          <cell r="M494">
            <v>2.1147649984930821</v>
          </cell>
          <cell r="N494">
            <v>1.1352432065175047</v>
          </cell>
          <cell r="O494">
            <v>1.2297197194404927</v>
          </cell>
          <cell r="P494">
            <v>2.3666809722844206</v>
          </cell>
          <cell r="Q494">
            <v>1.1365148397555804</v>
          </cell>
          <cell r="R494">
            <v>1.3475898222733667</v>
          </cell>
          <cell r="S494">
            <v>2.4735888922426805</v>
          </cell>
          <cell r="T494">
            <v>1.0895308924485125</v>
          </cell>
          <cell r="U494">
            <v>1.0864545198535625</v>
          </cell>
          <cell r="V494">
            <v>2.1725701331822047</v>
          </cell>
          <cell r="W494">
            <v>1.1236768802228412</v>
          </cell>
          <cell r="X494">
            <v>1.1643153526970955</v>
          </cell>
          <cell r="Y494">
            <v>2.287180910099889</v>
          </cell>
          <cell r="Z494">
            <v>1.1943219404630649</v>
          </cell>
          <cell r="AA494">
            <v>1.0982894379581862</v>
          </cell>
          <cell r="AB494">
            <v>2.2959714990408333</v>
          </cell>
          <cell r="AC494">
            <v>0.89411448535339966</v>
          </cell>
          <cell r="AD494">
            <v>0.99813532232285562</v>
          </cell>
          <cell r="AE494">
            <v>1.8939759036144579</v>
          </cell>
          <cell r="AF494">
            <v>0.33240223463687152</v>
          </cell>
          <cell r="AG494">
            <v>0.29822335025380708</v>
          </cell>
          <cell r="AH494">
            <v>0.63681868743047831</v>
          </cell>
          <cell r="AI494">
            <v>0.86318347509113003</v>
          </cell>
          <cell r="AJ494">
            <v>0.53153153153153154</v>
          </cell>
          <cell r="AK494">
            <v>1.3770014556040757</v>
          </cell>
          <cell r="AL494">
            <v>0.85746835443037972</v>
          </cell>
          <cell r="AM494">
            <v>0.6598551474392137</v>
          </cell>
          <cell r="AN494">
            <v>1.525301823786283</v>
          </cell>
          <cell r="AO494">
            <v>1.0755201643976369</v>
          </cell>
          <cell r="AP494">
            <v>0.87583547557840613</v>
          </cell>
          <cell r="AQ494">
            <v>1.9496790757381257</v>
          </cell>
          <cell r="AR494">
            <v>0.91483375959079283</v>
          </cell>
          <cell r="AS494">
            <v>1.0086864964464333</v>
          </cell>
          <cell r="AT494">
            <v>1.8992566008715714</v>
          </cell>
          <cell r="AU494">
            <v>0.95829175632432451</v>
          </cell>
          <cell r="AV494" t="e">
            <v>#N/A</v>
          </cell>
          <cell r="AW494" t="e">
            <v>#N/A</v>
          </cell>
          <cell r="AX494">
            <v>1.0458039442442353</v>
          </cell>
          <cell r="AY494">
            <v>1.0736176097078625</v>
          </cell>
          <cell r="AZ494">
            <v>2.1193635812070815</v>
          </cell>
          <cell r="BA494">
            <v>1.0762997335850628</v>
          </cell>
          <cell r="BB494">
            <v>1.0752850223291344</v>
          </cell>
          <cell r="BC494">
            <v>2.151575129747914</v>
          </cell>
          <cell r="BD494">
            <v>1.1099307116807149</v>
          </cell>
          <cell r="BE494">
            <v>1.1176928373170019</v>
          </cell>
          <cell r="BF494">
            <v>2.2276093818424791</v>
          </cell>
          <cell r="BG494">
            <v>1.1727080065374509</v>
          </cell>
          <cell r="BH494">
            <v>1.2012447342854211</v>
          </cell>
          <cell r="BI494">
            <v>2.3738935989126522</v>
          </cell>
          <cell r="BJ494">
            <v>1.2423670404395248</v>
          </cell>
          <cell r="BK494">
            <v>1.2682632483367429</v>
          </cell>
          <cell r="BL494">
            <v>2.5106302887762673</v>
          </cell>
          <cell r="BM494">
            <v>1.2763200654277358</v>
          </cell>
          <cell r="BN494">
            <v>1.2672515096369605</v>
          </cell>
          <cell r="BO494">
            <v>2.5435715750646959</v>
          </cell>
          <cell r="BP494">
            <v>1.2856617906250407</v>
          </cell>
          <cell r="BQ494">
            <v>1.2683071862319315</v>
          </cell>
          <cell r="BR494">
            <v>2.5539689768569724</v>
          </cell>
          <cell r="BS494">
            <v>1.2952132282659459</v>
          </cell>
          <cell r="BT494">
            <v>1.2911624969001891</v>
          </cell>
          <cell r="BU494">
            <v>2.5863757251661346</v>
          </cell>
          <cell r="BV494">
            <v>1.3207666552164887</v>
          </cell>
          <cell r="BW494">
            <v>1.3232086491337054</v>
          </cell>
          <cell r="BX494">
            <v>2.6439753043501937</v>
          </cell>
        </row>
        <row r="495">
          <cell r="B495" t="str">
            <v>Franking Tax Rate</v>
          </cell>
          <cell r="C495" t="str">
            <v>FRANK_TAX_RATE</v>
          </cell>
          <cell r="F495">
            <v>0.3</v>
          </cell>
          <cell r="G495">
            <v>0.3</v>
          </cell>
          <cell r="H495">
            <v>0.3</v>
          </cell>
          <cell r="I495">
            <v>0.3</v>
          </cell>
          <cell r="J495">
            <v>0.3</v>
          </cell>
          <cell r="K495">
            <v>0.3</v>
          </cell>
          <cell r="L495">
            <v>0.3</v>
          </cell>
          <cell r="M495">
            <v>0.3</v>
          </cell>
          <cell r="N495">
            <v>0.3</v>
          </cell>
          <cell r="O495">
            <v>0.3</v>
          </cell>
          <cell r="P495">
            <v>0.3</v>
          </cell>
          <cell r="Q495">
            <v>0.3</v>
          </cell>
          <cell r="R495">
            <v>0.3</v>
          </cell>
          <cell r="S495">
            <v>0.3</v>
          </cell>
          <cell r="T495">
            <v>0.3</v>
          </cell>
          <cell r="U495">
            <v>0.3</v>
          </cell>
          <cell r="V495">
            <v>0.3</v>
          </cell>
          <cell r="W495">
            <v>0.3</v>
          </cell>
          <cell r="X495">
            <v>0.3</v>
          </cell>
          <cell r="Y495">
            <v>0.3</v>
          </cell>
          <cell r="Z495">
            <v>0.3</v>
          </cell>
          <cell r="AA495">
            <v>0.3</v>
          </cell>
          <cell r="AB495">
            <v>0.3</v>
          </cell>
          <cell r="AC495">
            <v>0.3</v>
          </cell>
          <cell r="AD495">
            <v>0.3</v>
          </cell>
          <cell r="AE495">
            <v>0.3</v>
          </cell>
          <cell r="AF495">
            <v>0.3</v>
          </cell>
          <cell r="AG495">
            <v>0.3</v>
          </cell>
          <cell r="AH495">
            <v>0.3</v>
          </cell>
          <cell r="AI495">
            <v>0.3</v>
          </cell>
          <cell r="AJ495">
            <v>0.3</v>
          </cell>
          <cell r="AK495">
            <v>0.3</v>
          </cell>
          <cell r="AL495">
            <v>0.3</v>
          </cell>
          <cell r="AM495">
            <v>0.3</v>
          </cell>
          <cell r="AN495">
            <v>0.3</v>
          </cell>
          <cell r="AO495">
            <v>0.3</v>
          </cell>
          <cell r="AP495">
            <v>0.3</v>
          </cell>
          <cell r="AQ495">
            <v>0.3</v>
          </cell>
          <cell r="AR495">
            <v>0.3</v>
          </cell>
          <cell r="AS495">
            <v>0.3</v>
          </cell>
          <cell r="AT495">
            <v>0.3</v>
          </cell>
          <cell r="AU495">
            <v>0.3</v>
          </cell>
          <cell r="AV495" t="e">
            <v>#N/A</v>
          </cell>
          <cell r="AW495" t="e">
            <v>#N/A</v>
          </cell>
          <cell r="AX495">
            <v>0.3</v>
          </cell>
          <cell r="AY495">
            <v>0.3</v>
          </cell>
          <cell r="AZ495">
            <v>0.3</v>
          </cell>
          <cell r="BA495">
            <v>0.3</v>
          </cell>
          <cell r="BB495">
            <v>0.3</v>
          </cell>
          <cell r="BC495">
            <v>0.3</v>
          </cell>
          <cell r="BD495">
            <v>0.3</v>
          </cell>
          <cell r="BE495">
            <v>0.3</v>
          </cell>
          <cell r="BF495">
            <v>0.3</v>
          </cell>
          <cell r="BG495">
            <v>0.3</v>
          </cell>
          <cell r="BH495">
            <v>0.3</v>
          </cell>
          <cell r="BI495">
            <v>0.3</v>
          </cell>
          <cell r="BJ495">
            <v>0.3</v>
          </cell>
          <cell r="BK495">
            <v>0.3</v>
          </cell>
          <cell r="BL495">
            <v>0.3</v>
          </cell>
          <cell r="BM495">
            <v>0.3</v>
          </cell>
          <cell r="BN495">
            <v>0.3</v>
          </cell>
          <cell r="BO495">
            <v>0.3</v>
          </cell>
          <cell r="BP495">
            <v>0.3</v>
          </cell>
          <cell r="BQ495">
            <v>0.3</v>
          </cell>
          <cell r="BR495">
            <v>0.3</v>
          </cell>
          <cell r="BS495">
            <v>0.3</v>
          </cell>
          <cell r="BT495">
            <v>0.3</v>
          </cell>
          <cell r="BU495">
            <v>0.3</v>
          </cell>
          <cell r="BV495">
            <v>0.3</v>
          </cell>
          <cell r="BW495">
            <v>0.3</v>
          </cell>
          <cell r="BX495">
            <v>0.3</v>
          </cell>
        </row>
        <row r="496">
          <cell r="B496" t="str">
            <v>Next Interim Dividend Amount</v>
          </cell>
          <cell r="C496" t="str">
            <v>INT_DIV_AMOUNT</v>
          </cell>
          <cell r="D496" t="str">
            <v>AUD</v>
          </cell>
          <cell r="E496">
            <v>0.9</v>
          </cell>
        </row>
        <row r="497">
          <cell r="B497" t="str">
            <v>Next Interim Dividend Ex-date</v>
          </cell>
          <cell r="C497" t="str">
            <v>INT_DIV_EXDATE</v>
          </cell>
        </row>
        <row r="498">
          <cell r="B498" t="str">
            <v>Next Interim Dividend Franking</v>
          </cell>
          <cell r="C498" t="str">
            <v>INT_DIV_FRANK</v>
          </cell>
          <cell r="E498">
            <v>1</v>
          </cell>
        </row>
        <row r="499">
          <cell r="B499" t="str">
            <v>Next Int. Div. Frank Tax Rate</v>
          </cell>
          <cell r="C499" t="str">
            <v>INT_DIV_TAXRATE</v>
          </cell>
          <cell r="E499">
            <v>0.3</v>
          </cell>
        </row>
        <row r="500">
          <cell r="B500" t="str">
            <v>Next Final Dividend Amount</v>
          </cell>
          <cell r="C500" t="str">
            <v>FINAL_DIV_AMOUNT</v>
          </cell>
          <cell r="D500" t="str">
            <v>AUD</v>
          </cell>
          <cell r="E500">
            <v>0.76</v>
          </cell>
        </row>
        <row r="501">
          <cell r="B501" t="str">
            <v>Next Final Dividend Ex-date</v>
          </cell>
          <cell r="C501" t="str">
            <v>FINAL_DIV_EXDATE</v>
          </cell>
        </row>
        <row r="502">
          <cell r="B502" t="str">
            <v>Next Final Dividend Franking</v>
          </cell>
          <cell r="C502" t="str">
            <v>FINAL_DIV_FRANK</v>
          </cell>
          <cell r="E502">
            <v>1</v>
          </cell>
        </row>
        <row r="503">
          <cell r="B503" t="str">
            <v>Next Final Div. Frank Tax Rate</v>
          </cell>
          <cell r="C503" t="str">
            <v>FINAL_DIV_TAXRATE</v>
          </cell>
          <cell r="E503">
            <v>0.3</v>
          </cell>
        </row>
        <row r="504">
          <cell r="B504" t="str">
            <v>Total Annual Dividend</v>
          </cell>
          <cell r="C504" t="str">
            <v>TOTAL_ANNUAL_DIV_AMOUNT</v>
          </cell>
          <cell r="D504" t="str">
            <v>AUD</v>
          </cell>
          <cell r="F504">
            <v>1.1541414141414141</v>
          </cell>
          <cell r="G504">
            <v>1.3033838383838385</v>
          </cell>
          <cell r="H504">
            <v>1.4128282828282828</v>
          </cell>
          <cell r="I504">
            <v>1.1541414141414141</v>
          </cell>
          <cell r="J504">
            <v>1.382979797979798</v>
          </cell>
          <cell r="K504">
            <v>1.5521212121212122</v>
          </cell>
          <cell r="L504">
            <v>1.6516161616161615</v>
          </cell>
          <cell r="M504">
            <v>1.9501010101010101</v>
          </cell>
          <cell r="N504">
            <v>0.89545454545454539</v>
          </cell>
          <cell r="O504">
            <v>0.91535353535353536</v>
          </cell>
          <cell r="P504">
            <v>1.8108080808080809</v>
          </cell>
          <cell r="Q504">
            <v>0.92530303030303029</v>
          </cell>
          <cell r="R504">
            <v>0.94</v>
          </cell>
          <cell r="S504">
            <v>1.8653030303030302</v>
          </cell>
          <cell r="T504">
            <v>0.94</v>
          </cell>
          <cell r="U504">
            <v>0.94</v>
          </cell>
          <cell r="V504">
            <v>1.88</v>
          </cell>
          <cell r="W504">
            <v>0.94</v>
          </cell>
          <cell r="X504">
            <v>0.94</v>
          </cell>
          <cell r="Y504">
            <v>1.88</v>
          </cell>
          <cell r="Z504">
            <v>0.94</v>
          </cell>
          <cell r="AA504">
            <v>0.94</v>
          </cell>
          <cell r="AB504">
            <v>1.88</v>
          </cell>
          <cell r="AC504">
            <v>0.94</v>
          </cell>
          <cell r="AD504">
            <v>0.8</v>
          </cell>
          <cell r="AE504">
            <v>1.74</v>
          </cell>
          <cell r="AF504">
            <v>0</v>
          </cell>
          <cell r="AG504">
            <v>0.31</v>
          </cell>
          <cell r="AH504">
            <v>0.31</v>
          </cell>
          <cell r="AI504">
            <v>0.57999999999999996</v>
          </cell>
          <cell r="AJ504">
            <v>0.6</v>
          </cell>
          <cell r="AK504">
            <v>1.18</v>
          </cell>
          <cell r="AL504">
            <v>0.61</v>
          </cell>
          <cell r="AM504">
            <v>0.64</v>
          </cell>
          <cell r="AN504">
            <v>1.25</v>
          </cell>
          <cell r="AO504">
            <v>0.7</v>
          </cell>
          <cell r="AP504">
            <v>0.72</v>
          </cell>
          <cell r="AQ504">
            <v>1.42</v>
          </cell>
          <cell r="AR504">
            <v>0.9</v>
          </cell>
          <cell r="AS504">
            <v>0.76</v>
          </cell>
          <cell r="AT504">
            <v>1.6600000000000001</v>
          </cell>
          <cell r="AU504">
            <v>0.76</v>
          </cell>
          <cell r="AV504" t="e">
            <v>#N/A</v>
          </cell>
          <cell r="AW504" t="e">
            <v>#N/A</v>
          </cell>
          <cell r="AX504">
            <v>0.78</v>
          </cell>
          <cell r="AY504">
            <v>0.79</v>
          </cell>
          <cell r="AZ504">
            <v>1.57</v>
          </cell>
          <cell r="BA504">
            <v>0.8</v>
          </cell>
          <cell r="BB504">
            <v>0.81</v>
          </cell>
          <cell r="BC504">
            <v>1.61</v>
          </cell>
          <cell r="BD504">
            <v>0.82</v>
          </cell>
          <cell r="BE504">
            <v>0.85</v>
          </cell>
          <cell r="BF504">
            <v>1.67</v>
          </cell>
          <cell r="BG504">
            <v>0.88</v>
          </cell>
          <cell r="BH504">
            <v>0.91</v>
          </cell>
          <cell r="BI504">
            <v>1.79</v>
          </cell>
          <cell r="BJ504">
            <v>0.94000000000000006</v>
          </cell>
          <cell r="BK504">
            <v>0.97000000000000008</v>
          </cell>
          <cell r="BL504">
            <v>1.9100000000000001</v>
          </cell>
          <cell r="BM504">
            <v>1</v>
          </cell>
          <cell r="BN504">
            <v>1.03</v>
          </cell>
          <cell r="BO504">
            <v>2.0300000000000002</v>
          </cell>
          <cell r="BP504">
            <v>1.06</v>
          </cell>
          <cell r="BQ504">
            <v>1.06</v>
          </cell>
          <cell r="BR504">
            <v>2.12</v>
          </cell>
          <cell r="BS504">
            <v>1.08</v>
          </cell>
          <cell r="BT504">
            <v>1.08</v>
          </cell>
          <cell r="BU504">
            <v>2.16</v>
          </cell>
          <cell r="BV504">
            <v>1.1000000000000001</v>
          </cell>
          <cell r="BW504">
            <v>1.1000000000000001</v>
          </cell>
          <cell r="BX504">
            <v>2.2000000000000002</v>
          </cell>
        </row>
        <row r="505">
          <cell r="B505" t="str">
            <v>DRP Participation</v>
          </cell>
          <cell r="C505" t="str">
            <v>DRP_PARTICIPATION</v>
          </cell>
          <cell r="F505">
            <v>0.12307692307692308</v>
          </cell>
          <cell r="G505">
            <v>0.3304416403785489</v>
          </cell>
          <cell r="H505">
            <v>0.27272727272727271</v>
          </cell>
          <cell r="I505">
            <v>0.32974504249291786</v>
          </cell>
          <cell r="J505">
            <v>0.26989150090415914</v>
          </cell>
          <cell r="K505">
            <v>0.15016501650165018</v>
          </cell>
          <cell r="L505">
            <v>0.17008117510630075</v>
          </cell>
          <cell r="M505">
            <v>0</v>
          </cell>
          <cell r="N505">
            <v>0</v>
          </cell>
          <cell r="O505">
            <v>0.13302536993720185</v>
          </cell>
          <cell r="P505">
            <v>6.3675326983817365E-2</v>
          </cell>
          <cell r="Q505">
            <v>0.70579458821339947</v>
          </cell>
          <cell r="R505">
            <v>0.13662859750166778</v>
          </cell>
          <cell r="S505">
            <v>0.41913362244638164</v>
          </cell>
          <cell r="T505">
            <v>0.10103057494568692</v>
          </cell>
          <cell r="U505">
            <v>0.10418018166189112</v>
          </cell>
          <cell r="V505">
            <v>0.10263930030823901</v>
          </cell>
          <cell r="W505">
            <v>0.35700214002857145</v>
          </cell>
          <cell r="X505">
            <v>9.73082333165987E-2</v>
          </cell>
          <cell r="Y505">
            <v>0.22696942565204717</v>
          </cell>
          <cell r="Z505">
            <v>0.10004209893557423</v>
          </cell>
          <cell r="AA505">
            <v>0.102210354291912</v>
          </cell>
          <cell r="AB505">
            <v>0.10113063088243568</v>
          </cell>
          <cell r="AC505">
            <v>0.35779809817845015</v>
          </cell>
          <cell r="AD505">
            <v>9.7699999999999995E-2</v>
          </cell>
          <cell r="AE505">
            <v>0.22750769607514054</v>
          </cell>
          <cell r="AF505">
            <v>0</v>
          </cell>
          <cell r="AG505">
            <v>0.99982576745714158</v>
          </cell>
          <cell r="AH505">
            <v>0</v>
          </cell>
          <cell r="AI505">
            <v>0</v>
          </cell>
          <cell r="AJ505">
            <v>0</v>
          </cell>
          <cell r="AK505">
            <v>0</v>
          </cell>
          <cell r="AL505">
            <v>0</v>
          </cell>
          <cell r="AM505">
            <v>8.467387801785714E-2</v>
          </cell>
          <cell r="AN505">
            <v>4.1702421822952009E-2</v>
          </cell>
          <cell r="AO505">
            <v>0</v>
          </cell>
          <cell r="AP505">
            <v>0</v>
          </cell>
          <cell r="AQ505">
            <v>0</v>
          </cell>
          <cell r="AR505">
            <v>0</v>
          </cell>
          <cell r="AS505">
            <v>0</v>
          </cell>
          <cell r="AT505">
            <v>0</v>
          </cell>
          <cell r="AU505">
            <v>0</v>
          </cell>
          <cell r="AV505" t="e">
            <v>#N/A</v>
          </cell>
          <cell r="AW505" t="e">
            <v>#N/A</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cell r="BL505">
            <v>0</v>
          </cell>
          <cell r="BM505">
            <v>0</v>
          </cell>
          <cell r="BN505">
            <v>0</v>
          </cell>
          <cell r="BO505">
            <v>0</v>
          </cell>
          <cell r="BP505">
            <v>0</v>
          </cell>
          <cell r="BQ505">
            <v>0</v>
          </cell>
          <cell r="BR505">
            <v>0</v>
          </cell>
          <cell r="BS505">
            <v>0</v>
          </cell>
          <cell r="BT505">
            <v>0</v>
          </cell>
          <cell r="BU505">
            <v>0</v>
          </cell>
          <cell r="BV505">
            <v>0</v>
          </cell>
          <cell r="BW505">
            <v>0</v>
          </cell>
          <cell r="BX505">
            <v>0</v>
          </cell>
        </row>
        <row r="506">
          <cell r="B506" t="str">
            <v>DRP Discount</v>
          </cell>
          <cell r="C506" t="str">
            <v>DRP_DISCOUNT</v>
          </cell>
        </row>
        <row r="507">
          <cell r="B507" t="str">
            <v>Convertible Notes  at End of year</v>
          </cell>
          <cell r="C507" t="str">
            <v>CONVERTIBLE_NOTES</v>
          </cell>
          <cell r="F507">
            <v>60</v>
          </cell>
          <cell r="G507">
            <v>78</v>
          </cell>
          <cell r="H507">
            <v>87</v>
          </cell>
          <cell r="I507">
            <v>148.7715736040609</v>
          </cell>
          <cell r="J507">
            <v>151.41218274111688</v>
          </cell>
          <cell r="K507">
            <v>179.94923857868025</v>
          </cell>
          <cell r="L507">
            <v>157.86294416243663</v>
          </cell>
          <cell r="M507">
            <v>156.86294416243663</v>
          </cell>
          <cell r="N507">
            <v>120.67005076142095</v>
          </cell>
          <cell r="O507">
            <v>135.73096446700492</v>
          </cell>
          <cell r="P507">
            <v>135.73096446700492</v>
          </cell>
          <cell r="Q507">
            <v>120.63451776649754</v>
          </cell>
          <cell r="R507">
            <v>160.84263959390864</v>
          </cell>
          <cell r="S507">
            <v>160.84263959390864</v>
          </cell>
          <cell r="T507">
            <v>189</v>
          </cell>
          <cell r="U507">
            <v>206</v>
          </cell>
          <cell r="V507">
            <v>206</v>
          </cell>
          <cell r="W507">
            <v>235</v>
          </cell>
          <cell r="X507">
            <v>235</v>
          </cell>
          <cell r="Y507">
            <v>235</v>
          </cell>
          <cell r="Z507">
            <v>225</v>
          </cell>
          <cell r="AA507">
            <v>251</v>
          </cell>
          <cell r="AB507">
            <v>251</v>
          </cell>
          <cell r="AC507">
            <v>279</v>
          </cell>
          <cell r="AD507">
            <v>284</v>
          </cell>
          <cell r="AE507">
            <v>284</v>
          </cell>
          <cell r="AF507">
            <v>1</v>
          </cell>
          <cell r="AG507">
            <v>328</v>
          </cell>
          <cell r="AH507">
            <v>328</v>
          </cell>
          <cell r="AI507">
            <v>446</v>
          </cell>
          <cell r="AJ507">
            <v>327</v>
          </cell>
          <cell r="AK507">
            <v>327</v>
          </cell>
          <cell r="AL507">
            <v>324</v>
          </cell>
          <cell r="AM507">
            <v>365</v>
          </cell>
          <cell r="AN507">
            <v>365</v>
          </cell>
          <cell r="AO507">
            <v>387</v>
          </cell>
          <cell r="AP507">
            <v>381</v>
          </cell>
          <cell r="AQ507">
            <v>381</v>
          </cell>
          <cell r="AR507">
            <v>411</v>
          </cell>
          <cell r="AS507">
            <v>337</v>
          </cell>
          <cell r="AT507">
            <v>337</v>
          </cell>
          <cell r="AU507">
            <v>267</v>
          </cell>
          <cell r="AV507" t="e">
            <v>#N/A</v>
          </cell>
          <cell r="AW507" t="e">
            <v>#N/A</v>
          </cell>
          <cell r="AX507">
            <v>276.99999999999955</v>
          </cell>
          <cell r="AY507">
            <v>276.99999999999955</v>
          </cell>
          <cell r="AZ507">
            <v>276.99999999999955</v>
          </cell>
          <cell r="BA507">
            <v>276.99999999999955</v>
          </cell>
          <cell r="BB507">
            <v>276.99999999999909</v>
          </cell>
          <cell r="BC507">
            <v>276.99999999999909</v>
          </cell>
          <cell r="BD507">
            <v>276.99999999999864</v>
          </cell>
          <cell r="BE507">
            <v>276.99999999999864</v>
          </cell>
          <cell r="BF507">
            <v>276.99999999999864</v>
          </cell>
          <cell r="BG507">
            <v>276.99999999999864</v>
          </cell>
          <cell r="BH507">
            <v>276.99999999999909</v>
          </cell>
          <cell r="BI507">
            <v>276.99999999999909</v>
          </cell>
          <cell r="BJ507">
            <v>276.99999999999864</v>
          </cell>
          <cell r="BK507">
            <v>276.99999999999909</v>
          </cell>
          <cell r="BL507">
            <v>276.99999999999909</v>
          </cell>
          <cell r="BM507">
            <v>276.99999999999909</v>
          </cell>
          <cell r="BN507">
            <v>276.99999999999909</v>
          </cell>
          <cell r="BO507">
            <v>276.99999999999909</v>
          </cell>
          <cell r="BP507">
            <v>276.99999999999909</v>
          </cell>
          <cell r="BQ507">
            <v>276.99999999999909</v>
          </cell>
          <cell r="BR507">
            <v>276.99999999999909</v>
          </cell>
          <cell r="BS507">
            <v>276.99999999999909</v>
          </cell>
          <cell r="BT507">
            <v>276.99999999999909</v>
          </cell>
          <cell r="BU507">
            <v>276.99999999999909</v>
          </cell>
          <cell r="BV507">
            <v>276.99999999999909</v>
          </cell>
          <cell r="BW507">
            <v>276.99999999999909</v>
          </cell>
          <cell r="BX507">
            <v>276.99999999999909</v>
          </cell>
        </row>
        <row r="508">
          <cell r="B508" t="str">
            <v>Preference Shares at End of year</v>
          </cell>
          <cell r="C508" t="str">
            <v>PREFERENCE_SHARES</v>
          </cell>
        </row>
        <row r="509">
          <cell r="B509" t="str">
            <v>Partly Paid Shares at End of year</v>
          </cell>
          <cell r="C509" t="str">
            <v>PARTLY_PAID_SHARES</v>
          </cell>
        </row>
        <row r="510">
          <cell r="B510" t="str">
            <v>Options at End of year</v>
          </cell>
          <cell r="C510" t="str">
            <v>OPTIONS</v>
          </cell>
          <cell r="F510">
            <v>5</v>
          </cell>
          <cell r="G510">
            <v>7</v>
          </cell>
          <cell r="H510">
            <v>6</v>
          </cell>
          <cell r="I510">
            <v>4</v>
          </cell>
          <cell r="J510">
            <v>9.4</v>
          </cell>
          <cell r="K510">
            <v>8</v>
          </cell>
          <cell r="L510">
            <v>13</v>
          </cell>
          <cell r="M510">
            <v>14</v>
          </cell>
          <cell r="N510">
            <v>12</v>
          </cell>
          <cell r="O510">
            <v>9</v>
          </cell>
          <cell r="P510">
            <v>9</v>
          </cell>
          <cell r="Q510">
            <v>5</v>
          </cell>
          <cell r="R510">
            <v>6</v>
          </cell>
          <cell r="S510">
            <v>6</v>
          </cell>
          <cell r="T510">
            <v>4</v>
          </cell>
          <cell r="U510">
            <v>4</v>
          </cell>
          <cell r="V510">
            <v>4</v>
          </cell>
          <cell r="W510">
            <v>3</v>
          </cell>
          <cell r="X510">
            <v>5</v>
          </cell>
          <cell r="Y510">
            <v>5</v>
          </cell>
          <cell r="Z510">
            <v>3</v>
          </cell>
          <cell r="AA510">
            <v>3</v>
          </cell>
          <cell r="AB510">
            <v>3</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t="e">
            <v>#N/A</v>
          </cell>
          <cell r="AW510" t="e">
            <v>#N/A</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row>
        <row r="511">
          <cell r="B511" t="str">
            <v>Other at End of year</v>
          </cell>
          <cell r="C511" t="str">
            <v>OTHER_CAPITAL</v>
          </cell>
        </row>
        <row r="512">
          <cell r="B512" t="str">
            <v>Ordinary Shares (diluted for convertibles/options in the money) on issue at end of period ; Share Base For NTA Calculation</v>
          </cell>
          <cell r="C512" t="str">
            <v>EFPO</v>
          </cell>
          <cell r="F512">
            <v>1849.3401015228426</v>
          </cell>
          <cell r="G512">
            <v>1874.4670050761422</v>
          </cell>
          <cell r="H512">
            <v>1904.6192893401017</v>
          </cell>
          <cell r="I512">
            <v>2955.9289340101523</v>
          </cell>
          <cell r="J512">
            <v>3004.1725888324872</v>
          </cell>
          <cell r="K512">
            <v>3045.3807106598988</v>
          </cell>
          <cell r="L512">
            <v>3095.6345177664975</v>
          </cell>
          <cell r="M512">
            <v>3124.7817258883251</v>
          </cell>
          <cell r="N512">
            <v>3124.7817258883251</v>
          </cell>
          <cell r="O512">
            <v>3124.7817258883251</v>
          </cell>
          <cell r="P512">
            <v>3124.7817258883251</v>
          </cell>
          <cell r="Q512">
            <v>3135.8375634517765</v>
          </cell>
          <cell r="R512">
            <v>3200.1624365482235</v>
          </cell>
          <cell r="S512">
            <v>3200.1624365482235</v>
          </cell>
          <cell r="T512">
            <v>3336</v>
          </cell>
          <cell r="U512">
            <v>3346</v>
          </cell>
          <cell r="V512">
            <v>3346</v>
          </cell>
          <cell r="W512">
            <v>3357</v>
          </cell>
          <cell r="X512">
            <v>3394.3642789999999</v>
          </cell>
          <cell r="Y512">
            <v>3394.3642789999999</v>
          </cell>
          <cell r="Z512">
            <v>3404.1720380000002</v>
          </cell>
          <cell r="AA512">
            <v>3434.796711</v>
          </cell>
          <cell r="AB512">
            <v>3434.796711</v>
          </cell>
          <cell r="AC512">
            <v>3447.571023</v>
          </cell>
          <cell r="AD512">
            <v>3489.9287730000001</v>
          </cell>
          <cell r="AE512">
            <v>3489.9287730000001</v>
          </cell>
          <cell r="AF512">
            <v>3611.68487</v>
          </cell>
          <cell r="AG512">
            <v>3611.68487</v>
          </cell>
          <cell r="AH512">
            <v>3611.68487</v>
          </cell>
          <cell r="AI512">
            <v>3668.5918080000001</v>
          </cell>
          <cell r="AJ512">
            <v>3668.5918080000001</v>
          </cell>
          <cell r="AK512">
            <v>3668.5918080000001</v>
          </cell>
          <cell r="AL512">
            <v>3501.1276939999998</v>
          </cell>
          <cell r="AM512">
            <v>3501.1276939999998</v>
          </cell>
          <cell r="AN512">
            <v>3501.1276939999998</v>
          </cell>
          <cell r="AO512">
            <v>3509.0769599999999</v>
          </cell>
          <cell r="AP512">
            <v>3509.0769599999999</v>
          </cell>
          <cell r="AQ512">
            <v>3509.0769599999999</v>
          </cell>
          <cell r="AR512">
            <v>3474.6345099999999</v>
          </cell>
          <cell r="AS512">
            <v>3441.4113609999999</v>
          </cell>
          <cell r="AT512">
            <v>3441.4113609999999</v>
          </cell>
          <cell r="AU512">
            <v>3423.6994089999998</v>
          </cell>
          <cell r="AV512" t="e">
            <v>#N/A</v>
          </cell>
          <cell r="AW512" t="e">
            <v>#N/A</v>
          </cell>
          <cell r="AX512">
            <v>3410.3077492759335</v>
          </cell>
          <cell r="AY512">
            <v>3394.9297125398175</v>
          </cell>
          <cell r="AZ512">
            <v>3394.9297125398175</v>
          </cell>
          <cell r="BA512">
            <v>3380.1934634404633</v>
          </cell>
          <cell r="BB512">
            <v>3366.0722175854439</v>
          </cell>
          <cell r="BC512">
            <v>3366.0722175854439</v>
          </cell>
          <cell r="BD512">
            <v>3352.5403084033005</v>
          </cell>
          <cell r="BE512">
            <v>3339.5731404923554</v>
          </cell>
          <cell r="BF512">
            <v>3339.5731404923554</v>
          </cell>
          <cell r="BG512">
            <v>3327.1471449164665</v>
          </cell>
          <cell r="BH512">
            <v>3315.2397363664709</v>
          </cell>
          <cell r="BI512">
            <v>3315.2397363664709</v>
          </cell>
          <cell r="BJ512">
            <v>3315.2397363664709</v>
          </cell>
          <cell r="BK512">
            <v>3315.2397363664709</v>
          </cell>
          <cell r="BL512">
            <v>3315.2397363664709</v>
          </cell>
          <cell r="BM512">
            <v>3315.2397363664709</v>
          </cell>
          <cell r="BN512">
            <v>3315.2397363664709</v>
          </cell>
          <cell r="BO512">
            <v>3315.2397363664709</v>
          </cell>
          <cell r="BP512">
            <v>3315.2397363664709</v>
          </cell>
          <cell r="BQ512">
            <v>3315.2397363664709</v>
          </cell>
          <cell r="BR512">
            <v>3315.2397363664709</v>
          </cell>
          <cell r="BS512">
            <v>3315.2397363664709</v>
          </cell>
          <cell r="BT512">
            <v>3315.2397363664709</v>
          </cell>
          <cell r="BU512">
            <v>3315.2397363664709</v>
          </cell>
          <cell r="BV512">
            <v>3315.2397363664709</v>
          </cell>
          <cell r="BW512">
            <v>3315.2397363664709</v>
          </cell>
          <cell r="BX512">
            <v>3315.2397363664709</v>
          </cell>
        </row>
        <row r="513">
          <cell r="B513" t="str">
            <v>Weighted average ordinary shares (diluted for convertibles/options in the money) on issue at end of period</v>
          </cell>
          <cell r="C513" t="str">
            <v>EFPOWA</v>
          </cell>
          <cell r="F513">
            <v>1916.6802030456854</v>
          </cell>
          <cell r="G513">
            <v>1930.7512690355331</v>
          </cell>
          <cell r="H513">
            <v>1985.0253807106599</v>
          </cell>
          <cell r="I513">
            <v>2904.6700507614214</v>
          </cell>
          <cell r="J513">
            <v>3148.7025380710661</v>
          </cell>
          <cell r="K513">
            <v>3212.2233502538074</v>
          </cell>
          <cell r="L513">
            <v>3236.3451776649749</v>
          </cell>
          <cell r="M513">
            <v>3267.5025380710663</v>
          </cell>
          <cell r="N513">
            <v>3257.4517766497461</v>
          </cell>
          <cell r="O513">
            <v>3275.5431472081218</v>
          </cell>
          <cell r="P513">
            <v>3264.4873096446699</v>
          </cell>
          <cell r="Q513">
            <v>3256.4467005076144</v>
          </cell>
          <cell r="R513">
            <v>3334.8426395939086</v>
          </cell>
          <cell r="S513">
            <v>3313</v>
          </cell>
          <cell r="T513">
            <v>3496</v>
          </cell>
          <cell r="U513">
            <v>3551</v>
          </cell>
          <cell r="V513">
            <v>3529</v>
          </cell>
          <cell r="W513">
            <v>3590</v>
          </cell>
          <cell r="X513">
            <v>3615</v>
          </cell>
          <cell r="Y513">
            <v>3604</v>
          </cell>
          <cell r="Z513">
            <v>3628</v>
          </cell>
          <cell r="AA513">
            <v>3683</v>
          </cell>
          <cell r="AB513">
            <v>3649</v>
          </cell>
          <cell r="AC513">
            <v>3721</v>
          </cell>
          <cell r="AD513">
            <v>3754</v>
          </cell>
          <cell r="AE513">
            <v>3735</v>
          </cell>
          <cell r="AF513">
            <v>3580</v>
          </cell>
          <cell r="AG513">
            <v>3940</v>
          </cell>
          <cell r="AH513">
            <v>3596</v>
          </cell>
          <cell r="AI513">
            <v>4115</v>
          </cell>
          <cell r="AJ513">
            <v>3996</v>
          </cell>
          <cell r="AK513">
            <v>4122</v>
          </cell>
          <cell r="AL513">
            <v>3950</v>
          </cell>
          <cell r="AM513">
            <v>3866</v>
          </cell>
          <cell r="AN513">
            <v>3893</v>
          </cell>
          <cell r="AO513">
            <v>3893</v>
          </cell>
          <cell r="AP513">
            <v>3890</v>
          </cell>
          <cell r="AQ513">
            <v>3895</v>
          </cell>
          <cell r="AR513">
            <v>3910</v>
          </cell>
          <cell r="AS513">
            <v>3799</v>
          </cell>
          <cell r="AT513">
            <v>3901</v>
          </cell>
          <cell r="AU513">
            <v>3700</v>
          </cell>
          <cell r="AV513" t="e">
            <v>#N/A</v>
          </cell>
          <cell r="AW513" t="e">
            <v>#N/A</v>
          </cell>
          <cell r="AX513">
            <v>3692.3042217103302</v>
          </cell>
          <cell r="AY513">
            <v>3679.5925233885478</v>
          </cell>
          <cell r="AZ513">
            <v>3685.9657858348114</v>
          </cell>
          <cell r="BA513">
            <v>3664.5354964433609</v>
          </cell>
          <cell r="BB513">
            <v>3650.1068600987178</v>
          </cell>
          <cell r="BC513">
            <v>3657.3409435263061</v>
          </cell>
          <cell r="BD513">
            <v>3636.2803890746704</v>
          </cell>
          <cell r="BE513">
            <v>3623.0309525782131</v>
          </cell>
          <cell r="BF513">
            <v>3629.6556708264416</v>
          </cell>
          <cell r="BG513">
            <v>3610.3344686259202</v>
          </cell>
          <cell r="BH513">
            <v>3598.1678602728834</v>
          </cell>
          <cell r="BI513">
            <v>3604.2678310361866</v>
          </cell>
          <cell r="BJ513">
            <v>3592.2142018542781</v>
          </cell>
          <cell r="BK513">
            <v>3592.2142018542786</v>
          </cell>
          <cell r="BL513">
            <v>3592.2142018542791</v>
          </cell>
          <cell r="BM513">
            <v>3592.2142018542786</v>
          </cell>
          <cell r="BN513">
            <v>3592.2142018542786</v>
          </cell>
          <cell r="BO513">
            <v>3592.2142018542791</v>
          </cell>
          <cell r="BP513">
            <v>3592.2142018542786</v>
          </cell>
          <cell r="BQ513">
            <v>3592.2142018542786</v>
          </cell>
          <cell r="BR513">
            <v>3592.2142018542786</v>
          </cell>
          <cell r="BS513">
            <v>3592.2142018542786</v>
          </cell>
          <cell r="BT513">
            <v>3592.2142018542786</v>
          </cell>
          <cell r="BU513">
            <v>3592.2142018542791</v>
          </cell>
          <cell r="BV513">
            <v>3592.2142018542786</v>
          </cell>
          <cell r="BW513">
            <v>3592.2142018542786</v>
          </cell>
          <cell r="BX513">
            <v>3592.2142018542791</v>
          </cell>
        </row>
        <row r="514">
          <cell r="B514" t="str">
            <v>Total Capital (EFPO)</v>
          </cell>
          <cell r="C514" t="str">
            <v>TOTAL_CAPITAL_EFPO</v>
          </cell>
          <cell r="F514">
            <v>1845</v>
          </cell>
          <cell r="G514">
            <v>1872</v>
          </cell>
          <cell r="H514">
            <v>1901</v>
          </cell>
          <cell r="I514">
            <v>2945</v>
          </cell>
          <cell r="J514">
            <v>2998.4</v>
          </cell>
          <cell r="K514">
            <v>3038.4781639311295</v>
          </cell>
          <cell r="L514">
            <v>3108.6345177664975</v>
          </cell>
          <cell r="M514">
            <v>3138.7817258883251</v>
          </cell>
          <cell r="N514">
            <v>3136.7817258883251</v>
          </cell>
          <cell r="O514">
            <v>3133.7817258883251</v>
          </cell>
          <cell r="P514">
            <v>3133.7817258883251</v>
          </cell>
          <cell r="Q514">
            <v>3140.8375634517765</v>
          </cell>
          <cell r="R514">
            <v>3206.1624365482235</v>
          </cell>
          <cell r="S514">
            <v>3206.1624365482235</v>
          </cell>
          <cell r="T514">
            <v>3340</v>
          </cell>
          <cell r="U514">
            <v>3350</v>
          </cell>
          <cell r="V514">
            <v>3350</v>
          </cell>
          <cell r="W514">
            <v>3360</v>
          </cell>
          <cell r="X514">
            <v>3399.3642789999999</v>
          </cell>
          <cell r="Y514">
            <v>3399.3642789999999</v>
          </cell>
          <cell r="Z514">
            <v>3407.1720380000002</v>
          </cell>
          <cell r="AA514">
            <v>3437.796711</v>
          </cell>
          <cell r="AB514">
            <v>3437.796711</v>
          </cell>
          <cell r="AC514">
            <v>3447.571023</v>
          </cell>
          <cell r="AD514">
            <v>3489.9287730000001</v>
          </cell>
          <cell r="AE514">
            <v>3489.9287730000001</v>
          </cell>
          <cell r="AF514">
            <v>3611.68487</v>
          </cell>
          <cell r="AG514">
            <v>3611.68487</v>
          </cell>
          <cell r="AH514">
            <v>3611.68487</v>
          </cell>
          <cell r="AI514">
            <v>3668.5918080000001</v>
          </cell>
          <cell r="AJ514">
            <v>3668.5918080000001</v>
          </cell>
          <cell r="AK514">
            <v>3668.5918080000001</v>
          </cell>
          <cell r="AL514">
            <v>3501.1276939999998</v>
          </cell>
          <cell r="AM514">
            <v>3501.1276939999998</v>
          </cell>
          <cell r="AN514">
            <v>3501.1276939999998</v>
          </cell>
          <cell r="AO514">
            <v>3509.0769599999999</v>
          </cell>
          <cell r="AP514">
            <v>3509.0769599999999</v>
          </cell>
          <cell r="AQ514">
            <v>3509.0769599999999</v>
          </cell>
          <cell r="AR514">
            <v>3474.6345099999999</v>
          </cell>
          <cell r="AS514">
            <v>3441.4113609999999</v>
          </cell>
          <cell r="AT514">
            <v>3441.4113609999999</v>
          </cell>
          <cell r="AU514">
            <v>3423.6994089999998</v>
          </cell>
          <cell r="AV514" t="e">
            <v>#N/A</v>
          </cell>
          <cell r="AW514" t="e">
            <v>#N/A</v>
          </cell>
          <cell r="AX514">
            <v>3410.3077492759335</v>
          </cell>
          <cell r="AY514">
            <v>3394.9297125398175</v>
          </cell>
          <cell r="AZ514">
            <v>3394.9297125398175</v>
          </cell>
          <cell r="BA514">
            <v>3380.1934634404633</v>
          </cell>
          <cell r="BB514">
            <v>3366.0722175854439</v>
          </cell>
          <cell r="BC514">
            <v>3366.0722175854439</v>
          </cell>
          <cell r="BD514">
            <v>3352.5403084033005</v>
          </cell>
          <cell r="BE514">
            <v>3339.5731404923554</v>
          </cell>
          <cell r="BF514">
            <v>3339.5731404923554</v>
          </cell>
          <cell r="BG514">
            <v>3327.1471449164665</v>
          </cell>
          <cell r="BH514">
            <v>3315.2397363664709</v>
          </cell>
          <cell r="BI514">
            <v>3315.2397363664709</v>
          </cell>
          <cell r="BJ514">
            <v>3315.2397363664709</v>
          </cell>
          <cell r="BK514">
            <v>3315.2397363664709</v>
          </cell>
          <cell r="BL514">
            <v>3315.2397363664709</v>
          </cell>
          <cell r="BM514">
            <v>3315.2397363664709</v>
          </cell>
          <cell r="BN514">
            <v>3315.2397363664709</v>
          </cell>
          <cell r="BO514">
            <v>3315.2397363664709</v>
          </cell>
          <cell r="BP514">
            <v>3315.2397363664709</v>
          </cell>
          <cell r="BQ514">
            <v>3315.2397363664709</v>
          </cell>
          <cell r="BR514">
            <v>3315.2397363664709</v>
          </cell>
          <cell r="BS514">
            <v>3315.2397363664709</v>
          </cell>
          <cell r="BT514">
            <v>3315.2397363664709</v>
          </cell>
          <cell r="BU514">
            <v>3315.2397363664709</v>
          </cell>
          <cell r="BV514">
            <v>3315.2397363664709</v>
          </cell>
          <cell r="BW514">
            <v>3315.2397363664709</v>
          </cell>
          <cell r="BX514">
            <v>3315.2397363664709</v>
          </cell>
        </row>
        <row r="515">
          <cell r="B515" t="str">
            <v>Total Capital (EFPOWA)</v>
          </cell>
          <cell r="C515" t="str">
            <v>TOTAL_CAPITAL_EFPOWA</v>
          </cell>
          <cell r="F515">
            <v>1916.6802030456854</v>
          </cell>
          <cell r="G515">
            <v>1930.7512690355331</v>
          </cell>
          <cell r="H515">
            <v>1985.0253807106599</v>
          </cell>
          <cell r="I515">
            <v>2904.6700507614214</v>
          </cell>
          <cell r="J515">
            <v>3148.7025380710661</v>
          </cell>
          <cell r="K515">
            <v>3212.2233502538074</v>
          </cell>
          <cell r="L515">
            <v>3236.3451776649749</v>
          </cell>
          <cell r="M515">
            <v>3267.5025380710663</v>
          </cell>
          <cell r="N515">
            <v>3257.4517766497461</v>
          </cell>
          <cell r="O515">
            <v>3275.5431472081218</v>
          </cell>
          <cell r="P515">
            <v>3264.4873096446699</v>
          </cell>
          <cell r="Q515">
            <v>3256.4467005076144</v>
          </cell>
          <cell r="R515">
            <v>3334.8426395939086</v>
          </cell>
          <cell r="S515">
            <v>3313</v>
          </cell>
          <cell r="T515">
            <v>3496</v>
          </cell>
          <cell r="U515">
            <v>3551</v>
          </cell>
          <cell r="V515">
            <v>3529</v>
          </cell>
          <cell r="W515">
            <v>3590</v>
          </cell>
          <cell r="X515">
            <v>3615</v>
          </cell>
          <cell r="Y515">
            <v>3604</v>
          </cell>
          <cell r="Z515">
            <v>3628</v>
          </cell>
          <cell r="AA515">
            <v>3683</v>
          </cell>
          <cell r="AB515">
            <v>3649</v>
          </cell>
          <cell r="AC515">
            <v>3721</v>
          </cell>
          <cell r="AD515">
            <v>3754</v>
          </cell>
          <cell r="AE515">
            <v>3735</v>
          </cell>
          <cell r="AF515">
            <v>3580</v>
          </cell>
          <cell r="AG515">
            <v>3940</v>
          </cell>
          <cell r="AH515">
            <v>3596</v>
          </cell>
          <cell r="AI515">
            <v>4115</v>
          </cell>
          <cell r="AJ515">
            <v>3996</v>
          </cell>
          <cell r="AK515">
            <v>4122</v>
          </cell>
          <cell r="AL515">
            <v>3950</v>
          </cell>
          <cell r="AM515">
            <v>3866</v>
          </cell>
          <cell r="AN515">
            <v>3893</v>
          </cell>
          <cell r="AO515">
            <v>3893</v>
          </cell>
          <cell r="AP515">
            <v>3890</v>
          </cell>
          <cell r="AQ515">
            <v>3895</v>
          </cell>
          <cell r="AR515">
            <v>3910</v>
          </cell>
          <cell r="AS515">
            <v>3799</v>
          </cell>
          <cell r="AT515">
            <v>3901</v>
          </cell>
          <cell r="AU515">
            <v>3700</v>
          </cell>
          <cell r="AV515" t="e">
            <v>#N/A</v>
          </cell>
          <cell r="AW515" t="e">
            <v>#N/A</v>
          </cell>
          <cell r="AX515">
            <v>3692.3042217103302</v>
          </cell>
          <cell r="AY515">
            <v>3679.5925233885478</v>
          </cell>
          <cell r="AZ515">
            <v>3685.9657858348114</v>
          </cell>
          <cell r="BA515">
            <v>3664.5354964433609</v>
          </cell>
          <cell r="BB515">
            <v>3650.1068600987178</v>
          </cell>
          <cell r="BC515">
            <v>3657.3409435263061</v>
          </cell>
          <cell r="BD515">
            <v>3636.2803890746704</v>
          </cell>
          <cell r="BE515">
            <v>3623.0309525782131</v>
          </cell>
          <cell r="BF515">
            <v>3629.6556708264416</v>
          </cell>
          <cell r="BG515">
            <v>3610.3344686259202</v>
          </cell>
          <cell r="BH515">
            <v>3598.1678602728834</v>
          </cell>
          <cell r="BI515">
            <v>3604.2678310361866</v>
          </cell>
          <cell r="BJ515">
            <v>3592.2142018542781</v>
          </cell>
          <cell r="BK515">
            <v>3592.2142018542786</v>
          </cell>
          <cell r="BL515">
            <v>3592.2142018542791</v>
          </cell>
          <cell r="BM515">
            <v>3592.2142018542786</v>
          </cell>
          <cell r="BN515">
            <v>3592.2142018542786</v>
          </cell>
          <cell r="BO515">
            <v>3592.2142018542791</v>
          </cell>
          <cell r="BP515">
            <v>3592.2142018542786</v>
          </cell>
          <cell r="BQ515">
            <v>3592.2142018542786</v>
          </cell>
          <cell r="BR515">
            <v>3592.2142018542786</v>
          </cell>
          <cell r="BS515">
            <v>3592.2142018542786</v>
          </cell>
          <cell r="BT515">
            <v>3592.2142018542786</v>
          </cell>
          <cell r="BU515">
            <v>3592.2142018542791</v>
          </cell>
          <cell r="BV515">
            <v>3592.2142018542786</v>
          </cell>
          <cell r="BW515">
            <v>3592.2142018542786</v>
          </cell>
          <cell r="BX515">
            <v>3592.2142018542791</v>
          </cell>
        </row>
        <row r="516">
          <cell r="B516" t="str">
            <v>Risk Weighted Assets</v>
          </cell>
          <cell r="C516" t="str">
            <v>RISK_WEIGHTED_ASSET_APRA</v>
          </cell>
          <cell r="D516" t="str">
            <v>AUD</v>
          </cell>
          <cell r="F516">
            <v>193417</v>
          </cell>
          <cell r="G516">
            <v>168480</v>
          </cell>
          <cell r="H516">
            <v>195505</v>
          </cell>
          <cell r="I516">
            <v>288739</v>
          </cell>
          <cell r="J516">
            <v>279379</v>
          </cell>
          <cell r="K516">
            <v>279961</v>
          </cell>
          <cell r="L516">
            <v>297901</v>
          </cell>
          <cell r="M516">
            <v>307372</v>
          </cell>
          <cell r="N516">
            <v>322498</v>
          </cell>
          <cell r="O516">
            <v>331387</v>
          </cell>
          <cell r="P516">
            <v>331387</v>
          </cell>
          <cell r="Q516">
            <v>346823</v>
          </cell>
          <cell r="R516">
            <v>358580</v>
          </cell>
          <cell r="S516">
            <v>358580</v>
          </cell>
          <cell r="T516">
            <v>363248</v>
          </cell>
          <cell r="U516">
            <v>410053</v>
          </cell>
          <cell r="V516">
            <v>410053</v>
          </cell>
          <cell r="W516">
            <v>404382</v>
          </cell>
          <cell r="X516">
            <v>404235</v>
          </cell>
          <cell r="Y516">
            <v>404235</v>
          </cell>
          <cell r="Z516">
            <v>415744</v>
          </cell>
          <cell r="AA516">
            <v>425384</v>
          </cell>
          <cell r="AB516">
            <v>425384</v>
          </cell>
          <cell r="AC516">
            <v>419819</v>
          </cell>
          <cell r="AD516">
            <v>428794</v>
          </cell>
          <cell r="AE516">
            <v>428794</v>
          </cell>
          <cell r="AF516">
            <v>443905</v>
          </cell>
          <cell r="AG516">
            <v>437905</v>
          </cell>
          <cell r="AH516">
            <v>437905</v>
          </cell>
          <cell r="AI516">
            <v>428899</v>
          </cell>
          <cell r="AJ516">
            <v>436650</v>
          </cell>
          <cell r="AK516">
            <v>436650</v>
          </cell>
          <cell r="AL516">
            <v>459956</v>
          </cell>
          <cell r="AM516">
            <v>477620</v>
          </cell>
          <cell r="AN516">
            <v>477620</v>
          </cell>
          <cell r="AO516">
            <v>452946</v>
          </cell>
          <cell r="AP516">
            <v>451418</v>
          </cell>
          <cell r="AQ516">
            <v>451418</v>
          </cell>
          <cell r="AR516">
            <v>444417</v>
          </cell>
          <cell r="AS516">
            <v>437430</v>
          </cell>
          <cell r="AT516">
            <v>437430</v>
          </cell>
          <cell r="AU516">
            <v>449495</v>
          </cell>
          <cell r="AV516" t="e">
            <v>#N/A</v>
          </cell>
          <cell r="AW516" t="e">
            <v>#N/A</v>
          </cell>
          <cell r="AX516">
            <v>450514.58935470402</v>
          </cell>
          <cell r="AY516">
            <v>460008.0628513844</v>
          </cell>
          <cell r="AZ516">
            <v>460008.0628513844</v>
          </cell>
          <cell r="BA516">
            <v>468240.78076651832</v>
          </cell>
          <cell r="BB516">
            <v>476157.94919960236</v>
          </cell>
          <cell r="BC516">
            <v>476157.94919960236</v>
          </cell>
          <cell r="BD516">
            <v>483102.61900412833</v>
          </cell>
          <cell r="BE516">
            <v>490261.51371767977</v>
          </cell>
          <cell r="BF516">
            <v>490261.51371767977</v>
          </cell>
          <cell r="BG516">
            <v>497367.27034633851</v>
          </cell>
          <cell r="BH516">
            <v>504535.92620460968</v>
          </cell>
          <cell r="BI516">
            <v>504535.92620460968</v>
          </cell>
          <cell r="BJ516">
            <v>514958.36937168532</v>
          </cell>
          <cell r="BK516">
            <v>525345.90502728405</v>
          </cell>
          <cell r="BL516">
            <v>525345.90502728405</v>
          </cell>
          <cell r="BM516">
            <v>528092.76213399449</v>
          </cell>
          <cell r="BN516">
            <v>531150.56987817073</v>
          </cell>
          <cell r="BO516">
            <v>531150.56987817073</v>
          </cell>
          <cell r="BP516">
            <v>541386.56508991099</v>
          </cell>
          <cell r="BQ516">
            <v>551823.40063700464</v>
          </cell>
          <cell r="BR516">
            <v>551823.40063700464</v>
          </cell>
          <cell r="BS516">
            <v>562465.05834283982</v>
          </cell>
          <cell r="BT516">
            <v>573315.5994421842</v>
          </cell>
          <cell r="BU516">
            <v>573315.5994421842</v>
          </cell>
          <cell r="BV516">
            <v>584379.16617024492</v>
          </cell>
          <cell r="BW516">
            <v>595659.98338359152</v>
          </cell>
          <cell r="BX516">
            <v>595659.98338359152</v>
          </cell>
        </row>
        <row r="517">
          <cell r="A517" t="str">
            <v>Additional Income Statement Items</v>
          </cell>
        </row>
        <row r="518">
          <cell r="B518" t="str">
            <v>Dilution impact to earnings</v>
          </cell>
          <cell r="C518" t="str">
            <v>DILUTE_NI_IMPAC</v>
          </cell>
          <cell r="D518" t="str">
            <v>AUD</v>
          </cell>
          <cell r="F518">
            <v>81</v>
          </cell>
          <cell r="G518">
            <v>97</v>
          </cell>
          <cell r="H518">
            <v>81</v>
          </cell>
          <cell r="I518">
            <v>101.248730964467</v>
          </cell>
          <cell r="J518">
            <v>116</v>
          </cell>
          <cell r="K518">
            <v>127</v>
          </cell>
          <cell r="L518">
            <v>138</v>
          </cell>
          <cell r="M518">
            <v>159</v>
          </cell>
          <cell r="N518">
            <v>76</v>
          </cell>
          <cell r="O518">
            <v>89</v>
          </cell>
          <cell r="P518">
            <v>165</v>
          </cell>
          <cell r="Q518">
            <v>92</v>
          </cell>
          <cell r="R518">
            <v>91</v>
          </cell>
          <cell r="S518">
            <v>183</v>
          </cell>
          <cell r="T518">
            <v>108</v>
          </cell>
          <cell r="U518">
            <v>114</v>
          </cell>
          <cell r="V518">
            <v>222</v>
          </cell>
          <cell r="W518">
            <v>127</v>
          </cell>
          <cell r="X518">
            <v>126</v>
          </cell>
          <cell r="Y518">
            <v>253</v>
          </cell>
          <cell r="Z518">
            <v>135</v>
          </cell>
          <cell r="AA518">
            <v>148</v>
          </cell>
          <cell r="AB518">
            <v>283</v>
          </cell>
          <cell r="AC518">
            <v>154</v>
          </cell>
          <cell r="AD518">
            <v>136</v>
          </cell>
          <cell r="AE518">
            <v>290</v>
          </cell>
          <cell r="AF518">
            <v>0</v>
          </cell>
          <cell r="AG518">
            <v>75</v>
          </cell>
          <cell r="AH518">
            <v>0</v>
          </cell>
          <cell r="AI518">
            <v>109</v>
          </cell>
          <cell r="AJ518">
            <v>109</v>
          </cell>
          <cell r="AK518">
            <v>218</v>
          </cell>
          <cell r="AL518">
            <v>100</v>
          </cell>
          <cell r="AM518">
            <v>133</v>
          </cell>
          <cell r="AN518">
            <v>233</v>
          </cell>
          <cell r="AO518">
            <v>186</v>
          </cell>
          <cell r="AP518">
            <v>213</v>
          </cell>
          <cell r="AQ518">
            <v>399</v>
          </cell>
          <cell r="AR518">
            <v>235</v>
          </cell>
          <cell r="AS518">
            <v>184</v>
          </cell>
          <cell r="AT518">
            <v>419</v>
          </cell>
          <cell r="AU518">
            <v>229</v>
          </cell>
          <cell r="AV518" t="e">
            <v>#N/A</v>
          </cell>
          <cell r="AW518" t="e">
            <v>#N/A</v>
          </cell>
          <cell r="AX518">
            <v>212</v>
          </cell>
          <cell r="AY518">
            <v>212</v>
          </cell>
          <cell r="AZ518">
            <v>424</v>
          </cell>
          <cell r="BA518">
            <v>212</v>
          </cell>
          <cell r="BB518">
            <v>212</v>
          </cell>
          <cell r="BC518">
            <v>424</v>
          </cell>
          <cell r="BD518">
            <v>212</v>
          </cell>
          <cell r="BE518">
            <v>212</v>
          </cell>
          <cell r="BF518">
            <v>424</v>
          </cell>
          <cell r="BG518">
            <v>212</v>
          </cell>
          <cell r="BH518">
            <v>212</v>
          </cell>
          <cell r="BI518">
            <v>424</v>
          </cell>
          <cell r="BJ518">
            <v>212</v>
          </cell>
          <cell r="BK518">
            <v>212</v>
          </cell>
          <cell r="BL518">
            <v>424</v>
          </cell>
          <cell r="BM518">
            <v>212</v>
          </cell>
          <cell r="BN518">
            <v>212</v>
          </cell>
          <cell r="BO518">
            <v>424</v>
          </cell>
          <cell r="BP518">
            <v>212</v>
          </cell>
          <cell r="BQ518">
            <v>212</v>
          </cell>
          <cell r="BR518">
            <v>424</v>
          </cell>
          <cell r="BS518">
            <v>212</v>
          </cell>
          <cell r="BT518">
            <v>212</v>
          </cell>
          <cell r="BU518">
            <v>424</v>
          </cell>
          <cell r="BV518">
            <v>212</v>
          </cell>
          <cell r="BW518">
            <v>212</v>
          </cell>
          <cell r="BX518">
            <v>424</v>
          </cell>
        </row>
        <row r="519">
          <cell r="B519" t="str">
            <v>GS EPS</v>
          </cell>
          <cell r="C519" t="str">
            <v>B_PL_GSEPS</v>
          </cell>
          <cell r="D519" t="str">
            <v>AUD</v>
          </cell>
          <cell r="F519">
            <v>1.6486840084113288</v>
          </cell>
          <cell r="G519">
            <v>1.8666309108786983</v>
          </cell>
          <cell r="H519">
            <v>2.583342283595448</v>
          </cell>
          <cell r="I519">
            <v>1.6443343469295024</v>
          </cell>
          <cell r="J519">
            <v>1.9039588298717511</v>
          </cell>
          <cell r="K519">
            <v>2.0011061807056798</v>
          </cell>
          <cell r="L519">
            <v>2.0813601857080117</v>
          </cell>
          <cell r="M519">
            <v>2.2102507697709171</v>
          </cell>
          <cell r="N519">
            <v>1.1812914707083173</v>
          </cell>
          <cell r="O519">
            <v>1.2043804104252094</v>
          </cell>
          <cell r="P519">
            <v>2.3872048688859033</v>
          </cell>
          <cell r="Q519">
            <v>1.18841189674523</v>
          </cell>
          <cell r="R519">
            <v>1.2393388374401033</v>
          </cell>
          <cell r="S519">
            <v>2.4156353757923332</v>
          </cell>
          <cell r="T519">
            <v>1.1475972540045767</v>
          </cell>
          <cell r="U519">
            <v>1.1354548014643762</v>
          </cell>
          <cell r="V519">
            <v>2.2793992632473787</v>
          </cell>
          <cell r="W519">
            <v>1.154317548746518</v>
          </cell>
          <cell r="X519">
            <v>1.1538035961272475</v>
          </cell>
          <cell r="Y519">
            <v>2.3071587125416206</v>
          </cell>
          <cell r="Z519">
            <v>1.2089305402425579</v>
          </cell>
          <cell r="AA519">
            <v>1.0757534618517512</v>
          </cell>
          <cell r="AB519">
            <v>2.287750068511921</v>
          </cell>
          <cell r="AC519">
            <v>0.92717011556033324</v>
          </cell>
          <cell r="AD519">
            <v>0.98268513585508788</v>
          </cell>
          <cell r="AE519">
            <v>1.9113788487282464</v>
          </cell>
          <cell r="AF519">
            <v>0.27737430167597765</v>
          </cell>
          <cell r="AG519">
            <v>0.42893401015228427</v>
          </cell>
          <cell r="AH519">
            <v>0.72525027808676312</v>
          </cell>
          <cell r="AI519">
            <v>0.88602673147023081</v>
          </cell>
          <cell r="AJ519">
            <v>0.48148148148148145</v>
          </cell>
          <cell r="AK519">
            <v>1.3512857836001941</v>
          </cell>
          <cell r="AL519">
            <v>0.85746835443037972</v>
          </cell>
          <cell r="AM519">
            <v>0.6598551474392137</v>
          </cell>
          <cell r="AN519">
            <v>1.525301823786283</v>
          </cell>
          <cell r="AO519">
            <v>1.0755201643976369</v>
          </cell>
          <cell r="AP519">
            <v>0.87583547557840613</v>
          </cell>
          <cell r="AQ519">
            <v>1.9496790757381257</v>
          </cell>
          <cell r="AR519">
            <v>0.91483375959079283</v>
          </cell>
          <cell r="AS519">
            <v>1.0086864964464333</v>
          </cell>
          <cell r="AT519">
            <v>1.8992566008715714</v>
          </cell>
          <cell r="AU519">
            <v>0.9961295941621624</v>
          </cell>
          <cell r="AV519" t="e">
            <v>#N/A</v>
          </cell>
          <cell r="AW519" t="e">
            <v>#N/A</v>
          </cell>
          <cell r="AX519">
            <v>1.0458039442442353</v>
          </cell>
          <cell r="AY519">
            <v>1.0736176097078625</v>
          </cell>
          <cell r="AZ519">
            <v>2.1193635812070815</v>
          </cell>
          <cell r="BA519">
            <v>1.0762997335850628</v>
          </cell>
          <cell r="BB519">
            <v>1.0752850223291344</v>
          </cell>
          <cell r="BC519">
            <v>2.151575129747914</v>
          </cell>
          <cell r="BD519">
            <v>1.1099307116807149</v>
          </cell>
          <cell r="BE519">
            <v>1.1176928373170019</v>
          </cell>
          <cell r="BF519">
            <v>2.2276093818424787</v>
          </cell>
          <cell r="BG519">
            <v>1.1727080065374509</v>
          </cell>
          <cell r="BH519">
            <v>1.2012447342854211</v>
          </cell>
          <cell r="BI519">
            <v>2.3738935989126531</v>
          </cell>
          <cell r="BJ519">
            <v>1.2423670404395248</v>
          </cell>
          <cell r="BK519">
            <v>1.2682632483367429</v>
          </cell>
          <cell r="BL519">
            <v>2.5106302887762673</v>
          </cell>
          <cell r="BM519">
            <v>1.2763200654277358</v>
          </cell>
          <cell r="BN519">
            <v>1.2672515096369605</v>
          </cell>
          <cell r="BO519">
            <v>2.5435715750646963</v>
          </cell>
          <cell r="BP519">
            <v>1.2856617906250407</v>
          </cell>
          <cell r="BQ519">
            <v>1.2683071862319315</v>
          </cell>
          <cell r="BR519">
            <v>2.5539689768569729</v>
          </cell>
          <cell r="BS519">
            <v>1.2952132282659459</v>
          </cell>
          <cell r="BT519">
            <v>1.2911624969001891</v>
          </cell>
          <cell r="BU519">
            <v>2.586375725166135</v>
          </cell>
          <cell r="BV519">
            <v>1.3207666552164887</v>
          </cell>
          <cell r="BW519">
            <v>1.3232086491337054</v>
          </cell>
          <cell r="BX519">
            <v>2.6439753043501928</v>
          </cell>
        </row>
        <row r="520">
          <cell r="B520" t="str">
            <v>GS net income</v>
          </cell>
          <cell r="C520" t="str">
            <v>B_PL_GSINCOME</v>
          </cell>
          <cell r="D520" t="str">
            <v>AUD</v>
          </cell>
          <cell r="F520">
            <v>3079</v>
          </cell>
          <cell r="G520">
            <v>3507</v>
          </cell>
          <cell r="H520">
            <v>5047</v>
          </cell>
          <cell r="I520">
            <v>4675</v>
          </cell>
          <cell r="J520">
            <v>5879</v>
          </cell>
          <cell r="K520">
            <v>6301</v>
          </cell>
          <cell r="L520">
            <v>6598</v>
          </cell>
          <cell r="M520">
            <v>7063</v>
          </cell>
          <cell r="N520">
            <v>3772</v>
          </cell>
          <cell r="O520">
            <v>3856</v>
          </cell>
          <cell r="P520">
            <v>7628</v>
          </cell>
          <cell r="Q520">
            <v>3778</v>
          </cell>
          <cell r="R520">
            <v>4042</v>
          </cell>
          <cell r="S520">
            <v>7820</v>
          </cell>
          <cell r="T520">
            <v>3904</v>
          </cell>
          <cell r="U520">
            <v>3918</v>
          </cell>
          <cell r="V520">
            <v>7822</v>
          </cell>
          <cell r="W520">
            <v>4017</v>
          </cell>
          <cell r="X520">
            <v>4045</v>
          </cell>
          <cell r="Y520">
            <v>8062</v>
          </cell>
          <cell r="Z520">
            <v>4251</v>
          </cell>
          <cell r="AA520">
            <v>3814</v>
          </cell>
          <cell r="AB520">
            <v>8065</v>
          </cell>
          <cell r="AC520">
            <v>3296</v>
          </cell>
          <cell r="AD520">
            <v>3553</v>
          </cell>
          <cell r="AE520">
            <v>6849</v>
          </cell>
          <cell r="AF520">
            <v>993</v>
          </cell>
          <cell r="AG520">
            <v>1615</v>
          </cell>
          <cell r="AH520">
            <v>2608</v>
          </cell>
          <cell r="AI520">
            <v>3537</v>
          </cell>
          <cell r="AJ520">
            <v>1815</v>
          </cell>
          <cell r="AK520">
            <v>5352</v>
          </cell>
          <cell r="AL520">
            <v>3287</v>
          </cell>
          <cell r="AM520">
            <v>2418</v>
          </cell>
          <cell r="AN520">
            <v>5705</v>
          </cell>
          <cell r="AO520">
            <v>4001</v>
          </cell>
          <cell r="AP520">
            <v>3194</v>
          </cell>
          <cell r="AQ520">
            <v>7195</v>
          </cell>
          <cell r="AR520">
            <v>3342</v>
          </cell>
          <cell r="AS520">
            <v>3648</v>
          </cell>
          <cell r="AT520">
            <v>6990</v>
          </cell>
          <cell r="AU520">
            <v>3456.6794984000007</v>
          </cell>
          <cell r="AV520" t="e">
            <v>#N/A</v>
          </cell>
          <cell r="AW520" t="e">
            <v>#N/A</v>
          </cell>
          <cell r="AX520">
            <v>3649.4263184143051</v>
          </cell>
          <cell r="AY520">
            <v>3738.4753296593349</v>
          </cell>
          <cell r="AZ520">
            <v>7387.9016480736409</v>
          </cell>
          <cell r="BA520">
            <v>3732.1385785349948</v>
          </cell>
          <cell r="BB520">
            <v>3712.9052365649763</v>
          </cell>
          <cell r="BC520">
            <v>7445.0438150999707</v>
          </cell>
          <cell r="BD520">
            <v>3824.0192801162757</v>
          </cell>
          <cell r="BE520">
            <v>3837.4357450744628</v>
          </cell>
          <cell r="BF520">
            <v>7661.4550251907376</v>
          </cell>
          <cell r="BG520">
            <v>4021.8681376357499</v>
          </cell>
          <cell r="BH520">
            <v>4110.2801952278423</v>
          </cell>
          <cell r="BI520">
            <v>8132.1483328635941</v>
          </cell>
          <cell r="BJ520">
            <v>4250.8485265825293</v>
          </cell>
          <cell r="BK520">
            <v>4343.8732523650879</v>
          </cell>
          <cell r="BL520">
            <v>8594.7217789476163</v>
          </cell>
          <cell r="BM520">
            <v>4372.8150651410942</v>
          </cell>
          <cell r="BN520">
            <v>4340.2388702391636</v>
          </cell>
          <cell r="BO520">
            <v>8713.0539353802596</v>
          </cell>
          <cell r="BP520">
            <v>4406.3725430646737</v>
          </cell>
          <cell r="BQ520">
            <v>4344.0310866961836</v>
          </cell>
          <cell r="BR520">
            <v>8750.40362976086</v>
          </cell>
          <cell r="BS520">
            <v>4440.6833530064587</v>
          </cell>
          <cell r="BT520">
            <v>4426.1322582664907</v>
          </cell>
          <cell r="BU520">
            <v>8866.8156112729503</v>
          </cell>
          <cell r="BV520">
            <v>4532.4767362042439</v>
          </cell>
          <cell r="BW520">
            <v>4541.2489014345119</v>
          </cell>
          <cell r="BX520">
            <v>9073.7256376387522</v>
          </cell>
        </row>
        <row r="521">
          <cell r="B521" t="str">
            <v>Marginal tax rate</v>
          </cell>
          <cell r="C521" t="str">
            <v>MARGIN_TAX_RATE</v>
          </cell>
          <cell r="F521">
            <v>0.29245709123757907</v>
          </cell>
          <cell r="G521">
            <v>0.29381545149180005</v>
          </cell>
          <cell r="H521">
            <v>0.28573409122417859</v>
          </cell>
          <cell r="I521">
            <v>0.30113385362980416</v>
          </cell>
          <cell r="J521">
            <v>0.29910398490921952</v>
          </cell>
          <cell r="K521">
            <v>0.29421542553191488</v>
          </cell>
          <cell r="L521">
            <v>0.29710068529256722</v>
          </cell>
          <cell r="M521">
            <v>0.30194582966656891</v>
          </cell>
          <cell r="N521">
            <v>0.30130203557674673</v>
          </cell>
          <cell r="O521">
            <v>0.29007494059586914</v>
          </cell>
          <cell r="P521">
            <v>0.29567923837422189</v>
          </cell>
          <cell r="Q521">
            <v>0.29732718894009219</v>
          </cell>
          <cell r="R521">
            <v>0.29002968395320411</v>
          </cell>
          <cell r="S521">
            <v>0.29357962697274032</v>
          </cell>
          <cell r="T521">
            <v>0.29278872221218144</v>
          </cell>
          <cell r="U521">
            <v>0.30524079320113312</v>
          </cell>
          <cell r="V521">
            <v>0.29907879438332885</v>
          </cell>
          <cell r="W521">
            <v>0.30258366568406453</v>
          </cell>
          <cell r="X521">
            <v>0.30595095180929516</v>
          </cell>
          <cell r="Y521">
            <v>0.30427659941369201</v>
          </cell>
          <cell r="Z521">
            <v>0.30324377457404983</v>
          </cell>
          <cell r="AA521">
            <v>0.31255629616285352</v>
          </cell>
          <cell r="AB521">
            <v>0.30767910767910767</v>
          </cell>
          <cell r="AC521">
            <v>0.30238951152463522</v>
          </cell>
          <cell r="AD521">
            <v>0.30288178788472847</v>
          </cell>
          <cell r="AE521">
            <v>0.30264496439471006</v>
          </cell>
          <cell r="AF521">
            <v>0.48841996911991764</v>
          </cell>
          <cell r="AG521">
            <v>0.42388591800356507</v>
          </cell>
          <cell r="AH521">
            <v>0.45029486099410276</v>
          </cell>
          <cell r="AI521">
            <v>0.31811175337186898</v>
          </cell>
          <cell r="AJ521">
            <v>0.4237717908082409</v>
          </cell>
          <cell r="AK521">
            <v>0.35805871779508686</v>
          </cell>
          <cell r="AL521">
            <v>0.30349206349206348</v>
          </cell>
          <cell r="AM521">
            <v>0.35579227696404792</v>
          </cell>
          <cell r="AN521">
            <v>0.32665094339622641</v>
          </cell>
          <cell r="AO521">
            <v>0.28799999999999998</v>
          </cell>
          <cell r="AP521">
            <v>0.31709401709401708</v>
          </cell>
          <cell r="AQ521">
            <v>0.3012130033964095</v>
          </cell>
          <cell r="AR521">
            <v>0.30850403476101801</v>
          </cell>
          <cell r="AS521">
            <v>0.30830489192263938</v>
          </cell>
          <cell r="AT521">
            <v>0.30840011872959333</v>
          </cell>
          <cell r="AU521">
            <v>0.31320126491705208</v>
          </cell>
          <cell r="AV521" t="e">
            <v>#N/A</v>
          </cell>
          <cell r="AW521" t="e">
            <v>#N/A</v>
          </cell>
          <cell r="AX521">
            <v>0.30616263043906283</v>
          </cell>
          <cell r="AY521">
            <v>0.30616263043906283</v>
          </cell>
          <cell r="AZ521">
            <v>0.30616263043906283</v>
          </cell>
          <cell r="BA521">
            <v>0.30616263043906283</v>
          </cell>
          <cell r="BB521">
            <v>0.30616263043906283</v>
          </cell>
          <cell r="BC521">
            <v>0.30616263043906283</v>
          </cell>
          <cell r="BD521">
            <v>0.30616263043906283</v>
          </cell>
          <cell r="BE521">
            <v>0.30616263043906283</v>
          </cell>
          <cell r="BF521">
            <v>0.30616263043906289</v>
          </cell>
          <cell r="BG521">
            <v>0.30616263043906283</v>
          </cell>
          <cell r="BH521">
            <v>0.30616263043906283</v>
          </cell>
          <cell r="BI521">
            <v>0.30616263043906278</v>
          </cell>
          <cell r="BJ521">
            <v>0.30616263043906283</v>
          </cell>
          <cell r="BK521">
            <v>0.30616263043906283</v>
          </cell>
          <cell r="BL521">
            <v>0.30616263043906289</v>
          </cell>
          <cell r="BM521">
            <v>0.30616263043906283</v>
          </cell>
          <cell r="BN521">
            <v>0.30616263043906283</v>
          </cell>
          <cell r="BO521">
            <v>0.30616263043906278</v>
          </cell>
          <cell r="BP521">
            <v>0.30616263043906283</v>
          </cell>
          <cell r="BQ521">
            <v>0.30616263043906283</v>
          </cell>
          <cell r="BR521">
            <v>0.30616263043906278</v>
          </cell>
          <cell r="BS521">
            <v>0.30616263043906283</v>
          </cell>
          <cell r="BT521">
            <v>0.30616263043906283</v>
          </cell>
          <cell r="BU521">
            <v>0.30616263043906278</v>
          </cell>
          <cell r="BV521">
            <v>0.30616263043906283</v>
          </cell>
          <cell r="BW521">
            <v>0.30616263043906283</v>
          </cell>
          <cell r="BX521">
            <v>0.30616263043906289</v>
          </cell>
        </row>
        <row r="522">
          <cell r="B522" t="str">
            <v>Net income (consensus) (Pub)</v>
          </cell>
          <cell r="C522" t="str">
            <v>NI_CONS</v>
          </cell>
          <cell r="D522" t="str">
            <v>AUD</v>
          </cell>
        </row>
        <row r="523">
          <cell r="A523" t="str">
            <v>Balance Sheet</v>
          </cell>
        </row>
        <row r="524">
          <cell r="B524" t="str">
            <v>BVPS, book value per share</v>
          </cell>
          <cell r="C524" t="str">
            <v>BVPS</v>
          </cell>
          <cell r="D524" t="str">
            <v>AUD</v>
          </cell>
          <cell r="F524">
            <v>7.6708443126921386</v>
          </cell>
          <cell r="G524">
            <v>8.4925474584992013</v>
          </cell>
          <cell r="H524">
            <v>9.212864795714399</v>
          </cell>
          <cell r="I524">
            <v>11.717805391555817</v>
          </cell>
          <cell r="J524">
            <v>12.711986036342008</v>
          </cell>
          <cell r="K524">
            <v>13.734243424342433</v>
          </cell>
          <cell r="L524">
            <v>14.294000065590975</v>
          </cell>
          <cell r="M524">
            <v>14.936723296002805</v>
          </cell>
          <cell r="N524">
            <v>15.093854271242497</v>
          </cell>
          <cell r="O524">
            <v>15.507003128746453</v>
          </cell>
          <cell r="P524">
            <v>15.507003128746453</v>
          </cell>
          <cell r="Q524">
            <v>15.754961473711475</v>
          </cell>
          <cell r="R524">
            <v>16.592282752144559</v>
          </cell>
          <cell r="S524">
            <v>16.592282752144559</v>
          </cell>
          <cell r="T524">
            <v>17.137589928057555</v>
          </cell>
          <cell r="U524">
            <v>17.369994022713687</v>
          </cell>
          <cell r="V524">
            <v>17.369994022713687</v>
          </cell>
          <cell r="W524">
            <v>17.669049746797736</v>
          </cell>
          <cell r="X524">
            <v>18.055811033356683</v>
          </cell>
          <cell r="Y524">
            <v>18.055811033356683</v>
          </cell>
          <cell r="Z524">
            <v>18.393606228193804</v>
          </cell>
          <cell r="AA524">
            <v>18.784517812472075</v>
          </cell>
          <cell r="AB524">
            <v>18.784517812472075</v>
          </cell>
          <cell r="AC524">
            <v>18.530147623879714</v>
          </cell>
          <cell r="AD524">
            <v>18.755110564544463</v>
          </cell>
          <cell r="AE524">
            <v>18.755110564544463</v>
          </cell>
          <cell r="AF524">
            <v>18.714257315589109</v>
          </cell>
          <cell r="AG524">
            <v>18.83414595914067</v>
          </cell>
          <cell r="AH524">
            <v>18.83414595914067</v>
          </cell>
          <cell r="AI524">
            <v>19.629330208655364</v>
          </cell>
          <cell r="AJ524">
            <v>19.635599644232755</v>
          </cell>
          <cell r="AK524">
            <v>19.635599644232755</v>
          </cell>
          <cell r="AL524">
            <v>20.073246720032373</v>
          </cell>
          <cell r="AM524">
            <v>20.122659370789577</v>
          </cell>
          <cell r="AN524">
            <v>20.122659370789577</v>
          </cell>
          <cell r="AO524">
            <v>20.696040818665889</v>
          </cell>
          <cell r="AP524">
            <v>20.671817924449282</v>
          </cell>
          <cell r="AQ524">
            <v>20.671817924449282</v>
          </cell>
          <cell r="AR524">
            <v>20.882771926420546</v>
          </cell>
          <cell r="AS524">
            <v>20.838252820540973</v>
          </cell>
          <cell r="AT524">
            <v>20.838252820540973</v>
          </cell>
          <cell r="AU524">
            <v>21.045071833874889</v>
          </cell>
          <cell r="AV524" t="e">
            <v>#N/A</v>
          </cell>
          <cell r="AW524" t="e">
            <v>#N/A</v>
          </cell>
          <cell r="AX524">
            <v>21.732540811076369</v>
          </cell>
          <cell r="AY524">
            <v>21.921699905306379</v>
          </cell>
          <cell r="AZ524">
            <v>21.921699905306379</v>
          </cell>
          <cell r="BA524">
            <v>22.088649994228859</v>
          </cell>
          <cell r="BB524">
            <v>22.270945997704647</v>
          </cell>
          <cell r="BC524">
            <v>22.270945997704647</v>
          </cell>
          <cell r="BD524">
            <v>22.468558949442329</v>
          </cell>
          <cell r="BE524">
            <v>22.652962297876034</v>
          </cell>
          <cell r="BF524">
            <v>22.652962297876037</v>
          </cell>
          <cell r="BG524">
            <v>22.866000898996468</v>
          </cell>
          <cell r="BH524">
            <v>23.079568871448082</v>
          </cell>
          <cell r="BI524">
            <v>23.079568871448092</v>
          </cell>
          <cell r="BJ524">
            <v>23.421340502873946</v>
          </cell>
          <cell r="BK524">
            <v>23.762713073578542</v>
          </cell>
          <cell r="BL524">
            <v>23.762713073578556</v>
          </cell>
          <cell r="BM524">
            <v>24.097750428314992</v>
          </cell>
          <cell r="BN524">
            <v>24.40692841101983</v>
          </cell>
          <cell r="BO524">
            <v>24.406928411019841</v>
          </cell>
          <cell r="BP524">
            <v>24.706054776974316</v>
          </cell>
          <cell r="BQ524">
            <v>24.956376633654667</v>
          </cell>
          <cell r="BR524">
            <v>24.956376633654674</v>
          </cell>
          <cell r="BS524">
            <v>25.235852420064457</v>
          </cell>
          <cell r="BT524">
            <v>25.490939053382132</v>
          </cell>
          <cell r="BU524">
            <v>25.490939053382139</v>
          </cell>
          <cell r="BV524">
            <v>25.778103149083968</v>
          </cell>
          <cell r="BW524">
            <v>26.047913257119095</v>
          </cell>
          <cell r="BX524">
            <v>26.047913257119095</v>
          </cell>
        </row>
        <row r="525">
          <cell r="B525" t="str">
            <v>GS BVPS, book value per share</v>
          </cell>
          <cell r="C525" t="str">
            <v>B_PL_GSBVPS</v>
          </cell>
          <cell r="D525" t="str">
            <v>AUD</v>
          </cell>
          <cell r="F525">
            <v>7.6708443126921386</v>
          </cell>
          <cell r="G525">
            <v>8.4925474584992013</v>
          </cell>
          <cell r="H525">
            <v>9.212864795714399</v>
          </cell>
          <cell r="I525">
            <v>11.717805391555817</v>
          </cell>
          <cell r="J525">
            <v>12.711986036342008</v>
          </cell>
          <cell r="K525">
            <v>13.734243424342433</v>
          </cell>
          <cell r="L525">
            <v>14.294000065590975</v>
          </cell>
          <cell r="M525">
            <v>14.936723296002805</v>
          </cell>
          <cell r="N525">
            <v>15.093854271242497</v>
          </cell>
          <cell r="O525">
            <v>15.507003128746453</v>
          </cell>
          <cell r="P525">
            <v>15.507003128746453</v>
          </cell>
          <cell r="Q525">
            <v>15.754961473711475</v>
          </cell>
          <cell r="R525">
            <v>16.592282752144559</v>
          </cell>
          <cell r="S525">
            <v>16.592282752144559</v>
          </cell>
          <cell r="T525">
            <v>17.137589928057555</v>
          </cell>
          <cell r="U525">
            <v>17.369994022713687</v>
          </cell>
          <cell r="V525">
            <v>17.369994022713687</v>
          </cell>
          <cell r="W525">
            <v>17.669049746797736</v>
          </cell>
          <cell r="X525">
            <v>18.055811033356683</v>
          </cell>
          <cell r="Y525">
            <v>18.055811033356683</v>
          </cell>
          <cell r="Z525">
            <v>18.393606228193804</v>
          </cell>
          <cell r="AA525">
            <v>18.784517812472075</v>
          </cell>
          <cell r="AB525">
            <v>18.784517812472075</v>
          </cell>
          <cell r="AC525">
            <v>18.530147623879714</v>
          </cell>
          <cell r="AD525">
            <v>18.755110564544463</v>
          </cell>
          <cell r="AE525">
            <v>18.755110564544463</v>
          </cell>
          <cell r="AF525">
            <v>18.714257315589109</v>
          </cell>
          <cell r="AG525">
            <v>18.83414595914067</v>
          </cell>
          <cell r="AH525">
            <v>18.83414595914067</v>
          </cell>
          <cell r="AI525">
            <v>19.629330208655364</v>
          </cell>
          <cell r="AJ525">
            <v>19.635599644232755</v>
          </cell>
          <cell r="AK525">
            <v>19.635599644232755</v>
          </cell>
          <cell r="AL525">
            <v>20.073246720032373</v>
          </cell>
          <cell r="AM525">
            <v>20.122659370789577</v>
          </cell>
          <cell r="AN525">
            <v>20.122659370789577</v>
          </cell>
          <cell r="AO525">
            <v>20.696040818665889</v>
          </cell>
          <cell r="AP525">
            <v>20.671817924449282</v>
          </cell>
          <cell r="AQ525">
            <v>20.671817924449282</v>
          </cell>
          <cell r="AR525">
            <v>20.882771926420546</v>
          </cell>
          <cell r="AS525">
            <v>20.838252820540973</v>
          </cell>
          <cell r="AT525">
            <v>20.838252820540973</v>
          </cell>
          <cell r="AU525">
            <v>21.045071833874889</v>
          </cell>
          <cell r="AV525" t="e">
            <v>#N/A</v>
          </cell>
          <cell r="AW525" t="e">
            <v>#N/A</v>
          </cell>
          <cell r="AX525">
            <v>21.732540811076369</v>
          </cell>
          <cell r="AY525">
            <v>21.921699905306379</v>
          </cell>
          <cell r="AZ525">
            <v>21.921699905306379</v>
          </cell>
          <cell r="BA525">
            <v>22.088649994228859</v>
          </cell>
          <cell r="BB525">
            <v>22.270945997704647</v>
          </cell>
          <cell r="BC525">
            <v>22.270945997704647</v>
          </cell>
          <cell r="BD525">
            <v>22.468558949442329</v>
          </cell>
          <cell r="BE525">
            <v>22.652962297876034</v>
          </cell>
          <cell r="BF525">
            <v>22.652962297876037</v>
          </cell>
          <cell r="BG525">
            <v>22.866000898996468</v>
          </cell>
          <cell r="BH525">
            <v>23.079568871448082</v>
          </cell>
          <cell r="BI525">
            <v>23.079568871448092</v>
          </cell>
          <cell r="BJ525">
            <v>23.421340502873946</v>
          </cell>
          <cell r="BK525">
            <v>23.762713073578542</v>
          </cell>
          <cell r="BL525">
            <v>23.762713073578556</v>
          </cell>
          <cell r="BM525">
            <v>24.097750428314992</v>
          </cell>
          <cell r="BN525">
            <v>24.40692841101983</v>
          </cell>
          <cell r="BO525">
            <v>24.406928411019841</v>
          </cell>
          <cell r="BP525">
            <v>24.706054776974316</v>
          </cell>
          <cell r="BQ525">
            <v>24.956376633654667</v>
          </cell>
          <cell r="BR525">
            <v>24.956376633654674</v>
          </cell>
          <cell r="BS525">
            <v>25.235852420064457</v>
          </cell>
          <cell r="BT525">
            <v>25.490939053382132</v>
          </cell>
          <cell r="BU525">
            <v>25.490939053382139</v>
          </cell>
          <cell r="BV525">
            <v>25.778103149083968</v>
          </cell>
          <cell r="BW525">
            <v>26.047913257119095</v>
          </cell>
          <cell r="BX525">
            <v>26.047913257119095</v>
          </cell>
        </row>
        <row r="526">
          <cell r="B526" t="str">
            <v>Tangible BVPS</v>
          </cell>
          <cell r="C526" t="str">
            <v>TANG_BVPS</v>
          </cell>
          <cell r="D526" t="str">
            <v>AUD</v>
          </cell>
          <cell r="F526">
            <v>6.3341512955643395</v>
          </cell>
          <cell r="G526">
            <v>7.2746012402848859</v>
          </cell>
          <cell r="H526">
            <v>3.4699848085072356</v>
          </cell>
          <cell r="I526">
            <v>8.0262416755106312</v>
          </cell>
          <cell r="J526">
            <v>9.1595935940198245</v>
          </cell>
          <cell r="K526">
            <v>10.294279427942794</v>
          </cell>
          <cell r="L526">
            <v>10.875314836678474</v>
          </cell>
          <cell r="M526">
            <v>11.594409843042843</v>
          </cell>
          <cell r="N526">
            <v>11.682415990071183</v>
          </cell>
          <cell r="O526">
            <v>12.135247619326099</v>
          </cell>
          <cell r="P526">
            <v>12.135247619326099</v>
          </cell>
          <cell r="Q526">
            <v>12.409762691012691</v>
          </cell>
          <cell r="R526">
            <v>13.492440104563221</v>
          </cell>
          <cell r="S526">
            <v>13.492440104563221</v>
          </cell>
          <cell r="T526">
            <v>14.195743405275779</v>
          </cell>
          <cell r="U526">
            <v>14.399282725642559</v>
          </cell>
          <cell r="V526">
            <v>14.399282725642559</v>
          </cell>
          <cell r="W526">
            <v>14.74232946082812</v>
          </cell>
          <cell r="X526">
            <v>15.187527254790558</v>
          </cell>
          <cell r="Y526">
            <v>15.187527254790558</v>
          </cell>
          <cell r="Z526">
            <v>15.547686606078631</v>
          </cell>
          <cell r="AA526">
            <v>15.993668511463763</v>
          </cell>
          <cell r="AB526">
            <v>15.993668511463763</v>
          </cell>
          <cell r="AC526">
            <v>15.743838092933176</v>
          </cell>
          <cell r="AD526">
            <v>16.007776557564718</v>
          </cell>
          <cell r="AE526">
            <v>16.007776557564718</v>
          </cell>
          <cell r="AF526">
            <v>16.054003072532737</v>
          </cell>
          <cell r="AG526">
            <v>16.323683300752649</v>
          </cell>
          <cell r="AH526">
            <v>16.323683300752649</v>
          </cell>
          <cell r="AI526">
            <v>17.247762441713437</v>
          </cell>
          <cell r="AJ526">
            <v>17.381601262082956</v>
          </cell>
          <cell r="AK526">
            <v>17.381601262082956</v>
          </cell>
          <cell r="AL526">
            <v>17.7474246673392</v>
          </cell>
          <cell r="AM526">
            <v>17.819687098793377</v>
          </cell>
          <cell r="AN526">
            <v>17.819687098793377</v>
          </cell>
          <cell r="AO526">
            <v>18.390021289245251</v>
          </cell>
          <cell r="AP526">
            <v>18.366653320706881</v>
          </cell>
          <cell r="AQ526">
            <v>18.366653320706881</v>
          </cell>
          <cell r="AR526">
            <v>18.565981490812973</v>
          </cell>
          <cell r="AS526">
            <v>18.492994101555766</v>
          </cell>
          <cell r="AT526">
            <v>18.492994101555766</v>
          </cell>
          <cell r="AU526">
            <v>18.688848627248166</v>
          </cell>
          <cell r="AV526" t="e">
            <v>#N/A</v>
          </cell>
          <cell r="AW526" t="e">
            <v>#N/A</v>
          </cell>
          <cell r="AX526">
            <v>19.371756802152433</v>
          </cell>
          <cell r="AY526">
            <v>19.550222236634152</v>
          </cell>
          <cell r="AZ526">
            <v>19.550222236634152</v>
          </cell>
          <cell r="BA526">
            <v>19.706833661205884</v>
          </cell>
          <cell r="BB526">
            <v>19.879137539781791</v>
          </cell>
          <cell r="BC526">
            <v>19.879137539781791</v>
          </cell>
          <cell r="BD526">
            <v>20.067096398844569</v>
          </cell>
          <cell r="BE526">
            <v>20.242175151943652</v>
          </cell>
          <cell r="BF526">
            <v>20.242175151943655</v>
          </cell>
          <cell r="BG526">
            <v>20.446210114479744</v>
          </cell>
          <cell r="BH526">
            <v>20.651086879124971</v>
          </cell>
          <cell r="BI526">
            <v>20.651086879124978</v>
          </cell>
          <cell r="BJ526">
            <v>20.992858510550832</v>
          </cell>
          <cell r="BK526">
            <v>21.334231081255428</v>
          </cell>
          <cell r="BL526">
            <v>21.334231081255442</v>
          </cell>
          <cell r="BM526">
            <v>21.669268435991881</v>
          </cell>
          <cell r="BN526">
            <v>21.978446418696716</v>
          </cell>
          <cell r="BO526">
            <v>21.978446418696731</v>
          </cell>
          <cell r="BP526">
            <v>22.277572784651202</v>
          </cell>
          <cell r="BQ526">
            <v>22.527894641331553</v>
          </cell>
          <cell r="BR526">
            <v>22.52789464133156</v>
          </cell>
          <cell r="BS526">
            <v>22.807370427741343</v>
          </cell>
          <cell r="BT526">
            <v>23.062457061059021</v>
          </cell>
          <cell r="BU526">
            <v>23.062457061059025</v>
          </cell>
          <cell r="BV526">
            <v>23.349621156760854</v>
          </cell>
          <cell r="BW526">
            <v>23.619431264795981</v>
          </cell>
          <cell r="BX526">
            <v>23.619431264795981</v>
          </cell>
        </row>
        <row r="527">
          <cell r="B527" t="str">
            <v>TBVPS, last reported</v>
          </cell>
          <cell r="C527" t="str">
            <v>TBVPS_LAST</v>
          </cell>
          <cell r="D527" t="str">
            <v>AUD</v>
          </cell>
          <cell r="E527">
            <v>19.016164179565653</v>
          </cell>
        </row>
        <row r="528">
          <cell r="A528" t="str">
            <v>ANZ Balance Sheet</v>
          </cell>
        </row>
        <row r="529">
          <cell r="B529" t="str">
            <v>Average Preference Capital</v>
          </cell>
          <cell r="C529" t="str">
            <v>AVG_PREF_CAPITAL</v>
          </cell>
          <cell r="D529" t="str">
            <v>AUD</v>
          </cell>
          <cell r="F529">
            <v>0</v>
          </cell>
          <cell r="G529">
            <v>0</v>
          </cell>
          <cell r="H529">
            <v>0</v>
          </cell>
          <cell r="I529">
            <v>0</v>
          </cell>
          <cell r="J529">
            <v>0</v>
          </cell>
          <cell r="K529">
            <v>0</v>
          </cell>
          <cell r="L529">
            <v>0</v>
          </cell>
          <cell r="M529">
            <v>0</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169.5</v>
          </cell>
          <cell r="AT529">
            <v>169.5</v>
          </cell>
          <cell r="AU529">
            <v>169.5</v>
          </cell>
          <cell r="AV529" t="e">
            <v>#N/A</v>
          </cell>
          <cell r="AW529" t="e">
            <v>#N/A</v>
          </cell>
          <cell r="AX529" t="e">
            <v>#N/A</v>
          </cell>
          <cell r="AY529">
            <v>0</v>
          </cell>
          <cell r="AZ529" t="e">
            <v>#N/A</v>
          </cell>
          <cell r="BA529">
            <v>0</v>
          </cell>
          <cell r="BB529">
            <v>0</v>
          </cell>
          <cell r="BC529">
            <v>0</v>
          </cell>
          <cell r="BD529">
            <v>0</v>
          </cell>
          <cell r="BE529">
            <v>0</v>
          </cell>
          <cell r="BF529">
            <v>0</v>
          </cell>
          <cell r="BG529">
            <v>0</v>
          </cell>
          <cell r="BH529">
            <v>0</v>
          </cell>
          <cell r="BI529">
            <v>0</v>
          </cell>
          <cell r="BJ529">
            <v>0</v>
          </cell>
          <cell r="BK529">
            <v>0</v>
          </cell>
          <cell r="BL529">
            <v>0</v>
          </cell>
          <cell r="BM529">
            <v>0</v>
          </cell>
          <cell r="BN529">
            <v>0</v>
          </cell>
          <cell r="BO529">
            <v>0</v>
          </cell>
          <cell r="BP529">
            <v>0</v>
          </cell>
          <cell r="BQ529">
            <v>0</v>
          </cell>
          <cell r="BR529">
            <v>0</v>
          </cell>
          <cell r="BS529">
            <v>0</v>
          </cell>
          <cell r="BT529">
            <v>0</v>
          </cell>
          <cell r="BU529">
            <v>0</v>
          </cell>
          <cell r="BV529">
            <v>0</v>
          </cell>
          <cell r="BW529">
            <v>0</v>
          </cell>
          <cell r="BX529">
            <v>0</v>
          </cell>
        </row>
        <row r="530">
          <cell r="B530" t="str">
            <v>Average Ordinary Shareholders Equity</v>
          </cell>
          <cell r="C530" t="str">
            <v>AVG_ORD_SHOLDERS_EQUITY</v>
          </cell>
          <cell r="D530" t="str">
            <v>AUD</v>
          </cell>
          <cell r="F530">
            <v>13369</v>
          </cell>
          <cell r="G530">
            <v>14708</v>
          </cell>
          <cell r="H530">
            <v>23364</v>
          </cell>
          <cell r="I530">
            <v>33488</v>
          </cell>
          <cell r="J530">
            <v>36434</v>
          </cell>
          <cell r="K530">
            <v>39378</v>
          </cell>
          <cell r="L530">
            <v>42605</v>
          </cell>
          <cell r="M530">
            <v>44350</v>
          </cell>
          <cell r="N530">
            <v>45907</v>
          </cell>
          <cell r="O530">
            <v>47044</v>
          </cell>
          <cell r="P530">
            <v>46477</v>
          </cell>
          <cell r="Q530">
            <v>47920</v>
          </cell>
          <cell r="R530">
            <v>50794</v>
          </cell>
          <cell r="S530">
            <v>49361</v>
          </cell>
          <cell r="T530">
            <v>55180</v>
          </cell>
          <cell r="U530">
            <v>56612</v>
          </cell>
          <cell r="V530">
            <v>55896</v>
          </cell>
          <cell r="W530">
            <v>57744</v>
          </cell>
          <cell r="X530">
            <v>59364</v>
          </cell>
          <cell r="Y530">
            <v>58556</v>
          </cell>
          <cell r="Z530">
            <v>61051</v>
          </cell>
          <cell r="AA530">
            <v>62978</v>
          </cell>
          <cell r="AB530">
            <v>62017</v>
          </cell>
          <cell r="AC530">
            <v>63348</v>
          </cell>
          <cell r="AD530">
            <v>64078</v>
          </cell>
          <cell r="AE530">
            <v>63714</v>
          </cell>
          <cell r="AF530">
            <v>67625</v>
          </cell>
          <cell r="AG530">
            <v>68403</v>
          </cell>
          <cell r="AH530">
            <v>68014</v>
          </cell>
          <cell r="AI530">
            <v>69583</v>
          </cell>
          <cell r="AJ530">
            <v>72108</v>
          </cell>
          <cell r="AK530">
            <v>70849</v>
          </cell>
          <cell r="AL530">
            <v>71073</v>
          </cell>
          <cell r="AM530">
            <v>69467</v>
          </cell>
          <cell r="AN530">
            <v>70268</v>
          </cell>
          <cell r="AO530">
            <v>70947</v>
          </cell>
          <cell r="AP530">
            <v>71509</v>
          </cell>
          <cell r="AQ530">
            <v>71229</v>
          </cell>
          <cell r="AR530">
            <v>71841</v>
          </cell>
          <cell r="AS530">
            <v>71145</v>
          </cell>
          <cell r="AT530">
            <v>71493</v>
          </cell>
          <cell r="AU530">
            <v>70859</v>
          </cell>
          <cell r="AV530" t="e">
            <v>#N/A</v>
          </cell>
          <cell r="AW530" t="e">
            <v>#N/A</v>
          </cell>
          <cell r="AX530">
            <v>73529.281662883193</v>
          </cell>
          <cell r="AY530">
            <v>74193.42353010441</v>
          </cell>
          <cell r="AZ530">
            <v>73860.442813114045</v>
          </cell>
          <cell r="BA530">
            <v>74467.774384887191</v>
          </cell>
          <cell r="BB530">
            <v>74738.990536187615</v>
          </cell>
          <cell r="BC530">
            <v>74603.010931563025</v>
          </cell>
          <cell r="BD530">
            <v>75070.074492438624</v>
          </cell>
          <cell r="BE530">
            <v>75412.533235514609</v>
          </cell>
          <cell r="BF530">
            <v>75241.303863976616</v>
          </cell>
          <cell r="BG530">
            <v>75788.052559868447</v>
          </cell>
          <cell r="BH530">
            <v>76219.155194091931</v>
          </cell>
          <cell r="BI530">
            <v>76003.013325426466</v>
          </cell>
          <cell r="BJ530">
            <v>77002.765318266465</v>
          </cell>
          <cell r="BK530">
            <v>78134.011854796219</v>
          </cell>
          <cell r="BL530">
            <v>77566.838933741587</v>
          </cell>
          <cell r="BM530">
            <v>79254.106826023708</v>
          </cell>
          <cell r="BN530">
            <v>80320.889456963225</v>
          </cell>
          <cell r="BO530">
            <v>79786.036795423701</v>
          </cell>
          <cell r="BP530">
            <v>81328.20560695148</v>
          </cell>
          <cell r="BQ530">
            <v>82238.059481023272</v>
          </cell>
          <cell r="BR530">
            <v>81783.132543987376</v>
          </cell>
          <cell r="BS530">
            <v>83115.373153507462</v>
          </cell>
          <cell r="BT530">
            <v>84000.577015283299</v>
          </cell>
          <cell r="BU530">
            <v>83556.762476365548</v>
          </cell>
          <cell r="BV530">
            <v>84898.512264123943</v>
          </cell>
          <cell r="BW530">
            <v>85820.828719345125</v>
          </cell>
          <cell r="BX530">
            <v>85358.407044535605</v>
          </cell>
        </row>
        <row r="531">
          <cell r="B531" t="str">
            <v>Shareholders' equity attributable to members of the chief entity</v>
          </cell>
          <cell r="C531" t="str">
            <v>SHOLDERS_EQUITY_MBRS</v>
          </cell>
          <cell r="D531" t="str">
            <v>AUD</v>
          </cell>
          <cell r="F531">
            <v>14186</v>
          </cell>
          <cell r="G531">
            <v>15919</v>
          </cell>
          <cell r="H531">
            <v>17547</v>
          </cell>
          <cell r="I531">
            <v>34637</v>
          </cell>
          <cell r="J531">
            <v>38189</v>
          </cell>
          <cell r="K531">
            <v>41826</v>
          </cell>
          <cell r="L531">
            <v>44249</v>
          </cell>
          <cell r="M531">
            <v>46674</v>
          </cell>
          <cell r="N531">
            <v>47165</v>
          </cell>
          <cell r="O531">
            <v>48456</v>
          </cell>
          <cell r="P531">
            <v>48456</v>
          </cell>
          <cell r="Q531">
            <v>49405</v>
          </cell>
          <cell r="R531">
            <v>53098</v>
          </cell>
          <cell r="S531">
            <v>53098</v>
          </cell>
          <cell r="T531">
            <v>57171</v>
          </cell>
          <cell r="U531">
            <v>58120</v>
          </cell>
          <cell r="V531">
            <v>58120</v>
          </cell>
          <cell r="W531">
            <v>59315</v>
          </cell>
          <cell r="X531">
            <v>61288</v>
          </cell>
          <cell r="Y531">
            <v>61288</v>
          </cell>
          <cell r="Z531">
            <v>62615</v>
          </cell>
          <cell r="AA531">
            <v>64521</v>
          </cell>
          <cell r="AB531">
            <v>64521</v>
          </cell>
          <cell r="AC531">
            <v>63884</v>
          </cell>
          <cell r="AD531">
            <v>65454</v>
          </cell>
          <cell r="AE531">
            <v>65454</v>
          </cell>
          <cell r="AF531">
            <v>67590</v>
          </cell>
          <cell r="AG531">
            <v>68023</v>
          </cell>
          <cell r="AH531">
            <v>68023</v>
          </cell>
          <cell r="AI531">
            <v>72012</v>
          </cell>
          <cell r="AJ531">
            <v>72035</v>
          </cell>
          <cell r="AK531">
            <v>72035</v>
          </cell>
          <cell r="AL531">
            <v>70279</v>
          </cell>
          <cell r="AM531">
            <v>70452</v>
          </cell>
          <cell r="AN531">
            <v>70452</v>
          </cell>
          <cell r="AO531">
            <v>72624</v>
          </cell>
          <cell r="AP531">
            <v>72539</v>
          </cell>
          <cell r="AQ531">
            <v>72539</v>
          </cell>
          <cell r="AR531">
            <v>72560</v>
          </cell>
          <cell r="AS531">
            <v>71713</v>
          </cell>
          <cell r="AT531">
            <v>71713</v>
          </cell>
          <cell r="AU531">
            <v>72052</v>
          </cell>
          <cell r="AV531" t="e">
            <v>#N/A</v>
          </cell>
          <cell r="AW531" t="e">
            <v>#N/A</v>
          </cell>
          <cell r="AX531">
            <v>74114.652339469219</v>
          </cell>
          <cell r="AY531">
            <v>74422.630357905931</v>
          </cell>
          <cell r="AZ531">
            <v>74422.630357905931</v>
          </cell>
          <cell r="BA531">
            <v>74663.910326716621</v>
          </cell>
          <cell r="BB531">
            <v>74965.612582219343</v>
          </cell>
          <cell r="BC531">
            <v>74965.612582219343</v>
          </cell>
          <cell r="BD531">
            <v>75326.749549741129</v>
          </cell>
          <cell r="BE531">
            <v>75651.224442572784</v>
          </cell>
          <cell r="BF531">
            <v>75651.224442572799</v>
          </cell>
          <cell r="BG531">
            <v>76078.549606753455</v>
          </cell>
          <cell r="BH531">
            <v>76514.303820831352</v>
          </cell>
          <cell r="BI531">
            <v>76514.303820831381</v>
          </cell>
          <cell r="BJ531">
            <v>77647.358714097165</v>
          </cell>
          <cell r="BK531">
            <v>78779.090625402619</v>
          </cell>
          <cell r="BL531">
            <v>78779.090625402663</v>
          </cell>
          <cell r="BM531">
            <v>79889.819776992008</v>
          </cell>
          <cell r="BN531">
            <v>80914.818910864706</v>
          </cell>
          <cell r="BO531">
            <v>80914.818910864749</v>
          </cell>
          <cell r="BP531">
            <v>81906.49452547192</v>
          </cell>
          <cell r="BQ531">
            <v>82736.371491619648</v>
          </cell>
          <cell r="BR531">
            <v>82736.371491619677</v>
          </cell>
          <cell r="BS531">
            <v>83662.900724077655</v>
          </cell>
          <cell r="BT531">
            <v>84508.574067068359</v>
          </cell>
          <cell r="BU531">
            <v>84508.574067068374</v>
          </cell>
          <cell r="BV531">
            <v>85460.591887996823</v>
          </cell>
          <cell r="BW531">
            <v>86355.077079428214</v>
          </cell>
          <cell r="BX531">
            <v>86355.077079428214</v>
          </cell>
        </row>
        <row r="532">
          <cell r="B532" t="str">
            <v>Adjusted Net Tangible Assets (NZ)</v>
          </cell>
          <cell r="C532" t="str">
            <v>NET_TANGIBLE_ASSETS_ADJUSTED_NZ</v>
          </cell>
          <cell r="D532" t="str">
            <v>AUD</v>
          </cell>
          <cell r="F532">
            <v>11234</v>
          </cell>
          <cell r="G532">
            <v>12930</v>
          </cell>
          <cell r="H532">
            <v>5953</v>
          </cell>
          <cell r="I532">
            <v>23096</v>
          </cell>
          <cell r="J532">
            <v>26685</v>
          </cell>
          <cell r="K532">
            <v>30047</v>
          </cell>
          <cell r="L532">
            <v>32115</v>
          </cell>
          <cell r="M532">
            <v>34333</v>
          </cell>
          <cell r="N532">
            <v>34482</v>
          </cell>
          <cell r="O532">
            <v>35850</v>
          </cell>
          <cell r="P532">
            <v>35850</v>
          </cell>
          <cell r="Q532">
            <v>36813</v>
          </cell>
          <cell r="R532">
            <v>41524</v>
          </cell>
          <cell r="S532">
            <v>41524</v>
          </cell>
          <cell r="T532">
            <v>45706</v>
          </cell>
          <cell r="U532">
            <v>46399</v>
          </cell>
          <cell r="V532">
            <v>46399</v>
          </cell>
          <cell r="W532">
            <v>47676</v>
          </cell>
          <cell r="X532">
            <v>49636</v>
          </cell>
          <cell r="Y532">
            <v>49636</v>
          </cell>
          <cell r="Z532">
            <v>50922</v>
          </cell>
          <cell r="AA532">
            <v>52758</v>
          </cell>
          <cell r="AB532">
            <v>52758</v>
          </cell>
          <cell r="AC532">
            <v>52034</v>
          </cell>
          <cell r="AD532">
            <v>53501</v>
          </cell>
          <cell r="AE532">
            <v>53501</v>
          </cell>
          <cell r="AF532">
            <v>55647</v>
          </cell>
          <cell r="AG532">
            <v>56526</v>
          </cell>
          <cell r="AH532">
            <v>56526</v>
          </cell>
          <cell r="AI532">
            <v>61015</v>
          </cell>
          <cell r="AJ532">
            <v>61926</v>
          </cell>
          <cell r="AK532">
            <v>61926</v>
          </cell>
          <cell r="AL532">
            <v>60215</v>
          </cell>
          <cell r="AM532">
            <v>60125</v>
          </cell>
          <cell r="AN532">
            <v>60125</v>
          </cell>
          <cell r="AO532">
            <v>61900</v>
          </cell>
          <cell r="AP532">
            <v>61653</v>
          </cell>
          <cell r="AQ532">
            <v>61653</v>
          </cell>
          <cell r="AR532">
            <v>61852</v>
          </cell>
          <cell r="AS532">
            <v>60967</v>
          </cell>
          <cell r="AT532">
            <v>60967</v>
          </cell>
          <cell r="AU532">
            <v>61453</v>
          </cell>
          <cell r="AV532" t="e">
            <v>#N/A</v>
          </cell>
          <cell r="AW532" t="e">
            <v>#N/A</v>
          </cell>
          <cell r="AX532">
            <v>63840.358172802553</v>
          </cell>
          <cell r="AY532">
            <v>64233.275794017041</v>
          </cell>
          <cell r="AZ532">
            <v>64233.275794017041</v>
          </cell>
          <cell r="BA532">
            <v>64649.6075664944</v>
          </cell>
          <cell r="BB532">
            <v>65002.924914830452</v>
          </cell>
          <cell r="BC532">
            <v>65002.924914830452</v>
          </cell>
          <cell r="BD532">
            <v>65493.685908782798</v>
          </cell>
          <cell r="BE532">
            <v>65811.289796715151</v>
          </cell>
          <cell r="BF532">
            <v>65811.289796715166</v>
          </cell>
          <cell r="BG532">
            <v>66327.101795231065</v>
          </cell>
          <cell r="BH532">
            <v>66722.009439596499</v>
          </cell>
          <cell r="BI532">
            <v>66722.009439596528</v>
          </cell>
          <cell r="BJ532">
            <v>67920.878696227985</v>
          </cell>
          <cell r="BK532">
            <v>68991.543333729889</v>
          </cell>
          <cell r="BL532">
            <v>68991.543333729933</v>
          </cell>
          <cell r="BM532">
            <v>69980.356685999883</v>
          </cell>
          <cell r="BN532">
            <v>70916.617074258043</v>
          </cell>
          <cell r="BO532">
            <v>70916.617074258087</v>
          </cell>
          <cell r="BP532">
            <v>71818.31518125294</v>
          </cell>
          <cell r="BQ532">
            <v>72575.939101400334</v>
          </cell>
          <cell r="BR532">
            <v>72575.939101400363</v>
          </cell>
          <cell r="BS532">
            <v>73427.207437740799</v>
          </cell>
          <cell r="BT532">
            <v>74215.075983120012</v>
          </cell>
          <cell r="BU532">
            <v>74215.075983120027</v>
          </cell>
          <cell r="BV532">
            <v>75102.020268834211</v>
          </cell>
          <cell r="BW532">
            <v>75948.186350742675</v>
          </cell>
          <cell r="BX532">
            <v>75948.186350742675</v>
          </cell>
        </row>
        <row r="533">
          <cell r="A533" t="str">
            <v>Additional Balance Sheet Items</v>
          </cell>
        </row>
        <row r="534">
          <cell r="B534" t="str">
            <v>Cost of equity</v>
          </cell>
          <cell r="C534" t="str">
            <v>COE</v>
          </cell>
          <cell r="D534" t="str">
            <v>AUD</v>
          </cell>
          <cell r="E534">
            <v>8.8999999999999996E-2</v>
          </cell>
        </row>
        <row r="535">
          <cell r="B535" t="str">
            <v>GS equity</v>
          </cell>
          <cell r="C535" t="str">
            <v>B_BS_L_GSEQUITY</v>
          </cell>
          <cell r="D535" t="str">
            <v>AUD</v>
          </cell>
          <cell r="F535">
            <v>14186</v>
          </cell>
          <cell r="G535">
            <v>15919</v>
          </cell>
          <cell r="H535">
            <v>17547</v>
          </cell>
          <cell r="I535">
            <v>34637</v>
          </cell>
          <cell r="J535">
            <v>38189</v>
          </cell>
          <cell r="K535">
            <v>41826</v>
          </cell>
          <cell r="L535">
            <v>44249</v>
          </cell>
          <cell r="M535">
            <v>46674</v>
          </cell>
          <cell r="N535">
            <v>47165</v>
          </cell>
          <cell r="O535">
            <v>48456</v>
          </cell>
          <cell r="P535">
            <v>48456</v>
          </cell>
          <cell r="Q535">
            <v>49405</v>
          </cell>
          <cell r="R535">
            <v>53098</v>
          </cell>
          <cell r="S535">
            <v>53098</v>
          </cell>
          <cell r="T535">
            <v>57171</v>
          </cell>
          <cell r="U535">
            <v>58120</v>
          </cell>
          <cell r="V535">
            <v>58120</v>
          </cell>
          <cell r="W535">
            <v>59315</v>
          </cell>
          <cell r="X535">
            <v>61288</v>
          </cell>
          <cell r="Y535">
            <v>61288</v>
          </cell>
          <cell r="Z535">
            <v>62615</v>
          </cell>
          <cell r="AA535">
            <v>64521</v>
          </cell>
          <cell r="AB535">
            <v>64521</v>
          </cell>
          <cell r="AC535">
            <v>63884</v>
          </cell>
          <cell r="AD535">
            <v>65454</v>
          </cell>
          <cell r="AE535">
            <v>65454</v>
          </cell>
          <cell r="AF535">
            <v>67590</v>
          </cell>
          <cell r="AG535">
            <v>68023</v>
          </cell>
          <cell r="AH535">
            <v>68023</v>
          </cell>
          <cell r="AI535">
            <v>72012</v>
          </cell>
          <cell r="AJ535">
            <v>72035</v>
          </cell>
          <cell r="AK535">
            <v>72035</v>
          </cell>
          <cell r="AL535">
            <v>70279</v>
          </cell>
          <cell r="AM535">
            <v>70452</v>
          </cell>
          <cell r="AN535">
            <v>70452</v>
          </cell>
          <cell r="AO535">
            <v>72624</v>
          </cell>
          <cell r="AP535">
            <v>72539</v>
          </cell>
          <cell r="AQ535">
            <v>72539</v>
          </cell>
          <cell r="AR535">
            <v>72560</v>
          </cell>
          <cell r="AS535">
            <v>71713</v>
          </cell>
          <cell r="AT535">
            <v>71713</v>
          </cell>
          <cell r="AU535">
            <v>72052</v>
          </cell>
          <cell r="AV535" t="e">
            <v>#N/A</v>
          </cell>
          <cell r="AW535" t="e">
            <v>#N/A</v>
          </cell>
          <cell r="AX535">
            <v>74114.652339469219</v>
          </cell>
          <cell r="AY535">
            <v>74422.630357905931</v>
          </cell>
          <cell r="AZ535">
            <v>74422.630357905931</v>
          </cell>
          <cell r="BA535">
            <v>74663.910326716621</v>
          </cell>
          <cell r="BB535">
            <v>74965.612582219343</v>
          </cell>
          <cell r="BC535">
            <v>74965.612582219343</v>
          </cell>
          <cell r="BD535">
            <v>75326.749549741129</v>
          </cell>
          <cell r="BE535">
            <v>75651.224442572784</v>
          </cell>
          <cell r="BF535">
            <v>75651.224442572799</v>
          </cell>
          <cell r="BG535">
            <v>76078.549606753455</v>
          </cell>
          <cell r="BH535">
            <v>76514.303820831352</v>
          </cell>
          <cell r="BI535">
            <v>76514.303820831381</v>
          </cell>
          <cell r="BJ535">
            <v>77647.358714097165</v>
          </cell>
          <cell r="BK535">
            <v>78779.090625402619</v>
          </cell>
          <cell r="BL535">
            <v>78779.090625402663</v>
          </cell>
          <cell r="BM535">
            <v>79889.819776992008</v>
          </cell>
          <cell r="BN535">
            <v>80914.818910864706</v>
          </cell>
          <cell r="BO535">
            <v>80914.818910864749</v>
          </cell>
          <cell r="BP535">
            <v>81906.49452547192</v>
          </cell>
          <cell r="BQ535">
            <v>82736.371491619648</v>
          </cell>
          <cell r="BR535">
            <v>82736.371491619677</v>
          </cell>
          <cell r="BS535">
            <v>83662.900724077655</v>
          </cell>
          <cell r="BT535">
            <v>84508.574067068359</v>
          </cell>
          <cell r="BU535">
            <v>84508.574067068374</v>
          </cell>
          <cell r="BV535">
            <v>85460.591887996823</v>
          </cell>
          <cell r="BW535">
            <v>86355.077079428214</v>
          </cell>
          <cell r="BX535">
            <v>86355.077079428214</v>
          </cell>
        </row>
        <row r="536">
          <cell r="A536" t="str">
            <v>Additional Cash Flow Items</v>
          </cell>
        </row>
        <row r="537">
          <cell r="B537" t="str">
            <v>DCF</v>
          </cell>
          <cell r="C537" t="str">
            <v>DCF_CASH_FLOW</v>
          </cell>
          <cell r="D537" t="str">
            <v>AUD</v>
          </cell>
          <cell r="E537">
            <v>36.126162090412578</v>
          </cell>
        </row>
        <row r="538">
          <cell r="A538" t="str">
            <v>Other Items</v>
          </cell>
        </row>
        <row r="539">
          <cell r="B539" t="str">
            <v>Beta</v>
          </cell>
          <cell r="C539" t="str">
            <v>BETA_ANALYST</v>
          </cell>
          <cell r="E539">
            <v>0.9</v>
          </cell>
        </row>
        <row r="540">
          <cell r="B540" t="str">
            <v>Market equity risk premium</v>
          </cell>
          <cell r="C540" t="str">
            <v>MKT_EQ_RISK_PREM</v>
          </cell>
          <cell r="E540">
            <v>0.06</v>
          </cell>
        </row>
        <row r="541">
          <cell r="B541" t="str">
            <v>Risk-free rate</v>
          </cell>
          <cell r="C541" t="str">
            <v>RISK_FR_RATE</v>
          </cell>
          <cell r="E541">
            <v>3.5000000000000003E-2</v>
          </cell>
        </row>
        <row r="542">
          <cell r="A542" t="str">
            <v>ANZ Other Items</v>
          </cell>
        </row>
        <row r="543">
          <cell r="B543" t="str">
            <v>In the Money Options</v>
          </cell>
          <cell r="C543" t="str">
            <v>OPTIONS_IN_MONEY</v>
          </cell>
          <cell r="D543" t="str">
            <v>AUD</v>
          </cell>
        </row>
        <row r="544">
          <cell r="B544" t="str">
            <v>Cash Earnings - Coy Basis</v>
          </cell>
          <cell r="C544" t="str">
            <v>CASH_EARNINGS_COMPANY</v>
          </cell>
          <cell r="D544" t="str">
            <v>AUD</v>
          </cell>
          <cell r="F544">
            <v>3079</v>
          </cell>
          <cell r="G544">
            <v>3507</v>
          </cell>
          <cell r="H544">
            <v>5078</v>
          </cell>
          <cell r="I544">
            <v>4675</v>
          </cell>
          <cell r="J544">
            <v>5879</v>
          </cell>
          <cell r="K544">
            <v>6301</v>
          </cell>
          <cell r="L544">
            <v>6598</v>
          </cell>
          <cell r="M544">
            <v>7063</v>
          </cell>
          <cell r="N544">
            <v>3772</v>
          </cell>
          <cell r="O544">
            <v>3856</v>
          </cell>
          <cell r="P544">
            <v>7628</v>
          </cell>
          <cell r="Q544">
            <v>3778</v>
          </cell>
          <cell r="R544">
            <v>4042</v>
          </cell>
          <cell r="S544">
            <v>7820</v>
          </cell>
          <cell r="T544">
            <v>3904</v>
          </cell>
          <cell r="U544">
            <v>3918</v>
          </cell>
          <cell r="V544">
            <v>7822</v>
          </cell>
          <cell r="W544">
            <v>4017</v>
          </cell>
          <cell r="X544">
            <v>4045</v>
          </cell>
          <cell r="Y544">
            <v>8062</v>
          </cell>
          <cell r="Z544">
            <v>4251</v>
          </cell>
          <cell r="AA544">
            <v>3814</v>
          </cell>
          <cell r="AB544">
            <v>8065</v>
          </cell>
          <cell r="AC544">
            <v>3296</v>
          </cell>
          <cell r="AD544">
            <v>3553</v>
          </cell>
          <cell r="AE544">
            <v>6849</v>
          </cell>
          <cell r="AF544">
            <v>993</v>
          </cell>
          <cell r="AG544">
            <v>1615</v>
          </cell>
          <cell r="AH544">
            <v>2608</v>
          </cell>
          <cell r="AI544">
            <v>3537</v>
          </cell>
          <cell r="AJ544">
            <v>1815</v>
          </cell>
          <cell r="AK544">
            <v>5352</v>
          </cell>
          <cell r="AL544">
            <v>3280</v>
          </cell>
          <cell r="AM544">
            <v>2414</v>
          </cell>
          <cell r="AN544">
            <v>5694</v>
          </cell>
          <cell r="AO544">
            <v>4001</v>
          </cell>
          <cell r="AP544">
            <v>3194</v>
          </cell>
          <cell r="AQ544">
            <v>7195</v>
          </cell>
          <cell r="AR544">
            <v>3342</v>
          </cell>
          <cell r="AS544">
            <v>3648</v>
          </cell>
          <cell r="AT544">
            <v>6990</v>
          </cell>
          <cell r="AU544">
            <v>3456.6794984000007</v>
          </cell>
          <cell r="AV544" t="e">
            <v>#N/A</v>
          </cell>
          <cell r="AW544" t="e">
            <v>#N/A</v>
          </cell>
          <cell r="AX544">
            <v>3649.4263184143051</v>
          </cell>
          <cell r="AY544">
            <v>3738.4753296593349</v>
          </cell>
          <cell r="AZ544">
            <v>7387.90164807364</v>
          </cell>
          <cell r="BA544">
            <v>3732.1385785349948</v>
          </cell>
          <cell r="BB544">
            <v>3712.9052365649763</v>
          </cell>
          <cell r="BC544">
            <v>7445.0438150999707</v>
          </cell>
          <cell r="BD544">
            <v>3824.0192801162757</v>
          </cell>
          <cell r="BE544">
            <v>3837.4357450744628</v>
          </cell>
          <cell r="BF544">
            <v>7661.4550251907385</v>
          </cell>
          <cell r="BG544">
            <v>4021.8681376357499</v>
          </cell>
          <cell r="BH544">
            <v>4110.2801952278423</v>
          </cell>
          <cell r="BI544">
            <v>8132.1483328635923</v>
          </cell>
          <cell r="BJ544">
            <v>4250.8485265825293</v>
          </cell>
          <cell r="BK544">
            <v>4343.8732523650879</v>
          </cell>
          <cell r="BL544">
            <v>8594.7217789476163</v>
          </cell>
          <cell r="BM544">
            <v>4372.8150651410942</v>
          </cell>
          <cell r="BN544">
            <v>4340.2388702391636</v>
          </cell>
          <cell r="BO544">
            <v>8713.0539353802578</v>
          </cell>
          <cell r="BP544">
            <v>4406.3725430646737</v>
          </cell>
          <cell r="BQ544">
            <v>4344.0310866961836</v>
          </cell>
          <cell r="BR544">
            <v>8750.4036297608582</v>
          </cell>
          <cell r="BS544">
            <v>4440.6833530064587</v>
          </cell>
          <cell r="BT544">
            <v>4426.1322582664907</v>
          </cell>
          <cell r="BU544">
            <v>8866.8156112729484</v>
          </cell>
          <cell r="BV544">
            <v>4532.4767362042439</v>
          </cell>
          <cell r="BW544">
            <v>4541.2489014345119</v>
          </cell>
          <cell r="BX544">
            <v>9073.7256376387559</v>
          </cell>
        </row>
        <row r="545">
          <cell r="B545" t="str">
            <v>Present Value Of Benefits From Tax Losses</v>
          </cell>
          <cell r="C545" t="str">
            <v>BENEFITS_TAX_LOSSES</v>
          </cell>
          <cell r="D545" t="str">
            <v>AUD</v>
          </cell>
        </row>
        <row r="546">
          <cell r="B546" t="str">
            <v>Tax Rate</v>
          </cell>
          <cell r="C546" t="str">
            <v>TAX_RATE_DCF</v>
          </cell>
        </row>
        <row r="547">
          <cell r="B547" t="str">
            <v>WACC</v>
          </cell>
          <cell r="C547" t="str">
            <v>WACC_DCF</v>
          </cell>
        </row>
        <row r="548">
          <cell r="B548" t="str">
            <v>Standard Free Operating Cash Flow</v>
          </cell>
          <cell r="C548" t="str">
            <v>STD_FREE_OP_CASH_FLOW_DCF</v>
          </cell>
          <cell r="D548" t="str">
            <v>AUD</v>
          </cell>
        </row>
        <row r="549">
          <cell r="B549" t="str">
            <v>Net Operating Profit After Tax (NOPAT)</v>
          </cell>
          <cell r="C549" t="str">
            <v>NOPAT</v>
          </cell>
          <cell r="D549" t="str">
            <v>AUD</v>
          </cell>
        </row>
        <row r="550">
          <cell r="B550" t="str">
            <v>Return on Capital Employed (ROCE)</v>
          </cell>
          <cell r="C550" t="str">
            <v>ROCE_ANZ</v>
          </cell>
        </row>
        <row r="551">
          <cell r="A551" t="str">
            <v>Operating Metrics</v>
          </cell>
        </row>
        <row r="552">
          <cell r="B552" t="str">
            <v>GS CAMELOT implied P/B</v>
          </cell>
          <cell r="C552" t="str">
            <v>B_CAMELOT_PB</v>
          </cell>
        </row>
        <row r="553">
          <cell r="B553" t="str">
            <v>GS CAMELOT implied P/E</v>
          </cell>
          <cell r="C553" t="str">
            <v>B_CAMELOT_PE</v>
          </cell>
        </row>
        <row r="554">
          <cell r="B554" t="str">
            <v>CAMELOT beta</v>
          </cell>
          <cell r="C554" t="str">
            <v>B_CAMELOT_BETA</v>
          </cell>
        </row>
        <row r="555">
          <cell r="B555" t="str">
            <v>3-yr adjusted DPS CAGR for CAMELOT</v>
          </cell>
          <cell r="C555" t="str">
            <v>B_CAMELOT_CAGR_DPS</v>
          </cell>
        </row>
        <row r="556">
          <cell r="B556" t="str">
            <v>RIM valuation year</v>
          </cell>
          <cell r="C556" t="str">
            <v>VALUATION_YEAR</v>
          </cell>
        </row>
        <row r="557">
          <cell r="B557" t="str">
            <v>RIM forecast years</v>
          </cell>
          <cell r="C557" t="str">
            <v>B_FORECASTRANGE</v>
          </cell>
        </row>
        <row r="558">
          <cell r="B558" t="str">
            <v>RIM forecast period (years)</v>
          </cell>
          <cell r="C558" t="str">
            <v>B_FORECASTYRS</v>
          </cell>
        </row>
        <row r="559">
          <cell r="B559" t="str">
            <v>RIM assets (CAGR) - projected (%)</v>
          </cell>
          <cell r="C559" t="str">
            <v>GRTH_CAGR_TOT_ASSET_PROJECTED</v>
          </cell>
        </row>
        <row r="560">
          <cell r="B560" t="str">
            <v>RIM assets terminal year growth (%)</v>
          </cell>
          <cell r="C560" t="str">
            <v>GRTH_CAGR_TOT_ASSET_TERMINAL</v>
          </cell>
        </row>
        <row r="561">
          <cell r="B561" t="str">
            <v>RIM ROA (average) - projected (%)</v>
          </cell>
          <cell r="C561" t="str">
            <v>ROAA_PROJECTED</v>
          </cell>
        </row>
        <row r="562">
          <cell r="B562" t="str">
            <v>RIM ROE - terminal (%)</v>
          </cell>
          <cell r="C562" t="str">
            <v>ROE_TERMINAL</v>
          </cell>
        </row>
        <row r="563">
          <cell r="B563" t="str">
            <v>RIM implied P/B (X)</v>
          </cell>
          <cell r="C563" t="str">
            <v>B_RIM_PB</v>
          </cell>
        </row>
        <row r="564">
          <cell r="B564" t="str">
            <v>RIM implied P/E (X)</v>
          </cell>
          <cell r="C564" t="str">
            <v>B_RIM_PE</v>
          </cell>
        </row>
        <row r="565">
          <cell r="B565" t="str">
            <v>RIM beta (X)</v>
          </cell>
          <cell r="C565" t="str">
            <v>B_RIM_BETA</v>
          </cell>
        </row>
        <row r="566">
          <cell r="B566" t="str">
            <v>RIM cost of equity (%)</v>
          </cell>
          <cell r="C566" t="str">
            <v>B_RIM_COE</v>
          </cell>
        </row>
      </sheetData>
      <sheetData sheetId="3"/>
      <sheetData sheetId="4"/>
      <sheetData sheetId="5"/>
      <sheetData sheetId="6"/>
      <sheetData sheetId="7">
        <row r="4">
          <cell r="G4">
            <v>2.5000000000000001E-2</v>
          </cell>
        </row>
      </sheetData>
      <sheetData sheetId="8">
        <row r="1">
          <cell r="A1"/>
        </row>
        <row r="12">
          <cell r="A12"/>
          <cell r="B12" t="str">
            <v>External links</v>
          </cell>
          <cell r="C12"/>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cell r="BF12"/>
          <cell r="BG12"/>
          <cell r="BH12"/>
          <cell r="BI12"/>
          <cell r="BJ12"/>
          <cell r="BK12"/>
          <cell r="BL12"/>
          <cell r="BM12"/>
          <cell r="BN12"/>
          <cell r="BO12"/>
          <cell r="BP12"/>
          <cell r="BQ12"/>
          <cell r="BR12"/>
          <cell r="BS12"/>
          <cell r="BT12"/>
          <cell r="BU12"/>
          <cell r="BV12"/>
          <cell r="BW12"/>
          <cell r="BX12"/>
          <cell r="BY12"/>
          <cell r="BZ12"/>
          <cell r="CA12"/>
          <cell r="CB12"/>
          <cell r="CC12"/>
          <cell r="CD12"/>
          <cell r="CE12"/>
          <cell r="CF12"/>
          <cell r="CG12"/>
          <cell r="CH12"/>
          <cell r="CI12"/>
          <cell r="CJ12"/>
          <cell r="CK12"/>
          <cell r="CL12"/>
          <cell r="CM12"/>
          <cell r="CN12"/>
          <cell r="CO12"/>
          <cell r="CP12"/>
          <cell r="CQ12"/>
          <cell r="CR12"/>
          <cell r="CS12"/>
          <cell r="CT12"/>
          <cell r="CU12"/>
          <cell r="CV12"/>
          <cell r="CW12"/>
          <cell r="CX12"/>
          <cell r="CY12"/>
          <cell r="CZ12"/>
          <cell r="DA12"/>
          <cell r="DB12"/>
          <cell r="DC12"/>
          <cell r="DD12"/>
          <cell r="DE12"/>
          <cell r="DF12"/>
          <cell r="DG12"/>
          <cell r="DH12"/>
          <cell r="DI12"/>
        </row>
        <row r="13">
          <cell r="AX13"/>
          <cell r="AY13"/>
          <cell r="CZ13"/>
          <cell r="DA13"/>
          <cell r="DB13"/>
          <cell r="DC13"/>
          <cell r="DD13"/>
          <cell r="DE13"/>
          <cell r="DF13"/>
          <cell r="DG13"/>
          <cell r="DH13"/>
          <cell r="DI13"/>
        </row>
        <row r="21">
          <cell r="C21"/>
          <cell r="D21"/>
          <cell r="E21"/>
          <cell r="F21"/>
          <cell r="G21"/>
          <cell r="H21"/>
          <cell r="I21"/>
          <cell r="J21"/>
          <cell r="K21"/>
          <cell r="L21"/>
          <cell r="M21"/>
          <cell r="N21"/>
          <cell r="O21"/>
          <cell r="P21"/>
          <cell r="Q21"/>
          <cell r="R21"/>
          <cell r="S21"/>
          <cell r="T21"/>
          <cell r="U21"/>
          <cell r="V21"/>
          <cell r="W21"/>
          <cell r="X21"/>
          <cell r="Y21"/>
          <cell r="Z21"/>
          <cell r="AA21"/>
          <cell r="AB21"/>
          <cell r="AC21"/>
          <cell r="AD21"/>
          <cell r="AE21"/>
          <cell r="AF21"/>
          <cell r="AG21"/>
          <cell r="AH21"/>
          <cell r="AI21"/>
          <cell r="AJ21"/>
          <cell r="AK21"/>
          <cell r="AL21"/>
          <cell r="AM21"/>
          <cell r="AN21"/>
          <cell r="AO21"/>
          <cell r="AP21"/>
          <cell r="AQ21"/>
          <cell r="AR21"/>
          <cell r="AS21"/>
          <cell r="AT21"/>
          <cell r="AU21"/>
          <cell r="AV21"/>
          <cell r="AW21"/>
          <cell r="AX21"/>
          <cell r="AY21"/>
          <cell r="AZ21"/>
          <cell r="BA21"/>
          <cell r="BB21"/>
          <cell r="BC21"/>
          <cell r="BD21"/>
          <cell r="BE21"/>
          <cell r="BF21"/>
          <cell r="BG21"/>
          <cell r="BH21"/>
          <cell r="BI21"/>
          <cell r="BJ21"/>
          <cell r="BK21"/>
          <cell r="BL21"/>
          <cell r="BM21"/>
          <cell r="BN21"/>
          <cell r="BO21"/>
          <cell r="BP21"/>
          <cell r="BQ21"/>
          <cell r="BR21"/>
          <cell r="BS21"/>
          <cell r="BT21"/>
          <cell r="BU21"/>
          <cell r="BV21"/>
          <cell r="BW21"/>
          <cell r="BX21"/>
          <cell r="BY21"/>
          <cell r="BZ21"/>
          <cell r="CA21"/>
          <cell r="CB21"/>
          <cell r="CC21"/>
          <cell r="CD21"/>
          <cell r="CE21"/>
          <cell r="CF21"/>
          <cell r="CG21"/>
          <cell r="CH21"/>
          <cell r="CI21"/>
          <cell r="CJ21"/>
          <cell r="CK21"/>
          <cell r="CL21"/>
          <cell r="CM21"/>
          <cell r="CN21"/>
          <cell r="CO21"/>
          <cell r="CP21"/>
          <cell r="CQ21"/>
          <cell r="CR21"/>
          <cell r="CS21"/>
          <cell r="CT21"/>
          <cell r="CU21"/>
          <cell r="CV21"/>
          <cell r="CW21"/>
          <cell r="CX21"/>
          <cell r="CY21"/>
          <cell r="CZ21"/>
          <cell r="DA21"/>
          <cell r="DB21"/>
          <cell r="DC21"/>
          <cell r="DD21"/>
          <cell r="DE21"/>
          <cell r="DF21"/>
          <cell r="DG21"/>
          <cell r="DH21"/>
          <cell r="DI21"/>
        </row>
        <row r="30">
          <cell r="A30" t="str">
            <v>ASS_6MoSystemAUBCg</v>
          </cell>
          <cell r="B30" t="str">
            <v>Australian business</v>
          </cell>
          <cell r="C30">
            <v>-1.9953836110809808E-3</v>
          </cell>
          <cell r="D30">
            <v>6.7140274894712526E-3</v>
          </cell>
          <cell r="E30">
            <v>4.0535797021906905E-2</v>
          </cell>
          <cell r="F30">
            <v>3.5949960590877739E-2</v>
          </cell>
          <cell r="G30">
            <v>2.8767367457778192E-2</v>
          </cell>
          <cell r="H30">
            <v>3.1024920385670063E-2</v>
          </cell>
          <cell r="I30">
            <v>5.2961025854940003E-2</v>
          </cell>
          <cell r="J30">
            <v>5.281616002320777E-2</v>
          </cell>
          <cell r="K30">
            <v>7.426237028960081E-2</v>
          </cell>
          <cell r="L30">
            <v>8.4845782177273468E-2</v>
          </cell>
          <cell r="M30">
            <v>7.1148590885285135E-2</v>
          </cell>
          <cell r="N30">
            <v>9.0754448520679709E-2</v>
          </cell>
          <cell r="O30">
            <v>0.1202860593108641</v>
          </cell>
          <cell r="P30">
            <v>8.5652311995112473E-2</v>
          </cell>
          <cell r="Q30">
            <v>4.8409625922491983E-2</v>
          </cell>
          <cell r="R30">
            <v>2.4801145362154386E-3</v>
          </cell>
          <cell r="S30">
            <v>-4.1874125636091171E-2</v>
          </cell>
          <cell r="T30">
            <v>-2.0672425664003735E-2</v>
          </cell>
          <cell r="U30">
            <v>-1.4714798103480975E-2</v>
          </cell>
          <cell r="V30">
            <v>6.7767088856764968E-3</v>
          </cell>
          <cell r="W30">
            <v>-8.1065558244750591E-3</v>
          </cell>
          <cell r="X30">
            <v>1.7990182824393131E-2</v>
          </cell>
          <cell r="Y30">
            <v>2.2053381165738628E-2</v>
          </cell>
          <cell r="Z30">
            <v>-1.6386881373193773E-3</v>
          </cell>
          <cell r="AA30">
            <v>1.1939848237508599E-2</v>
          </cell>
          <cell r="AB30">
            <v>1.3799322375408041E-2</v>
          </cell>
          <cell r="AC30">
            <v>2.3655947239604957E-2</v>
          </cell>
          <cell r="AD30">
            <v>3.0052028041030132E-2</v>
          </cell>
          <cell r="AE30">
            <v>3.2644438521385322E-2</v>
          </cell>
          <cell r="AF30">
            <v>3.1774212390348167E-2</v>
          </cell>
          <cell r="AG30">
            <v>1.6773039191783967E-2</v>
          </cell>
          <cell r="AH30">
            <v>1.6661910620576981E-2</v>
          </cell>
          <cell r="AI30">
            <v>2.4470632511027546E-2</v>
          </cell>
          <cell r="AJ30">
            <v>1.3997283195786858E-2</v>
          </cell>
          <cell r="AK30">
            <v>2.9409272788042617E-2</v>
          </cell>
          <cell r="AL30">
            <v>1.8580875334470504E-2</v>
          </cell>
          <cell r="AM30">
            <v>1.1437194545714346E-2</v>
          </cell>
          <cell r="AN30">
            <v>3.6983798684277813E-2</v>
          </cell>
          <cell r="AO30">
            <v>-2.5959449976589055E-2</v>
          </cell>
          <cell r="AP30">
            <v>2.2066631007979787E-3</v>
          </cell>
          <cell r="AQ30">
            <v>3.936401097199238E-2</v>
          </cell>
          <cell r="AR30">
            <v>5.0660115814350926E-2</v>
          </cell>
          <cell r="AS30">
            <v>7.8589486272511833E-2</v>
          </cell>
          <cell r="AT30">
            <v>2.4103332025345869E-2</v>
          </cell>
          <cell r="AU30">
            <v>4.1031614690598017E-2</v>
          </cell>
          <cell r="AV30">
            <v>3.4595163240388249E-2</v>
          </cell>
          <cell r="AW30">
            <v>4.0039724947499078E-2</v>
          </cell>
          <cell r="AX30">
            <v>4.3529976029799355E-2</v>
          </cell>
          <cell r="AY30">
            <v>4.9216167171916902E-2</v>
          </cell>
          <cell r="AZ30">
            <v>4.5499999999999874E-2</v>
          </cell>
          <cell r="BA30">
            <v>3.5299999999999887E-2</v>
          </cell>
          <cell r="BB30">
            <v>3.0224999999999724E-2</v>
          </cell>
          <cell r="BC30">
            <v>2.5150000000000006E-2</v>
          </cell>
          <cell r="BD30">
            <v>2.0100000000000007E-2</v>
          </cell>
          <cell r="BE30">
            <v>2.0100000000000007E-2</v>
          </cell>
          <cell r="BF30">
            <v>2.0100000000000007E-2</v>
          </cell>
          <cell r="BG30">
            <v>2.0100000000000007E-2</v>
          </cell>
          <cell r="BH30">
            <v>2.0100000000000007E-2</v>
          </cell>
          <cell r="BI30">
            <v>2.0100000000000007E-2</v>
          </cell>
          <cell r="BJ30">
            <v>2.0100000000000007E-2</v>
          </cell>
          <cell r="BK30">
            <v>2.0100000000000007E-2</v>
          </cell>
          <cell r="BL30">
            <v>2.0100000000000007E-2</v>
          </cell>
          <cell r="BM30">
            <v>2.0100000000000007E-2</v>
          </cell>
          <cell r="BN30">
            <v>2.0100000000000007E-2</v>
          </cell>
          <cell r="BO30">
            <v>2.0100000000000007E-2</v>
          </cell>
          <cell r="BP30">
            <v>2.0100000000000007E-2</v>
          </cell>
          <cell r="BQ30">
            <v>2.0100000000000007E-2</v>
          </cell>
          <cell r="BR30"/>
          <cell r="BS30">
            <v>-2.6546006989940363E-2</v>
          </cell>
          <cell r="BT30">
            <v>-1.1797081643931451E-2</v>
          </cell>
          <cell r="BU30">
            <v>1.5309910799835347E-2</v>
          </cell>
          <cell r="BV30">
            <v>4.9770130192512863E-2</v>
          </cell>
          <cell r="BW30">
            <v>4.7019044163133517E-2</v>
          </cell>
          <cell r="BX30">
            <v>6.4402550232113054E-2</v>
          </cell>
          <cell r="BY30">
            <v>4.4243049764414843E-2</v>
          </cell>
          <cell r="BZ30">
            <v>2.921589632901167E-2</v>
          </cell>
          <cell r="CA30">
            <v>4.8172963421773352E-2</v>
          </cell>
          <cell r="CB30">
            <v>-1.9953836110809808E-3</v>
          </cell>
          <cell r="CC30">
            <v>4.7521982966890919E-2</v>
          </cell>
          <cell r="CD30">
            <v>6.5751513775066384E-2</v>
          </cell>
          <cell r="CE30">
            <v>8.5629057851303036E-2</v>
          </cell>
          <cell r="CF30">
            <v>0.13100078354572675</v>
          </cell>
          <cell r="CG30">
            <v>0.16203103090703141</v>
          </cell>
          <cell r="CH30">
            <v>0.22195700280902697</v>
          </cell>
          <cell r="CI30">
            <v>0.13820833430068435</v>
          </cell>
          <cell r="CJ30">
            <v>-3.9497863727557148E-2</v>
          </cell>
          <cell r="CK30">
            <v>-3.5083033197529701E-2</v>
          </cell>
          <cell r="CL30">
            <v>-1.3847827076864938E-3</v>
          </cell>
          <cell r="CM30">
            <v>4.0440308349199316E-2</v>
          </cell>
          <cell r="CN30">
            <v>1.0281594412520967E-2</v>
          </cell>
          <cell r="CO30">
            <v>3.7781705657067954E-2</v>
          </cell>
          <cell r="CP30">
            <v>6.3677498144243838E-2</v>
          </cell>
          <cell r="CQ30">
            <v>4.9080201691843461E-2</v>
          </cell>
          <cell r="CR30">
            <v>4.154027062333232E-2</v>
          </cell>
          <cell r="CS30">
            <v>4.381820590362584E-2</v>
          </cell>
          <cell r="CT30">
            <v>3.0230582966214836E-2</v>
          </cell>
          <cell r="CU30">
            <v>1.0064269635799983E-2</v>
          </cell>
          <cell r="CV30">
            <v>4.1657537183301674E-2</v>
          </cell>
          <cell r="CW30">
            <v>0.13323095456321865</v>
          </cell>
          <cell r="CX30">
            <v>6.6123945348367519E-2</v>
          </cell>
          <cell r="CY30">
            <v>7.6020069008546409E-2</v>
          </cell>
          <cell r="CZ30">
            <v>9.4888521778988322E-2</v>
          </cell>
          <cell r="DA30">
            <v>8.2406149999999734E-2</v>
          </cell>
          <cell r="DB30">
            <v>5.6135158749999636E-2</v>
          </cell>
          <cell r="DC30">
            <v>4.0604010000000024E-2</v>
          </cell>
          <cell r="DD30">
            <v>4.0604010000000024E-2</v>
          </cell>
          <cell r="DE30">
            <v>4.0604010000000024E-2</v>
          </cell>
          <cell r="DF30">
            <v>4.0604010000000024E-2</v>
          </cell>
          <cell r="DG30">
            <v>4.0604010000000024E-2</v>
          </cell>
          <cell r="DH30">
            <v>4.0604010000000024E-2</v>
          </cell>
          <cell r="DI30">
            <v>4.0604010000000024E-2</v>
          </cell>
        </row>
        <row r="46">
          <cell r="A46" t="str">
            <v>ASS_6MoBankNZHCgvsSystem</v>
          </cell>
          <cell r="B46" t="str">
            <v>New Zealand housing</v>
          </cell>
          <cell r="C46" t="e">
            <v>#VALUE!</v>
          </cell>
          <cell r="D46">
            <v>-1.172576200090103E-2</v>
          </cell>
          <cell r="E46">
            <v>-7.4512863593858558E-3</v>
          </cell>
          <cell r="F46">
            <v>-1.2056882186250562E-2</v>
          </cell>
          <cell r="G46">
            <v>-9.5696198181969283E-3</v>
          </cell>
          <cell r="H46">
            <v>7.1830117103073438E-3</v>
          </cell>
          <cell r="I46">
            <v>7.1013340662198221E-3</v>
          </cell>
          <cell r="J46">
            <v>-1.3719771016498461E-2</v>
          </cell>
          <cell r="K46">
            <v>9.835005628238136E-4</v>
          </cell>
          <cell r="L46">
            <v>-1.3427799859005107E-2</v>
          </cell>
          <cell r="M46">
            <v>8.8463269934417887E-3</v>
          </cell>
          <cell r="N46">
            <v>3.9032076025085072E-2</v>
          </cell>
          <cell r="O46">
            <v>4.7904697790557282E-3</v>
          </cell>
          <cell r="P46">
            <v>1.7455691028798181E-3</v>
          </cell>
          <cell r="Q46">
            <v>6.5600127225564631E-3</v>
          </cell>
          <cell r="R46">
            <v>9.7672485173925239E-3</v>
          </cell>
          <cell r="S46">
            <v>-3.164399962236164E-3</v>
          </cell>
          <cell r="T46">
            <v>1.7589584517203605E-2</v>
          </cell>
          <cell r="U46">
            <v>1.2543729862236841E-2</v>
          </cell>
          <cell r="V46">
            <v>1.3437671171339094E-3</v>
          </cell>
          <cell r="W46">
            <v>1.1629627858258607E-2</v>
          </cell>
          <cell r="X46">
            <v>6.2930512039056641E-3</v>
          </cell>
          <cell r="Y46">
            <v>-4.0071721981858044E-3</v>
          </cell>
          <cell r="Z46">
            <v>-1.212326086898341E-2</v>
          </cell>
          <cell r="AA46">
            <v>-5.5036130728702837E-4</v>
          </cell>
          <cell r="AB46">
            <v>2.2581760946478457E-3</v>
          </cell>
          <cell r="AC46">
            <v>6.5464800753092245E-3</v>
          </cell>
          <cell r="AD46">
            <v>-7.9337026799164434E-4</v>
          </cell>
          <cell r="AE46">
            <v>-4.6391329379917856E-3</v>
          </cell>
          <cell r="AF46">
            <v>-7.1628703102823987E-3</v>
          </cell>
          <cell r="AG46">
            <v>-9.6024919251764818E-3</v>
          </cell>
          <cell r="AH46">
            <v>-1.1191891868292725E-2</v>
          </cell>
          <cell r="AI46">
            <v>-1.3762883012030658E-2</v>
          </cell>
          <cell r="AJ46">
            <v>-8.2345222987834088E-3</v>
          </cell>
          <cell r="AK46">
            <v>-9.3899076144527971E-3</v>
          </cell>
          <cell r="AL46">
            <v>-1.7303573361446167E-2</v>
          </cell>
          <cell r="AM46">
            <v>4.7954395234759417E-3</v>
          </cell>
          <cell r="AN46">
            <v>1.4485877382686141E-3</v>
          </cell>
          <cell r="AO46">
            <v>2.570228701622046E-3</v>
          </cell>
          <cell r="AP46">
            <v>-9.0018902081872021E-3</v>
          </cell>
          <cell r="AQ46">
            <v>-4.4261576782380629E-3</v>
          </cell>
          <cell r="AR46">
            <v>-1.5367461989970632E-2</v>
          </cell>
          <cell r="AS46">
            <v>7.1977888908334453E-3</v>
          </cell>
          <cell r="AT46">
            <v>6.150998815943387E-3</v>
          </cell>
          <cell r="AU46">
            <v>-6.9554761344035043E-3</v>
          </cell>
          <cell r="AV46">
            <v>8.5727572161893306E-3</v>
          </cell>
          <cell r="AW46">
            <v>-7.278657764230978E-3</v>
          </cell>
          <cell r="AX46">
            <v>-2.7587056612681238E-3</v>
          </cell>
          <cell r="AY46">
            <v>-2.7563888944692749E-3</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cell r="BS46" t="e">
            <v>#DIV/0!</v>
          </cell>
          <cell r="BT46" t="e">
            <v>#DIV/0!</v>
          </cell>
          <cell r="BU46" t="e">
            <v>#DIV/0!</v>
          </cell>
          <cell r="BV46">
            <v>-4.6801123621925345E-2</v>
          </cell>
          <cell r="BW46">
            <v>1.7394858369045241</v>
          </cell>
          <cell r="BX46">
            <v>5.1416115444212318E-2</v>
          </cell>
          <cell r="BY46">
            <v>-1.5805447685147023E-2</v>
          </cell>
          <cell r="BZ46">
            <v>-4.3236363672098266E-2</v>
          </cell>
          <cell r="CA46">
            <v>-1.2791860589943527E-2</v>
          </cell>
          <cell r="CB46">
            <v>1.8961699872554805E-2</v>
          </cell>
          <cell r="CC46">
            <v>-1.9906853856635598E-2</v>
          </cell>
          <cell r="CD46">
            <v>-2.3043388377286922E-2</v>
          </cell>
          <cell r="CE46">
            <v>1.5483054272382502E-2</v>
          </cell>
          <cell r="CF46">
            <v>-1.3722196308195045E-2</v>
          </cell>
          <cell r="CG46">
            <v>-4.9330595046859216E-3</v>
          </cell>
          <cell r="CH46">
            <v>4.6679806317327932E-2</v>
          </cell>
          <cell r="CI46">
            <v>8.6739632553396451E-3</v>
          </cell>
          <cell r="CJ46">
            <v>6.7045004439674205E-3</v>
          </cell>
          <cell r="CK46">
            <v>3.0715905262682863E-2</v>
          </cell>
          <cell r="CL46">
            <v>1.3062860193967296E-2</v>
          </cell>
          <cell r="CM46">
            <v>2.3327838306705928E-3</v>
          </cell>
          <cell r="CN46">
            <v>-1.3038805851263824E-2</v>
          </cell>
          <cell r="CO46">
            <v>9.0371138341749369E-3</v>
          </cell>
          <cell r="CP46">
            <v>-5.5898279477799573E-3</v>
          </cell>
          <cell r="CQ46">
            <v>-1.741307475956333E-2</v>
          </cell>
          <cell r="CR46">
            <v>-2.5619201226648514E-2</v>
          </cell>
          <cell r="CS46">
            <v>-1.8063646171955661E-2</v>
          </cell>
          <cell r="CT46">
            <v>-1.3026336985078713E-2</v>
          </cell>
          <cell r="CU46">
            <v>4.1597432933113687E-3</v>
          </cell>
          <cell r="CV46">
            <v>-1.4107803799202623E-2</v>
          </cell>
          <cell r="CW46">
            <v>-8.3145031886073806E-3</v>
          </cell>
          <cell r="CX46">
            <v>-8.6352086081786794E-4</v>
          </cell>
          <cell r="CY46">
            <v>1.2579257607456817E-3</v>
          </cell>
          <cell r="CZ46">
            <v>-5.6544531219926419E-3</v>
          </cell>
          <cell r="DA46">
            <v>-2.2204460492503131E-16</v>
          </cell>
          <cell r="DB46">
            <v>0</v>
          </cell>
          <cell r="DC46">
            <v>2.2204460492503131E-16</v>
          </cell>
          <cell r="DD46">
            <v>2.2204460492503131E-16</v>
          </cell>
          <cell r="DE46">
            <v>-2.2204460492503131E-16</v>
          </cell>
          <cell r="DF46">
            <v>-2.2204460492503131E-16</v>
          </cell>
          <cell r="DG46">
            <v>0</v>
          </cell>
          <cell r="DH46">
            <v>-2.2204460492503131E-16</v>
          </cell>
          <cell r="DI46">
            <v>0</v>
          </cell>
        </row>
        <row r="48">
          <cell r="A48" t="str">
            <v>ASS_6MoBankOOHCgvsSystem</v>
          </cell>
          <cell r="B48" t="str">
            <v>Other offshore housing</v>
          </cell>
          <cell r="C48" t="e">
            <v>#VALUE!</v>
          </cell>
          <cell r="D48">
            <v>0.11643447015066499</v>
          </cell>
          <cell r="E48">
            <v>0.24339600281629248</v>
          </cell>
          <cell r="F48">
            <v>0.21229110415414576</v>
          </cell>
          <cell r="G48">
            <v>0.2273622775537385</v>
          </cell>
          <cell r="H48">
            <v>0.20401288645226923</v>
          </cell>
          <cell r="I48">
            <v>0.10490988580423677</v>
          </cell>
          <cell r="J48">
            <v>0.43770354085318752</v>
          </cell>
          <cell r="K48">
            <v>5.1779931449717598E-2</v>
          </cell>
          <cell r="L48">
            <v>-0.16663807106294737</v>
          </cell>
          <cell r="M48">
            <v>7.7802221809660566E-2</v>
          </cell>
          <cell r="N48">
            <v>0.12220975404983303</v>
          </cell>
          <cell r="O48">
            <v>0.15096380912171581</v>
          </cell>
          <cell r="P48">
            <v>0.15074479967373544</v>
          </cell>
          <cell r="Q48">
            <v>7.4998235687214088E-2</v>
          </cell>
          <cell r="R48">
            <v>-1.8897241112430074E-2</v>
          </cell>
          <cell r="S48">
            <v>0.13436231030939161</v>
          </cell>
          <cell r="T48">
            <v>3.8193662632517E-2</v>
          </cell>
          <cell r="U48">
            <v>4.7406692846456266E-2</v>
          </cell>
          <cell r="V48">
            <v>4.3749354952364428E-2</v>
          </cell>
          <cell r="W48">
            <v>1.8845368579410993E-2</v>
          </cell>
          <cell r="X48">
            <v>3.5953382288961278E-2</v>
          </cell>
          <cell r="Y48">
            <v>-1.521318378687031E-2</v>
          </cell>
          <cell r="Z48">
            <v>-5.5470375599866006E-2</v>
          </cell>
          <cell r="AA48">
            <v>-0.13229906553859128</v>
          </cell>
          <cell r="AB48">
            <v>-5.6250955163705929E-2</v>
          </cell>
          <cell r="AC48">
            <v>-7.2333627644137755E-3</v>
          </cell>
          <cell r="AD48">
            <v>-4.02639201885715E-2</v>
          </cell>
          <cell r="AE48">
            <v>-1</v>
          </cell>
          <cell r="AF48" t="e">
            <v>#DIV/0!</v>
          </cell>
          <cell r="AG48" t="e">
            <v>#DIV/0!</v>
          </cell>
          <cell r="AH48" t="e">
            <v>#DIV/0!</v>
          </cell>
          <cell r="AI48" t="e">
            <v>#DIV/0!</v>
          </cell>
          <cell r="AJ48" t="e">
            <v>#DIV/0!</v>
          </cell>
          <cell r="AK48" t="e">
            <v>#DIV/0!</v>
          </cell>
          <cell r="AL48" t="e">
            <v>#DIV/0!</v>
          </cell>
          <cell r="AM48" t="e">
            <v>#DIV/0!</v>
          </cell>
          <cell r="AN48" t="e">
            <v>#DIV/0!</v>
          </cell>
          <cell r="AO48" t="e">
            <v>#DIV/0!</v>
          </cell>
          <cell r="AP48" t="e">
            <v>#DIV/0!</v>
          </cell>
          <cell r="AQ48">
            <v>30.904722006104496</v>
          </cell>
          <cell r="AR48">
            <v>-3.1844170655941917E-2</v>
          </cell>
          <cell r="AS48">
            <v>-9.7144075021312837E-2</v>
          </cell>
          <cell r="AT48">
            <v>6.5418835920700857E-2</v>
          </cell>
          <cell r="AU48">
            <v>-4.9097017721253855E-2</v>
          </cell>
          <cell r="AV48">
            <v>-4.3113298071770112E-2</v>
          </cell>
          <cell r="AW48">
            <v>7.3493992972739619E-5</v>
          </cell>
          <cell r="AX48">
            <v>-5.9703725871614544E-2</v>
          </cell>
          <cell r="AY48">
            <v>4.6161934882786644E-2</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cell r="BS48" t="e">
            <v>#DIV/0!</v>
          </cell>
          <cell r="BT48" t="e">
            <v>#DIV/0!</v>
          </cell>
          <cell r="BU48" t="e">
            <v>#DIV/0!</v>
          </cell>
          <cell r="BV48" t="e">
            <v>#DIV/0!</v>
          </cell>
          <cell r="BW48" t="e">
            <v>#DIV/0!</v>
          </cell>
          <cell r="BX48">
            <v>-0.10870233792158501</v>
          </cell>
          <cell r="BY48">
            <v>-0.11217293673647766</v>
          </cell>
          <cell r="BZ48">
            <v>-0.35784719022825939</v>
          </cell>
          <cell r="CA48">
            <v>0.34308839309208006</v>
          </cell>
          <cell r="CB48">
            <v>-5.9328287731104323E-2</v>
          </cell>
          <cell r="CC48">
            <v>0.38817015759166251</v>
          </cell>
          <cell r="CD48">
            <v>0.48792037065276883</v>
          </cell>
          <cell r="CE48">
            <v>0.33032574087680633</v>
          </cell>
          <cell r="CF48">
            <v>0.51214773164358207</v>
          </cell>
          <cell r="CG48">
            <v>-0.10180066142006028</v>
          </cell>
          <cell r="CH48">
            <v>0.29162281315473981</v>
          </cell>
          <cell r="CI48">
            <v>0.23704862937550231</v>
          </cell>
          <cell r="CJ48">
            <v>0.11292599222262178</v>
          </cell>
          <cell r="CK48">
            <v>8.7410990712074366E-2</v>
          </cell>
          <cell r="CL48">
            <v>6.341919625096426E-2</v>
          </cell>
          <cell r="CM48">
            <v>2.0193233089569329E-2</v>
          </cell>
          <cell r="CN48">
            <v>-0.18043076228152033</v>
          </cell>
          <cell r="CO48">
            <v>-6.3077434363575824E-2</v>
          </cell>
          <cell r="CP48">
            <v>-1</v>
          </cell>
          <cell r="CQ48" t="e">
            <v>#DIV/0!</v>
          </cell>
          <cell r="CR48" t="e">
            <v>#DIV/0!</v>
          </cell>
          <cell r="CS48" t="e">
            <v>#DIV/0!</v>
          </cell>
          <cell r="CT48" t="e">
            <v>#DIV/0!</v>
          </cell>
          <cell r="CU48" t="e">
            <v>#DIV/0!</v>
          </cell>
          <cell r="CV48" t="e">
            <v>#DIV/0!</v>
          </cell>
          <cell r="CW48">
            <v>-0.12589477317406239</v>
          </cell>
          <cell r="CX48">
            <v>1.3109948452944664E-2</v>
          </cell>
          <cell r="CY48">
            <v>-4.3042972647222899E-2</v>
          </cell>
          <cell r="CZ48">
            <v>-1.6894867753489251E-2</v>
          </cell>
          <cell r="DA48">
            <v>2.2204460492503131E-16</v>
          </cell>
          <cell r="DB48">
            <v>2.2204460492503131E-16</v>
          </cell>
          <cell r="DC48">
            <v>0</v>
          </cell>
          <cell r="DD48">
            <v>2.2204460492503131E-16</v>
          </cell>
          <cell r="DE48">
            <v>0</v>
          </cell>
          <cell r="DF48">
            <v>-2.2204460492503131E-16</v>
          </cell>
          <cell r="DG48">
            <v>0</v>
          </cell>
          <cell r="DH48">
            <v>2.2204460492503131E-16</v>
          </cell>
          <cell r="DI48">
            <v>-2.2204460492503131E-16</v>
          </cell>
        </row>
        <row r="71">
          <cell r="A71" t="str">
            <v>ASS_NIMAUTotalLoans</v>
          </cell>
          <cell r="B71" t="str">
            <v>Australian loans</v>
          </cell>
          <cell r="C71">
            <v>2.4891674048134187E-2</v>
          </cell>
          <cell r="D71">
            <v>2.1552004876520585E-2</v>
          </cell>
          <cell r="E71">
            <v>1.0996461993295778E-2</v>
          </cell>
          <cell r="F71">
            <v>1.8371393239152163E-2</v>
          </cell>
          <cell r="G71">
            <v>1.7567810397074009E-2</v>
          </cell>
          <cell r="H71">
            <v>1.3132506379290781E-2</v>
          </cell>
          <cell r="I71">
            <v>1.4153979604504742E-2</v>
          </cell>
          <cell r="J71">
            <v>1.3808005938756064E-2</v>
          </cell>
          <cell r="K71">
            <v>1.8841398566502784E-2</v>
          </cell>
          <cell r="L71">
            <v>1.6891451767840855E-2</v>
          </cell>
          <cell r="M71">
            <v>1.3188002502621386E-2</v>
          </cell>
          <cell r="N71">
            <v>1.1920079481105988E-2</v>
          </cell>
          <cell r="O71">
            <v>1.0657034748484742E-2</v>
          </cell>
          <cell r="P71">
            <v>8.0046711321567626E-3</v>
          </cell>
          <cell r="Q71">
            <v>1.1568609946235722E-2</v>
          </cell>
          <cell r="R71">
            <v>2.2496802477267631E-2</v>
          </cell>
          <cell r="S71">
            <v>2.6441034971065959E-2</v>
          </cell>
          <cell r="T71">
            <v>2.2830198488234692E-2</v>
          </cell>
          <cell r="U71">
            <v>2.2571738014316486E-2</v>
          </cell>
          <cell r="V71">
            <v>2.4153270572638524E-2</v>
          </cell>
          <cell r="W71">
            <v>2.4995864984795502E-2</v>
          </cell>
          <cell r="X71">
            <v>2.5952862898960309E-2</v>
          </cell>
          <cell r="Y71">
            <v>2.9334927924871752E-2</v>
          </cell>
          <cell r="Z71">
            <v>3.0253289940233515E-2</v>
          </cell>
          <cell r="AA71">
            <v>3.0009284386776702E-2</v>
          </cell>
          <cell r="AB71">
            <v>2.8056316331847519E-2</v>
          </cell>
          <cell r="AC71">
            <v>2.6847709355246878E-2</v>
          </cell>
          <cell r="AD71">
            <v>2.6225495972394899E-2</v>
          </cell>
          <cell r="AE71">
            <v>2.684346234963976E-2</v>
          </cell>
          <cell r="AF71">
            <v>2.5489739180016239E-2</v>
          </cell>
          <cell r="AG71">
            <v>2.692451382646386E-2</v>
          </cell>
          <cell r="AH71">
            <v>2.6620898488677835E-2</v>
          </cell>
          <cell r="AI71">
            <v>2.7279689715444869E-2</v>
          </cell>
          <cell r="AJ71">
            <v>2.8146503897157261E-2</v>
          </cell>
          <cell r="AK71">
            <v>2.5583673958077108E-2</v>
          </cell>
          <cell r="AL71">
            <v>2.548643935040253E-2</v>
          </cell>
          <cell r="AM71">
            <v>3.0136875569514415E-2</v>
          </cell>
          <cell r="AN71">
            <v>3.0432472397482473E-2</v>
          </cell>
          <cell r="AO71">
            <v>3.2660919397435241E-2</v>
          </cell>
          <cell r="AP71">
            <v>3.1755864473792451E-2</v>
          </cell>
          <cell r="AQ71">
            <v>2.8726362870935461E-2</v>
          </cell>
          <cell r="AR71"/>
          <cell r="AS71"/>
          <cell r="AT71"/>
          <cell r="AU71"/>
          <cell r="AV71"/>
          <cell r="AW71"/>
          <cell r="AX71"/>
          <cell r="AY71"/>
          <cell r="AZ71"/>
          <cell r="BA71"/>
          <cell r="BB71"/>
          <cell r="BC71"/>
          <cell r="BD71"/>
          <cell r="BE71"/>
          <cell r="BF71"/>
          <cell r="BG71"/>
          <cell r="BH71"/>
          <cell r="BI71"/>
          <cell r="BJ71"/>
          <cell r="BK71"/>
          <cell r="BL71"/>
          <cell r="BM71"/>
          <cell r="BN71"/>
          <cell r="BO71"/>
          <cell r="BP71"/>
          <cell r="BQ71"/>
          <cell r="BR71"/>
          <cell r="BS71">
            <v>3.250202004892018E-2</v>
          </cell>
          <cell r="BT71">
            <v>3.6173838965859552E-2</v>
          </cell>
          <cell r="BU71">
            <v>3.5306470351791117E-2</v>
          </cell>
          <cell r="BV71">
            <v>2.2342299854220579E-2</v>
          </cell>
          <cell r="BW71">
            <v>2.6373158337686442E-2</v>
          </cell>
          <cell r="BX71">
            <v>3.1636994556585529E-2</v>
          </cell>
          <cell r="BY71">
            <v>3.4718637058149433E-2</v>
          </cell>
          <cell r="BZ71">
            <v>2.4790291550302886E-2</v>
          </cell>
          <cell r="CA71">
            <v>1.911507792631998E-2</v>
          </cell>
          <cell r="CB71">
            <v>2.4519161620413822E-2</v>
          </cell>
          <cell r="CC71">
            <v>1.6113012295337938E-2</v>
          </cell>
          <cell r="CD71">
            <v>1.7953827351827607E-2</v>
          </cell>
          <cell r="CE71">
            <v>1.3658535774922308E-2</v>
          </cell>
          <cell r="CF71">
            <v>1.6366657791235029E-2</v>
          </cell>
          <cell r="CG71">
            <v>1.4965702166834119E-2</v>
          </cell>
          <cell r="CH71">
            <v>1.1264635361819101E-2</v>
          </cell>
          <cell r="CI71">
            <v>9.8419727180602129E-3</v>
          </cell>
          <cell r="CJ71">
            <v>2.4515586663769715E-2</v>
          </cell>
          <cell r="CK71">
            <v>2.2699651544398961E-2</v>
          </cell>
          <cell r="CL71">
            <v>2.4578625723396592E-2</v>
          </cell>
          <cell r="CM71">
            <v>2.7654101136547826E-2</v>
          </cell>
          <cell r="CN71">
            <v>3.0130462033768176E-2</v>
          </cell>
          <cell r="CO71">
            <v>2.7438986909707121E-2</v>
          </cell>
          <cell r="CP71">
            <v>2.6538841815727871E-2</v>
          </cell>
          <cell r="CQ71">
            <v>2.6215686535527489E-2</v>
          </cell>
          <cell r="CR71">
            <v>2.6955062880864609E-2</v>
          </cell>
          <cell r="CS71">
            <v>2.6850353849890065E-2</v>
          </cell>
          <cell r="CT71">
            <v>2.7816359898118145E-2</v>
          </cell>
          <cell r="CU71">
            <v>3.154310956363867E-2</v>
          </cell>
          <cell r="CV71">
            <v>3.1673451000782463E-2</v>
          </cell>
          <cell r="CW71"/>
          <cell r="CX71"/>
          <cell r="CY71"/>
          <cell r="CZ71"/>
          <cell r="DA71"/>
          <cell r="DB71"/>
          <cell r="DC71"/>
          <cell r="DD71"/>
          <cell r="DE71"/>
          <cell r="DF71"/>
          <cell r="DG71"/>
          <cell r="DH71"/>
          <cell r="DI71"/>
          <cell r="DJ71"/>
          <cell r="DK71"/>
          <cell r="DM71"/>
          <cell r="DN71"/>
        </row>
        <row r="100">
          <cell r="AA100"/>
          <cell r="AB100"/>
          <cell r="AC100"/>
          <cell r="AD100"/>
          <cell r="AE100"/>
          <cell r="AF100"/>
          <cell r="AG100"/>
          <cell r="AX100"/>
          <cell r="AY100"/>
          <cell r="AZ100"/>
          <cell r="BA100"/>
          <cell r="BB100"/>
          <cell r="BC100"/>
          <cell r="BD100"/>
          <cell r="BE100"/>
          <cell r="BF100"/>
          <cell r="BG100"/>
          <cell r="BH100"/>
          <cell r="BI100"/>
          <cell r="BJ100"/>
          <cell r="BK100"/>
          <cell r="BL100"/>
          <cell r="BM100"/>
          <cell r="BN100"/>
          <cell r="BO100"/>
          <cell r="BP100"/>
          <cell r="BQ100"/>
          <cell r="CP100"/>
          <cell r="CS100"/>
          <cell r="CT100"/>
          <cell r="CU100"/>
          <cell r="CV100"/>
          <cell r="CW100"/>
          <cell r="CX100"/>
          <cell r="CZ100"/>
          <cell r="DA100"/>
          <cell r="DB100"/>
          <cell r="DC100"/>
          <cell r="DD100"/>
          <cell r="DE100"/>
        </row>
        <row r="115">
          <cell r="A115" t="str">
            <v>ASS_AQIPIA</v>
          </cell>
          <cell r="B115" t="str">
            <v>Individual provisions / impaired assets</v>
          </cell>
          <cell r="C115">
            <v>0.34035476718403546</v>
          </cell>
          <cell r="D115">
            <v>0.41347270615563297</v>
          </cell>
          <cell r="E115">
            <v>0.40058910162002948</v>
          </cell>
          <cell r="F115">
            <v>0.42085661080074488</v>
          </cell>
          <cell r="G115">
            <v>0.26307189542483661</v>
          </cell>
          <cell r="H115">
            <v>0.35653650254668928</v>
          </cell>
          <cell r="I115">
            <v>0.34801762114537443</v>
          </cell>
          <cell r="J115">
            <v>0.42473919523099851</v>
          </cell>
          <cell r="K115">
            <v>0.35472370766488415</v>
          </cell>
          <cell r="L115">
            <v>0.4154676258992806</v>
          </cell>
          <cell r="M115">
            <v>0.31477927063339733</v>
          </cell>
          <cell r="N115">
            <v>0.28321678321678323</v>
          </cell>
          <cell r="O115">
            <v>0.27407407407407408</v>
          </cell>
          <cell r="P115">
            <v>0.33158995815899583</v>
          </cell>
          <cell r="Q115">
            <v>0.35089209855564996</v>
          </cell>
          <cell r="R115">
            <v>0.42922097605334952</v>
          </cell>
          <cell r="S115">
            <v>0.32572944297082229</v>
          </cell>
          <cell r="T115">
            <v>0.3669383003492433</v>
          </cell>
          <cell r="U115">
            <v>0.35376226826608503</v>
          </cell>
          <cell r="V115">
            <v>0.37269681742043553</v>
          </cell>
          <cell r="W115">
            <v>0.31650779896013864</v>
          </cell>
          <cell r="X115">
            <v>0.33028749721417427</v>
          </cell>
          <cell r="Y115">
            <v>0.33515731874145005</v>
          </cell>
          <cell r="Z115">
            <v>0.3515533753795842</v>
          </cell>
          <cell r="AA115">
            <v>0.37888888888888889</v>
          </cell>
          <cell r="AB115">
            <v>0.39370895264431388</v>
          </cell>
          <cell r="AC115">
            <v>0.37051282051282053</v>
          </cell>
          <cell r="AD115">
            <v>0.37523277467411548</v>
          </cell>
          <cell r="AE115">
            <v>0.35303430079155673</v>
          </cell>
          <cell r="AF115">
            <v>0.38279051065540814</v>
          </cell>
          <cell r="AG115">
            <v>0.40250115794349234</v>
          </cell>
          <cell r="AH115">
            <v>0.39787664307381193</v>
          </cell>
          <cell r="AI115">
            <v>0.31128404669260701</v>
          </cell>
          <cell r="AJ115">
            <v>0.30684039087947884</v>
          </cell>
          <cell r="AK115">
            <v>0.2980225988700565</v>
          </cell>
          <cell r="AL115">
            <v>0.24757004002287022</v>
          </cell>
          <cell r="AM115">
            <v>0.23369256948383438</v>
          </cell>
          <cell r="AN115">
            <v>0.28133704735376047</v>
          </cell>
          <cell r="AO115">
            <v>0.21986326016552718</v>
          </cell>
          <cell r="AP115">
            <v>0.2723322066634476</v>
          </cell>
          <cell r="AQ115">
            <v>0.38842203548085902</v>
          </cell>
          <cell r="AR115">
            <v>0.30308529945553542</v>
          </cell>
          <cell r="AS115">
            <v>0.29854689564068693</v>
          </cell>
          <cell r="AT115">
            <v>0.25115055884286652</v>
          </cell>
          <cell r="AU115">
            <v>0.2695852534562212</v>
          </cell>
          <cell r="AV115">
            <v>0.30733333333333335</v>
          </cell>
          <cell r="AW115">
            <v>0.27416879795396421</v>
          </cell>
          <cell r="AX115">
            <v>0.29122974261201146</v>
          </cell>
          <cell r="AY115">
            <v>0.26775956284153007</v>
          </cell>
          <cell r="AZ115">
            <v>0.20209101428925927</v>
          </cell>
          <cell r="BA115">
            <v>0.11902847077777483</v>
          </cell>
          <cell r="BB115">
            <v>1.9298068929781361E-2</v>
          </cell>
          <cell r="BC115">
            <v>-7.1932721513891504E-2</v>
          </cell>
          <cell r="BD115">
            <v>-0.13569250011328837</v>
          </cell>
          <cell r="BE115">
            <v>-0.17806003663119599</v>
          </cell>
          <cell r="BF115">
            <v>-0.24673570501317724</v>
          </cell>
          <cell r="BG115">
            <v>-0.32526693026386644</v>
          </cell>
          <cell r="BH115">
            <v>-0.44951401039881089</v>
          </cell>
          <cell r="BI115">
            <v>-0.63930673534100457</v>
          </cell>
          <cell r="BJ115">
            <v>-0.63930673534100457</v>
          </cell>
          <cell r="BK115">
            <v>-0.63930673534100457</v>
          </cell>
          <cell r="BL115">
            <v>-0.63930673534100457</v>
          </cell>
          <cell r="BM115">
            <v>-0.63930673534100457</v>
          </cell>
          <cell r="BN115">
            <v>-0.63930673534100457</v>
          </cell>
          <cell r="BO115">
            <v>-0.63930673534100457</v>
          </cell>
          <cell r="BP115">
            <v>-0.63930673534100457</v>
          </cell>
          <cell r="BQ115">
            <v>-0.63930673534100457</v>
          </cell>
          <cell r="BR115"/>
          <cell r="BS115">
            <v>0.32222943889738986</v>
          </cell>
          <cell r="BT115">
            <v>0.29846478025285972</v>
          </cell>
          <cell r="BU115">
            <v>0.42513227513227514</v>
          </cell>
          <cell r="BV115">
            <v>0.43260473588342441</v>
          </cell>
          <cell r="BW115">
            <v>0.39172209903917221</v>
          </cell>
          <cell r="BX115">
            <v>0.39010356731875717</v>
          </cell>
          <cell r="BY115">
            <v>0.42488262910798125</v>
          </cell>
          <cell r="BZ115">
            <v>0.51242236024844723</v>
          </cell>
          <cell r="CA115">
            <v>0.44856661045531199</v>
          </cell>
          <cell r="CB115">
            <v>0.34035476718403546</v>
          </cell>
          <cell r="CC115">
            <v>0.40058910162002948</v>
          </cell>
          <cell r="CD115">
            <v>0.26307189542483661</v>
          </cell>
          <cell r="CE115">
            <v>0.34801762114537443</v>
          </cell>
          <cell r="CF115">
            <v>0.35472370766488415</v>
          </cell>
          <cell r="CG115">
            <v>0.31477927063339733</v>
          </cell>
          <cell r="CH115">
            <v>0.27407407407407408</v>
          </cell>
          <cell r="CI115">
            <v>0.35089209855564996</v>
          </cell>
          <cell r="CJ115">
            <v>0.32572944297082229</v>
          </cell>
          <cell r="CK115">
            <v>0.35376226826608503</v>
          </cell>
          <cell r="CL115">
            <v>0.31650779896013864</v>
          </cell>
          <cell r="CM115">
            <v>0.33515731874145005</v>
          </cell>
          <cell r="CN115">
            <v>0.37888888888888889</v>
          </cell>
          <cell r="CO115">
            <v>0.37051282051282053</v>
          </cell>
          <cell r="CP115">
            <v>0.35303430079155673</v>
          </cell>
          <cell r="CQ115">
            <v>0.40250115794349234</v>
          </cell>
          <cell r="CR115">
            <v>0.31128404669260701</v>
          </cell>
          <cell r="CS115">
            <v>0.2980225988700565</v>
          </cell>
          <cell r="CT115">
            <v>0.23369256948383438</v>
          </cell>
          <cell r="CU115">
            <v>0.21986326016552718</v>
          </cell>
          <cell r="CV115">
            <v>0.38842203548085902</v>
          </cell>
          <cell r="CW115">
            <v>0.29854689564068693</v>
          </cell>
          <cell r="CX115">
            <v>0.2695852534562212</v>
          </cell>
          <cell r="CY115">
            <v>0.27416879795396421</v>
          </cell>
          <cell r="CZ115">
            <v>0.26775956284153007</v>
          </cell>
          <cell r="DA115">
            <v>0.11902847077777483</v>
          </cell>
          <cell r="DB115">
            <v>-7.1932721513891504E-2</v>
          </cell>
          <cell r="DC115">
            <v>-0.17806003663119599</v>
          </cell>
          <cell r="DD115">
            <v>-0.32526693026386644</v>
          </cell>
          <cell r="DE115">
            <v>-0.63930673534100457</v>
          </cell>
          <cell r="DF115">
            <v>-0.63930673534100457</v>
          </cell>
          <cell r="DG115">
            <v>-0.63930673534100457</v>
          </cell>
          <cell r="DH115">
            <v>-0.63930673534100457</v>
          </cell>
          <cell r="DI115">
            <v>-0.63930673534100457</v>
          </cell>
        </row>
        <row r="127">
          <cell r="B127" t="str">
            <v>Taxation</v>
          </cell>
          <cell r="AE127"/>
          <cell r="AK127"/>
          <cell r="AL127"/>
          <cell r="AM127"/>
          <cell r="AX127"/>
          <cell r="AY127"/>
          <cell r="AZ127"/>
          <cell r="CZ127"/>
          <cell r="DA127"/>
          <cell r="DB127"/>
          <cell r="DC127"/>
          <cell r="DD127"/>
          <cell r="DE127"/>
        </row>
        <row r="144">
          <cell r="Y144"/>
          <cell r="Z144"/>
          <cell r="AA144"/>
          <cell r="AB144"/>
          <cell r="AC144"/>
          <cell r="AD144"/>
          <cell r="AE144"/>
          <cell r="AF144"/>
          <cell r="AG144"/>
          <cell r="AH144"/>
          <cell r="AI144"/>
          <cell r="AJ144"/>
          <cell r="AK144"/>
          <cell r="AL144"/>
          <cell r="AM144"/>
          <cell r="AN144"/>
          <cell r="AO144"/>
          <cell r="AP144"/>
          <cell r="AQ144"/>
          <cell r="AR144"/>
          <cell r="AS144"/>
          <cell r="AT144"/>
          <cell r="AU144"/>
          <cell r="AV144"/>
          <cell r="AW144"/>
          <cell r="AX144"/>
          <cell r="AY144"/>
          <cell r="CZ144"/>
          <cell r="DA144"/>
          <cell r="DB144"/>
          <cell r="DC144"/>
          <cell r="DD144"/>
          <cell r="DE144"/>
        </row>
        <row r="159">
          <cell r="A159" t="str">
            <v>PEBS_AUBusinessLoansInstitutional</v>
          </cell>
          <cell r="B159" t="str">
            <v>Institutional</v>
          </cell>
          <cell r="C159">
            <v>15701.301524697541</v>
          </cell>
          <cell r="D159">
            <v>20270.228047042499</v>
          </cell>
          <cell r="E159">
            <v>19082.573259403798</v>
          </cell>
          <cell r="F159">
            <v>22273.828119037069</v>
          </cell>
          <cell r="G159">
            <v>25194.902514254361</v>
          </cell>
          <cell r="H159">
            <v>21915.05061331435</v>
          </cell>
          <cell r="I159">
            <v>23870.438394759247</v>
          </cell>
          <cell r="J159">
            <v>31071</v>
          </cell>
          <cell r="K159">
            <v>18326</v>
          </cell>
          <cell r="L159">
            <v>30984.845982142859</v>
          </cell>
          <cell r="M159">
            <v>31914</v>
          </cell>
          <cell r="N159">
            <v>34646</v>
          </cell>
          <cell r="O159">
            <v>38995</v>
          </cell>
          <cell r="P159">
            <v>70780</v>
          </cell>
          <cell r="Q159">
            <v>74038</v>
          </cell>
          <cell r="R159">
            <v>74440</v>
          </cell>
          <cell r="S159">
            <v>68655</v>
          </cell>
          <cell r="T159">
            <v>65028</v>
          </cell>
          <cell r="U159">
            <v>56916.999999999985</v>
          </cell>
          <cell r="V159">
            <v>55649</v>
          </cell>
          <cell r="W159">
            <v>53025</v>
          </cell>
          <cell r="X159">
            <v>52231</v>
          </cell>
          <cell r="Y159">
            <v>50103</v>
          </cell>
          <cell r="Z159">
            <v>51123</v>
          </cell>
          <cell r="AA159">
            <v>49729</v>
          </cell>
          <cell r="AB159">
            <v>52603</v>
          </cell>
          <cell r="AC159">
            <v>55116</v>
          </cell>
          <cell r="AD159">
            <v>59095</v>
          </cell>
          <cell r="AE159">
            <v>62293</v>
          </cell>
          <cell r="AF159">
            <v>64422</v>
          </cell>
          <cell r="AG159">
            <v>63517</v>
          </cell>
          <cell r="AH159">
            <v>61610</v>
          </cell>
          <cell r="AI159">
            <v>62742</v>
          </cell>
          <cell r="AJ159">
            <v>62604</v>
          </cell>
          <cell r="AK159">
            <v>63847</v>
          </cell>
          <cell r="AL159">
            <v>60724</v>
          </cell>
          <cell r="AM159">
            <v>65760</v>
          </cell>
          <cell r="AN159">
            <v>69222</v>
          </cell>
          <cell r="AO159">
            <v>63684</v>
          </cell>
          <cell r="AP159">
            <v>62365</v>
          </cell>
          <cell r="AQ159">
            <v>67553</v>
          </cell>
          <cell r="AR159">
            <v>74363</v>
          </cell>
          <cell r="AS159">
            <v>84336</v>
          </cell>
          <cell r="AT159">
            <v>82791</v>
          </cell>
          <cell r="AU159">
            <v>91009</v>
          </cell>
          <cell r="AV159">
            <v>90883</v>
          </cell>
          <cell r="AW159">
            <v>96383</v>
          </cell>
          <cell r="AX159">
            <v>105542</v>
          </cell>
          <cell r="AY159">
            <v>107640</v>
          </cell>
          <cell r="AZ159">
            <v>113075.81999999998</v>
          </cell>
          <cell r="BA159">
            <v>117632.77554599995</v>
          </cell>
          <cell r="BB159">
            <v>121188.22618687776</v>
          </cell>
          <cell r="BC159">
            <v>124236.11007547773</v>
          </cell>
          <cell r="BD159">
            <v>126733.25588799483</v>
          </cell>
          <cell r="BE159">
            <v>129280.59433134353</v>
          </cell>
          <cell r="BF159">
            <v>131879.13427740353</v>
          </cell>
          <cell r="BG159">
            <v>134529.90487637935</v>
          </cell>
          <cell r="BH159">
            <v>137233.95596439458</v>
          </cell>
          <cell r="BI159">
            <v>139992.35847927892</v>
          </cell>
          <cell r="BJ159">
            <v>142806.20488471244</v>
          </cell>
          <cell r="BK159">
            <v>145676.60960289516</v>
          </cell>
          <cell r="BL159">
            <v>148604.70945591334</v>
          </cell>
          <cell r="BM159">
            <v>151591.66411597721</v>
          </cell>
          <cell r="BN159">
            <v>154638.65656470836</v>
          </cell>
          <cell r="BO159">
            <v>157746.893561659</v>
          </cell>
          <cell r="BP159">
            <v>160917.60612224834</v>
          </cell>
          <cell r="BQ159">
            <v>164152.05000530553</v>
          </cell>
          <cell r="BR159"/>
          <cell r="BS159">
            <v>14220.581500846367</v>
          </cell>
          <cell r="BT159">
            <v>12790.557611539802</v>
          </cell>
          <cell r="BU159">
            <v>11710.145042672131</v>
          </cell>
          <cell r="BV159">
            <v>11320.578916731063</v>
          </cell>
          <cell r="BW159">
            <v>11516.807703438541</v>
          </cell>
          <cell r="BX159">
            <v>11833.887901441789</v>
          </cell>
          <cell r="BY159">
            <v>12283.070399372928</v>
          </cell>
          <cell r="BZ159">
            <v>14467.267527702792</v>
          </cell>
          <cell r="CA159">
            <v>14181.614426993629</v>
          </cell>
          <cell r="CB159">
            <v>15236.683140006193</v>
          </cell>
          <cell r="CC159">
            <v>19082.573259403798</v>
          </cell>
          <cell r="CD159">
            <v>25194.902514254361</v>
          </cell>
          <cell r="CE159">
            <v>23870.438394759247</v>
          </cell>
          <cell r="CF159">
            <v>18326</v>
          </cell>
          <cell r="CG159">
            <v>31914</v>
          </cell>
          <cell r="CH159">
            <v>38995</v>
          </cell>
          <cell r="CI159">
            <v>74038</v>
          </cell>
          <cell r="CJ159">
            <v>68655</v>
          </cell>
          <cell r="CK159">
            <v>56916.999999999985</v>
          </cell>
          <cell r="CL159">
            <v>53025</v>
          </cell>
          <cell r="CM159">
            <v>50103</v>
          </cell>
          <cell r="CN159">
            <v>49729</v>
          </cell>
          <cell r="CO159">
            <v>55116</v>
          </cell>
          <cell r="CP159">
            <v>62293</v>
          </cell>
          <cell r="CQ159">
            <v>63517</v>
          </cell>
          <cell r="CR159">
            <v>62742</v>
          </cell>
          <cell r="CS159">
            <v>63847</v>
          </cell>
          <cell r="CT159">
            <v>65760</v>
          </cell>
          <cell r="CU159">
            <v>63684</v>
          </cell>
          <cell r="CV159">
            <v>67553</v>
          </cell>
          <cell r="CW159">
            <v>84336</v>
          </cell>
          <cell r="CX159">
            <v>91009</v>
          </cell>
          <cell r="CY159">
            <v>96383</v>
          </cell>
          <cell r="CZ159">
            <v>107640</v>
          </cell>
          <cell r="DA159">
            <v>117632.77554599995</v>
          </cell>
          <cell r="DB159">
            <v>124236.11007547773</v>
          </cell>
          <cell r="DC159">
            <v>129280.59433134353</v>
          </cell>
          <cell r="DD159">
            <v>134529.90487637935</v>
          </cell>
          <cell r="DE159">
            <v>139992.35847927892</v>
          </cell>
          <cell r="DF159">
            <v>145676.60960289516</v>
          </cell>
          <cell r="DG159">
            <v>151591.66411597721</v>
          </cell>
          <cell r="DH159">
            <v>157746.893561659</v>
          </cell>
          <cell r="DI159">
            <v>164152.05000530553</v>
          </cell>
        </row>
        <row r="178">
          <cell r="A178" t="str">
            <v>PEBS_GroupTotalLoans</v>
          </cell>
          <cell r="B178" t="str">
            <v>Total</v>
          </cell>
          <cell r="C178">
            <v>123851</v>
          </cell>
          <cell r="D178">
            <v>134939</v>
          </cell>
          <cell r="E178">
            <v>137304</v>
          </cell>
          <cell r="F178">
            <v>151425</v>
          </cell>
          <cell r="G178">
            <v>162027</v>
          </cell>
          <cell r="H178">
            <v>172174</v>
          </cell>
          <cell r="I178">
            <v>184195</v>
          </cell>
          <cell r="J178">
            <v>193606</v>
          </cell>
          <cell r="K178">
            <v>200015</v>
          </cell>
          <cell r="L178">
            <v>216851</v>
          </cell>
          <cell r="M178">
            <v>235684</v>
          </cell>
          <cell r="N178">
            <v>254553</v>
          </cell>
          <cell r="O178">
            <v>276746</v>
          </cell>
          <cell r="P178">
            <v>413574</v>
          </cell>
          <cell r="Q178">
            <v>435875</v>
          </cell>
          <cell r="R178">
            <v>453015</v>
          </cell>
          <cell r="S178">
            <v>467843</v>
          </cell>
          <cell r="T178">
            <v>479577</v>
          </cell>
          <cell r="U178">
            <v>482366</v>
          </cell>
          <cell r="V178">
            <v>488822</v>
          </cell>
          <cell r="W178">
            <v>500654</v>
          </cell>
          <cell r="X178">
            <v>510144</v>
          </cell>
          <cell r="Y178">
            <v>518279</v>
          </cell>
          <cell r="Z178">
            <v>524985</v>
          </cell>
          <cell r="AA178">
            <v>539806</v>
          </cell>
          <cell r="AB178">
            <v>568057</v>
          </cell>
          <cell r="AC178">
            <v>583516</v>
          </cell>
          <cell r="AD178">
            <v>608264</v>
          </cell>
          <cell r="AE178">
            <v>626344</v>
          </cell>
          <cell r="AF178">
            <v>644054</v>
          </cell>
          <cell r="AG178">
            <v>665256</v>
          </cell>
          <cell r="AH178">
            <v>670208</v>
          </cell>
          <cell r="AI178">
            <v>687785</v>
          </cell>
          <cell r="AJ178">
            <v>704306</v>
          </cell>
          <cell r="AK178">
            <v>712504</v>
          </cell>
          <cell r="AL178">
            <v>717934</v>
          </cell>
          <cell r="AM178">
            <v>718378</v>
          </cell>
          <cell r="AN178">
            <v>724868</v>
          </cell>
          <cell r="AO178">
            <v>698661</v>
          </cell>
          <cell r="AP178">
            <v>693131</v>
          </cell>
          <cell r="AQ178">
            <v>714373</v>
          </cell>
          <cell r="AR178">
            <v>723751</v>
          </cell>
          <cell r="AS178">
            <v>743853</v>
          </cell>
          <cell r="AT178">
            <v>754401</v>
          </cell>
          <cell r="AU178">
            <v>777687</v>
          </cell>
          <cell r="AV178">
            <v>789421</v>
          </cell>
          <cell r="AW178">
            <v>811335</v>
          </cell>
          <cell r="AX178">
            <v>829386</v>
          </cell>
          <cell r="AY178">
            <v>856362</v>
          </cell>
          <cell r="AZ178">
            <v>888507.29016574705</v>
          </cell>
          <cell r="BA178">
            <v>911238.68950926862</v>
          </cell>
          <cell r="BB178">
            <v>934370.20257376926</v>
          </cell>
          <cell r="BC178">
            <v>958170.45869354089</v>
          </cell>
          <cell r="BD178">
            <v>980936.42445540347</v>
          </cell>
          <cell r="BE178">
            <v>1003925.2332557276</v>
          </cell>
          <cell r="BF178">
            <v>1026369.56304273</v>
          </cell>
          <cell r="BG178">
            <v>1048211.8719759641</v>
          </cell>
          <cell r="BH178">
            <v>1069013.0214361092</v>
          </cell>
          <cell r="BI178">
            <v>1088669.6840102575</v>
          </cell>
          <cell r="BJ178">
            <v>1109411.9070496382</v>
          </cell>
          <cell r="BK178">
            <v>1131218.3639882843</v>
          </cell>
          <cell r="BL178">
            <v>1153457.6446128371</v>
          </cell>
          <cell r="BM178">
            <v>1176138.3870969941</v>
          </cell>
          <cell r="BN178">
            <v>1199269.4025450733</v>
          </cell>
          <cell r="BO178">
            <v>1222859.6784599812</v>
          </cell>
          <cell r="BP178">
            <v>1246918.3822807912</v>
          </cell>
          <cell r="BQ178">
            <v>1271454.8649913401</v>
          </cell>
          <cell r="BR178"/>
          <cell r="BS178">
            <v>70065</v>
          </cell>
          <cell r="BT178">
            <v>67283</v>
          </cell>
          <cell r="BU178">
            <v>63584</v>
          </cell>
          <cell r="BV178">
            <v>66295</v>
          </cell>
          <cell r="BW178">
            <v>83147</v>
          </cell>
          <cell r="BX178">
            <v>79462</v>
          </cell>
          <cell r="BY178">
            <v>93338</v>
          </cell>
          <cell r="BZ178">
            <v>99216</v>
          </cell>
          <cell r="CA178">
            <v>109011</v>
          </cell>
          <cell r="CB178">
            <v>123851</v>
          </cell>
          <cell r="CC178">
            <v>137304</v>
          </cell>
          <cell r="CD178">
            <v>162027</v>
          </cell>
          <cell r="CE178">
            <v>184195</v>
          </cell>
          <cell r="CF178">
            <v>200015</v>
          </cell>
          <cell r="CG178">
            <v>235684</v>
          </cell>
          <cell r="CH178">
            <v>276746</v>
          </cell>
          <cell r="CI178">
            <v>435875</v>
          </cell>
          <cell r="CJ178">
            <v>467843</v>
          </cell>
          <cell r="CK178">
            <v>482366</v>
          </cell>
          <cell r="CL178">
            <v>500654</v>
          </cell>
          <cell r="CM178">
            <v>518279</v>
          </cell>
          <cell r="CN178">
            <v>539806</v>
          </cell>
          <cell r="CO178">
            <v>583516</v>
          </cell>
          <cell r="CP178">
            <v>626344</v>
          </cell>
          <cell r="CQ178">
            <v>665256</v>
          </cell>
          <cell r="CR178">
            <v>687785</v>
          </cell>
          <cell r="CS178">
            <v>712504</v>
          </cell>
          <cell r="CT178">
            <v>718378</v>
          </cell>
          <cell r="CU178">
            <v>698661</v>
          </cell>
          <cell r="CV178">
            <v>714373</v>
          </cell>
          <cell r="CW178">
            <v>743853</v>
          </cell>
          <cell r="CX178">
            <v>777687</v>
          </cell>
          <cell r="CY178">
            <v>811335</v>
          </cell>
          <cell r="CZ178">
            <v>856362</v>
          </cell>
          <cell r="DA178">
            <v>911238.68950926862</v>
          </cell>
          <cell r="DB178">
            <v>958170.45869354089</v>
          </cell>
          <cell r="DC178">
            <v>1003925.2332557276</v>
          </cell>
          <cell r="DD178">
            <v>1048211.8719759641</v>
          </cell>
          <cell r="DE178">
            <v>1088669.6840102575</v>
          </cell>
          <cell r="DF178">
            <v>1131218.3639882843</v>
          </cell>
          <cell r="DG178">
            <v>1176138.3870969941</v>
          </cell>
          <cell r="DH178">
            <v>1222859.6784599812</v>
          </cell>
          <cell r="DI178">
            <v>1271454.8649913401</v>
          </cell>
        </row>
        <row r="182">
          <cell r="C182"/>
          <cell r="D182"/>
          <cell r="E182"/>
          <cell r="F182"/>
          <cell r="G182"/>
          <cell r="H182"/>
          <cell r="I182"/>
          <cell r="J182"/>
          <cell r="K182"/>
          <cell r="L182"/>
          <cell r="M182"/>
          <cell r="N182"/>
          <cell r="O182"/>
          <cell r="P182"/>
          <cell r="Q182"/>
          <cell r="R182"/>
          <cell r="S182"/>
          <cell r="T182"/>
          <cell r="U182"/>
          <cell r="V182"/>
          <cell r="W182"/>
          <cell r="X182"/>
          <cell r="Y182"/>
          <cell r="Z182"/>
          <cell r="AA182"/>
          <cell r="AB182"/>
          <cell r="AC182"/>
          <cell r="AD182"/>
          <cell r="AE182"/>
          <cell r="AF182"/>
          <cell r="AG182"/>
          <cell r="AH182"/>
          <cell r="AI182"/>
          <cell r="AJ182"/>
          <cell r="AK182"/>
          <cell r="AL182"/>
          <cell r="AM182"/>
          <cell r="AN182"/>
          <cell r="AO182"/>
          <cell r="AP182"/>
          <cell r="AQ182"/>
          <cell r="AR182"/>
          <cell r="AS182"/>
          <cell r="AT182"/>
          <cell r="AU182"/>
          <cell r="AV182"/>
          <cell r="AW182"/>
          <cell r="AX182"/>
          <cell r="AY182"/>
          <cell r="AZ182"/>
          <cell r="BA182"/>
          <cell r="BB182"/>
          <cell r="BC182"/>
          <cell r="BD182"/>
          <cell r="BE182"/>
          <cell r="BF182"/>
          <cell r="BG182"/>
          <cell r="BH182"/>
          <cell r="BI182"/>
          <cell r="BJ182"/>
          <cell r="BK182"/>
          <cell r="BL182"/>
          <cell r="BM182"/>
          <cell r="BN182"/>
          <cell r="BO182"/>
          <cell r="BP182"/>
          <cell r="BQ182"/>
          <cell r="BR182"/>
          <cell r="BS182"/>
          <cell r="BT182"/>
          <cell r="BU182"/>
          <cell r="BV182"/>
          <cell r="BW182"/>
          <cell r="BX182"/>
          <cell r="BY182"/>
          <cell r="BZ182"/>
          <cell r="CA182"/>
          <cell r="CB182"/>
          <cell r="CC182"/>
          <cell r="CD182"/>
          <cell r="CE182"/>
          <cell r="CF182"/>
          <cell r="CG182"/>
          <cell r="CH182"/>
          <cell r="CI182"/>
          <cell r="CJ182"/>
          <cell r="CK182"/>
          <cell r="CL182"/>
          <cell r="CM182"/>
          <cell r="CN182"/>
          <cell r="CO182"/>
          <cell r="CP182"/>
          <cell r="CQ182"/>
          <cell r="CR182"/>
          <cell r="CS182"/>
          <cell r="CT182"/>
          <cell r="CU182"/>
          <cell r="CV182"/>
          <cell r="CW182"/>
          <cell r="CX182"/>
          <cell r="CY182"/>
          <cell r="CZ182"/>
          <cell r="DA182"/>
          <cell r="DB182"/>
          <cell r="DC182"/>
          <cell r="DD182"/>
          <cell r="DE182"/>
          <cell r="DF182"/>
          <cell r="DG182"/>
          <cell r="DH182"/>
          <cell r="DI182"/>
        </row>
        <row r="183">
          <cell r="A183"/>
          <cell r="B183" t="str">
            <v>Australian customer deposits</v>
          </cell>
          <cell r="C183"/>
          <cell r="D183"/>
          <cell r="E183"/>
          <cell r="F183"/>
          <cell r="G183"/>
          <cell r="H183"/>
          <cell r="I183"/>
          <cell r="J183"/>
          <cell r="K183"/>
          <cell r="L183"/>
          <cell r="M183"/>
          <cell r="N183"/>
          <cell r="O183"/>
          <cell r="P183"/>
          <cell r="Q183"/>
          <cell r="R183"/>
          <cell r="S183"/>
          <cell r="T183"/>
          <cell r="U183"/>
          <cell r="V183"/>
          <cell r="W183"/>
          <cell r="X183"/>
          <cell r="Y183"/>
          <cell r="Z183"/>
          <cell r="AA183"/>
          <cell r="AB183"/>
          <cell r="AC183"/>
          <cell r="AD183"/>
          <cell r="AE183"/>
          <cell r="AF183"/>
          <cell r="AG183"/>
          <cell r="AH183"/>
          <cell r="AI183"/>
          <cell r="AJ183"/>
          <cell r="AK183"/>
          <cell r="AL183"/>
          <cell r="AM183"/>
          <cell r="AN183"/>
          <cell r="AO183"/>
          <cell r="AP183"/>
          <cell r="AQ183"/>
          <cell r="AR183"/>
          <cell r="AS183"/>
          <cell r="AT183"/>
          <cell r="AU183"/>
          <cell r="AV183"/>
          <cell r="AW183"/>
          <cell r="AX183"/>
          <cell r="AY183"/>
          <cell r="AZ183"/>
          <cell r="BA183"/>
          <cell r="BB183"/>
          <cell r="BC183"/>
          <cell r="BD183"/>
          <cell r="BE183"/>
          <cell r="BF183"/>
          <cell r="BG183"/>
          <cell r="BH183"/>
          <cell r="BI183"/>
          <cell r="BJ183"/>
          <cell r="BK183"/>
          <cell r="BL183"/>
          <cell r="BM183"/>
          <cell r="BN183"/>
          <cell r="BO183"/>
          <cell r="BP183"/>
          <cell r="BQ183"/>
          <cell r="BR183"/>
          <cell r="BS183"/>
          <cell r="BT183"/>
          <cell r="BU183"/>
          <cell r="BV183"/>
          <cell r="BW183"/>
          <cell r="BX183"/>
          <cell r="BY183"/>
          <cell r="BZ183"/>
          <cell r="CA183"/>
          <cell r="CB183"/>
          <cell r="CC183"/>
          <cell r="CD183"/>
          <cell r="CE183"/>
          <cell r="CF183"/>
          <cell r="CG183"/>
          <cell r="CH183"/>
          <cell r="CI183"/>
          <cell r="CJ183"/>
          <cell r="CK183"/>
          <cell r="CL183"/>
          <cell r="CM183"/>
          <cell r="CN183"/>
          <cell r="CO183"/>
          <cell r="CP183"/>
          <cell r="CQ183"/>
          <cell r="CR183"/>
          <cell r="CS183"/>
          <cell r="CT183"/>
          <cell r="CU183"/>
          <cell r="CV183"/>
          <cell r="CW183"/>
          <cell r="CX183"/>
          <cell r="CY183"/>
          <cell r="CZ183"/>
          <cell r="DA183"/>
          <cell r="DB183"/>
          <cell r="DC183"/>
          <cell r="DD183"/>
          <cell r="DE183"/>
          <cell r="DF183"/>
          <cell r="DG183"/>
          <cell r="DH183"/>
          <cell r="DI183"/>
        </row>
        <row r="214">
          <cell r="A214"/>
          <cell r="B214" t="str">
            <v>Australian loans</v>
          </cell>
          <cell r="C214"/>
          <cell r="D214"/>
          <cell r="E214"/>
          <cell r="F214"/>
          <cell r="G214"/>
          <cell r="H214"/>
          <cell r="I214"/>
          <cell r="J214"/>
          <cell r="K214"/>
          <cell r="L214"/>
          <cell r="M214"/>
          <cell r="N214"/>
          <cell r="O214"/>
          <cell r="P214"/>
          <cell r="Q214"/>
          <cell r="R214"/>
          <cell r="S214"/>
          <cell r="T214"/>
          <cell r="U214"/>
          <cell r="V214"/>
          <cell r="W214"/>
          <cell r="X214"/>
          <cell r="Y214"/>
          <cell r="Z214"/>
          <cell r="AA214"/>
          <cell r="AB214"/>
          <cell r="AC214"/>
          <cell r="AD214"/>
          <cell r="AE214"/>
          <cell r="AF214"/>
          <cell r="AG214"/>
          <cell r="AH214"/>
          <cell r="AI214"/>
          <cell r="AJ214"/>
          <cell r="AK214"/>
          <cell r="AL214"/>
          <cell r="AM214"/>
          <cell r="AN214"/>
          <cell r="AO214"/>
          <cell r="AP214"/>
          <cell r="AQ214"/>
          <cell r="AR214"/>
          <cell r="AS214"/>
          <cell r="AT214"/>
          <cell r="AU214"/>
          <cell r="AV214"/>
          <cell r="AW214"/>
          <cell r="AX214"/>
          <cell r="AY214"/>
          <cell r="AZ214"/>
          <cell r="BA214"/>
          <cell r="BB214"/>
          <cell r="BC214"/>
          <cell r="BD214"/>
          <cell r="BE214"/>
          <cell r="BF214"/>
          <cell r="BG214"/>
          <cell r="BH214"/>
          <cell r="BI214"/>
          <cell r="BJ214"/>
          <cell r="BK214"/>
          <cell r="BL214"/>
          <cell r="BM214"/>
          <cell r="BN214"/>
          <cell r="BO214"/>
          <cell r="BP214"/>
          <cell r="BQ214"/>
          <cell r="BR214"/>
          <cell r="BS214"/>
          <cell r="BT214"/>
          <cell r="BU214"/>
          <cell r="BV214"/>
          <cell r="BW214"/>
          <cell r="BX214"/>
          <cell r="BY214"/>
          <cell r="BZ214"/>
          <cell r="CA214"/>
          <cell r="CB214"/>
          <cell r="CC214"/>
          <cell r="CD214"/>
          <cell r="CE214"/>
          <cell r="CF214"/>
          <cell r="CG214"/>
          <cell r="CH214"/>
          <cell r="CI214"/>
          <cell r="CJ214"/>
          <cell r="CK214"/>
          <cell r="CL214"/>
          <cell r="CM214"/>
          <cell r="CN214"/>
          <cell r="CO214"/>
          <cell r="CP214"/>
          <cell r="CQ214"/>
          <cell r="CR214"/>
          <cell r="CS214"/>
          <cell r="CT214"/>
          <cell r="CU214"/>
          <cell r="CV214"/>
          <cell r="CW214"/>
          <cell r="CX214"/>
          <cell r="CY214"/>
          <cell r="CZ214"/>
          <cell r="DA214"/>
        </row>
        <row r="238">
          <cell r="A238" t="str">
            <v>AvBS_GroupNonLendingEarningAssets</v>
          </cell>
          <cell r="B238" t="str">
            <v>Non-lending interest earning assets</v>
          </cell>
          <cell r="C238">
            <v>17905</v>
          </cell>
          <cell r="D238">
            <v>19551</v>
          </cell>
          <cell r="E238">
            <v>19949</v>
          </cell>
          <cell r="F238">
            <v>19477</v>
          </cell>
          <cell r="G238">
            <v>20969</v>
          </cell>
          <cell r="H238">
            <v>20940</v>
          </cell>
          <cell r="I238">
            <v>22379</v>
          </cell>
          <cell r="J238">
            <v>30377</v>
          </cell>
          <cell r="K238">
            <v>29074.5</v>
          </cell>
          <cell r="L238">
            <v>31099</v>
          </cell>
          <cell r="M238">
            <v>32979</v>
          </cell>
          <cell r="N238">
            <v>33393</v>
          </cell>
          <cell r="O238">
            <v>40214</v>
          </cell>
          <cell r="P238">
            <v>70720</v>
          </cell>
          <cell r="Q238">
            <v>76899</v>
          </cell>
          <cell r="R238">
            <v>75250</v>
          </cell>
          <cell r="S238">
            <v>56395</v>
          </cell>
          <cell r="T238">
            <v>64563</v>
          </cell>
          <cell r="U238">
            <v>65415</v>
          </cell>
          <cell r="V238">
            <v>69022</v>
          </cell>
          <cell r="W238">
            <v>75238</v>
          </cell>
          <cell r="X238">
            <v>75846</v>
          </cell>
          <cell r="Y238">
            <v>77408</v>
          </cell>
          <cell r="Z238">
            <v>82653</v>
          </cell>
          <cell r="AA238">
            <v>84117</v>
          </cell>
          <cell r="AB238">
            <v>87871</v>
          </cell>
          <cell r="AC238">
            <v>87276</v>
          </cell>
          <cell r="AD238">
            <v>90772</v>
          </cell>
          <cell r="AE238">
            <v>88462</v>
          </cell>
          <cell r="AF238">
            <v>92870</v>
          </cell>
          <cell r="AG238">
            <v>92498</v>
          </cell>
          <cell r="AH238">
            <v>95666</v>
          </cell>
          <cell r="AI238">
            <v>92814</v>
          </cell>
          <cell r="AJ238">
            <v>93598</v>
          </cell>
          <cell r="AK238">
            <v>93887</v>
          </cell>
          <cell r="AL238">
            <v>98548</v>
          </cell>
          <cell r="AM238">
            <v>108792</v>
          </cell>
          <cell r="AN238">
            <v>112715</v>
          </cell>
          <cell r="AO238">
            <v>134369</v>
          </cell>
          <cell r="AP238">
            <v>132664</v>
          </cell>
          <cell r="AQ238">
            <v>123105</v>
          </cell>
          <cell r="AR238">
            <v>202260</v>
          </cell>
          <cell r="AS238">
            <v>218000</v>
          </cell>
          <cell r="AT238">
            <v>234473</v>
          </cell>
          <cell r="AU238">
            <v>238749</v>
          </cell>
          <cell r="AV238">
            <v>239116</v>
          </cell>
          <cell r="AW238">
            <v>235674</v>
          </cell>
          <cell r="AX238">
            <v>241171</v>
          </cell>
          <cell r="AY238">
            <v>235835</v>
          </cell>
          <cell r="AZ238">
            <v>243299.04209080641</v>
          </cell>
          <cell r="BA238">
            <v>250752.43574407918</v>
          </cell>
          <cell r="BB238">
            <v>256886.75195177598</v>
          </cell>
          <cell r="BC238">
            <v>263182.9544873971</v>
          </cell>
          <cell r="BD238">
            <v>269444.41768361779</v>
          </cell>
          <cell r="BE238">
            <v>275589.73696740228</v>
          </cell>
          <cell r="BF238">
            <v>281686.11739038455</v>
          </cell>
          <cell r="BG238">
            <v>287622.90527357301</v>
          </cell>
          <cell r="BH238">
            <v>293331.1094456967</v>
          </cell>
          <cell r="BI238">
            <v>298735.40515227697</v>
          </cell>
          <cell r="BJ238">
            <v>304132.57987334137</v>
          </cell>
          <cell r="BK238">
            <v>309829.58680510428</v>
          </cell>
          <cell r="BL238">
            <v>315731.23188676685</v>
          </cell>
          <cell r="BM238">
            <v>321747.73842739477</v>
          </cell>
          <cell r="BN238">
            <v>327881.37148270523</v>
          </cell>
          <cell r="BO238">
            <v>334134.44112672261</v>
          </cell>
          <cell r="BP238">
            <v>340509.30335067702</v>
          </cell>
          <cell r="BQ238">
            <v>347008.36097990326</v>
          </cell>
          <cell r="BR238"/>
          <cell r="BS238">
            <v>23263</v>
          </cell>
          <cell r="BT238">
            <v>21294</v>
          </cell>
          <cell r="BU238">
            <v>14972</v>
          </cell>
          <cell r="BV238">
            <v>14161</v>
          </cell>
          <cell r="BW238">
            <v>14597</v>
          </cell>
          <cell r="BX238">
            <v>15373</v>
          </cell>
          <cell r="BY238">
            <v>13787</v>
          </cell>
          <cell r="BZ238">
            <v>13709</v>
          </cell>
          <cell r="CA238">
            <v>14680</v>
          </cell>
          <cell r="CB238">
            <v>16894</v>
          </cell>
          <cell r="CC238">
            <v>19749.454794520549</v>
          </cell>
          <cell r="CD238">
            <v>20220.956164383566</v>
          </cell>
          <cell r="CE238">
            <v>21659.5</v>
          </cell>
          <cell r="CF238">
            <v>29727.534246575346</v>
          </cell>
          <cell r="CG238">
            <v>31907</v>
          </cell>
          <cell r="CH238">
            <v>36813</v>
          </cell>
          <cell r="CI238">
            <v>73810</v>
          </cell>
          <cell r="CJ238">
            <v>65796</v>
          </cell>
          <cell r="CK238">
            <v>64992</v>
          </cell>
          <cell r="CL238">
            <v>72138</v>
          </cell>
          <cell r="CM238">
            <v>76627</v>
          </cell>
          <cell r="CN238">
            <v>83387</v>
          </cell>
          <cell r="CO238">
            <v>87573</v>
          </cell>
          <cell r="CP238">
            <v>89614</v>
          </cell>
          <cell r="CQ238">
            <v>92684</v>
          </cell>
          <cell r="CR238">
            <v>94236</v>
          </cell>
          <cell r="CS238">
            <v>93742.104109589054</v>
          </cell>
          <cell r="CT238">
            <v>103655.96712328769</v>
          </cell>
          <cell r="CU238">
            <v>123542</v>
          </cell>
          <cell r="CV238">
            <v>169056</v>
          </cell>
          <cell r="CW238">
            <v>210151</v>
          </cell>
          <cell r="CX238">
            <v>236617</v>
          </cell>
          <cell r="CY238">
            <v>237350.28213917033</v>
          </cell>
          <cell r="CZ238">
            <v>240773.01348905847</v>
          </cell>
          <cell r="DA238">
            <v>247015.52878915065</v>
          </cell>
          <cell r="DB238">
            <v>260026.22828460624</v>
          </cell>
          <cell r="DC238">
            <v>272517.07732551004</v>
          </cell>
          <cell r="DD238">
            <v>284646.37874583743</v>
          </cell>
          <cell r="DE238">
            <v>296025.8541541833</v>
          </cell>
          <cell r="DF238">
            <v>306973.27922013821</v>
          </cell>
          <cell r="DG238">
            <v>318739.48515708081</v>
          </cell>
          <cell r="DH238">
            <v>330999.3404558865</v>
          </cell>
          <cell r="DI238">
            <v>343749.92934661999</v>
          </cell>
        </row>
        <row r="239">
          <cell r="A239" t="str">
            <v>AvBS_GroupTotalEarningAssets</v>
          </cell>
          <cell r="B239" t="str">
            <v>Average interest earning assets</v>
          </cell>
          <cell r="C239">
            <v>139963</v>
          </cell>
          <cell r="D239">
            <v>149489</v>
          </cell>
          <cell r="E239">
            <v>156759</v>
          </cell>
          <cell r="F239">
            <v>166233</v>
          </cell>
          <cell r="G239">
            <v>179267</v>
          </cell>
          <cell r="H239">
            <v>190689</v>
          </cell>
          <cell r="I239">
            <v>202228</v>
          </cell>
          <cell r="J239">
            <v>221676</v>
          </cell>
          <cell r="K239">
            <v>225885</v>
          </cell>
          <cell r="L239">
            <v>243488</v>
          </cell>
          <cell r="M239">
            <v>257879</v>
          </cell>
          <cell r="N239">
            <v>279591</v>
          </cell>
          <cell r="O239">
            <v>305173</v>
          </cell>
          <cell r="P239">
            <v>466407</v>
          </cell>
          <cell r="Q239">
            <v>494826</v>
          </cell>
          <cell r="R239">
            <v>511122</v>
          </cell>
          <cell r="S239">
            <v>505164</v>
          </cell>
          <cell r="T239">
            <v>531541</v>
          </cell>
          <cell r="U239">
            <v>538422</v>
          </cell>
          <cell r="V239">
            <v>541217</v>
          </cell>
          <cell r="W239">
            <v>555187</v>
          </cell>
          <cell r="X239">
            <v>573644</v>
          </cell>
          <cell r="Y239">
            <v>581846</v>
          </cell>
          <cell r="Z239">
            <v>591539</v>
          </cell>
          <cell r="AA239">
            <v>608153</v>
          </cell>
          <cell r="AB239">
            <v>635657</v>
          </cell>
          <cell r="AC239">
            <v>659003</v>
          </cell>
          <cell r="AD239">
            <v>678568</v>
          </cell>
          <cell r="AE239">
            <v>689031</v>
          </cell>
          <cell r="AF239">
            <v>714856</v>
          </cell>
          <cell r="AG239">
            <v>728830</v>
          </cell>
          <cell r="AH239">
            <v>744783</v>
          </cell>
          <cell r="AI239">
            <v>759764</v>
          </cell>
          <cell r="AJ239">
            <v>767011</v>
          </cell>
          <cell r="AK239">
            <v>782834</v>
          </cell>
          <cell r="AL239">
            <v>794660</v>
          </cell>
          <cell r="AM239">
            <v>803165</v>
          </cell>
          <cell r="AN239">
            <v>812971</v>
          </cell>
          <cell r="AO239">
            <v>830465</v>
          </cell>
          <cell r="AP239">
            <v>812950</v>
          </cell>
          <cell r="AQ239">
            <v>825926</v>
          </cell>
          <cell r="AR239">
            <v>872075</v>
          </cell>
          <cell r="AS239">
            <v>901786</v>
          </cell>
          <cell r="AT239">
            <v>934208</v>
          </cell>
          <cell r="AU239">
            <v>948505</v>
          </cell>
          <cell r="AV239">
            <v>964708</v>
          </cell>
          <cell r="AW239">
            <v>975402</v>
          </cell>
          <cell r="AX239">
            <v>996701</v>
          </cell>
          <cell r="AY239">
            <v>1008977</v>
          </cell>
          <cell r="AZ239">
            <v>1040910.5416569024</v>
          </cell>
          <cell r="BA239">
            <v>1072798.5259175005</v>
          </cell>
          <cell r="BB239">
            <v>1099043.078101414</v>
          </cell>
          <cell r="BC239">
            <v>1125980.2313898716</v>
          </cell>
          <cell r="BD239">
            <v>1152768.7587557549</v>
          </cell>
          <cell r="BE239">
            <v>1179060.3855922935</v>
          </cell>
          <cell r="BF239">
            <v>1205142.6364458115</v>
          </cell>
          <cell r="BG239">
            <v>1230542.0997486117</v>
          </cell>
          <cell r="BH239">
            <v>1254963.6093675268</v>
          </cell>
          <cell r="BI239">
            <v>1278084.9020897194</v>
          </cell>
          <cell r="BJ239">
            <v>1301175.7289751922</v>
          </cell>
          <cell r="BK239">
            <v>1325549.3332450818</v>
          </cell>
          <cell r="BL239">
            <v>1350798.4444862488</v>
          </cell>
          <cell r="BM239">
            <v>1376538.9695136752</v>
          </cell>
          <cell r="BN239">
            <v>1402780.5989548019</v>
          </cell>
          <cell r="BO239">
            <v>1429533.2160396774</v>
          </cell>
          <cell r="BP239">
            <v>1456806.9004467372</v>
          </cell>
          <cell r="BQ239">
            <v>1484611.9322255815</v>
          </cell>
          <cell r="BR239"/>
          <cell r="BS239">
            <v>91951</v>
          </cell>
          <cell r="BT239">
            <v>89128</v>
          </cell>
          <cell r="BU239">
            <v>79603</v>
          </cell>
          <cell r="BV239">
            <v>78512</v>
          </cell>
          <cell r="BW239">
            <v>89332</v>
          </cell>
          <cell r="BX239">
            <v>96827</v>
          </cell>
          <cell r="BY239">
            <v>105338</v>
          </cell>
          <cell r="BZ239">
            <v>110734</v>
          </cell>
          <cell r="CA239">
            <v>123462</v>
          </cell>
          <cell r="CB239">
            <v>135154</v>
          </cell>
          <cell r="CC239">
            <v>153114.04109589045</v>
          </cell>
          <cell r="CD239">
            <v>172732.14520547944</v>
          </cell>
          <cell r="CE239">
            <v>196458.5</v>
          </cell>
          <cell r="CF239">
            <v>223774.73424657533</v>
          </cell>
          <cell r="CG239">
            <v>250703</v>
          </cell>
          <cell r="CH239">
            <v>292417</v>
          </cell>
          <cell r="CI239">
            <v>480617</v>
          </cell>
          <cell r="CJ239">
            <v>508133</v>
          </cell>
          <cell r="CK239">
            <v>534991</v>
          </cell>
          <cell r="CL239">
            <v>548221</v>
          </cell>
          <cell r="CM239">
            <v>577745</v>
          </cell>
          <cell r="CN239">
            <v>599869</v>
          </cell>
          <cell r="CO239">
            <v>647362</v>
          </cell>
          <cell r="CP239">
            <v>683814</v>
          </cell>
          <cell r="CQ239">
            <v>721843</v>
          </cell>
          <cell r="CR239">
            <v>752294</v>
          </cell>
          <cell r="CS239">
            <v>774944</v>
          </cell>
          <cell r="CT239">
            <v>798924</v>
          </cell>
          <cell r="CU239">
            <v>821718</v>
          </cell>
          <cell r="CV239">
            <v>819456</v>
          </cell>
          <cell r="CW239">
            <v>886205</v>
          </cell>
          <cell r="CX239">
            <v>940449</v>
          </cell>
          <cell r="CY239">
            <v>970055</v>
          </cell>
          <cell r="CZ239">
            <v>1002856</v>
          </cell>
          <cell r="DA239">
            <v>1056877.7957008369</v>
          </cell>
          <cell r="DB239">
            <v>1112531.3050856665</v>
          </cell>
          <cell r="DC239">
            <v>1165914.5721740243</v>
          </cell>
          <cell r="DD239">
            <v>1217860.896710275</v>
          </cell>
          <cell r="DE239">
            <v>1266541.1224427451</v>
          </cell>
          <cell r="DF239">
            <v>1313380.3113709679</v>
          </cell>
          <cell r="DG239">
            <v>1363668.7069999622</v>
          </cell>
          <cell r="DH239">
            <v>1416176.4232202489</v>
          </cell>
          <cell r="DI239">
            <v>1470729.6997834477</v>
          </cell>
        </row>
        <row r="240">
          <cell r="C240"/>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cell r="AD240"/>
          <cell r="AE240"/>
          <cell r="AF240"/>
          <cell r="AG240"/>
          <cell r="AH240"/>
          <cell r="AI240"/>
          <cell r="AJ240"/>
          <cell r="AK240"/>
          <cell r="AL240"/>
          <cell r="AM240"/>
          <cell r="AN240"/>
          <cell r="AO240"/>
          <cell r="AP240"/>
          <cell r="AQ240"/>
          <cell r="AR240"/>
          <cell r="AS240"/>
          <cell r="AT240"/>
          <cell r="AU240"/>
          <cell r="AV240"/>
          <cell r="AW240"/>
          <cell r="AX240">
            <v>0.241969256577449</v>
          </cell>
          <cell r="AY240">
            <v>0.23373674523799848</v>
          </cell>
          <cell r="AZ240"/>
          <cell r="BA240"/>
          <cell r="BB240"/>
          <cell r="BC240"/>
          <cell r="BD240"/>
          <cell r="BE240"/>
          <cell r="BF240"/>
          <cell r="BG240"/>
          <cell r="BH240"/>
          <cell r="BI240"/>
          <cell r="BJ240"/>
          <cell r="BK240"/>
          <cell r="BL240"/>
          <cell r="BM240"/>
          <cell r="BN240"/>
          <cell r="BO240"/>
          <cell r="BP240"/>
          <cell r="BQ240"/>
          <cell r="BR240"/>
          <cell r="BS240"/>
          <cell r="BT240"/>
          <cell r="BU240"/>
          <cell r="BV240"/>
          <cell r="BW240"/>
          <cell r="BX240"/>
          <cell r="BY240"/>
          <cell r="BZ240"/>
          <cell r="CA240"/>
          <cell r="CB240"/>
          <cell r="CC240"/>
          <cell r="CD240"/>
          <cell r="CE240"/>
          <cell r="CF240"/>
          <cell r="CG240"/>
          <cell r="CH240"/>
          <cell r="CI240"/>
          <cell r="CJ240"/>
          <cell r="CK240"/>
          <cell r="CL240"/>
          <cell r="CM240"/>
          <cell r="CN240"/>
          <cell r="CO240"/>
          <cell r="CP240"/>
          <cell r="CQ240"/>
          <cell r="CR240"/>
          <cell r="CS240"/>
          <cell r="CT240"/>
          <cell r="CU240"/>
          <cell r="CV240"/>
          <cell r="CW240"/>
          <cell r="CX240"/>
          <cell r="CY240"/>
          <cell r="CZ240"/>
          <cell r="DA240"/>
          <cell r="DB240"/>
          <cell r="DC240"/>
          <cell r="DD240"/>
          <cell r="DE240"/>
          <cell r="DF240"/>
          <cell r="DG240"/>
          <cell r="DH240"/>
          <cell r="DI240"/>
        </row>
        <row r="256">
          <cell r="A256"/>
          <cell r="B256" t="str">
            <v>Total customer deposits</v>
          </cell>
          <cell r="C256"/>
          <cell r="D256"/>
          <cell r="E256"/>
          <cell r="F256"/>
          <cell r="G256"/>
          <cell r="H256"/>
          <cell r="I256"/>
          <cell r="J256"/>
          <cell r="K256"/>
          <cell r="L256"/>
          <cell r="M256"/>
          <cell r="N256"/>
          <cell r="O256"/>
          <cell r="P256"/>
          <cell r="Q256"/>
          <cell r="R256"/>
          <cell r="S256"/>
          <cell r="T256"/>
          <cell r="U256"/>
          <cell r="V256"/>
          <cell r="W256"/>
          <cell r="X256"/>
          <cell r="Y256"/>
          <cell r="Z256"/>
          <cell r="AA256"/>
          <cell r="AB256"/>
          <cell r="AC256"/>
          <cell r="AD256"/>
          <cell r="AE256"/>
          <cell r="AF256"/>
          <cell r="AG256"/>
          <cell r="AH256"/>
          <cell r="AI256"/>
          <cell r="AJ256"/>
          <cell r="AK256"/>
          <cell r="AL256"/>
          <cell r="AM256"/>
          <cell r="AN256"/>
          <cell r="AO256"/>
          <cell r="AP256"/>
          <cell r="AQ256"/>
          <cell r="AR256"/>
          <cell r="AS256"/>
          <cell r="AT256"/>
          <cell r="AU256"/>
          <cell r="AV256"/>
          <cell r="AW256"/>
          <cell r="AX256"/>
          <cell r="AY256"/>
          <cell r="AZ256"/>
          <cell r="BA256"/>
          <cell r="BB256"/>
          <cell r="BC256"/>
          <cell r="BD256"/>
          <cell r="BE256"/>
          <cell r="BF256"/>
          <cell r="BG256"/>
          <cell r="BH256"/>
          <cell r="BI256"/>
          <cell r="BJ256"/>
          <cell r="BK256"/>
          <cell r="BL256"/>
          <cell r="BM256"/>
          <cell r="BN256"/>
          <cell r="BO256"/>
          <cell r="BP256"/>
          <cell r="BQ256"/>
          <cell r="BR256"/>
          <cell r="BS256"/>
          <cell r="BT256"/>
          <cell r="BU256"/>
          <cell r="BV256"/>
          <cell r="BW256"/>
          <cell r="BX256"/>
          <cell r="BY256"/>
          <cell r="BZ256"/>
          <cell r="CA256"/>
          <cell r="CB256"/>
          <cell r="CC256"/>
          <cell r="CD256"/>
          <cell r="CE256"/>
          <cell r="CF256"/>
          <cell r="CG256"/>
          <cell r="CH256"/>
          <cell r="CI256"/>
          <cell r="CJ256"/>
          <cell r="CK256"/>
          <cell r="CL256"/>
          <cell r="CM256"/>
          <cell r="CN256"/>
          <cell r="CO256"/>
          <cell r="CP256"/>
          <cell r="CQ256"/>
          <cell r="CR256"/>
          <cell r="CS256"/>
          <cell r="CT256"/>
          <cell r="CU256"/>
          <cell r="CV256"/>
          <cell r="CW256"/>
          <cell r="CX256"/>
          <cell r="CY256"/>
          <cell r="CZ256"/>
          <cell r="DA256"/>
          <cell r="DB256"/>
          <cell r="DC256"/>
          <cell r="DD256"/>
          <cell r="DE256"/>
          <cell r="DF256"/>
          <cell r="DG256"/>
          <cell r="DH256"/>
          <cell r="DI256"/>
        </row>
        <row r="267">
          <cell r="A267" t="str">
            <v>AvBS_FUMA</v>
          </cell>
          <cell r="B267" t="str">
            <v>Funds under management and administration</v>
          </cell>
          <cell r="C267">
            <v>23800</v>
          </cell>
          <cell r="D267">
            <v>24350</v>
          </cell>
          <cell r="E267">
            <v>29350</v>
          </cell>
          <cell r="F267">
            <v>43700</v>
          </cell>
          <cell r="G267">
            <v>54950</v>
          </cell>
          <cell r="H267">
            <v>57400</v>
          </cell>
          <cell r="I267">
            <v>60600</v>
          </cell>
          <cell r="J267">
            <v>65500.000000000007</v>
          </cell>
          <cell r="K267">
            <v>70850</v>
          </cell>
          <cell r="L267">
            <v>77100</v>
          </cell>
          <cell r="M267">
            <v>80950</v>
          </cell>
          <cell r="N267">
            <v>85550</v>
          </cell>
          <cell r="O267">
            <v>92950</v>
          </cell>
          <cell r="P267">
            <v>109950</v>
          </cell>
          <cell r="Q267">
            <v>120850</v>
          </cell>
          <cell r="R267">
            <v>109550</v>
          </cell>
          <cell r="S267">
            <v>115650</v>
          </cell>
          <cell r="T267">
            <v>132704</v>
          </cell>
          <cell r="U267">
            <v>134200</v>
          </cell>
          <cell r="V267">
            <v>135150</v>
          </cell>
          <cell r="W267">
            <v>132750</v>
          </cell>
          <cell r="X267">
            <v>139850</v>
          </cell>
          <cell r="Y267">
            <v>154050</v>
          </cell>
          <cell r="Z267">
            <v>164700</v>
          </cell>
          <cell r="AA267">
            <v>181450</v>
          </cell>
          <cell r="AB267">
            <v>195750</v>
          </cell>
          <cell r="AC267">
            <v>208300</v>
          </cell>
          <cell r="AD267">
            <v>229450</v>
          </cell>
          <cell r="AE267">
            <v>213800</v>
          </cell>
          <cell r="AF267">
            <v>185600</v>
          </cell>
          <cell r="AG267">
            <v>192950</v>
          </cell>
          <cell r="AH267">
            <v>205100</v>
          </cell>
          <cell r="AI267">
            <v>212450</v>
          </cell>
          <cell r="AJ267">
            <v>213600</v>
          </cell>
          <cell r="AK267">
            <v>214700</v>
          </cell>
          <cell r="AL267">
            <v>214450</v>
          </cell>
          <cell r="AM267">
            <v>219800</v>
          </cell>
          <cell r="AN267">
            <v>207913.5</v>
          </cell>
          <cell r="AO267">
            <v>202796</v>
          </cell>
          <cell r="AP267">
            <v>217387</v>
          </cell>
          <cell r="AQ267">
            <v>234665</v>
          </cell>
          <cell r="AR267">
            <v>241200</v>
          </cell>
          <cell r="AS267">
            <v>226250</v>
          </cell>
          <cell r="AT267">
            <v>176100</v>
          </cell>
          <cell r="AU267">
            <v>137850</v>
          </cell>
          <cell r="AV267">
            <v>142100</v>
          </cell>
          <cell r="AW267">
            <v>148900</v>
          </cell>
          <cell r="AX267">
            <v>151450</v>
          </cell>
          <cell r="AY267">
            <v>159400</v>
          </cell>
          <cell r="AZ267">
            <v>169200.5</v>
          </cell>
          <cell r="BA267">
            <v>174276.51500000001</v>
          </cell>
          <cell r="BB267">
            <v>179504.81044999999</v>
          </cell>
          <cell r="BC267">
            <v>184889.95476350002</v>
          </cell>
          <cell r="BD267">
            <v>190436.65340640504</v>
          </cell>
          <cell r="BE267">
            <v>196149.75300859718</v>
          </cell>
          <cell r="BF267">
            <v>202034.24559885514</v>
          </cell>
          <cell r="BG267">
            <v>208095.2729668208</v>
          </cell>
          <cell r="BH267">
            <v>214338.13115582542</v>
          </cell>
          <cell r="BI267">
            <v>220768.27509050019</v>
          </cell>
          <cell r="BJ267">
            <v>227391.32334321519</v>
          </cell>
          <cell r="BK267">
            <v>234213.06304351165</v>
          </cell>
          <cell r="BL267">
            <v>241239.45493481698</v>
          </cell>
          <cell r="BM267">
            <v>248476.63858286152</v>
          </cell>
          <cell r="BN267">
            <v>255930.93774034735</v>
          </cell>
          <cell r="BO267">
            <v>263608.8658725578</v>
          </cell>
          <cell r="BP267">
            <v>271517.13184873457</v>
          </cell>
          <cell r="BQ267">
            <v>279662.6458041966</v>
          </cell>
          <cell r="BR267"/>
          <cell r="BS267">
            <v>11800</v>
          </cell>
          <cell r="BT267">
            <v>10900</v>
          </cell>
          <cell r="BU267">
            <v>10000</v>
          </cell>
          <cell r="BV267">
            <v>9900</v>
          </cell>
          <cell r="BW267">
            <v>10550</v>
          </cell>
          <cell r="BX267">
            <v>13750</v>
          </cell>
          <cell r="BY267">
            <v>18200</v>
          </cell>
          <cell r="BZ267">
            <v>22000</v>
          </cell>
          <cell r="CA267">
            <v>24100</v>
          </cell>
          <cell r="CB267">
            <v>24100</v>
          </cell>
          <cell r="CC267">
            <v>26843.150684931508</v>
          </cell>
          <cell r="CD267">
            <v>49309.589041095889</v>
          </cell>
          <cell r="CE267">
            <v>59000</v>
          </cell>
          <cell r="CF267">
            <v>68167.671232876703</v>
          </cell>
          <cell r="CG267">
            <v>79019.726027397264</v>
          </cell>
          <cell r="CH267">
            <v>89239.863013698632</v>
          </cell>
          <cell r="CI267">
            <v>115400</v>
          </cell>
          <cell r="CJ267">
            <v>112591.64383561643</v>
          </cell>
          <cell r="CK267">
            <v>133449.95068493151</v>
          </cell>
          <cell r="CL267">
            <v>133953.28767123289</v>
          </cell>
          <cell r="CM267">
            <v>146950</v>
          </cell>
          <cell r="CN267">
            <v>173052.05479452058</v>
          </cell>
          <cell r="CO267">
            <v>202007.80821917808</v>
          </cell>
          <cell r="CP267">
            <v>221646.43835616441</v>
          </cell>
          <cell r="CQ267">
            <v>199680.71135430917</v>
          </cell>
          <cell r="CR267">
            <v>189275</v>
          </cell>
          <cell r="CS267">
            <v>214148.49315068495</v>
          </cell>
          <cell r="CT267">
            <v>217117.67123287672</v>
          </cell>
          <cell r="CU267">
            <v>205354.75</v>
          </cell>
          <cell r="CV267">
            <v>226002.33150684932</v>
          </cell>
          <cell r="CW267">
            <v>233745.4794520548</v>
          </cell>
          <cell r="CX267">
            <v>157027.39726027398</v>
          </cell>
          <cell r="CY267">
            <v>145500</v>
          </cell>
          <cell r="CZ267">
            <v>155414.10958904109</v>
          </cell>
          <cell r="DA267">
            <v>171731.55405479454</v>
          </cell>
          <cell r="DB267">
            <v>182190.00569673153</v>
          </cell>
          <cell r="DC267">
            <v>193293.20320750109</v>
          </cell>
          <cell r="DD267">
            <v>205056.45650562161</v>
          </cell>
          <cell r="DE267">
            <v>217544.39470681394</v>
          </cell>
          <cell r="DF267">
            <v>230792.84834445894</v>
          </cell>
          <cell r="DG267">
            <v>244858.04675883925</v>
          </cell>
          <cell r="DH267">
            <v>259759.38409668248</v>
          </cell>
          <cell r="DI267">
            <v>275578.73058817041</v>
          </cell>
        </row>
        <row r="306">
          <cell r="A306" t="str">
            <v>NIM_NZTotalDeposits</v>
          </cell>
          <cell r="B306" t="str">
            <v>Total</v>
          </cell>
          <cell r="C306">
            <v>6.2680376559837853E-4</v>
          </cell>
          <cell r="D306">
            <v>2.8373980261354043E-3</v>
          </cell>
          <cell r="E306">
            <v>6.6171528439789642E-3</v>
          </cell>
          <cell r="F306">
            <v>3.8225138356963451E-3</v>
          </cell>
          <cell r="G306">
            <v>6.4489070045671976E-3</v>
          </cell>
          <cell r="H306">
            <v>1.4239449754254514E-2</v>
          </cell>
          <cell r="I306">
            <v>1.0752064186210546E-2</v>
          </cell>
          <cell r="J306">
            <v>5.7788594195048448E-3</v>
          </cell>
          <cell r="K306">
            <v>1.0702884783325879E-2</v>
          </cell>
          <cell r="L306">
            <v>-1.1149547797896509E-4</v>
          </cell>
          <cell r="M306">
            <v>8.6177144618708457E-4</v>
          </cell>
          <cell r="N306">
            <v>3.1924658227997366E-3</v>
          </cell>
          <cell r="O306">
            <v>5.4124036420545585E-4</v>
          </cell>
          <cell r="P306">
            <v>3.6956620656841133E-3</v>
          </cell>
          <cell r="Q306">
            <v>6.4598863027518771E-3</v>
          </cell>
          <cell r="R306">
            <v>-1.0111354284606813E-2</v>
          </cell>
          <cell r="S306">
            <v>-2.1873004934295365E-4</v>
          </cell>
          <cell r="T306">
            <v>9.3369372746810939E-3</v>
          </cell>
          <cell r="U306">
            <v>1.1108639710735613E-2</v>
          </cell>
          <cell r="V306">
            <v>1.1600168385264002E-2</v>
          </cell>
          <cell r="W306">
            <v>1.5349187046091915E-2</v>
          </cell>
          <cell r="X306">
            <v>1.2419265828130868E-2</v>
          </cell>
          <cell r="Y306">
            <v>3.8782907353627702E-3</v>
          </cell>
          <cell r="Z306">
            <v>-1.4479776777170834E-3</v>
          </cell>
          <cell r="AA306">
            <v>-3.5843227134727158E-3</v>
          </cell>
          <cell r="AB306">
            <v>-4.3360355334369112E-3</v>
          </cell>
          <cell r="AC306">
            <v>-6.4631511959531082E-3</v>
          </cell>
          <cell r="AD306">
            <v>-8.7693202841253141E-3</v>
          </cell>
          <cell r="AE306">
            <v>-1.0553768628638119E-2</v>
          </cell>
          <cell r="AF306">
            <v>-3.7878706403443561E-3</v>
          </cell>
          <cell r="AG306">
            <v>-3.0997466177078055E-3</v>
          </cell>
          <cell r="AH306">
            <v>-3.4693125834104957E-3</v>
          </cell>
          <cell r="AI306">
            <v>-3.6561587828408543E-3</v>
          </cell>
          <cell r="AJ306">
            <v>-3.176930238835432E-3</v>
          </cell>
          <cell r="AK306">
            <v>-1.5257242252099991E-3</v>
          </cell>
          <cell r="AL306">
            <v>-1.7877096741204593E-3</v>
          </cell>
          <cell r="AM306">
            <v>-7.2769445428275299E-3</v>
          </cell>
          <cell r="AN306">
            <v>-8.3746016163897038E-3</v>
          </cell>
          <cell r="AO306">
            <v>-1.0407623017354598E-2</v>
          </cell>
          <cell r="AP306">
            <v>-6.8442840857433464E-3</v>
          </cell>
          <cell r="AQ306">
            <v>-5.0356169736936462E-3</v>
          </cell>
          <cell r="AR306"/>
          <cell r="AS306"/>
          <cell r="AT306"/>
          <cell r="AU306"/>
          <cell r="AV306"/>
          <cell r="AW306"/>
          <cell r="AX306"/>
          <cell r="AY306"/>
          <cell r="AZ306"/>
          <cell r="BA306"/>
          <cell r="BB306"/>
          <cell r="BC306"/>
          <cell r="BD306"/>
          <cell r="BE306"/>
          <cell r="BF306"/>
          <cell r="BG306"/>
          <cell r="BH306"/>
          <cell r="BI306"/>
          <cell r="BJ306"/>
          <cell r="BK306"/>
          <cell r="BL306"/>
          <cell r="BM306"/>
          <cell r="BN306"/>
          <cell r="BO306"/>
          <cell r="BP306"/>
          <cell r="BQ306"/>
          <cell r="BR306"/>
          <cell r="BS306">
            <v>1.2048884960565859E-3</v>
          </cell>
          <cell r="BT306">
            <v>7.5186987200525149E-3</v>
          </cell>
          <cell r="BU306">
            <v>7.540392044001018E-3</v>
          </cell>
          <cell r="BV306">
            <v>1.6079003750153698E-2</v>
          </cell>
          <cell r="BW306">
            <v>-2.7269328168824103E-3</v>
          </cell>
          <cell r="BX306">
            <v>-9.3299580903575402E-3</v>
          </cell>
          <cell r="BY306">
            <v>-1.7705506421129134E-2</v>
          </cell>
          <cell r="BZ306">
            <v>7.0627618466544625E-3</v>
          </cell>
          <cell r="CA306">
            <v>1.3231228877975364E-2</v>
          </cell>
          <cell r="CB306">
            <v>4.3430959446093265E-3</v>
          </cell>
          <cell r="CC306">
            <v>4.7990911956103761E-3</v>
          </cell>
          <cell r="CD306">
            <v>5.1482360902670209E-3</v>
          </cell>
          <cell r="CE306">
            <v>1.2421087399915719E-2</v>
          </cell>
          <cell r="CF306">
            <v>8.252907489680739E-3</v>
          </cell>
          <cell r="CG306">
            <v>3.6434974182895095E-4</v>
          </cell>
          <cell r="CH306">
            <v>1.7888462864927256E-3</v>
          </cell>
          <cell r="CI306">
            <v>5.0618932812486004E-3</v>
          </cell>
          <cell r="CJ306">
            <v>-5.1970991509303925E-3</v>
          </cell>
          <cell r="CK306">
            <v>1.0238183907039568E-2</v>
          </cell>
          <cell r="CL306">
            <v>1.3520165605263437E-2</v>
          </cell>
          <cell r="CM306">
            <v>8.0427884118755202E-3</v>
          </cell>
          <cell r="CN306">
            <v>-2.5743991296012379E-3</v>
          </cell>
          <cell r="CO306">
            <v>-5.4188563013908547E-3</v>
          </cell>
          <cell r="CP306">
            <v>-9.6701458978488801E-3</v>
          </cell>
          <cell r="CQ306">
            <v>-3.4318739966020121E-3</v>
          </cell>
          <cell r="CR306">
            <v>-3.5618970688773648E-3</v>
          </cell>
          <cell r="CS306">
            <v>-2.3340278317936667E-3</v>
          </cell>
          <cell r="CT306">
            <v>-4.5568193016303207E-3</v>
          </cell>
          <cell r="CU306">
            <v>-9.4047874941394806E-3</v>
          </cell>
          <cell r="CV306">
            <v>-5.4322642782327034E-3</v>
          </cell>
          <cell r="CW306"/>
          <cell r="CX306"/>
          <cell r="CY306"/>
          <cell r="CZ306"/>
          <cell r="DA306"/>
          <cell r="DB306"/>
          <cell r="DC306"/>
          <cell r="DD306"/>
          <cell r="DE306"/>
          <cell r="DF306"/>
          <cell r="DG306"/>
          <cell r="DH306"/>
          <cell r="DI306"/>
        </row>
        <row r="312">
          <cell r="C312"/>
          <cell r="D312"/>
          <cell r="E312"/>
          <cell r="F312"/>
          <cell r="G312"/>
          <cell r="H312"/>
          <cell r="I312"/>
          <cell r="J312"/>
          <cell r="K312"/>
          <cell r="L312"/>
          <cell r="M312"/>
          <cell r="N312"/>
          <cell r="O312"/>
          <cell r="P312"/>
          <cell r="Q312"/>
          <cell r="R312"/>
          <cell r="S312"/>
          <cell r="T312"/>
          <cell r="U312"/>
          <cell r="V312"/>
          <cell r="W312"/>
          <cell r="X312"/>
          <cell r="Y312"/>
          <cell r="Z312"/>
          <cell r="AA312"/>
          <cell r="AB312"/>
          <cell r="AC312"/>
          <cell r="AD312"/>
          <cell r="AE312"/>
          <cell r="AF312"/>
          <cell r="AG312"/>
          <cell r="AH312"/>
          <cell r="AI312"/>
          <cell r="AJ312"/>
          <cell r="AK312"/>
          <cell r="AL312"/>
          <cell r="AM312"/>
          <cell r="AN312"/>
          <cell r="AO312"/>
          <cell r="AP312"/>
          <cell r="AQ312"/>
          <cell r="AR312"/>
          <cell r="AS312"/>
          <cell r="AT312"/>
          <cell r="AU312"/>
          <cell r="AV312"/>
          <cell r="AW312"/>
          <cell r="AX312"/>
          <cell r="AY312"/>
          <cell r="AZ312"/>
          <cell r="BA312"/>
          <cell r="BB312"/>
          <cell r="BC312"/>
          <cell r="BD312"/>
          <cell r="BE312"/>
          <cell r="BF312"/>
          <cell r="BG312"/>
          <cell r="BH312"/>
          <cell r="BI312"/>
          <cell r="BJ312"/>
          <cell r="BK312"/>
          <cell r="BL312"/>
          <cell r="BM312"/>
          <cell r="BN312"/>
          <cell r="BO312"/>
          <cell r="BP312"/>
          <cell r="BQ312"/>
          <cell r="BR312"/>
          <cell r="BS312"/>
          <cell r="BT312"/>
          <cell r="BU312"/>
          <cell r="BV312"/>
          <cell r="BW312"/>
          <cell r="BX312"/>
          <cell r="BY312"/>
          <cell r="BZ312"/>
          <cell r="CA312"/>
          <cell r="CB312"/>
          <cell r="CC312"/>
          <cell r="CD312"/>
          <cell r="CE312"/>
          <cell r="CF312"/>
          <cell r="CG312"/>
          <cell r="CH312"/>
          <cell r="CI312"/>
          <cell r="CJ312"/>
          <cell r="CK312"/>
          <cell r="CL312"/>
          <cell r="CM312"/>
          <cell r="CN312"/>
          <cell r="CO312"/>
          <cell r="CP312"/>
          <cell r="CQ312"/>
          <cell r="CR312"/>
          <cell r="CS312"/>
          <cell r="CT312"/>
          <cell r="CU312"/>
          <cell r="CV312"/>
          <cell r="CW312"/>
          <cell r="CX312"/>
          <cell r="CY312"/>
          <cell r="CZ312"/>
          <cell r="DA312"/>
          <cell r="DB312"/>
          <cell r="DC312"/>
          <cell r="DD312"/>
          <cell r="DE312"/>
          <cell r="DF312"/>
          <cell r="DG312"/>
          <cell r="DH312"/>
          <cell r="DI312"/>
        </row>
        <row r="335">
          <cell r="C335"/>
          <cell r="D335"/>
          <cell r="E335"/>
          <cell r="F335"/>
          <cell r="G335"/>
          <cell r="H335"/>
          <cell r="I335"/>
          <cell r="J335"/>
          <cell r="K335"/>
          <cell r="L335"/>
          <cell r="M335"/>
          <cell r="N335"/>
          <cell r="O335"/>
          <cell r="P335"/>
          <cell r="Q335"/>
          <cell r="R335"/>
          <cell r="S335"/>
          <cell r="T335"/>
          <cell r="U335"/>
          <cell r="V335"/>
          <cell r="W335"/>
          <cell r="X335"/>
          <cell r="Y335"/>
          <cell r="Z335"/>
          <cell r="AA335"/>
          <cell r="AB335"/>
          <cell r="AC335"/>
          <cell r="AD335"/>
          <cell r="AE335"/>
          <cell r="AF335"/>
          <cell r="AG335"/>
          <cell r="AH335"/>
          <cell r="AI335"/>
          <cell r="AJ335"/>
          <cell r="AK335"/>
          <cell r="AL335"/>
          <cell r="AM335"/>
          <cell r="AN335"/>
          <cell r="AO335"/>
          <cell r="AP335"/>
          <cell r="AQ335"/>
          <cell r="AR335"/>
          <cell r="AS335"/>
          <cell r="AT335"/>
          <cell r="AU335"/>
          <cell r="AV335"/>
          <cell r="AW335"/>
          <cell r="AX335"/>
          <cell r="AY335"/>
          <cell r="AZ335"/>
          <cell r="BA335"/>
          <cell r="BB335"/>
          <cell r="BC335"/>
          <cell r="BD335"/>
          <cell r="BE335"/>
          <cell r="BF335"/>
          <cell r="BG335"/>
          <cell r="BH335"/>
          <cell r="BI335"/>
          <cell r="BJ335"/>
          <cell r="BK335"/>
          <cell r="BL335"/>
          <cell r="BM335"/>
          <cell r="BN335"/>
          <cell r="BO335"/>
          <cell r="BP335"/>
          <cell r="BQ335"/>
          <cell r="BR335"/>
          <cell r="BS335"/>
          <cell r="BT335"/>
          <cell r="BU335"/>
          <cell r="BV335"/>
          <cell r="BW335"/>
          <cell r="BX335"/>
          <cell r="BY335"/>
          <cell r="BZ335"/>
          <cell r="CA335"/>
          <cell r="CB335"/>
          <cell r="CC335"/>
          <cell r="CD335"/>
          <cell r="CE335"/>
          <cell r="CF335"/>
          <cell r="CG335"/>
          <cell r="CH335"/>
          <cell r="CI335"/>
          <cell r="CJ335"/>
          <cell r="CK335"/>
          <cell r="CL335"/>
          <cell r="CM335"/>
          <cell r="CN335"/>
          <cell r="CO335"/>
          <cell r="CP335"/>
          <cell r="CQ335"/>
          <cell r="CR335"/>
          <cell r="CS335"/>
          <cell r="CT335"/>
          <cell r="CU335"/>
          <cell r="CV335"/>
          <cell r="CW335"/>
          <cell r="CX335"/>
          <cell r="CY335"/>
          <cell r="CZ335"/>
          <cell r="DA335"/>
          <cell r="DB335"/>
          <cell r="DC335"/>
          <cell r="DD335"/>
          <cell r="DE335"/>
          <cell r="DF335"/>
          <cell r="DG335"/>
          <cell r="DH335"/>
          <cell r="DI335"/>
        </row>
        <row r="411">
          <cell r="A411" t="str">
            <v>OI_BDDAdjustment</v>
          </cell>
          <cell r="B411" t="str">
            <v>Bad debt expense adjustments</v>
          </cell>
          <cell r="C411">
            <v>0</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G411">
            <v>0</v>
          </cell>
          <cell r="AH411">
            <v>0</v>
          </cell>
          <cell r="AI411">
            <v>0</v>
          </cell>
          <cell r="AJ411">
            <v>0</v>
          </cell>
          <cell r="AK411">
            <v>0</v>
          </cell>
          <cell r="AL411">
            <v>0</v>
          </cell>
          <cell r="AM411">
            <v>0</v>
          </cell>
          <cell r="AN411">
            <v>0</v>
          </cell>
          <cell r="AO411">
            <v>0</v>
          </cell>
          <cell r="AP411">
            <v>0</v>
          </cell>
          <cell r="AQ411">
            <v>0</v>
          </cell>
          <cell r="AR411">
            <v>0</v>
          </cell>
          <cell r="AS411">
            <v>0</v>
          </cell>
          <cell r="AT411">
            <v>0</v>
          </cell>
          <cell r="AU411">
            <v>0</v>
          </cell>
          <cell r="AV411">
            <v>0</v>
          </cell>
          <cell r="AW411">
            <v>0</v>
          </cell>
          <cell r="AX411">
            <v>0</v>
          </cell>
          <cell r="AY411">
            <v>0</v>
          </cell>
          <cell r="AZ411">
            <v>0</v>
          </cell>
          <cell r="BA411">
            <v>0</v>
          </cell>
          <cell r="BB411">
            <v>0</v>
          </cell>
          <cell r="BC411">
            <v>0</v>
          </cell>
          <cell r="BD411">
            <v>0</v>
          </cell>
          <cell r="BE411">
            <v>0</v>
          </cell>
          <cell r="BF411">
            <v>0</v>
          </cell>
          <cell r="BG411">
            <v>0</v>
          </cell>
          <cell r="BH411">
            <v>0</v>
          </cell>
          <cell r="BI411">
            <v>0</v>
          </cell>
          <cell r="BJ411">
            <v>0</v>
          </cell>
          <cell r="BK411">
            <v>0</v>
          </cell>
          <cell r="BL411">
            <v>0</v>
          </cell>
          <cell r="BM411">
            <v>0</v>
          </cell>
          <cell r="BN411">
            <v>0</v>
          </cell>
          <cell r="BO411">
            <v>0</v>
          </cell>
          <cell r="BP411">
            <v>0</v>
          </cell>
          <cell r="BQ411">
            <v>0</v>
          </cell>
          <cell r="BR411"/>
          <cell r="BS411">
            <v>0</v>
          </cell>
          <cell r="BT411">
            <v>0</v>
          </cell>
          <cell r="BU411">
            <v>0</v>
          </cell>
          <cell r="BV411">
            <v>0</v>
          </cell>
          <cell r="BW411">
            <v>0</v>
          </cell>
          <cell r="BX411">
            <v>0</v>
          </cell>
          <cell r="BY411">
            <v>0</v>
          </cell>
          <cell r="BZ411">
            <v>0</v>
          </cell>
          <cell r="CA411">
            <v>0</v>
          </cell>
          <cell r="CB411">
            <v>0</v>
          </cell>
          <cell r="CC411">
            <v>0</v>
          </cell>
          <cell r="CD411">
            <v>0</v>
          </cell>
          <cell r="CE411">
            <v>0</v>
          </cell>
          <cell r="CF411">
            <v>0</v>
          </cell>
          <cell r="CG411">
            <v>0</v>
          </cell>
          <cell r="CH411">
            <v>0</v>
          </cell>
          <cell r="CI411">
            <v>0</v>
          </cell>
          <cell r="CJ411">
            <v>0</v>
          </cell>
          <cell r="CK411">
            <v>0</v>
          </cell>
          <cell r="CL411">
            <v>0</v>
          </cell>
          <cell r="CM411">
            <v>0</v>
          </cell>
          <cell r="CN411">
            <v>0</v>
          </cell>
          <cell r="CO411">
            <v>0</v>
          </cell>
          <cell r="CP411">
            <v>0</v>
          </cell>
          <cell r="CQ411">
            <v>0</v>
          </cell>
          <cell r="CR411">
            <v>0</v>
          </cell>
          <cell r="CS411">
            <v>0</v>
          </cell>
          <cell r="CT411">
            <v>0</v>
          </cell>
          <cell r="CU411">
            <v>0</v>
          </cell>
          <cell r="CV411">
            <v>0</v>
          </cell>
          <cell r="CW411">
            <v>0</v>
          </cell>
          <cell r="CX411">
            <v>0</v>
          </cell>
          <cell r="CY411">
            <v>0</v>
          </cell>
          <cell r="CZ411">
            <v>0</v>
          </cell>
          <cell r="DA411">
            <v>0</v>
          </cell>
          <cell r="DB411">
            <v>0</v>
          </cell>
          <cell r="DC411">
            <v>0</v>
          </cell>
          <cell r="DD411">
            <v>0</v>
          </cell>
          <cell r="DE411">
            <v>0</v>
          </cell>
          <cell r="DF411">
            <v>0</v>
          </cell>
          <cell r="DG411">
            <v>0</v>
          </cell>
          <cell r="DH411">
            <v>0</v>
          </cell>
          <cell r="DI411">
            <v>0</v>
          </cell>
        </row>
        <row r="458">
          <cell r="A458" t="str">
            <v>UE_BDDAdjustment</v>
          </cell>
          <cell r="B458" t="str">
            <v>Bad debt expense adjustments</v>
          </cell>
          <cell r="C458">
            <v>0</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0</v>
          </cell>
          <cell r="AE458">
            <v>0</v>
          </cell>
          <cell r="AF458">
            <v>0</v>
          </cell>
          <cell r="AG458">
            <v>0</v>
          </cell>
          <cell r="AH458">
            <v>0</v>
          </cell>
          <cell r="AI458">
            <v>0</v>
          </cell>
          <cell r="AJ458">
            <v>0</v>
          </cell>
          <cell r="AK458">
            <v>0</v>
          </cell>
          <cell r="AL458">
            <v>0</v>
          </cell>
          <cell r="AM458">
            <v>0</v>
          </cell>
          <cell r="AN458">
            <v>0</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0</v>
          </cell>
          <cell r="BK458">
            <v>0</v>
          </cell>
          <cell r="BL458">
            <v>0</v>
          </cell>
          <cell r="BM458">
            <v>0</v>
          </cell>
          <cell r="BN458">
            <v>0</v>
          </cell>
          <cell r="BO458">
            <v>0</v>
          </cell>
          <cell r="BP458">
            <v>0</v>
          </cell>
          <cell r="BQ458">
            <v>0</v>
          </cell>
          <cell r="BR458"/>
          <cell r="BS458">
            <v>0</v>
          </cell>
          <cell r="BT458">
            <v>0</v>
          </cell>
          <cell r="BU458">
            <v>0</v>
          </cell>
          <cell r="BV458">
            <v>0</v>
          </cell>
          <cell r="BW458">
            <v>0</v>
          </cell>
          <cell r="BX458">
            <v>0</v>
          </cell>
          <cell r="BY458">
            <v>0</v>
          </cell>
          <cell r="BZ458">
            <v>0</v>
          </cell>
          <cell r="CA458">
            <v>0</v>
          </cell>
          <cell r="CB458">
            <v>0</v>
          </cell>
          <cell r="CC458">
            <v>0</v>
          </cell>
          <cell r="CD458">
            <v>0</v>
          </cell>
          <cell r="CE458">
            <v>0</v>
          </cell>
          <cell r="CF458">
            <v>0</v>
          </cell>
          <cell r="CG458">
            <v>0</v>
          </cell>
          <cell r="CH458">
            <v>0</v>
          </cell>
          <cell r="CI458">
            <v>0</v>
          </cell>
          <cell r="CJ458">
            <v>0</v>
          </cell>
          <cell r="CK458">
            <v>0</v>
          </cell>
          <cell r="CL458">
            <v>0</v>
          </cell>
          <cell r="CM458">
            <v>0</v>
          </cell>
          <cell r="CN458">
            <v>0</v>
          </cell>
          <cell r="CO458">
            <v>0</v>
          </cell>
          <cell r="CP458">
            <v>0</v>
          </cell>
          <cell r="CQ458">
            <v>0</v>
          </cell>
          <cell r="CR458">
            <v>0</v>
          </cell>
          <cell r="CS458">
            <v>0</v>
          </cell>
          <cell r="CT458">
            <v>0</v>
          </cell>
          <cell r="CU458">
            <v>0</v>
          </cell>
          <cell r="CV458">
            <v>0</v>
          </cell>
          <cell r="CW458">
            <v>0</v>
          </cell>
          <cell r="CX458">
            <v>0</v>
          </cell>
          <cell r="CY458">
            <v>0</v>
          </cell>
          <cell r="CZ458">
            <v>0</v>
          </cell>
          <cell r="DA458">
            <v>0</v>
          </cell>
          <cell r="DB458">
            <v>0</v>
          </cell>
          <cell r="DC458">
            <v>0</v>
          </cell>
          <cell r="DD458">
            <v>0</v>
          </cell>
          <cell r="DE458">
            <v>0</v>
          </cell>
          <cell r="DF458">
            <v>0</v>
          </cell>
          <cell r="DG458">
            <v>0</v>
          </cell>
          <cell r="DH458">
            <v>0</v>
          </cell>
          <cell r="DI458">
            <v>0</v>
          </cell>
        </row>
        <row r="462">
          <cell r="A462" t="str">
            <v>UE_NonCashAdjustment</v>
          </cell>
          <cell r="B462" t="str">
            <v>Company non-cash adjustments</v>
          </cell>
          <cell r="C462">
            <v>0</v>
          </cell>
          <cell r="D462">
            <v>57</v>
          </cell>
          <cell r="E462">
            <v>-94</v>
          </cell>
          <cell r="F462">
            <v>-78</v>
          </cell>
          <cell r="G462">
            <v>-85</v>
          </cell>
          <cell r="H462">
            <v>-100</v>
          </cell>
          <cell r="I462">
            <v>-38</v>
          </cell>
          <cell r="J462">
            <v>-14</v>
          </cell>
          <cell r="K462">
            <v>138</v>
          </cell>
          <cell r="L462">
            <v>2</v>
          </cell>
          <cell r="M462">
            <v>117</v>
          </cell>
          <cell r="N462">
            <v>49</v>
          </cell>
          <cell r="O462">
            <v>38</v>
          </cell>
          <cell r="P462">
            <v>-638</v>
          </cell>
          <cell r="Q462">
            <v>-1630</v>
          </cell>
          <cell r="R462">
            <v>-294</v>
          </cell>
          <cell r="S462">
            <v>-455</v>
          </cell>
          <cell r="T462">
            <v>-246</v>
          </cell>
          <cell r="U462">
            <v>-198</v>
          </cell>
          <cell r="V462">
            <v>-306</v>
          </cell>
          <cell r="W462">
            <v>-204</v>
          </cell>
          <cell r="X462">
            <v>-295</v>
          </cell>
          <cell r="Y462">
            <v>-328</v>
          </cell>
          <cell r="Z462">
            <v>-294</v>
          </cell>
          <cell r="AA462">
            <v>-161</v>
          </cell>
          <cell r="AB462">
            <v>-199</v>
          </cell>
          <cell r="AC462">
            <v>15</v>
          </cell>
          <cell r="AD462">
            <v>-179</v>
          </cell>
          <cell r="AE462">
            <v>443</v>
          </cell>
          <cell r="AF462">
            <v>-295</v>
          </cell>
          <cell r="AG462">
            <v>-242</v>
          </cell>
          <cell r="AH462">
            <v>-124</v>
          </cell>
          <cell r="AI462">
            <v>41</v>
          </cell>
          <cell r="AJ462">
            <v>-120</v>
          </cell>
          <cell r="AK462">
            <v>94</v>
          </cell>
          <cell r="AL462">
            <v>-174</v>
          </cell>
          <cell r="AM462">
            <v>93</v>
          </cell>
          <cell r="AN462">
            <v>242</v>
          </cell>
          <cell r="AO462">
            <v>-724</v>
          </cell>
          <cell r="AP462">
            <v>-129</v>
          </cell>
          <cell r="AQ462">
            <v>285</v>
          </cell>
          <cell r="AR462">
            <v>0</v>
          </cell>
          <cell r="AS462">
            <v>0</v>
          </cell>
          <cell r="AT462">
            <v>0</v>
          </cell>
          <cell r="AU462">
            <v>0</v>
          </cell>
          <cell r="AV462">
            <v>0</v>
          </cell>
          <cell r="AW462">
            <v>0</v>
          </cell>
          <cell r="AX462">
            <v>-199.67949840000003</v>
          </cell>
          <cell r="AY462">
            <v>120</v>
          </cell>
          <cell r="AZ462">
            <v>0.51902936597686489</v>
          </cell>
          <cell r="BA462">
            <v>0.53786884998055362</v>
          </cell>
          <cell r="BB462">
            <v>0.54801600058755295</v>
          </cell>
          <cell r="BC462">
            <v>0.56453255436807104</v>
          </cell>
          <cell r="BD462">
            <v>0.5763843793778759</v>
          </cell>
          <cell r="BE462">
            <v>0.58953019279614505</v>
          </cell>
          <cell r="BF462">
            <v>0.60092043789900562</v>
          </cell>
          <cell r="BG462">
            <v>0.61695672398354884</v>
          </cell>
          <cell r="BH462">
            <v>0.62576267645175143</v>
          </cell>
          <cell r="BI462">
            <v>0.64079325228059747</v>
          </cell>
          <cell r="BJ462">
            <v>0</v>
          </cell>
          <cell r="BK462">
            <v>0</v>
          </cell>
          <cell r="BL462">
            <v>0</v>
          </cell>
          <cell r="BM462">
            <v>0</v>
          </cell>
          <cell r="BN462">
            <v>0</v>
          </cell>
          <cell r="BO462">
            <v>0</v>
          </cell>
          <cell r="BP462">
            <v>0</v>
          </cell>
          <cell r="BQ462">
            <v>0</v>
          </cell>
          <cell r="BR462"/>
          <cell r="BS462">
            <v>0</v>
          </cell>
          <cell r="BT462">
            <v>0</v>
          </cell>
          <cell r="BU462">
            <v>62</v>
          </cell>
          <cell r="BV462">
            <v>44</v>
          </cell>
          <cell r="BW462">
            <v>68</v>
          </cell>
          <cell r="BX462">
            <v>127</v>
          </cell>
          <cell r="BY462">
            <v>128</v>
          </cell>
          <cell r="BZ462">
            <v>27</v>
          </cell>
          <cell r="CA462">
            <v>71</v>
          </cell>
          <cell r="CB462">
            <v>51</v>
          </cell>
          <cell r="CC462">
            <v>-37</v>
          </cell>
          <cell r="CD462">
            <v>-163</v>
          </cell>
          <cell r="CE462">
            <v>-138</v>
          </cell>
          <cell r="CF462">
            <v>124</v>
          </cell>
          <cell r="CG462">
            <v>119</v>
          </cell>
          <cell r="CH462">
            <v>87</v>
          </cell>
          <cell r="CI462">
            <v>-2268</v>
          </cell>
          <cell r="CJ462">
            <v>-749</v>
          </cell>
          <cell r="CK462">
            <v>-444</v>
          </cell>
          <cell r="CL462">
            <v>-510</v>
          </cell>
          <cell r="CM462">
            <v>-623</v>
          </cell>
          <cell r="CN462">
            <v>-455</v>
          </cell>
          <cell r="CO462">
            <v>-184</v>
          </cell>
          <cell r="CP462">
            <v>264</v>
          </cell>
          <cell r="CQ462">
            <v>-537</v>
          </cell>
          <cell r="CR462">
            <v>-83</v>
          </cell>
          <cell r="CS462">
            <v>-26</v>
          </cell>
          <cell r="CT462">
            <v>-81</v>
          </cell>
          <cell r="CU462">
            <v>-482</v>
          </cell>
          <cell r="CV462">
            <v>156</v>
          </cell>
          <cell r="CW462">
            <v>0</v>
          </cell>
          <cell r="CX462">
            <v>0</v>
          </cell>
          <cell r="CY462">
            <v>0</v>
          </cell>
          <cell r="CZ462">
            <v>-79.679498400000028</v>
          </cell>
          <cell r="DA462">
            <v>1.0568982159574185</v>
          </cell>
          <cell r="DB462">
            <v>1.112548554955624</v>
          </cell>
          <cell r="DC462">
            <v>1.1659145721740209</v>
          </cell>
          <cell r="DD462">
            <v>1.2178771618825546</v>
          </cell>
          <cell r="DE462">
            <v>1.2665559287323489</v>
          </cell>
          <cell r="DF462">
            <v>0</v>
          </cell>
          <cell r="DG462">
            <v>0</v>
          </cell>
          <cell r="DH462">
            <v>0</v>
          </cell>
          <cell r="DI462">
            <v>0</v>
          </cell>
        </row>
        <row r="478">
          <cell r="A478" t="str">
            <v>BDD_TotalCoyCash</v>
          </cell>
          <cell r="B478" t="str">
            <v>Company reported cash bad debt expense</v>
          </cell>
          <cell r="C478">
            <v>-257</v>
          </cell>
          <cell r="D478">
            <v>-271</v>
          </cell>
          <cell r="E478">
            <v>-190</v>
          </cell>
          <cell r="F478">
            <v>-214</v>
          </cell>
          <cell r="G478">
            <v>-271</v>
          </cell>
          <cell r="H478">
            <v>-207</v>
          </cell>
          <cell r="I478">
            <v>-207</v>
          </cell>
          <cell r="J478">
            <v>-203</v>
          </cell>
          <cell r="K478">
            <v>-179</v>
          </cell>
          <cell r="L478">
            <v>-185</v>
          </cell>
          <cell r="M478">
            <v>-190</v>
          </cell>
          <cell r="N478">
            <v>-232</v>
          </cell>
          <cell r="O478">
            <v>-250</v>
          </cell>
          <cell r="P478">
            <v>-541</v>
          </cell>
          <cell r="Q478">
            <v>-664</v>
          </cell>
          <cell r="R478">
            <v>-1611</v>
          </cell>
          <cell r="S478">
            <v>-1681</v>
          </cell>
          <cell r="T478">
            <v>-879</v>
          </cell>
          <cell r="U478">
            <v>-577</v>
          </cell>
          <cell r="V478">
            <v>-463</v>
          </cell>
          <cell r="W478">
            <v>-530</v>
          </cell>
          <cell r="X478">
            <v>-608</v>
          </cell>
          <cell r="Y478">
            <v>-604</v>
          </cell>
          <cell r="Z478">
            <v>-438</v>
          </cell>
          <cell r="AA478">
            <v>-409</v>
          </cell>
          <cell r="AB478">
            <v>-341</v>
          </cell>
          <cell r="AC478">
            <v>-309</v>
          </cell>
          <cell r="AD478">
            <v>-341</v>
          </cell>
          <cell r="AE478">
            <v>-412</v>
          </cell>
          <cell r="AF478">
            <v>-667</v>
          </cell>
          <cell r="AG478">
            <v>-457</v>
          </cell>
          <cell r="AH478">
            <v>-493</v>
          </cell>
          <cell r="AI478">
            <v>-360</v>
          </cell>
          <cell r="AJ478">
            <v>-444</v>
          </cell>
          <cell r="AK478">
            <v>-368</v>
          </cell>
          <cell r="AL478">
            <v>-333</v>
          </cell>
          <cell r="AM478">
            <v>-461</v>
          </cell>
          <cell r="AN478">
            <v>-2238</v>
          </cell>
          <cell r="AO478">
            <v>-940</v>
          </cell>
          <cell r="AP478">
            <v>372</v>
          </cell>
          <cell r="AQ478">
            <v>218</v>
          </cell>
          <cell r="AR478">
            <v>-139</v>
          </cell>
          <cell r="AS478">
            <v>-196</v>
          </cell>
          <cell r="AT478">
            <v>-390</v>
          </cell>
          <cell r="AU478">
            <v>-258</v>
          </cell>
          <cell r="AV478">
            <v>-362</v>
          </cell>
          <cell r="AW478">
            <v>-175</v>
          </cell>
          <cell r="AX478">
            <v>-250</v>
          </cell>
          <cell r="AY478">
            <v>-174</v>
          </cell>
          <cell r="AZ478">
            <v>-374.49434400444704</v>
          </cell>
          <cell r="BA478">
            <v>-386.80035751975447</v>
          </cell>
          <cell r="BB478">
            <v>-418.77733724230359</v>
          </cell>
          <cell r="BC478">
            <v>-456.0586965786016</v>
          </cell>
          <cell r="BD478">
            <v>-524.00480862065456</v>
          </cell>
          <cell r="BE478">
            <v>-535.45017161419537</v>
          </cell>
          <cell r="BF478">
            <v>-514.65383848743375</v>
          </cell>
          <cell r="BG478">
            <v>-493.01387586415649</v>
          </cell>
          <cell r="BH478">
            <v>-503.64851254954863</v>
          </cell>
          <cell r="BI478">
            <v>-480.59530969587809</v>
          </cell>
          <cell r="BJ478">
            <v>-669.22269703916459</v>
          </cell>
          <cell r="BK478">
            <v>-710.65888425625315</v>
          </cell>
          <cell r="BL478">
            <v>-786.44705980794311</v>
          </cell>
          <cell r="BM478">
            <v>-825.7910986794102</v>
          </cell>
          <cell r="BN478">
            <v>-864.24882025951024</v>
          </cell>
          <cell r="BO478">
            <v>-910.78052581315808</v>
          </cell>
          <cell r="BP478">
            <v>-915.35891433659287</v>
          </cell>
          <cell r="BQ478">
            <v>-929.43865258008213</v>
          </cell>
          <cell r="BR478"/>
          <cell r="BS478">
            <v>-2802</v>
          </cell>
          <cell r="BT478">
            <v>-1292</v>
          </cell>
          <cell r="BU478">
            <v>-695</v>
          </cell>
          <cell r="BV478">
            <v>-330</v>
          </cell>
          <cell r="BW478">
            <v>-121</v>
          </cell>
          <cell r="BX478">
            <v>-78</v>
          </cell>
          <cell r="BY478">
            <v>-168</v>
          </cell>
          <cell r="BZ478">
            <v>-171</v>
          </cell>
          <cell r="CA478">
            <v>-202</v>
          </cell>
          <cell r="CB478">
            <v>-433</v>
          </cell>
          <cell r="CC478">
            <v>-461</v>
          </cell>
          <cell r="CD478">
            <v>-485</v>
          </cell>
          <cell r="CE478">
            <v>-414</v>
          </cell>
          <cell r="CF478">
            <v>-382</v>
          </cell>
          <cell r="CG478">
            <v>-375</v>
          </cell>
          <cell r="CH478">
            <v>-482</v>
          </cell>
          <cell r="CI478">
            <v>-1205</v>
          </cell>
          <cell r="CJ478">
            <v>-3292</v>
          </cell>
          <cell r="CK478">
            <v>-1456</v>
          </cell>
          <cell r="CL478">
            <v>-993</v>
          </cell>
          <cell r="CM478">
            <v>-1212</v>
          </cell>
          <cell r="CN478">
            <v>-847</v>
          </cell>
          <cell r="CO478">
            <v>-650</v>
          </cell>
          <cell r="CP478">
            <v>-753</v>
          </cell>
          <cell r="CQ478">
            <v>-1124</v>
          </cell>
          <cell r="CR478">
            <v>-853</v>
          </cell>
          <cell r="CS478">
            <v>-812</v>
          </cell>
          <cell r="CT478">
            <v>-794</v>
          </cell>
          <cell r="CU478">
            <v>-3178</v>
          </cell>
          <cell r="CV478">
            <v>590</v>
          </cell>
          <cell r="CW478">
            <v>-335</v>
          </cell>
          <cell r="CX478">
            <v>-648</v>
          </cell>
          <cell r="CY478">
            <v>-537</v>
          </cell>
          <cell r="CZ478">
            <v>-424</v>
          </cell>
          <cell r="DA478">
            <v>-761.29470152420151</v>
          </cell>
          <cell r="DB478">
            <v>-874.83603382090519</v>
          </cell>
          <cell r="DC478">
            <v>-1059.4549802348499</v>
          </cell>
          <cell r="DD478">
            <v>-1007.6677143515902</v>
          </cell>
          <cell r="DE478">
            <v>-984.24382224542671</v>
          </cell>
          <cell r="DF478">
            <v>-1379.8815812954176</v>
          </cell>
          <cell r="DG478">
            <v>-1612.2381584873533</v>
          </cell>
          <cell r="DH478">
            <v>-1775.0293460726684</v>
          </cell>
          <cell r="DI478">
            <v>-1844.7975669166749</v>
          </cell>
        </row>
        <row r="483">
          <cell r="A483" t="str">
            <v>PreTax</v>
          </cell>
          <cell r="B483" t="str">
            <v>PRE-TAX EARNINGS</v>
          </cell>
          <cell r="C483">
            <v>1392</v>
          </cell>
          <cell r="D483">
            <v>1455</v>
          </cell>
          <cell r="E483">
            <v>1438</v>
          </cell>
          <cell r="F483">
            <v>1466</v>
          </cell>
          <cell r="G483">
            <v>1616</v>
          </cell>
          <cell r="H483">
            <v>1746</v>
          </cell>
          <cell r="I483">
            <v>1910</v>
          </cell>
          <cell r="J483">
            <v>1901</v>
          </cell>
          <cell r="K483">
            <v>2147</v>
          </cell>
          <cell r="L483">
            <v>2241</v>
          </cell>
          <cell r="M483">
            <v>2187</v>
          </cell>
          <cell r="N483">
            <v>2399</v>
          </cell>
          <cell r="O483">
            <v>2662</v>
          </cell>
          <cell r="P483">
            <v>3439</v>
          </cell>
          <cell r="Q483">
            <v>3774</v>
          </cell>
          <cell r="R483">
            <v>3341</v>
          </cell>
          <cell r="S483">
            <v>3450</v>
          </cell>
          <cell r="T483">
            <v>4256</v>
          </cell>
          <cell r="U483">
            <v>4226</v>
          </cell>
          <cell r="V483">
            <v>4537</v>
          </cell>
          <cell r="W483">
            <v>4487</v>
          </cell>
          <cell r="X483">
            <v>4623</v>
          </cell>
          <cell r="Y483">
            <v>4862</v>
          </cell>
          <cell r="Z483">
            <v>5093</v>
          </cell>
          <cell r="AA483">
            <v>5134</v>
          </cell>
          <cell r="AB483">
            <v>5453</v>
          </cell>
          <cell r="AC483">
            <v>5471</v>
          </cell>
          <cell r="AD483">
            <v>5425</v>
          </cell>
          <cell r="AE483">
            <v>5727</v>
          </cell>
          <cell r="AF483">
            <v>5533</v>
          </cell>
          <cell r="AG483">
            <v>5648</v>
          </cell>
          <cell r="AH483">
            <v>5767</v>
          </cell>
          <cell r="AI483">
            <v>5831</v>
          </cell>
          <cell r="AJ483">
            <v>6104</v>
          </cell>
          <cell r="AK483">
            <v>5551</v>
          </cell>
          <cell r="AL483">
            <v>4729</v>
          </cell>
          <cell r="AM483">
            <v>5101</v>
          </cell>
          <cell r="AN483">
            <v>1943</v>
          </cell>
          <cell r="AO483">
            <v>2805</v>
          </cell>
          <cell r="AP483">
            <v>5190</v>
          </cell>
          <cell r="AQ483">
            <v>3155</v>
          </cell>
          <cell r="AR483">
            <v>4725</v>
          </cell>
          <cell r="AS483">
            <v>3755</v>
          </cell>
          <cell r="AT483">
            <v>5625</v>
          </cell>
          <cell r="AU483">
            <v>4680</v>
          </cell>
          <cell r="AV483">
            <v>4833</v>
          </cell>
          <cell r="AW483">
            <v>5274</v>
          </cell>
          <cell r="AX483">
            <v>5044.6794984000007</v>
          </cell>
          <cell r="AY483">
            <v>5079</v>
          </cell>
          <cell r="AZ483">
            <v>5272.7432665227743</v>
          </cell>
          <cell r="BA483">
            <v>5401.0860384051539</v>
          </cell>
          <cell r="BB483">
            <v>5391.9531329112488</v>
          </cell>
          <cell r="BC483">
            <v>5364.2328877734153</v>
          </cell>
          <cell r="BD483">
            <v>5524.3771066148029</v>
          </cell>
          <cell r="BE483">
            <v>5543.7137199867193</v>
          </cell>
          <cell r="BF483">
            <v>5809.5287375289372</v>
          </cell>
          <cell r="BG483">
            <v>5936.9534936328637</v>
          </cell>
          <cell r="BH483">
            <v>6139.5489973077947</v>
          </cell>
          <cell r="BI483">
            <v>6273.6218072537686</v>
          </cell>
          <cell r="BJ483">
            <v>6315.3344823642501</v>
          </cell>
          <cell r="BK483">
            <v>6268.3837179184766</v>
          </cell>
          <cell r="BL483">
            <v>6363.6995307109764</v>
          </cell>
          <cell r="BM483">
            <v>6273.8492875510547</v>
          </cell>
          <cell r="BN483">
            <v>6413.1503263109544</v>
          </cell>
          <cell r="BO483">
            <v>6392.1784164970222</v>
          </cell>
          <cell r="BP483">
            <v>6545.4484515270588</v>
          </cell>
          <cell r="BQ483">
            <v>6558.0914217894115</v>
          </cell>
          <cell r="BR483"/>
          <cell r="BS483">
            <v>-1623</v>
          </cell>
          <cell r="BT483">
            <v>548</v>
          </cell>
          <cell r="BU483">
            <v>984</v>
          </cell>
          <cell r="BV483">
            <v>1389</v>
          </cell>
          <cell r="BW483">
            <v>1556</v>
          </cell>
          <cell r="BX483">
            <v>1786</v>
          </cell>
          <cell r="BY483">
            <v>1935</v>
          </cell>
          <cell r="BZ483">
            <v>2126</v>
          </cell>
          <cell r="CA483">
            <v>2476</v>
          </cell>
          <cell r="CB483">
            <v>2683</v>
          </cell>
          <cell r="CC483">
            <v>2893</v>
          </cell>
          <cell r="CD483">
            <v>3082</v>
          </cell>
          <cell r="CE483">
            <v>3656</v>
          </cell>
          <cell r="CF483">
            <v>4048</v>
          </cell>
          <cell r="CG483">
            <v>4428</v>
          </cell>
          <cell r="CH483">
            <v>5061</v>
          </cell>
          <cell r="CI483">
            <v>7213</v>
          </cell>
          <cell r="CJ483">
            <v>6791</v>
          </cell>
          <cell r="CK483">
            <v>8482</v>
          </cell>
          <cell r="CL483">
            <v>9024</v>
          </cell>
          <cell r="CM483">
            <v>9485</v>
          </cell>
          <cell r="CN483">
            <v>10227</v>
          </cell>
          <cell r="CO483">
            <v>10924</v>
          </cell>
          <cell r="CP483">
            <v>11152</v>
          </cell>
          <cell r="CQ483">
            <v>11181</v>
          </cell>
          <cell r="CR483">
            <v>11598</v>
          </cell>
          <cell r="CS483">
            <v>11655</v>
          </cell>
          <cell r="CT483">
            <v>9830</v>
          </cell>
          <cell r="CU483">
            <v>4748</v>
          </cell>
          <cell r="CV483">
            <v>8345</v>
          </cell>
          <cell r="CW483">
            <v>8480</v>
          </cell>
          <cell r="CX483">
            <v>10305</v>
          </cell>
          <cell r="CY483">
            <v>10107</v>
          </cell>
          <cell r="CZ483">
            <v>10123.679498400001</v>
          </cell>
          <cell r="DA483">
            <v>10673.829304927929</v>
          </cell>
          <cell r="DB483">
            <v>10756.186020684663</v>
          </cell>
          <cell r="DC483">
            <v>11068.090826601521</v>
          </cell>
          <cell r="DD483">
            <v>11746.482231161803</v>
          </cell>
          <cell r="DE483">
            <v>12413.170804561561</v>
          </cell>
          <cell r="DF483">
            <v>12583.718200282729</v>
          </cell>
          <cell r="DG483">
            <v>12637.548818262034</v>
          </cell>
          <cell r="DH483">
            <v>12805.328742807978</v>
          </cell>
          <cell r="DI483">
            <v>13103.539873316467</v>
          </cell>
        </row>
        <row r="487">
          <cell r="A487" t="str">
            <v>PreTax_BDDAdjustment</v>
          </cell>
          <cell r="B487" t="str">
            <v>Bad debt expense adjustments</v>
          </cell>
          <cell r="C487">
            <v>0</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cell r="BL487">
            <v>0</v>
          </cell>
          <cell r="BM487">
            <v>0</v>
          </cell>
          <cell r="BN487">
            <v>0</v>
          </cell>
          <cell r="BO487">
            <v>0</v>
          </cell>
          <cell r="BP487">
            <v>0</v>
          </cell>
          <cell r="BQ487">
            <v>0</v>
          </cell>
          <cell r="BR487"/>
          <cell r="BS487">
            <v>0</v>
          </cell>
          <cell r="BT487">
            <v>0</v>
          </cell>
          <cell r="BU487">
            <v>0</v>
          </cell>
          <cell r="BV487">
            <v>0</v>
          </cell>
          <cell r="BW487">
            <v>0</v>
          </cell>
          <cell r="BX487">
            <v>0</v>
          </cell>
          <cell r="BY487">
            <v>0</v>
          </cell>
          <cell r="BZ487">
            <v>0</v>
          </cell>
          <cell r="CA487">
            <v>0</v>
          </cell>
          <cell r="CB487">
            <v>0</v>
          </cell>
          <cell r="CC487">
            <v>0</v>
          </cell>
          <cell r="CD487">
            <v>0</v>
          </cell>
          <cell r="CE487">
            <v>0</v>
          </cell>
          <cell r="CF487">
            <v>0</v>
          </cell>
          <cell r="CG487">
            <v>0</v>
          </cell>
          <cell r="CH487">
            <v>0</v>
          </cell>
          <cell r="CI487">
            <v>0</v>
          </cell>
          <cell r="CJ487">
            <v>0</v>
          </cell>
          <cell r="CK487">
            <v>0</v>
          </cell>
          <cell r="CL487">
            <v>0</v>
          </cell>
          <cell r="CM487">
            <v>0</v>
          </cell>
          <cell r="CN487">
            <v>0</v>
          </cell>
          <cell r="CO487">
            <v>0</v>
          </cell>
          <cell r="CP487">
            <v>0</v>
          </cell>
          <cell r="CQ487">
            <v>0</v>
          </cell>
          <cell r="CR487">
            <v>0</v>
          </cell>
          <cell r="CS487">
            <v>0</v>
          </cell>
          <cell r="CT487">
            <v>0</v>
          </cell>
          <cell r="CU487">
            <v>0</v>
          </cell>
          <cell r="CV487">
            <v>0</v>
          </cell>
          <cell r="CW487">
            <v>0</v>
          </cell>
          <cell r="CX487">
            <v>0</v>
          </cell>
          <cell r="CY487">
            <v>0</v>
          </cell>
          <cell r="CZ487">
            <v>0</v>
          </cell>
          <cell r="DA487">
            <v>0</v>
          </cell>
          <cell r="DB487">
            <v>0</v>
          </cell>
          <cell r="DC487">
            <v>0</v>
          </cell>
          <cell r="DD487">
            <v>0</v>
          </cell>
          <cell r="DE487">
            <v>0</v>
          </cell>
          <cell r="DF487">
            <v>0</v>
          </cell>
          <cell r="DG487">
            <v>0</v>
          </cell>
          <cell r="DH487">
            <v>0</v>
          </cell>
          <cell r="DI487">
            <v>0</v>
          </cell>
        </row>
        <row r="494">
          <cell r="C494"/>
          <cell r="D494"/>
          <cell r="E494"/>
          <cell r="F494"/>
          <cell r="G494"/>
          <cell r="H494"/>
          <cell r="I494"/>
          <cell r="J494"/>
          <cell r="K494"/>
          <cell r="L494"/>
          <cell r="M494"/>
          <cell r="N494"/>
          <cell r="O494"/>
          <cell r="P494"/>
          <cell r="Q494"/>
          <cell r="R494"/>
          <cell r="S494"/>
          <cell r="T494"/>
          <cell r="U494"/>
          <cell r="V494"/>
          <cell r="W494"/>
          <cell r="X494"/>
          <cell r="Y494"/>
          <cell r="Z494"/>
          <cell r="AA494"/>
          <cell r="AB494"/>
          <cell r="AC494"/>
          <cell r="AD494"/>
          <cell r="AE494"/>
          <cell r="AF494"/>
          <cell r="AG494"/>
          <cell r="AH494"/>
          <cell r="AI494"/>
          <cell r="AJ494"/>
          <cell r="AK494"/>
          <cell r="AL494"/>
          <cell r="AM494"/>
          <cell r="AN494"/>
          <cell r="AO494"/>
          <cell r="AP494"/>
          <cell r="AQ494"/>
          <cell r="AR494"/>
          <cell r="AS494"/>
          <cell r="AT494"/>
          <cell r="AU494"/>
          <cell r="AV494"/>
          <cell r="AW494"/>
          <cell r="AX494"/>
          <cell r="AY494"/>
          <cell r="AZ494"/>
          <cell r="BA494"/>
          <cell r="BB494"/>
          <cell r="BC494"/>
          <cell r="BD494"/>
          <cell r="BE494"/>
          <cell r="BF494"/>
          <cell r="BG494"/>
          <cell r="BH494"/>
          <cell r="BI494"/>
          <cell r="BJ494"/>
          <cell r="BK494"/>
          <cell r="BL494"/>
          <cell r="BM494"/>
          <cell r="BN494"/>
          <cell r="BO494"/>
          <cell r="BP494"/>
          <cell r="BQ494"/>
          <cell r="BR494"/>
          <cell r="BS494"/>
          <cell r="BT494"/>
          <cell r="BU494"/>
          <cell r="BV494"/>
          <cell r="BW494"/>
          <cell r="BX494"/>
          <cell r="BY494"/>
          <cell r="BZ494"/>
          <cell r="CA494"/>
          <cell r="CB494"/>
          <cell r="CC494"/>
          <cell r="CD494"/>
          <cell r="CE494"/>
          <cell r="CF494"/>
          <cell r="CG494"/>
          <cell r="CH494"/>
          <cell r="CI494"/>
          <cell r="CJ494"/>
          <cell r="CK494"/>
          <cell r="CL494"/>
          <cell r="CM494"/>
          <cell r="CN494"/>
          <cell r="CO494"/>
          <cell r="CP494"/>
          <cell r="CQ494"/>
          <cell r="CR494"/>
          <cell r="CS494"/>
          <cell r="CT494"/>
          <cell r="CU494"/>
          <cell r="CV494"/>
          <cell r="CW494"/>
          <cell r="CX494"/>
          <cell r="CY494"/>
          <cell r="CZ494"/>
          <cell r="DA494"/>
          <cell r="DB494"/>
          <cell r="DC494"/>
          <cell r="DD494"/>
          <cell r="DE494"/>
        </row>
        <row r="518">
          <cell r="A518" t="str">
            <v>CE_OEAdjustment</v>
          </cell>
          <cell r="B518" t="str">
            <v>Non interest expense adjustments</v>
          </cell>
          <cell r="C518">
            <v>0</v>
          </cell>
          <cell r="D518">
            <v>0</v>
          </cell>
          <cell r="E518">
            <v>0</v>
          </cell>
          <cell r="F518">
            <v>0</v>
          </cell>
          <cell r="G518">
            <v>0</v>
          </cell>
          <cell r="H518">
            <v>0</v>
          </cell>
          <cell r="I518">
            <v>0</v>
          </cell>
          <cell r="J518">
            <v>0</v>
          </cell>
          <cell r="K518">
            <v>0</v>
          </cell>
          <cell r="L518">
            <v>0</v>
          </cell>
          <cell r="M518">
            <v>0</v>
          </cell>
          <cell r="N518">
            <v>0</v>
          </cell>
          <cell r="O518">
            <v>0</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-7</v>
          </cell>
          <cell r="AS518">
            <v>-4</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cell r="BL518">
            <v>0</v>
          </cell>
          <cell r="BM518">
            <v>0</v>
          </cell>
          <cell r="BN518">
            <v>0</v>
          </cell>
          <cell r="BO518">
            <v>0</v>
          </cell>
          <cell r="BP518">
            <v>0</v>
          </cell>
          <cell r="BQ518">
            <v>0</v>
          </cell>
          <cell r="BR518"/>
          <cell r="BS518">
            <v>0</v>
          </cell>
          <cell r="BT518">
            <v>0</v>
          </cell>
          <cell r="BU518">
            <v>0</v>
          </cell>
          <cell r="BV518">
            <v>0</v>
          </cell>
          <cell r="BW518">
            <v>0</v>
          </cell>
          <cell r="BX518">
            <v>0</v>
          </cell>
          <cell r="BY518">
            <v>0</v>
          </cell>
          <cell r="BZ518">
            <v>0</v>
          </cell>
          <cell r="CA518">
            <v>0</v>
          </cell>
          <cell r="CB518">
            <v>0</v>
          </cell>
          <cell r="CC518">
            <v>0</v>
          </cell>
          <cell r="CD518">
            <v>0</v>
          </cell>
          <cell r="CE518">
            <v>0</v>
          </cell>
          <cell r="CF518">
            <v>0</v>
          </cell>
          <cell r="CG518">
            <v>0</v>
          </cell>
          <cell r="CH518">
            <v>0</v>
          </cell>
          <cell r="CI518">
            <v>0</v>
          </cell>
          <cell r="CJ518">
            <v>0</v>
          </cell>
          <cell r="CK518">
            <v>0</v>
          </cell>
          <cell r="CL518">
            <v>0</v>
          </cell>
          <cell r="CM518">
            <v>0</v>
          </cell>
          <cell r="CN518">
            <v>0</v>
          </cell>
          <cell r="CO518">
            <v>0</v>
          </cell>
          <cell r="CP518">
            <v>0</v>
          </cell>
          <cell r="CQ518">
            <v>0</v>
          </cell>
          <cell r="CR518">
            <v>0</v>
          </cell>
          <cell r="CS518">
            <v>0</v>
          </cell>
          <cell r="CT518">
            <v>0</v>
          </cell>
          <cell r="CU518">
            <v>0</v>
          </cell>
          <cell r="CV518">
            <v>0</v>
          </cell>
          <cell r="CW518">
            <v>-11</v>
          </cell>
          <cell r="CX518">
            <v>0</v>
          </cell>
          <cell r="CY518">
            <v>0</v>
          </cell>
          <cell r="CZ518">
            <v>0</v>
          </cell>
          <cell r="DA518">
            <v>0</v>
          </cell>
          <cell r="DB518">
            <v>0</v>
          </cell>
          <cell r="DC518">
            <v>0</v>
          </cell>
          <cell r="DD518">
            <v>0</v>
          </cell>
          <cell r="DE518">
            <v>0</v>
          </cell>
          <cell r="DF518">
            <v>0</v>
          </cell>
          <cell r="DG518">
            <v>0</v>
          </cell>
          <cell r="DH518">
            <v>0</v>
          </cell>
          <cell r="DI518">
            <v>0</v>
          </cell>
        </row>
        <row r="519">
          <cell r="A519" t="str">
            <v>CE_BDDAdjustment</v>
          </cell>
          <cell r="B519" t="str">
            <v>Bad debt expense adjustments</v>
          </cell>
          <cell r="C519">
            <v>0</v>
          </cell>
          <cell r="D519">
            <v>0</v>
          </cell>
          <cell r="E519">
            <v>0</v>
          </cell>
          <cell r="F519">
            <v>0</v>
          </cell>
          <cell r="G519">
            <v>0</v>
          </cell>
          <cell r="H519">
            <v>0</v>
          </cell>
          <cell r="I519">
            <v>0</v>
          </cell>
          <cell r="J519">
            <v>0</v>
          </cell>
          <cell r="K519">
            <v>0</v>
          </cell>
          <cell r="L519">
            <v>0</v>
          </cell>
          <cell r="M519">
            <v>0</v>
          </cell>
          <cell r="N519">
            <v>0</v>
          </cell>
          <cell r="O519">
            <v>0</v>
          </cell>
          <cell r="P519">
            <v>0</v>
          </cell>
          <cell r="Q519">
            <v>0</v>
          </cell>
          <cell r="R519">
            <v>0</v>
          </cell>
          <cell r="S519">
            <v>0</v>
          </cell>
          <cell r="T519">
            <v>0</v>
          </cell>
          <cell r="U519">
            <v>0</v>
          </cell>
          <cell r="V519">
            <v>0</v>
          </cell>
          <cell r="W519">
            <v>0</v>
          </cell>
          <cell r="X519">
            <v>0</v>
          </cell>
          <cell r="Y519">
            <v>0</v>
          </cell>
          <cell r="Z519">
            <v>0</v>
          </cell>
          <cell r="AA519">
            <v>0</v>
          </cell>
          <cell r="AB519">
            <v>0</v>
          </cell>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cell r="BL519">
            <v>0</v>
          </cell>
          <cell r="BM519">
            <v>0</v>
          </cell>
          <cell r="BN519">
            <v>0</v>
          </cell>
          <cell r="BO519">
            <v>0</v>
          </cell>
          <cell r="BP519">
            <v>0</v>
          </cell>
          <cell r="BQ519">
            <v>0</v>
          </cell>
          <cell r="BR519"/>
          <cell r="BS519">
            <v>0</v>
          </cell>
          <cell r="BT519">
            <v>0</v>
          </cell>
          <cell r="BU519">
            <v>0</v>
          </cell>
          <cell r="BV519">
            <v>0</v>
          </cell>
          <cell r="BW519">
            <v>0</v>
          </cell>
          <cell r="BX519">
            <v>0</v>
          </cell>
          <cell r="BY519">
            <v>0</v>
          </cell>
          <cell r="BZ519">
            <v>0</v>
          </cell>
          <cell r="CA519">
            <v>0</v>
          </cell>
          <cell r="CB519">
            <v>0</v>
          </cell>
          <cell r="CC519">
            <v>0</v>
          </cell>
          <cell r="CD519">
            <v>0</v>
          </cell>
          <cell r="CE519">
            <v>0</v>
          </cell>
          <cell r="CF519">
            <v>0</v>
          </cell>
          <cell r="CG519">
            <v>0</v>
          </cell>
          <cell r="CH519">
            <v>0</v>
          </cell>
          <cell r="CI519">
            <v>0</v>
          </cell>
          <cell r="CJ519">
            <v>0</v>
          </cell>
          <cell r="CK519">
            <v>0</v>
          </cell>
          <cell r="CL519">
            <v>0</v>
          </cell>
          <cell r="CM519">
            <v>0</v>
          </cell>
          <cell r="CN519">
            <v>0</v>
          </cell>
          <cell r="CO519">
            <v>0</v>
          </cell>
          <cell r="CP519">
            <v>0</v>
          </cell>
          <cell r="CQ519">
            <v>0</v>
          </cell>
          <cell r="CR519">
            <v>0</v>
          </cell>
          <cell r="CS519">
            <v>0</v>
          </cell>
          <cell r="CT519">
            <v>0</v>
          </cell>
          <cell r="CU519">
            <v>0</v>
          </cell>
          <cell r="CV519">
            <v>0</v>
          </cell>
          <cell r="CW519">
            <v>0</v>
          </cell>
          <cell r="CX519">
            <v>0</v>
          </cell>
          <cell r="CY519">
            <v>0</v>
          </cell>
          <cell r="CZ519">
            <v>0</v>
          </cell>
          <cell r="DA519">
            <v>0</v>
          </cell>
          <cell r="DB519">
            <v>0</v>
          </cell>
          <cell r="DC519">
            <v>0</v>
          </cell>
          <cell r="DD519">
            <v>0</v>
          </cell>
          <cell r="DE519">
            <v>0</v>
          </cell>
          <cell r="DF519">
            <v>0</v>
          </cell>
          <cell r="DG519">
            <v>0</v>
          </cell>
          <cell r="DH519">
            <v>0</v>
          </cell>
          <cell r="DI519">
            <v>0</v>
          </cell>
        </row>
        <row r="521">
          <cell r="A521" t="str">
            <v>CE_TotalCoyCash</v>
          </cell>
          <cell r="B521" t="str">
            <v>Company reported cash earnings</v>
          </cell>
          <cell r="C521">
            <v>953</v>
          </cell>
          <cell r="D521">
            <v>996</v>
          </cell>
          <cell r="E521">
            <v>1067</v>
          </cell>
          <cell r="F521">
            <v>1095</v>
          </cell>
          <cell r="G521">
            <v>1176</v>
          </cell>
          <cell r="H521">
            <v>1233</v>
          </cell>
          <cell r="I521">
            <v>1326</v>
          </cell>
          <cell r="J521">
            <v>1344</v>
          </cell>
          <cell r="K521">
            <v>1460</v>
          </cell>
          <cell r="L521">
            <v>1511</v>
          </cell>
          <cell r="M521">
            <v>1568</v>
          </cell>
          <cell r="N521">
            <v>1678</v>
          </cell>
          <cell r="O521">
            <v>1829</v>
          </cell>
          <cell r="P521">
            <v>2442</v>
          </cell>
          <cell r="Q521">
            <v>2605</v>
          </cell>
          <cell r="R521">
            <v>2295</v>
          </cell>
          <cell r="S521">
            <v>2380</v>
          </cell>
          <cell r="T521">
            <v>2949</v>
          </cell>
          <cell r="U521">
            <v>2930</v>
          </cell>
          <cell r="V521">
            <v>3168</v>
          </cell>
          <cell r="W521">
            <v>3133</v>
          </cell>
          <cell r="X521">
            <v>3195</v>
          </cell>
          <cell r="Y521">
            <v>3403</v>
          </cell>
          <cell r="Z521">
            <v>3508</v>
          </cell>
          <cell r="AA521">
            <v>3555</v>
          </cell>
          <cell r="AB521">
            <v>3772</v>
          </cell>
          <cell r="AC521">
            <v>3856</v>
          </cell>
          <cell r="AD521">
            <v>3778</v>
          </cell>
          <cell r="AE521">
            <v>4042</v>
          </cell>
          <cell r="AF521">
            <v>3904</v>
          </cell>
          <cell r="AG521">
            <v>3918</v>
          </cell>
          <cell r="AH521">
            <v>4017</v>
          </cell>
          <cell r="AI521">
            <v>4045</v>
          </cell>
          <cell r="AJ521">
            <v>4251</v>
          </cell>
          <cell r="AK521">
            <v>3814</v>
          </cell>
          <cell r="AL521">
            <v>3296</v>
          </cell>
          <cell r="AM521">
            <v>3553</v>
          </cell>
          <cell r="AN521">
            <v>993</v>
          </cell>
          <cell r="AO521">
            <v>1615</v>
          </cell>
          <cell r="AP521">
            <v>3537</v>
          </cell>
          <cell r="AQ521">
            <v>1815</v>
          </cell>
          <cell r="AR521">
            <v>3280</v>
          </cell>
          <cell r="AS521">
            <v>2414</v>
          </cell>
          <cell r="AT521">
            <v>4001</v>
          </cell>
          <cell r="AU521">
            <v>3194</v>
          </cell>
          <cell r="AV521">
            <v>3342</v>
          </cell>
          <cell r="AW521">
            <v>3648</v>
          </cell>
          <cell r="AX521">
            <v>3456.6794984000007</v>
          </cell>
          <cell r="AY521">
            <v>3515</v>
          </cell>
          <cell r="AZ521">
            <v>3649.4263184143051</v>
          </cell>
          <cell r="BA521">
            <v>3738.4753296593349</v>
          </cell>
          <cell r="BB521">
            <v>3732.1385785349948</v>
          </cell>
          <cell r="BC521">
            <v>3712.9052365649763</v>
          </cell>
          <cell r="BD521">
            <v>3824.0192801162757</v>
          </cell>
          <cell r="BE521">
            <v>3837.4357450744628</v>
          </cell>
          <cell r="BF521">
            <v>4021.8681376357499</v>
          </cell>
          <cell r="BG521">
            <v>4110.2801952278423</v>
          </cell>
          <cell r="BH521">
            <v>4250.8485265825293</v>
          </cell>
          <cell r="BI521">
            <v>4343.8732523650879</v>
          </cell>
          <cell r="BJ521">
            <v>4372.8150651410942</v>
          </cell>
          <cell r="BK521">
            <v>4340.2388702391636</v>
          </cell>
          <cell r="BL521">
            <v>4406.3725430646737</v>
          </cell>
          <cell r="BM521">
            <v>4344.0310866961836</v>
          </cell>
          <cell r="BN521">
            <v>4440.6833530064587</v>
          </cell>
          <cell r="BO521">
            <v>4426.1322582664907</v>
          </cell>
          <cell r="BP521">
            <v>4532.4767362042439</v>
          </cell>
          <cell r="BQ521">
            <v>4541.2489014345119</v>
          </cell>
          <cell r="BR521"/>
          <cell r="BS521">
            <v>-1093.7</v>
          </cell>
          <cell r="BT521">
            <v>373.1</v>
          </cell>
          <cell r="BU521">
            <v>648</v>
          </cell>
          <cell r="BV521">
            <v>975</v>
          </cell>
          <cell r="BW521">
            <v>1093</v>
          </cell>
          <cell r="BX521">
            <v>1252</v>
          </cell>
          <cell r="BY521">
            <v>1318</v>
          </cell>
          <cell r="BZ521">
            <v>1548</v>
          </cell>
          <cell r="CA521">
            <v>1770</v>
          </cell>
          <cell r="CB521">
            <v>1950</v>
          </cell>
          <cell r="CC521">
            <v>2063</v>
          </cell>
          <cell r="CD521">
            <v>2271</v>
          </cell>
          <cell r="CE521">
            <v>2559</v>
          </cell>
          <cell r="CF521">
            <v>2804</v>
          </cell>
          <cell r="CG521">
            <v>3079</v>
          </cell>
          <cell r="CH521">
            <v>3507</v>
          </cell>
          <cell r="CI521">
            <v>5047</v>
          </cell>
          <cell r="CJ521">
            <v>4675</v>
          </cell>
          <cell r="CK521">
            <v>5879</v>
          </cell>
          <cell r="CL521">
            <v>6301</v>
          </cell>
          <cell r="CM521">
            <v>6598</v>
          </cell>
          <cell r="CN521">
            <v>7063</v>
          </cell>
          <cell r="CO521">
            <v>7628</v>
          </cell>
          <cell r="CP521">
            <v>7820</v>
          </cell>
          <cell r="CQ521">
            <v>7822</v>
          </cell>
          <cell r="CR521">
            <v>8062</v>
          </cell>
          <cell r="CS521">
            <v>8065</v>
          </cell>
          <cell r="CT521">
            <v>6849</v>
          </cell>
          <cell r="CU521">
            <v>2608</v>
          </cell>
          <cell r="CV521">
            <v>5352</v>
          </cell>
          <cell r="CW521">
            <v>5694</v>
          </cell>
          <cell r="CX521">
            <v>7195</v>
          </cell>
          <cell r="CY521">
            <v>6990</v>
          </cell>
          <cell r="CZ521">
            <v>6971.6794984000007</v>
          </cell>
          <cell r="DA521">
            <v>7387.90164807364</v>
          </cell>
          <cell r="DB521">
            <v>7445.0438150999707</v>
          </cell>
          <cell r="DC521">
            <v>7661.4550251907385</v>
          </cell>
          <cell r="DD521">
            <v>8132.1483328635923</v>
          </cell>
          <cell r="DE521">
            <v>8594.7217789476163</v>
          </cell>
          <cell r="DF521">
            <v>8713.0539353802578</v>
          </cell>
          <cell r="DG521">
            <v>8750.4036297608582</v>
          </cell>
          <cell r="DH521">
            <v>8866.8156112729484</v>
          </cell>
          <cell r="DI521">
            <v>9073.7256376387559</v>
          </cell>
        </row>
        <row r="533">
          <cell r="A533" t="str">
            <v>OrdEqu_BOP</v>
          </cell>
          <cell r="B533" t="str">
            <v>Ordinary shareholder`s equity - BOP</v>
          </cell>
          <cell r="C533"/>
          <cell r="D533">
            <v>8744</v>
          </cell>
          <cell r="E533">
            <v>9225</v>
          </cell>
          <cell r="F533">
            <v>9515</v>
          </cell>
          <cell r="G533">
            <v>10671</v>
          </cell>
          <cell r="H533">
            <v>11242</v>
          </cell>
          <cell r="I533">
            <v>11697</v>
          </cell>
          <cell r="J533">
            <v>11963</v>
          </cell>
          <cell r="K533">
            <v>12196</v>
          </cell>
          <cell r="L533">
            <v>13561</v>
          </cell>
          <cell r="M533">
            <v>13478</v>
          </cell>
          <cell r="N533">
            <v>14186</v>
          </cell>
          <cell r="O533">
            <v>14913</v>
          </cell>
          <cell r="P533">
            <v>15919</v>
          </cell>
          <cell r="Q533">
            <v>17091</v>
          </cell>
          <cell r="R533">
            <v>17547</v>
          </cell>
          <cell r="S533">
            <v>34556</v>
          </cell>
          <cell r="T533">
            <v>34637</v>
          </cell>
          <cell r="U533">
            <v>36477</v>
          </cell>
          <cell r="V533">
            <v>38189</v>
          </cell>
          <cell r="W533">
            <v>40196</v>
          </cell>
          <cell r="X533">
            <v>41826</v>
          </cell>
          <cell r="Y533">
            <v>42898</v>
          </cell>
          <cell r="Z533">
            <v>44249</v>
          </cell>
          <cell r="AA533">
            <v>45260</v>
          </cell>
          <cell r="AB533">
            <v>46674</v>
          </cell>
          <cell r="AC533">
            <v>47165</v>
          </cell>
          <cell r="AD533">
            <v>48456</v>
          </cell>
          <cell r="AE533">
            <v>49405</v>
          </cell>
          <cell r="AF533">
            <v>53098</v>
          </cell>
          <cell r="AG533">
            <v>57171</v>
          </cell>
          <cell r="AH533">
            <v>58120</v>
          </cell>
          <cell r="AI533">
            <v>59315</v>
          </cell>
          <cell r="AJ533">
            <v>61288</v>
          </cell>
          <cell r="AK533">
            <v>62615</v>
          </cell>
          <cell r="AL533">
            <v>64521</v>
          </cell>
          <cell r="AM533">
            <v>63884</v>
          </cell>
          <cell r="AN533">
            <v>65454</v>
          </cell>
          <cell r="AO533">
            <v>67590</v>
          </cell>
          <cell r="AP533">
            <v>68023</v>
          </cell>
          <cell r="AQ533">
            <v>72012</v>
          </cell>
          <cell r="AR533">
            <v>72035</v>
          </cell>
          <cell r="AS533">
            <v>70279</v>
          </cell>
          <cell r="AT533">
            <v>70452</v>
          </cell>
          <cell r="AU533">
            <v>72624</v>
          </cell>
          <cell r="AV533">
            <v>72539</v>
          </cell>
          <cell r="AW533">
            <v>72560</v>
          </cell>
          <cell r="AX533">
            <v>71713</v>
          </cell>
          <cell r="AY533">
            <v>72052</v>
          </cell>
          <cell r="AZ533">
            <v>73093</v>
          </cell>
          <cell r="BA533">
            <v>74114.652339469219</v>
          </cell>
          <cell r="BB533">
            <v>74422.630357905931</v>
          </cell>
          <cell r="BC533">
            <v>74663.910326716621</v>
          </cell>
          <cell r="BD533">
            <v>74965.612582219343</v>
          </cell>
          <cell r="BE533">
            <v>75326.749549741129</v>
          </cell>
          <cell r="BF533">
            <v>75651.224442572784</v>
          </cell>
          <cell r="BG533">
            <v>76078.549606753455</v>
          </cell>
          <cell r="BH533">
            <v>76514.303820831352</v>
          </cell>
          <cell r="BI533">
            <v>77647.358714097165</v>
          </cell>
          <cell r="BJ533">
            <v>78779.090625402619</v>
          </cell>
          <cell r="BK533">
            <v>79889.819776992008</v>
          </cell>
          <cell r="BL533">
            <v>80914.818910864706</v>
          </cell>
          <cell r="BM533">
            <v>81906.49452547192</v>
          </cell>
          <cell r="BN533">
            <v>82736.371491619648</v>
          </cell>
          <cell r="BO533">
            <v>83662.900724077655</v>
          </cell>
          <cell r="BP533">
            <v>84508.574067068359</v>
          </cell>
          <cell r="BQ533">
            <v>85460.591887996823</v>
          </cell>
          <cell r="BR533"/>
          <cell r="BS533"/>
          <cell r="BT533">
            <v>6650.4</v>
          </cell>
          <cell r="BU533">
            <v>7100.9000000000005</v>
          </cell>
          <cell r="BV533">
            <v>7294.1</v>
          </cell>
          <cell r="BW533">
            <v>7578</v>
          </cell>
          <cell r="BX533">
            <v>7885</v>
          </cell>
          <cell r="BY533">
            <v>8200</v>
          </cell>
          <cell r="BZ533">
            <v>8606</v>
          </cell>
          <cell r="CA533">
            <v>8529</v>
          </cell>
          <cell r="CB533">
            <v>8310</v>
          </cell>
          <cell r="CC533">
            <v>8744</v>
          </cell>
          <cell r="CD533">
            <v>9515</v>
          </cell>
          <cell r="CE533">
            <v>11242</v>
          </cell>
          <cell r="CF533">
            <v>11963</v>
          </cell>
          <cell r="CG533">
            <v>13561</v>
          </cell>
          <cell r="CH533">
            <v>14186</v>
          </cell>
          <cell r="CI533">
            <v>15919</v>
          </cell>
          <cell r="CJ533">
            <v>17547</v>
          </cell>
          <cell r="CK533">
            <v>34637</v>
          </cell>
          <cell r="CL533">
            <v>38189</v>
          </cell>
          <cell r="CM533">
            <v>41826</v>
          </cell>
          <cell r="CN533">
            <v>44249</v>
          </cell>
          <cell r="CO533">
            <v>46674</v>
          </cell>
          <cell r="CP533">
            <v>48456</v>
          </cell>
          <cell r="CQ533">
            <v>53098</v>
          </cell>
          <cell r="CR533">
            <v>58120</v>
          </cell>
          <cell r="CS533">
            <v>61288</v>
          </cell>
          <cell r="CT533">
            <v>64521</v>
          </cell>
          <cell r="CU533">
            <v>65454</v>
          </cell>
          <cell r="CV533">
            <v>68023</v>
          </cell>
          <cell r="CW533">
            <v>72035</v>
          </cell>
          <cell r="CX533">
            <v>70452</v>
          </cell>
          <cell r="CY533">
            <v>72539</v>
          </cell>
          <cell r="CZ533">
            <v>71713</v>
          </cell>
          <cell r="DA533">
            <v>73093</v>
          </cell>
          <cell r="DB533">
            <v>74422.630357905931</v>
          </cell>
          <cell r="DC533">
            <v>74965.612582219343</v>
          </cell>
          <cell r="DD533">
            <v>75651.224442572799</v>
          </cell>
          <cell r="DE533">
            <v>76514.303820831381</v>
          </cell>
          <cell r="DF533">
            <v>78779.090625402663</v>
          </cell>
          <cell r="DG533">
            <v>80914.818910864749</v>
          </cell>
          <cell r="DH533">
            <v>82736.371491619677</v>
          </cell>
          <cell r="DI533">
            <v>84508.574067068374</v>
          </cell>
        </row>
        <row r="536">
          <cell r="A536" t="str">
            <v>OrdEqu_PrefDiv</v>
          </cell>
          <cell r="B536" t="str">
            <v>Preference dividend</v>
          </cell>
          <cell r="C536"/>
          <cell r="D536">
            <v>-25</v>
          </cell>
          <cell r="E536">
            <v>-23</v>
          </cell>
          <cell r="F536">
            <v>-34</v>
          </cell>
          <cell r="G536">
            <v>-41</v>
          </cell>
          <cell r="H536">
            <v>-76</v>
          </cell>
          <cell r="I536">
            <v>-78</v>
          </cell>
          <cell r="J536">
            <v>0</v>
          </cell>
          <cell r="K536">
            <v>0</v>
          </cell>
          <cell r="L536">
            <v>0</v>
          </cell>
          <cell r="M536">
            <v>0</v>
          </cell>
          <cell r="N536">
            <v>0</v>
          </cell>
          <cell r="O536">
            <v>0</v>
          </cell>
          <cell r="P536">
            <v>-15</v>
          </cell>
          <cell r="Q536">
            <v>-16</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0</v>
          </cell>
          <cell r="BK536">
            <v>0</v>
          </cell>
          <cell r="BL536">
            <v>0</v>
          </cell>
          <cell r="BM536">
            <v>0</v>
          </cell>
          <cell r="BN536">
            <v>0</v>
          </cell>
          <cell r="BO536">
            <v>0</v>
          </cell>
          <cell r="BP536">
            <v>0</v>
          </cell>
          <cell r="BQ536">
            <v>0</v>
          </cell>
          <cell r="BR536"/>
          <cell r="BS536"/>
          <cell r="BT536">
            <v>-23.9</v>
          </cell>
          <cell r="BU536">
            <v>-57</v>
          </cell>
          <cell r="BV536">
            <v>-40</v>
          </cell>
          <cell r="BW536">
            <v>-39</v>
          </cell>
          <cell r="BX536">
            <v>-39</v>
          </cell>
          <cell r="BY536">
            <v>-24</v>
          </cell>
          <cell r="BZ536">
            <v>-8</v>
          </cell>
          <cell r="CA536">
            <v>-43</v>
          </cell>
          <cell r="CB536">
            <v>-51</v>
          </cell>
          <cell r="CC536">
            <v>-48</v>
          </cell>
          <cell r="CD536">
            <v>-75</v>
          </cell>
          <cell r="CE536">
            <v>-154</v>
          </cell>
          <cell r="CF536">
            <v>0</v>
          </cell>
          <cell r="CG536">
            <v>0</v>
          </cell>
          <cell r="CH536">
            <v>0</v>
          </cell>
          <cell r="CI536">
            <v>-31</v>
          </cell>
          <cell r="CJ536">
            <v>0</v>
          </cell>
          <cell r="CK536">
            <v>0</v>
          </cell>
          <cell r="CL536">
            <v>0</v>
          </cell>
          <cell r="CM536">
            <v>0</v>
          </cell>
          <cell r="CN536">
            <v>0</v>
          </cell>
          <cell r="CO536">
            <v>0</v>
          </cell>
          <cell r="CP536">
            <v>0</v>
          </cell>
          <cell r="CQ536">
            <v>0</v>
          </cell>
          <cell r="CR536">
            <v>0</v>
          </cell>
          <cell r="CS536">
            <v>0</v>
          </cell>
          <cell r="CT536">
            <v>0</v>
          </cell>
          <cell r="CU536">
            <v>0</v>
          </cell>
          <cell r="CV536">
            <v>0</v>
          </cell>
          <cell r="CW536">
            <v>0</v>
          </cell>
          <cell r="CX536">
            <v>0</v>
          </cell>
          <cell r="CY536">
            <v>0</v>
          </cell>
          <cell r="CZ536">
            <v>0</v>
          </cell>
          <cell r="DA536">
            <v>0</v>
          </cell>
          <cell r="DB536">
            <v>0</v>
          </cell>
          <cell r="DC536">
            <v>0</v>
          </cell>
          <cell r="DD536">
            <v>0</v>
          </cell>
          <cell r="DE536">
            <v>0</v>
          </cell>
          <cell r="DF536">
            <v>0</v>
          </cell>
          <cell r="DG536">
            <v>0</v>
          </cell>
          <cell r="DH536">
            <v>0</v>
          </cell>
          <cell r="DI536">
            <v>0</v>
          </cell>
        </row>
        <row r="707">
          <cell r="A707" t="str">
            <v>AD_RentalIncome</v>
          </cell>
          <cell r="B707" t="str">
            <v>Rental income</v>
          </cell>
          <cell r="C707">
            <v>6</v>
          </cell>
          <cell r="D707">
            <v>5</v>
          </cell>
          <cell r="E707">
            <v>5</v>
          </cell>
          <cell r="F707">
            <v>4</v>
          </cell>
          <cell r="G707">
            <v>6</v>
          </cell>
          <cell r="H707">
            <v>2</v>
          </cell>
          <cell r="I707">
            <v>1</v>
          </cell>
          <cell r="J707">
            <v>3</v>
          </cell>
          <cell r="K707">
            <v>3</v>
          </cell>
          <cell r="L707">
            <v>2</v>
          </cell>
          <cell r="M707">
            <v>1</v>
          </cell>
          <cell r="N707">
            <v>1</v>
          </cell>
          <cell r="O707">
            <v>1</v>
          </cell>
          <cell r="P707">
            <v>0</v>
          </cell>
          <cell r="Q707">
            <v>1</v>
          </cell>
          <cell r="R707">
            <v>2</v>
          </cell>
          <cell r="S707">
            <v>3</v>
          </cell>
          <cell r="T707">
            <v>3</v>
          </cell>
          <cell r="U707">
            <v>3</v>
          </cell>
          <cell r="V707">
            <v>1</v>
          </cell>
          <cell r="W707">
            <v>1</v>
          </cell>
          <cell r="X707">
            <v>1</v>
          </cell>
          <cell r="Y707">
            <v>0</v>
          </cell>
          <cell r="Z707">
            <v>0</v>
          </cell>
          <cell r="AA707">
            <v>0</v>
          </cell>
          <cell r="AB707">
            <v>12</v>
          </cell>
          <cell r="AC707">
            <v>20</v>
          </cell>
          <cell r="AD707">
            <v>23</v>
          </cell>
          <cell r="AE707">
            <v>11</v>
          </cell>
          <cell r="AF707">
            <v>13</v>
          </cell>
          <cell r="AG707">
            <v>3</v>
          </cell>
          <cell r="AH707">
            <v>17</v>
          </cell>
          <cell r="AI707">
            <v>15</v>
          </cell>
          <cell r="AJ707">
            <v>14</v>
          </cell>
          <cell r="AK707">
            <v>12</v>
          </cell>
          <cell r="AL707">
            <v>8</v>
          </cell>
          <cell r="AM707">
            <v>10</v>
          </cell>
          <cell r="AN707">
            <v>8</v>
          </cell>
          <cell r="AO707">
            <v>7</v>
          </cell>
          <cell r="AP707">
            <v>6</v>
          </cell>
          <cell r="AQ707">
            <v>7</v>
          </cell>
          <cell r="AR707">
            <v>2</v>
          </cell>
          <cell r="AS707"/>
          <cell r="AT707"/>
          <cell r="AU707"/>
          <cell r="AV707"/>
          <cell r="AW707"/>
          <cell r="AX707"/>
          <cell r="AY707">
            <v>0</v>
          </cell>
          <cell r="AZ707">
            <v>0</v>
          </cell>
          <cell r="BA707">
            <v>0</v>
          </cell>
          <cell r="BB707">
            <v>0</v>
          </cell>
          <cell r="BC707">
            <v>0</v>
          </cell>
          <cell r="BD707">
            <v>0</v>
          </cell>
          <cell r="BE707">
            <v>0</v>
          </cell>
          <cell r="BF707">
            <v>0</v>
          </cell>
          <cell r="BG707">
            <v>0</v>
          </cell>
          <cell r="BH707">
            <v>0</v>
          </cell>
          <cell r="BI707">
            <v>0</v>
          </cell>
          <cell r="BJ707">
            <v>0</v>
          </cell>
          <cell r="BK707">
            <v>0</v>
          </cell>
          <cell r="BL707">
            <v>0</v>
          </cell>
          <cell r="BM707">
            <v>0</v>
          </cell>
          <cell r="BN707">
            <v>0</v>
          </cell>
          <cell r="BO707">
            <v>0</v>
          </cell>
          <cell r="BP707">
            <v>0</v>
          </cell>
          <cell r="BQ707">
            <v>0</v>
          </cell>
          <cell r="BR707"/>
          <cell r="BS707"/>
          <cell r="BT707"/>
          <cell r="BU707"/>
          <cell r="BV707"/>
          <cell r="BW707"/>
          <cell r="BX707"/>
          <cell r="BY707"/>
          <cell r="BZ707"/>
          <cell r="CA707"/>
          <cell r="CB707"/>
          <cell r="CC707"/>
          <cell r="CD707"/>
          <cell r="CE707"/>
          <cell r="CF707"/>
          <cell r="CG707">
            <v>3</v>
          </cell>
          <cell r="CH707">
            <v>2</v>
          </cell>
          <cell r="CI707">
            <v>1</v>
          </cell>
          <cell r="CJ707">
            <v>5</v>
          </cell>
          <cell r="CK707">
            <v>6</v>
          </cell>
          <cell r="CL707">
            <v>2</v>
          </cell>
          <cell r="CM707">
            <v>1</v>
          </cell>
          <cell r="CN707">
            <v>0</v>
          </cell>
          <cell r="CO707">
            <v>32</v>
          </cell>
          <cell r="CP707">
            <v>34</v>
          </cell>
          <cell r="CQ707">
            <v>16</v>
          </cell>
          <cell r="CR707">
            <v>20</v>
          </cell>
          <cell r="CS707">
            <v>26</v>
          </cell>
          <cell r="CT707">
            <v>18</v>
          </cell>
          <cell r="CU707">
            <v>15</v>
          </cell>
          <cell r="CV707">
            <v>13</v>
          </cell>
          <cell r="CW707">
            <v>2</v>
          </cell>
          <cell r="CX707">
            <v>0</v>
          </cell>
          <cell r="CY707">
            <v>0</v>
          </cell>
          <cell r="CZ707">
            <v>0</v>
          </cell>
          <cell r="DA707">
            <v>0</v>
          </cell>
          <cell r="DB707">
            <v>0</v>
          </cell>
          <cell r="DC707">
            <v>0</v>
          </cell>
          <cell r="DD707">
            <v>0</v>
          </cell>
          <cell r="DE707">
            <v>0</v>
          </cell>
          <cell r="DF707">
            <v>0</v>
          </cell>
          <cell r="DG707">
            <v>0</v>
          </cell>
          <cell r="DH707">
            <v>0</v>
          </cell>
          <cell r="DI707">
            <v>0</v>
          </cell>
        </row>
        <row r="717">
          <cell r="A717" t="str">
            <v>AD_AvAdd4</v>
          </cell>
          <cell r="B717" t="str">
            <v>&lt;insert more as required&gt;</v>
          </cell>
          <cell r="C717"/>
          <cell r="D717"/>
          <cell r="E717"/>
          <cell r="F717"/>
          <cell r="G717"/>
          <cell r="H717"/>
          <cell r="I717"/>
          <cell r="J717"/>
          <cell r="K717"/>
          <cell r="L717"/>
          <cell r="M717"/>
          <cell r="N717"/>
          <cell r="O717"/>
          <cell r="P717"/>
          <cell r="Q717"/>
          <cell r="R717"/>
          <cell r="S717"/>
          <cell r="T717"/>
          <cell r="U717"/>
          <cell r="V717"/>
          <cell r="W717"/>
          <cell r="X717"/>
          <cell r="Y717"/>
          <cell r="Z717"/>
          <cell r="AA717"/>
          <cell r="AB717"/>
          <cell r="AC717"/>
          <cell r="AD717"/>
          <cell r="AE717"/>
          <cell r="AF717"/>
          <cell r="AG717"/>
          <cell r="AH717"/>
          <cell r="AI717"/>
          <cell r="AJ717"/>
          <cell r="AK717"/>
          <cell r="AL717"/>
          <cell r="AM717"/>
          <cell r="AN717"/>
          <cell r="AO717"/>
          <cell r="AP717"/>
          <cell r="AQ717"/>
          <cell r="AR717"/>
          <cell r="AS717"/>
          <cell r="AT717"/>
          <cell r="AU717"/>
          <cell r="AV717"/>
          <cell r="AW717"/>
          <cell r="AX717"/>
          <cell r="AY717"/>
          <cell r="AZ717"/>
          <cell r="BA717"/>
          <cell r="BB717"/>
          <cell r="BC717"/>
          <cell r="BD717"/>
          <cell r="BE717"/>
          <cell r="BF717"/>
          <cell r="BG717"/>
          <cell r="BH717"/>
          <cell r="BI717"/>
          <cell r="BJ717"/>
          <cell r="BK717"/>
          <cell r="BL717"/>
          <cell r="BM717"/>
          <cell r="BN717"/>
          <cell r="BO717"/>
          <cell r="BP717"/>
          <cell r="BQ717"/>
          <cell r="BR717"/>
          <cell r="BS717"/>
          <cell r="BT717"/>
          <cell r="BU717"/>
          <cell r="BV717"/>
          <cell r="BW717"/>
          <cell r="BX717"/>
          <cell r="BY717"/>
          <cell r="BZ717"/>
          <cell r="CA717"/>
          <cell r="CB717"/>
          <cell r="CC717"/>
          <cell r="CD717"/>
          <cell r="CE717"/>
          <cell r="CF717"/>
          <cell r="CG717"/>
          <cell r="CH717"/>
          <cell r="CI717"/>
          <cell r="CJ717"/>
          <cell r="CK717"/>
          <cell r="CL717"/>
          <cell r="CM717"/>
          <cell r="CN717"/>
          <cell r="CO717"/>
          <cell r="CP717"/>
          <cell r="CQ717"/>
          <cell r="CR717"/>
          <cell r="CS717"/>
          <cell r="CT717"/>
          <cell r="CU717"/>
          <cell r="CV717"/>
          <cell r="CW717"/>
          <cell r="CX717"/>
          <cell r="CY717"/>
          <cell r="CZ717"/>
          <cell r="DA717"/>
          <cell r="DB717"/>
          <cell r="DC717"/>
          <cell r="DD717"/>
          <cell r="DE717"/>
        </row>
        <row r="719">
          <cell r="A719" t="str">
            <v>AD_AvAdd6</v>
          </cell>
          <cell r="B719" t="str">
            <v>&lt;insert more as required&gt;</v>
          </cell>
          <cell r="C719"/>
          <cell r="D719"/>
          <cell r="E719"/>
          <cell r="F719"/>
          <cell r="G719"/>
          <cell r="H719"/>
          <cell r="I719"/>
          <cell r="J719"/>
          <cell r="K719"/>
          <cell r="L719"/>
          <cell r="M719"/>
          <cell r="N719"/>
          <cell r="O719"/>
          <cell r="P719"/>
          <cell r="Q719"/>
          <cell r="R719"/>
          <cell r="S719"/>
          <cell r="T719"/>
          <cell r="U719"/>
          <cell r="V719"/>
          <cell r="W719"/>
          <cell r="X719"/>
          <cell r="Y719"/>
          <cell r="Z719"/>
          <cell r="AA719"/>
          <cell r="AB719"/>
          <cell r="AC719"/>
          <cell r="AD719"/>
          <cell r="AE719"/>
          <cell r="AF719"/>
          <cell r="AG719"/>
          <cell r="AH719"/>
          <cell r="AI719"/>
          <cell r="AJ719"/>
          <cell r="AK719"/>
          <cell r="AL719"/>
          <cell r="AM719"/>
          <cell r="AN719"/>
          <cell r="AO719"/>
          <cell r="AP719"/>
          <cell r="AQ719"/>
          <cell r="AR719"/>
          <cell r="AS719"/>
          <cell r="AT719"/>
          <cell r="AU719"/>
          <cell r="AV719"/>
          <cell r="AW719"/>
          <cell r="AX719"/>
          <cell r="AY719"/>
          <cell r="AZ719"/>
          <cell r="BA719"/>
          <cell r="BB719"/>
          <cell r="BC719"/>
          <cell r="BD719"/>
          <cell r="BE719"/>
          <cell r="BF719"/>
          <cell r="BG719"/>
          <cell r="BH719"/>
          <cell r="BI719"/>
          <cell r="BJ719"/>
          <cell r="BK719"/>
          <cell r="BL719"/>
          <cell r="BM719"/>
          <cell r="BN719"/>
          <cell r="BO719"/>
          <cell r="BP719"/>
          <cell r="BQ719"/>
          <cell r="BR719"/>
          <cell r="BS719"/>
          <cell r="BT719"/>
          <cell r="BU719"/>
          <cell r="BV719"/>
          <cell r="BW719"/>
          <cell r="BX719"/>
          <cell r="BY719"/>
          <cell r="BZ719"/>
          <cell r="CA719"/>
          <cell r="CB719"/>
          <cell r="CC719"/>
          <cell r="CD719"/>
          <cell r="CE719"/>
          <cell r="CF719"/>
          <cell r="CG719"/>
          <cell r="CH719"/>
          <cell r="CI719"/>
          <cell r="CJ719"/>
          <cell r="CK719"/>
          <cell r="CL719"/>
          <cell r="CM719"/>
          <cell r="CN719"/>
          <cell r="CO719"/>
          <cell r="CP719"/>
          <cell r="CQ719"/>
          <cell r="CR719"/>
          <cell r="CS719"/>
          <cell r="CT719"/>
          <cell r="CU719"/>
          <cell r="CV719"/>
          <cell r="CW719"/>
          <cell r="CX719"/>
          <cell r="CY719"/>
          <cell r="CZ719"/>
          <cell r="DA719"/>
          <cell r="DB719"/>
          <cell r="DC719"/>
          <cell r="DD719"/>
          <cell r="DE719"/>
        </row>
        <row r="732">
          <cell r="A732" t="str">
            <v>AD_PSEPSCashDiluted</v>
          </cell>
          <cell r="B732" t="str">
            <v>Earnings per share (cash | diluted)</v>
          </cell>
          <cell r="C732">
            <v>0.53709276389387939</v>
          </cell>
          <cell r="D732">
            <v>0.55473499562076967</v>
          </cell>
          <cell r="E732">
            <v>0.59454661247199436</v>
          </cell>
          <cell r="F732">
            <v>0.61467162489362792</v>
          </cell>
          <cell r="G732">
            <v>0.65540140180711604</v>
          </cell>
          <cell r="H732">
            <v>0.7028542303771661</v>
          </cell>
          <cell r="I732">
            <v>0.72266378215679816</v>
          </cell>
          <cell r="J732">
            <v>0.72019356747390217</v>
          </cell>
          <cell r="K732">
            <v>0.77448066550298</v>
          </cell>
          <cell r="L732">
            <v>0.80341395221728207</v>
          </cell>
          <cell r="M732">
            <v>0.84204146730462515</v>
          </cell>
          <cell r="N732">
            <v>0.89959361918287672</v>
          </cell>
          <cell r="O732">
            <v>0.96627364743679711</v>
          </cell>
          <cell r="P732">
            <v>1.2634440124256825</v>
          </cell>
          <cell r="Q732">
            <v>1.324253142848393</v>
          </cell>
          <cell r="R732">
            <v>0.84729552418231657</v>
          </cell>
          <cell r="S732">
            <v>0.78524359908375496</v>
          </cell>
          <cell r="T732">
            <v>0.96477032343440849</v>
          </cell>
          <cell r="U732">
            <v>0.94651574607031175</v>
          </cell>
          <cell r="V732">
            <v>1.01827847550281</v>
          </cell>
          <cell r="W732">
            <v>0.99246677630957103</v>
          </cell>
          <cell r="X732">
            <v>1.0066947825568515</v>
          </cell>
          <cell r="Y732">
            <v>1.0693324970433404</v>
          </cell>
          <cell r="Z732">
            <v>1.1004744413835321</v>
          </cell>
          <cell r="AA732">
            <v>1.1076942300216581</v>
          </cell>
          <cell r="AB732">
            <v>1.1812914707083173</v>
          </cell>
          <cell r="AC732">
            <v>1.2043804104252094</v>
          </cell>
          <cell r="AD732">
            <v>1.18841189674523</v>
          </cell>
          <cell r="AE732">
            <v>1.2393388374401033</v>
          </cell>
          <cell r="AF732">
            <v>1.1475972540045767</v>
          </cell>
          <cell r="AG732">
            <v>1.1354548014643762</v>
          </cell>
          <cell r="AH732">
            <v>1.154317548746518</v>
          </cell>
          <cell r="AI732">
            <v>1.1538035961272475</v>
          </cell>
          <cell r="AJ732">
            <v>1.2089305402425579</v>
          </cell>
          <cell r="AK732">
            <v>1.0757534618517512</v>
          </cell>
          <cell r="AL732">
            <v>0.92717011556033324</v>
          </cell>
          <cell r="AM732">
            <v>0.98268513585508788</v>
          </cell>
          <cell r="AN732">
            <v>0.27737430167597765</v>
          </cell>
          <cell r="AO732">
            <v>0.42893401015228427</v>
          </cell>
          <cell r="AP732">
            <v>0.88602673147023081</v>
          </cell>
          <cell r="AQ732">
            <v>0.48148148148148145</v>
          </cell>
          <cell r="AR732">
            <v>0.85746835443037972</v>
          </cell>
          <cell r="AS732">
            <v>0.6598551474392137</v>
          </cell>
          <cell r="AT732">
            <v>1.0755201643976369</v>
          </cell>
          <cell r="AU732">
            <v>0.87583547557840613</v>
          </cell>
          <cell r="AV732">
            <v>0.91483375959079283</v>
          </cell>
          <cell r="AW732">
            <v>1.0086864964464333</v>
          </cell>
          <cell r="AX732">
            <v>0.9961295941621624</v>
          </cell>
          <cell r="AY732">
            <v>1.0075696134090295</v>
          </cell>
          <cell r="AZ732">
            <v>1.0458039442442353</v>
          </cell>
          <cell r="BA732">
            <v>1.0736176097078625</v>
          </cell>
          <cell r="BB732">
            <v>1.0762997335850628</v>
          </cell>
          <cell r="BC732">
            <v>1.0752850223291344</v>
          </cell>
          <cell r="BD732">
            <v>1.1099307116807149</v>
          </cell>
          <cell r="BE732">
            <v>1.1176928373170019</v>
          </cell>
          <cell r="BF732">
            <v>1.1727080065374509</v>
          </cell>
          <cell r="BG732">
            <v>1.2012447342854211</v>
          </cell>
          <cell r="BH732">
            <v>1.2423670404395248</v>
          </cell>
          <cell r="BI732">
            <v>1.2682632483367429</v>
          </cell>
          <cell r="BJ732">
            <v>1.2763200654277358</v>
          </cell>
          <cell r="BK732">
            <v>1.2672515096369605</v>
          </cell>
          <cell r="BL732">
            <v>1.2856617906250407</v>
          </cell>
          <cell r="BM732">
            <v>1.2683071862319315</v>
          </cell>
          <cell r="BN732">
            <v>1.2952132282659459</v>
          </cell>
          <cell r="BO732">
            <v>1.2911624969001891</v>
          </cell>
          <cell r="BP732">
            <v>1.3207666552164887</v>
          </cell>
          <cell r="BQ732">
            <v>1.3232086491337054</v>
          </cell>
          <cell r="BR732"/>
          <cell r="BS732"/>
          <cell r="BT732">
            <v>0.20885593192566451</v>
          </cell>
          <cell r="BU732">
            <v>0.3442642156529867</v>
          </cell>
          <cell r="BV732">
            <v>0.49013528575978044</v>
          </cell>
          <cell r="BW732">
            <v>0.54303395484859585</v>
          </cell>
          <cell r="BX732">
            <v>0.64872240791415869</v>
          </cell>
          <cell r="BY732">
            <v>0.6646322593083015</v>
          </cell>
          <cell r="BZ732">
            <v>0.80950341107409163</v>
          </cell>
          <cell r="CA732">
            <v>0.93128535487075936</v>
          </cell>
          <cell r="CB732">
            <v>1.0724994555840328</v>
          </cell>
          <cell r="CC732">
            <v>1.1491975471385798</v>
          </cell>
          <cell r="CD732">
            <v>1.2703138993543666</v>
          </cell>
          <cell r="CE732">
            <v>1.4259365978858847</v>
          </cell>
          <cell r="CF732">
            <v>1.4949023498858642</v>
          </cell>
          <cell r="CG732">
            <v>1.6486840084113288</v>
          </cell>
          <cell r="CH732">
            <v>1.8666309108786983</v>
          </cell>
          <cell r="CI732">
            <v>2.583342283595448</v>
          </cell>
          <cell r="CJ732">
            <v>1.6443343469295024</v>
          </cell>
          <cell r="CK732">
            <v>1.9039588298717511</v>
          </cell>
          <cell r="CL732">
            <v>2.0011061807056798</v>
          </cell>
          <cell r="CM732">
            <v>2.0813601857080117</v>
          </cell>
          <cell r="CN732">
            <v>2.2102507697709171</v>
          </cell>
          <cell r="CO732">
            <v>2.3872048688859033</v>
          </cell>
          <cell r="CP732">
            <v>2.4156353757923332</v>
          </cell>
          <cell r="CQ732">
            <v>2.2793992632473787</v>
          </cell>
          <cell r="CR732">
            <v>2.3071587125416206</v>
          </cell>
          <cell r="CS732">
            <v>2.287750068511921</v>
          </cell>
          <cell r="CT732">
            <v>1.9113788487282464</v>
          </cell>
          <cell r="CU732">
            <v>0.72525027808676312</v>
          </cell>
          <cell r="CV732">
            <v>1.3512857836001941</v>
          </cell>
          <cell r="CW732">
            <v>1.525301823786283</v>
          </cell>
          <cell r="CX732">
            <v>1.9496790757381257</v>
          </cell>
          <cell r="CY732">
            <v>1.8992566008715714</v>
          </cell>
          <cell r="CZ732">
            <v>2.0050526097917234</v>
          </cell>
          <cell r="DA732">
            <v>2.1193635812070815</v>
          </cell>
          <cell r="DB732">
            <v>2.151575129747914</v>
          </cell>
          <cell r="DC732">
            <v>2.2276093818424787</v>
          </cell>
          <cell r="DD732">
            <v>2.3738935989126531</v>
          </cell>
          <cell r="DE732">
            <v>2.5106302887762673</v>
          </cell>
          <cell r="DF732">
            <v>2.5435715750646963</v>
          </cell>
          <cell r="DG732">
            <v>2.5539689768569729</v>
          </cell>
          <cell r="DH732">
            <v>2.586375725166135</v>
          </cell>
          <cell r="DI732">
            <v>2.6439753043501928</v>
          </cell>
        </row>
        <row r="734">
          <cell r="A734" t="str">
            <v>AD_PSUEPSCashBasic</v>
          </cell>
          <cell r="B734" t="str">
            <v>Earnings per share (underlying | basic)</v>
          </cell>
          <cell r="C734">
            <v>0.91097818832410726</v>
          </cell>
          <cell r="D734">
            <v>0.9477278301781612</v>
          </cell>
          <cell r="E734">
            <v>0.89391709590385082</v>
          </cell>
          <cell r="F734">
            <v>0.9209449870606895</v>
          </cell>
          <cell r="G734">
            <v>1.0248197035860791</v>
          </cell>
          <cell r="H734">
            <v>1.0509120409066326</v>
          </cell>
          <cell r="I734">
            <v>1.1434897289946151</v>
          </cell>
          <cell r="J734">
            <v>1.1401817741687021</v>
          </cell>
          <cell r="K734">
            <v>1.2482483954975865</v>
          </cell>
          <cell r="L734">
            <v>1.3054340047309221</v>
          </cell>
          <cell r="M734">
            <v>1.2888255855558308</v>
          </cell>
          <cell r="N734">
            <v>1.4180455694540202</v>
          </cell>
          <cell r="O734">
            <v>1.5593611029563665</v>
          </cell>
          <cell r="P734">
            <v>2.1142012759738336</v>
          </cell>
          <cell r="Q734">
            <v>2.3412438274580372</v>
          </cell>
          <cell r="R734">
            <v>1.768481657928894</v>
          </cell>
          <cell r="S734">
            <v>1.7447320090860758</v>
          </cell>
          <cell r="T734">
            <v>1.7260356947856947</v>
          </cell>
          <cell r="U734">
            <v>1.6019920966283687</v>
          </cell>
          <cell r="V734">
            <v>1.6582491582491583</v>
          </cell>
          <cell r="W734">
            <v>1.653415573422198</v>
          </cell>
          <cell r="X734">
            <v>1.7097834454930383</v>
          </cell>
          <cell r="Y734">
            <v>1.7731965893035342</v>
          </cell>
          <cell r="Z734">
            <v>1.777475987262809</v>
          </cell>
          <cell r="AA734">
            <v>1.7767413178173488</v>
          </cell>
          <cell r="AB734">
            <v>1.8542095122989299</v>
          </cell>
          <cell r="AC734">
            <v>1.8461663180764303</v>
          </cell>
          <cell r="AD734">
            <v>1.8416946349530618</v>
          </cell>
          <cell r="AE734">
            <v>1.9378156565656566</v>
          </cell>
          <cell r="AF734">
            <v>1.8770814411141388</v>
          </cell>
          <cell r="AG734">
            <v>1.8272972164022747</v>
          </cell>
          <cell r="AH734">
            <v>1.8675417661097853</v>
          </cell>
          <cell r="AI734">
            <v>1.8343703703703704</v>
          </cell>
          <cell r="AJ734">
            <v>1.9258823529411764</v>
          </cell>
          <cell r="AK734">
            <v>1.7261592300962381</v>
          </cell>
          <cell r="AL734">
            <v>1.4706565950029054</v>
          </cell>
          <cell r="AM734">
            <v>1.6028818443804034</v>
          </cell>
          <cell r="AN734">
            <v>1.1682034087734003</v>
          </cell>
          <cell r="AO734">
            <v>1.0368217054263567</v>
          </cell>
          <cell r="AP734">
            <v>1.313164349959117</v>
          </cell>
          <cell r="AQ734">
            <v>0.80049059689288637</v>
          </cell>
          <cell r="AR734">
            <v>1.3414230557087701</v>
          </cell>
          <cell r="AS734">
            <v>1.1285347043701799</v>
          </cell>
          <cell r="AT734">
            <v>1.7156303479749002</v>
          </cell>
          <cell r="AU734">
            <v>1.4072385294955827</v>
          </cell>
          <cell r="AV734">
            <v>1.4847099171191769</v>
          </cell>
          <cell r="AW734">
            <v>1.5739456961294049</v>
          </cell>
          <cell r="AX734">
            <v>1.5422893965627733</v>
          </cell>
          <cell r="AY734">
            <v>1.5350672121566336</v>
          </cell>
          <cell r="AZ734">
            <v>1.6535093929931588</v>
          </cell>
          <cell r="BA734">
            <v>1.7010224868656656</v>
          </cell>
          <cell r="BB734">
            <v>1.7153268139195441</v>
          </cell>
          <cell r="BC734">
            <v>1.7254987243960833</v>
          </cell>
          <cell r="BD734">
            <v>1.8004992780318376</v>
          </cell>
          <cell r="BE734">
            <v>1.8168283490972315</v>
          </cell>
          <cell r="BF734">
            <v>1.8972541266233469</v>
          </cell>
          <cell r="BG734">
            <v>1.9360561224293857</v>
          </cell>
          <cell r="BH734">
            <v>2.0038516685110852</v>
          </cell>
          <cell r="BI734">
            <v>2.0373395822121689</v>
          </cell>
          <cell r="BJ734">
            <v>2.1068192744519445</v>
          </cell>
          <cell r="BK734">
            <v>2.1051558593924891</v>
          </cell>
          <cell r="BL734">
            <v>2.1567676038910757</v>
          </cell>
          <cell r="BM734">
            <v>2.141532930891604</v>
          </cell>
          <cell r="BN734">
            <v>2.195152018382414</v>
          </cell>
          <cell r="BO734">
            <v>2.2028618658261836</v>
          </cell>
          <cell r="BP734">
            <v>2.2504752066067528</v>
          </cell>
          <cell r="BQ734">
            <v>2.2585358346322049</v>
          </cell>
          <cell r="BR734"/>
          <cell r="BS734"/>
          <cell r="BT734">
            <v>1.0352335844305984</v>
          </cell>
          <cell r="BU734">
            <v>0.9274484799135031</v>
          </cell>
          <cell r="BV734">
            <v>0.93824026650841064</v>
          </cell>
          <cell r="BW734">
            <v>0.9003994943771535</v>
          </cell>
          <cell r="BX734">
            <v>1.0368924625885376</v>
          </cell>
          <cell r="BY734">
            <v>1.1135597593820052</v>
          </cell>
          <cell r="BZ734">
            <v>1.2149914885162094</v>
          </cell>
          <cell r="CA734">
            <v>1.4150157979154261</v>
          </cell>
          <cell r="CB734">
            <v>1.7214117858204476</v>
          </cell>
          <cell r="CC734">
            <v>1.841644926082012</v>
          </cell>
          <cell r="CD734">
            <v>1.9462737442653875</v>
          </cell>
          <cell r="CE734">
            <v>2.1942261958517717</v>
          </cell>
          <cell r="CF734">
            <v>2.3889892516046332</v>
          </cell>
          <cell r="CG734">
            <v>2.5943227058862237</v>
          </cell>
          <cell r="CH734">
            <v>2.9778644981128779</v>
          </cell>
          <cell r="CI734">
            <v>4.4574160981824633</v>
          </cell>
          <cell r="CJ734">
            <v>3.6374458874458875</v>
          </cell>
          <cell r="CK734">
            <v>3.3269879141346168</v>
          </cell>
          <cell r="CL734">
            <v>3.3110993657505285</v>
          </cell>
          <cell r="CM734">
            <v>3.4826488048019462</v>
          </cell>
          <cell r="CN734">
            <v>3.5542163571195831</v>
          </cell>
          <cell r="CO734">
            <v>3.7039387116582354</v>
          </cell>
          <cell r="CP734">
            <v>3.779474708798257</v>
          </cell>
          <cell r="CQ734">
            <v>3.7040939193257074</v>
          </cell>
          <cell r="CR734">
            <v>3.7012485136741975</v>
          </cell>
          <cell r="CS734">
            <v>3.6517281780902167</v>
          </cell>
          <cell r="CT734">
            <v>3.074074074074074</v>
          </cell>
          <cell r="CU734">
            <v>2.2047287899860919</v>
          </cell>
          <cell r="CV734">
            <v>2.1205906480721901</v>
          </cell>
          <cell r="CW734">
            <v>2.47334455667789</v>
          </cell>
          <cell r="CX734">
            <v>3.1231822070145423</v>
          </cell>
          <cell r="CY734">
            <v>3.0577420281528296</v>
          </cell>
          <cell r="CZ734">
            <v>3.0778171865771813</v>
          </cell>
          <cell r="DA734">
            <v>3.3544261587981339</v>
          </cell>
          <cell r="DB734">
            <v>3.4407837105248649</v>
          </cell>
          <cell r="DC734">
            <v>3.6172953615146768</v>
          </cell>
          <cell r="DD734">
            <v>3.8332201052601929</v>
          </cell>
          <cell r="DE734">
            <v>4.0411912507232532</v>
          </cell>
          <cell r="DF734">
            <v>4.211975133844434</v>
          </cell>
          <cell r="DG734">
            <v>4.2983005347826806</v>
          </cell>
          <cell r="DH734">
            <v>4.3980138842085976</v>
          </cell>
          <cell r="DI734">
            <v>4.5090110412389572</v>
          </cell>
        </row>
        <row r="767">
          <cell r="A767" t="str">
            <v>AD_RatioFCFTotalandFranking</v>
          </cell>
          <cell r="B767" t="str">
            <v>Free cash flow yield (gross)</v>
          </cell>
          <cell r="C767">
            <v>8.3667851537950561E-2</v>
          </cell>
          <cell r="D767">
            <v>7.1975086473127586E-2</v>
          </cell>
          <cell r="E767">
            <v>8.7321502747682495E-2</v>
          </cell>
          <cell r="F767">
            <v>8.1953149879299664E-2</v>
          </cell>
          <cell r="G767">
            <v>8.1633494310996257E-2</v>
          </cell>
          <cell r="H767">
            <v>7.8607816129469696E-2</v>
          </cell>
          <cell r="I767">
            <v>8.3555708909574922E-2</v>
          </cell>
          <cell r="J767">
            <v>8.0930192239164117E-2</v>
          </cell>
          <cell r="K767">
            <v>7.8402426270167552E-2</v>
          </cell>
          <cell r="L767">
            <v>7.2252457701737258E-2</v>
          </cell>
          <cell r="M767">
            <v>7.9333337789814856E-2</v>
          </cell>
          <cell r="N767">
            <v>7.2054948285538642E-2</v>
          </cell>
          <cell r="O767">
            <v>7.6804497789144555E-2</v>
          </cell>
          <cell r="P767">
            <v>0.118244257734566</v>
          </cell>
          <cell r="Q767">
            <v>0.13803344225537745</v>
          </cell>
          <cell r="R767">
            <v>8.4067896167208861E-2</v>
          </cell>
          <cell r="S767">
            <v>6.2016823877876513E-2</v>
          </cell>
          <cell r="T767">
            <v>7.3278755741579021E-2</v>
          </cell>
          <cell r="U767">
            <v>9.0866365020172923E-2</v>
          </cell>
          <cell r="V767">
            <v>9.3859231597283405E-2</v>
          </cell>
          <cell r="W767">
            <v>0.1102227653014264</v>
          </cell>
          <cell r="X767">
            <v>9.7505181727193233E-2</v>
          </cell>
          <cell r="Y767">
            <v>9.1781351663945188E-2</v>
          </cell>
          <cell r="Z767">
            <v>7.9869966948317883E-2</v>
          </cell>
          <cell r="AA767">
            <v>7.5680757273663635E-2</v>
          </cell>
          <cell r="AB767">
            <v>7.1522541975762466E-2</v>
          </cell>
          <cell r="AC767">
            <v>7.7733886957242648E-2</v>
          </cell>
          <cell r="AD767">
            <v>6.1482467817788884E-2</v>
          </cell>
          <cell r="AE767">
            <v>8.6041536955242554E-2</v>
          </cell>
          <cell r="AF767">
            <v>7.5447264861950025E-2</v>
          </cell>
          <cell r="AG767">
            <v>7.3509012246128311E-2</v>
          </cell>
          <cell r="AH767">
            <v>6.3815748911466172E-2</v>
          </cell>
          <cell r="AI767">
            <v>6.8817522642585296E-2</v>
          </cell>
          <cell r="AJ767">
            <v>7.9635579514824806E-2</v>
          </cell>
          <cell r="AK767">
            <v>7.1185428113406099E-2</v>
          </cell>
          <cell r="AL767">
            <v>6.5445066877978936E-2</v>
          </cell>
          <cell r="AM767">
            <v>5.7204795406827873E-2</v>
          </cell>
          <cell r="AN767">
            <v>-2.9512255835809905E-2</v>
          </cell>
          <cell r="AO767">
            <v>8.4068873088648816E-3</v>
          </cell>
          <cell r="AP767">
            <v>5.9125149581998264E-2</v>
          </cell>
          <cell r="AQ767">
            <v>1.9383339473282239E-2</v>
          </cell>
          <cell r="AR767">
            <v>5.2406728814083842E-2</v>
          </cell>
          <cell r="AS767">
            <v>3.7981127366552132E-2</v>
          </cell>
          <cell r="AT767">
            <v>8.0585704812064687E-2</v>
          </cell>
          <cell r="AU767">
            <v>6.1726797565655703E-2</v>
          </cell>
          <cell r="AV767">
            <v>5.9922528181873207E-2</v>
          </cell>
          <cell r="AW767">
            <v>5.192260079608433E-2</v>
          </cell>
          <cell r="AX767">
            <v>4.7925506443629001E-2</v>
          </cell>
          <cell r="AY767">
            <v>3.9954137569594136E-2</v>
          </cell>
          <cell r="AZ767">
            <v>3.9798120757164712E-2</v>
          </cell>
          <cell r="BA767">
            <v>3.9064445043512606E-2</v>
          </cell>
          <cell r="BB767">
            <v>3.7147732487727056E-2</v>
          </cell>
          <cell r="BC767">
            <v>3.5167836169516575E-2</v>
          </cell>
          <cell r="BD767">
            <v>3.4943213715054287E-2</v>
          </cell>
          <cell r="BE767">
            <v>3.3849853455730106E-2</v>
          </cell>
          <cell r="BF767">
            <v>3.4739163657581756E-2</v>
          </cell>
          <cell r="BG767">
            <v>3.4447044494270829E-2</v>
          </cell>
          <cell r="BH767">
            <v>3.448179696164156E-2</v>
          </cell>
          <cell r="BI767">
            <v>3.3941349481574991E-2</v>
          </cell>
          <cell r="BJ767">
            <v>3.3098287784232169E-2</v>
          </cell>
          <cell r="BK767">
            <v>3.1682507943385563E-2</v>
          </cell>
          <cell r="BL767">
            <v>3.0917898337277868E-2</v>
          </cell>
          <cell r="BM767">
            <v>2.869594330463247E-2</v>
          </cell>
          <cell r="BN767">
            <v>2.8128705951956132E-2</v>
          </cell>
          <cell r="BO767">
            <v>2.6458752289329899E-2</v>
          </cell>
          <cell r="BP767">
            <v>2.599181568572766E-2</v>
          </cell>
          <cell r="BQ767">
            <v>2.4605286493087804E-2</v>
          </cell>
          <cell r="BR767"/>
          <cell r="BS767"/>
          <cell r="BT767">
            <v>2.9787745841547659E-2</v>
          </cell>
          <cell r="BU767">
            <v>6.6472351765489657E-2</v>
          </cell>
          <cell r="BV767">
            <v>8.8254367888708163E-2</v>
          </cell>
          <cell r="BW767">
            <v>9.6975289681131061E-2</v>
          </cell>
          <cell r="BX767">
            <v>9.2535322688650085E-2</v>
          </cell>
          <cell r="BY767">
            <v>8.3418502107692166E-2</v>
          </cell>
          <cell r="BZ767">
            <v>0.1023290057354385</v>
          </cell>
          <cell r="CA767">
            <v>8.7983474430664441E-2</v>
          </cell>
          <cell r="CB767">
            <v>9.487014716965976E-2</v>
          </cell>
          <cell r="CC767">
            <v>9.4166467252904201E-2</v>
          </cell>
          <cell r="CD767">
            <v>8.8357913556015411E-2</v>
          </cell>
          <cell r="CE767">
            <v>8.9837228237108394E-2</v>
          </cell>
          <cell r="CF767">
            <v>8.4082591209093213E-2</v>
          </cell>
          <cell r="CG767">
            <v>8.624781668254318E-2</v>
          </cell>
          <cell r="CH767">
            <v>7.9758359180889582E-2</v>
          </cell>
          <cell r="CI767">
            <v>0.14369087013590656</v>
          </cell>
          <cell r="CJ767">
            <v>7.3143390310438899E-2</v>
          </cell>
          <cell r="CK767">
            <v>0.10023381533936446</v>
          </cell>
          <cell r="CL767">
            <v>0.12298417271827437</v>
          </cell>
          <cell r="CM767">
            <v>0.10221751027481267</v>
          </cell>
          <cell r="CN767">
            <v>8.5279090900131083E-2</v>
          </cell>
          <cell r="CO767">
            <v>8.8668312062676904E-2</v>
          </cell>
          <cell r="CP767">
            <v>9.7198297029653796E-2</v>
          </cell>
          <cell r="CQ767">
            <v>9.0361830601641546E-2</v>
          </cell>
          <cell r="CR767">
            <v>8.4510434986310681E-2</v>
          </cell>
          <cell r="CS767">
            <v>9.4691240732895213E-2</v>
          </cell>
          <cell r="CT767">
            <v>7.4439315101321679E-2</v>
          </cell>
          <cell r="CU767">
            <v>2.0588446419899452E-2</v>
          </cell>
          <cell r="CV767">
            <v>5.6450928071108533E-2</v>
          </cell>
          <cell r="CW767">
            <v>7.6239920119119092E-2</v>
          </cell>
          <cell r="CX767">
            <v>9.8998501477288586E-2</v>
          </cell>
          <cell r="CY767">
            <v>6.8302607391148934E-2</v>
          </cell>
          <cell r="CZ767">
            <v>5.4201354229019505E-2</v>
          </cell>
          <cell r="DA767">
            <v>5.2613323185856126E-2</v>
          </cell>
          <cell r="DB767">
            <v>4.8870770960089981E-2</v>
          </cell>
          <cell r="DC767">
            <v>4.6551463388686855E-2</v>
          </cell>
          <cell r="DD767">
            <v>4.61407349783933E-2</v>
          </cell>
          <cell r="DE767">
            <v>4.5203290401932737E-2</v>
          </cell>
          <cell r="DF767">
            <v>4.272815908496333E-2</v>
          </cell>
          <cell r="DG767">
            <v>3.954379953537511E-2</v>
          </cell>
          <cell r="DH767">
            <v>3.6611505545182499E-2</v>
          </cell>
          <cell r="DI767">
            <v>3.4205798797399413E-2</v>
          </cell>
        </row>
        <row r="771">
          <cell r="A771" t="str">
            <v>AD_RatioAdd2</v>
          </cell>
          <cell r="B771" t="str">
            <v>&lt;insert more as required&gt;</v>
          </cell>
          <cell r="AX771"/>
          <cell r="AY771"/>
          <cell r="CZ771"/>
          <cell r="DA771"/>
          <cell r="DB771"/>
          <cell r="DC771"/>
          <cell r="DD771"/>
          <cell r="DE771"/>
        </row>
        <row r="804">
          <cell r="A804" t="str">
            <v>AD_ProfitabilityAdd9</v>
          </cell>
          <cell r="B804" t="str">
            <v>&lt;insert more as required&gt;</v>
          </cell>
          <cell r="AX804"/>
          <cell r="AY804"/>
          <cell r="CZ804"/>
          <cell r="DA804"/>
          <cell r="DB804"/>
          <cell r="DC804"/>
          <cell r="DD804"/>
          <cell r="DE804"/>
        </row>
        <row r="805">
          <cell r="A805" t="str">
            <v>AD_ProfitabilityAdd10</v>
          </cell>
          <cell r="B805" t="str">
            <v>&lt;insert more as required&gt;</v>
          </cell>
          <cell r="AX805"/>
          <cell r="AY805"/>
          <cell r="CZ805"/>
          <cell r="DA805"/>
          <cell r="DB805"/>
          <cell r="DC805"/>
          <cell r="DD805"/>
          <cell r="DE805"/>
        </row>
        <row r="841">
          <cell r="A841" t="str">
            <v>AD_CapitalIRCG</v>
          </cell>
          <cell r="B841" t="str">
            <v>Internal rate of capital generation</v>
          </cell>
          <cell r="C841">
            <v>0</v>
          </cell>
          <cell r="D841">
            <v>0.47381504105415118</v>
          </cell>
          <cell r="E841">
            <v>0.46547888937583909</v>
          </cell>
          <cell r="F841">
            <v>0.47858911878853228</v>
          </cell>
          <cell r="G841">
            <v>0.48170412959816372</v>
          </cell>
          <cell r="H841">
            <v>0.49708605125041838</v>
          </cell>
          <cell r="I841">
            <v>0.47705607156643143</v>
          </cell>
          <cell r="J841">
            <v>0.52708328785762104</v>
          </cell>
          <cell r="K841">
            <v>0.47297098796871284</v>
          </cell>
          <cell r="L841">
            <v>0.48650913392713424</v>
          </cell>
          <cell r="M841">
            <v>0.50526738380517588</v>
          </cell>
          <cell r="N841">
            <v>0.49667616415373211</v>
          </cell>
          <cell r="O841">
            <v>0.49515780880181909</v>
          </cell>
          <cell r="P841">
            <v>0.3745110851224388</v>
          </cell>
          <cell r="Q841">
            <v>0.31663459094660928</v>
          </cell>
          <cell r="R841">
            <v>0.55609819257488513</v>
          </cell>
          <cell r="S841">
            <v>0.5937713564156003</v>
          </cell>
          <cell r="T841">
            <v>0.50158905897656769</v>
          </cell>
          <cell r="U841">
            <v>0.58623481600986538</v>
          </cell>
          <cell r="V841">
            <v>0.55802941412389262</v>
          </cell>
          <cell r="W841">
            <v>0.61050914193267058</v>
          </cell>
          <cell r="X841">
            <v>0.62579103637510791</v>
          </cell>
          <cell r="Y841">
            <v>0.60005236604022261</v>
          </cell>
          <cell r="Z841">
            <v>0.68399865162531459</v>
          </cell>
          <cell r="AA841">
            <v>0.6804748950600622</v>
          </cell>
          <cell r="AB841">
            <v>0.58308725113082838</v>
          </cell>
          <cell r="AC841">
            <v>0.58524282520978588</v>
          </cell>
          <cell r="AD841">
            <v>0.6124624713242558</v>
          </cell>
          <cell r="AE841">
            <v>0.59640378776714575</v>
          </cell>
          <cell r="AF841">
            <v>0.66482974252313509</v>
          </cell>
          <cell r="AG841">
            <v>0.66816780897234651</v>
          </cell>
          <cell r="AH841">
            <v>0.65333114478996879</v>
          </cell>
          <cell r="AI841">
            <v>0.66045305820949529</v>
          </cell>
          <cell r="AJ841">
            <v>0.62774465794108081</v>
          </cell>
          <cell r="AK841">
            <v>0.7258129832780098</v>
          </cell>
          <cell r="AL841">
            <v>0.86231558517290308</v>
          </cell>
          <cell r="AM841">
            <v>0.68358644473922192</v>
          </cell>
          <cell r="AN841">
            <v>0</v>
          </cell>
          <cell r="AO841">
            <v>0.65535337728521459</v>
          </cell>
          <cell r="AP841">
            <v>0.53125573012213279</v>
          </cell>
          <cell r="AQ841">
            <v>1.1437334577165419</v>
          </cell>
          <cell r="AR841">
            <v>0.58160801461761036</v>
          </cell>
          <cell r="AS841">
            <v>0.8538529616987669</v>
          </cell>
          <cell r="AT841">
            <v>0.5355789579797311</v>
          </cell>
          <cell r="AU841">
            <v>0.71156500615680784</v>
          </cell>
          <cell r="AV841">
            <v>0.83764419841153703</v>
          </cell>
          <cell r="AW841">
            <v>0.63404104056579047</v>
          </cell>
          <cell r="AX841">
            <v>0.66964136062128399</v>
          </cell>
          <cell r="AY841">
            <v>0.66774963178296065</v>
          </cell>
          <cell r="AZ841">
            <v>0.64741990631526669</v>
          </cell>
          <cell r="BA841">
            <v>0.63652730373745026</v>
          </cell>
          <cell r="BB841">
            <v>0.64290546471648757</v>
          </cell>
          <cell r="BC841">
            <v>0.65278961380811584</v>
          </cell>
          <cell r="BD841">
            <v>0.63686002266575437</v>
          </cell>
          <cell r="BE841">
            <v>0.65544173954421248</v>
          </cell>
          <cell r="BF841">
            <v>0.64130623306615164</v>
          </cell>
          <cell r="BG841">
            <v>0.64571044515654097</v>
          </cell>
          <cell r="BH841">
            <v>0.64246686915349072</v>
          </cell>
          <cell r="BI841">
            <v>0.6487831007482221</v>
          </cell>
          <cell r="BJ841">
            <v>0.66477123762351431</v>
          </cell>
          <cell r="BK841">
            <v>0.69251294925593343</v>
          </cell>
          <cell r="BL841">
            <v>0.70160236655169039</v>
          </cell>
          <cell r="BM841">
            <v>0.71422389224137206</v>
          </cell>
          <cell r="BN841">
            <v>0.71062646748570779</v>
          </cell>
          <cell r="BO841">
            <v>0.71490872126422278</v>
          </cell>
          <cell r="BP841">
            <v>0.70941537315572245</v>
          </cell>
          <cell r="BQ841">
            <v>0.70950374421335483</v>
          </cell>
          <cell r="BR841"/>
          <cell r="BS841"/>
          <cell r="BT841">
            <v>0.60724643286137836</v>
          </cell>
          <cell r="BU841">
            <v>0.37130507938596979</v>
          </cell>
          <cell r="BV841">
            <v>0.38692762758633331</v>
          </cell>
          <cell r="BW841">
            <v>0.45047369957816197</v>
          </cell>
          <cell r="BX841">
            <v>0.42872674764441987</v>
          </cell>
          <cell r="BY841">
            <v>0.48069568374230287</v>
          </cell>
          <cell r="BZ841">
            <v>0.41750768717424547</v>
          </cell>
          <cell r="CA841">
            <v>0.42614530869103528</v>
          </cell>
          <cell r="CB841">
            <v>0.40925174494855293</v>
          </cell>
          <cell r="CC841">
            <v>0.45947779280855144</v>
          </cell>
          <cell r="CD841">
            <v>0.48344651466386429</v>
          </cell>
          <cell r="CE841">
            <v>0.48674019829389314</v>
          </cell>
          <cell r="CF841">
            <v>0.50077144670873797</v>
          </cell>
          <cell r="CG841">
            <v>0.49595636532397075</v>
          </cell>
          <cell r="CH841">
            <v>0.49671112582021393</v>
          </cell>
          <cell r="CI841">
            <v>0.37100041121796651</v>
          </cell>
          <cell r="CJ841">
            <v>0.5756949288753227</v>
          </cell>
          <cell r="CK841">
            <v>0.54356820625881708</v>
          </cell>
          <cell r="CL841">
            <v>0.58408559061818932</v>
          </cell>
          <cell r="CM841">
            <v>0.61293596668087813</v>
          </cell>
          <cell r="CN841">
            <v>0.68211553058514329</v>
          </cell>
          <cell r="CO841">
            <v>0.58455676967716996</v>
          </cell>
          <cell r="CP841">
            <v>0.60470573724185417</v>
          </cell>
          <cell r="CQ841">
            <v>0.66635557305465831</v>
          </cell>
          <cell r="CR841">
            <v>0.65691896199554467</v>
          </cell>
          <cell r="CS841">
            <v>0.67431547720686191</v>
          </cell>
          <cell r="CT841">
            <v>0.76935298690666576</v>
          </cell>
          <cell r="CU841">
            <v>0.41030932139589349</v>
          </cell>
          <cell r="CV841">
            <v>0.73967051007626328</v>
          </cell>
          <cell r="CW841">
            <v>0.69676362249625412</v>
          </cell>
          <cell r="CX841">
            <v>0.61363078561671414</v>
          </cell>
          <cell r="CY841">
            <v>0.73100475892073102</v>
          </cell>
          <cell r="CZ841">
            <v>0.66853235660651011</v>
          </cell>
          <cell r="DA841">
            <v>0.64190444101939115</v>
          </cell>
          <cell r="DB841">
            <v>0.64783425695277319</v>
          </cell>
          <cell r="DC841">
            <v>0.64616625726103361</v>
          </cell>
          <cell r="DD841">
            <v>0.64353468938442493</v>
          </cell>
          <cell r="DE841">
            <v>0.64565508271647865</v>
          </cell>
          <cell r="DF841">
            <v>0.67858040180665313</v>
          </cell>
          <cell r="DG841">
            <v>0.70787598817505171</v>
          </cell>
          <cell r="DH841">
            <v>0.71276939004639395</v>
          </cell>
          <cell r="DI841">
            <v>0.70946287276778408</v>
          </cell>
        </row>
        <row r="842">
          <cell r="A842" t="str">
            <v>AD_CapitalAdd1</v>
          </cell>
          <cell r="B842" t="str">
            <v>&lt;insert more as required&gt;</v>
          </cell>
          <cell r="AX842"/>
          <cell r="AY842"/>
          <cell r="CZ842"/>
          <cell r="DA842"/>
          <cell r="DB842"/>
          <cell r="DC842"/>
          <cell r="DD842"/>
          <cell r="DE842"/>
        </row>
      </sheetData>
      <sheetData sheetId="9"/>
      <sheetData sheetId="10"/>
      <sheetData sheetId="11"/>
      <sheetData sheetId="12">
        <row r="4">
          <cell r="C4" t="str">
            <v>FY24A</v>
          </cell>
        </row>
      </sheetData>
      <sheetData sheetId="13"/>
      <sheetData sheetId="14"/>
      <sheetData sheetId="15" refreshError="1"/>
      <sheetData sheetId="16" refreshError="1"/>
      <sheetData sheetId="17" refreshError="1"/>
      <sheetData sheetId="18" refreshError="1"/>
      <sheetData sheetId="1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_QP_ANZ.AX"/>
      <sheetName val="Sheet2"/>
      <sheetName val="Sheet1"/>
      <sheetName val="MigrationOutput_QP_ANZ.AX"/>
      <sheetName val="Cover Page"/>
      <sheetName val="ANZ.AX_Exchange_Sheet"/>
      <sheetName val="QP_ANZ.AX_migrated"/>
      <sheetName val="Summary"/>
      <sheetName val="Model"/>
      <sheetName val="FinSum"/>
      <sheetName val="Financial Summary"/>
      <sheetName val="RIM"/>
      <sheetName val="Old"/>
      <sheetName val="Detailed P&amp;L"/>
      <sheetName val="Earnings Changes"/>
      <sheetName val="Earnings Changes (2)"/>
      <sheetName val="New Finsum"/>
      <sheetName val="ANZ.AX_Live_Sheet"/>
      <sheetName val="ANZ.AX_Validation_Sheet"/>
      <sheetName val="ANZ.AX_Annotation_Sheet"/>
      <sheetName val="INDUST_TPLATE"/>
      <sheetName val="TPLATE_VALID"/>
      <sheetName val="QP_ANZ.AX"/>
      <sheetName val="QsheetComparison_ANZ.AX"/>
      <sheetName val="ANZ Summary"/>
      <sheetName val="ANZ_Abbr"/>
      <sheetName val="Revisions"/>
      <sheetName val="DCF"/>
      <sheetName val="Ratios"/>
      <sheetName val="WACC"/>
      <sheetName val="PriceTarget"/>
      <sheetName val="EVA"/>
      <sheetName val="Key Assumptions"/>
      <sheetName val="Compatibility Report"/>
      <sheetName val="ANZ_model"/>
      <sheetName val="_QP_CBA.AX"/>
      <sheetName val="CBA.AX_Live_Sheet"/>
      <sheetName val="CBA.AX_Validation_Sheet"/>
      <sheetName val="CBA.AX_Annotation_Sheet"/>
      <sheetName val="CBA.AX_Exchange_Sheet"/>
      <sheetName val="MigrationOutput_QP_CBA.AX"/>
      <sheetName val="QP_CBA.AX_migrated"/>
      <sheetName val="WM and Life"/>
      <sheetName val="TESTANZ.AX_Live_Sheet"/>
      <sheetName val="TESTANZ.AX_Validation_Sheet"/>
      <sheetName val="TESTANZ.AX_Annotation_Sheet"/>
      <sheetName val="TESTANZ.AX_Exchange_Sheet"/>
    </sheetNames>
    <sheetDataSet>
      <sheetData sheetId="0"/>
      <sheetData sheetId="1"/>
      <sheetData sheetId="2"/>
      <sheetData sheetId="3"/>
      <sheetData sheetId="4"/>
      <sheetData sheetId="5">
        <row r="1">
          <cell r="A1" t="str">
            <v>Issuer: ANZ Group</v>
          </cell>
          <cell r="F1">
            <v>2006</v>
          </cell>
          <cell r="G1">
            <v>2007</v>
          </cell>
          <cell r="H1">
            <v>2008</v>
          </cell>
          <cell r="I1">
            <v>2009</v>
          </cell>
          <cell r="J1">
            <v>2010</v>
          </cell>
          <cell r="K1">
            <v>2011</v>
          </cell>
          <cell r="L1">
            <v>2012</v>
          </cell>
          <cell r="M1">
            <v>2013</v>
          </cell>
          <cell r="N1" t="str">
            <v>2014 H1</v>
          </cell>
          <cell r="O1" t="str">
            <v>2014 H2</v>
          </cell>
          <cell r="P1">
            <v>2014</v>
          </cell>
          <cell r="Q1" t="str">
            <v>2015 H1</v>
          </cell>
          <cell r="R1" t="str">
            <v>2015 H2</v>
          </cell>
          <cell r="S1">
            <v>2015</v>
          </cell>
          <cell r="T1" t="str">
            <v>2016 H1</v>
          </cell>
          <cell r="U1" t="str">
            <v>2016 H2</v>
          </cell>
          <cell r="V1">
            <v>2016</v>
          </cell>
          <cell r="W1" t="str">
            <v>2017 H1</v>
          </cell>
          <cell r="X1" t="str">
            <v>2017 H2</v>
          </cell>
          <cell r="Y1">
            <v>2017</v>
          </cell>
          <cell r="Z1" t="str">
            <v>2018 H1</v>
          </cell>
          <cell r="AA1" t="str">
            <v>2018 H2</v>
          </cell>
          <cell r="AB1">
            <v>2018</v>
          </cell>
          <cell r="AC1" t="str">
            <v>2019 H1</v>
          </cell>
          <cell r="AD1" t="str">
            <v>2019 H2</v>
          </cell>
          <cell r="AE1">
            <v>2019</v>
          </cell>
          <cell r="AF1" t="str">
            <v>2020 H1</v>
          </cell>
          <cell r="AG1" t="str">
            <v>2020 H2</v>
          </cell>
          <cell r="AH1">
            <v>2020</v>
          </cell>
          <cell r="AI1" t="str">
            <v>2021 H1</v>
          </cell>
          <cell r="AJ1" t="str">
            <v>2021 H2</v>
          </cell>
          <cell r="AK1">
            <v>2021</v>
          </cell>
          <cell r="AL1" t="str">
            <v>2022 H1</v>
          </cell>
          <cell r="AM1" t="str">
            <v>2022 H2</v>
          </cell>
          <cell r="AN1">
            <v>2022</v>
          </cell>
          <cell r="AO1" t="str">
            <v>2023 H1</v>
          </cell>
          <cell r="AP1" t="str">
            <v>2023 H2</v>
          </cell>
          <cell r="AQ1" t="str">
            <v>2023</v>
          </cell>
          <cell r="AR1" t="str">
            <v>2024 H1</v>
          </cell>
          <cell r="AS1" t="str">
            <v>2024 H2</v>
          </cell>
          <cell r="AT1" t="str">
            <v>2024</v>
          </cell>
          <cell r="AU1" t="str">
            <v>2025 H1</v>
          </cell>
          <cell r="AV1" t="str">
            <v>2025 H2</v>
          </cell>
          <cell r="AW1" t="str">
            <v>2025</v>
          </cell>
          <cell r="AX1" t="str">
            <v>2026 H1</v>
          </cell>
          <cell r="AY1" t="str">
            <v>2026 H2</v>
          </cell>
          <cell r="AZ1" t="str">
            <v>2026</v>
          </cell>
          <cell r="BA1" t="str">
            <v>2027 H1</v>
          </cell>
          <cell r="BB1" t="str">
            <v>2027 H2</v>
          </cell>
          <cell r="BC1">
            <v>2027</v>
          </cell>
          <cell r="BD1" t="str">
            <v>2028 H1</v>
          </cell>
          <cell r="BE1" t="str">
            <v>2028 H2</v>
          </cell>
          <cell r="BF1">
            <v>2028</v>
          </cell>
          <cell r="BG1" t="str">
            <v>2029 H1</v>
          </cell>
          <cell r="BH1" t="str">
            <v>2029 H2</v>
          </cell>
          <cell r="BI1">
            <v>2029</v>
          </cell>
          <cell r="BJ1" t="str">
            <v>2030 H1</v>
          </cell>
          <cell r="BK1" t="str">
            <v>2030 H2</v>
          </cell>
          <cell r="BL1">
            <v>2030</v>
          </cell>
          <cell r="BM1" t="str">
            <v>2031 H1</v>
          </cell>
          <cell r="BN1" t="str">
            <v>2031 H2</v>
          </cell>
          <cell r="BO1">
            <v>2031</v>
          </cell>
          <cell r="BP1" t="str">
            <v>2032 H1</v>
          </cell>
          <cell r="BQ1" t="str">
            <v>2032 H2</v>
          </cell>
          <cell r="BR1">
            <v>2032</v>
          </cell>
          <cell r="BS1" t="str">
            <v>2033 H1</v>
          </cell>
          <cell r="BT1" t="str">
            <v>2033 H2</v>
          </cell>
          <cell r="BU1">
            <v>2033</v>
          </cell>
          <cell r="BV1" t="str">
            <v>2034 H1</v>
          </cell>
          <cell r="BW1" t="str">
            <v>2034 H2</v>
          </cell>
          <cell r="BX1">
            <v>2034</v>
          </cell>
        </row>
        <row r="2">
          <cell r="A2" t="str">
            <v>ISSUER ID: 208005522</v>
          </cell>
          <cell r="B2"/>
          <cell r="C2"/>
          <cell r="D2"/>
          <cell r="F2" t="str">
            <v>Actual</v>
          </cell>
          <cell r="G2" t="str">
            <v>Actual</v>
          </cell>
          <cell r="H2" t="str">
            <v>Actual</v>
          </cell>
          <cell r="I2" t="str">
            <v>Actual</v>
          </cell>
          <cell r="J2" t="str">
            <v>Actual</v>
          </cell>
          <cell r="K2" t="str">
            <v>Actual</v>
          </cell>
          <cell r="L2" t="str">
            <v>Actual</v>
          </cell>
          <cell r="M2" t="str">
            <v>Actual</v>
          </cell>
          <cell r="N2" t="str">
            <v>Actual</v>
          </cell>
          <cell r="O2" t="str">
            <v>Actual</v>
          </cell>
          <cell r="P2" t="str">
            <v>Actual</v>
          </cell>
          <cell r="Q2" t="str">
            <v>Actual</v>
          </cell>
          <cell r="R2" t="str">
            <v>Actual</v>
          </cell>
          <cell r="S2" t="str">
            <v>Actual</v>
          </cell>
          <cell r="T2" t="str">
            <v>Actual</v>
          </cell>
          <cell r="U2" t="str">
            <v>Actual</v>
          </cell>
          <cell r="V2" t="str">
            <v>Actual</v>
          </cell>
          <cell r="W2" t="str">
            <v>Actual</v>
          </cell>
          <cell r="X2" t="str">
            <v>Actual</v>
          </cell>
          <cell r="Y2" t="str">
            <v>Actual</v>
          </cell>
          <cell r="Z2" t="str">
            <v>Actual</v>
          </cell>
          <cell r="AA2" t="str">
            <v>Actual</v>
          </cell>
          <cell r="AB2" t="str">
            <v>Actual</v>
          </cell>
          <cell r="AC2" t="str">
            <v>Actual</v>
          </cell>
          <cell r="AD2" t="str">
            <v>Actual</v>
          </cell>
          <cell r="AE2" t="str">
            <v>Actual</v>
          </cell>
          <cell r="AF2" t="str">
            <v>Actual</v>
          </cell>
          <cell r="AG2" t="str">
            <v>Actual</v>
          </cell>
          <cell r="AH2" t="str">
            <v>Actual</v>
          </cell>
          <cell r="AI2" t="str">
            <v>Actual</v>
          </cell>
          <cell r="AJ2" t="str">
            <v>Actual</v>
          </cell>
          <cell r="AK2" t="str">
            <v>Actual</v>
          </cell>
          <cell r="AL2" t="str">
            <v>Actual</v>
          </cell>
          <cell r="AM2" t="str">
            <v>Actual</v>
          </cell>
          <cell r="AN2" t="str">
            <v>Actual</v>
          </cell>
          <cell r="AO2" t="str">
            <v>Actual</v>
          </cell>
          <cell r="AP2" t="str">
            <v>Actual</v>
          </cell>
          <cell r="AQ2" t="str">
            <v>Actual</v>
          </cell>
          <cell r="AR2" t="str">
            <v>Actual</v>
          </cell>
          <cell r="AS2" t="str">
            <v>Actual</v>
          </cell>
          <cell r="AT2" t="str">
            <v>Actual</v>
          </cell>
          <cell r="AU2" t="str">
            <v>Actual</v>
          </cell>
          <cell r="AV2" t="str">
            <v>Estimate</v>
          </cell>
          <cell r="AW2" t="str">
            <v>Estimate</v>
          </cell>
          <cell r="AX2" t="str">
            <v>Estimate</v>
          </cell>
          <cell r="AY2" t="str">
            <v>Estimate</v>
          </cell>
          <cell r="AZ2" t="str">
            <v>Estimate</v>
          </cell>
          <cell r="BA2" t="str">
            <v>Estimate</v>
          </cell>
          <cell r="BB2" t="str">
            <v>Estimate</v>
          </cell>
          <cell r="BC2" t="str">
            <v>Estimate</v>
          </cell>
          <cell r="BD2" t="str">
            <v>Estimate</v>
          </cell>
          <cell r="BE2" t="str">
            <v>Estimate</v>
          </cell>
          <cell r="BF2" t="str">
            <v>Estimate</v>
          </cell>
          <cell r="BG2" t="str">
            <v>Estimate</v>
          </cell>
          <cell r="BH2" t="str">
            <v>Estimate</v>
          </cell>
          <cell r="BI2" t="str">
            <v>Estimate</v>
          </cell>
          <cell r="BJ2" t="str">
            <v>Estimate</v>
          </cell>
          <cell r="BK2" t="str">
            <v>Estimate</v>
          </cell>
          <cell r="BL2" t="str">
            <v>Estimate</v>
          </cell>
          <cell r="BM2" t="str">
            <v>Estimate</v>
          </cell>
          <cell r="BN2" t="str">
            <v>Estimate</v>
          </cell>
          <cell r="BO2" t="str">
            <v>Estimate</v>
          </cell>
          <cell r="BP2" t="str">
            <v>Estimate</v>
          </cell>
          <cell r="BQ2" t="str">
            <v>Estimate</v>
          </cell>
          <cell r="BR2" t="str">
            <v>Estimate</v>
          </cell>
          <cell r="BS2" t="str">
            <v>Estimate</v>
          </cell>
          <cell r="BT2" t="str">
            <v>Estimate</v>
          </cell>
          <cell r="BU2" t="str">
            <v>Estimate</v>
          </cell>
          <cell r="BV2" t="str">
            <v>Estimate</v>
          </cell>
          <cell r="BW2" t="str">
            <v>Estimate</v>
          </cell>
          <cell r="BX2" t="str">
            <v>Estimate</v>
          </cell>
        </row>
        <row r="3">
          <cell r="A3"/>
          <cell r="B3"/>
          <cell r="C3"/>
          <cell r="D3"/>
          <cell r="F3">
            <v>38990</v>
          </cell>
          <cell r="G3">
            <v>39355</v>
          </cell>
          <cell r="H3">
            <v>39721</v>
          </cell>
          <cell r="I3">
            <v>40086</v>
          </cell>
          <cell r="J3">
            <v>40451</v>
          </cell>
          <cell r="K3">
            <v>40816</v>
          </cell>
          <cell r="L3">
            <v>41182</v>
          </cell>
          <cell r="M3">
            <v>41547</v>
          </cell>
          <cell r="N3">
            <v>41729</v>
          </cell>
          <cell r="O3">
            <v>41912</v>
          </cell>
          <cell r="P3">
            <v>41912</v>
          </cell>
          <cell r="Q3">
            <v>42094</v>
          </cell>
          <cell r="R3">
            <v>42277</v>
          </cell>
          <cell r="S3">
            <v>42277</v>
          </cell>
          <cell r="T3">
            <v>42460</v>
          </cell>
          <cell r="U3">
            <v>42643</v>
          </cell>
          <cell r="V3">
            <v>42643</v>
          </cell>
          <cell r="W3">
            <v>42825</v>
          </cell>
          <cell r="X3">
            <v>43008</v>
          </cell>
          <cell r="Y3">
            <v>43008</v>
          </cell>
          <cell r="Z3">
            <v>43190</v>
          </cell>
          <cell r="AA3">
            <v>43373</v>
          </cell>
          <cell r="AB3">
            <v>43373</v>
          </cell>
          <cell r="AC3">
            <v>43555</v>
          </cell>
          <cell r="AD3">
            <v>43738</v>
          </cell>
          <cell r="AE3">
            <v>43738</v>
          </cell>
          <cell r="AF3">
            <v>43921</v>
          </cell>
          <cell r="AG3">
            <v>44104</v>
          </cell>
          <cell r="AH3">
            <v>44104</v>
          </cell>
          <cell r="AI3">
            <v>44286</v>
          </cell>
          <cell r="AJ3">
            <v>44469</v>
          </cell>
          <cell r="AK3">
            <v>44469</v>
          </cell>
          <cell r="AL3">
            <v>44651</v>
          </cell>
          <cell r="AM3">
            <v>44834</v>
          </cell>
          <cell r="AN3">
            <v>44834</v>
          </cell>
          <cell r="AO3">
            <v>45016</v>
          </cell>
          <cell r="AP3">
            <v>45199</v>
          </cell>
          <cell r="AQ3">
            <v>45199</v>
          </cell>
          <cell r="AR3">
            <v>45382</v>
          </cell>
          <cell r="AS3">
            <v>45565</v>
          </cell>
          <cell r="AT3">
            <v>45565</v>
          </cell>
          <cell r="AU3">
            <v>45747</v>
          </cell>
          <cell r="AV3">
            <v>45930</v>
          </cell>
          <cell r="AW3">
            <v>45930</v>
          </cell>
          <cell r="AX3">
            <v>46112</v>
          </cell>
          <cell r="AY3">
            <v>46295</v>
          </cell>
          <cell r="AZ3">
            <v>46295</v>
          </cell>
          <cell r="BA3">
            <v>46477</v>
          </cell>
          <cell r="BB3">
            <v>46660</v>
          </cell>
          <cell r="BC3">
            <v>46660</v>
          </cell>
          <cell r="BD3">
            <v>46843</v>
          </cell>
          <cell r="BE3">
            <v>47026</v>
          </cell>
          <cell r="BF3">
            <v>47026</v>
          </cell>
          <cell r="BG3">
            <v>47208</v>
          </cell>
          <cell r="BH3">
            <v>47391</v>
          </cell>
          <cell r="BI3">
            <v>47391</v>
          </cell>
          <cell r="BJ3">
            <v>47573</v>
          </cell>
          <cell r="BK3">
            <v>47756</v>
          </cell>
          <cell r="BL3">
            <v>47756</v>
          </cell>
          <cell r="BM3">
            <v>47938</v>
          </cell>
          <cell r="BN3">
            <v>48121</v>
          </cell>
          <cell r="BO3">
            <v>48121</v>
          </cell>
          <cell r="BP3">
            <v>48304</v>
          </cell>
          <cell r="BQ3">
            <v>48487</v>
          </cell>
          <cell r="BR3">
            <v>48487</v>
          </cell>
          <cell r="BS3">
            <v>48669</v>
          </cell>
          <cell r="BT3">
            <v>48852</v>
          </cell>
          <cell r="BU3">
            <v>48852</v>
          </cell>
          <cell r="BV3">
            <v>49034</v>
          </cell>
          <cell r="BW3">
            <v>49217</v>
          </cell>
          <cell r="BX3">
            <v>49217</v>
          </cell>
        </row>
        <row r="4">
          <cell r="A4" t="str">
            <v>Issuer: ANZ Group</v>
          </cell>
          <cell r="B4"/>
          <cell r="C4"/>
          <cell r="D4"/>
        </row>
        <row r="5">
          <cell r="A5" t="str">
            <v>Reference Data</v>
          </cell>
          <cell r="B5"/>
          <cell r="C5"/>
          <cell r="D5"/>
        </row>
        <row r="6">
          <cell r="B6" t="str">
            <v>Issuer Name</v>
          </cell>
          <cell r="C6" t="str">
            <v>Issuer Name</v>
          </cell>
          <cell r="E6" t="str">
            <v>ANZ Group</v>
          </cell>
        </row>
        <row r="7">
          <cell r="B7" t="str">
            <v>Reporting Currency</v>
          </cell>
          <cell r="C7" t="str">
            <v>CURRENCY_ISO</v>
          </cell>
          <cell r="E7" t="str">
            <v>AUD</v>
          </cell>
        </row>
        <row r="8">
          <cell r="A8" t="str">
            <v>General Information</v>
          </cell>
          <cell r="B8"/>
          <cell r="C8"/>
          <cell r="D8"/>
        </row>
        <row r="9">
          <cell r="B9" t="str">
            <v>M&amp;A probability (1 = high, 3 = low)</v>
          </cell>
          <cell r="C9" t="str">
            <v>MA_PROB</v>
          </cell>
          <cell r="E9">
            <v>3</v>
          </cell>
        </row>
        <row r="10">
          <cell r="B10" t="str">
            <v>Analyst USD rate assumption vs reporting currency</v>
          </cell>
          <cell r="C10" t="str">
            <v>FX_USD_ASSUMPTION</v>
          </cell>
          <cell r="E10"/>
        </row>
        <row r="11">
          <cell r="B11" t="str">
            <v>Analyst EUR rate assumption vs reporting currency</v>
          </cell>
          <cell r="C11" t="str">
            <v>FX_EUR_ASSUMPTION</v>
          </cell>
          <cell r="E11"/>
        </row>
        <row r="12">
          <cell r="B12" t="str">
            <v>Analyst AUD rate assumption vs reporting currency</v>
          </cell>
          <cell r="C12" t="str">
            <v>FX_AUD_ASSUMPTION</v>
          </cell>
          <cell r="E12"/>
        </row>
        <row r="13">
          <cell r="A13" t="str">
            <v>Income Statement</v>
          </cell>
          <cell r="B13"/>
          <cell r="C13"/>
          <cell r="D13"/>
        </row>
        <row r="14">
          <cell r="B14" t="str">
            <v>Interest income</v>
          </cell>
          <cell r="C14" t="str">
            <v>INT_INC</v>
          </cell>
          <cell r="D14" t="str">
            <v>AUD</v>
          </cell>
          <cell r="F14">
            <v>22301</v>
          </cell>
          <cell r="G14">
            <v>26210</v>
          </cell>
          <cell r="H14">
            <v>32604</v>
          </cell>
          <cell r="I14">
            <v>26206</v>
          </cell>
          <cell r="J14">
            <v>26608</v>
          </cell>
          <cell r="K14">
            <v>30368</v>
          </cell>
          <cell r="L14">
            <v>30538</v>
          </cell>
          <cell r="M14">
            <v>28627</v>
          </cell>
          <cell r="N14">
            <v>14430</v>
          </cell>
          <cell r="O14">
            <v>15094</v>
          </cell>
          <cell r="P14">
            <v>29524</v>
          </cell>
          <cell r="Q14">
            <v>15394</v>
          </cell>
          <cell r="R14">
            <v>15132</v>
          </cell>
          <cell r="S14">
            <v>30526</v>
          </cell>
          <cell r="T14">
            <v>15089.999999999998</v>
          </cell>
          <cell r="U14">
            <v>14861.000000000002</v>
          </cell>
          <cell r="V14">
            <v>29951</v>
          </cell>
          <cell r="W14">
            <v>14426</v>
          </cell>
          <cell r="X14">
            <v>14694</v>
          </cell>
          <cell r="Y14">
            <v>29120</v>
          </cell>
          <cell r="Z14">
            <v>14849</v>
          </cell>
          <cell r="AA14">
            <v>15478.000000000002</v>
          </cell>
          <cell r="AB14">
            <v>30327</v>
          </cell>
          <cell r="AC14">
            <v>15971</v>
          </cell>
          <cell r="AD14">
            <v>15107</v>
          </cell>
          <cell r="AE14">
            <v>31078</v>
          </cell>
          <cell r="AF14">
            <v>13800</v>
          </cell>
          <cell r="AG14">
            <v>10626</v>
          </cell>
          <cell r="AH14">
            <v>24426</v>
          </cell>
          <cell r="AI14">
            <v>9879</v>
          </cell>
          <cell r="AJ14">
            <v>9650</v>
          </cell>
          <cell r="AK14">
            <v>19529</v>
          </cell>
          <cell r="AL14">
            <v>9707</v>
          </cell>
          <cell r="AM14">
            <v>13902</v>
          </cell>
          <cell r="AN14">
            <v>23609</v>
          </cell>
          <cell r="AO14">
            <v>22830</v>
          </cell>
          <cell r="AP14">
            <v>27072</v>
          </cell>
          <cell r="AQ14">
            <v>49902</v>
          </cell>
          <cell r="AR14">
            <v>29811</v>
          </cell>
          <cell r="AS14">
            <v>30828</v>
          </cell>
          <cell r="AT14">
            <v>60639</v>
          </cell>
          <cell r="AU14">
            <v>32734</v>
          </cell>
          <cell r="AV14">
            <v>31189</v>
          </cell>
          <cell r="AW14">
            <v>63923</v>
          </cell>
          <cell r="AX14">
            <v>31455.108334531596</v>
          </cell>
          <cell r="AY14">
            <v>32745.277231375359</v>
          </cell>
          <cell r="AZ14">
            <v>64200.385565906952</v>
          </cell>
          <cell r="BA14">
            <v>33439.404350888923</v>
          </cell>
          <cell r="BB14">
            <v>34117.475711087165</v>
          </cell>
          <cell r="BC14">
            <v>67556.880061976088</v>
          </cell>
          <cell r="BD14">
            <v>34582.829051801615</v>
          </cell>
          <cell r="BE14">
            <v>35143.745821838427</v>
          </cell>
          <cell r="BF14">
            <v>69726.574873640042</v>
          </cell>
          <cell r="BG14">
            <v>35596.736632619584</v>
          </cell>
          <cell r="BH14">
            <v>36319.44279239852</v>
          </cell>
          <cell r="BI14">
            <v>71916.179425018112</v>
          </cell>
          <cell r="BJ14">
            <v>36704.565634288359</v>
          </cell>
          <cell r="BK14">
            <v>37544.141820717676</v>
          </cell>
          <cell r="BL14">
            <v>74248.707455006035</v>
          </cell>
          <cell r="BM14">
            <v>37957.85496158828</v>
          </cell>
          <cell r="BN14">
            <v>38815.901780176675</v>
          </cell>
          <cell r="BO14">
            <v>76773.756741764955</v>
          </cell>
          <cell r="BP14">
            <v>39356.341799477304</v>
          </cell>
          <cell r="BQ14">
            <v>40014.673786049687</v>
          </cell>
          <cell r="BR14">
            <v>79371.015585526999</v>
          </cell>
          <cell r="BS14">
            <v>40595.967191495591</v>
          </cell>
          <cell r="BT14">
            <v>41548.74728365436</v>
          </cell>
          <cell r="BU14">
            <v>82144.714475149958</v>
          </cell>
          <cell r="BV14">
            <v>42078.948079928006</v>
          </cell>
          <cell r="BW14">
            <v>43104.476642826019</v>
          </cell>
          <cell r="BX14">
            <v>85183.424722754018</v>
          </cell>
        </row>
        <row r="15">
          <cell r="B15" t="str">
            <v>Interest expense</v>
          </cell>
          <cell r="C15" t="str">
            <v>INT_EXP</v>
          </cell>
          <cell r="D15" t="str">
            <v>AUD</v>
          </cell>
          <cell r="F15">
            <v>-15358</v>
          </cell>
          <cell r="G15">
            <v>-18908</v>
          </cell>
          <cell r="H15">
            <v>-24754</v>
          </cell>
          <cell r="I15">
            <v>-16315.999999999998</v>
          </cell>
          <cell r="J15">
            <v>-15735.999999999996</v>
          </cell>
          <cell r="K15">
            <v>-18868</v>
          </cell>
          <cell r="L15">
            <v>-18428</v>
          </cell>
          <cell r="M15">
            <v>-15855</v>
          </cell>
          <cell r="N15">
            <v>-7666</v>
          </cell>
          <cell r="O15">
            <v>-8060.9999999999991</v>
          </cell>
          <cell r="P15">
            <v>-15727</v>
          </cell>
          <cell r="Q15">
            <v>-8256</v>
          </cell>
          <cell r="R15">
            <v>-7654.0000000000009</v>
          </cell>
          <cell r="S15">
            <v>-15910</v>
          </cell>
          <cell r="T15">
            <v>-7521.9999999999982</v>
          </cell>
          <cell r="U15">
            <v>-7334.0000000000018</v>
          </cell>
          <cell r="V15">
            <v>-14856</v>
          </cell>
          <cell r="W15">
            <v>-7007</v>
          </cell>
          <cell r="X15">
            <v>-7238</v>
          </cell>
          <cell r="Y15">
            <v>-14245</v>
          </cell>
          <cell r="Z15">
            <v>-7499</v>
          </cell>
          <cell r="AA15">
            <v>-8314.0000000000018</v>
          </cell>
          <cell r="AB15">
            <v>-15813.000000000002</v>
          </cell>
          <cell r="AC15">
            <v>-8672</v>
          </cell>
          <cell r="AD15">
            <v>-8067</v>
          </cell>
          <cell r="AE15">
            <v>-16739</v>
          </cell>
          <cell r="AF15">
            <v>-6578</v>
          </cell>
          <cell r="AG15">
            <v>-3798.9999999999995</v>
          </cell>
          <cell r="AH15">
            <v>-10377</v>
          </cell>
          <cell r="AI15">
            <v>-2893.0000000000005</v>
          </cell>
          <cell r="AJ15">
            <v>-2474.9999999999995</v>
          </cell>
          <cell r="AK15">
            <v>-5368</v>
          </cell>
          <cell r="AL15">
            <v>-2607</v>
          </cell>
          <cell r="AM15">
            <v>-6127.9999999999991</v>
          </cell>
          <cell r="AN15">
            <v>-8735</v>
          </cell>
          <cell r="AO15">
            <v>-14329.999999999998</v>
          </cell>
          <cell r="AP15">
            <v>-18997.999999999996</v>
          </cell>
          <cell r="AQ15">
            <v>-33327.999999999993</v>
          </cell>
          <cell r="AR15">
            <v>-21912</v>
          </cell>
          <cell r="AS15">
            <v>-22658</v>
          </cell>
          <cell r="AT15">
            <v>-44570</v>
          </cell>
          <cell r="AU15">
            <v>-23864.999999999996</v>
          </cell>
          <cell r="AV15">
            <v>-22097</v>
          </cell>
          <cell r="AW15">
            <v>-45962</v>
          </cell>
          <cell r="AX15">
            <v>-22349.60525783505</v>
          </cell>
          <cell r="AY15">
            <v>-23484.903409021099</v>
          </cell>
          <cell r="AZ15">
            <v>-45834.508666856149</v>
          </cell>
          <cell r="BA15">
            <v>-24219.874459413317</v>
          </cell>
          <cell r="BB15">
            <v>-24735.733400307057</v>
          </cell>
          <cell r="BC15">
            <v>-48955.607859720374</v>
          </cell>
          <cell r="BD15">
            <v>-25057.974918201802</v>
          </cell>
          <cell r="BE15">
            <v>-25512.895476626531</v>
          </cell>
          <cell r="BF15">
            <v>-50570.870394828336</v>
          </cell>
          <cell r="BG15">
            <v>-25901.639812449554</v>
          </cell>
          <cell r="BH15">
            <v>-26476.051529901873</v>
          </cell>
          <cell r="BI15">
            <v>-52377.691342351427</v>
          </cell>
          <cell r="BJ15">
            <v>-26788.993659580832</v>
          </cell>
          <cell r="BK15">
            <v>-27424.100641946876</v>
          </cell>
          <cell r="BL15">
            <v>-54213.094301527708</v>
          </cell>
          <cell r="BM15">
            <v>-27777.640086070685</v>
          </cell>
          <cell r="BN15">
            <v>-28458.258902250538</v>
          </cell>
          <cell r="BO15">
            <v>-56235.89898832122</v>
          </cell>
          <cell r="BP15">
            <v>-28908.118455789107</v>
          </cell>
          <cell r="BQ15">
            <v>-29446.408945558105</v>
          </cell>
          <cell r="BR15">
            <v>-58354.527401347208</v>
          </cell>
          <cell r="BS15">
            <v>-29929.910192299154</v>
          </cell>
          <cell r="BT15">
            <v>-30689.614196042225</v>
          </cell>
          <cell r="BU15">
            <v>-60619.524388341379</v>
          </cell>
          <cell r="BV15">
            <v>-31139.444463092535</v>
          </cell>
          <cell r="BW15">
            <v>-31958.204857017117</v>
          </cell>
          <cell r="BX15">
            <v>-63097.649320109653</v>
          </cell>
        </row>
        <row r="16">
          <cell r="B16" t="str">
            <v>Net interest income</v>
          </cell>
          <cell r="C16" t="str">
            <v>B_PL_NETINTINC</v>
          </cell>
          <cell r="D16" t="str">
            <v>AUD</v>
          </cell>
          <cell r="F16">
            <v>6943</v>
          </cell>
          <cell r="G16">
            <v>7302</v>
          </cell>
          <cell r="H16">
            <v>7850</v>
          </cell>
          <cell r="I16">
            <v>9890</v>
          </cell>
          <cell r="J16">
            <v>10872</v>
          </cell>
          <cell r="K16">
            <v>11500</v>
          </cell>
          <cell r="L16">
            <v>12110</v>
          </cell>
          <cell r="M16">
            <v>12772</v>
          </cell>
          <cell r="N16">
            <v>6764</v>
          </cell>
          <cell r="O16">
            <v>7033</v>
          </cell>
          <cell r="P16">
            <v>13797</v>
          </cell>
          <cell r="Q16">
            <v>7138</v>
          </cell>
          <cell r="R16">
            <v>7478</v>
          </cell>
          <cell r="S16">
            <v>14616</v>
          </cell>
          <cell r="T16">
            <v>7568</v>
          </cell>
          <cell r="U16">
            <v>7527</v>
          </cell>
          <cell r="V16">
            <v>15095</v>
          </cell>
          <cell r="W16">
            <v>7419</v>
          </cell>
          <cell r="X16">
            <v>7456</v>
          </cell>
          <cell r="Y16">
            <v>14875</v>
          </cell>
          <cell r="Z16">
            <v>7350</v>
          </cell>
          <cell r="AA16">
            <v>7164</v>
          </cell>
          <cell r="AB16">
            <v>14514</v>
          </cell>
          <cell r="AC16">
            <v>7299</v>
          </cell>
          <cell r="AD16">
            <v>7040</v>
          </cell>
          <cell r="AE16">
            <v>14339</v>
          </cell>
          <cell r="AF16">
            <v>7222</v>
          </cell>
          <cell r="AG16">
            <v>6827</v>
          </cell>
          <cell r="AH16">
            <v>14049</v>
          </cell>
          <cell r="AI16">
            <v>6986</v>
          </cell>
          <cell r="AJ16">
            <v>7175</v>
          </cell>
          <cell r="AK16">
            <v>14161</v>
          </cell>
          <cell r="AL16">
            <v>7100</v>
          </cell>
          <cell r="AM16">
            <v>7774</v>
          </cell>
          <cell r="AN16">
            <v>14874</v>
          </cell>
          <cell r="AO16">
            <v>8500</v>
          </cell>
          <cell r="AP16">
            <v>8074</v>
          </cell>
          <cell r="AQ16">
            <v>16574</v>
          </cell>
          <cell r="AR16">
            <v>7899</v>
          </cell>
          <cell r="AS16">
            <v>8170</v>
          </cell>
          <cell r="AT16">
            <v>16069</v>
          </cell>
          <cell r="AU16">
            <v>8869</v>
          </cell>
          <cell r="AV16">
            <v>9092</v>
          </cell>
          <cell r="AW16">
            <v>17961</v>
          </cell>
          <cell r="AX16">
            <v>9105.5030766965447</v>
          </cell>
          <cell r="AY16">
            <v>9260.3738223542587</v>
          </cell>
          <cell r="AZ16">
            <v>18365.876899050803</v>
          </cell>
          <cell r="BA16">
            <v>9219.5298914756058</v>
          </cell>
          <cell r="BB16">
            <v>9381.7423107801078</v>
          </cell>
          <cell r="BC16">
            <v>18601.272202255714</v>
          </cell>
          <cell r="BD16">
            <v>9524.8541335998125</v>
          </cell>
          <cell r="BE16">
            <v>9630.8503452118966</v>
          </cell>
          <cell r="BF16">
            <v>19155.704478811709</v>
          </cell>
          <cell r="BG16">
            <v>9695.0968201700289</v>
          </cell>
          <cell r="BH16">
            <v>9843.3912624966488</v>
          </cell>
          <cell r="BI16">
            <v>19538.488082666678</v>
          </cell>
          <cell r="BJ16">
            <v>9915.5719747075291</v>
          </cell>
          <cell r="BK16">
            <v>10120.0411787708</v>
          </cell>
          <cell r="BL16">
            <v>20035.613153478327</v>
          </cell>
          <cell r="BM16">
            <v>10180.214875517595</v>
          </cell>
          <cell r="BN16">
            <v>10357.642877926137</v>
          </cell>
          <cell r="BO16">
            <v>20537.857753443732</v>
          </cell>
          <cell r="BP16">
            <v>10448.223343688198</v>
          </cell>
          <cell r="BQ16">
            <v>10568.26484049158</v>
          </cell>
          <cell r="BR16">
            <v>21016.488184179776</v>
          </cell>
          <cell r="BS16">
            <v>10666.056999196437</v>
          </cell>
          <cell r="BT16">
            <v>10859.133087612134</v>
          </cell>
          <cell r="BU16">
            <v>21525.190086808572</v>
          </cell>
          <cell r="BV16">
            <v>10939.503616835471</v>
          </cell>
          <cell r="BW16">
            <v>11146.2717858089</v>
          </cell>
          <cell r="BX16">
            <v>22085.775402644373</v>
          </cell>
        </row>
        <row r="17">
          <cell r="B17" t="str">
            <v>Dividend income</v>
          </cell>
          <cell r="C17" t="str">
            <v>DIVID_INC</v>
          </cell>
          <cell r="D17" t="str">
            <v>AUD</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row>
        <row r="18">
          <cell r="B18" t="str">
            <v>Contribution from life assurance</v>
          </cell>
          <cell r="C18" t="str">
            <v>LIFE_INC</v>
          </cell>
          <cell r="D18" t="str">
            <v>AUD</v>
          </cell>
          <cell r="F18"/>
          <cell r="G18"/>
          <cell r="H18"/>
          <cell r="I18"/>
          <cell r="J18"/>
          <cell r="K18"/>
          <cell r="L18"/>
          <cell r="M18"/>
          <cell r="N18"/>
          <cell r="O18"/>
          <cell r="P18"/>
          <cell r="Q18"/>
          <cell r="R18"/>
          <cell r="S18"/>
          <cell r="T18"/>
          <cell r="U18"/>
          <cell r="V18"/>
          <cell r="W18"/>
          <cell r="X18"/>
          <cell r="Y18"/>
          <cell r="Z18"/>
          <cell r="AA18"/>
          <cell r="AB18"/>
          <cell r="AC18"/>
          <cell r="AD18"/>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cell r="BF18"/>
          <cell r="BG18"/>
          <cell r="BH18"/>
          <cell r="BI18"/>
          <cell r="BJ18"/>
          <cell r="BK18"/>
          <cell r="BL18"/>
          <cell r="BM18"/>
          <cell r="BN18"/>
          <cell r="BO18"/>
          <cell r="BP18"/>
          <cell r="BQ18"/>
          <cell r="BR18"/>
          <cell r="BS18"/>
          <cell r="BT18"/>
          <cell r="BU18"/>
          <cell r="BV18"/>
          <cell r="BW18"/>
          <cell r="BX18"/>
        </row>
        <row r="19">
          <cell r="B19" t="str">
            <v>General insurance income</v>
          </cell>
          <cell r="C19" t="str">
            <v>GEN_INS_INC</v>
          </cell>
          <cell r="D19" t="str">
            <v>AUD</v>
          </cell>
          <cell r="F19"/>
          <cell r="G19"/>
          <cell r="H19"/>
          <cell r="I19"/>
          <cell r="J19"/>
          <cell r="K19"/>
          <cell r="L19"/>
          <cell r="M19"/>
          <cell r="N19"/>
          <cell r="O19"/>
          <cell r="P19"/>
          <cell r="Q19"/>
          <cell r="R19"/>
          <cell r="S19"/>
          <cell r="T19"/>
          <cell r="U19"/>
          <cell r="V19"/>
          <cell r="W19"/>
          <cell r="X19"/>
          <cell r="Y19"/>
          <cell r="Z19"/>
          <cell r="AA19"/>
          <cell r="AB19"/>
          <cell r="AC19"/>
          <cell r="AD19"/>
          <cell r="AE19"/>
          <cell r="AF19"/>
          <cell r="AG19"/>
          <cell r="AH19"/>
          <cell r="AI19"/>
          <cell r="AJ19"/>
          <cell r="AK19"/>
          <cell r="AL19"/>
          <cell r="AM19"/>
          <cell r="AN19"/>
          <cell r="AO19"/>
          <cell r="AP19"/>
          <cell r="AQ19"/>
          <cell r="AR19"/>
          <cell r="AS19"/>
          <cell r="AT19"/>
          <cell r="AU19"/>
          <cell r="AV19"/>
          <cell r="AW19"/>
          <cell r="AX19"/>
          <cell r="AY19"/>
          <cell r="AZ19"/>
          <cell r="BA19"/>
          <cell r="BB19"/>
          <cell r="BC19"/>
          <cell r="BD19"/>
          <cell r="BE19"/>
          <cell r="BF19"/>
          <cell r="BG19"/>
          <cell r="BH19"/>
          <cell r="BI19"/>
          <cell r="BJ19"/>
          <cell r="BK19"/>
          <cell r="BL19"/>
          <cell r="BM19"/>
          <cell r="BN19"/>
          <cell r="BO19"/>
          <cell r="BP19"/>
          <cell r="BQ19"/>
          <cell r="BR19"/>
          <cell r="BS19"/>
          <cell r="BT19"/>
          <cell r="BU19"/>
          <cell r="BV19"/>
          <cell r="BW19"/>
          <cell r="BX19"/>
        </row>
        <row r="20">
          <cell r="B20" t="str">
            <v>Trading profit</v>
          </cell>
          <cell r="C20" t="str">
            <v>FIN_TRANS_INC</v>
          </cell>
          <cell r="D20" t="str">
            <v>AUD</v>
          </cell>
          <cell r="F20">
            <v>656</v>
          </cell>
          <cell r="G20">
            <v>856</v>
          </cell>
          <cell r="H20">
            <v>1195</v>
          </cell>
          <cell r="I20">
            <v>1100</v>
          </cell>
          <cell r="J20">
            <v>1070</v>
          </cell>
          <cell r="K20">
            <v>998</v>
          </cell>
          <cell r="L20">
            <v>1221</v>
          </cell>
          <cell r="M20">
            <v>1306</v>
          </cell>
          <cell r="N20">
            <v>720</v>
          </cell>
          <cell r="O20">
            <v>566</v>
          </cell>
          <cell r="P20">
            <v>1286</v>
          </cell>
          <cell r="Q20">
            <v>737</v>
          </cell>
          <cell r="R20">
            <v>448</v>
          </cell>
          <cell r="S20">
            <v>1185</v>
          </cell>
          <cell r="T20">
            <v>400</v>
          </cell>
          <cell r="U20">
            <v>365</v>
          </cell>
          <cell r="V20">
            <v>765</v>
          </cell>
          <cell r="W20">
            <v>886</v>
          </cell>
          <cell r="X20">
            <v>550</v>
          </cell>
          <cell r="Y20">
            <v>1436</v>
          </cell>
          <cell r="Z20">
            <v>547</v>
          </cell>
          <cell r="AA20">
            <v>588</v>
          </cell>
          <cell r="AB20">
            <v>1135</v>
          </cell>
          <cell r="AC20">
            <v>665</v>
          </cell>
          <cell r="AD20">
            <v>618</v>
          </cell>
          <cell r="AE20">
            <v>1283</v>
          </cell>
          <cell r="AF20">
            <v>764</v>
          </cell>
          <cell r="AG20">
            <v>1138</v>
          </cell>
          <cell r="AH20">
            <v>1902</v>
          </cell>
          <cell r="AI20">
            <v>610</v>
          </cell>
          <cell r="AJ20">
            <v>491</v>
          </cell>
          <cell r="AK20">
            <v>1101</v>
          </cell>
          <cell r="AL20">
            <v>396</v>
          </cell>
          <cell r="AM20">
            <v>464</v>
          </cell>
          <cell r="AN20">
            <v>860</v>
          </cell>
          <cell r="AO20">
            <v>985</v>
          </cell>
          <cell r="AP20">
            <v>938</v>
          </cell>
          <cell r="AQ20">
            <v>1923</v>
          </cell>
          <cell r="AR20">
            <v>1276</v>
          </cell>
          <cell r="AS20">
            <v>1039</v>
          </cell>
          <cell r="AT20">
            <v>2315</v>
          </cell>
          <cell r="AU20">
            <v>991</v>
          </cell>
          <cell r="AV20">
            <v>870</v>
          </cell>
          <cell r="AW20">
            <v>1861</v>
          </cell>
          <cell r="AX20">
            <v>940.8</v>
          </cell>
          <cell r="AY20">
            <v>869.92000000000007</v>
          </cell>
          <cell r="AZ20">
            <v>1810.72</v>
          </cell>
          <cell r="BA20">
            <v>921.98399999999992</v>
          </cell>
          <cell r="BB20">
            <v>852.52160000000003</v>
          </cell>
          <cell r="BC20">
            <v>1774.5056</v>
          </cell>
          <cell r="BD20">
            <v>949.64351999999997</v>
          </cell>
          <cell r="BE20">
            <v>878.09724800000004</v>
          </cell>
          <cell r="BF20">
            <v>1827.7407680000001</v>
          </cell>
          <cell r="BG20">
            <v>959.13995520000014</v>
          </cell>
          <cell r="BH20">
            <v>886.8782204800001</v>
          </cell>
          <cell r="BI20">
            <v>1846.0181756800002</v>
          </cell>
          <cell r="BJ20">
            <v>968.73135475200002</v>
          </cell>
          <cell r="BK20">
            <v>895.74700268480001</v>
          </cell>
          <cell r="BL20">
            <v>1864.4783574368</v>
          </cell>
          <cell r="BM20">
            <v>1002.5697581068835</v>
          </cell>
          <cell r="BN20">
            <v>1025.7901062678679</v>
          </cell>
          <cell r="BO20">
            <v>2028.3598643747514</v>
          </cell>
          <cell r="BP20">
            <v>1039.255174320368</v>
          </cell>
          <cell r="BQ20">
            <v>1055.855558156391</v>
          </cell>
          <cell r="BR20">
            <v>2095.110732476759</v>
          </cell>
          <cell r="BS20">
            <v>1071.4963357739393</v>
          </cell>
          <cell r="BT20">
            <v>1098.0399053049164</v>
          </cell>
          <cell r="BU20">
            <v>2169.5362410788557</v>
          </cell>
          <cell r="BV20">
            <v>1114.3496365806461</v>
          </cell>
          <cell r="BW20">
            <v>1144.7716146940891</v>
          </cell>
          <cell r="BX20">
            <v>2259.1212512747352</v>
          </cell>
        </row>
        <row r="21">
          <cell r="B21" t="str">
            <v>Net fees</v>
          </cell>
          <cell r="C21" t="str">
            <v>NET_FEE</v>
          </cell>
          <cell r="D21" t="str">
            <v>AUD</v>
          </cell>
          <cell r="F21">
            <v>2145</v>
          </cell>
          <cell r="G21">
            <v>2380</v>
          </cell>
          <cell r="H21">
            <v>2656</v>
          </cell>
          <cell r="I21">
            <v>2397</v>
          </cell>
          <cell r="J21">
            <v>2324</v>
          </cell>
          <cell r="K21">
            <v>2309</v>
          </cell>
          <cell r="L21">
            <v>2292</v>
          </cell>
          <cell r="M21">
            <v>2316</v>
          </cell>
          <cell r="N21">
            <v>1191</v>
          </cell>
          <cell r="O21">
            <v>1183</v>
          </cell>
          <cell r="P21">
            <v>2374</v>
          </cell>
          <cell r="Q21">
            <v>1217</v>
          </cell>
          <cell r="R21">
            <v>1231</v>
          </cell>
          <cell r="S21">
            <v>2448</v>
          </cell>
          <cell r="T21">
            <v>1227</v>
          </cell>
          <cell r="U21">
            <v>1193</v>
          </cell>
          <cell r="V21">
            <v>2420</v>
          </cell>
          <cell r="W21">
            <v>1177</v>
          </cell>
          <cell r="X21">
            <v>1185</v>
          </cell>
          <cell r="Y21">
            <v>2362</v>
          </cell>
          <cell r="Z21">
            <v>1322</v>
          </cell>
          <cell r="AA21">
            <v>1363</v>
          </cell>
          <cell r="AB21">
            <v>2685</v>
          </cell>
          <cell r="AC21">
            <v>1162.4692849949647</v>
          </cell>
          <cell r="AD21">
            <v>1212.4778373112517</v>
          </cell>
          <cell r="AE21">
            <v>2374.9471223062164</v>
          </cell>
          <cell r="AF21">
            <v>1079.1876620010369</v>
          </cell>
          <cell r="AG21">
            <v>995.90882862088858</v>
          </cell>
          <cell r="AH21">
            <v>2075.0964906219256</v>
          </cell>
          <cell r="AI21">
            <v>861.32547169811323</v>
          </cell>
          <cell r="AJ21">
            <v>1012</v>
          </cell>
          <cell r="AK21">
            <v>1873.3254716981132</v>
          </cell>
          <cell r="AL21">
            <v>869</v>
          </cell>
          <cell r="AM21">
            <v>953</v>
          </cell>
          <cell r="AN21">
            <v>1822</v>
          </cell>
          <cell r="AO21">
            <v>890</v>
          </cell>
          <cell r="AP21">
            <v>972</v>
          </cell>
          <cell r="AQ21">
            <v>1862</v>
          </cell>
          <cell r="AR21">
            <v>919</v>
          </cell>
          <cell r="AS21">
            <v>956</v>
          </cell>
          <cell r="AT21">
            <v>1875</v>
          </cell>
          <cell r="AU21">
            <v>855</v>
          </cell>
          <cell r="AV21">
            <v>948</v>
          </cell>
          <cell r="AW21">
            <v>1803</v>
          </cell>
          <cell r="AX21">
            <v>920.40767026388767</v>
          </cell>
          <cell r="AY21">
            <v>919.91917496959547</v>
          </cell>
          <cell r="AZ21">
            <v>1840.3268452334833</v>
          </cell>
          <cell r="BA21">
            <v>916.31962229765782</v>
          </cell>
          <cell r="BB21">
            <v>924.77194939328342</v>
          </cell>
          <cell r="BC21">
            <v>1841.0915716909412</v>
          </cell>
          <cell r="BD21">
            <v>927.59831164372167</v>
          </cell>
          <cell r="BE21">
            <v>932.93950981883631</v>
          </cell>
          <cell r="BF21">
            <v>1860.537821462558</v>
          </cell>
          <cell r="BG21">
            <v>935.0704164780642</v>
          </cell>
          <cell r="BH21">
            <v>943.87379058589954</v>
          </cell>
          <cell r="BI21">
            <v>1878.9442070639636</v>
          </cell>
          <cell r="BJ21">
            <v>943.30126268242157</v>
          </cell>
          <cell r="BK21">
            <v>953.76916447913152</v>
          </cell>
          <cell r="BL21">
            <v>1897.0704271615532</v>
          </cell>
          <cell r="BM21">
            <v>965.42591542393347</v>
          </cell>
          <cell r="BN21">
            <v>987.42478271072741</v>
          </cell>
          <cell r="BO21">
            <v>1952.8506981346609</v>
          </cell>
          <cell r="BP21">
            <v>996.92055642902108</v>
          </cell>
          <cell r="BQ21">
            <v>1006.9472795827546</v>
          </cell>
          <cell r="BR21">
            <v>2003.8678360117756</v>
          </cell>
          <cell r="BS21">
            <v>1016.6023030569436</v>
          </cell>
          <cell r="BT21">
            <v>1037.100150289765</v>
          </cell>
          <cell r="BU21">
            <v>2053.7024533467084</v>
          </cell>
          <cell r="BV21">
            <v>1048.3144749807477</v>
          </cell>
          <cell r="BW21">
            <v>1073.1965294146858</v>
          </cell>
          <cell r="BX21">
            <v>2121.5110043954337</v>
          </cell>
        </row>
        <row r="22">
          <cell r="B22" t="str">
            <v>Other operating income</v>
          </cell>
          <cell r="C22" t="str">
            <v>OTH_INC</v>
          </cell>
          <cell r="D22" t="str">
            <v>AUD</v>
          </cell>
          <cell r="F22">
            <v>586.56999999999971</v>
          </cell>
          <cell r="G22">
            <v>750.06999999999971</v>
          </cell>
          <cell r="H22">
            <v>574.46</v>
          </cell>
          <cell r="I22">
            <v>905.47999999999956</v>
          </cell>
          <cell r="J22">
            <v>1668</v>
          </cell>
          <cell r="K22">
            <v>2078</v>
          </cell>
          <cell r="L22">
            <v>2225</v>
          </cell>
          <cell r="M22">
            <v>1997</v>
          </cell>
          <cell r="N22">
            <v>993</v>
          </cell>
          <cell r="O22">
            <v>1128</v>
          </cell>
          <cell r="P22">
            <v>2121</v>
          </cell>
          <cell r="Q22">
            <v>1103</v>
          </cell>
          <cell r="R22">
            <v>1185</v>
          </cell>
          <cell r="S22">
            <v>2288</v>
          </cell>
          <cell r="T22">
            <v>1130</v>
          </cell>
          <cell r="U22">
            <v>1184</v>
          </cell>
          <cell r="V22">
            <v>2314</v>
          </cell>
          <cell r="W22">
            <v>494</v>
          </cell>
          <cell r="X22">
            <v>649</v>
          </cell>
          <cell r="Y22">
            <v>1143</v>
          </cell>
          <cell r="Z22">
            <v>651</v>
          </cell>
          <cell r="AA22">
            <v>382</v>
          </cell>
          <cell r="AB22">
            <v>1033</v>
          </cell>
          <cell r="AC22">
            <v>619.53071500503529</v>
          </cell>
          <cell r="AD22">
            <v>412.52216268874815</v>
          </cell>
          <cell r="AE22">
            <v>1032.0528776937836</v>
          </cell>
          <cell r="AF22">
            <v>-486.18766200103687</v>
          </cell>
          <cell r="AG22">
            <v>212.09117137911142</v>
          </cell>
          <cell r="AH22">
            <v>-274.09649062192557</v>
          </cell>
          <cell r="AI22">
            <v>-34.325471698113233</v>
          </cell>
          <cell r="AJ22">
            <v>346</v>
          </cell>
          <cell r="AK22">
            <v>311.67452830188677</v>
          </cell>
          <cell r="AL22">
            <v>583</v>
          </cell>
          <cell r="AM22">
            <v>408</v>
          </cell>
          <cell r="AN22">
            <v>991</v>
          </cell>
          <cell r="AO22">
            <v>165</v>
          </cell>
          <cell r="AP22">
            <v>381</v>
          </cell>
          <cell r="AQ22">
            <v>546</v>
          </cell>
          <cell r="AR22">
            <v>253</v>
          </cell>
          <cell r="AS22">
            <v>297</v>
          </cell>
          <cell r="AT22">
            <v>550</v>
          </cell>
          <cell r="AU22">
            <v>280</v>
          </cell>
          <cell r="AV22">
            <v>-6</v>
          </cell>
          <cell r="AW22">
            <v>274</v>
          </cell>
          <cell r="AX22">
            <v>282.79999999999995</v>
          </cell>
          <cell r="AY22">
            <v>281.79000000000008</v>
          </cell>
          <cell r="AZ22">
            <v>564.58999999999924</v>
          </cell>
          <cell r="BA22">
            <v>285.62799999999993</v>
          </cell>
          <cell r="BB22">
            <v>284.60790000000031</v>
          </cell>
          <cell r="BC22">
            <v>570.23590000000013</v>
          </cell>
          <cell r="BD22">
            <v>288.4842799999999</v>
          </cell>
          <cell r="BE22">
            <v>287.45397900000012</v>
          </cell>
          <cell r="BF22">
            <v>575.93825900000002</v>
          </cell>
          <cell r="BG22">
            <v>291.36912280000013</v>
          </cell>
          <cell r="BH22">
            <v>290.32851879000032</v>
          </cell>
          <cell r="BI22">
            <v>581.69764159000056</v>
          </cell>
          <cell r="BJ22">
            <v>294.28281402800008</v>
          </cell>
          <cell r="BK22">
            <v>293.2318039779002</v>
          </cell>
          <cell r="BL22">
            <v>587.51461800590005</v>
          </cell>
          <cell r="BM22">
            <v>297.88216137822246</v>
          </cell>
          <cell r="BN22">
            <v>305.91290492680764</v>
          </cell>
          <cell r="BO22">
            <v>603.79506630502988</v>
          </cell>
          <cell r="BP22">
            <v>310.64830115765017</v>
          </cell>
          <cell r="BQ22">
            <v>315.84480462808415</v>
          </cell>
          <cell r="BR22">
            <v>626.49310578573454</v>
          </cell>
          <cell r="BS22">
            <v>320.7430533634124</v>
          </cell>
          <cell r="BT22">
            <v>328.89442953597131</v>
          </cell>
          <cell r="BU22">
            <v>649.63748289938371</v>
          </cell>
          <cell r="BV22">
            <v>333.97201579852674</v>
          </cell>
          <cell r="BW22">
            <v>343.26949352963777</v>
          </cell>
          <cell r="BX22">
            <v>677.24150932816428</v>
          </cell>
        </row>
        <row r="23">
          <cell r="B23" t="str">
            <v>Non-interest income</v>
          </cell>
          <cell r="C23" t="str">
            <v>NON_INT_INC</v>
          </cell>
          <cell r="D23" t="str">
            <v>AUD</v>
          </cell>
          <cell r="F23">
            <v>3387.5699999999997</v>
          </cell>
          <cell r="G23">
            <v>3986.0699999999997</v>
          </cell>
          <cell r="H23">
            <v>4425.46</v>
          </cell>
          <cell r="I23">
            <v>4402.4799999999996</v>
          </cell>
          <cell r="J23">
            <v>5062</v>
          </cell>
          <cell r="K23">
            <v>5385</v>
          </cell>
          <cell r="L23">
            <v>5738</v>
          </cell>
          <cell r="M23">
            <v>5619</v>
          </cell>
          <cell r="N23">
            <v>2904</v>
          </cell>
          <cell r="O23">
            <v>2877</v>
          </cell>
          <cell r="P23">
            <v>5781</v>
          </cell>
          <cell r="Q23">
            <v>3057</v>
          </cell>
          <cell r="R23">
            <v>2864</v>
          </cell>
          <cell r="S23">
            <v>5921</v>
          </cell>
          <cell r="T23">
            <v>2757</v>
          </cell>
          <cell r="U23">
            <v>2742</v>
          </cell>
          <cell r="V23">
            <v>5499</v>
          </cell>
          <cell r="W23">
            <v>2557</v>
          </cell>
          <cell r="X23">
            <v>2384</v>
          </cell>
          <cell r="Y23">
            <v>4941</v>
          </cell>
          <cell r="Z23">
            <v>2520</v>
          </cell>
          <cell r="AA23">
            <v>2333</v>
          </cell>
          <cell r="AB23">
            <v>4853</v>
          </cell>
          <cell r="AC23">
            <v>2447</v>
          </cell>
          <cell r="AD23">
            <v>2243</v>
          </cell>
          <cell r="AE23">
            <v>4690</v>
          </cell>
          <cell r="AF23">
            <v>1357</v>
          </cell>
          <cell r="AG23">
            <v>2346</v>
          </cell>
          <cell r="AH23">
            <v>3703</v>
          </cell>
          <cell r="AI23">
            <v>1437</v>
          </cell>
          <cell r="AJ23">
            <v>1849</v>
          </cell>
          <cell r="AK23">
            <v>3286</v>
          </cell>
          <cell r="AL23">
            <v>1848</v>
          </cell>
          <cell r="AM23">
            <v>1825</v>
          </cell>
          <cell r="AN23">
            <v>3673</v>
          </cell>
          <cell r="AO23">
            <v>2040</v>
          </cell>
          <cell r="AP23">
            <v>2291</v>
          </cell>
          <cell r="AQ23">
            <v>4331</v>
          </cell>
          <cell r="AR23">
            <v>2448</v>
          </cell>
          <cell r="AS23">
            <v>2292</v>
          </cell>
          <cell r="AT23">
            <v>4740</v>
          </cell>
          <cell r="AU23">
            <v>2126</v>
          </cell>
          <cell r="AV23">
            <v>1812</v>
          </cell>
          <cell r="AW23">
            <v>3938</v>
          </cell>
          <cell r="AX23">
            <v>2144.0076702638876</v>
          </cell>
          <cell r="AY23">
            <v>2071.6291749695956</v>
          </cell>
          <cell r="AZ23">
            <v>4215.6368452334827</v>
          </cell>
          <cell r="BA23">
            <v>2123.9316222976577</v>
          </cell>
          <cell r="BB23">
            <v>2061.9014493932837</v>
          </cell>
          <cell r="BC23">
            <v>4185.8330716909413</v>
          </cell>
          <cell r="BD23">
            <v>2165.7261116437217</v>
          </cell>
          <cell r="BE23">
            <v>2098.4907368188365</v>
          </cell>
          <cell r="BF23">
            <v>4264.2168484625581</v>
          </cell>
          <cell r="BG23">
            <v>2185.5794944780646</v>
          </cell>
          <cell r="BH23">
            <v>2121.0805298558998</v>
          </cell>
          <cell r="BI23">
            <v>4306.6600243339644</v>
          </cell>
          <cell r="BJ23">
            <v>2206.3154314624217</v>
          </cell>
          <cell r="BK23">
            <v>2142.7479711418318</v>
          </cell>
          <cell r="BL23">
            <v>4349.0634026042535</v>
          </cell>
          <cell r="BM23">
            <v>2265.8778349090394</v>
          </cell>
          <cell r="BN23">
            <v>2319.127793905403</v>
          </cell>
          <cell r="BO23">
            <v>4585.0056288144424</v>
          </cell>
          <cell r="BP23">
            <v>2346.8240319070392</v>
          </cell>
          <cell r="BQ23">
            <v>2378.6476423672298</v>
          </cell>
          <cell r="BR23">
            <v>4725.4716742742694</v>
          </cell>
          <cell r="BS23">
            <v>2408.8416921942953</v>
          </cell>
          <cell r="BT23">
            <v>2464.0344851306527</v>
          </cell>
          <cell r="BU23">
            <v>4872.876177324948</v>
          </cell>
          <cell r="BV23">
            <v>2496.6361273599205</v>
          </cell>
          <cell r="BW23">
            <v>2561.2376376384127</v>
          </cell>
          <cell r="BX23">
            <v>5057.8737649983332</v>
          </cell>
        </row>
        <row r="24">
          <cell r="B24" t="str">
            <v>Gain on sale of securities</v>
          </cell>
          <cell r="C24" t="str">
            <v>B_GAIN_SALE_SEC</v>
          </cell>
          <cell r="D24" t="str">
            <v>AUD</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row>
        <row r="25">
          <cell r="B25" t="str">
            <v>Sales, net revenue</v>
          </cell>
          <cell r="C25" t="str">
            <v>SALES</v>
          </cell>
          <cell r="D25" t="str">
            <v>AUD</v>
          </cell>
          <cell r="F25">
            <v>10330.57</v>
          </cell>
          <cell r="G25">
            <v>11288.07</v>
          </cell>
          <cell r="H25">
            <v>12275.46</v>
          </cell>
          <cell r="I25">
            <v>14292.48</v>
          </cell>
          <cell r="J25">
            <v>15934</v>
          </cell>
          <cell r="K25">
            <v>16885</v>
          </cell>
          <cell r="L25">
            <v>17848</v>
          </cell>
          <cell r="M25">
            <v>18391</v>
          </cell>
          <cell r="N25">
            <v>9668</v>
          </cell>
          <cell r="O25">
            <v>9910</v>
          </cell>
          <cell r="P25">
            <v>19578</v>
          </cell>
          <cell r="Q25">
            <v>10195</v>
          </cell>
          <cell r="R25">
            <v>10342</v>
          </cell>
          <cell r="S25">
            <v>20537</v>
          </cell>
          <cell r="T25">
            <v>10325</v>
          </cell>
          <cell r="U25">
            <v>10269</v>
          </cell>
          <cell r="V25">
            <v>20594</v>
          </cell>
          <cell r="W25">
            <v>9976</v>
          </cell>
          <cell r="X25">
            <v>9840</v>
          </cell>
          <cell r="Y25">
            <v>19816</v>
          </cell>
          <cell r="Z25">
            <v>9870</v>
          </cell>
          <cell r="AA25">
            <v>9497</v>
          </cell>
          <cell r="AB25">
            <v>19367</v>
          </cell>
          <cell r="AC25">
            <v>9746</v>
          </cell>
          <cell r="AD25">
            <v>9283</v>
          </cell>
          <cell r="AE25">
            <v>19029</v>
          </cell>
          <cell r="AF25">
            <v>8579</v>
          </cell>
          <cell r="AG25">
            <v>9173</v>
          </cell>
          <cell r="AH25">
            <v>17752</v>
          </cell>
          <cell r="AI25">
            <v>8423</v>
          </cell>
          <cell r="AJ25">
            <v>9024</v>
          </cell>
          <cell r="AK25">
            <v>17447</v>
          </cell>
          <cell r="AL25">
            <v>8948</v>
          </cell>
          <cell r="AM25">
            <v>9599</v>
          </cell>
          <cell r="AN25">
            <v>18547</v>
          </cell>
          <cell r="AO25">
            <v>10540</v>
          </cell>
          <cell r="AP25">
            <v>10365</v>
          </cell>
          <cell r="AQ25">
            <v>20905</v>
          </cell>
          <cell r="AR25">
            <v>10347</v>
          </cell>
          <cell r="AS25">
            <v>10462</v>
          </cell>
          <cell r="AT25">
            <v>20809</v>
          </cell>
          <cell r="AU25">
            <v>10995</v>
          </cell>
          <cell r="AV25">
            <v>10904</v>
          </cell>
          <cell r="AW25">
            <v>21899</v>
          </cell>
          <cell r="AX25">
            <v>11249.510746960432</v>
          </cell>
          <cell r="AY25">
            <v>11332.002997323854</v>
          </cell>
          <cell r="AZ25">
            <v>22581.513744284286</v>
          </cell>
          <cell r="BA25">
            <v>11343.461513773264</v>
          </cell>
          <cell r="BB25">
            <v>11443.643760173392</v>
          </cell>
          <cell r="BC25">
            <v>22787.105273946654</v>
          </cell>
          <cell r="BD25">
            <v>11690.580245243535</v>
          </cell>
          <cell r="BE25">
            <v>11729.341082030733</v>
          </cell>
          <cell r="BF25">
            <v>23419.921327274267</v>
          </cell>
          <cell r="BG25">
            <v>11880.676314648093</v>
          </cell>
          <cell r="BH25">
            <v>11964.47179235255</v>
          </cell>
          <cell r="BI25">
            <v>23845.148107000641</v>
          </cell>
          <cell r="BJ25">
            <v>12121.88740616995</v>
          </cell>
          <cell r="BK25">
            <v>12262.789149912631</v>
          </cell>
          <cell r="BL25">
            <v>24384.676556082581</v>
          </cell>
          <cell r="BM25">
            <v>12446.092710426634</v>
          </cell>
          <cell r="BN25">
            <v>12676.77067183154</v>
          </cell>
          <cell r="BO25">
            <v>25122.863382258176</v>
          </cell>
          <cell r="BP25">
            <v>12795.047375595237</v>
          </cell>
          <cell r="BQ25">
            <v>12946.91248285881</v>
          </cell>
          <cell r="BR25">
            <v>25741.959858454044</v>
          </cell>
          <cell r="BS25">
            <v>13074.898691390732</v>
          </cell>
          <cell r="BT25">
            <v>13323.167572742786</v>
          </cell>
          <cell r="BU25">
            <v>26398.066264133522</v>
          </cell>
          <cell r="BV25">
            <v>13436.139744195392</v>
          </cell>
          <cell r="BW25">
            <v>13707.509423447313</v>
          </cell>
          <cell r="BX25">
            <v>27143.649167642707</v>
          </cell>
        </row>
        <row r="26">
          <cell r="B26" t="str">
            <v>Compensation &amp; benfits expense</v>
          </cell>
          <cell r="C26" t="str">
            <v>PERSONNEL</v>
          </cell>
          <cell r="D26" t="str">
            <v>AUD</v>
          </cell>
          <cell r="F26">
            <v>-2755</v>
          </cell>
          <cell r="G26">
            <v>-2991</v>
          </cell>
          <cell r="H26">
            <v>-3244</v>
          </cell>
          <cell r="I26">
            <v>-3593</v>
          </cell>
          <cell r="J26">
            <v>-4214</v>
          </cell>
          <cell r="K26">
            <v>-4700</v>
          </cell>
          <cell r="L26">
            <v>-4764</v>
          </cell>
          <cell r="M26">
            <v>-4764</v>
          </cell>
          <cell r="N26">
            <v>-2530</v>
          </cell>
          <cell r="O26">
            <v>-2558</v>
          </cell>
          <cell r="P26">
            <v>-5088</v>
          </cell>
          <cell r="Q26">
            <v>-2715</v>
          </cell>
          <cell r="R26">
            <v>-2764</v>
          </cell>
          <cell r="S26">
            <v>-5479</v>
          </cell>
          <cell r="T26">
            <v>-2801</v>
          </cell>
          <cell r="U26">
            <v>-2740</v>
          </cell>
          <cell r="V26">
            <v>-5541</v>
          </cell>
          <cell r="W26">
            <v>-2519</v>
          </cell>
          <cell r="X26">
            <v>-2405</v>
          </cell>
          <cell r="Y26">
            <v>-4924</v>
          </cell>
          <cell r="Z26">
            <v>-2355</v>
          </cell>
          <cell r="AA26">
            <v>-2260</v>
          </cell>
          <cell r="AB26">
            <v>-4615</v>
          </cell>
          <cell r="AC26">
            <v>-2370</v>
          </cell>
          <cell r="AD26">
            <v>-2395</v>
          </cell>
          <cell r="AE26">
            <v>-4765</v>
          </cell>
          <cell r="AF26">
            <v>-2465</v>
          </cell>
          <cell r="AG26">
            <v>-2413</v>
          </cell>
          <cell r="AH26">
            <v>-4878</v>
          </cell>
          <cell r="AI26">
            <v>-2449</v>
          </cell>
          <cell r="AJ26">
            <v>-2497</v>
          </cell>
          <cell r="AK26">
            <v>-4946</v>
          </cell>
          <cell r="AL26">
            <v>-2654</v>
          </cell>
          <cell r="AM26">
            <v>-2642</v>
          </cell>
          <cell r="AN26">
            <v>-5296</v>
          </cell>
          <cell r="AO26">
            <v>-2893</v>
          </cell>
          <cell r="AP26">
            <v>-2869</v>
          </cell>
          <cell r="AQ26">
            <v>-5762</v>
          </cell>
          <cell r="AR26">
            <v>-3062</v>
          </cell>
          <cell r="AS26">
            <v>-3116</v>
          </cell>
          <cell r="AT26">
            <v>-6178</v>
          </cell>
          <cell r="AU26">
            <v>-3312</v>
          </cell>
          <cell r="AV26">
            <v>-3443</v>
          </cell>
          <cell r="AW26">
            <v>-6755</v>
          </cell>
          <cell r="AX26">
            <v>-3405.9848333333339</v>
          </cell>
          <cell r="AY26">
            <v>-3270.2674671536192</v>
          </cell>
          <cell r="AZ26">
            <v>-6676.2523004869527</v>
          </cell>
          <cell r="BA26">
            <v>-3386.1949892725802</v>
          </cell>
          <cell r="BB26">
            <v>-3373.7466654136988</v>
          </cell>
          <cell r="BC26">
            <v>-6759.9416546862794</v>
          </cell>
          <cell r="BD26">
            <v>-3473.2052464391295</v>
          </cell>
          <cell r="BE26">
            <v>-3487.9021723303695</v>
          </cell>
          <cell r="BF26">
            <v>-6961.1074187694994</v>
          </cell>
          <cell r="BG26">
            <v>-3610.5071501110679</v>
          </cell>
          <cell r="BH26">
            <v>-3592.969016093462</v>
          </cell>
          <cell r="BI26">
            <v>-7203.4761662045294</v>
          </cell>
          <cell r="BJ26">
            <v>-3719.2019894121336</v>
          </cell>
          <cell r="BK26">
            <v>-3716.2659010036746</v>
          </cell>
          <cell r="BL26">
            <v>-7435.4678904158081</v>
          </cell>
          <cell r="BM26">
            <v>-3754.800811508363</v>
          </cell>
          <cell r="BN26">
            <v>-3829.3060130757226</v>
          </cell>
          <cell r="BO26">
            <v>-7584.1068245840852</v>
          </cell>
          <cell r="BP26">
            <v>-3873.2686913078323</v>
          </cell>
          <cell r="BQ26">
            <v>-3928.4005751916329</v>
          </cell>
          <cell r="BR26">
            <v>-7801.6692664994653</v>
          </cell>
          <cell r="BS26">
            <v>-3973.3320225692278</v>
          </cell>
          <cell r="BT26">
            <v>-4051.8898055863847</v>
          </cell>
          <cell r="BU26">
            <v>-8025.2218281556125</v>
          </cell>
          <cell r="BV26">
            <v>-4086.8956328797458</v>
          </cell>
          <cell r="BW26">
            <v>-4167.5564381692793</v>
          </cell>
          <cell r="BX26">
            <v>-8254.4520710490251</v>
          </cell>
        </row>
        <row r="27">
          <cell r="B27" t="str">
            <v>Other administration costs</v>
          </cell>
          <cell r="C27" t="str">
            <v>OTH_ADMIN</v>
          </cell>
          <cell r="D27" t="str">
            <v>AUD</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row>
        <row r="28">
          <cell r="B28" t="str">
            <v>Total operating expense</v>
          </cell>
          <cell r="C28" t="str">
            <v>OP_COST</v>
          </cell>
          <cell r="D28" t="str">
            <v>AUD</v>
          </cell>
          <cell r="F28">
            <v>-4821.09</v>
          </cell>
          <cell r="G28">
            <v>-5185.26</v>
          </cell>
          <cell r="H28">
            <v>-5673.32</v>
          </cell>
          <cell r="I28">
            <v>-6430.8099999999995</v>
          </cell>
          <cell r="J28">
            <v>-6985</v>
          </cell>
          <cell r="K28">
            <v>-8023</v>
          </cell>
          <cell r="L28">
            <v>-8246</v>
          </cell>
          <cell r="M28">
            <v>-8257</v>
          </cell>
          <cell r="N28">
            <v>-4286</v>
          </cell>
          <cell r="O28">
            <v>-4474</v>
          </cell>
          <cell r="P28">
            <v>-8760</v>
          </cell>
          <cell r="Q28">
            <v>-4603</v>
          </cell>
          <cell r="R28">
            <v>-4775</v>
          </cell>
          <cell r="S28">
            <v>-9378</v>
          </cell>
          <cell r="T28">
            <v>-5488</v>
          </cell>
          <cell r="U28">
            <v>-4951</v>
          </cell>
          <cell r="V28">
            <v>-10439</v>
          </cell>
          <cell r="W28">
            <v>-4487</v>
          </cell>
          <cell r="X28">
            <v>-4480</v>
          </cell>
          <cell r="Y28">
            <v>-8967</v>
          </cell>
          <cell r="Z28">
            <v>-4473</v>
          </cell>
          <cell r="AA28">
            <v>-4928</v>
          </cell>
          <cell r="AB28">
            <v>-9401</v>
          </cell>
          <cell r="AC28">
            <v>-4365</v>
          </cell>
          <cell r="AD28">
            <v>-4706</v>
          </cell>
          <cell r="AE28">
            <v>-9071</v>
          </cell>
          <cell r="AF28">
            <v>-4605</v>
          </cell>
          <cell r="AG28">
            <v>-4778</v>
          </cell>
          <cell r="AH28">
            <v>-9383</v>
          </cell>
          <cell r="AI28">
            <v>-4482</v>
          </cell>
          <cell r="AJ28">
            <v>-4569</v>
          </cell>
          <cell r="AK28">
            <v>-9051</v>
          </cell>
          <cell r="AL28">
            <v>-4791</v>
          </cell>
          <cell r="AM28">
            <v>-4788</v>
          </cell>
          <cell r="AN28">
            <v>-9579</v>
          </cell>
          <cell r="AO28">
            <v>-4997</v>
          </cell>
          <cell r="AP28">
            <v>-5142</v>
          </cell>
          <cell r="AQ28">
            <v>-10139</v>
          </cell>
          <cell r="AR28">
            <v>-5215</v>
          </cell>
          <cell r="AS28">
            <v>-5526</v>
          </cell>
          <cell r="AT28">
            <v>-10741</v>
          </cell>
          <cell r="AU28">
            <v>-5742</v>
          </cell>
          <cell r="AV28">
            <v>-7138</v>
          </cell>
          <cell r="AW28">
            <v>-12880</v>
          </cell>
          <cell r="AX28">
            <v>-5869.0813965448233</v>
          </cell>
          <cell r="AY28">
            <v>-5650.9479379945551</v>
          </cell>
          <cell r="AZ28">
            <v>-11520.029334539378</v>
          </cell>
          <cell r="BA28">
            <v>-5808.3361576371371</v>
          </cell>
          <cell r="BB28">
            <v>-5826.9880945459181</v>
          </cell>
          <cell r="BC28">
            <v>-11635.324252183054</v>
          </cell>
          <cell r="BD28">
            <v>-5856.5603079681941</v>
          </cell>
          <cell r="BE28">
            <v>-5917.4753227468836</v>
          </cell>
          <cell r="BF28">
            <v>-11774.035630715078</v>
          </cell>
          <cell r="BG28">
            <v>-6003.8761928694057</v>
          </cell>
          <cell r="BH28">
            <v>-6015.1723055816565</v>
          </cell>
          <cell r="BI28">
            <v>-12019.048498451062</v>
          </cell>
          <cell r="BJ28">
            <v>-6106.1237405109632</v>
          </cell>
          <cell r="BK28">
            <v>-6149.096684385474</v>
          </cell>
          <cell r="BL28">
            <v>-12255.220424896437</v>
          </cell>
          <cell r="BM28">
            <v>-6169.452839942559</v>
          </cell>
          <cell r="BN28">
            <v>-6295.9227158266776</v>
          </cell>
          <cell r="BO28">
            <v>-12465.375555769237</v>
          </cell>
          <cell r="BP28">
            <v>-6313.8161000848386</v>
          </cell>
          <cell r="BQ28">
            <v>-6422.7897119375893</v>
          </cell>
          <cell r="BR28">
            <v>-12736.605812022428</v>
          </cell>
          <cell r="BS28">
            <v>-6439.8605403822985</v>
          </cell>
          <cell r="BT28">
            <v>-6582.3039046623981</v>
          </cell>
          <cell r="BU28">
            <v>-13022.164445044697</v>
          </cell>
          <cell r="BV28">
            <v>-6579.0637977167489</v>
          </cell>
          <cell r="BW28">
            <v>-6735.1844745660492</v>
          </cell>
          <cell r="BX28">
            <v>-13314.248272282799</v>
          </cell>
        </row>
        <row r="29">
          <cell r="B29" t="str">
            <v>Depreciation</v>
          </cell>
          <cell r="C29" t="str">
            <v>DEPREC</v>
          </cell>
          <cell r="D29" t="str">
            <v>AUD</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row>
        <row r="30">
          <cell r="B30" t="str">
            <v>Amortization</v>
          </cell>
          <cell r="C30" t="str">
            <v>GOODWILL_AMORT</v>
          </cell>
          <cell r="D30" t="str">
            <v>AUD</v>
          </cell>
          <cell r="F30">
            <v>-114</v>
          </cell>
          <cell r="G30">
            <v>-122</v>
          </cell>
          <cell r="H30">
            <v>-121</v>
          </cell>
          <cell r="I30">
            <v>-160</v>
          </cell>
          <cell r="J30">
            <v>-207</v>
          </cell>
          <cell r="K30">
            <v>-249</v>
          </cell>
          <cell r="L30">
            <v>-320</v>
          </cell>
          <cell r="M30">
            <v>-383</v>
          </cell>
          <cell r="N30">
            <v>-205</v>
          </cell>
          <cell r="O30">
            <v>-221</v>
          </cell>
          <cell r="P30">
            <v>-426</v>
          </cell>
          <cell r="Q30">
            <v>-267</v>
          </cell>
          <cell r="R30">
            <v>-275</v>
          </cell>
          <cell r="S30">
            <v>-542</v>
          </cell>
          <cell r="T30">
            <v>-245</v>
          </cell>
          <cell r="U30">
            <v>-255</v>
          </cell>
          <cell r="V30">
            <v>-500</v>
          </cell>
          <cell r="W30">
            <v>-294</v>
          </cell>
          <cell r="X30">
            <v>-271</v>
          </cell>
          <cell r="Y30">
            <v>-565</v>
          </cell>
          <cell r="Z30">
            <v>-281</v>
          </cell>
          <cell r="AA30">
            <v>-288</v>
          </cell>
          <cell r="AB30">
            <v>-569</v>
          </cell>
          <cell r="AC30">
            <v>-252</v>
          </cell>
          <cell r="AD30">
            <v>-265</v>
          </cell>
          <cell r="AE30">
            <v>-517</v>
          </cell>
          <cell r="AF30">
            <v>-241</v>
          </cell>
          <cell r="AG30">
            <v>-219</v>
          </cell>
          <cell r="AH30">
            <v>-460</v>
          </cell>
          <cell r="AI30">
            <v>-233</v>
          </cell>
          <cell r="AJ30">
            <v>-201</v>
          </cell>
          <cell r="AK30">
            <v>-434</v>
          </cell>
          <cell r="AL30">
            <v>-189</v>
          </cell>
          <cell r="AM30">
            <v>-186</v>
          </cell>
          <cell r="AN30">
            <v>-375</v>
          </cell>
          <cell r="AO30">
            <v>-163</v>
          </cell>
          <cell r="AP30">
            <v>-157</v>
          </cell>
          <cell r="AQ30">
            <v>-320</v>
          </cell>
          <cell r="AR30">
            <v>-151</v>
          </cell>
          <cell r="AS30">
            <v>-173</v>
          </cell>
          <cell r="AT30">
            <v>-324</v>
          </cell>
          <cell r="AU30">
            <v>-148</v>
          </cell>
          <cell r="AV30">
            <v>-200</v>
          </cell>
          <cell r="AW30">
            <v>-348</v>
          </cell>
          <cell r="AX30">
            <v>-240.27772227772229</v>
          </cell>
          <cell r="AY30">
            <v>-228.46829010892961</v>
          </cell>
          <cell r="AZ30">
            <v>-468.7460123866519</v>
          </cell>
          <cell r="BA30">
            <v>-221.43077589581571</v>
          </cell>
          <cell r="BB30">
            <v>-215.5401097231055</v>
          </cell>
          <cell r="BC30">
            <v>-436.97088561892122</v>
          </cell>
          <cell r="BD30">
            <v>-213.05422453961336</v>
          </cell>
          <cell r="BE30">
            <v>-210.6029156909841</v>
          </cell>
          <cell r="BF30">
            <v>-423.65714023059746</v>
          </cell>
          <cell r="BG30">
            <v>-210.78792723374477</v>
          </cell>
          <cell r="BH30">
            <v>-210.34755433857347</v>
          </cell>
          <cell r="BI30">
            <v>-421.13548157231821</v>
          </cell>
          <cell r="BJ30">
            <v>-212.12073477544592</v>
          </cell>
          <cell r="BK30">
            <v>-212.86873920126163</v>
          </cell>
          <cell r="BL30">
            <v>-424.98947397670759</v>
          </cell>
          <cell r="BM30">
            <v>-213.79867916989821</v>
          </cell>
          <cell r="BN30">
            <v>-216.87682735744127</v>
          </cell>
          <cell r="BO30">
            <v>-430.67550652733951</v>
          </cell>
          <cell r="BP30">
            <v>-218.27518572994131</v>
          </cell>
          <cell r="BQ30">
            <v>-220.46990854149817</v>
          </cell>
          <cell r="BR30">
            <v>-438.74509427143948</v>
          </cell>
          <cell r="BS30">
            <v>-222.13538657651347</v>
          </cell>
          <cell r="BT30">
            <v>-225.58029600439238</v>
          </cell>
          <cell r="BU30">
            <v>-447.71568258090588</v>
          </cell>
          <cell r="BV30">
            <v>-226.69625188898152</v>
          </cell>
          <cell r="BW30">
            <v>-230.34494159110957</v>
          </cell>
          <cell r="BX30">
            <v>-457.04119348009112</v>
          </cell>
        </row>
        <row r="31">
          <cell r="B31" t="str">
            <v>Other costs</v>
          </cell>
          <cell r="C31" t="str">
            <v>OTH_COST</v>
          </cell>
          <cell r="D31" t="str">
            <v>AUD</v>
          </cell>
          <cell r="F31">
            <v>-1952.0900000000001</v>
          </cell>
          <cell r="G31">
            <v>-2072.2600000000002</v>
          </cell>
          <cell r="H31">
            <v>-2308.3199999999997</v>
          </cell>
          <cell r="I31">
            <v>-2677.8099999999995</v>
          </cell>
          <cell r="J31">
            <v>-2564</v>
          </cell>
          <cell r="K31">
            <v>-3074</v>
          </cell>
          <cell r="L31">
            <v>-3162</v>
          </cell>
          <cell r="M31">
            <v>-3110</v>
          </cell>
          <cell r="N31">
            <v>-1551</v>
          </cell>
          <cell r="O31">
            <v>-1695</v>
          </cell>
          <cell r="P31">
            <v>-3246</v>
          </cell>
          <cell r="Q31">
            <v>-1621</v>
          </cell>
          <cell r="R31">
            <v>-1736</v>
          </cell>
          <cell r="S31">
            <v>-3357</v>
          </cell>
          <cell r="T31">
            <v>-2442</v>
          </cell>
          <cell r="U31">
            <v>-1956</v>
          </cell>
          <cell r="V31">
            <v>-4398</v>
          </cell>
          <cell r="W31">
            <v>-1674</v>
          </cell>
          <cell r="X31">
            <v>-1804</v>
          </cell>
          <cell r="Y31">
            <v>-3478</v>
          </cell>
          <cell r="Z31">
            <v>-1837</v>
          </cell>
          <cell r="AA31">
            <v>-2380</v>
          </cell>
          <cell r="AB31">
            <v>-4217</v>
          </cell>
          <cell r="AC31">
            <v>-1743</v>
          </cell>
          <cell r="AD31">
            <v>-2046</v>
          </cell>
          <cell r="AE31">
            <v>-3789</v>
          </cell>
          <cell r="AF31">
            <v>-1899</v>
          </cell>
          <cell r="AG31">
            <v>-2146</v>
          </cell>
          <cell r="AH31">
            <v>-4045</v>
          </cell>
          <cell r="AI31">
            <v>-1800</v>
          </cell>
          <cell r="AJ31">
            <v>-1871</v>
          </cell>
          <cell r="AK31">
            <v>-3671</v>
          </cell>
          <cell r="AL31">
            <v>-1948</v>
          </cell>
          <cell r="AM31">
            <v>-1960</v>
          </cell>
          <cell r="AN31">
            <v>-3908</v>
          </cell>
          <cell r="AO31">
            <v>-1941</v>
          </cell>
          <cell r="AP31">
            <v>-2116</v>
          </cell>
          <cell r="AQ31">
            <v>-4057</v>
          </cell>
          <cell r="AR31">
            <v>-2002</v>
          </cell>
          <cell r="AS31">
            <v>-2237</v>
          </cell>
          <cell r="AT31">
            <v>-4239</v>
          </cell>
          <cell r="AU31">
            <v>-2282</v>
          </cell>
          <cell r="AV31">
            <v>-3495</v>
          </cell>
          <cell r="AW31">
            <v>-5777</v>
          </cell>
          <cell r="AX31">
            <v>-2222.8188409337672</v>
          </cell>
          <cell r="AY31">
            <v>-2152.2121807320063</v>
          </cell>
          <cell r="AZ31">
            <v>-4375.0310216657736</v>
          </cell>
          <cell r="BA31">
            <v>-2200.7103924687412</v>
          </cell>
          <cell r="BB31">
            <v>-2237.7013194091137</v>
          </cell>
          <cell r="BC31">
            <v>-4438.411711877854</v>
          </cell>
          <cell r="BD31">
            <v>-2170.3008369894515</v>
          </cell>
          <cell r="BE31">
            <v>-2218.9702347255302</v>
          </cell>
          <cell r="BF31">
            <v>-4389.2710717149812</v>
          </cell>
          <cell r="BG31">
            <v>-2182.5811155245929</v>
          </cell>
          <cell r="BH31">
            <v>-2211.8557351496211</v>
          </cell>
          <cell r="BI31">
            <v>-4394.4368506742148</v>
          </cell>
          <cell r="BJ31">
            <v>-2174.8010163233839</v>
          </cell>
          <cell r="BK31">
            <v>-2219.9620441805378</v>
          </cell>
          <cell r="BL31">
            <v>-4394.7630605039212</v>
          </cell>
          <cell r="BM31">
            <v>-2200.8533492642978</v>
          </cell>
          <cell r="BN31">
            <v>-2249.7398753935136</v>
          </cell>
          <cell r="BO31">
            <v>-4450.5932246578122</v>
          </cell>
          <cell r="BP31">
            <v>-2222.2722230470649</v>
          </cell>
          <cell r="BQ31">
            <v>-2273.9192282044582</v>
          </cell>
          <cell r="BR31">
            <v>-4496.1914512515232</v>
          </cell>
          <cell r="BS31">
            <v>-2244.3931312365571</v>
          </cell>
          <cell r="BT31">
            <v>-2304.8338030716209</v>
          </cell>
          <cell r="BU31">
            <v>-4549.226934308178</v>
          </cell>
          <cell r="BV31">
            <v>-2265.4719129480218</v>
          </cell>
          <cell r="BW31">
            <v>-2337.2830948056603</v>
          </cell>
          <cell r="BX31">
            <v>-4602.7550077536825</v>
          </cell>
        </row>
        <row r="32">
          <cell r="B32" t="str">
            <v>Provision for loans</v>
          </cell>
          <cell r="C32" t="str">
            <v>B_PL_LOANPRV</v>
          </cell>
          <cell r="D32" t="str">
            <v>AUD</v>
          </cell>
          <cell r="F32">
            <v>-407</v>
          </cell>
          <cell r="G32">
            <v>-522</v>
          </cell>
          <cell r="H32">
            <v>-2104</v>
          </cell>
          <cell r="I32">
            <v>-3087</v>
          </cell>
          <cell r="J32">
            <v>-1821</v>
          </cell>
          <cell r="K32">
            <v>-1220</v>
          </cell>
          <cell r="L32">
            <v>-1258</v>
          </cell>
          <cell r="M32">
            <v>-1197</v>
          </cell>
          <cell r="N32">
            <v>-528</v>
          </cell>
          <cell r="O32">
            <v>-461</v>
          </cell>
          <cell r="P32">
            <v>-989</v>
          </cell>
          <cell r="Q32">
            <v>-510</v>
          </cell>
          <cell r="R32">
            <v>-695</v>
          </cell>
          <cell r="S32">
            <v>-1205</v>
          </cell>
          <cell r="T32">
            <v>-918</v>
          </cell>
          <cell r="U32">
            <v>-1038</v>
          </cell>
          <cell r="V32">
            <v>-1956</v>
          </cell>
          <cell r="W32">
            <v>-720</v>
          </cell>
          <cell r="X32">
            <v>-479</v>
          </cell>
          <cell r="Y32">
            <v>-1199</v>
          </cell>
          <cell r="Z32">
            <v>-408</v>
          </cell>
          <cell r="AA32">
            <v>-280</v>
          </cell>
          <cell r="AB32">
            <v>-688</v>
          </cell>
          <cell r="AC32">
            <v>-393</v>
          </cell>
          <cell r="AD32">
            <v>-402</v>
          </cell>
          <cell r="AE32">
            <v>-795</v>
          </cell>
          <cell r="AF32">
            <v>-1674</v>
          </cell>
          <cell r="AG32">
            <v>-1064</v>
          </cell>
          <cell r="AH32">
            <v>-2738</v>
          </cell>
          <cell r="AI32">
            <v>491</v>
          </cell>
          <cell r="AJ32">
            <v>76</v>
          </cell>
          <cell r="AK32">
            <v>567</v>
          </cell>
          <cell r="AL32">
            <v>284</v>
          </cell>
          <cell r="AM32">
            <v>-52</v>
          </cell>
          <cell r="AN32">
            <v>232</v>
          </cell>
          <cell r="AO32">
            <v>-133</v>
          </cell>
          <cell r="AP32">
            <v>-112</v>
          </cell>
          <cell r="AQ32">
            <v>-245</v>
          </cell>
          <cell r="AR32">
            <v>-70</v>
          </cell>
          <cell r="AS32">
            <v>-336</v>
          </cell>
          <cell r="AT32">
            <v>-406</v>
          </cell>
          <cell r="AU32">
            <v>-145</v>
          </cell>
          <cell r="AV32">
            <v>-296</v>
          </cell>
          <cell r="AW32">
            <v>-441</v>
          </cell>
          <cell r="AX32">
            <v>-313.95879085941249</v>
          </cell>
          <cell r="AY32">
            <v>-334.75730132108492</v>
          </cell>
          <cell r="AZ32">
            <v>-648.71609218049741</v>
          </cell>
          <cell r="BA32">
            <v>-411.47822883959486</v>
          </cell>
          <cell r="BB32">
            <v>-523.79536188868246</v>
          </cell>
          <cell r="BC32">
            <v>-935.27359072827733</v>
          </cell>
          <cell r="BD32">
            <v>-526.91274195519713</v>
          </cell>
          <cell r="BE32">
            <v>-507.26217988135926</v>
          </cell>
          <cell r="BF32">
            <v>-1034.1749218365565</v>
          </cell>
          <cell r="BG32">
            <v>-482.7111417841125</v>
          </cell>
          <cell r="BH32">
            <v>-463.76646568435541</v>
          </cell>
          <cell r="BI32">
            <v>-946.47760746846791</v>
          </cell>
          <cell r="BJ32">
            <v>-497.73018884918582</v>
          </cell>
          <cell r="BK32">
            <v>-494.99678191535901</v>
          </cell>
          <cell r="BL32">
            <v>-992.72697076454483</v>
          </cell>
          <cell r="BM32">
            <v>-339.64513827921616</v>
          </cell>
          <cell r="BN32">
            <v>-368.32615193022571</v>
          </cell>
          <cell r="BO32">
            <v>-707.9712902094418</v>
          </cell>
          <cell r="BP32">
            <v>-409.96223435040827</v>
          </cell>
          <cell r="BQ32">
            <v>-471.04103870003695</v>
          </cell>
          <cell r="BR32">
            <v>-881.00327305044516</v>
          </cell>
          <cell r="BS32">
            <v>-546.79937636705813</v>
          </cell>
          <cell r="BT32">
            <v>-613.01349540998626</v>
          </cell>
          <cell r="BU32">
            <v>-1159.8128717770444</v>
          </cell>
          <cell r="BV32">
            <v>-675.92807312137018</v>
          </cell>
          <cell r="BW32">
            <v>-692.20942580611313</v>
          </cell>
          <cell r="BX32">
            <v>-1368.1374989274832</v>
          </cell>
        </row>
        <row r="33">
          <cell r="B33" t="str">
            <v>Other P&amp;L provisions</v>
          </cell>
          <cell r="C33" t="str">
            <v>OTH_PROVS</v>
          </cell>
          <cell r="D33" t="str">
            <v>AUD</v>
          </cell>
          <cell r="F33"/>
          <cell r="G33"/>
          <cell r="H33"/>
          <cell r="I33"/>
          <cell r="J33"/>
          <cell r="K33"/>
          <cell r="L33"/>
          <cell r="M33"/>
          <cell r="N33"/>
          <cell r="O33"/>
          <cell r="P33"/>
          <cell r="Q33"/>
          <cell r="R33"/>
          <cell r="S33"/>
          <cell r="T33"/>
          <cell r="U33"/>
          <cell r="V33"/>
          <cell r="W33"/>
          <cell r="X33"/>
          <cell r="Y33"/>
          <cell r="Z33"/>
          <cell r="AA33"/>
          <cell r="AB33"/>
          <cell r="AC33"/>
          <cell r="AD33"/>
          <cell r="AE33"/>
          <cell r="AF33"/>
          <cell r="AG33"/>
          <cell r="AH33"/>
          <cell r="AI33"/>
          <cell r="AJ33"/>
          <cell r="AK33"/>
          <cell r="AL33"/>
          <cell r="AM33"/>
          <cell r="AN33"/>
          <cell r="AO33"/>
          <cell r="AP33"/>
          <cell r="AQ33"/>
          <cell r="AR33"/>
          <cell r="AS33"/>
          <cell r="AT33"/>
          <cell r="AU33"/>
          <cell r="AV33"/>
          <cell r="AW33"/>
          <cell r="AX33"/>
          <cell r="AY33"/>
          <cell r="AZ33"/>
          <cell r="BA33"/>
          <cell r="BB33"/>
          <cell r="BC33"/>
          <cell r="BD33"/>
          <cell r="BE33"/>
          <cell r="BF33"/>
          <cell r="BG33"/>
          <cell r="BH33"/>
          <cell r="BI33"/>
          <cell r="BJ33"/>
          <cell r="BK33"/>
          <cell r="BL33"/>
          <cell r="BM33"/>
          <cell r="BN33"/>
          <cell r="BO33"/>
          <cell r="BP33"/>
          <cell r="BQ33"/>
          <cell r="BR33"/>
          <cell r="BS33"/>
          <cell r="BT33"/>
          <cell r="BU33"/>
          <cell r="BV33"/>
          <cell r="BW33"/>
          <cell r="BX33"/>
        </row>
        <row r="34">
          <cell r="B34" t="str">
            <v>General insurance claims</v>
          </cell>
          <cell r="C34" t="str">
            <v>INS_CLAIMS</v>
          </cell>
          <cell r="D34" t="str">
            <v>AUD</v>
          </cell>
          <cell r="F34"/>
          <cell r="G34"/>
          <cell r="H34"/>
          <cell r="I34"/>
          <cell r="J34"/>
          <cell r="K34"/>
          <cell r="L34"/>
          <cell r="M34"/>
          <cell r="N34"/>
          <cell r="O34"/>
          <cell r="P34"/>
          <cell r="Q34"/>
          <cell r="R34"/>
          <cell r="S34"/>
          <cell r="T34"/>
          <cell r="U34"/>
          <cell r="V34"/>
          <cell r="W34"/>
          <cell r="X34"/>
          <cell r="Y34"/>
          <cell r="Z34"/>
          <cell r="AA34"/>
          <cell r="AB34"/>
          <cell r="AC34"/>
          <cell r="AD34"/>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cell r="BF34"/>
          <cell r="BG34"/>
          <cell r="BH34"/>
          <cell r="BI34"/>
          <cell r="BJ34"/>
          <cell r="BK34"/>
          <cell r="BL34"/>
          <cell r="BM34"/>
          <cell r="BN34"/>
          <cell r="BO34"/>
          <cell r="BP34"/>
          <cell r="BQ34"/>
          <cell r="BR34"/>
          <cell r="BS34"/>
          <cell r="BT34"/>
          <cell r="BU34"/>
          <cell r="BV34"/>
          <cell r="BW34"/>
          <cell r="BX34"/>
        </row>
        <row r="35">
          <cell r="B35" t="str">
            <v>Provisions and write-offs</v>
          </cell>
          <cell r="C35" t="str">
            <v>TOT_PROVS</v>
          </cell>
          <cell r="D35" t="str">
            <v>AUD</v>
          </cell>
          <cell r="F35">
            <v>-407</v>
          </cell>
          <cell r="G35">
            <v>-522</v>
          </cell>
          <cell r="H35">
            <v>-2104</v>
          </cell>
          <cell r="I35">
            <v>-3087</v>
          </cell>
          <cell r="J35">
            <v>-1821</v>
          </cell>
          <cell r="K35">
            <v>-1220</v>
          </cell>
          <cell r="L35">
            <v>-1258</v>
          </cell>
          <cell r="M35">
            <v>-1197</v>
          </cell>
          <cell r="N35">
            <v>-528</v>
          </cell>
          <cell r="O35">
            <v>-461</v>
          </cell>
          <cell r="P35">
            <v>-989</v>
          </cell>
          <cell r="Q35">
            <v>-510</v>
          </cell>
          <cell r="R35">
            <v>-695</v>
          </cell>
          <cell r="S35">
            <v>-1205</v>
          </cell>
          <cell r="T35">
            <v>-918</v>
          </cell>
          <cell r="U35">
            <v>-1038</v>
          </cell>
          <cell r="V35">
            <v>-1956</v>
          </cell>
          <cell r="W35">
            <v>-720</v>
          </cell>
          <cell r="X35">
            <v>-479</v>
          </cell>
          <cell r="Y35">
            <v>-1199</v>
          </cell>
          <cell r="Z35">
            <v>-408</v>
          </cell>
          <cell r="AA35">
            <v>-280</v>
          </cell>
          <cell r="AB35">
            <v>-688</v>
          </cell>
          <cell r="AC35">
            <v>-393</v>
          </cell>
          <cell r="AD35">
            <v>-402</v>
          </cell>
          <cell r="AE35">
            <v>-795</v>
          </cell>
          <cell r="AF35">
            <v>-1674</v>
          </cell>
          <cell r="AG35">
            <v>-1064</v>
          </cell>
          <cell r="AH35">
            <v>-2738</v>
          </cell>
          <cell r="AI35">
            <v>491</v>
          </cell>
          <cell r="AJ35">
            <v>76</v>
          </cell>
          <cell r="AK35">
            <v>567</v>
          </cell>
          <cell r="AL35">
            <v>284</v>
          </cell>
          <cell r="AM35">
            <v>-52</v>
          </cell>
          <cell r="AN35">
            <v>232</v>
          </cell>
          <cell r="AO35">
            <v>-133</v>
          </cell>
          <cell r="AP35">
            <v>-112</v>
          </cell>
          <cell r="AQ35">
            <v>-245</v>
          </cell>
          <cell r="AR35">
            <v>-70</v>
          </cell>
          <cell r="AS35">
            <v>-336</v>
          </cell>
          <cell r="AT35">
            <v>-406</v>
          </cell>
          <cell r="AU35">
            <v>-145</v>
          </cell>
          <cell r="AV35">
            <v>-296</v>
          </cell>
          <cell r="AW35">
            <v>-441</v>
          </cell>
          <cell r="AX35">
            <v>-313.95879085941249</v>
          </cell>
          <cell r="AY35">
            <v>-334.75730132108492</v>
          </cell>
          <cell r="AZ35">
            <v>-648.71609218049741</v>
          </cell>
          <cell r="BA35">
            <v>-411.47822883959486</v>
          </cell>
          <cell r="BB35">
            <v>-523.79536188868246</v>
          </cell>
          <cell r="BC35">
            <v>-935.27359072827733</v>
          </cell>
          <cell r="BD35">
            <v>-526.91274195519713</v>
          </cell>
          <cell r="BE35">
            <v>-507.26217988135926</v>
          </cell>
          <cell r="BF35">
            <v>-1034.1749218365565</v>
          </cell>
          <cell r="BG35">
            <v>-482.7111417841125</v>
          </cell>
          <cell r="BH35">
            <v>-463.76646568435541</v>
          </cell>
          <cell r="BI35">
            <v>-946.47760746846791</v>
          </cell>
          <cell r="BJ35">
            <v>-497.73018884918582</v>
          </cell>
          <cell r="BK35">
            <v>-494.99678191535901</v>
          </cell>
          <cell r="BL35">
            <v>-992.72697076454483</v>
          </cell>
          <cell r="BM35">
            <v>-339.64513827921616</v>
          </cell>
          <cell r="BN35">
            <v>-368.32615193022571</v>
          </cell>
          <cell r="BO35">
            <v>-707.9712902094418</v>
          </cell>
          <cell r="BP35">
            <v>-409.96223435040827</v>
          </cell>
          <cell r="BQ35">
            <v>-471.04103870003695</v>
          </cell>
          <cell r="BR35">
            <v>-881.00327305044516</v>
          </cell>
          <cell r="BS35">
            <v>-546.79937636705813</v>
          </cell>
          <cell r="BT35">
            <v>-613.01349540998626</v>
          </cell>
          <cell r="BU35">
            <v>-1159.8128717770444</v>
          </cell>
          <cell r="BV35">
            <v>-675.92807312137018</v>
          </cell>
          <cell r="BW35">
            <v>-692.20942580611313</v>
          </cell>
          <cell r="BX35">
            <v>-1368.1374989274832</v>
          </cell>
        </row>
        <row r="36">
          <cell r="B36" t="str">
            <v>Gross operating profit</v>
          </cell>
          <cell r="C36" t="str">
            <v>GROSS_OP_PROF</v>
          </cell>
          <cell r="D36" t="str">
            <v>AUD</v>
          </cell>
          <cell r="F36">
            <v>5509.48</v>
          </cell>
          <cell r="G36">
            <v>6102.8099999999995</v>
          </cell>
          <cell r="H36">
            <v>6602.1399999999994</v>
          </cell>
          <cell r="I36">
            <v>7861.67</v>
          </cell>
          <cell r="J36">
            <v>8949</v>
          </cell>
          <cell r="K36">
            <v>8862</v>
          </cell>
          <cell r="L36">
            <v>9602</v>
          </cell>
          <cell r="M36">
            <v>10134</v>
          </cell>
          <cell r="N36">
            <v>5382</v>
          </cell>
          <cell r="O36">
            <v>5436</v>
          </cell>
          <cell r="P36">
            <v>10818</v>
          </cell>
          <cell r="Q36">
            <v>5592</v>
          </cell>
          <cell r="R36">
            <v>5567</v>
          </cell>
          <cell r="S36">
            <v>11159</v>
          </cell>
          <cell r="T36">
            <v>4837</v>
          </cell>
          <cell r="U36">
            <v>5318</v>
          </cell>
          <cell r="V36">
            <v>10155</v>
          </cell>
          <cell r="W36">
            <v>5489</v>
          </cell>
          <cell r="X36">
            <v>5360</v>
          </cell>
          <cell r="Y36">
            <v>10849</v>
          </cell>
          <cell r="Z36">
            <v>5397</v>
          </cell>
          <cell r="AA36">
            <v>4569</v>
          </cell>
          <cell r="AB36">
            <v>9966</v>
          </cell>
          <cell r="AC36">
            <v>5381</v>
          </cell>
          <cell r="AD36">
            <v>4577</v>
          </cell>
          <cell r="AE36">
            <v>9958</v>
          </cell>
          <cell r="AF36">
            <v>3974</v>
          </cell>
          <cell r="AG36">
            <v>4395</v>
          </cell>
          <cell r="AH36">
            <v>8369</v>
          </cell>
          <cell r="AI36">
            <v>3941</v>
          </cell>
          <cell r="AJ36">
            <v>4455</v>
          </cell>
          <cell r="AK36">
            <v>8396</v>
          </cell>
          <cell r="AL36">
            <v>4157</v>
          </cell>
          <cell r="AM36">
            <v>4811</v>
          </cell>
          <cell r="AN36">
            <v>8968</v>
          </cell>
          <cell r="AO36">
            <v>5543</v>
          </cell>
          <cell r="AP36">
            <v>5223</v>
          </cell>
          <cell r="AQ36">
            <v>10766</v>
          </cell>
          <cell r="AR36">
            <v>5132</v>
          </cell>
          <cell r="AS36">
            <v>4936</v>
          </cell>
          <cell r="AT36">
            <v>10068</v>
          </cell>
          <cell r="AU36">
            <v>5253</v>
          </cell>
          <cell r="AV36">
            <v>3766</v>
          </cell>
          <cell r="AW36">
            <v>9019</v>
          </cell>
          <cell r="AX36">
            <v>5380.4293504156085</v>
          </cell>
          <cell r="AY36">
            <v>5681.0550593292992</v>
          </cell>
          <cell r="AZ36">
            <v>11061.484409744908</v>
          </cell>
          <cell r="BA36">
            <v>5535.1253561361264</v>
          </cell>
          <cell r="BB36">
            <v>5616.6556656274743</v>
          </cell>
          <cell r="BC36">
            <v>11151.7810217636</v>
          </cell>
          <cell r="BD36">
            <v>5834.0199372753405</v>
          </cell>
          <cell r="BE36">
            <v>5811.865759283849</v>
          </cell>
          <cell r="BF36">
            <v>11645.885696559189</v>
          </cell>
          <cell r="BG36">
            <v>5876.8001217786878</v>
          </cell>
          <cell r="BH36">
            <v>5949.2994867708931</v>
          </cell>
          <cell r="BI36">
            <v>11826.099608549579</v>
          </cell>
          <cell r="BJ36">
            <v>6015.7636656589866</v>
          </cell>
          <cell r="BK36">
            <v>6113.6924655271569</v>
          </cell>
          <cell r="BL36">
            <v>12129.456131186143</v>
          </cell>
          <cell r="BM36">
            <v>6276.6398704840749</v>
          </cell>
          <cell r="BN36">
            <v>6380.8479560048627</v>
          </cell>
          <cell r="BO36">
            <v>12657.487826488939</v>
          </cell>
          <cell r="BP36">
            <v>6481.2312755103985</v>
          </cell>
          <cell r="BQ36">
            <v>6524.1227709212208</v>
          </cell>
          <cell r="BR36">
            <v>13005.354046431616</v>
          </cell>
          <cell r="BS36">
            <v>6635.0381510084335</v>
          </cell>
          <cell r="BT36">
            <v>6740.8636680803884</v>
          </cell>
          <cell r="BU36">
            <v>13375.901819088826</v>
          </cell>
          <cell r="BV36">
            <v>6857.0759464786433</v>
          </cell>
          <cell r="BW36">
            <v>6972.3249488812635</v>
          </cell>
          <cell r="BX36">
            <v>13829.400895359908</v>
          </cell>
        </row>
        <row r="37">
          <cell r="B37" t="str">
            <v>Net operating profit</v>
          </cell>
          <cell r="C37" t="str">
            <v>NET_OP_PROF</v>
          </cell>
          <cell r="D37" t="str">
            <v>AUD</v>
          </cell>
          <cell r="F37">
            <v>5102.4799999999996</v>
          </cell>
          <cell r="G37">
            <v>5580.8099999999995</v>
          </cell>
          <cell r="H37">
            <v>4498.1399999999994</v>
          </cell>
          <cell r="I37">
            <v>4774.67</v>
          </cell>
          <cell r="J37">
            <v>7128</v>
          </cell>
          <cell r="K37">
            <v>7642</v>
          </cell>
          <cell r="L37">
            <v>8344</v>
          </cell>
          <cell r="M37">
            <v>8937</v>
          </cell>
          <cell r="N37">
            <v>4854</v>
          </cell>
          <cell r="O37">
            <v>4975</v>
          </cell>
          <cell r="P37">
            <v>9829</v>
          </cell>
          <cell r="Q37">
            <v>5082</v>
          </cell>
          <cell r="R37">
            <v>4872</v>
          </cell>
          <cell r="S37">
            <v>9954</v>
          </cell>
          <cell r="T37">
            <v>3919</v>
          </cell>
          <cell r="U37">
            <v>4280</v>
          </cell>
          <cell r="V37">
            <v>8199</v>
          </cell>
          <cell r="W37">
            <v>4769</v>
          </cell>
          <cell r="X37">
            <v>4881</v>
          </cell>
          <cell r="Y37">
            <v>9650</v>
          </cell>
          <cell r="Z37">
            <v>4989</v>
          </cell>
          <cell r="AA37">
            <v>4289</v>
          </cell>
          <cell r="AB37">
            <v>9278</v>
          </cell>
          <cell r="AC37">
            <v>4988</v>
          </cell>
          <cell r="AD37">
            <v>4175</v>
          </cell>
          <cell r="AE37">
            <v>9163</v>
          </cell>
          <cell r="AF37">
            <v>2300</v>
          </cell>
          <cell r="AG37">
            <v>3331</v>
          </cell>
          <cell r="AH37">
            <v>5631</v>
          </cell>
          <cell r="AI37">
            <v>4432</v>
          </cell>
          <cell r="AJ37">
            <v>4531</v>
          </cell>
          <cell r="AK37">
            <v>8963</v>
          </cell>
          <cell r="AL37">
            <v>4441</v>
          </cell>
          <cell r="AM37">
            <v>4759</v>
          </cell>
          <cell r="AN37">
            <v>9200</v>
          </cell>
          <cell r="AO37">
            <v>5410</v>
          </cell>
          <cell r="AP37">
            <v>5111</v>
          </cell>
          <cell r="AQ37">
            <v>10521</v>
          </cell>
          <cell r="AR37">
            <v>5062</v>
          </cell>
          <cell r="AS37">
            <v>4600</v>
          </cell>
          <cell r="AT37">
            <v>9662</v>
          </cell>
          <cell r="AU37">
            <v>5108</v>
          </cell>
          <cell r="AV37">
            <v>3470</v>
          </cell>
          <cell r="AW37">
            <v>8578</v>
          </cell>
          <cell r="AX37">
            <v>5066.4705595561963</v>
          </cell>
          <cell r="AY37">
            <v>5346.2977580082143</v>
          </cell>
          <cell r="AZ37">
            <v>10412.768317564411</v>
          </cell>
          <cell r="BA37">
            <v>5123.6471272965318</v>
          </cell>
          <cell r="BB37">
            <v>5092.860303738792</v>
          </cell>
          <cell r="BC37">
            <v>10216.507431035323</v>
          </cell>
          <cell r="BD37">
            <v>5307.1071953201435</v>
          </cell>
          <cell r="BE37">
            <v>5304.6035794024901</v>
          </cell>
          <cell r="BF37">
            <v>10611.710774722633</v>
          </cell>
          <cell r="BG37">
            <v>5394.0889799945753</v>
          </cell>
          <cell r="BH37">
            <v>5485.5330210865377</v>
          </cell>
          <cell r="BI37">
            <v>10879.62200108111</v>
          </cell>
          <cell r="BJ37">
            <v>5518.033476809801</v>
          </cell>
          <cell r="BK37">
            <v>5618.6956836117979</v>
          </cell>
          <cell r="BL37">
            <v>11136.729160421599</v>
          </cell>
          <cell r="BM37">
            <v>5936.9947322048583</v>
          </cell>
          <cell r="BN37">
            <v>6012.5218040746367</v>
          </cell>
          <cell r="BO37">
            <v>11949.516536279498</v>
          </cell>
          <cell r="BP37">
            <v>6071.2690411599906</v>
          </cell>
          <cell r="BQ37">
            <v>6053.0817322211842</v>
          </cell>
          <cell r="BR37">
            <v>12124.350773381171</v>
          </cell>
          <cell r="BS37">
            <v>6088.2387746413751</v>
          </cell>
          <cell r="BT37">
            <v>6127.8501726704017</v>
          </cell>
          <cell r="BU37">
            <v>12216.08894731178</v>
          </cell>
          <cell r="BV37">
            <v>6181.1478733572731</v>
          </cell>
          <cell r="BW37">
            <v>6280.1155230751501</v>
          </cell>
          <cell r="BX37">
            <v>12461.263396432425</v>
          </cell>
        </row>
        <row r="38">
          <cell r="B38" t="str">
            <v>Income/(loss) from unconsolidated subs &amp; associates</v>
          </cell>
          <cell r="C38" t="str">
            <v>ASSOCIATE</v>
          </cell>
          <cell r="D38" t="str">
            <v>AUD</v>
          </cell>
          <cell r="F38"/>
          <cell r="G38"/>
          <cell r="H38"/>
          <cell r="I38"/>
          <cell r="J38"/>
          <cell r="K38"/>
          <cell r="L38"/>
          <cell r="M38"/>
          <cell r="N38"/>
          <cell r="O38"/>
          <cell r="P38"/>
          <cell r="Q38"/>
          <cell r="R38"/>
          <cell r="S38"/>
          <cell r="T38"/>
          <cell r="U38"/>
          <cell r="V38"/>
          <cell r="W38"/>
          <cell r="X38"/>
          <cell r="Y38"/>
          <cell r="Z38"/>
          <cell r="AA38"/>
          <cell r="AB38"/>
          <cell r="AC38"/>
          <cell r="AD38"/>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cell r="BF38"/>
          <cell r="BG38"/>
          <cell r="BH38"/>
          <cell r="BI38"/>
          <cell r="BJ38"/>
          <cell r="BK38"/>
          <cell r="BL38"/>
          <cell r="BM38"/>
          <cell r="BN38"/>
          <cell r="BO38"/>
          <cell r="BP38"/>
          <cell r="BQ38"/>
          <cell r="BR38"/>
          <cell r="BS38"/>
          <cell r="BT38"/>
          <cell r="BU38"/>
          <cell r="BV38"/>
          <cell r="BW38"/>
          <cell r="BX38"/>
        </row>
        <row r="39">
          <cell r="B39" t="str">
            <v>Profit/(loss) on disposals of assets, pre-tax</v>
          </cell>
          <cell r="C39" t="str">
            <v>PROFIT_ON_DISP</v>
          </cell>
          <cell r="D39" t="str">
            <v>AUD</v>
          </cell>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cell r="AI39"/>
          <cell r="AJ39"/>
          <cell r="AK39"/>
          <cell r="AL39"/>
          <cell r="AM39"/>
          <cell r="AN39"/>
          <cell r="AO39"/>
          <cell r="AP39"/>
          <cell r="AQ39"/>
          <cell r="AR39"/>
          <cell r="AS39"/>
          <cell r="AT39"/>
          <cell r="AU39"/>
          <cell r="AV39"/>
          <cell r="AW39"/>
          <cell r="AX39"/>
          <cell r="AY39"/>
          <cell r="AZ39"/>
          <cell r="BA39"/>
          <cell r="BB39"/>
          <cell r="BC39"/>
          <cell r="BD39"/>
          <cell r="BE39"/>
          <cell r="BF39"/>
          <cell r="BG39"/>
          <cell r="BH39"/>
          <cell r="BI39"/>
          <cell r="BJ39"/>
          <cell r="BK39"/>
          <cell r="BL39"/>
          <cell r="BM39"/>
          <cell r="BN39"/>
          <cell r="BO39"/>
          <cell r="BP39"/>
          <cell r="BQ39"/>
          <cell r="BR39"/>
          <cell r="BS39"/>
          <cell r="BT39"/>
          <cell r="BU39"/>
          <cell r="BV39"/>
          <cell r="BW39"/>
          <cell r="BX39"/>
        </row>
        <row r="40">
          <cell r="B40" t="str">
            <v>Other income</v>
          </cell>
          <cell r="C40" t="str">
            <v>OTH_NONOP_INC</v>
          </cell>
          <cell r="D40" t="str">
            <v>AUD</v>
          </cell>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cell r="BF40"/>
          <cell r="BG40"/>
          <cell r="BH40"/>
          <cell r="BI40"/>
          <cell r="BJ40"/>
          <cell r="BK40"/>
          <cell r="BL40"/>
          <cell r="BM40"/>
          <cell r="BN40"/>
          <cell r="BO40"/>
          <cell r="BP40"/>
          <cell r="BQ40"/>
          <cell r="BR40"/>
          <cell r="BS40"/>
          <cell r="BT40"/>
          <cell r="BU40"/>
          <cell r="BV40"/>
          <cell r="BW40"/>
          <cell r="BX40"/>
        </row>
        <row r="41">
          <cell r="B41" t="str">
            <v>Other expense</v>
          </cell>
          <cell r="C41" t="str">
            <v>OTH_NONOP_EXP</v>
          </cell>
          <cell r="D41" t="str">
            <v>AUD</v>
          </cell>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cell r="AI41"/>
          <cell r="AJ41"/>
          <cell r="AK41"/>
          <cell r="AL41"/>
          <cell r="AM41"/>
          <cell r="AN41"/>
          <cell r="AO41"/>
          <cell r="AP41"/>
          <cell r="AQ41"/>
          <cell r="AR41"/>
          <cell r="AS41"/>
          <cell r="AT41"/>
          <cell r="AU41"/>
          <cell r="AV41"/>
          <cell r="AW41"/>
          <cell r="AX41"/>
          <cell r="AY41"/>
          <cell r="AZ41"/>
          <cell r="BA41"/>
          <cell r="BB41"/>
          <cell r="BC41"/>
          <cell r="BD41"/>
          <cell r="BE41"/>
          <cell r="BF41"/>
          <cell r="BG41"/>
          <cell r="BH41"/>
          <cell r="BI41"/>
          <cell r="BJ41"/>
          <cell r="BK41"/>
          <cell r="BL41"/>
          <cell r="BM41"/>
          <cell r="BN41"/>
          <cell r="BO41"/>
          <cell r="BP41"/>
          <cell r="BQ41"/>
          <cell r="BR41"/>
          <cell r="BS41"/>
          <cell r="BT41"/>
          <cell r="BU41"/>
          <cell r="BV41"/>
          <cell r="BW41"/>
          <cell r="BX41"/>
        </row>
        <row r="42">
          <cell r="B42" t="str">
            <v>Other non-ops income/(expense)</v>
          </cell>
          <cell r="C42" t="str">
            <v>OTH_COST_INC</v>
          </cell>
          <cell r="D42" t="str">
            <v>AUD</v>
          </cell>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cell r="BP42"/>
          <cell r="BQ42"/>
          <cell r="BR42"/>
          <cell r="BS42"/>
          <cell r="BT42"/>
          <cell r="BU42"/>
          <cell r="BV42"/>
          <cell r="BW42"/>
          <cell r="BX42"/>
        </row>
        <row r="43">
          <cell r="B43" t="str">
            <v>Profit before tax &amp; exceptionals</v>
          </cell>
          <cell r="C43" t="str">
            <v>PROF_BTE</v>
          </cell>
          <cell r="D43" t="str">
            <v>AUD</v>
          </cell>
          <cell r="F43">
            <v>5102.4799999999996</v>
          </cell>
          <cell r="G43">
            <v>5580.8099999999995</v>
          </cell>
          <cell r="H43">
            <v>4498.1399999999994</v>
          </cell>
          <cell r="I43">
            <v>4774.67</v>
          </cell>
          <cell r="J43">
            <v>7128</v>
          </cell>
          <cell r="K43">
            <v>7642</v>
          </cell>
          <cell r="L43">
            <v>8344</v>
          </cell>
          <cell r="M43">
            <v>8937</v>
          </cell>
          <cell r="N43">
            <v>4854</v>
          </cell>
          <cell r="O43">
            <v>4975</v>
          </cell>
          <cell r="P43">
            <v>9829</v>
          </cell>
          <cell r="Q43">
            <v>5082</v>
          </cell>
          <cell r="R43">
            <v>4872</v>
          </cell>
          <cell r="S43">
            <v>9954</v>
          </cell>
          <cell r="T43">
            <v>3919</v>
          </cell>
          <cell r="U43">
            <v>4280</v>
          </cell>
          <cell r="V43">
            <v>8199</v>
          </cell>
          <cell r="W43">
            <v>4769</v>
          </cell>
          <cell r="X43">
            <v>4881</v>
          </cell>
          <cell r="Y43">
            <v>9650</v>
          </cell>
          <cell r="Z43">
            <v>4989</v>
          </cell>
          <cell r="AA43">
            <v>4289</v>
          </cell>
          <cell r="AB43">
            <v>9278</v>
          </cell>
          <cell r="AC43">
            <v>4988</v>
          </cell>
          <cell r="AD43">
            <v>4175</v>
          </cell>
          <cell r="AE43">
            <v>9163</v>
          </cell>
          <cell r="AF43">
            <v>2300</v>
          </cell>
          <cell r="AG43">
            <v>3331</v>
          </cell>
          <cell r="AH43">
            <v>5631</v>
          </cell>
          <cell r="AI43">
            <v>4432</v>
          </cell>
          <cell r="AJ43">
            <v>4531</v>
          </cell>
          <cell r="AK43">
            <v>8963</v>
          </cell>
          <cell r="AL43">
            <v>4441</v>
          </cell>
          <cell r="AM43">
            <v>4759</v>
          </cell>
          <cell r="AN43">
            <v>9200</v>
          </cell>
          <cell r="AO43">
            <v>5410</v>
          </cell>
          <cell r="AP43">
            <v>5111</v>
          </cell>
          <cell r="AQ43">
            <v>10521</v>
          </cell>
          <cell r="AR43">
            <v>5062</v>
          </cell>
          <cell r="AS43">
            <v>4600</v>
          </cell>
          <cell r="AT43">
            <v>9662</v>
          </cell>
          <cell r="AU43">
            <v>5108</v>
          </cell>
          <cell r="AV43">
            <v>3470</v>
          </cell>
          <cell r="AW43">
            <v>8578</v>
          </cell>
          <cell r="AX43">
            <v>5066.4705595561963</v>
          </cell>
          <cell r="AY43">
            <v>5346.2977580082143</v>
          </cell>
          <cell r="AZ43">
            <v>10412.768317564411</v>
          </cell>
          <cell r="BA43">
            <v>5123.6471272965318</v>
          </cell>
          <cell r="BB43">
            <v>5092.860303738792</v>
          </cell>
          <cell r="BC43">
            <v>10216.507431035323</v>
          </cell>
          <cell r="BD43">
            <v>5307.1071953201435</v>
          </cell>
          <cell r="BE43">
            <v>5304.6035794024901</v>
          </cell>
          <cell r="BF43">
            <v>10611.710774722633</v>
          </cell>
          <cell r="BG43">
            <v>5394.0889799945753</v>
          </cell>
          <cell r="BH43">
            <v>5485.5330210865377</v>
          </cell>
          <cell r="BI43">
            <v>10879.62200108111</v>
          </cell>
          <cell r="BJ43">
            <v>5518.033476809801</v>
          </cell>
          <cell r="BK43">
            <v>5618.6956836117979</v>
          </cell>
          <cell r="BL43">
            <v>11136.729160421599</v>
          </cell>
          <cell r="BM43">
            <v>5936.9947322048583</v>
          </cell>
          <cell r="BN43">
            <v>6012.5218040746367</v>
          </cell>
          <cell r="BO43">
            <v>11949.516536279498</v>
          </cell>
          <cell r="BP43">
            <v>6071.2690411599906</v>
          </cell>
          <cell r="BQ43">
            <v>6053.0817322211842</v>
          </cell>
          <cell r="BR43">
            <v>12124.350773381171</v>
          </cell>
          <cell r="BS43">
            <v>6088.2387746413751</v>
          </cell>
          <cell r="BT43">
            <v>6127.8501726704017</v>
          </cell>
          <cell r="BU43">
            <v>12216.08894731178</v>
          </cell>
          <cell r="BV43">
            <v>6181.1478733572731</v>
          </cell>
          <cell r="BW43">
            <v>6280.1155230751501</v>
          </cell>
          <cell r="BX43">
            <v>12461.263396432425</v>
          </cell>
        </row>
        <row r="44">
          <cell r="B44" t="str">
            <v>Exceptional income/(expense)</v>
          </cell>
          <cell r="C44" t="str">
            <v>TOT_EXCEPTS</v>
          </cell>
          <cell r="D44" t="str">
            <v>AUD</v>
          </cell>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cell r="BU44"/>
          <cell r="BV44"/>
          <cell r="BW44"/>
          <cell r="BX44"/>
        </row>
        <row r="45">
          <cell r="B45" t="str">
            <v>Pre-tax profit</v>
          </cell>
          <cell r="C45" t="str">
            <v>PT_PROF</v>
          </cell>
          <cell r="D45" t="str">
            <v>AUD</v>
          </cell>
          <cell r="F45">
            <v>5102.4799999999996</v>
          </cell>
          <cell r="G45">
            <v>5580.8099999999995</v>
          </cell>
          <cell r="H45">
            <v>4498.1399999999994</v>
          </cell>
          <cell r="I45">
            <v>4774.67</v>
          </cell>
          <cell r="J45">
            <v>7128</v>
          </cell>
          <cell r="K45">
            <v>7642</v>
          </cell>
          <cell r="L45">
            <v>8344</v>
          </cell>
          <cell r="M45">
            <v>8937</v>
          </cell>
          <cell r="N45">
            <v>4854</v>
          </cell>
          <cell r="O45">
            <v>4975</v>
          </cell>
          <cell r="P45">
            <v>9829</v>
          </cell>
          <cell r="Q45">
            <v>5082</v>
          </cell>
          <cell r="R45">
            <v>4872</v>
          </cell>
          <cell r="S45">
            <v>9954</v>
          </cell>
          <cell r="T45">
            <v>3919</v>
          </cell>
          <cell r="U45">
            <v>4280</v>
          </cell>
          <cell r="V45">
            <v>8199</v>
          </cell>
          <cell r="W45">
            <v>4769</v>
          </cell>
          <cell r="X45">
            <v>4881</v>
          </cell>
          <cell r="Y45">
            <v>9650</v>
          </cell>
          <cell r="Z45">
            <v>4989</v>
          </cell>
          <cell r="AA45">
            <v>4289</v>
          </cell>
          <cell r="AB45">
            <v>9278</v>
          </cell>
          <cell r="AC45">
            <v>4988</v>
          </cell>
          <cell r="AD45">
            <v>4175</v>
          </cell>
          <cell r="AE45">
            <v>9163</v>
          </cell>
          <cell r="AF45">
            <v>2300</v>
          </cell>
          <cell r="AG45">
            <v>3331</v>
          </cell>
          <cell r="AH45">
            <v>5631</v>
          </cell>
          <cell r="AI45">
            <v>4432</v>
          </cell>
          <cell r="AJ45">
            <v>4531</v>
          </cell>
          <cell r="AK45">
            <v>8963</v>
          </cell>
          <cell r="AL45">
            <v>4441</v>
          </cell>
          <cell r="AM45">
            <v>4759</v>
          </cell>
          <cell r="AN45">
            <v>9200</v>
          </cell>
          <cell r="AO45">
            <v>5410</v>
          </cell>
          <cell r="AP45">
            <v>5111</v>
          </cell>
          <cell r="AQ45">
            <v>10521</v>
          </cell>
          <cell r="AR45">
            <v>5062</v>
          </cell>
          <cell r="AS45">
            <v>4600</v>
          </cell>
          <cell r="AT45">
            <v>9662</v>
          </cell>
          <cell r="AU45">
            <v>5108</v>
          </cell>
          <cell r="AV45">
            <v>3470</v>
          </cell>
          <cell r="AW45">
            <v>8578</v>
          </cell>
          <cell r="AX45">
            <v>5066.4705595561963</v>
          </cell>
          <cell r="AY45">
            <v>5346.2977580082143</v>
          </cell>
          <cell r="AZ45">
            <v>10412.768317564411</v>
          </cell>
          <cell r="BA45">
            <v>5123.6471272965318</v>
          </cell>
          <cell r="BB45">
            <v>5092.860303738792</v>
          </cell>
          <cell r="BC45">
            <v>10216.507431035323</v>
          </cell>
          <cell r="BD45">
            <v>5307.1071953201435</v>
          </cell>
          <cell r="BE45">
            <v>5304.6035794024901</v>
          </cell>
          <cell r="BF45">
            <v>10611.710774722633</v>
          </cell>
          <cell r="BG45">
            <v>5394.0889799945753</v>
          </cell>
          <cell r="BH45">
            <v>5485.5330210865377</v>
          </cell>
          <cell r="BI45">
            <v>10879.62200108111</v>
          </cell>
          <cell r="BJ45">
            <v>5518.033476809801</v>
          </cell>
          <cell r="BK45">
            <v>5618.6956836117979</v>
          </cell>
          <cell r="BL45">
            <v>11136.729160421599</v>
          </cell>
          <cell r="BM45">
            <v>5936.9947322048583</v>
          </cell>
          <cell r="BN45">
            <v>6012.5218040746367</v>
          </cell>
          <cell r="BO45">
            <v>11949.516536279498</v>
          </cell>
          <cell r="BP45">
            <v>6071.2690411599906</v>
          </cell>
          <cell r="BQ45">
            <v>6053.0817322211842</v>
          </cell>
          <cell r="BR45">
            <v>12124.350773381171</v>
          </cell>
          <cell r="BS45">
            <v>6088.2387746413751</v>
          </cell>
          <cell r="BT45">
            <v>6127.8501726704017</v>
          </cell>
          <cell r="BU45">
            <v>12216.08894731178</v>
          </cell>
          <cell r="BV45">
            <v>6181.1478733572731</v>
          </cell>
          <cell r="BW45">
            <v>6280.1155230751501</v>
          </cell>
          <cell r="BX45">
            <v>12461.263396432425</v>
          </cell>
        </row>
        <row r="46">
          <cell r="A46" t="str">
            <v>ANZ Income Statement</v>
          </cell>
          <cell r="B46"/>
          <cell r="C46"/>
          <cell r="D46"/>
        </row>
        <row r="47">
          <cell r="B47" t="str">
            <v>Lending Fees</v>
          </cell>
          <cell r="C47" t="str">
            <v>LENDING_FEES</v>
          </cell>
          <cell r="D47" t="str">
            <v>AUD</v>
          </cell>
          <cell r="F47">
            <v>430</v>
          </cell>
          <cell r="G47">
            <v>491</v>
          </cell>
          <cell r="H47">
            <v>595</v>
          </cell>
          <cell r="I47">
            <v>684</v>
          </cell>
          <cell r="J47">
            <v>634</v>
          </cell>
          <cell r="K47">
            <v>652</v>
          </cell>
          <cell r="L47">
            <v>697</v>
          </cell>
          <cell r="M47">
            <v>744</v>
          </cell>
          <cell r="N47">
            <v>396</v>
          </cell>
          <cell r="O47">
            <v>383</v>
          </cell>
          <cell r="P47">
            <v>779</v>
          </cell>
          <cell r="Q47">
            <v>422</v>
          </cell>
          <cell r="R47">
            <v>411</v>
          </cell>
          <cell r="S47">
            <v>833</v>
          </cell>
          <cell r="T47">
            <v>391</v>
          </cell>
          <cell r="U47">
            <v>388</v>
          </cell>
          <cell r="V47">
            <v>779</v>
          </cell>
          <cell r="W47">
            <v>369</v>
          </cell>
          <cell r="X47">
            <v>363</v>
          </cell>
          <cell r="Y47">
            <v>732</v>
          </cell>
          <cell r="Z47">
            <v>343</v>
          </cell>
          <cell r="AA47">
            <v>309</v>
          </cell>
          <cell r="AB47">
            <v>652</v>
          </cell>
          <cell r="AC47">
            <v>303</v>
          </cell>
          <cell r="AD47">
            <v>299</v>
          </cell>
          <cell r="AE47">
            <v>602</v>
          </cell>
          <cell r="AF47">
            <v>303</v>
          </cell>
          <cell r="AG47">
            <v>276</v>
          </cell>
          <cell r="AH47">
            <v>579</v>
          </cell>
          <cell r="AI47">
            <v>244</v>
          </cell>
          <cell r="AJ47">
            <v>230</v>
          </cell>
          <cell r="AK47">
            <v>474</v>
          </cell>
          <cell r="AL47">
            <v>188</v>
          </cell>
          <cell r="AM47">
            <v>186</v>
          </cell>
          <cell r="AN47">
            <v>374</v>
          </cell>
          <cell r="AO47">
            <v>199</v>
          </cell>
          <cell r="AP47">
            <v>198</v>
          </cell>
          <cell r="AQ47">
            <v>397</v>
          </cell>
          <cell r="AR47">
            <v>207</v>
          </cell>
          <cell r="AS47">
            <v>213</v>
          </cell>
          <cell r="AT47">
            <v>420</v>
          </cell>
          <cell r="AU47">
            <v>215</v>
          </cell>
          <cell r="AV47">
            <v>221</v>
          </cell>
          <cell r="AW47">
            <v>436</v>
          </cell>
          <cell r="AX47">
            <v>214.56761089485147</v>
          </cell>
          <cell r="AY47">
            <v>214.45373171759562</v>
          </cell>
          <cell r="AZ47">
            <v>429.02134261244709</v>
          </cell>
          <cell r="BA47">
            <v>213.61459549344136</v>
          </cell>
          <cell r="BB47">
            <v>215.58502195771695</v>
          </cell>
          <cell r="BC47">
            <v>429.1996174511583</v>
          </cell>
          <cell r="BD47">
            <v>216.24391020386344</v>
          </cell>
          <cell r="BE47">
            <v>217.48906294299883</v>
          </cell>
          <cell r="BF47">
            <v>433.73297314686226</v>
          </cell>
          <cell r="BG47">
            <v>217.98582493845171</v>
          </cell>
          <cell r="BH47">
            <v>220.03808831169187</v>
          </cell>
          <cell r="BI47">
            <v>438.02391325014355</v>
          </cell>
          <cell r="BJ47">
            <v>219.90461925402454</v>
          </cell>
          <cell r="BK47">
            <v>222.34492125515627</v>
          </cell>
          <cell r="BL47">
            <v>442.2495405091808</v>
          </cell>
          <cell r="BM47">
            <v>223.98967251648401</v>
          </cell>
          <cell r="BN47">
            <v>228.03157204283863</v>
          </cell>
          <cell r="BO47">
            <v>452.02124455932267</v>
          </cell>
          <cell r="BP47">
            <v>229.86971190048061</v>
          </cell>
          <cell r="BQ47">
            <v>232.37379313992807</v>
          </cell>
          <cell r="BR47">
            <v>462.24350504040865</v>
          </cell>
          <cell r="BS47">
            <v>234.63695164185762</v>
          </cell>
          <cell r="BT47">
            <v>239.24723204572362</v>
          </cell>
          <cell r="BU47">
            <v>473.88418368758124</v>
          </cell>
          <cell r="BV47">
            <v>241.58688538646365</v>
          </cell>
          <cell r="BW47">
            <v>246.94134658920319</v>
          </cell>
          <cell r="BX47">
            <v>488.52823197566681</v>
          </cell>
        </row>
        <row r="48">
          <cell r="B48" t="str">
            <v>Other Fees/Commission</v>
          </cell>
          <cell r="C48" t="str">
            <v>OTHER_FEES</v>
          </cell>
          <cell r="D48" t="str">
            <v>AUD</v>
          </cell>
          <cell r="F48">
            <v>1715</v>
          </cell>
          <cell r="G48">
            <v>1889</v>
          </cell>
          <cell r="H48">
            <v>2061</v>
          </cell>
          <cell r="I48">
            <v>1713</v>
          </cell>
          <cell r="J48">
            <v>1690</v>
          </cell>
          <cell r="K48">
            <v>1657</v>
          </cell>
          <cell r="L48">
            <v>1595</v>
          </cell>
          <cell r="M48">
            <v>1572</v>
          </cell>
          <cell r="N48">
            <v>795</v>
          </cell>
          <cell r="O48">
            <v>800</v>
          </cell>
          <cell r="P48">
            <v>1595</v>
          </cell>
          <cell r="Q48">
            <v>795</v>
          </cell>
          <cell r="R48">
            <v>820</v>
          </cell>
          <cell r="S48">
            <v>1615</v>
          </cell>
          <cell r="T48">
            <v>836</v>
          </cell>
          <cell r="U48">
            <v>805</v>
          </cell>
          <cell r="V48">
            <v>1641</v>
          </cell>
          <cell r="W48">
            <v>808</v>
          </cell>
          <cell r="X48">
            <v>822</v>
          </cell>
          <cell r="Y48">
            <v>1630</v>
          </cell>
          <cell r="Z48">
            <v>979</v>
          </cell>
          <cell r="AA48">
            <v>1054</v>
          </cell>
          <cell r="AB48">
            <v>2033</v>
          </cell>
          <cell r="AC48">
            <v>859.46928499496471</v>
          </cell>
          <cell r="AD48">
            <v>913.47783731125185</v>
          </cell>
          <cell r="AE48">
            <v>1772.9471223062164</v>
          </cell>
          <cell r="AF48">
            <v>776.18766200103687</v>
          </cell>
          <cell r="AG48">
            <v>719.90882862088858</v>
          </cell>
          <cell r="AH48">
            <v>1496.0964906219256</v>
          </cell>
          <cell r="AI48">
            <v>617.32547169811323</v>
          </cell>
          <cell r="AJ48">
            <v>782</v>
          </cell>
          <cell r="AK48">
            <v>1399.3254716981132</v>
          </cell>
          <cell r="AL48">
            <v>681</v>
          </cell>
          <cell r="AM48">
            <v>767</v>
          </cell>
          <cell r="AN48">
            <v>1448</v>
          </cell>
          <cell r="AO48">
            <v>691</v>
          </cell>
          <cell r="AP48">
            <v>774</v>
          </cell>
          <cell r="AQ48">
            <v>1465</v>
          </cell>
          <cell r="AR48">
            <v>712</v>
          </cell>
          <cell r="AS48">
            <v>743</v>
          </cell>
          <cell r="AT48">
            <v>1455</v>
          </cell>
          <cell r="AU48">
            <v>640</v>
          </cell>
          <cell r="AV48">
            <v>727</v>
          </cell>
          <cell r="AW48">
            <v>1367</v>
          </cell>
          <cell r="AX48">
            <v>705.84005936903623</v>
          </cell>
          <cell r="AY48">
            <v>705.46544325199989</v>
          </cell>
          <cell r="AZ48">
            <v>1411.3055026210361</v>
          </cell>
          <cell r="BA48">
            <v>702.70502680421646</v>
          </cell>
          <cell r="BB48">
            <v>709.18692743556642</v>
          </cell>
          <cell r="BC48">
            <v>1411.891954239783</v>
          </cell>
          <cell r="BD48">
            <v>711.35440143985829</v>
          </cell>
          <cell r="BE48">
            <v>715.45044687583754</v>
          </cell>
          <cell r="BF48">
            <v>1426.8048483156958</v>
          </cell>
          <cell r="BG48">
            <v>717.08459153961246</v>
          </cell>
          <cell r="BH48">
            <v>723.83570227420773</v>
          </cell>
          <cell r="BI48">
            <v>1440.9202938138201</v>
          </cell>
          <cell r="BJ48">
            <v>723.39664342839706</v>
          </cell>
          <cell r="BK48">
            <v>731.42424322397528</v>
          </cell>
          <cell r="BL48">
            <v>1454.8208866523723</v>
          </cell>
          <cell r="BM48">
            <v>741.43624290744947</v>
          </cell>
          <cell r="BN48">
            <v>759.39321066788875</v>
          </cell>
          <cell r="BO48">
            <v>1500.8294535753382</v>
          </cell>
          <cell r="BP48">
            <v>767.05084452854044</v>
          </cell>
          <cell r="BQ48">
            <v>774.57348644282661</v>
          </cell>
          <cell r="BR48">
            <v>1541.624330971367</v>
          </cell>
          <cell r="BS48">
            <v>781.96535141508593</v>
          </cell>
          <cell r="BT48">
            <v>797.85291824404135</v>
          </cell>
          <cell r="BU48">
            <v>1579.8182696591273</v>
          </cell>
          <cell r="BV48">
            <v>806.72758959428404</v>
          </cell>
          <cell r="BW48">
            <v>826.25518282548262</v>
          </cell>
          <cell r="BX48">
            <v>1632.9827724197667</v>
          </cell>
        </row>
        <row r="49">
          <cell r="B49" t="str">
            <v>Money transfer fees</v>
          </cell>
          <cell r="C49" t="str">
            <v>MONEY_TRANSFER_FEES</v>
          </cell>
          <cell r="D49" t="str">
            <v>AUD</v>
          </cell>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cell r="BU49"/>
          <cell r="BV49"/>
          <cell r="BW49"/>
          <cell r="BX49"/>
        </row>
        <row r="50">
          <cell r="B50" t="str">
            <v>Financial Services Income</v>
          </cell>
          <cell r="C50" t="str">
            <v>FINANCE_SERVICES_INCOME</v>
          </cell>
          <cell r="D50" t="str">
            <v>AUD</v>
          </cell>
          <cell r="F50">
            <v>360.64000000000004</v>
          </cell>
          <cell r="G50">
            <v>418.46</v>
          </cell>
          <cell r="H50">
            <v>395.43</v>
          </cell>
          <cell r="I50">
            <v>343.49</v>
          </cell>
          <cell r="J50">
            <v>919</v>
          </cell>
          <cell r="K50">
            <v>1146</v>
          </cell>
          <cell r="L50">
            <v>1099</v>
          </cell>
          <cell r="M50">
            <v>1216</v>
          </cell>
          <cell r="N50">
            <v>617</v>
          </cell>
          <cell r="O50">
            <v>666</v>
          </cell>
          <cell r="P50">
            <v>1283</v>
          </cell>
          <cell r="Q50">
            <v>732</v>
          </cell>
          <cell r="R50">
            <v>772.00000000000011</v>
          </cell>
          <cell r="S50">
            <v>1504.0000000000002</v>
          </cell>
          <cell r="T50">
            <v>771</v>
          </cell>
          <cell r="U50">
            <v>747</v>
          </cell>
          <cell r="V50">
            <v>1518</v>
          </cell>
          <cell r="W50">
            <v>345</v>
          </cell>
          <cell r="X50">
            <v>323</v>
          </cell>
          <cell r="Y50">
            <v>668</v>
          </cell>
          <cell r="Z50">
            <v>54</v>
          </cell>
          <cell r="AA50">
            <v>71</v>
          </cell>
          <cell r="AB50">
            <v>125</v>
          </cell>
          <cell r="AC50">
            <v>81.530715005035248</v>
          </cell>
          <cell r="AD50">
            <v>80.522162688748168</v>
          </cell>
          <cell r="AE50">
            <v>162.05287769378342</v>
          </cell>
          <cell r="AF50">
            <v>84.812337998963187</v>
          </cell>
          <cell r="AG50">
            <v>90.091171379111373</v>
          </cell>
          <cell r="AH50">
            <v>174.90350937807455</v>
          </cell>
          <cell r="AI50">
            <v>86.674528301886795</v>
          </cell>
          <cell r="AJ50">
            <v>0</v>
          </cell>
          <cell r="AK50">
            <v>86.674528301886795</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row>
        <row r="51">
          <cell r="B51" t="str">
            <v>Foreign Exchange Income</v>
          </cell>
          <cell r="C51" t="str">
            <v>FOREIGN_EXCH_INCOME</v>
          </cell>
          <cell r="D51" t="str">
            <v>AUD</v>
          </cell>
          <cell r="F51">
            <v>447</v>
          </cell>
          <cell r="G51">
            <v>487</v>
          </cell>
          <cell r="H51">
            <v>745</v>
          </cell>
          <cell r="I51">
            <v>932</v>
          </cell>
          <cell r="J51">
            <v>713</v>
          </cell>
          <cell r="K51">
            <v>891</v>
          </cell>
          <cell r="L51">
            <v>1006</v>
          </cell>
          <cell r="M51">
            <v>1063</v>
          </cell>
          <cell r="N51">
            <v>619</v>
          </cell>
          <cell r="O51">
            <v>314</v>
          </cell>
          <cell r="P51">
            <v>933</v>
          </cell>
          <cell r="Q51">
            <v>511</v>
          </cell>
          <cell r="R51">
            <v>494</v>
          </cell>
          <cell r="S51">
            <v>1005</v>
          </cell>
          <cell r="T51">
            <v>542</v>
          </cell>
          <cell r="U51">
            <v>484</v>
          </cell>
          <cell r="V51">
            <v>1026</v>
          </cell>
          <cell r="W51">
            <v>553</v>
          </cell>
          <cell r="X51">
            <v>511</v>
          </cell>
          <cell r="Y51">
            <v>1064</v>
          </cell>
          <cell r="Z51">
            <v>770</v>
          </cell>
          <cell r="AA51">
            <v>896</v>
          </cell>
          <cell r="AB51">
            <v>1666</v>
          </cell>
          <cell r="AC51">
            <v>380</v>
          </cell>
          <cell r="AD51">
            <v>898</v>
          </cell>
          <cell r="AE51">
            <v>1278</v>
          </cell>
          <cell r="AF51">
            <v>1099</v>
          </cell>
          <cell r="AG51">
            <v>710</v>
          </cell>
          <cell r="AH51">
            <v>1809</v>
          </cell>
          <cell r="AI51">
            <v>729</v>
          </cell>
          <cell r="AJ51">
            <v>642</v>
          </cell>
          <cell r="AK51">
            <v>1371</v>
          </cell>
          <cell r="AL51">
            <v>1123</v>
          </cell>
          <cell r="AM51">
            <v>870</v>
          </cell>
          <cell r="AN51">
            <v>1993</v>
          </cell>
          <cell r="AO51">
            <v>590</v>
          </cell>
          <cell r="AP51">
            <v>946</v>
          </cell>
          <cell r="AQ51">
            <v>1536</v>
          </cell>
          <cell r="AR51">
            <v>1112</v>
          </cell>
          <cell r="AS51">
            <v>1054</v>
          </cell>
          <cell r="AT51">
            <v>2166</v>
          </cell>
          <cell r="AU51">
            <v>1276</v>
          </cell>
          <cell r="AV51">
            <v>1070</v>
          </cell>
          <cell r="AW51">
            <v>2346</v>
          </cell>
          <cell r="AX51">
            <v>1157.0758620689653</v>
          </cell>
          <cell r="AY51">
            <v>1069.9016091954022</v>
          </cell>
          <cell r="AZ51">
            <v>2226.9774712643675</v>
          </cell>
          <cell r="BA51">
            <v>1133.9343448275858</v>
          </cell>
          <cell r="BB51">
            <v>1048.5035770114939</v>
          </cell>
          <cell r="BC51">
            <v>2182.4379218390795</v>
          </cell>
          <cell r="BD51">
            <v>1167.9523751724132</v>
          </cell>
          <cell r="BE51">
            <v>1079.9586843218387</v>
          </cell>
          <cell r="BF51">
            <v>2247.9110594942522</v>
          </cell>
          <cell r="BG51">
            <v>1179.6318989241379</v>
          </cell>
          <cell r="BH51">
            <v>1090.7582711650573</v>
          </cell>
          <cell r="BI51">
            <v>2270.3901700891952</v>
          </cell>
          <cell r="BJ51">
            <v>1191.4282179133791</v>
          </cell>
          <cell r="BK51">
            <v>1101.6658538767078</v>
          </cell>
          <cell r="BL51">
            <v>2293.0940717900867</v>
          </cell>
          <cell r="BM51">
            <v>1233.0455645682357</v>
          </cell>
          <cell r="BN51">
            <v>1261.6039238007108</v>
          </cell>
          <cell r="BO51">
            <v>2494.6494883689465</v>
          </cell>
          <cell r="BP51">
            <v>1278.1644097963144</v>
          </cell>
          <cell r="BQ51">
            <v>1298.5809738245266</v>
          </cell>
          <cell r="BR51">
            <v>2576.745383620841</v>
          </cell>
          <cell r="BS51">
            <v>1317.8173325035802</v>
          </cell>
          <cell r="BT51">
            <v>1350.4628720416786</v>
          </cell>
          <cell r="BU51">
            <v>2668.280204545259</v>
          </cell>
          <cell r="BV51">
            <v>1370.5219668290704</v>
          </cell>
          <cell r="BW51">
            <v>1407.9375031295119</v>
          </cell>
          <cell r="BX51">
            <v>2778.4594699585823</v>
          </cell>
        </row>
        <row r="52">
          <cell r="B52" t="str">
            <v>Trading Securities Income</v>
          </cell>
          <cell r="C52" t="str">
            <v>TRADING_SECS_INCOME</v>
          </cell>
          <cell r="D52" t="str">
            <v>AUD</v>
          </cell>
          <cell r="F52">
            <v>209</v>
          </cell>
          <cell r="G52">
            <v>369</v>
          </cell>
          <cell r="H52">
            <v>450</v>
          </cell>
          <cell r="I52">
            <v>168</v>
          </cell>
          <cell r="J52">
            <v>357</v>
          </cell>
          <cell r="K52">
            <v>107</v>
          </cell>
          <cell r="L52">
            <v>215</v>
          </cell>
          <cell r="M52">
            <v>243</v>
          </cell>
          <cell r="N52">
            <v>101</v>
          </cell>
          <cell r="O52">
            <v>252</v>
          </cell>
          <cell r="P52">
            <v>353</v>
          </cell>
          <cell r="Q52">
            <v>226</v>
          </cell>
          <cell r="R52">
            <v>-46</v>
          </cell>
          <cell r="S52">
            <v>180</v>
          </cell>
          <cell r="T52">
            <v>-142</v>
          </cell>
          <cell r="U52">
            <v>-119</v>
          </cell>
          <cell r="V52">
            <v>-261</v>
          </cell>
          <cell r="W52">
            <v>333</v>
          </cell>
          <cell r="X52">
            <v>39</v>
          </cell>
          <cell r="Y52">
            <v>372</v>
          </cell>
          <cell r="Z52">
            <v>-223</v>
          </cell>
          <cell r="AA52">
            <v>-308</v>
          </cell>
          <cell r="AB52">
            <v>-531</v>
          </cell>
          <cell r="AC52">
            <v>285</v>
          </cell>
          <cell r="AD52">
            <v>-280</v>
          </cell>
          <cell r="AE52">
            <v>5</v>
          </cell>
          <cell r="AF52">
            <v>-335</v>
          </cell>
          <cell r="AG52">
            <v>428</v>
          </cell>
          <cell r="AH52">
            <v>93</v>
          </cell>
          <cell r="AI52">
            <v>-119</v>
          </cell>
          <cell r="AJ52">
            <v>-151</v>
          </cell>
          <cell r="AK52">
            <v>-270</v>
          </cell>
          <cell r="AL52">
            <v>-727</v>
          </cell>
          <cell r="AM52">
            <v>-406</v>
          </cell>
          <cell r="AN52">
            <v>-1133</v>
          </cell>
          <cell r="AO52">
            <v>395</v>
          </cell>
          <cell r="AP52">
            <v>-8</v>
          </cell>
          <cell r="AQ52">
            <v>387</v>
          </cell>
          <cell r="AR52">
            <v>164</v>
          </cell>
          <cell r="AS52">
            <v>-15</v>
          </cell>
          <cell r="AT52">
            <v>149</v>
          </cell>
          <cell r="AU52">
            <v>-285</v>
          </cell>
          <cell r="AV52">
            <v>-200</v>
          </cell>
          <cell r="AW52">
            <v>-485</v>
          </cell>
          <cell r="AX52">
            <v>-216.27586206896535</v>
          </cell>
          <cell r="AY52">
            <v>-199.98160919540214</v>
          </cell>
          <cell r="AZ52">
            <v>-416.2574712643675</v>
          </cell>
          <cell r="BA52">
            <v>-211.95034482758592</v>
          </cell>
          <cell r="BB52">
            <v>-195.98197701149388</v>
          </cell>
          <cell r="BC52">
            <v>-407.93232183907958</v>
          </cell>
          <cell r="BD52">
            <v>-218.30885517241325</v>
          </cell>
          <cell r="BE52">
            <v>-201.86143632183871</v>
          </cell>
          <cell r="BF52">
            <v>-420.17029149425207</v>
          </cell>
          <cell r="BG52">
            <v>-220.49194372413774</v>
          </cell>
          <cell r="BH52">
            <v>-203.8800506850572</v>
          </cell>
          <cell r="BI52">
            <v>-424.37199440919494</v>
          </cell>
          <cell r="BJ52">
            <v>-222.69686316137904</v>
          </cell>
          <cell r="BK52">
            <v>-205.91885119190783</v>
          </cell>
          <cell r="BL52">
            <v>-428.61571435328665</v>
          </cell>
          <cell r="BM52">
            <v>-230.47580646135225</v>
          </cell>
          <cell r="BN52">
            <v>-235.8138175328429</v>
          </cell>
          <cell r="BO52">
            <v>-466.28962399419515</v>
          </cell>
          <cell r="BP52">
            <v>-238.90923547594639</v>
          </cell>
          <cell r="BQ52">
            <v>-242.72541566813561</v>
          </cell>
          <cell r="BR52">
            <v>-481.634651144082</v>
          </cell>
          <cell r="BS52">
            <v>-246.32099672964091</v>
          </cell>
          <cell r="BT52">
            <v>-252.42296673676219</v>
          </cell>
          <cell r="BU52">
            <v>-498.74396346640333</v>
          </cell>
          <cell r="BV52">
            <v>-256.17233024842426</v>
          </cell>
          <cell r="BW52">
            <v>-263.16588843542286</v>
          </cell>
          <cell r="BX52">
            <v>-519.33821868384712</v>
          </cell>
        </row>
        <row r="53">
          <cell r="B53" t="str">
            <v>Investment Security Income</v>
          </cell>
          <cell r="C53" t="str">
            <v>INVESTMENT_SECS_INCOME</v>
          </cell>
          <cell r="D53" t="str">
            <v>AUD</v>
          </cell>
          <cell r="F53">
            <v>0</v>
          </cell>
          <cell r="G53">
            <v>-45</v>
          </cell>
          <cell r="H53">
            <v>-531</v>
          </cell>
          <cell r="I53">
            <v>-53</v>
          </cell>
          <cell r="J53">
            <v>69</v>
          </cell>
          <cell r="K53">
            <v>4</v>
          </cell>
          <cell r="L53">
            <v>73</v>
          </cell>
          <cell r="M53">
            <v>63</v>
          </cell>
          <cell r="N53">
            <v>9</v>
          </cell>
          <cell r="O53">
            <v>242</v>
          </cell>
          <cell r="P53">
            <v>251</v>
          </cell>
          <cell r="Q53">
            <v>4</v>
          </cell>
          <cell r="R53">
            <v>0</v>
          </cell>
          <cell r="S53">
            <v>4</v>
          </cell>
          <cell r="T53">
            <v>6719</v>
          </cell>
          <cell r="U53">
            <v>-20</v>
          </cell>
          <cell r="V53">
            <v>6699</v>
          </cell>
          <cell r="W53">
            <v>271</v>
          </cell>
          <cell r="X53">
            <v>-5213</v>
          </cell>
          <cell r="Y53">
            <v>-4942</v>
          </cell>
          <cell r="Z53">
            <v>2044</v>
          </cell>
          <cell r="AA53">
            <v>104</v>
          </cell>
          <cell r="AB53">
            <v>2148</v>
          </cell>
          <cell r="AC53">
            <v>706</v>
          </cell>
          <cell r="AD53">
            <v>1415</v>
          </cell>
          <cell r="AE53">
            <v>2121</v>
          </cell>
          <cell r="AF53">
            <v>706</v>
          </cell>
          <cell r="AG53">
            <v>-706</v>
          </cell>
          <cell r="AH53">
            <v>0</v>
          </cell>
          <cell r="AI53">
            <v>706</v>
          </cell>
          <cell r="AJ53">
            <v>-706</v>
          </cell>
          <cell r="AK53">
            <v>0</v>
          </cell>
          <cell r="AL53">
            <v>706</v>
          </cell>
          <cell r="AM53">
            <v>-706</v>
          </cell>
          <cell r="AN53">
            <v>0</v>
          </cell>
          <cell r="AO53">
            <v>706</v>
          </cell>
          <cell r="AP53">
            <v>-706</v>
          </cell>
          <cell r="AQ53">
            <v>0</v>
          </cell>
          <cell r="AR53">
            <v>706</v>
          </cell>
          <cell r="AS53">
            <v>-706</v>
          </cell>
          <cell r="AT53">
            <v>0</v>
          </cell>
          <cell r="AU53">
            <v>706</v>
          </cell>
          <cell r="AV53">
            <v>-706</v>
          </cell>
          <cell r="AW53">
            <v>0</v>
          </cell>
          <cell r="AX53">
            <v>-706</v>
          </cell>
          <cell r="AY53">
            <v>-706</v>
          </cell>
          <cell r="AZ53">
            <v>-1412</v>
          </cell>
          <cell r="BA53">
            <v>-706</v>
          </cell>
          <cell r="BB53">
            <v>-706</v>
          </cell>
          <cell r="BC53">
            <v>-1412</v>
          </cell>
          <cell r="BD53">
            <v>-706</v>
          </cell>
          <cell r="BE53">
            <v>-706</v>
          </cell>
          <cell r="BF53">
            <v>-1412</v>
          </cell>
          <cell r="BG53">
            <v>-706</v>
          </cell>
          <cell r="BH53">
            <v>-706</v>
          </cell>
          <cell r="BI53">
            <v>-1412</v>
          </cell>
          <cell r="BJ53">
            <v>-706</v>
          </cell>
          <cell r="BK53">
            <v>-706</v>
          </cell>
          <cell r="BL53">
            <v>-1412</v>
          </cell>
          <cell r="BM53">
            <v>-706</v>
          </cell>
          <cell r="BN53">
            <v>-706</v>
          </cell>
          <cell r="BO53">
            <v>-1412</v>
          </cell>
          <cell r="BP53">
            <v>-706</v>
          </cell>
          <cell r="BQ53">
            <v>-706</v>
          </cell>
          <cell r="BR53">
            <v>-1412</v>
          </cell>
          <cell r="BS53">
            <v>-706</v>
          </cell>
          <cell r="BT53">
            <v>-706</v>
          </cell>
          <cell r="BU53">
            <v>-1412</v>
          </cell>
          <cell r="BV53">
            <v>-706</v>
          </cell>
          <cell r="BW53">
            <v>-706</v>
          </cell>
          <cell r="BX53">
            <v>-1412</v>
          </cell>
        </row>
        <row r="54">
          <cell r="B54" t="str">
            <v>Rental Income</v>
          </cell>
          <cell r="C54" t="str">
            <v>RENTAL_INCOME</v>
          </cell>
          <cell r="D54" t="str">
            <v>AUD</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row>
        <row r="55">
          <cell r="B55" t="str">
            <v>Development Ventures</v>
          </cell>
          <cell r="C55" t="str">
            <v>DEVELOPMENT_VENTURES</v>
          </cell>
          <cell r="D55" t="str">
            <v>AUD</v>
          </cell>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cell r="BU55"/>
          <cell r="BV55"/>
          <cell r="BW55"/>
          <cell r="BX55"/>
        </row>
        <row r="56">
          <cell r="B56" t="str">
            <v>Other Income</v>
          </cell>
          <cell r="C56" t="str">
            <v>OTHER_INCOME</v>
          </cell>
          <cell r="D56" t="str">
            <v>AUD</v>
          </cell>
          <cell r="F56">
            <v>225.92999999999961</v>
          </cell>
          <cell r="G56">
            <v>376.6099999999999</v>
          </cell>
          <cell r="H56">
            <v>710.02999999999975</v>
          </cell>
          <cell r="I56">
            <v>614.99</v>
          </cell>
          <cell r="J56">
            <v>680</v>
          </cell>
          <cell r="K56">
            <v>928</v>
          </cell>
          <cell r="L56">
            <v>1053.0000000000005</v>
          </cell>
          <cell r="M56">
            <v>718</v>
          </cell>
          <cell r="N56">
            <v>367</v>
          </cell>
          <cell r="O56">
            <v>219.99999999999977</v>
          </cell>
          <cell r="P56">
            <v>586.99999999999977</v>
          </cell>
          <cell r="Q56">
            <v>367.00000000000045</v>
          </cell>
          <cell r="R56">
            <v>413</v>
          </cell>
          <cell r="S56">
            <v>780.00000000000045</v>
          </cell>
          <cell r="T56">
            <v>-6360</v>
          </cell>
          <cell r="U56">
            <v>457</v>
          </cell>
          <cell r="V56">
            <v>-5903</v>
          </cell>
          <cell r="W56">
            <v>-122</v>
          </cell>
          <cell r="X56">
            <v>5539</v>
          </cell>
          <cell r="Y56">
            <v>5417</v>
          </cell>
          <cell r="Z56">
            <v>-1447</v>
          </cell>
          <cell r="AA56">
            <v>207</v>
          </cell>
          <cell r="AB56">
            <v>-1240</v>
          </cell>
          <cell r="AC56">
            <v>-168</v>
          </cell>
          <cell r="AD56">
            <v>-1083</v>
          </cell>
          <cell r="AE56">
            <v>-1251</v>
          </cell>
          <cell r="AF56">
            <v>-1277</v>
          </cell>
          <cell r="AG56">
            <v>828</v>
          </cell>
          <cell r="AH56">
            <v>-449</v>
          </cell>
          <cell r="AI56">
            <v>-827</v>
          </cell>
          <cell r="AJ56">
            <v>1052</v>
          </cell>
          <cell r="AK56">
            <v>225</v>
          </cell>
          <cell r="AL56">
            <v>-123</v>
          </cell>
          <cell r="AM56">
            <v>1114</v>
          </cell>
          <cell r="AN56">
            <v>991</v>
          </cell>
          <cell r="AO56">
            <v>-541</v>
          </cell>
          <cell r="AP56">
            <v>1087</v>
          </cell>
          <cell r="AQ56">
            <v>546</v>
          </cell>
          <cell r="AR56">
            <v>-453</v>
          </cell>
          <cell r="AS56">
            <v>1003</v>
          </cell>
          <cell r="AT56">
            <v>550</v>
          </cell>
          <cell r="AU56">
            <v>-426</v>
          </cell>
          <cell r="AV56">
            <v>700</v>
          </cell>
          <cell r="AW56">
            <v>274</v>
          </cell>
          <cell r="AX56">
            <v>988.8</v>
          </cell>
          <cell r="AY56">
            <v>987.79</v>
          </cell>
          <cell r="AZ56">
            <v>1976.5900000000001</v>
          </cell>
          <cell r="BA56">
            <v>991.62799999999993</v>
          </cell>
          <cell r="BB56">
            <v>990.60789999999997</v>
          </cell>
          <cell r="BC56">
            <v>1982.2359000000001</v>
          </cell>
          <cell r="BD56">
            <v>994.48428000000001</v>
          </cell>
          <cell r="BE56">
            <v>993.453979</v>
          </cell>
          <cell r="BF56">
            <v>1987.938259</v>
          </cell>
          <cell r="BG56">
            <v>997.36912280000001</v>
          </cell>
          <cell r="BH56">
            <v>996.32851879000009</v>
          </cell>
          <cell r="BI56">
            <v>1993.6976415900001</v>
          </cell>
          <cell r="BJ56">
            <v>1000.2828140280001</v>
          </cell>
          <cell r="BK56">
            <v>999.23180397789997</v>
          </cell>
          <cell r="BL56">
            <v>1999.5146180059</v>
          </cell>
          <cell r="BM56">
            <v>1003.8821613782226</v>
          </cell>
          <cell r="BN56">
            <v>1011.9129049268078</v>
          </cell>
          <cell r="BO56">
            <v>2015.7950663050303</v>
          </cell>
          <cell r="BP56">
            <v>1016.6483011576502</v>
          </cell>
          <cell r="BQ56">
            <v>1021.8448046280841</v>
          </cell>
          <cell r="BR56">
            <v>2038.4931057857343</v>
          </cell>
          <cell r="BS56">
            <v>1026.7430533634126</v>
          </cell>
          <cell r="BT56">
            <v>1034.8944295359715</v>
          </cell>
          <cell r="BU56">
            <v>2061.6374828993839</v>
          </cell>
          <cell r="BV56">
            <v>1039.9720157985264</v>
          </cell>
          <cell r="BW56">
            <v>1049.2694935296374</v>
          </cell>
          <cell r="BX56">
            <v>2089.2415093281638</v>
          </cell>
        </row>
        <row r="57">
          <cell r="B57" t="str">
            <v>Selling, General &amp; Admin</v>
          </cell>
          <cell r="C57" t="str">
            <v>SEL_GL_AD_OTHER</v>
          </cell>
          <cell r="D57" t="str">
            <v>AUD</v>
          </cell>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cell r="BU57"/>
          <cell r="BV57"/>
          <cell r="BW57"/>
          <cell r="BX57"/>
        </row>
        <row r="58">
          <cell r="B58" t="str">
            <v>Labour</v>
          </cell>
          <cell r="C58" t="str">
            <v>LABOUR</v>
          </cell>
          <cell r="D58" t="str">
            <v>AUD</v>
          </cell>
          <cell r="F58">
            <v>-1746</v>
          </cell>
          <cell r="G58">
            <v>-1892</v>
          </cell>
          <cell r="H58">
            <v>-2067</v>
          </cell>
          <cell r="I58">
            <v>-2238</v>
          </cell>
          <cell r="J58">
            <v>-2624</v>
          </cell>
          <cell r="K58">
            <v>-2960</v>
          </cell>
          <cell r="L58">
            <v>-3066</v>
          </cell>
          <cell r="M58">
            <v>-3103</v>
          </cell>
          <cell r="N58">
            <v>-1745</v>
          </cell>
          <cell r="O58">
            <v>-1750</v>
          </cell>
          <cell r="P58">
            <v>-3495</v>
          </cell>
          <cell r="Q58">
            <v>-1852</v>
          </cell>
          <cell r="R58">
            <v>-1867</v>
          </cell>
          <cell r="S58">
            <v>-3719</v>
          </cell>
          <cell r="T58">
            <v>-2467</v>
          </cell>
          <cell r="U58">
            <v>-2412</v>
          </cell>
          <cell r="V58">
            <v>-4879</v>
          </cell>
          <cell r="W58">
            <v>-2329</v>
          </cell>
          <cell r="X58">
            <v>-2227</v>
          </cell>
          <cell r="Y58">
            <v>-4556</v>
          </cell>
          <cell r="Z58">
            <v>-2133</v>
          </cell>
          <cell r="AA58">
            <v>-2092</v>
          </cell>
          <cell r="AB58">
            <v>-4225</v>
          </cell>
          <cell r="AC58">
            <v>-2127</v>
          </cell>
          <cell r="AD58">
            <v>-2122</v>
          </cell>
          <cell r="AE58">
            <v>-4249</v>
          </cell>
          <cell r="AF58">
            <v>-2177</v>
          </cell>
          <cell r="AG58">
            <v>-2133</v>
          </cell>
          <cell r="AH58">
            <v>-4310</v>
          </cell>
          <cell r="AI58">
            <v>-2196</v>
          </cell>
          <cell r="AJ58">
            <v>-2229</v>
          </cell>
          <cell r="AK58">
            <v>-4425</v>
          </cell>
          <cell r="AL58">
            <v>-2378</v>
          </cell>
          <cell r="AM58">
            <v>-2376</v>
          </cell>
          <cell r="AN58">
            <v>-4754</v>
          </cell>
          <cell r="AO58">
            <v>-2608</v>
          </cell>
          <cell r="AP58">
            <v>-2572</v>
          </cell>
          <cell r="AQ58">
            <v>-5180</v>
          </cell>
          <cell r="AR58">
            <v>-2744</v>
          </cell>
          <cell r="AS58">
            <v>-2762</v>
          </cell>
          <cell r="AT58">
            <v>-5506</v>
          </cell>
          <cell r="AU58">
            <v>-2946</v>
          </cell>
          <cell r="AV58">
            <v>-3045</v>
          </cell>
          <cell r="AW58">
            <v>-5991</v>
          </cell>
          <cell r="AX58">
            <v>-3012.2636704908514</v>
          </cell>
          <cell r="AY58">
            <v>-2892.2348061233724</v>
          </cell>
          <cell r="AZ58">
            <v>-5904.4984766142243</v>
          </cell>
          <cell r="BA58">
            <v>-2994.7614703267518</v>
          </cell>
          <cell r="BB58">
            <v>-2983.7521336580635</v>
          </cell>
          <cell r="BC58">
            <v>-5978.5136039848148</v>
          </cell>
          <cell r="BD58">
            <v>-3071.7136146985617</v>
          </cell>
          <cell r="BE58">
            <v>-3084.711622058081</v>
          </cell>
          <cell r="BF58">
            <v>-6156.4252367566423</v>
          </cell>
          <cell r="BG58">
            <v>-3193.1438489945394</v>
          </cell>
          <cell r="BH58">
            <v>-3177.6330682557623</v>
          </cell>
          <cell r="BI58">
            <v>-6370.7769172503013</v>
          </cell>
          <cell r="BJ58">
            <v>-3289.2739058262982</v>
          </cell>
          <cell r="BK58">
            <v>-3286.677220027937</v>
          </cell>
          <cell r="BL58">
            <v>-6575.9511258542352</v>
          </cell>
          <cell r="BM58">
            <v>-3320.7576157545641</v>
          </cell>
          <cell r="BN58">
            <v>-3386.650249728601</v>
          </cell>
          <cell r="BO58">
            <v>-6707.4078654831646</v>
          </cell>
          <cell r="BP58">
            <v>-3425.5309802591778</v>
          </cell>
          <cell r="BQ58">
            <v>-3474.2897913036659</v>
          </cell>
          <cell r="BR58">
            <v>-6899.8207715628432</v>
          </cell>
          <cell r="BS58">
            <v>-3514.0273043053439</v>
          </cell>
          <cell r="BT58">
            <v>-3583.5040540257164</v>
          </cell>
          <cell r="BU58">
            <v>-7097.5313583310599</v>
          </cell>
          <cell r="BV58">
            <v>-3614.4633174902192</v>
          </cell>
          <cell r="BW58">
            <v>-3685.7999867050407</v>
          </cell>
          <cell r="BX58">
            <v>-7300.2633041952595</v>
          </cell>
        </row>
        <row r="59">
          <cell r="B59" t="str">
            <v>Other Staff Costs</v>
          </cell>
          <cell r="C59" t="str">
            <v>OTHER_STAFF_COSTS</v>
          </cell>
          <cell r="D59" t="str">
            <v>AUD</v>
          </cell>
          <cell r="F59">
            <v>-933</v>
          </cell>
          <cell r="G59">
            <v>-1037</v>
          </cell>
          <cell r="H59">
            <v>-1093</v>
          </cell>
          <cell r="I59">
            <v>-1252</v>
          </cell>
          <cell r="J59">
            <v>-1450</v>
          </cell>
          <cell r="K59">
            <v>-1574</v>
          </cell>
          <cell r="L59">
            <v>-1509</v>
          </cell>
          <cell r="M59">
            <v>-1461</v>
          </cell>
          <cell r="N59">
            <v>-675</v>
          </cell>
          <cell r="O59">
            <v>-703</v>
          </cell>
          <cell r="P59">
            <v>-1378</v>
          </cell>
          <cell r="Q59">
            <v>-755</v>
          </cell>
          <cell r="R59">
            <v>-789</v>
          </cell>
          <cell r="S59">
            <v>-1544</v>
          </cell>
          <cell r="T59">
            <v>-242</v>
          </cell>
          <cell r="U59">
            <v>-238</v>
          </cell>
          <cell r="V59">
            <v>-480</v>
          </cell>
          <cell r="W59">
            <v>-102.25</v>
          </cell>
          <cell r="X59">
            <v>-99.024999999999991</v>
          </cell>
          <cell r="Y59">
            <v>-201.27499999999998</v>
          </cell>
          <cell r="Z59">
            <v>-158.39597315436242</v>
          </cell>
          <cell r="AA59">
            <v>-112.51563615593317</v>
          </cell>
          <cell r="AB59">
            <v>-270.9116093102956</v>
          </cell>
          <cell r="AC59">
            <v>-206.13710073373642</v>
          </cell>
          <cell r="AD59">
            <v>-241.40322920034549</v>
          </cell>
          <cell r="AE59">
            <v>-447.54032993408191</v>
          </cell>
          <cell r="AF59">
            <v>-260.91705360029613</v>
          </cell>
          <cell r="AG59">
            <v>-256.78604594311099</v>
          </cell>
          <cell r="AH59">
            <v>-517.70309954340712</v>
          </cell>
          <cell r="AI59">
            <v>-233.10232509409514</v>
          </cell>
          <cell r="AJ59">
            <v>-250.94485008065297</v>
          </cell>
          <cell r="AK59">
            <v>-484.04717517474808</v>
          </cell>
          <cell r="AL59">
            <v>-261.3813000691311</v>
          </cell>
          <cell r="AM59">
            <v>-253.46968577354096</v>
          </cell>
          <cell r="AN59">
            <v>-514.85098584267212</v>
          </cell>
          <cell r="AO59">
            <v>-274.2597306630351</v>
          </cell>
          <cell r="AP59">
            <v>-287.79405485403009</v>
          </cell>
          <cell r="AQ59">
            <v>-562.05378551706519</v>
          </cell>
          <cell r="AR59">
            <v>-310.10918987488293</v>
          </cell>
          <cell r="AS59">
            <v>-347.2364484641854</v>
          </cell>
          <cell r="AT59">
            <v>-657.34563833906827</v>
          </cell>
          <cell r="AU59">
            <v>-360.2026701121589</v>
          </cell>
          <cell r="AV59">
            <v>-393.03086009613622</v>
          </cell>
          <cell r="AW59">
            <v>-753.23353020829506</v>
          </cell>
          <cell r="AX59">
            <v>-388.80544540208996</v>
          </cell>
          <cell r="AY59">
            <v>-373.31281886720853</v>
          </cell>
          <cell r="AZ59">
            <v>-762.11826426929758</v>
          </cell>
          <cell r="BA59">
            <v>-386.54636337119638</v>
          </cell>
          <cell r="BB59">
            <v>-385.1253423334353</v>
          </cell>
          <cell r="BC59">
            <v>-771.67170570463259</v>
          </cell>
          <cell r="BD59">
            <v>-396.4788978502425</v>
          </cell>
          <cell r="BE59">
            <v>-398.1566049149547</v>
          </cell>
          <cell r="BF59">
            <v>-794.63550276519811</v>
          </cell>
          <cell r="BG59">
            <v>-412.1524050512358</v>
          </cell>
          <cell r="BH59">
            <v>-410.15036383792733</v>
          </cell>
          <cell r="BI59">
            <v>-822.30276888916308</v>
          </cell>
          <cell r="BJ59">
            <v>-424.56031274176985</v>
          </cell>
          <cell r="BK59">
            <v>-424.22514766698191</v>
          </cell>
          <cell r="BL59">
            <v>-848.78546040875176</v>
          </cell>
          <cell r="BM59">
            <v>-428.62404659796789</v>
          </cell>
          <cell r="BN59">
            <v>-437.12908390661033</v>
          </cell>
          <cell r="BO59">
            <v>-865.75313050457828</v>
          </cell>
          <cell r="BP59">
            <v>-442.14758208775879</v>
          </cell>
          <cell r="BQ59">
            <v>-448.44108535280986</v>
          </cell>
          <cell r="BR59">
            <v>-890.58866744056911</v>
          </cell>
          <cell r="BS59">
            <v>-453.57017202378842</v>
          </cell>
          <cell r="BT59">
            <v>-462.53782611222266</v>
          </cell>
          <cell r="BU59">
            <v>-916.10799813601147</v>
          </cell>
          <cell r="BV59">
            <v>-466.5338674742581</v>
          </cell>
          <cell r="BW59">
            <v>-475.74158913530698</v>
          </cell>
          <cell r="BX59">
            <v>-942.27545660956548</v>
          </cell>
        </row>
        <row r="60">
          <cell r="B60" t="str">
            <v>Share Based Payments</v>
          </cell>
          <cell r="C60" t="str">
            <v>SHARE_BASED_PAYMENTS</v>
          </cell>
          <cell r="D60" t="str">
            <v>AUD</v>
          </cell>
          <cell r="F60">
            <v>-76</v>
          </cell>
          <cell r="G60">
            <v>-62</v>
          </cell>
          <cell r="H60">
            <v>-84</v>
          </cell>
          <cell r="I60">
            <v>-103</v>
          </cell>
          <cell r="J60">
            <v>-140</v>
          </cell>
          <cell r="K60">
            <v>-166</v>
          </cell>
          <cell r="L60">
            <v>-189</v>
          </cell>
          <cell r="M60">
            <v>-200</v>
          </cell>
          <cell r="N60">
            <v>-110</v>
          </cell>
          <cell r="O60">
            <v>-105</v>
          </cell>
          <cell r="P60">
            <v>-215</v>
          </cell>
          <cell r="Q60">
            <v>-108</v>
          </cell>
          <cell r="R60">
            <v>-108</v>
          </cell>
          <cell r="S60">
            <v>-216</v>
          </cell>
          <cell r="T60">
            <v>-92</v>
          </cell>
          <cell r="U60">
            <v>-90</v>
          </cell>
          <cell r="V60">
            <v>-182</v>
          </cell>
          <cell r="W60">
            <v>-87.75</v>
          </cell>
          <cell r="X60">
            <v>-78.975000000000009</v>
          </cell>
          <cell r="Y60">
            <v>-166.72500000000002</v>
          </cell>
          <cell r="Z60">
            <v>-63.604026845637584</v>
          </cell>
          <cell r="AA60">
            <v>-55.484363844066834</v>
          </cell>
          <cell r="AB60">
            <v>-119.08839068970443</v>
          </cell>
          <cell r="AC60">
            <v>-36.862899266263582</v>
          </cell>
          <cell r="AD60">
            <v>-31.596770799654497</v>
          </cell>
          <cell r="AE60">
            <v>-68.459670065918075</v>
          </cell>
          <cell r="AF60">
            <v>-27.082946399703854</v>
          </cell>
          <cell r="AG60">
            <v>-23.213954056889015</v>
          </cell>
          <cell r="AH60">
            <v>-50.296900456592866</v>
          </cell>
          <cell r="AI60">
            <v>-19.897674905904868</v>
          </cell>
          <cell r="AJ60">
            <v>-17.055149919347027</v>
          </cell>
          <cell r="AK60">
            <v>-36.952824825251895</v>
          </cell>
          <cell r="AL60">
            <v>-14.61869993086888</v>
          </cell>
          <cell r="AM60">
            <v>-12.530314226459039</v>
          </cell>
          <cell r="AN60">
            <v>-27.149014157327919</v>
          </cell>
          <cell r="AO60">
            <v>-10.740269336964889</v>
          </cell>
          <cell r="AP60">
            <v>-9.2059451459699044</v>
          </cell>
          <cell r="AQ60">
            <v>-19.946214482934792</v>
          </cell>
          <cell r="AR60">
            <v>-7.8908101251170608</v>
          </cell>
          <cell r="AS60">
            <v>-6.7635515358146234</v>
          </cell>
          <cell r="AT60">
            <v>-14.654361660931684</v>
          </cell>
          <cell r="AU60">
            <v>-5.797329887841105</v>
          </cell>
          <cell r="AV60">
            <v>-4.9691399038638044</v>
          </cell>
          <cell r="AW60">
            <v>-10.76646979170491</v>
          </cell>
          <cell r="AX60">
            <v>-4.9157174403925588</v>
          </cell>
          <cell r="AY60">
            <v>-4.7198421630382414</v>
          </cell>
          <cell r="AZ60">
            <v>-9.6355596034307993</v>
          </cell>
          <cell r="BA60">
            <v>-4.887155574632021</v>
          </cell>
          <cell r="BB60">
            <v>-4.8691894222000176</v>
          </cell>
          <cell r="BC60">
            <v>-9.7563449968320377</v>
          </cell>
          <cell r="BD60">
            <v>-5.0127338903252392</v>
          </cell>
          <cell r="BE60">
            <v>-5.0339453573337458</v>
          </cell>
          <cell r="BF60">
            <v>-10.046679247658986</v>
          </cell>
          <cell r="BG60">
            <v>-5.2108960652926193</v>
          </cell>
          <cell r="BH60">
            <v>-5.1855839997723763</v>
          </cell>
          <cell r="BI60">
            <v>-10.396480065064996</v>
          </cell>
          <cell r="BJ60">
            <v>-5.3677708440654888</v>
          </cell>
          <cell r="BK60">
            <v>-5.3635333087556587</v>
          </cell>
          <cell r="BL60">
            <v>-10.731304152821147</v>
          </cell>
          <cell r="BM60">
            <v>-5.4191491558310787</v>
          </cell>
          <cell r="BN60">
            <v>-5.5266794405112361</v>
          </cell>
          <cell r="BO60">
            <v>-10.945828596342315</v>
          </cell>
          <cell r="BP60">
            <v>-5.5901289608957558</v>
          </cell>
          <cell r="BQ60">
            <v>-5.6696985351572078</v>
          </cell>
          <cell r="BR60">
            <v>-11.259827496052964</v>
          </cell>
          <cell r="BS60">
            <v>-5.7345462400954492</v>
          </cell>
          <cell r="BT60">
            <v>-5.8479254484456167</v>
          </cell>
          <cell r="BU60">
            <v>-11.582471688541066</v>
          </cell>
          <cell r="BV60">
            <v>-5.8984479152685045</v>
          </cell>
          <cell r="BW60">
            <v>-6.0148623289315921</v>
          </cell>
          <cell r="BX60">
            <v>-11.913310244200098</v>
          </cell>
        </row>
        <row r="61">
          <cell r="B61" t="str">
            <v>Equipment Costs</v>
          </cell>
          <cell r="C61" t="str">
            <v>EQUIP_COSTS</v>
          </cell>
          <cell r="D61" t="str">
            <v>AUD</v>
          </cell>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cell r="BU61"/>
          <cell r="BV61"/>
          <cell r="BW61"/>
          <cell r="BX61"/>
        </row>
        <row r="62">
          <cell r="B62" t="str">
            <v>Occupancy Costs</v>
          </cell>
          <cell r="C62" t="str">
            <v>OCCUPANCY_COSTS</v>
          </cell>
          <cell r="D62" t="str">
            <v>AUD</v>
          </cell>
          <cell r="F62">
            <v>-413</v>
          </cell>
          <cell r="G62">
            <v>-462</v>
          </cell>
          <cell r="H62">
            <v>-512</v>
          </cell>
          <cell r="I62">
            <v>-559</v>
          </cell>
          <cell r="J62">
            <v>-633</v>
          </cell>
          <cell r="K62">
            <v>-681</v>
          </cell>
          <cell r="L62">
            <v>-716</v>
          </cell>
          <cell r="M62">
            <v>-733</v>
          </cell>
          <cell r="N62">
            <v>-442</v>
          </cell>
          <cell r="O62">
            <v>-446</v>
          </cell>
          <cell r="P62">
            <v>-888</v>
          </cell>
          <cell r="Q62">
            <v>-455</v>
          </cell>
          <cell r="R62">
            <v>-467</v>
          </cell>
          <cell r="S62">
            <v>-922</v>
          </cell>
          <cell r="T62">
            <v>-458</v>
          </cell>
          <cell r="U62">
            <v>-470</v>
          </cell>
          <cell r="V62">
            <v>-928</v>
          </cell>
          <cell r="W62">
            <v>-457</v>
          </cell>
          <cell r="X62">
            <v>-454</v>
          </cell>
          <cell r="Y62">
            <v>-911</v>
          </cell>
          <cell r="Z62">
            <v>-395</v>
          </cell>
          <cell r="AA62">
            <v>-416</v>
          </cell>
          <cell r="AB62">
            <v>-811</v>
          </cell>
          <cell r="AC62">
            <v>-406</v>
          </cell>
          <cell r="AD62">
            <v>-389</v>
          </cell>
          <cell r="AE62">
            <v>-795</v>
          </cell>
          <cell r="AF62">
            <v>-405</v>
          </cell>
          <cell r="AG62">
            <v>-384</v>
          </cell>
          <cell r="AH62">
            <v>-789</v>
          </cell>
          <cell r="AI62">
            <v>-350</v>
          </cell>
          <cell r="AJ62">
            <v>-355</v>
          </cell>
          <cell r="AK62">
            <v>-705</v>
          </cell>
          <cell r="AL62">
            <v>-341</v>
          </cell>
          <cell r="AM62">
            <v>-380</v>
          </cell>
          <cell r="AN62">
            <v>-721</v>
          </cell>
          <cell r="AO62">
            <v>-334</v>
          </cell>
          <cell r="AP62">
            <v>-324</v>
          </cell>
          <cell r="AQ62">
            <v>-658</v>
          </cell>
          <cell r="AR62">
            <v>-321</v>
          </cell>
          <cell r="AS62">
            <v>-338</v>
          </cell>
          <cell r="AT62">
            <v>-659</v>
          </cell>
          <cell r="AU62">
            <v>-348</v>
          </cell>
          <cell r="AV62">
            <v>-362</v>
          </cell>
          <cell r="AW62">
            <v>-710</v>
          </cell>
          <cell r="AX62">
            <v>-218.70899010530005</v>
          </cell>
          <cell r="AY62">
            <v>-211.39579668812192</v>
          </cell>
          <cell r="AZ62">
            <v>-430.10478679342197</v>
          </cell>
          <cell r="BA62">
            <v>-216.41907355470224</v>
          </cell>
          <cell r="BB62">
            <v>-220.25046570131599</v>
          </cell>
          <cell r="BC62">
            <v>-436.6695392560182</v>
          </cell>
          <cell r="BD62">
            <v>-224.79224692136805</v>
          </cell>
          <cell r="BE62">
            <v>-229.83325464109922</v>
          </cell>
          <cell r="BF62">
            <v>-454.62550156246726</v>
          </cell>
          <cell r="BG62">
            <v>-226.06419565662449</v>
          </cell>
          <cell r="BH62">
            <v>-229.09635940605514</v>
          </cell>
          <cell r="BI62">
            <v>-455.16055506267963</v>
          </cell>
          <cell r="BJ62">
            <v>-225.25835991675675</v>
          </cell>
          <cell r="BK62">
            <v>-229.93598283071663</v>
          </cell>
          <cell r="BL62">
            <v>-455.19434274747334</v>
          </cell>
          <cell r="BM62">
            <v>-227.95677036728918</v>
          </cell>
          <cell r="BN62">
            <v>-233.02026749426378</v>
          </cell>
          <cell r="BO62">
            <v>-460.97703786155296</v>
          </cell>
          <cell r="BP62">
            <v>-230.1752631596674</v>
          </cell>
          <cell r="BQ62">
            <v>-235.52468114735731</v>
          </cell>
          <cell r="BR62">
            <v>-465.69994430702468</v>
          </cell>
          <cell r="BS62">
            <v>-232.46647024538876</v>
          </cell>
          <cell r="BT62">
            <v>-238.7267057830978</v>
          </cell>
          <cell r="BU62">
            <v>-471.19317602848656</v>
          </cell>
          <cell r="BV62">
            <v>-234.64973747845033</v>
          </cell>
          <cell r="BW62">
            <v>-242.0876910785833</v>
          </cell>
          <cell r="BX62">
            <v>-476.73742855703364</v>
          </cell>
        </row>
        <row r="63">
          <cell r="B63" t="str">
            <v>Other Expenses</v>
          </cell>
          <cell r="C63" t="str">
            <v>OTHER_EXPENSES</v>
          </cell>
          <cell r="D63" t="str">
            <v>AUD</v>
          </cell>
          <cell r="F63">
            <v>-1539.0900000000001</v>
          </cell>
          <cell r="G63">
            <v>-1610.2600000000002</v>
          </cell>
          <cell r="H63">
            <v>-1796.3199999999997</v>
          </cell>
          <cell r="I63">
            <v>-2118.8099999999995</v>
          </cell>
          <cell r="J63">
            <v>-1931</v>
          </cell>
          <cell r="K63">
            <v>-2393</v>
          </cell>
          <cell r="L63">
            <v>-2446</v>
          </cell>
          <cell r="M63">
            <v>-2377</v>
          </cell>
          <cell r="N63">
            <v>-1109</v>
          </cell>
          <cell r="O63">
            <v>-1249</v>
          </cell>
          <cell r="P63">
            <v>-2358</v>
          </cell>
          <cell r="Q63">
            <v>-1166</v>
          </cell>
          <cell r="R63">
            <v>-1269</v>
          </cell>
          <cell r="S63">
            <v>-2435</v>
          </cell>
          <cell r="T63">
            <v>-1984</v>
          </cell>
          <cell r="U63">
            <v>-1486</v>
          </cell>
          <cell r="V63">
            <v>-3470</v>
          </cell>
          <cell r="W63">
            <v>-1217</v>
          </cell>
          <cell r="X63">
            <v>-1350</v>
          </cell>
          <cell r="Y63">
            <v>-2567</v>
          </cell>
          <cell r="Z63">
            <v>-1442</v>
          </cell>
          <cell r="AA63">
            <v>-1964</v>
          </cell>
          <cell r="AB63">
            <v>-3406</v>
          </cell>
          <cell r="AC63">
            <v>-1337</v>
          </cell>
          <cell r="AD63">
            <v>-1657</v>
          </cell>
          <cell r="AE63">
            <v>-2994</v>
          </cell>
          <cell r="AF63">
            <v>-1494</v>
          </cell>
          <cell r="AG63">
            <v>-1762</v>
          </cell>
          <cell r="AH63">
            <v>-3256</v>
          </cell>
          <cell r="AI63">
            <v>-1450</v>
          </cell>
          <cell r="AJ63">
            <v>-1516</v>
          </cell>
          <cell r="AK63">
            <v>-2966</v>
          </cell>
          <cell r="AL63">
            <v>-1607</v>
          </cell>
          <cell r="AM63">
            <v>-1580</v>
          </cell>
          <cell r="AN63">
            <v>-3187</v>
          </cell>
          <cell r="AO63">
            <v>-1607</v>
          </cell>
          <cell r="AP63">
            <v>-1792</v>
          </cell>
          <cell r="AQ63">
            <v>-3399</v>
          </cell>
          <cell r="AR63">
            <v>-1681</v>
          </cell>
          <cell r="AS63">
            <v>-1899</v>
          </cell>
          <cell r="AT63">
            <v>-3580</v>
          </cell>
          <cell r="AU63">
            <v>-1934</v>
          </cell>
          <cell r="AV63">
            <v>-3133</v>
          </cell>
          <cell r="AW63">
            <v>-5067</v>
          </cell>
          <cell r="AX63">
            <v>-2004.1098508284672</v>
          </cell>
          <cell r="AY63">
            <v>-1940.8163840438845</v>
          </cell>
          <cell r="AZ63">
            <v>-3944.9262348723514</v>
          </cell>
          <cell r="BA63">
            <v>-1984.291318914039</v>
          </cell>
          <cell r="BB63">
            <v>-2017.4508537077977</v>
          </cell>
          <cell r="BC63">
            <v>-4001.7421726218358</v>
          </cell>
          <cell r="BD63">
            <v>-1945.5085900680833</v>
          </cell>
          <cell r="BE63">
            <v>-1989.1369800844309</v>
          </cell>
          <cell r="BF63">
            <v>-3934.6455701525138</v>
          </cell>
          <cell r="BG63">
            <v>-1956.5169198679685</v>
          </cell>
          <cell r="BH63">
            <v>-1982.7593757435659</v>
          </cell>
          <cell r="BI63">
            <v>-3939.2762956115353</v>
          </cell>
          <cell r="BJ63">
            <v>-1949.5426564066272</v>
          </cell>
          <cell r="BK63">
            <v>-1990.0260613498212</v>
          </cell>
          <cell r="BL63">
            <v>-3939.5687177564478</v>
          </cell>
          <cell r="BM63">
            <v>-1972.8965788970086</v>
          </cell>
          <cell r="BN63">
            <v>-2016.7196078992497</v>
          </cell>
          <cell r="BO63">
            <v>-3989.6161867962592</v>
          </cell>
          <cell r="BP63">
            <v>-1992.0969598873976</v>
          </cell>
          <cell r="BQ63">
            <v>-2038.3945470571009</v>
          </cell>
          <cell r="BR63">
            <v>-4030.4915069444987</v>
          </cell>
          <cell r="BS63">
            <v>-2011.9266609911683</v>
          </cell>
          <cell r="BT63">
            <v>-2066.1070972885232</v>
          </cell>
          <cell r="BU63">
            <v>-4078.0337582796915</v>
          </cell>
          <cell r="BV63">
            <v>-2030.8221754695714</v>
          </cell>
          <cell r="BW63">
            <v>-2095.1954037270771</v>
          </cell>
          <cell r="BX63">
            <v>-4126.0175791966485</v>
          </cell>
        </row>
        <row r="64">
          <cell r="B64" t="str">
            <v>Amortisation of Intangibles</v>
          </cell>
          <cell r="C64" t="str">
            <v>AMORT_OF_INTANGIBLES</v>
          </cell>
          <cell r="D64" t="str">
            <v>AUD</v>
          </cell>
          <cell r="F64">
            <v>-114</v>
          </cell>
          <cell r="G64">
            <v>-122</v>
          </cell>
          <cell r="H64">
            <v>-121</v>
          </cell>
          <cell r="I64">
            <v>-160</v>
          </cell>
          <cell r="J64">
            <v>-207</v>
          </cell>
          <cell r="K64">
            <v>-249</v>
          </cell>
          <cell r="L64">
            <v>-320</v>
          </cell>
          <cell r="M64">
            <v>-383</v>
          </cell>
          <cell r="N64">
            <v>-205</v>
          </cell>
          <cell r="O64">
            <v>-221</v>
          </cell>
          <cell r="P64">
            <v>-426</v>
          </cell>
          <cell r="Q64">
            <v>-267</v>
          </cell>
          <cell r="R64">
            <v>-275</v>
          </cell>
          <cell r="S64">
            <v>-542</v>
          </cell>
          <cell r="T64">
            <v>-245</v>
          </cell>
          <cell r="U64">
            <v>-255</v>
          </cell>
          <cell r="V64">
            <v>-500</v>
          </cell>
          <cell r="W64">
            <v>-294</v>
          </cell>
          <cell r="X64">
            <v>-271</v>
          </cell>
          <cell r="Y64">
            <v>-565</v>
          </cell>
          <cell r="Z64">
            <v>-281</v>
          </cell>
          <cell r="AA64">
            <v>-288</v>
          </cell>
          <cell r="AB64">
            <v>-569</v>
          </cell>
          <cell r="AC64">
            <v>-252</v>
          </cell>
          <cell r="AD64">
            <v>-265</v>
          </cell>
          <cell r="AE64">
            <v>-517</v>
          </cell>
          <cell r="AF64">
            <v>-241</v>
          </cell>
          <cell r="AG64">
            <v>-219</v>
          </cell>
          <cell r="AH64">
            <v>-460</v>
          </cell>
          <cell r="AI64">
            <v>-233</v>
          </cell>
          <cell r="AJ64">
            <v>-201</v>
          </cell>
          <cell r="AK64">
            <v>-434</v>
          </cell>
          <cell r="AL64">
            <v>-189</v>
          </cell>
          <cell r="AM64">
            <v>-186</v>
          </cell>
          <cell r="AN64">
            <v>-375</v>
          </cell>
          <cell r="AO64">
            <v>-163</v>
          </cell>
          <cell r="AP64">
            <v>-157</v>
          </cell>
          <cell r="AQ64">
            <v>-320</v>
          </cell>
          <cell r="AR64">
            <v>-151</v>
          </cell>
          <cell r="AS64">
            <v>-173</v>
          </cell>
          <cell r="AT64">
            <v>-324</v>
          </cell>
          <cell r="AU64">
            <v>-148</v>
          </cell>
          <cell r="AV64">
            <v>-200</v>
          </cell>
          <cell r="AW64">
            <v>-348</v>
          </cell>
          <cell r="AX64">
            <v>-240.27772227772229</v>
          </cell>
          <cell r="AY64">
            <v>-228.46829010892961</v>
          </cell>
          <cell r="AZ64">
            <v>-468.7460123866519</v>
          </cell>
          <cell r="BA64">
            <v>-221.43077589581571</v>
          </cell>
          <cell r="BB64">
            <v>-215.5401097231055</v>
          </cell>
          <cell r="BC64">
            <v>-436.97088561892122</v>
          </cell>
          <cell r="BD64">
            <v>-213.05422453961336</v>
          </cell>
          <cell r="BE64">
            <v>-210.6029156909841</v>
          </cell>
          <cell r="BF64">
            <v>-423.65714023059746</v>
          </cell>
          <cell r="BG64">
            <v>-210.78792723374477</v>
          </cell>
          <cell r="BH64">
            <v>-210.34755433857347</v>
          </cell>
          <cell r="BI64">
            <v>-421.13548157231821</v>
          </cell>
          <cell r="BJ64">
            <v>-212.12073477544592</v>
          </cell>
          <cell r="BK64">
            <v>-212.86873920126163</v>
          </cell>
          <cell r="BL64">
            <v>-424.98947397670759</v>
          </cell>
          <cell r="BM64">
            <v>-213.79867916989821</v>
          </cell>
          <cell r="BN64">
            <v>-216.87682735744127</v>
          </cell>
          <cell r="BO64">
            <v>-430.67550652733951</v>
          </cell>
          <cell r="BP64">
            <v>-218.27518572994131</v>
          </cell>
          <cell r="BQ64">
            <v>-220.46990854149817</v>
          </cell>
          <cell r="BR64">
            <v>-438.74509427143948</v>
          </cell>
          <cell r="BS64">
            <v>-222.13538657651347</v>
          </cell>
          <cell r="BT64">
            <v>-225.58029600439238</v>
          </cell>
          <cell r="BU64">
            <v>-447.71568258090588</v>
          </cell>
          <cell r="BV64">
            <v>-226.69625188898152</v>
          </cell>
          <cell r="BW64">
            <v>-230.34494159110957</v>
          </cell>
          <cell r="BX64">
            <v>-457.04119348009112</v>
          </cell>
        </row>
        <row r="65">
          <cell r="B65" t="str">
            <v>Amortisation of Goodwill</v>
          </cell>
          <cell r="C65" t="str">
            <v>AMORT_OF_INTANGIBLES_ADJ</v>
          </cell>
          <cell r="D65" t="str">
            <v>AUD</v>
          </cell>
          <cell r="F65"/>
          <cell r="G65"/>
          <cell r="H65"/>
          <cell r="I65"/>
          <cell r="J65"/>
          <cell r="K65"/>
          <cell r="L65"/>
          <cell r="M65"/>
          <cell r="N65"/>
          <cell r="O65"/>
          <cell r="P65"/>
          <cell r="Q65"/>
          <cell r="R65"/>
          <cell r="S65"/>
          <cell r="T65"/>
          <cell r="U65"/>
          <cell r="V65"/>
          <cell r="W65"/>
          <cell r="X65"/>
          <cell r="Y65"/>
          <cell r="Z65"/>
          <cell r="AA65"/>
          <cell r="AB65"/>
          <cell r="AC65"/>
          <cell r="AD65"/>
          <cell r="AE65"/>
          <cell r="AF65"/>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cell r="BI65"/>
          <cell r="BJ65"/>
          <cell r="BK65"/>
          <cell r="BL65"/>
          <cell r="BM65"/>
          <cell r="BN65"/>
          <cell r="BO65"/>
          <cell r="BP65"/>
          <cell r="BQ65"/>
          <cell r="BR65"/>
          <cell r="BS65"/>
          <cell r="BT65"/>
          <cell r="BU65"/>
          <cell r="BV65"/>
          <cell r="BW65"/>
          <cell r="BX65"/>
        </row>
        <row r="66">
          <cell r="B66" t="str">
            <v>Total Depreciation/Amortisation</v>
          </cell>
          <cell r="C66" t="str">
            <v>TOTAL_DEPREC_AMORT</v>
          </cell>
          <cell r="D66" t="str">
            <v>AUD</v>
          </cell>
          <cell r="F66">
            <v>-114</v>
          </cell>
          <cell r="G66">
            <v>-122</v>
          </cell>
          <cell r="H66">
            <v>-121</v>
          </cell>
          <cell r="I66">
            <v>-160</v>
          </cell>
          <cell r="J66">
            <v>-207</v>
          </cell>
          <cell r="K66">
            <v>-249</v>
          </cell>
          <cell r="L66">
            <v>-320</v>
          </cell>
          <cell r="M66">
            <v>-383</v>
          </cell>
          <cell r="N66">
            <v>-205</v>
          </cell>
          <cell r="O66">
            <v>-221</v>
          </cell>
          <cell r="P66">
            <v>-426</v>
          </cell>
          <cell r="Q66">
            <v>-267</v>
          </cell>
          <cell r="R66">
            <v>-275</v>
          </cell>
          <cell r="S66">
            <v>-542</v>
          </cell>
          <cell r="T66">
            <v>-245</v>
          </cell>
          <cell r="U66">
            <v>-255</v>
          </cell>
          <cell r="V66">
            <v>-500</v>
          </cell>
          <cell r="W66">
            <v>-294</v>
          </cell>
          <cell r="X66">
            <v>-271</v>
          </cell>
          <cell r="Y66">
            <v>-565</v>
          </cell>
          <cell r="Z66">
            <v>-281</v>
          </cell>
          <cell r="AA66">
            <v>-288</v>
          </cell>
          <cell r="AB66">
            <v>-569</v>
          </cell>
          <cell r="AC66">
            <v>-252</v>
          </cell>
          <cell r="AD66">
            <v>-265</v>
          </cell>
          <cell r="AE66">
            <v>-517</v>
          </cell>
          <cell r="AF66">
            <v>-241</v>
          </cell>
          <cell r="AG66">
            <v>-219</v>
          </cell>
          <cell r="AH66">
            <v>-460</v>
          </cell>
          <cell r="AI66">
            <v>-233</v>
          </cell>
          <cell r="AJ66">
            <v>-201</v>
          </cell>
          <cell r="AK66">
            <v>-434</v>
          </cell>
          <cell r="AL66">
            <v>-189</v>
          </cell>
          <cell r="AM66">
            <v>-186</v>
          </cell>
          <cell r="AN66">
            <v>-375</v>
          </cell>
          <cell r="AO66">
            <v>-163</v>
          </cell>
          <cell r="AP66">
            <v>-157</v>
          </cell>
          <cell r="AQ66">
            <v>-320</v>
          </cell>
          <cell r="AR66">
            <v>-151</v>
          </cell>
          <cell r="AS66">
            <v>-173</v>
          </cell>
          <cell r="AT66">
            <v>-324</v>
          </cell>
          <cell r="AU66">
            <v>-148</v>
          </cell>
          <cell r="AV66">
            <v>-200</v>
          </cell>
          <cell r="AW66">
            <v>-348</v>
          </cell>
          <cell r="AX66">
            <v>-240.27772227772229</v>
          </cell>
          <cell r="AY66">
            <v>-228.46829010892961</v>
          </cell>
          <cell r="AZ66">
            <v>-468.7460123866519</v>
          </cell>
          <cell r="BA66">
            <v>-221.43077589581571</v>
          </cell>
          <cell r="BB66">
            <v>-215.5401097231055</v>
          </cell>
          <cell r="BC66">
            <v>-436.97088561892122</v>
          </cell>
          <cell r="BD66">
            <v>-213.05422453961336</v>
          </cell>
          <cell r="BE66">
            <v>-210.6029156909841</v>
          </cell>
          <cell r="BF66">
            <v>-423.65714023059746</v>
          </cell>
          <cell r="BG66">
            <v>-210.78792723374477</v>
          </cell>
          <cell r="BH66">
            <v>-210.34755433857347</v>
          </cell>
          <cell r="BI66">
            <v>-421.13548157231821</v>
          </cell>
          <cell r="BJ66">
            <v>-212.12073477544592</v>
          </cell>
          <cell r="BK66">
            <v>-212.86873920126163</v>
          </cell>
          <cell r="BL66">
            <v>-424.98947397670759</v>
          </cell>
          <cell r="BM66">
            <v>-213.79867916989821</v>
          </cell>
          <cell r="BN66">
            <v>-216.87682735744127</v>
          </cell>
          <cell r="BO66">
            <v>-430.67550652733951</v>
          </cell>
          <cell r="BP66">
            <v>-218.27518572994131</v>
          </cell>
          <cell r="BQ66">
            <v>-220.46990854149817</v>
          </cell>
          <cell r="BR66">
            <v>-438.74509427143948</v>
          </cell>
          <cell r="BS66">
            <v>-222.13538657651347</v>
          </cell>
          <cell r="BT66">
            <v>-225.58029600439238</v>
          </cell>
          <cell r="BU66">
            <v>-447.71568258090588</v>
          </cell>
          <cell r="BV66">
            <v>-226.69625188898152</v>
          </cell>
          <cell r="BW66">
            <v>-230.34494159110957</v>
          </cell>
          <cell r="BX66">
            <v>-457.04119348009112</v>
          </cell>
        </row>
        <row r="67">
          <cell r="B67" t="str">
            <v>Underlying Earnings (pre-goodwill amortisation)</v>
          </cell>
          <cell r="C67" t="str">
            <v>EBIT_UNDERLYING_PRE_GWILL</v>
          </cell>
          <cell r="D67" t="str">
            <v>AUD</v>
          </cell>
          <cell r="F67">
            <v>5509.48</v>
          </cell>
          <cell r="G67">
            <v>6102.8099999999995</v>
          </cell>
          <cell r="H67">
            <v>6602.1399999999994</v>
          </cell>
          <cell r="I67">
            <v>7861.67</v>
          </cell>
          <cell r="J67">
            <v>8949</v>
          </cell>
          <cell r="K67">
            <v>8862</v>
          </cell>
          <cell r="L67">
            <v>9602</v>
          </cell>
          <cell r="M67">
            <v>10134</v>
          </cell>
          <cell r="N67">
            <v>5382</v>
          </cell>
          <cell r="O67">
            <v>5436</v>
          </cell>
          <cell r="P67">
            <v>10818</v>
          </cell>
          <cell r="Q67">
            <v>5592</v>
          </cell>
          <cell r="R67">
            <v>5567</v>
          </cell>
          <cell r="S67">
            <v>11159</v>
          </cell>
          <cell r="T67">
            <v>4837</v>
          </cell>
          <cell r="U67">
            <v>5318</v>
          </cell>
          <cell r="V67">
            <v>10155</v>
          </cell>
          <cell r="W67">
            <v>5489</v>
          </cell>
          <cell r="X67">
            <v>5360</v>
          </cell>
          <cell r="Y67">
            <v>10849</v>
          </cell>
          <cell r="Z67">
            <v>5397</v>
          </cell>
          <cell r="AA67">
            <v>4569</v>
          </cell>
          <cell r="AB67">
            <v>9966</v>
          </cell>
          <cell r="AC67">
            <v>5381</v>
          </cell>
          <cell r="AD67">
            <v>4577</v>
          </cell>
          <cell r="AE67">
            <v>9958</v>
          </cell>
          <cell r="AF67">
            <v>3974</v>
          </cell>
          <cell r="AG67">
            <v>4395</v>
          </cell>
          <cell r="AH67">
            <v>8369</v>
          </cell>
          <cell r="AI67">
            <v>3941</v>
          </cell>
          <cell r="AJ67">
            <v>4455</v>
          </cell>
          <cell r="AK67">
            <v>8396</v>
          </cell>
          <cell r="AL67">
            <v>4157</v>
          </cell>
          <cell r="AM67">
            <v>4811</v>
          </cell>
          <cell r="AN67">
            <v>8968</v>
          </cell>
          <cell r="AO67">
            <v>5543</v>
          </cell>
          <cell r="AP67">
            <v>5223</v>
          </cell>
          <cell r="AQ67">
            <v>10766</v>
          </cell>
          <cell r="AR67">
            <v>5132</v>
          </cell>
          <cell r="AS67">
            <v>4936</v>
          </cell>
          <cell r="AT67">
            <v>10068</v>
          </cell>
          <cell r="AU67">
            <v>5253</v>
          </cell>
          <cell r="AV67">
            <v>3766</v>
          </cell>
          <cell r="AW67">
            <v>9019</v>
          </cell>
          <cell r="AX67">
            <v>5380.4293504156085</v>
          </cell>
          <cell r="AY67">
            <v>5681.0550593292992</v>
          </cell>
          <cell r="AZ67">
            <v>11061.484409744908</v>
          </cell>
          <cell r="BA67">
            <v>5535.1253561361264</v>
          </cell>
          <cell r="BB67">
            <v>5616.6556656274743</v>
          </cell>
          <cell r="BC67">
            <v>11151.7810217636</v>
          </cell>
          <cell r="BD67">
            <v>5834.0199372753405</v>
          </cell>
          <cell r="BE67">
            <v>5811.865759283849</v>
          </cell>
          <cell r="BF67">
            <v>11645.885696559189</v>
          </cell>
          <cell r="BG67">
            <v>5876.8001217786878</v>
          </cell>
          <cell r="BH67">
            <v>5949.2994867708931</v>
          </cell>
          <cell r="BI67">
            <v>11826.099608549579</v>
          </cell>
          <cell r="BJ67">
            <v>6015.7636656589866</v>
          </cell>
          <cell r="BK67">
            <v>6113.6924655271569</v>
          </cell>
          <cell r="BL67">
            <v>12129.456131186143</v>
          </cell>
          <cell r="BM67">
            <v>6276.6398704840749</v>
          </cell>
          <cell r="BN67">
            <v>6380.8479560048627</v>
          </cell>
          <cell r="BO67">
            <v>12657.487826488939</v>
          </cell>
          <cell r="BP67">
            <v>6481.2312755103985</v>
          </cell>
          <cell r="BQ67">
            <v>6524.1227709212208</v>
          </cell>
          <cell r="BR67">
            <v>13005.354046431616</v>
          </cell>
          <cell r="BS67">
            <v>6635.0381510084335</v>
          </cell>
          <cell r="BT67">
            <v>6740.8636680803884</v>
          </cell>
          <cell r="BU67">
            <v>13375.901819088826</v>
          </cell>
          <cell r="BV67">
            <v>6857.0759464786433</v>
          </cell>
          <cell r="BW67">
            <v>6972.3249488812635</v>
          </cell>
          <cell r="BX67">
            <v>13829.400895359908</v>
          </cell>
        </row>
        <row r="68">
          <cell r="B68" t="str">
            <v>New Specific Provisions</v>
          </cell>
          <cell r="C68" t="str">
            <v>NEW_SPECIFIC_PROV</v>
          </cell>
          <cell r="D68" t="str">
            <v>AUD</v>
          </cell>
          <cell r="F68">
            <v>-338</v>
          </cell>
          <cell r="G68">
            <v>-439</v>
          </cell>
          <cell r="H68">
            <v>-1286</v>
          </cell>
          <cell r="I68">
            <v>-2852</v>
          </cell>
          <cell r="J68">
            <v>-1825</v>
          </cell>
          <cell r="K68">
            <v>-1213</v>
          </cell>
          <cell r="L68">
            <v>-1637</v>
          </cell>
          <cell r="M68">
            <v>-1167</v>
          </cell>
          <cell r="N68">
            <v>-602</v>
          </cell>
          <cell r="O68">
            <v>-542</v>
          </cell>
          <cell r="P68">
            <v>-1144</v>
          </cell>
          <cell r="Q68">
            <v>-455</v>
          </cell>
          <cell r="R68">
            <v>-655</v>
          </cell>
          <cell r="S68">
            <v>-1110</v>
          </cell>
          <cell r="T68">
            <v>-892</v>
          </cell>
          <cell r="U68">
            <v>-1047</v>
          </cell>
          <cell r="V68">
            <v>-1939</v>
          </cell>
          <cell r="W68">
            <v>-787</v>
          </cell>
          <cell r="X68">
            <v>-554</v>
          </cell>
          <cell r="Y68">
            <v>-1341</v>
          </cell>
          <cell r="Z68">
            <v>-430</v>
          </cell>
          <cell r="AA68">
            <v>-343</v>
          </cell>
          <cell r="AB68">
            <v>-773</v>
          </cell>
          <cell r="AC68">
            <v>-380</v>
          </cell>
          <cell r="AD68">
            <v>-399</v>
          </cell>
          <cell r="AE68">
            <v>-779</v>
          </cell>
          <cell r="AF68">
            <v>-626</v>
          </cell>
          <cell r="AG68">
            <v>-395</v>
          </cell>
          <cell r="AH68">
            <v>-1021</v>
          </cell>
          <cell r="AI68">
            <v>-187</v>
          </cell>
          <cell r="AJ68">
            <v>-69</v>
          </cell>
          <cell r="AK68">
            <v>-256</v>
          </cell>
          <cell r="AL68">
            <v>-87</v>
          </cell>
          <cell r="AM68">
            <v>0</v>
          </cell>
          <cell r="AN68">
            <v>-87</v>
          </cell>
          <cell r="AO68">
            <v>0</v>
          </cell>
          <cell r="AP68">
            <v>0</v>
          </cell>
          <cell r="AQ68">
            <v>0</v>
          </cell>
          <cell r="AR68">
            <v>0</v>
          </cell>
          <cell r="AS68">
            <v>0</v>
          </cell>
          <cell r="AT68">
            <v>0</v>
          </cell>
          <cell r="AU68">
            <v>0</v>
          </cell>
          <cell r="AV68">
            <v>0</v>
          </cell>
          <cell r="AW68">
            <v>0</v>
          </cell>
          <cell r="AX68">
            <v>-391.44442113421371</v>
          </cell>
          <cell r="AY68">
            <v>-409.93447648196525</v>
          </cell>
          <cell r="AZ68">
            <v>-801.37889761617896</v>
          </cell>
          <cell r="BA68">
            <v>-477.9332846681076</v>
          </cell>
          <cell r="BB68">
            <v>-599.2585142579012</v>
          </cell>
          <cell r="BC68">
            <v>-1077.1917989260087</v>
          </cell>
          <cell r="BD68">
            <v>-588.15930433273775</v>
          </cell>
          <cell r="BE68">
            <v>-573.66409113400141</v>
          </cell>
          <cell r="BF68">
            <v>-1161.8233954667392</v>
          </cell>
          <cell r="BG68">
            <v>-542.25999800090904</v>
          </cell>
          <cell r="BH68">
            <v>-523.14245461037626</v>
          </cell>
          <cell r="BI68">
            <v>-1065.4024526112853</v>
          </cell>
          <cell r="BJ68">
            <v>-592.08174069975053</v>
          </cell>
          <cell r="BK68">
            <v>-588.25479597758385</v>
          </cell>
          <cell r="BL68">
            <v>-1180.3365366773344</v>
          </cell>
          <cell r="BM68">
            <v>-438.34379702120765</v>
          </cell>
          <cell r="BN68">
            <v>-459.81790819817593</v>
          </cell>
          <cell r="BO68">
            <v>-898.16170521938352</v>
          </cell>
          <cell r="BP68">
            <v>-503.31032026645914</v>
          </cell>
          <cell r="BQ68">
            <v>-566.28215313865303</v>
          </cell>
          <cell r="BR68">
            <v>-1069.5924734051123</v>
          </cell>
          <cell r="BS68">
            <v>-653.97443110465497</v>
          </cell>
          <cell r="BT68">
            <v>-722.30725172693064</v>
          </cell>
          <cell r="BU68">
            <v>-1376.2816828315856</v>
          </cell>
          <cell r="BV68">
            <v>-795.7088279032231</v>
          </cell>
          <cell r="BW68">
            <v>-814.69369919825544</v>
          </cell>
          <cell r="BX68">
            <v>-1610.4025271014784</v>
          </cell>
        </row>
        <row r="69">
          <cell r="B69" t="str">
            <v>Writebacks/Recoveries</v>
          </cell>
          <cell r="C69" t="str">
            <v>WRITEBACK_RECOVERIES</v>
          </cell>
          <cell r="D69" t="str">
            <v>AUD</v>
          </cell>
          <cell r="F69"/>
          <cell r="G69"/>
          <cell r="H69"/>
          <cell r="I69"/>
          <cell r="J69"/>
          <cell r="K69"/>
          <cell r="L69"/>
          <cell r="M69"/>
          <cell r="N69"/>
          <cell r="O69"/>
          <cell r="P69"/>
          <cell r="Q69"/>
          <cell r="R69"/>
          <cell r="S69"/>
          <cell r="T69"/>
          <cell r="U69"/>
          <cell r="V69"/>
          <cell r="W69"/>
          <cell r="X69"/>
          <cell r="Y69"/>
          <cell r="Z69"/>
          <cell r="AA69"/>
          <cell r="AB69"/>
          <cell r="AC69"/>
          <cell r="AD69"/>
          <cell r="AE69"/>
          <cell r="AF69"/>
          <cell r="AG69"/>
          <cell r="AH69"/>
          <cell r="AI69"/>
          <cell r="AJ69"/>
          <cell r="AK69"/>
          <cell r="AL69"/>
          <cell r="AM69"/>
          <cell r="AN69"/>
          <cell r="AO69"/>
          <cell r="AP69"/>
          <cell r="AQ69"/>
          <cell r="AR69"/>
          <cell r="AS69"/>
          <cell r="AT69"/>
          <cell r="AU69"/>
          <cell r="AV69"/>
          <cell r="AW69"/>
          <cell r="AX69"/>
          <cell r="AY69"/>
          <cell r="AZ69"/>
          <cell r="BA69"/>
          <cell r="BB69"/>
          <cell r="BC69"/>
          <cell r="BD69"/>
          <cell r="BE69"/>
          <cell r="BF69"/>
          <cell r="BG69"/>
          <cell r="BH69"/>
          <cell r="BI69"/>
          <cell r="BJ69"/>
          <cell r="BK69"/>
          <cell r="BL69"/>
          <cell r="BM69"/>
          <cell r="BN69"/>
          <cell r="BO69"/>
          <cell r="BP69"/>
          <cell r="BQ69"/>
          <cell r="BR69"/>
          <cell r="BS69"/>
          <cell r="BT69"/>
          <cell r="BU69"/>
          <cell r="BV69"/>
          <cell r="BW69"/>
          <cell r="BX69"/>
        </row>
        <row r="70">
          <cell r="B70" t="str">
            <v>General Provisions</v>
          </cell>
          <cell r="C70" t="str">
            <v>GENERAL_PROV</v>
          </cell>
          <cell r="D70" t="str">
            <v>AUD</v>
          </cell>
          <cell r="F70">
            <v>-69</v>
          </cell>
          <cell r="G70">
            <v>-83</v>
          </cell>
          <cell r="H70">
            <v>-818</v>
          </cell>
          <cell r="I70">
            <v>-235</v>
          </cell>
          <cell r="J70">
            <v>4</v>
          </cell>
          <cell r="K70">
            <v>-7</v>
          </cell>
          <cell r="L70">
            <v>379</v>
          </cell>
          <cell r="M70">
            <v>-30</v>
          </cell>
          <cell r="N70">
            <v>74</v>
          </cell>
          <cell r="O70">
            <v>81</v>
          </cell>
          <cell r="P70">
            <v>155</v>
          </cell>
          <cell r="Q70">
            <v>-55</v>
          </cell>
          <cell r="R70">
            <v>-40</v>
          </cell>
          <cell r="S70">
            <v>-95</v>
          </cell>
          <cell r="T70">
            <v>-26</v>
          </cell>
          <cell r="U70">
            <v>9</v>
          </cell>
          <cell r="V70">
            <v>-17</v>
          </cell>
          <cell r="W70">
            <v>67</v>
          </cell>
          <cell r="X70">
            <v>75</v>
          </cell>
          <cell r="Y70">
            <v>142</v>
          </cell>
          <cell r="Z70">
            <v>22</v>
          </cell>
          <cell r="AA70">
            <v>63</v>
          </cell>
          <cell r="AB70">
            <v>85</v>
          </cell>
          <cell r="AC70">
            <v>-13</v>
          </cell>
          <cell r="AD70">
            <v>-3</v>
          </cell>
          <cell r="AE70">
            <v>-16</v>
          </cell>
          <cell r="AF70">
            <v>-1048</v>
          </cell>
          <cell r="AG70">
            <v>-669</v>
          </cell>
          <cell r="AH70">
            <v>-1717</v>
          </cell>
          <cell r="AI70">
            <v>678</v>
          </cell>
          <cell r="AJ70">
            <v>145</v>
          </cell>
          <cell r="AK70">
            <v>823</v>
          </cell>
          <cell r="AL70">
            <v>371</v>
          </cell>
          <cell r="AM70">
            <v>-52</v>
          </cell>
          <cell r="AN70">
            <v>319</v>
          </cell>
          <cell r="AO70">
            <v>-133</v>
          </cell>
          <cell r="AP70">
            <v>-112</v>
          </cell>
          <cell r="AQ70">
            <v>-245</v>
          </cell>
          <cell r="AR70">
            <v>-70</v>
          </cell>
          <cell r="AS70">
            <v>-336</v>
          </cell>
          <cell r="AT70">
            <v>-406</v>
          </cell>
          <cell r="AU70">
            <v>-145</v>
          </cell>
          <cell r="AV70">
            <v>-296</v>
          </cell>
          <cell r="AW70">
            <v>-441</v>
          </cell>
          <cell r="AX70">
            <v>77.485630274801224</v>
          </cell>
          <cell r="AY70">
            <v>75.177175160880324</v>
          </cell>
          <cell r="AZ70">
            <v>152.66280543568155</v>
          </cell>
          <cell r="BA70">
            <v>66.455055828512741</v>
          </cell>
          <cell r="BB70">
            <v>75.463152369218733</v>
          </cell>
          <cell r="BC70">
            <v>141.91820819773147</v>
          </cell>
          <cell r="BD70">
            <v>61.246562377540613</v>
          </cell>
          <cell r="BE70">
            <v>66.401911252642094</v>
          </cell>
          <cell r="BF70">
            <v>127.64847363018271</v>
          </cell>
          <cell r="BG70">
            <v>59.548856216796594</v>
          </cell>
          <cell r="BH70">
            <v>59.375988926020909</v>
          </cell>
          <cell r="BI70">
            <v>118.9248451428175</v>
          </cell>
          <cell r="BJ70">
            <v>94.351551850564647</v>
          </cell>
          <cell r="BK70">
            <v>93.258014062224902</v>
          </cell>
          <cell r="BL70">
            <v>187.60956591278955</v>
          </cell>
          <cell r="BM70">
            <v>98.698658741991494</v>
          </cell>
          <cell r="BN70">
            <v>91.491756267950223</v>
          </cell>
          <cell r="BO70">
            <v>190.19041500994172</v>
          </cell>
          <cell r="BP70">
            <v>93.348085916050877</v>
          </cell>
          <cell r="BQ70">
            <v>95.241114438616023</v>
          </cell>
          <cell r="BR70">
            <v>188.5892003546669</v>
          </cell>
          <cell r="BS70">
            <v>107.17505473759684</v>
          </cell>
          <cell r="BT70">
            <v>109.29375631694438</v>
          </cell>
          <cell r="BU70">
            <v>216.46881105454122</v>
          </cell>
          <cell r="BV70">
            <v>119.78075478185292</v>
          </cell>
          <cell r="BW70">
            <v>122.48427339214231</v>
          </cell>
          <cell r="BX70">
            <v>242.26502817399523</v>
          </cell>
        </row>
        <row r="71">
          <cell r="B71" t="str">
            <v>Profit or loss before tax on abnormal items</v>
          </cell>
          <cell r="C71" t="str">
            <v>PL_BTAX_ON_AB</v>
          </cell>
          <cell r="D71" t="str">
            <v>AUD</v>
          </cell>
          <cell r="F71">
            <v>95.714285714285722</v>
          </cell>
          <cell r="G71">
            <v>244.28571428571431</v>
          </cell>
          <cell r="H71">
            <v>-250.00000000000003</v>
          </cell>
          <cell r="I71">
            <v>-304.28571428571428</v>
          </cell>
          <cell r="J71">
            <v>-677.14285714285722</v>
          </cell>
          <cell r="K71">
            <v>77.142857142857153</v>
          </cell>
          <cell r="L71">
            <v>-304.28571428571428</v>
          </cell>
          <cell r="M71">
            <v>-114.28571428571429</v>
          </cell>
          <cell r="N71">
            <v>-15.714285714285715</v>
          </cell>
          <cell r="O71">
            <v>130</v>
          </cell>
          <cell r="P71">
            <v>114.28571428571429</v>
          </cell>
          <cell r="Q71">
            <v>-245.71428571428572</v>
          </cell>
          <cell r="R71">
            <v>258.57142857142861</v>
          </cell>
          <cell r="S71">
            <v>12.857142857142858</v>
          </cell>
          <cell r="T71">
            <v>58.571428571428577</v>
          </cell>
          <cell r="U71">
            <v>-184.28571428571431</v>
          </cell>
          <cell r="V71">
            <v>-125.71428571428572</v>
          </cell>
          <cell r="W71">
            <v>-220</v>
          </cell>
          <cell r="X71">
            <v>74.285714285714292</v>
          </cell>
          <cell r="Y71">
            <v>-145.71428571428572</v>
          </cell>
          <cell r="Z71">
            <v>-718.57142857142867</v>
          </cell>
          <cell r="AA71">
            <v>118.57142857142858</v>
          </cell>
          <cell r="AB71">
            <v>-600</v>
          </cell>
          <cell r="AC71">
            <v>-558.57142857142856</v>
          </cell>
          <cell r="AD71">
            <v>-180</v>
          </cell>
          <cell r="AE71">
            <v>-738.57142857142867</v>
          </cell>
          <cell r="AF71">
            <v>188.57142857142858</v>
          </cell>
          <cell r="AG71">
            <v>-447.14285714285717</v>
          </cell>
          <cell r="AH71">
            <v>-258.57142857142861</v>
          </cell>
          <cell r="AI71">
            <v>-67.142857142857153</v>
          </cell>
          <cell r="AJ71">
            <v>15.714285714285715</v>
          </cell>
          <cell r="AK71">
            <v>-51.428571428571431</v>
          </cell>
          <cell r="AL71">
            <v>595.71428571428578</v>
          </cell>
          <cell r="AM71">
            <v>267.14285714285717</v>
          </cell>
          <cell r="AN71">
            <v>862.85714285714289</v>
          </cell>
          <cell r="AO71">
            <v>-391.42857142857144</v>
          </cell>
          <cell r="AP71">
            <v>-47.142857142857146</v>
          </cell>
          <cell r="AQ71">
            <v>-438.57142857142861</v>
          </cell>
          <cell r="AR71">
            <v>-207.14285714285717</v>
          </cell>
          <cell r="AS71">
            <v>-64.285714285714292</v>
          </cell>
          <cell r="AT71">
            <v>-271.42857142857144</v>
          </cell>
          <cell r="AU71">
            <v>105.71428571428572</v>
          </cell>
          <cell r="AV71">
            <v>42.857142857142861</v>
          </cell>
          <cell r="AW71">
            <v>148.57142857142858</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row>
        <row r="72">
          <cell r="B72" t="str">
            <v>Profit/Loss on defined benefit plan contribution (Pre Tax)</v>
          </cell>
          <cell r="C72" t="str">
            <v>PROFIT_DEFBEN_PLAN_PRE_TAX</v>
          </cell>
          <cell r="D72" t="str">
            <v>AUD</v>
          </cell>
          <cell r="F72"/>
          <cell r="G72"/>
          <cell r="H72"/>
          <cell r="I72"/>
          <cell r="J72"/>
          <cell r="K72"/>
          <cell r="L72"/>
          <cell r="M72"/>
          <cell r="N72"/>
          <cell r="O72"/>
          <cell r="P72"/>
          <cell r="Q72"/>
          <cell r="R72"/>
          <cell r="S72"/>
          <cell r="T72"/>
          <cell r="U72"/>
          <cell r="V72"/>
          <cell r="W72"/>
          <cell r="X72"/>
          <cell r="Y72"/>
          <cell r="Z72"/>
          <cell r="AA72"/>
          <cell r="AB72"/>
          <cell r="AC72"/>
          <cell r="AD72"/>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cell r="BI72"/>
          <cell r="BJ72"/>
          <cell r="BK72"/>
          <cell r="BL72"/>
          <cell r="BM72"/>
          <cell r="BN72"/>
          <cell r="BO72"/>
          <cell r="BP72"/>
          <cell r="BQ72"/>
          <cell r="BR72"/>
          <cell r="BS72"/>
          <cell r="BT72"/>
          <cell r="BU72"/>
          <cell r="BV72"/>
          <cell r="BW72"/>
          <cell r="BX72"/>
        </row>
        <row r="73">
          <cell r="B73" t="str">
            <v>Goodwill Asset impairment Charge (Pre Tax)</v>
          </cell>
          <cell r="C73" t="str">
            <v>GWILL_ASSET_IMPAIR_CHG_PRE_TAX</v>
          </cell>
          <cell r="D73" t="str">
            <v>AUD</v>
          </cell>
          <cell r="F73"/>
          <cell r="G73"/>
          <cell r="H73"/>
          <cell r="I73"/>
          <cell r="J73"/>
          <cell r="K73"/>
          <cell r="L73"/>
          <cell r="M73"/>
          <cell r="N73"/>
          <cell r="O73"/>
          <cell r="P73"/>
          <cell r="Q73"/>
          <cell r="R73"/>
          <cell r="S73"/>
          <cell r="T73"/>
          <cell r="U73"/>
          <cell r="V73"/>
          <cell r="W73"/>
          <cell r="X73"/>
          <cell r="Y73"/>
          <cell r="Z73"/>
          <cell r="AA73"/>
          <cell r="AB73"/>
          <cell r="AC73"/>
          <cell r="AD73"/>
          <cell r="AE73"/>
          <cell r="AF73"/>
          <cell r="AG73"/>
          <cell r="AH73"/>
          <cell r="AI73"/>
          <cell r="AJ73"/>
          <cell r="AK73"/>
          <cell r="AL73"/>
          <cell r="AM73"/>
          <cell r="AN73"/>
          <cell r="AO73"/>
          <cell r="AP73"/>
          <cell r="AQ73"/>
          <cell r="AR73"/>
          <cell r="AS73"/>
          <cell r="AT73"/>
          <cell r="AU73"/>
          <cell r="AV73"/>
          <cell r="AW73"/>
          <cell r="AX73"/>
          <cell r="AY73"/>
          <cell r="AZ73"/>
          <cell r="BA73"/>
          <cell r="BB73"/>
          <cell r="BC73"/>
          <cell r="BD73"/>
          <cell r="BE73"/>
          <cell r="BF73"/>
          <cell r="BG73"/>
          <cell r="BH73"/>
          <cell r="BI73"/>
          <cell r="BJ73"/>
          <cell r="BK73"/>
          <cell r="BL73"/>
          <cell r="BM73"/>
          <cell r="BN73"/>
          <cell r="BO73"/>
          <cell r="BP73"/>
          <cell r="BQ73"/>
          <cell r="BR73"/>
          <cell r="BS73"/>
          <cell r="BT73"/>
          <cell r="BU73"/>
          <cell r="BV73"/>
          <cell r="BW73"/>
          <cell r="BX73"/>
        </row>
        <row r="74">
          <cell r="B74" t="str">
            <v>Other Asset impairment Charge (Pre Tax)</v>
          </cell>
          <cell r="C74" t="str">
            <v>OTHER_ASSET_IMPAIR_CHG_PRE_TAX</v>
          </cell>
          <cell r="D74" t="str">
            <v>AUD</v>
          </cell>
          <cell r="F74"/>
          <cell r="G74"/>
          <cell r="H74"/>
          <cell r="I74"/>
          <cell r="J74"/>
          <cell r="K74"/>
          <cell r="L74"/>
          <cell r="M74"/>
          <cell r="N74"/>
          <cell r="O74"/>
          <cell r="P74"/>
          <cell r="Q74"/>
          <cell r="R74"/>
          <cell r="S74"/>
          <cell r="T74"/>
          <cell r="U74"/>
          <cell r="V74"/>
          <cell r="W74"/>
          <cell r="X74"/>
          <cell r="Y74"/>
          <cell r="Z74"/>
          <cell r="AA74"/>
          <cell r="AB74"/>
          <cell r="AC74"/>
          <cell r="AD74"/>
          <cell r="AE74"/>
          <cell r="AF74"/>
          <cell r="AG74"/>
          <cell r="AH74"/>
          <cell r="AI74"/>
          <cell r="AJ74"/>
          <cell r="AK74"/>
          <cell r="AL74"/>
          <cell r="AM74"/>
          <cell r="AN74"/>
          <cell r="AO74"/>
          <cell r="AP74"/>
          <cell r="AQ74"/>
          <cell r="AR74"/>
          <cell r="AS74"/>
          <cell r="AT74"/>
          <cell r="AU74"/>
          <cell r="AV74"/>
          <cell r="AW74"/>
          <cell r="AX74"/>
          <cell r="AY74"/>
          <cell r="AZ74"/>
          <cell r="BA74"/>
          <cell r="BB74"/>
          <cell r="BC74"/>
          <cell r="BD74"/>
          <cell r="BE74"/>
          <cell r="BF74"/>
          <cell r="BG74"/>
          <cell r="BH74"/>
          <cell r="BI74"/>
          <cell r="BJ74"/>
          <cell r="BK74"/>
          <cell r="BL74"/>
          <cell r="BM74"/>
          <cell r="BN74"/>
          <cell r="BO74"/>
          <cell r="BP74"/>
          <cell r="BQ74"/>
          <cell r="BR74"/>
          <cell r="BS74"/>
          <cell r="BT74"/>
          <cell r="BU74"/>
          <cell r="BV74"/>
          <cell r="BW74"/>
          <cell r="BX74"/>
        </row>
        <row r="75">
          <cell r="B75" t="str">
            <v>Financial instruments/hedging (Pre Tax)</v>
          </cell>
          <cell r="C75" t="str">
            <v>FIN_INSTRUMENT_HEDGE_PRE_TAX</v>
          </cell>
          <cell r="D75" t="str">
            <v>AUD</v>
          </cell>
          <cell r="F75">
            <v>48.571428571428577</v>
          </cell>
          <cell r="G75">
            <v>121.42857142857143</v>
          </cell>
          <cell r="H75">
            <v>310</v>
          </cell>
          <cell r="I75">
            <v>-324.28571428571433</v>
          </cell>
          <cell r="J75">
            <v>-225.71428571428572</v>
          </cell>
          <cell r="K75">
            <v>-237.14285714285717</v>
          </cell>
          <cell r="L75">
            <v>-251.42857142857144</v>
          </cell>
          <cell r="M75">
            <v>-208.57142857142858</v>
          </cell>
          <cell r="N75">
            <v>-160</v>
          </cell>
          <cell r="O75">
            <v>265.71428571428572</v>
          </cell>
          <cell r="P75">
            <v>105.71428571428572</v>
          </cell>
          <cell r="Q75">
            <v>2.8571428571428572</v>
          </cell>
          <cell r="R75">
            <v>380</v>
          </cell>
          <cell r="S75">
            <v>382.85714285714289</v>
          </cell>
          <cell r="T75">
            <v>-121.42857142857143</v>
          </cell>
          <cell r="U75">
            <v>-10</v>
          </cell>
          <cell r="V75">
            <v>-131.42857142857144</v>
          </cell>
          <cell r="W75">
            <v>-414.28571428571433</v>
          </cell>
          <cell r="X75">
            <v>-15.714285714285715</v>
          </cell>
          <cell r="Y75">
            <v>-430</v>
          </cell>
          <cell r="Z75">
            <v>475.71428571428572</v>
          </cell>
          <cell r="AA75">
            <v>0</v>
          </cell>
          <cell r="AB75">
            <v>475.71428571428572</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row>
        <row r="76">
          <cell r="B76" t="str">
            <v>Effective Interest Rate Impact (Pre Tax)</v>
          </cell>
          <cell r="C76" t="str">
            <v>EFFECT_INT_RATE_IMPACT_PRE_TAX</v>
          </cell>
          <cell r="D76" t="str">
            <v>AUD</v>
          </cell>
          <cell r="F76"/>
          <cell r="G76"/>
          <cell r="H76"/>
          <cell r="I76"/>
          <cell r="J76"/>
          <cell r="K76"/>
          <cell r="L76"/>
          <cell r="M76"/>
          <cell r="N76"/>
          <cell r="O76"/>
          <cell r="P76"/>
          <cell r="Q76"/>
          <cell r="R76"/>
          <cell r="S76"/>
          <cell r="T76"/>
          <cell r="U76"/>
          <cell r="V76"/>
          <cell r="W76"/>
          <cell r="X76"/>
          <cell r="Y76"/>
          <cell r="Z76"/>
          <cell r="AA76"/>
          <cell r="AB76"/>
          <cell r="AC76"/>
          <cell r="AD76"/>
          <cell r="AE76"/>
          <cell r="AF76"/>
          <cell r="AG76"/>
          <cell r="AH76"/>
          <cell r="AI76"/>
          <cell r="AJ76"/>
          <cell r="AK76"/>
          <cell r="AL76"/>
          <cell r="AM76"/>
          <cell r="AN76"/>
          <cell r="AO76"/>
          <cell r="AP76"/>
          <cell r="AQ76"/>
          <cell r="AR76"/>
          <cell r="AS76"/>
          <cell r="AT76"/>
          <cell r="AU76"/>
          <cell r="AV76"/>
          <cell r="AW76"/>
          <cell r="AX76"/>
          <cell r="AY76"/>
          <cell r="AZ76"/>
          <cell r="BA76"/>
          <cell r="BB76"/>
          <cell r="BC76"/>
          <cell r="BD76"/>
          <cell r="BE76"/>
          <cell r="BF76"/>
          <cell r="BG76"/>
          <cell r="BH76"/>
          <cell r="BI76"/>
          <cell r="BJ76"/>
          <cell r="BK76"/>
          <cell r="BL76"/>
          <cell r="BM76"/>
          <cell r="BN76"/>
          <cell r="BO76"/>
          <cell r="BP76"/>
          <cell r="BQ76"/>
          <cell r="BR76"/>
          <cell r="BS76"/>
          <cell r="BT76"/>
          <cell r="BU76"/>
          <cell r="BV76"/>
          <cell r="BW76"/>
          <cell r="BX76"/>
        </row>
        <row r="77">
          <cell r="B77" t="str">
            <v>Other IFRS adjustments (Pre Tax)</v>
          </cell>
          <cell r="C77" t="str">
            <v>OTHER_IFRS_ADJUST_PRE_TAX</v>
          </cell>
          <cell r="D77" t="str">
            <v>AUD</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row>
        <row r="78">
          <cell r="B78" t="str">
            <v>Total IFRS Adjustments (Pre Tax)</v>
          </cell>
          <cell r="C78" t="str">
            <v>TOTAL_IFRS_ADJUST_PRE_TAX</v>
          </cell>
          <cell r="D78" t="str">
            <v>AUD</v>
          </cell>
          <cell r="F78">
            <v>48.571428571428577</v>
          </cell>
          <cell r="G78">
            <v>121.42857142857143</v>
          </cell>
          <cell r="H78">
            <v>310</v>
          </cell>
          <cell r="I78">
            <v>-324.28571428571433</v>
          </cell>
          <cell r="J78">
            <v>-225.71428571428572</v>
          </cell>
          <cell r="K78">
            <v>-237.14285714285717</v>
          </cell>
          <cell r="L78">
            <v>-251.42857142857144</v>
          </cell>
          <cell r="M78">
            <v>-208.57142857142858</v>
          </cell>
          <cell r="N78">
            <v>-160</v>
          </cell>
          <cell r="O78">
            <v>265.71428571428572</v>
          </cell>
          <cell r="P78">
            <v>105.71428571428572</v>
          </cell>
          <cell r="Q78">
            <v>2.8571428571428572</v>
          </cell>
          <cell r="R78">
            <v>380</v>
          </cell>
          <cell r="S78">
            <v>382.85714285714289</v>
          </cell>
          <cell r="T78">
            <v>-121.42857142857143</v>
          </cell>
          <cell r="U78">
            <v>-10</v>
          </cell>
          <cell r="V78">
            <v>-131.42857142857144</v>
          </cell>
          <cell r="W78">
            <v>-414.28571428571433</v>
          </cell>
          <cell r="X78">
            <v>-15.714285714285715</v>
          </cell>
          <cell r="Y78">
            <v>-430</v>
          </cell>
          <cell r="Z78">
            <v>475.71428571428572</v>
          </cell>
          <cell r="AA78">
            <v>0</v>
          </cell>
          <cell r="AB78">
            <v>475.71428571428572</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row>
        <row r="79">
          <cell r="B79" t="str">
            <v>Profit/Loss on defined benefit plan contribution (Post Tax)</v>
          </cell>
          <cell r="C79" t="str">
            <v>PROFIT_DEFBEN_PLAN_POST_TAX</v>
          </cell>
          <cell r="D79" t="str">
            <v>AUD</v>
          </cell>
          <cell r="F79"/>
          <cell r="G79"/>
          <cell r="H79"/>
          <cell r="I79"/>
          <cell r="J79"/>
          <cell r="K79"/>
          <cell r="L79"/>
          <cell r="M79"/>
          <cell r="N79"/>
          <cell r="O79"/>
          <cell r="P79"/>
          <cell r="Q79"/>
          <cell r="R79"/>
          <cell r="S79"/>
          <cell r="T79"/>
          <cell r="U79"/>
          <cell r="V79"/>
          <cell r="W79"/>
          <cell r="X79"/>
          <cell r="Y79"/>
          <cell r="Z79"/>
          <cell r="AA79"/>
          <cell r="AB79"/>
          <cell r="AC79"/>
          <cell r="AD79"/>
          <cell r="AE79"/>
          <cell r="AF79"/>
          <cell r="AG79"/>
          <cell r="AH79"/>
          <cell r="AI79"/>
          <cell r="AJ79"/>
          <cell r="AK79"/>
          <cell r="AL79"/>
          <cell r="AM79"/>
          <cell r="AN79"/>
          <cell r="AO79"/>
          <cell r="AP79"/>
          <cell r="AQ79"/>
          <cell r="AR79"/>
          <cell r="AS79"/>
          <cell r="AT79"/>
          <cell r="AU79"/>
          <cell r="AV79"/>
          <cell r="AW79"/>
          <cell r="AX79"/>
          <cell r="AY79"/>
          <cell r="AZ79"/>
          <cell r="BA79"/>
          <cell r="BB79"/>
          <cell r="BC79"/>
          <cell r="BD79"/>
          <cell r="BE79"/>
          <cell r="BF79"/>
          <cell r="BG79"/>
          <cell r="BH79"/>
          <cell r="BI79"/>
          <cell r="BJ79"/>
          <cell r="BK79"/>
          <cell r="BL79"/>
          <cell r="BM79"/>
          <cell r="BN79"/>
          <cell r="BO79"/>
          <cell r="BP79"/>
          <cell r="BQ79"/>
          <cell r="BR79"/>
          <cell r="BS79"/>
          <cell r="BT79"/>
          <cell r="BU79"/>
          <cell r="BV79"/>
          <cell r="BW79"/>
          <cell r="BX79"/>
        </row>
        <row r="80">
          <cell r="B80" t="str">
            <v>Operating profit or loss before tax (post abnormals)</v>
          </cell>
          <cell r="C80" t="str">
            <v>OPPL_BTAX_POST_AB</v>
          </cell>
          <cell r="D80" t="str">
            <v>AUD</v>
          </cell>
          <cell r="F80">
            <v>5246.7657142857142</v>
          </cell>
          <cell r="G80">
            <v>5946.5242857142848</v>
          </cell>
          <cell r="H80">
            <v>4558.1399999999994</v>
          </cell>
          <cell r="I80">
            <v>4146.0985714285716</v>
          </cell>
          <cell r="J80">
            <v>6225.1428571428569</v>
          </cell>
          <cell r="K80">
            <v>7482</v>
          </cell>
          <cell r="L80">
            <v>7788.2857142857138</v>
          </cell>
          <cell r="M80">
            <v>8614.1428571428569</v>
          </cell>
          <cell r="N80">
            <v>4678.2857142857147</v>
          </cell>
          <cell r="O80">
            <v>5370.7142857142853</v>
          </cell>
          <cell r="P80">
            <v>10049</v>
          </cell>
          <cell r="Q80">
            <v>4839.1428571428569</v>
          </cell>
          <cell r="R80">
            <v>5510.5714285714284</v>
          </cell>
          <cell r="S80">
            <v>10349.714285714286</v>
          </cell>
          <cell r="T80">
            <v>3856.1428571428573</v>
          </cell>
          <cell r="U80">
            <v>4085.7142857142858</v>
          </cell>
          <cell r="V80">
            <v>7941.8571428571431</v>
          </cell>
          <cell r="W80">
            <v>4134.7142857142853</v>
          </cell>
          <cell r="X80">
            <v>4939.5714285714284</v>
          </cell>
          <cell r="Y80">
            <v>9074.2857142857138</v>
          </cell>
          <cell r="Z80">
            <v>4746.1428571428569</v>
          </cell>
          <cell r="AA80">
            <v>4407.5714285714284</v>
          </cell>
          <cell r="AB80">
            <v>9153.7142857142862</v>
          </cell>
          <cell r="AC80">
            <v>4429.4285714285716</v>
          </cell>
          <cell r="AD80">
            <v>3995</v>
          </cell>
          <cell r="AE80">
            <v>8424.4285714285706</v>
          </cell>
          <cell r="AF80">
            <v>2488.5714285714284</v>
          </cell>
          <cell r="AG80">
            <v>2883.8571428571427</v>
          </cell>
          <cell r="AH80">
            <v>5372.4285714285716</v>
          </cell>
          <cell r="AI80">
            <v>4364.8571428571431</v>
          </cell>
          <cell r="AJ80">
            <v>4546.7142857142853</v>
          </cell>
          <cell r="AK80">
            <v>8911.5714285714294</v>
          </cell>
          <cell r="AL80">
            <v>5036.7142857142862</v>
          </cell>
          <cell r="AM80">
            <v>5026.1428571428569</v>
          </cell>
          <cell r="AN80">
            <v>10062.857142857143</v>
          </cell>
          <cell r="AO80">
            <v>5018.5714285714284</v>
          </cell>
          <cell r="AP80">
            <v>5063.8571428571431</v>
          </cell>
          <cell r="AQ80">
            <v>10082.428571428571</v>
          </cell>
          <cell r="AR80">
            <v>4854.8571428571431</v>
          </cell>
          <cell r="AS80">
            <v>4535.7142857142853</v>
          </cell>
          <cell r="AT80">
            <v>9390.5714285714294</v>
          </cell>
          <cell r="AU80">
            <v>5213.7142857142853</v>
          </cell>
          <cell r="AV80">
            <v>3512.8571428571427</v>
          </cell>
          <cell r="AW80">
            <v>8726.5714285714294</v>
          </cell>
          <cell r="AX80">
            <v>5066.4705595561963</v>
          </cell>
          <cell r="AY80">
            <v>5346.2977580082143</v>
          </cell>
          <cell r="AZ80">
            <v>10412.768317564411</v>
          </cell>
          <cell r="BA80">
            <v>5123.6471272965318</v>
          </cell>
          <cell r="BB80">
            <v>5092.860303738792</v>
          </cell>
          <cell r="BC80">
            <v>10216.507431035323</v>
          </cell>
          <cell r="BD80">
            <v>5307.1071953201435</v>
          </cell>
          <cell r="BE80">
            <v>5304.6035794024901</v>
          </cell>
          <cell r="BF80">
            <v>10611.710774722633</v>
          </cell>
          <cell r="BG80">
            <v>5394.0889799945753</v>
          </cell>
          <cell r="BH80">
            <v>5485.5330210865377</v>
          </cell>
          <cell r="BI80">
            <v>10879.62200108111</v>
          </cell>
          <cell r="BJ80">
            <v>5518.033476809801</v>
          </cell>
          <cell r="BK80">
            <v>5618.6956836117979</v>
          </cell>
          <cell r="BL80">
            <v>11136.729160421599</v>
          </cell>
          <cell r="BM80">
            <v>5936.9947322048583</v>
          </cell>
          <cell r="BN80">
            <v>6012.5218040746367</v>
          </cell>
          <cell r="BO80">
            <v>11949.516536279498</v>
          </cell>
          <cell r="BP80">
            <v>6071.2690411599906</v>
          </cell>
          <cell r="BQ80">
            <v>6053.0817322211842</v>
          </cell>
          <cell r="BR80">
            <v>12124.350773381171</v>
          </cell>
          <cell r="BS80">
            <v>6088.2387746413751</v>
          </cell>
          <cell r="BT80">
            <v>6127.8501726704017</v>
          </cell>
          <cell r="BU80">
            <v>12216.08894731178</v>
          </cell>
          <cell r="BV80">
            <v>6181.1478733572731</v>
          </cell>
          <cell r="BW80">
            <v>6280.1155230751501</v>
          </cell>
          <cell r="BX80">
            <v>12461.263396432425</v>
          </cell>
        </row>
        <row r="81">
          <cell r="A81" t="str">
            <v>Additional Income Statement Items</v>
          </cell>
          <cell r="B81"/>
          <cell r="C81"/>
          <cell r="D81"/>
        </row>
        <row r="82">
          <cell r="B82" t="str">
            <v>Operating lease cost</v>
          </cell>
          <cell r="C82" t="str">
            <v>LEASE_PAY</v>
          </cell>
          <cell r="D82" t="str">
            <v>AUD</v>
          </cell>
          <cell r="F82"/>
          <cell r="G82"/>
          <cell r="H82"/>
          <cell r="I82"/>
          <cell r="J82"/>
          <cell r="K82"/>
          <cell r="L82"/>
          <cell r="M82"/>
          <cell r="N82"/>
          <cell r="O82"/>
          <cell r="P82"/>
          <cell r="Q82"/>
          <cell r="R82"/>
          <cell r="S82"/>
          <cell r="T82"/>
          <cell r="U82"/>
          <cell r="V82"/>
          <cell r="W82"/>
          <cell r="X82"/>
          <cell r="Y82"/>
          <cell r="Z82"/>
          <cell r="AA82"/>
          <cell r="AB82"/>
          <cell r="AC82"/>
          <cell r="AD82"/>
          <cell r="AE82"/>
          <cell r="AF82"/>
          <cell r="AG82"/>
          <cell r="AH82"/>
          <cell r="AI82"/>
          <cell r="AJ82"/>
          <cell r="AK82"/>
          <cell r="AL82"/>
          <cell r="AM82"/>
          <cell r="AN82"/>
          <cell r="AO82"/>
          <cell r="AP82"/>
          <cell r="AQ82"/>
          <cell r="AR82"/>
          <cell r="AS82"/>
          <cell r="AT82"/>
          <cell r="AU82"/>
          <cell r="AV82"/>
          <cell r="AW82"/>
          <cell r="AX82"/>
          <cell r="AY82"/>
          <cell r="AZ82"/>
          <cell r="BA82"/>
          <cell r="BB82"/>
          <cell r="BC82"/>
          <cell r="BD82"/>
          <cell r="BE82"/>
          <cell r="BF82"/>
          <cell r="BG82"/>
          <cell r="BH82"/>
          <cell r="BI82"/>
          <cell r="BJ82"/>
          <cell r="BK82"/>
          <cell r="BL82"/>
          <cell r="BM82"/>
          <cell r="BN82"/>
          <cell r="BO82"/>
          <cell r="BP82"/>
          <cell r="BQ82"/>
          <cell r="BR82"/>
          <cell r="BS82"/>
          <cell r="BT82"/>
          <cell r="BU82"/>
          <cell r="BV82"/>
          <cell r="BW82"/>
          <cell r="BX82"/>
        </row>
        <row r="83">
          <cell r="B83" t="str">
            <v>NI impact from a 10% reporting currency depreciation vs USD</v>
          </cell>
          <cell r="C83" t="str">
            <v>FX_USD_NI_SENSITIVITY</v>
          </cell>
          <cell r="D83" t="str">
            <v>AUD</v>
          </cell>
          <cell r="F83"/>
          <cell r="G83"/>
          <cell r="H83"/>
          <cell r="I83"/>
          <cell r="J83"/>
          <cell r="K83"/>
          <cell r="L83"/>
          <cell r="M83"/>
          <cell r="N83"/>
          <cell r="O83"/>
          <cell r="P83"/>
          <cell r="Q83"/>
          <cell r="R83"/>
          <cell r="S83"/>
          <cell r="T83"/>
          <cell r="U83"/>
          <cell r="V83"/>
          <cell r="W83"/>
          <cell r="X83"/>
          <cell r="Y83"/>
          <cell r="Z83"/>
          <cell r="AA83"/>
          <cell r="AB83"/>
          <cell r="AC83"/>
          <cell r="AD83"/>
          <cell r="AE83"/>
          <cell r="AF83"/>
          <cell r="AG83"/>
          <cell r="AH83"/>
          <cell r="AI83"/>
          <cell r="AJ83"/>
          <cell r="AK83"/>
          <cell r="AL83"/>
          <cell r="AM83"/>
          <cell r="AN83"/>
          <cell r="AO83"/>
          <cell r="AP83"/>
          <cell r="AQ83"/>
          <cell r="AR83"/>
          <cell r="AS83"/>
          <cell r="AT83"/>
          <cell r="AU83"/>
          <cell r="AV83"/>
          <cell r="AW83"/>
          <cell r="AX83"/>
          <cell r="AY83"/>
          <cell r="AZ83"/>
          <cell r="BA83"/>
          <cell r="BB83"/>
          <cell r="BC83"/>
          <cell r="BD83"/>
          <cell r="BE83"/>
          <cell r="BF83"/>
          <cell r="BG83"/>
          <cell r="BH83"/>
          <cell r="BI83"/>
          <cell r="BJ83"/>
          <cell r="BK83"/>
          <cell r="BL83"/>
          <cell r="BM83"/>
          <cell r="BN83"/>
          <cell r="BO83"/>
          <cell r="BP83"/>
          <cell r="BQ83"/>
          <cell r="BR83"/>
          <cell r="BS83"/>
          <cell r="BT83"/>
          <cell r="BU83"/>
          <cell r="BV83"/>
          <cell r="BW83"/>
          <cell r="BX83"/>
        </row>
        <row r="84">
          <cell r="B84" t="str">
            <v>NI impact from a 10% reporting currency depreciation vs EUR</v>
          </cell>
          <cell r="C84" t="str">
            <v>FX_EUR_NI_SENSITIVITY</v>
          </cell>
          <cell r="D84" t="str">
            <v>AUD</v>
          </cell>
          <cell r="F84"/>
          <cell r="G84"/>
          <cell r="H84"/>
          <cell r="I84"/>
          <cell r="J84"/>
          <cell r="K84"/>
          <cell r="L84"/>
          <cell r="M84"/>
          <cell r="N84"/>
          <cell r="O84"/>
          <cell r="P84"/>
          <cell r="Q84"/>
          <cell r="R84"/>
          <cell r="S84"/>
          <cell r="T84"/>
          <cell r="U84"/>
          <cell r="V84"/>
          <cell r="W84"/>
          <cell r="X84"/>
          <cell r="Y84"/>
          <cell r="Z84"/>
          <cell r="AA84"/>
          <cell r="AB84"/>
          <cell r="AC84"/>
          <cell r="AD84"/>
          <cell r="AE84"/>
          <cell r="AF84"/>
          <cell r="AG84"/>
          <cell r="AH84"/>
          <cell r="AI84"/>
          <cell r="AJ84"/>
          <cell r="AK84"/>
          <cell r="AL84"/>
          <cell r="AM84"/>
          <cell r="AN84"/>
          <cell r="AO84"/>
          <cell r="AP84"/>
          <cell r="AQ84"/>
          <cell r="AR84"/>
          <cell r="AS84"/>
          <cell r="AT84"/>
          <cell r="AU84"/>
          <cell r="AV84"/>
          <cell r="AW84"/>
          <cell r="AX84"/>
          <cell r="AY84"/>
          <cell r="AZ84"/>
          <cell r="BA84"/>
          <cell r="BB84"/>
          <cell r="BC84"/>
          <cell r="BD84"/>
          <cell r="BE84"/>
          <cell r="BF84"/>
          <cell r="BG84"/>
          <cell r="BH84"/>
          <cell r="BI84"/>
          <cell r="BJ84"/>
          <cell r="BK84"/>
          <cell r="BL84"/>
          <cell r="BM84"/>
          <cell r="BN84"/>
          <cell r="BO84"/>
          <cell r="BP84"/>
          <cell r="BQ84"/>
          <cell r="BR84"/>
          <cell r="BS84"/>
          <cell r="BT84"/>
          <cell r="BU84"/>
          <cell r="BV84"/>
          <cell r="BW84"/>
          <cell r="BX84"/>
        </row>
        <row r="85">
          <cell r="B85" t="str">
            <v>NI impact from a 10% reporting currency depreciation vs AUD</v>
          </cell>
          <cell r="C85" t="str">
            <v>FX_AUD_NI_SENSITIVITY</v>
          </cell>
          <cell r="D85" t="str">
            <v>AUD</v>
          </cell>
          <cell r="F85"/>
          <cell r="G85"/>
          <cell r="H85"/>
          <cell r="I85"/>
          <cell r="J85"/>
          <cell r="K85"/>
          <cell r="L85"/>
          <cell r="M85"/>
          <cell r="N85"/>
          <cell r="O85"/>
          <cell r="P85"/>
          <cell r="Q85"/>
          <cell r="R85"/>
          <cell r="S85"/>
          <cell r="T85"/>
          <cell r="U85"/>
          <cell r="V85"/>
          <cell r="W85"/>
          <cell r="X85"/>
          <cell r="Y85"/>
          <cell r="Z85"/>
          <cell r="AA85"/>
          <cell r="AB85"/>
          <cell r="AC85"/>
          <cell r="AD85"/>
          <cell r="AE85"/>
          <cell r="AF85"/>
          <cell r="AG85"/>
          <cell r="AH85"/>
          <cell r="AI85"/>
          <cell r="AJ85"/>
          <cell r="AK85"/>
          <cell r="AL85"/>
          <cell r="AM85"/>
          <cell r="AN85"/>
          <cell r="AO85"/>
          <cell r="AP85"/>
          <cell r="AQ85"/>
          <cell r="AR85"/>
          <cell r="AS85"/>
          <cell r="AT85"/>
          <cell r="AU85"/>
          <cell r="AV85"/>
          <cell r="AW85"/>
          <cell r="AX85"/>
          <cell r="AY85"/>
          <cell r="AZ85"/>
          <cell r="BA85"/>
          <cell r="BB85"/>
          <cell r="BC85"/>
          <cell r="BD85"/>
          <cell r="BE85"/>
          <cell r="BF85"/>
          <cell r="BG85"/>
          <cell r="BH85"/>
          <cell r="BI85"/>
          <cell r="BJ85"/>
          <cell r="BK85"/>
          <cell r="BL85"/>
          <cell r="BM85"/>
          <cell r="BN85"/>
          <cell r="BO85"/>
          <cell r="BP85"/>
          <cell r="BQ85"/>
          <cell r="BR85"/>
          <cell r="BS85"/>
          <cell r="BT85"/>
          <cell r="BU85"/>
          <cell r="BV85"/>
          <cell r="BW85"/>
          <cell r="BX85"/>
        </row>
        <row r="86">
          <cell r="B86" t="str">
            <v>Depreciation ROU assets   (applicable to IFRS cos.)</v>
          </cell>
          <cell r="C86" t="str">
            <v>DEPR_ROU_ASSETS</v>
          </cell>
          <cell r="D86" t="str">
            <v>AUD</v>
          </cell>
          <cell r="F86"/>
          <cell r="G86"/>
          <cell r="H86"/>
          <cell r="I86"/>
          <cell r="J86"/>
          <cell r="K86"/>
          <cell r="L86"/>
          <cell r="M86"/>
          <cell r="N86"/>
          <cell r="O86"/>
          <cell r="P86"/>
          <cell r="Q86"/>
          <cell r="R86"/>
          <cell r="S86"/>
          <cell r="T86"/>
          <cell r="U86"/>
          <cell r="V86"/>
          <cell r="W86"/>
          <cell r="X86"/>
          <cell r="Y86"/>
          <cell r="Z86"/>
          <cell r="AA86"/>
          <cell r="AB86"/>
          <cell r="AC86"/>
          <cell r="AD86"/>
          <cell r="AE86"/>
          <cell r="AF86"/>
          <cell r="AG86"/>
          <cell r="AH86"/>
          <cell r="AI86"/>
          <cell r="AJ86"/>
          <cell r="AK86"/>
          <cell r="AL86"/>
          <cell r="AM86"/>
          <cell r="AN86"/>
          <cell r="AO86"/>
          <cell r="AP86"/>
          <cell r="AQ86"/>
          <cell r="AR86"/>
          <cell r="AS86"/>
          <cell r="AT86"/>
          <cell r="AU86"/>
          <cell r="AV86"/>
          <cell r="AW86"/>
          <cell r="AX86"/>
          <cell r="AY86"/>
          <cell r="AZ86"/>
          <cell r="BA86"/>
          <cell r="BB86"/>
          <cell r="BC86"/>
          <cell r="BD86"/>
          <cell r="BE86"/>
          <cell r="BF86"/>
          <cell r="BG86"/>
          <cell r="BH86"/>
          <cell r="BI86"/>
          <cell r="BJ86"/>
          <cell r="BK86"/>
          <cell r="BL86"/>
          <cell r="BM86"/>
          <cell r="BN86"/>
          <cell r="BO86"/>
          <cell r="BP86"/>
          <cell r="BQ86"/>
          <cell r="BR86"/>
          <cell r="BS86"/>
          <cell r="BT86"/>
          <cell r="BU86"/>
          <cell r="BV86"/>
          <cell r="BW86"/>
          <cell r="BX86"/>
        </row>
        <row r="87">
          <cell r="B87" t="str">
            <v>Lease interest charge  (applicable to IFRS cos.)</v>
          </cell>
          <cell r="C87" t="str">
            <v>LEASE_INT_CHG</v>
          </cell>
          <cell r="D87" t="str">
            <v>AUD</v>
          </cell>
          <cell r="F87"/>
          <cell r="G87"/>
          <cell r="H87"/>
          <cell r="I87"/>
          <cell r="J87"/>
          <cell r="K87"/>
          <cell r="L87"/>
          <cell r="M87"/>
          <cell r="N87"/>
          <cell r="O87"/>
          <cell r="P87"/>
          <cell r="Q87"/>
          <cell r="R87"/>
          <cell r="S87"/>
          <cell r="T87"/>
          <cell r="U87"/>
          <cell r="V87"/>
          <cell r="W87"/>
          <cell r="X87"/>
          <cell r="Y87"/>
          <cell r="Z87"/>
          <cell r="AA87"/>
          <cell r="AB87"/>
          <cell r="AC87"/>
          <cell r="AD87"/>
          <cell r="AE87"/>
          <cell r="AF87"/>
          <cell r="AG87"/>
          <cell r="AH87"/>
          <cell r="AI87"/>
          <cell r="AJ87"/>
          <cell r="AK87"/>
          <cell r="AL87"/>
          <cell r="AM87"/>
          <cell r="AN87"/>
          <cell r="AO87"/>
          <cell r="AP87"/>
          <cell r="AQ87"/>
          <cell r="AR87"/>
          <cell r="AS87"/>
          <cell r="AT87"/>
          <cell r="AU87"/>
          <cell r="AV87"/>
          <cell r="AW87"/>
          <cell r="AX87"/>
          <cell r="AY87"/>
          <cell r="AZ87"/>
          <cell r="BA87"/>
          <cell r="BB87"/>
          <cell r="BC87"/>
          <cell r="BD87"/>
          <cell r="BE87"/>
          <cell r="BF87"/>
          <cell r="BG87"/>
          <cell r="BH87"/>
          <cell r="BI87"/>
          <cell r="BJ87"/>
          <cell r="BK87"/>
          <cell r="BL87"/>
          <cell r="BM87"/>
          <cell r="BN87"/>
          <cell r="BO87"/>
          <cell r="BP87"/>
          <cell r="BQ87"/>
          <cell r="BR87"/>
          <cell r="BS87"/>
          <cell r="BT87"/>
          <cell r="BU87"/>
          <cell r="BV87"/>
          <cell r="BW87"/>
          <cell r="BX87"/>
        </row>
        <row r="88">
          <cell r="B88" t="str">
            <v>Lease standard adopted (US GAAP ASC 842/ IFRS 16)</v>
          </cell>
          <cell r="C88" t="str">
            <v>LEASE_ADOPT</v>
          </cell>
          <cell r="E88"/>
        </row>
        <row r="89">
          <cell r="A89" t="str">
            <v>Balance Sheet</v>
          </cell>
          <cell r="B89"/>
          <cell r="C89"/>
          <cell r="D89"/>
        </row>
        <row r="90">
          <cell r="B90" t="str">
            <v>Cash &amp; cash equivalents</v>
          </cell>
          <cell r="C90" t="str">
            <v>CASH_EQ</v>
          </cell>
          <cell r="D90" t="str">
            <v>AUD</v>
          </cell>
          <cell r="F90">
            <v>15019</v>
          </cell>
          <cell r="G90">
            <v>16987</v>
          </cell>
          <cell r="H90">
            <v>25030</v>
          </cell>
          <cell r="I90">
            <v>25317</v>
          </cell>
          <cell r="J90">
            <v>18945</v>
          </cell>
          <cell r="K90">
            <v>24899</v>
          </cell>
          <cell r="L90">
            <v>36578</v>
          </cell>
          <cell r="M90">
            <v>31800</v>
          </cell>
          <cell r="N90">
            <v>39870</v>
          </cell>
          <cell r="O90">
            <v>38018</v>
          </cell>
          <cell r="P90">
            <v>38018</v>
          </cell>
          <cell r="Q90">
            <v>56711</v>
          </cell>
          <cell r="R90">
            <v>63870</v>
          </cell>
          <cell r="S90">
            <v>63870</v>
          </cell>
          <cell r="T90">
            <v>61927</v>
          </cell>
          <cell r="U90">
            <v>61398</v>
          </cell>
          <cell r="V90">
            <v>61398</v>
          </cell>
          <cell r="W90">
            <v>67598</v>
          </cell>
          <cell r="X90">
            <v>77035</v>
          </cell>
          <cell r="Y90">
            <v>77035</v>
          </cell>
          <cell r="Z90">
            <v>92934</v>
          </cell>
          <cell r="AA90">
            <v>95679</v>
          </cell>
          <cell r="AB90">
            <v>95679</v>
          </cell>
          <cell r="AC90">
            <v>105856</v>
          </cell>
          <cell r="AD90">
            <v>96627</v>
          </cell>
          <cell r="AE90">
            <v>96627</v>
          </cell>
          <cell r="AF90">
            <v>159855</v>
          </cell>
          <cell r="AG90">
            <v>122231</v>
          </cell>
          <cell r="AH90">
            <v>122231</v>
          </cell>
          <cell r="AI90">
            <v>136519</v>
          </cell>
          <cell r="AJ90">
            <v>160426</v>
          </cell>
          <cell r="AK90">
            <v>160426</v>
          </cell>
          <cell r="AL90">
            <v>178818</v>
          </cell>
          <cell r="AM90">
            <v>180832</v>
          </cell>
          <cell r="AN90">
            <v>180832</v>
          </cell>
          <cell r="AO90">
            <v>218045</v>
          </cell>
          <cell r="AP90">
            <v>176712</v>
          </cell>
          <cell r="AQ90">
            <v>176712</v>
          </cell>
          <cell r="AR90">
            <v>145940</v>
          </cell>
          <cell r="AS90">
            <v>161057</v>
          </cell>
          <cell r="AT90">
            <v>161057</v>
          </cell>
          <cell r="AU90">
            <v>206255</v>
          </cell>
          <cell r="AV90">
            <v>165042</v>
          </cell>
          <cell r="AW90">
            <v>165042</v>
          </cell>
          <cell r="AX90">
            <v>168588.77511298365</v>
          </cell>
          <cell r="AY90">
            <v>171173.87740346248</v>
          </cell>
          <cell r="AZ90">
            <v>171173.87740346248</v>
          </cell>
          <cell r="BA90">
            <v>173696.41959514367</v>
          </cell>
          <cell r="BB90">
            <v>176934.24732238569</v>
          </cell>
          <cell r="BC90">
            <v>176934.24732238569</v>
          </cell>
          <cell r="BD90">
            <v>180104.58468523054</v>
          </cell>
          <cell r="BE90">
            <v>183371.96063734218</v>
          </cell>
          <cell r="BF90">
            <v>183371.96063734218</v>
          </cell>
          <cell r="BG90">
            <v>186447.06619164863</v>
          </cell>
          <cell r="BH90">
            <v>189455.52804620584</v>
          </cell>
          <cell r="BI90">
            <v>189455.52804620584</v>
          </cell>
          <cell r="BJ90">
            <v>193063.55862832861</v>
          </cell>
          <cell r="BK90">
            <v>196515.49740265141</v>
          </cell>
          <cell r="BL90">
            <v>196515.49740265141</v>
          </cell>
          <cell r="BM90">
            <v>200309.09971674372</v>
          </cell>
          <cell r="BN90">
            <v>204060.03832689012</v>
          </cell>
          <cell r="BO90">
            <v>204060.03832689012</v>
          </cell>
          <cell r="BP90">
            <v>207886.7998341877</v>
          </cell>
          <cell r="BQ90">
            <v>211790.89793455222</v>
          </cell>
          <cell r="BR90">
            <v>211790.89793455222</v>
          </cell>
          <cell r="BS90">
            <v>215984.37141010939</v>
          </cell>
          <cell r="BT90">
            <v>220261.4583933629</v>
          </cell>
          <cell r="BU90">
            <v>220261.4583933629</v>
          </cell>
          <cell r="BV90">
            <v>224799.03320008502</v>
          </cell>
          <cell r="BW90">
            <v>229434.11808983301</v>
          </cell>
          <cell r="BX90">
            <v>229434.11808983301</v>
          </cell>
        </row>
        <row r="91">
          <cell r="B91" t="str">
            <v>Interbank loans</v>
          </cell>
          <cell r="C91" t="str">
            <v>B_BS_A_LNBNK</v>
          </cell>
          <cell r="D91" t="str">
            <v>AUD</v>
          </cell>
          <cell r="F91">
            <v>9665</v>
          </cell>
          <cell r="G91">
            <v>8040</v>
          </cell>
          <cell r="H91">
            <v>9862</v>
          </cell>
          <cell r="I91">
            <v>4985</v>
          </cell>
          <cell r="J91">
            <v>5481</v>
          </cell>
          <cell r="K91">
            <v>13298</v>
          </cell>
          <cell r="L91">
            <v>17103</v>
          </cell>
          <cell r="M91">
            <v>19225</v>
          </cell>
          <cell r="N91">
            <v>16209</v>
          </cell>
          <cell r="O91">
            <v>20241</v>
          </cell>
          <cell r="P91">
            <v>20241</v>
          </cell>
          <cell r="Q91">
            <v>22570</v>
          </cell>
          <cell r="R91">
            <v>18596</v>
          </cell>
          <cell r="S91">
            <v>18596</v>
          </cell>
          <cell r="T91">
            <v>26048</v>
          </cell>
          <cell r="U91">
            <v>21951</v>
          </cell>
          <cell r="V91">
            <v>21951</v>
          </cell>
          <cell r="W91">
            <v>21696</v>
          </cell>
          <cell r="X91">
            <v>5504</v>
          </cell>
          <cell r="Y91">
            <v>5504</v>
          </cell>
          <cell r="Z91">
            <v>5037</v>
          </cell>
          <cell r="AA91">
            <v>2319</v>
          </cell>
          <cell r="AB91">
            <v>2319</v>
          </cell>
          <cell r="AC91">
            <v>4041</v>
          </cell>
          <cell r="AD91">
            <v>3739</v>
          </cell>
          <cell r="AE91">
            <v>3739</v>
          </cell>
          <cell r="AF91">
            <v>6961</v>
          </cell>
          <cell r="AG91">
            <v>7541</v>
          </cell>
          <cell r="AH91">
            <v>7541</v>
          </cell>
          <cell r="AI91">
            <v>9778</v>
          </cell>
          <cell r="AJ91">
            <v>7530</v>
          </cell>
          <cell r="AK91">
            <v>7530</v>
          </cell>
          <cell r="AL91">
            <v>7141</v>
          </cell>
          <cell r="AM91">
            <v>4762</v>
          </cell>
          <cell r="AN91">
            <v>4762</v>
          </cell>
          <cell r="AO91">
            <v>7020</v>
          </cell>
          <cell r="AP91">
            <v>9349</v>
          </cell>
          <cell r="AQ91">
            <v>9349</v>
          </cell>
          <cell r="AR91">
            <v>3809</v>
          </cell>
          <cell r="AS91">
            <v>5484</v>
          </cell>
          <cell r="AT91">
            <v>5484</v>
          </cell>
          <cell r="AU91">
            <v>6225</v>
          </cell>
          <cell r="AV91">
            <v>23394</v>
          </cell>
          <cell r="AW91">
            <v>23394</v>
          </cell>
          <cell r="AX91">
            <v>23896.740253954384</v>
          </cell>
          <cell r="AY91">
            <v>24263.167484498499</v>
          </cell>
          <cell r="AZ91">
            <v>24263.167484498499</v>
          </cell>
          <cell r="BA91">
            <v>24620.727087703683</v>
          </cell>
          <cell r="BB91">
            <v>25079.675366633284</v>
          </cell>
          <cell r="BC91">
            <v>25079.675366633284</v>
          </cell>
          <cell r="BD91">
            <v>25529.057174090736</v>
          </cell>
          <cell r="BE91">
            <v>25992.193787944787</v>
          </cell>
          <cell r="BF91">
            <v>25992.193787944787</v>
          </cell>
          <cell r="BG91">
            <v>26428.076892472389</v>
          </cell>
          <cell r="BH91">
            <v>26854.513536632734</v>
          </cell>
          <cell r="BI91">
            <v>26854.513536632734</v>
          </cell>
          <cell r="BJ91">
            <v>27365.936492233006</v>
          </cell>
          <cell r="BK91">
            <v>27855.234099426987</v>
          </cell>
          <cell r="BL91">
            <v>27855.234099426987</v>
          </cell>
          <cell r="BM91">
            <v>28392.961057024902</v>
          </cell>
          <cell r="BN91">
            <v>28924.640616444722</v>
          </cell>
          <cell r="BO91">
            <v>28924.640616444722</v>
          </cell>
          <cell r="BP91">
            <v>29467.067748336722</v>
          </cell>
          <cell r="BQ91">
            <v>30020.457012644762</v>
          </cell>
          <cell r="BR91">
            <v>30020.457012644762</v>
          </cell>
          <cell r="BS91">
            <v>30614.864002908962</v>
          </cell>
          <cell r="BT91">
            <v>31221.122851482251</v>
          </cell>
          <cell r="BU91">
            <v>31221.122851482251</v>
          </cell>
          <cell r="BV91">
            <v>31864.30473868949</v>
          </cell>
          <cell r="BW91">
            <v>32521.308264523916</v>
          </cell>
          <cell r="BX91">
            <v>32521.308264523916</v>
          </cell>
        </row>
        <row r="92">
          <cell r="B92" t="str">
            <v>Net customer loans and advances</v>
          </cell>
          <cell r="C92" t="str">
            <v>B_BS_A_NETLOANS</v>
          </cell>
          <cell r="D92" t="str">
            <v>AUD</v>
          </cell>
          <cell r="F92">
            <v>268938</v>
          </cell>
          <cell r="G92">
            <v>303415</v>
          </cell>
          <cell r="H92">
            <v>349851</v>
          </cell>
          <cell r="I92">
            <v>345769</v>
          </cell>
          <cell r="J92">
            <v>363392</v>
          </cell>
          <cell r="K92">
            <v>397307</v>
          </cell>
          <cell r="L92">
            <v>427823</v>
          </cell>
          <cell r="M92">
            <v>483263</v>
          </cell>
          <cell r="N92">
            <v>509120</v>
          </cell>
          <cell r="O92">
            <v>521752</v>
          </cell>
          <cell r="P92">
            <v>521752</v>
          </cell>
          <cell r="Q92">
            <v>558203</v>
          </cell>
          <cell r="R92">
            <v>570238</v>
          </cell>
          <cell r="S92">
            <v>570238</v>
          </cell>
          <cell r="T92">
            <v>561768</v>
          </cell>
          <cell r="U92">
            <v>575852</v>
          </cell>
          <cell r="V92">
            <v>575852</v>
          </cell>
          <cell r="W92">
            <v>576304</v>
          </cell>
          <cell r="X92">
            <v>580293</v>
          </cell>
          <cell r="Y92">
            <v>580293</v>
          </cell>
          <cell r="Z92">
            <v>591947</v>
          </cell>
          <cell r="AA92">
            <v>604937</v>
          </cell>
          <cell r="AB92">
            <v>604937</v>
          </cell>
          <cell r="AC92">
            <v>609501</v>
          </cell>
          <cell r="AD92">
            <v>614577</v>
          </cell>
          <cell r="AE92">
            <v>614577</v>
          </cell>
          <cell r="AF92">
            <v>655684</v>
          </cell>
          <cell r="AG92">
            <v>616175</v>
          </cell>
          <cell r="AH92">
            <v>616175</v>
          </cell>
          <cell r="AI92">
            <v>613515</v>
          </cell>
          <cell r="AJ92">
            <v>628882</v>
          </cell>
          <cell r="AK92">
            <v>628882</v>
          </cell>
          <cell r="AL92">
            <v>650602</v>
          </cell>
          <cell r="AM92">
            <v>671594</v>
          </cell>
          <cell r="AN92">
            <v>671594</v>
          </cell>
          <cell r="AO92">
            <v>689284</v>
          </cell>
          <cell r="AP92">
            <v>706182</v>
          </cell>
          <cell r="AQ92">
            <v>706182</v>
          </cell>
          <cell r="AR92">
            <v>714289</v>
          </cell>
          <cell r="AS92">
            <v>802502</v>
          </cell>
          <cell r="AT92">
            <v>802502</v>
          </cell>
          <cell r="AU92">
            <v>819319</v>
          </cell>
          <cell r="AV92">
            <v>828552</v>
          </cell>
          <cell r="AW92">
            <v>828552</v>
          </cell>
          <cell r="AX92">
            <v>846227.53256527428</v>
          </cell>
          <cell r="AY92">
            <v>859099.23247306806</v>
          </cell>
          <cell r="AZ92">
            <v>859099.23247306806</v>
          </cell>
          <cell r="BA92">
            <v>871658.62153802067</v>
          </cell>
          <cell r="BB92">
            <v>887783.3814690524</v>
          </cell>
          <cell r="BC92">
            <v>887783.3814690524</v>
          </cell>
          <cell r="BD92">
            <v>903531.78812541428</v>
          </cell>
          <cell r="BE92">
            <v>919754.70879713062</v>
          </cell>
          <cell r="BF92">
            <v>919754.70879713062</v>
          </cell>
          <cell r="BG92">
            <v>934986.44315258751</v>
          </cell>
          <cell r="BH92">
            <v>949854.37587656314</v>
          </cell>
          <cell r="BI92">
            <v>949854.37587656314</v>
          </cell>
          <cell r="BJ92">
            <v>967702.48789269163</v>
          </cell>
          <cell r="BK92">
            <v>984765.29128887376</v>
          </cell>
          <cell r="BL92">
            <v>984765.29128887376</v>
          </cell>
          <cell r="BM92">
            <v>1003736.3441281908</v>
          </cell>
          <cell r="BN92">
            <v>1022505.8548571264</v>
          </cell>
          <cell r="BO92">
            <v>1022505.8548571264</v>
          </cell>
          <cell r="BP92">
            <v>1041655.2171650133</v>
          </cell>
          <cell r="BQ92">
            <v>1061192.0273196213</v>
          </cell>
          <cell r="BR92">
            <v>1061192.0273196213</v>
          </cell>
          <cell r="BS92">
            <v>1082167.6073134877</v>
          </cell>
          <cell r="BT92">
            <v>1103562.1517045395</v>
          </cell>
          <cell r="BU92">
            <v>1103562.1517045395</v>
          </cell>
          <cell r="BV92">
            <v>1126252.8274791613</v>
          </cell>
          <cell r="BW92">
            <v>1149431.7578438201</v>
          </cell>
          <cell r="BX92">
            <v>1149431.7578438201</v>
          </cell>
        </row>
        <row r="93">
          <cell r="B93" t="str">
            <v>Total debt securities</v>
          </cell>
          <cell r="C93" t="str">
            <v>B_BS_A_DEBTTOT</v>
          </cell>
          <cell r="D93" t="str">
            <v>AUD</v>
          </cell>
          <cell r="F93"/>
          <cell r="G93"/>
          <cell r="H93"/>
          <cell r="I93"/>
          <cell r="J93"/>
          <cell r="K93"/>
          <cell r="L93"/>
          <cell r="M93"/>
          <cell r="N93"/>
          <cell r="O93"/>
          <cell r="P93"/>
          <cell r="Q93"/>
          <cell r="R93"/>
          <cell r="S93"/>
          <cell r="T93"/>
          <cell r="U93"/>
          <cell r="V93"/>
          <cell r="W93"/>
          <cell r="X93"/>
          <cell r="Y93"/>
          <cell r="Z93"/>
          <cell r="AA93"/>
          <cell r="AB93"/>
          <cell r="AC93"/>
          <cell r="AD93"/>
          <cell r="AE93"/>
          <cell r="AF93"/>
          <cell r="AG93"/>
          <cell r="AH93"/>
          <cell r="AI93"/>
          <cell r="AJ93"/>
          <cell r="AK93"/>
          <cell r="AL93"/>
          <cell r="AM93"/>
          <cell r="AN93"/>
          <cell r="AO93"/>
          <cell r="AP93"/>
          <cell r="AQ93"/>
          <cell r="AR93"/>
          <cell r="AS93"/>
          <cell r="AT93"/>
          <cell r="AU93"/>
          <cell r="AV93"/>
          <cell r="AW93"/>
          <cell r="AX93"/>
          <cell r="AY93"/>
          <cell r="AZ93"/>
          <cell r="BA93"/>
          <cell r="BB93"/>
          <cell r="BC93"/>
          <cell r="BD93"/>
          <cell r="BE93"/>
          <cell r="BF93"/>
          <cell r="BG93"/>
          <cell r="BH93"/>
          <cell r="BI93"/>
          <cell r="BJ93"/>
          <cell r="BK93"/>
          <cell r="BL93"/>
          <cell r="BM93"/>
          <cell r="BN93"/>
          <cell r="BO93"/>
          <cell r="BP93"/>
          <cell r="BQ93"/>
          <cell r="BR93"/>
          <cell r="BS93"/>
          <cell r="BT93"/>
          <cell r="BU93"/>
          <cell r="BV93"/>
          <cell r="BW93"/>
          <cell r="BX93"/>
        </row>
        <row r="94">
          <cell r="B94" t="str">
            <v>Other interest earning assets</v>
          </cell>
          <cell r="C94" t="str">
            <v>B_BS_A_OTHINT1</v>
          </cell>
          <cell r="D94" t="str">
            <v>AUD</v>
          </cell>
          <cell r="F94">
            <v>18249</v>
          </cell>
          <cell r="G94">
            <v>27466</v>
          </cell>
          <cell r="H94">
            <v>30657</v>
          </cell>
          <cell r="I94">
            <v>45754</v>
          </cell>
          <cell r="J94">
            <v>52595</v>
          </cell>
          <cell r="K94">
            <v>56751</v>
          </cell>
          <cell r="L94">
            <v>60720</v>
          </cell>
          <cell r="M94">
            <v>69553</v>
          </cell>
          <cell r="N94">
            <v>73448</v>
          </cell>
          <cell r="O94">
            <v>80760</v>
          </cell>
          <cell r="P94">
            <v>80760</v>
          </cell>
          <cell r="Q94">
            <v>90046</v>
          </cell>
          <cell r="R94">
            <v>93181</v>
          </cell>
          <cell r="S94">
            <v>93181</v>
          </cell>
          <cell r="T94">
            <v>100867</v>
          </cell>
          <cell r="U94">
            <v>110821</v>
          </cell>
          <cell r="V94">
            <v>110821</v>
          </cell>
          <cell r="W94">
            <v>109352</v>
          </cell>
          <cell r="X94">
            <v>113636</v>
          </cell>
          <cell r="Y94">
            <v>113636</v>
          </cell>
          <cell r="Z94">
            <v>115900</v>
          </cell>
          <cell r="AA94">
            <v>112573</v>
          </cell>
          <cell r="AB94">
            <v>112573</v>
          </cell>
          <cell r="AC94">
            <v>122240</v>
          </cell>
          <cell r="AD94">
            <v>127350</v>
          </cell>
          <cell r="AE94">
            <v>127350</v>
          </cell>
          <cell r="AF94">
            <v>135488</v>
          </cell>
          <cell r="AG94">
            <v>145106</v>
          </cell>
          <cell r="AH94">
            <v>145106</v>
          </cell>
          <cell r="AI94">
            <v>139262</v>
          </cell>
          <cell r="AJ94">
            <v>128814</v>
          </cell>
          <cell r="AK94">
            <v>128814</v>
          </cell>
          <cell r="AL94">
            <v>120212</v>
          </cell>
          <cell r="AM94">
            <v>123754</v>
          </cell>
          <cell r="AN94">
            <v>123754</v>
          </cell>
          <cell r="AO94">
            <v>136222</v>
          </cell>
          <cell r="AP94">
            <v>137393</v>
          </cell>
          <cell r="AQ94">
            <v>137393</v>
          </cell>
          <cell r="AR94">
            <v>163645</v>
          </cell>
          <cell r="AS94">
            <v>190026</v>
          </cell>
          <cell r="AT94">
            <v>190026</v>
          </cell>
          <cell r="AU94">
            <v>204873</v>
          </cell>
          <cell r="AV94">
            <v>217800</v>
          </cell>
          <cell r="AW94">
            <v>217800</v>
          </cell>
          <cell r="AX94">
            <v>222480.55173596926</v>
          </cell>
          <cell r="AY94">
            <v>225892.01838607219</v>
          </cell>
          <cell r="AZ94">
            <v>225892.01838607219</v>
          </cell>
          <cell r="BA94">
            <v>229220.92672060619</v>
          </cell>
          <cell r="BB94">
            <v>233493.77168730137</v>
          </cell>
          <cell r="BC94">
            <v>233493.77168730137</v>
          </cell>
          <cell r="BD94">
            <v>237677.552043984</v>
          </cell>
          <cell r="BE94">
            <v>241989.39074183008</v>
          </cell>
          <cell r="BF94">
            <v>241989.39074183008</v>
          </cell>
          <cell r="BG94">
            <v>246047.49710098677</v>
          </cell>
          <cell r="BH94">
            <v>250017.65616305926</v>
          </cell>
          <cell r="BI94">
            <v>250017.65616305926</v>
          </cell>
          <cell r="BJ94">
            <v>254779.04454169222</v>
          </cell>
          <cell r="BK94">
            <v>259334.44416752993</v>
          </cell>
          <cell r="BL94">
            <v>259334.44416752993</v>
          </cell>
          <cell r="BM94">
            <v>264340.72489612811</v>
          </cell>
          <cell r="BN94">
            <v>269290.70386687428</v>
          </cell>
          <cell r="BO94">
            <v>269290.70386687428</v>
          </cell>
          <cell r="BP94">
            <v>274340.74359184987</v>
          </cell>
          <cell r="BQ94">
            <v>279492.84164119116</v>
          </cell>
          <cell r="BR94">
            <v>279492.84164119116</v>
          </cell>
          <cell r="BS94">
            <v>285026.81798040395</v>
          </cell>
          <cell r="BT94">
            <v>290671.13606278668</v>
          </cell>
          <cell r="BU94">
            <v>290671.13606278668</v>
          </cell>
          <cell r="BV94">
            <v>296659.2105705124</v>
          </cell>
          <cell r="BW94">
            <v>302775.96563278214</v>
          </cell>
          <cell r="BX94">
            <v>302775.96563278214</v>
          </cell>
        </row>
        <row r="95">
          <cell r="B95" t="str">
            <v>Interest earning assets</v>
          </cell>
          <cell r="C95" t="str">
            <v>B_BS_A_PERIOD</v>
          </cell>
          <cell r="D95" t="str">
            <v>AUD</v>
          </cell>
          <cell r="F95">
            <v>283417</v>
          </cell>
          <cell r="G95">
            <v>324385</v>
          </cell>
          <cell r="H95">
            <v>375073</v>
          </cell>
          <cell r="I95">
            <v>382746</v>
          </cell>
          <cell r="J95">
            <v>409973</v>
          </cell>
          <cell r="K95">
            <v>466386</v>
          </cell>
          <cell r="L95">
            <v>504407</v>
          </cell>
          <cell r="M95">
            <v>571229</v>
          </cell>
          <cell r="N95">
            <v>597592</v>
          </cell>
          <cell r="O95">
            <v>621602</v>
          </cell>
          <cell r="P95">
            <v>621602</v>
          </cell>
          <cell r="Q95">
            <v>669397</v>
          </cell>
          <cell r="R95">
            <v>680644</v>
          </cell>
          <cell r="S95">
            <v>680644</v>
          </cell>
          <cell r="T95">
            <v>687923</v>
          </cell>
          <cell r="U95">
            <v>708053</v>
          </cell>
          <cell r="V95">
            <v>708053</v>
          </cell>
          <cell r="W95">
            <v>706787</v>
          </cell>
          <cell r="X95">
            <v>699433</v>
          </cell>
          <cell r="Y95">
            <v>699433</v>
          </cell>
          <cell r="Z95">
            <v>712884</v>
          </cell>
          <cell r="AA95">
            <v>719829</v>
          </cell>
          <cell r="AB95">
            <v>719829</v>
          </cell>
          <cell r="AC95">
            <v>735782</v>
          </cell>
          <cell r="AD95">
            <v>745666</v>
          </cell>
          <cell r="AE95">
            <v>745666</v>
          </cell>
          <cell r="AF95">
            <v>798133</v>
          </cell>
          <cell r="AG95">
            <v>768822</v>
          </cell>
          <cell r="AH95">
            <v>768822</v>
          </cell>
          <cell r="AI95">
            <v>762555</v>
          </cell>
          <cell r="AJ95">
            <v>765226</v>
          </cell>
          <cell r="AK95">
            <v>765226</v>
          </cell>
          <cell r="AL95">
            <v>777955</v>
          </cell>
          <cell r="AM95">
            <v>800110</v>
          </cell>
          <cell r="AN95">
            <v>800110</v>
          </cell>
          <cell r="AO95">
            <v>832526</v>
          </cell>
          <cell r="AP95">
            <v>852924</v>
          </cell>
          <cell r="AQ95">
            <v>852924</v>
          </cell>
          <cell r="AR95">
            <v>881743</v>
          </cell>
          <cell r="AS95">
            <v>998012</v>
          </cell>
          <cell r="AT95">
            <v>998012</v>
          </cell>
          <cell r="AU95">
            <v>1030417</v>
          </cell>
          <cell r="AV95">
            <v>1069746</v>
          </cell>
          <cell r="AW95">
            <v>1069746</v>
          </cell>
          <cell r="AX95">
            <v>1092604.824555198</v>
          </cell>
          <cell r="AY95">
            <v>1109254.4183436388</v>
          </cell>
          <cell r="AZ95">
            <v>1109254.4183436388</v>
          </cell>
          <cell r="BA95">
            <v>1125500.2753463308</v>
          </cell>
          <cell r="BB95">
            <v>1146356.8285229872</v>
          </cell>
          <cell r="BC95">
            <v>1146356.8285229872</v>
          </cell>
          <cell r="BD95">
            <v>1166738.3973434891</v>
          </cell>
          <cell r="BE95">
            <v>1187736.2933269055</v>
          </cell>
          <cell r="BF95">
            <v>1187736.2933269055</v>
          </cell>
          <cell r="BG95">
            <v>1207462.0171460467</v>
          </cell>
          <cell r="BH95">
            <v>1226726.5455762551</v>
          </cell>
          <cell r="BI95">
            <v>1226726.5455762551</v>
          </cell>
          <cell r="BJ95">
            <v>1249847.4689266167</v>
          </cell>
          <cell r="BK95">
            <v>1271954.9695558308</v>
          </cell>
          <cell r="BL95">
            <v>1271954.9695558308</v>
          </cell>
          <cell r="BM95">
            <v>1296470.0300813438</v>
          </cell>
          <cell r="BN95">
            <v>1320721.1993404455</v>
          </cell>
          <cell r="BO95">
            <v>1320721.1993404455</v>
          </cell>
          <cell r="BP95">
            <v>1345463.0285052001</v>
          </cell>
          <cell r="BQ95">
            <v>1370705.3259734572</v>
          </cell>
          <cell r="BR95">
            <v>1370705.3259734572</v>
          </cell>
          <cell r="BS95">
            <v>1397809.2892968005</v>
          </cell>
          <cell r="BT95">
            <v>1425454.4106188086</v>
          </cell>
          <cell r="BU95">
            <v>1425454.4106188086</v>
          </cell>
          <cell r="BV95">
            <v>1454776.3427883631</v>
          </cell>
          <cell r="BW95">
            <v>1484729.0317411262</v>
          </cell>
          <cell r="BX95">
            <v>1484729.0317411262</v>
          </cell>
        </row>
        <row r="96">
          <cell r="B96" t="str">
            <v>Net PP&amp;E</v>
          </cell>
          <cell r="C96" t="str">
            <v>NET_FIX_ASS</v>
          </cell>
          <cell r="D96" t="str">
            <v>AUD</v>
          </cell>
          <cell r="F96">
            <v>1109</v>
          </cell>
          <cell r="G96">
            <v>1493</v>
          </cell>
          <cell r="H96">
            <v>1592</v>
          </cell>
          <cell r="I96">
            <v>2062</v>
          </cell>
          <cell r="J96">
            <v>2158</v>
          </cell>
          <cell r="K96">
            <v>2125</v>
          </cell>
          <cell r="L96">
            <v>2114</v>
          </cell>
          <cell r="M96">
            <v>2164</v>
          </cell>
          <cell r="N96">
            <v>2150</v>
          </cell>
          <cell r="O96">
            <v>2181</v>
          </cell>
          <cell r="P96">
            <v>2181</v>
          </cell>
          <cell r="Q96">
            <v>2203</v>
          </cell>
          <cell r="R96">
            <v>2221</v>
          </cell>
          <cell r="S96">
            <v>2221</v>
          </cell>
          <cell r="T96">
            <v>2188</v>
          </cell>
          <cell r="U96">
            <v>2205</v>
          </cell>
          <cell r="V96">
            <v>2205</v>
          </cell>
          <cell r="W96">
            <v>1979</v>
          </cell>
          <cell r="X96">
            <v>1965</v>
          </cell>
          <cell r="Y96">
            <v>1965</v>
          </cell>
          <cell r="Z96">
            <v>1892</v>
          </cell>
          <cell r="AA96">
            <v>1833</v>
          </cell>
          <cell r="AB96">
            <v>1833</v>
          </cell>
          <cell r="AC96">
            <v>1863</v>
          </cell>
          <cell r="AD96">
            <v>1924</v>
          </cell>
          <cell r="AE96">
            <v>1924</v>
          </cell>
          <cell r="AF96">
            <v>3211</v>
          </cell>
          <cell r="AG96">
            <v>3013</v>
          </cell>
          <cell r="AH96">
            <v>3013</v>
          </cell>
          <cell r="AI96">
            <v>2792</v>
          </cell>
          <cell r="AJ96">
            <v>2734</v>
          </cell>
          <cell r="AK96">
            <v>2734</v>
          </cell>
          <cell r="AL96">
            <v>2702</v>
          </cell>
          <cell r="AM96">
            <v>2431</v>
          </cell>
          <cell r="AN96">
            <v>2431</v>
          </cell>
          <cell r="AO96">
            <v>2289</v>
          </cell>
          <cell r="AP96">
            <v>2053</v>
          </cell>
          <cell r="AQ96">
            <v>2053</v>
          </cell>
          <cell r="AR96">
            <v>2005</v>
          </cell>
          <cell r="AS96">
            <v>2222</v>
          </cell>
          <cell r="AT96">
            <v>2222</v>
          </cell>
          <cell r="AU96">
            <v>2172</v>
          </cell>
          <cell r="AV96">
            <v>2144</v>
          </cell>
          <cell r="AW96">
            <v>2144</v>
          </cell>
          <cell r="AX96">
            <v>2190.0748527177138</v>
          </cell>
          <cell r="AY96">
            <v>2223.6569670327767</v>
          </cell>
          <cell r="AZ96">
            <v>2223.6569670327767</v>
          </cell>
          <cell r="BA96">
            <v>2256.4263860834694</v>
          </cell>
          <cell r="BB96">
            <v>2298.4878167932698</v>
          </cell>
          <cell r="BC96">
            <v>2298.4878167932698</v>
          </cell>
          <cell r="BD96">
            <v>2339.6725049692454</v>
          </cell>
          <cell r="BE96">
            <v>2382.1177858148931</v>
          </cell>
          <cell r="BF96">
            <v>2382.1177858148931</v>
          </cell>
          <cell r="BG96">
            <v>2422.0653525459857</v>
          </cell>
          <cell r="BH96">
            <v>2461.1471754527047</v>
          </cell>
          <cell r="BI96">
            <v>2461.1471754527047</v>
          </cell>
          <cell r="BJ96">
            <v>2508.0177754701017</v>
          </cell>
          <cell r="BK96">
            <v>2552.8606441468514</v>
          </cell>
          <cell r="BL96">
            <v>2552.8606441468514</v>
          </cell>
          <cell r="BM96">
            <v>2602.141938371436</v>
          </cell>
          <cell r="BN96">
            <v>2650.8690040889742</v>
          </cell>
          <cell r="BO96">
            <v>2650.8690040889742</v>
          </cell>
          <cell r="BP96">
            <v>2700.5810572127002</v>
          </cell>
          <cell r="BQ96">
            <v>2751.2977616102567</v>
          </cell>
          <cell r="BR96">
            <v>2751.2977616102567</v>
          </cell>
          <cell r="BS96">
            <v>2805.7736352157299</v>
          </cell>
          <cell r="BT96">
            <v>2861.335701187395</v>
          </cell>
          <cell r="BU96">
            <v>2861.335701187395</v>
          </cell>
          <cell r="BV96">
            <v>2920.2816687932905</v>
          </cell>
          <cell r="BW96">
            <v>2980.494354071097</v>
          </cell>
          <cell r="BX96">
            <v>2980.494354071097</v>
          </cell>
        </row>
        <row r="97">
          <cell r="B97" t="str">
            <v>Goodwill, net book value</v>
          </cell>
          <cell r="C97" t="str">
            <v>GOODWILL</v>
          </cell>
          <cell r="D97" t="str">
            <v>AUD</v>
          </cell>
          <cell r="F97">
            <v>2940</v>
          </cell>
          <cell r="G97">
            <v>3215</v>
          </cell>
          <cell r="H97">
            <v>3116</v>
          </cell>
          <cell r="I97">
            <v>3047</v>
          </cell>
          <cell r="J97">
            <v>5413</v>
          </cell>
          <cell r="K97">
            <v>5392</v>
          </cell>
          <cell r="L97">
            <v>5320</v>
          </cell>
          <cell r="M97">
            <v>5520</v>
          </cell>
          <cell r="N97">
            <v>5637</v>
          </cell>
          <cell r="O97">
            <v>5417</v>
          </cell>
          <cell r="P97">
            <v>5417</v>
          </cell>
          <cell r="Q97">
            <v>5695</v>
          </cell>
          <cell r="R97">
            <v>5419</v>
          </cell>
          <cell r="S97">
            <v>5419</v>
          </cell>
          <cell r="T97">
            <v>5336</v>
          </cell>
          <cell r="U97">
            <v>5470</v>
          </cell>
          <cell r="V97">
            <v>5470</v>
          </cell>
          <cell r="W97">
            <v>5136</v>
          </cell>
          <cell r="X97">
            <v>5114</v>
          </cell>
          <cell r="Y97">
            <v>5114</v>
          </cell>
          <cell r="Z97">
            <v>3563</v>
          </cell>
          <cell r="AA97">
            <v>3509</v>
          </cell>
          <cell r="AB97">
            <v>3509</v>
          </cell>
          <cell r="AC97">
            <v>3649</v>
          </cell>
          <cell r="AD97">
            <v>3538</v>
          </cell>
          <cell r="AE97">
            <v>3538</v>
          </cell>
          <cell r="AF97">
            <v>3694</v>
          </cell>
          <cell r="AG97">
            <v>3340</v>
          </cell>
          <cell r="AH97">
            <v>3340</v>
          </cell>
          <cell r="AI97">
            <v>3063</v>
          </cell>
          <cell r="AJ97">
            <v>3164</v>
          </cell>
          <cell r="AK97">
            <v>3164</v>
          </cell>
          <cell r="AL97">
            <v>3144</v>
          </cell>
          <cell r="AM97">
            <v>2981</v>
          </cell>
          <cell r="AN97">
            <v>2981</v>
          </cell>
          <cell r="AO97">
            <v>3160</v>
          </cell>
          <cell r="AP97">
            <v>3139</v>
          </cell>
          <cell r="AQ97">
            <v>3139</v>
          </cell>
          <cell r="AR97">
            <v>3093</v>
          </cell>
          <cell r="AS97">
            <v>4491</v>
          </cell>
          <cell r="AT97">
            <v>4491</v>
          </cell>
          <cell r="AU97">
            <v>4864</v>
          </cell>
          <cell r="AV97">
            <v>4767</v>
          </cell>
          <cell r="AW97">
            <v>4767</v>
          </cell>
          <cell r="AX97">
            <v>4767</v>
          </cell>
          <cell r="AY97">
            <v>4767</v>
          </cell>
          <cell r="AZ97">
            <v>4767</v>
          </cell>
          <cell r="BA97">
            <v>4767</v>
          </cell>
          <cell r="BB97">
            <v>4767</v>
          </cell>
          <cell r="BC97">
            <v>4767</v>
          </cell>
          <cell r="BD97">
            <v>4767</v>
          </cell>
          <cell r="BE97">
            <v>4767</v>
          </cell>
          <cell r="BF97">
            <v>4767</v>
          </cell>
          <cell r="BG97">
            <v>4767</v>
          </cell>
          <cell r="BH97">
            <v>4767</v>
          </cell>
          <cell r="BI97">
            <v>4767</v>
          </cell>
          <cell r="BJ97">
            <v>4767</v>
          </cell>
          <cell r="BK97">
            <v>4767</v>
          </cell>
          <cell r="BL97">
            <v>4767</v>
          </cell>
          <cell r="BM97">
            <v>4767</v>
          </cell>
          <cell r="BN97">
            <v>4767</v>
          </cell>
          <cell r="BO97">
            <v>4767</v>
          </cell>
          <cell r="BP97">
            <v>4767</v>
          </cell>
          <cell r="BQ97">
            <v>4767</v>
          </cell>
          <cell r="BR97">
            <v>4767</v>
          </cell>
          <cell r="BS97">
            <v>4767</v>
          </cell>
          <cell r="BT97">
            <v>4767</v>
          </cell>
          <cell r="BU97">
            <v>4767</v>
          </cell>
          <cell r="BV97">
            <v>4767</v>
          </cell>
          <cell r="BW97">
            <v>4767</v>
          </cell>
          <cell r="BX97">
            <v>4767</v>
          </cell>
        </row>
        <row r="98">
          <cell r="B98" t="str">
            <v>Intangible assets</v>
          </cell>
          <cell r="C98" t="str">
            <v>OTH_INTANG</v>
          </cell>
          <cell r="D98" t="str">
            <v>AUD</v>
          </cell>
          <cell r="F98"/>
          <cell r="G98"/>
          <cell r="H98"/>
          <cell r="I98"/>
          <cell r="J98"/>
          <cell r="K98"/>
          <cell r="L98"/>
          <cell r="M98"/>
          <cell r="N98"/>
          <cell r="O98"/>
          <cell r="P98"/>
          <cell r="Q98"/>
          <cell r="R98"/>
          <cell r="S98"/>
          <cell r="T98"/>
          <cell r="U98"/>
          <cell r="V98"/>
          <cell r="W98"/>
          <cell r="X98"/>
          <cell r="Y98"/>
          <cell r="Z98"/>
          <cell r="AA98"/>
          <cell r="AB98"/>
          <cell r="AC98"/>
          <cell r="AD98"/>
          <cell r="AE98"/>
          <cell r="AF98"/>
          <cell r="AG98"/>
          <cell r="AH98"/>
          <cell r="AI98"/>
          <cell r="AJ98"/>
          <cell r="AK98"/>
          <cell r="AL98"/>
          <cell r="AM98"/>
          <cell r="AN98"/>
          <cell r="AO98"/>
          <cell r="AP98"/>
          <cell r="AQ98"/>
          <cell r="AR98"/>
          <cell r="AS98"/>
          <cell r="AT98"/>
          <cell r="AU98"/>
          <cell r="AV98"/>
          <cell r="AW98"/>
          <cell r="AX98"/>
          <cell r="AY98"/>
          <cell r="AZ98"/>
          <cell r="BA98"/>
          <cell r="BB98"/>
          <cell r="BC98"/>
          <cell r="BD98"/>
          <cell r="BE98"/>
          <cell r="BF98"/>
          <cell r="BG98"/>
          <cell r="BH98"/>
          <cell r="BI98"/>
          <cell r="BJ98"/>
          <cell r="BK98"/>
          <cell r="BL98"/>
          <cell r="BM98"/>
          <cell r="BN98"/>
          <cell r="BO98"/>
          <cell r="BP98"/>
          <cell r="BQ98"/>
          <cell r="BR98"/>
          <cell r="BS98"/>
          <cell r="BT98"/>
          <cell r="BU98"/>
          <cell r="BV98"/>
          <cell r="BW98"/>
          <cell r="BX98"/>
        </row>
        <row r="99">
          <cell r="B99" t="str">
            <v>Net intangible assets</v>
          </cell>
          <cell r="C99" t="str">
            <v>NET_INTANG</v>
          </cell>
          <cell r="D99" t="str">
            <v>AUD</v>
          </cell>
          <cell r="F99">
            <v>2940</v>
          </cell>
          <cell r="G99">
            <v>3215</v>
          </cell>
          <cell r="H99">
            <v>3116</v>
          </cell>
          <cell r="I99">
            <v>3047</v>
          </cell>
          <cell r="J99">
            <v>5413</v>
          </cell>
          <cell r="K99">
            <v>5392</v>
          </cell>
          <cell r="L99">
            <v>5320</v>
          </cell>
          <cell r="M99">
            <v>5520</v>
          </cell>
          <cell r="N99">
            <v>5637</v>
          </cell>
          <cell r="O99">
            <v>5417</v>
          </cell>
          <cell r="P99">
            <v>5417</v>
          </cell>
          <cell r="Q99">
            <v>5695</v>
          </cell>
          <cell r="R99">
            <v>5419</v>
          </cell>
          <cell r="S99">
            <v>5419</v>
          </cell>
          <cell r="T99">
            <v>5336</v>
          </cell>
          <cell r="U99">
            <v>5470</v>
          </cell>
          <cell r="V99">
            <v>5470</v>
          </cell>
          <cell r="W99">
            <v>5136</v>
          </cell>
          <cell r="X99">
            <v>5114</v>
          </cell>
          <cell r="Y99">
            <v>5114</v>
          </cell>
          <cell r="Z99">
            <v>3563</v>
          </cell>
          <cell r="AA99">
            <v>3509</v>
          </cell>
          <cell r="AB99">
            <v>3509</v>
          </cell>
          <cell r="AC99">
            <v>3649</v>
          </cell>
          <cell r="AD99">
            <v>3538</v>
          </cell>
          <cell r="AE99">
            <v>3538</v>
          </cell>
          <cell r="AF99">
            <v>3694</v>
          </cell>
          <cell r="AG99">
            <v>3340</v>
          </cell>
          <cell r="AH99">
            <v>3340</v>
          </cell>
          <cell r="AI99">
            <v>3063</v>
          </cell>
          <cell r="AJ99">
            <v>3164</v>
          </cell>
          <cell r="AK99">
            <v>3164</v>
          </cell>
          <cell r="AL99">
            <v>3144</v>
          </cell>
          <cell r="AM99">
            <v>2981</v>
          </cell>
          <cell r="AN99">
            <v>2981</v>
          </cell>
          <cell r="AO99">
            <v>3160</v>
          </cell>
          <cell r="AP99">
            <v>3139</v>
          </cell>
          <cell r="AQ99">
            <v>3139</v>
          </cell>
          <cell r="AR99">
            <v>3093</v>
          </cell>
          <cell r="AS99">
            <v>4491</v>
          </cell>
          <cell r="AT99">
            <v>4491</v>
          </cell>
          <cell r="AU99">
            <v>4864</v>
          </cell>
          <cell r="AV99">
            <v>4767</v>
          </cell>
          <cell r="AW99">
            <v>4767</v>
          </cell>
          <cell r="AX99">
            <v>4767</v>
          </cell>
          <cell r="AY99">
            <v>4767</v>
          </cell>
          <cell r="AZ99">
            <v>4767</v>
          </cell>
          <cell r="BA99">
            <v>4767</v>
          </cell>
          <cell r="BB99">
            <v>4767</v>
          </cell>
          <cell r="BC99">
            <v>4767</v>
          </cell>
          <cell r="BD99">
            <v>4767</v>
          </cell>
          <cell r="BE99">
            <v>4767</v>
          </cell>
          <cell r="BF99">
            <v>4767</v>
          </cell>
          <cell r="BG99">
            <v>4767</v>
          </cell>
          <cell r="BH99">
            <v>4767</v>
          </cell>
          <cell r="BI99">
            <v>4767</v>
          </cell>
          <cell r="BJ99">
            <v>4767</v>
          </cell>
          <cell r="BK99">
            <v>4767</v>
          </cell>
          <cell r="BL99">
            <v>4767</v>
          </cell>
          <cell r="BM99">
            <v>4767</v>
          </cell>
          <cell r="BN99">
            <v>4767</v>
          </cell>
          <cell r="BO99">
            <v>4767</v>
          </cell>
          <cell r="BP99">
            <v>4767</v>
          </cell>
          <cell r="BQ99">
            <v>4767</v>
          </cell>
          <cell r="BR99">
            <v>4767</v>
          </cell>
          <cell r="BS99">
            <v>4767</v>
          </cell>
          <cell r="BT99">
            <v>4767</v>
          </cell>
          <cell r="BU99">
            <v>4767</v>
          </cell>
          <cell r="BV99">
            <v>4767</v>
          </cell>
          <cell r="BW99">
            <v>4767</v>
          </cell>
          <cell r="BX99">
            <v>4767</v>
          </cell>
        </row>
        <row r="100">
          <cell r="B100" t="str">
            <v>Pre-payments &amp; accrued income</v>
          </cell>
          <cell r="C100" t="str">
            <v>PRE_PAYMNTS</v>
          </cell>
          <cell r="D100" t="str">
            <v>AUD</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row>
        <row r="101">
          <cell r="B101" t="str">
            <v>Equity method investments</v>
          </cell>
          <cell r="C101" t="str">
            <v>FIX_ASS_INV</v>
          </cell>
          <cell r="D101" t="str">
            <v>AUD</v>
          </cell>
          <cell r="F101"/>
          <cell r="G101"/>
          <cell r="H101"/>
          <cell r="I101"/>
          <cell r="J101"/>
          <cell r="K101"/>
          <cell r="L101"/>
          <cell r="M101"/>
          <cell r="N101"/>
          <cell r="O101"/>
          <cell r="P101"/>
          <cell r="Q101"/>
          <cell r="R101"/>
          <cell r="S101"/>
          <cell r="T101"/>
          <cell r="U101"/>
          <cell r="V101"/>
          <cell r="W101"/>
          <cell r="X101"/>
          <cell r="Y101"/>
          <cell r="Z101"/>
          <cell r="AA101"/>
          <cell r="AB101"/>
          <cell r="AC101"/>
          <cell r="AD101"/>
          <cell r="AE101"/>
          <cell r="AF101"/>
          <cell r="AG101"/>
          <cell r="AH101"/>
          <cell r="AI101"/>
          <cell r="AJ101"/>
          <cell r="AK101"/>
          <cell r="AL101"/>
          <cell r="AM101"/>
          <cell r="AN101"/>
          <cell r="AO101"/>
          <cell r="AP101"/>
          <cell r="AQ101"/>
          <cell r="AR101"/>
          <cell r="AS101"/>
          <cell r="AT101"/>
          <cell r="AU101"/>
          <cell r="AV101"/>
          <cell r="AW101"/>
          <cell r="AX101"/>
          <cell r="AY101"/>
          <cell r="AZ101"/>
          <cell r="BA101"/>
          <cell r="BB101"/>
          <cell r="BC101"/>
          <cell r="BD101"/>
          <cell r="BE101"/>
          <cell r="BF101"/>
          <cell r="BG101"/>
          <cell r="BH101"/>
          <cell r="BI101"/>
          <cell r="BJ101"/>
          <cell r="BK101"/>
          <cell r="BL101"/>
          <cell r="BM101"/>
          <cell r="BN101"/>
          <cell r="BO101"/>
          <cell r="BP101"/>
          <cell r="BQ101"/>
          <cell r="BR101"/>
          <cell r="BS101"/>
          <cell r="BT101"/>
          <cell r="BU101"/>
          <cell r="BV101"/>
          <cell r="BW101"/>
          <cell r="BX101"/>
        </row>
        <row r="102">
          <cell r="B102" t="str">
            <v>Investments in securities</v>
          </cell>
          <cell r="C102" t="str">
            <v>INV_SECUR</v>
          </cell>
          <cell r="D102" t="str">
            <v>AUD</v>
          </cell>
          <cell r="F102"/>
          <cell r="G102"/>
          <cell r="H102"/>
          <cell r="I102"/>
          <cell r="J102"/>
          <cell r="K102"/>
          <cell r="L102"/>
          <cell r="M102"/>
          <cell r="N102"/>
          <cell r="O102"/>
          <cell r="P102"/>
          <cell r="Q102"/>
          <cell r="R102"/>
          <cell r="S102"/>
          <cell r="T102"/>
          <cell r="U102"/>
          <cell r="V102"/>
          <cell r="W102"/>
          <cell r="X102"/>
          <cell r="Y102"/>
          <cell r="Z102"/>
          <cell r="AA102"/>
          <cell r="AB102"/>
          <cell r="AC102"/>
          <cell r="AD102"/>
          <cell r="AE102"/>
          <cell r="AF102"/>
          <cell r="AG102"/>
          <cell r="AH102"/>
          <cell r="AI102"/>
          <cell r="AJ102"/>
          <cell r="AK102"/>
          <cell r="AL102"/>
          <cell r="AM102"/>
          <cell r="AN102"/>
          <cell r="AO102"/>
          <cell r="AP102"/>
          <cell r="AQ102"/>
          <cell r="AR102"/>
          <cell r="AS102"/>
          <cell r="AT102"/>
          <cell r="AU102"/>
          <cell r="AV102"/>
          <cell r="AW102"/>
          <cell r="AX102"/>
          <cell r="AY102"/>
          <cell r="AZ102"/>
          <cell r="BA102"/>
          <cell r="BB102"/>
          <cell r="BC102"/>
          <cell r="BD102"/>
          <cell r="BE102"/>
          <cell r="BF102"/>
          <cell r="BG102"/>
          <cell r="BH102"/>
          <cell r="BI102"/>
          <cell r="BJ102"/>
          <cell r="BK102"/>
          <cell r="BL102"/>
          <cell r="BM102"/>
          <cell r="BN102"/>
          <cell r="BO102"/>
          <cell r="BP102"/>
          <cell r="BQ102"/>
          <cell r="BR102"/>
          <cell r="BS102"/>
          <cell r="BT102"/>
          <cell r="BU102"/>
          <cell r="BV102"/>
          <cell r="BW102"/>
          <cell r="BX102"/>
        </row>
        <row r="103">
          <cell r="B103" t="str">
            <v>Life assurance business attributable to shareholders</v>
          </cell>
          <cell r="C103" t="str">
            <v>LIFE_SHARE</v>
          </cell>
          <cell r="D103" t="str">
            <v>AUD</v>
          </cell>
          <cell r="F103"/>
          <cell r="G103"/>
          <cell r="H103"/>
          <cell r="I103"/>
          <cell r="J103"/>
          <cell r="K103"/>
          <cell r="L103"/>
          <cell r="M103"/>
          <cell r="N103"/>
          <cell r="O103"/>
          <cell r="P103"/>
          <cell r="Q103"/>
          <cell r="R103"/>
          <cell r="S103"/>
          <cell r="T103"/>
          <cell r="U103"/>
          <cell r="V103"/>
          <cell r="W103"/>
          <cell r="X103"/>
          <cell r="Y103"/>
          <cell r="Z103"/>
          <cell r="AA103"/>
          <cell r="AB103"/>
          <cell r="AC103"/>
          <cell r="AD103"/>
          <cell r="AE103"/>
          <cell r="AF103"/>
          <cell r="AG103"/>
          <cell r="AH103"/>
          <cell r="AI103"/>
          <cell r="AJ103"/>
          <cell r="AK103"/>
          <cell r="AL103"/>
          <cell r="AM103"/>
          <cell r="AN103"/>
          <cell r="AO103"/>
          <cell r="AP103"/>
          <cell r="AQ103"/>
          <cell r="AR103"/>
          <cell r="AS103"/>
          <cell r="AT103"/>
          <cell r="AU103"/>
          <cell r="AV103"/>
          <cell r="AW103"/>
          <cell r="AX103"/>
          <cell r="AY103"/>
          <cell r="AZ103"/>
          <cell r="BA103"/>
          <cell r="BB103"/>
          <cell r="BC103"/>
          <cell r="BD103"/>
          <cell r="BE103"/>
          <cell r="BF103"/>
          <cell r="BG103"/>
          <cell r="BH103"/>
          <cell r="BI103"/>
          <cell r="BJ103"/>
          <cell r="BK103"/>
          <cell r="BL103"/>
          <cell r="BM103"/>
          <cell r="BN103"/>
          <cell r="BO103"/>
          <cell r="BP103"/>
          <cell r="BQ103"/>
          <cell r="BR103"/>
          <cell r="BS103"/>
          <cell r="BT103"/>
          <cell r="BU103"/>
          <cell r="BV103"/>
          <cell r="BW103"/>
          <cell r="BX103"/>
        </row>
        <row r="104">
          <cell r="B104" t="str">
            <v>Life assurance assets attributable to policyholders</v>
          </cell>
          <cell r="C104" t="str">
            <v>LIFE_POLICY_ASS</v>
          </cell>
          <cell r="D104" t="str">
            <v>AUD</v>
          </cell>
          <cell r="F104"/>
          <cell r="G104"/>
          <cell r="H104"/>
          <cell r="I104"/>
          <cell r="J104"/>
          <cell r="K104"/>
          <cell r="L104"/>
          <cell r="M104"/>
          <cell r="N104"/>
          <cell r="O104"/>
          <cell r="P104"/>
          <cell r="Q104"/>
          <cell r="R104"/>
          <cell r="S104"/>
          <cell r="T104"/>
          <cell r="U104"/>
          <cell r="V104"/>
          <cell r="W104"/>
          <cell r="X104"/>
          <cell r="Y104"/>
          <cell r="Z104"/>
          <cell r="AA104"/>
          <cell r="AB104"/>
          <cell r="AC104"/>
          <cell r="AD104"/>
          <cell r="AE104"/>
          <cell r="AF104"/>
          <cell r="AG104"/>
          <cell r="AH104"/>
          <cell r="AI104"/>
          <cell r="AJ104"/>
          <cell r="AK104"/>
          <cell r="AL104"/>
          <cell r="AM104"/>
          <cell r="AN104"/>
          <cell r="AO104"/>
          <cell r="AP104"/>
          <cell r="AQ104"/>
          <cell r="AR104"/>
          <cell r="AS104"/>
          <cell r="AT104"/>
          <cell r="AU104"/>
          <cell r="AV104"/>
          <cell r="AW104"/>
          <cell r="AX104"/>
          <cell r="AY104"/>
          <cell r="AZ104"/>
          <cell r="BA104"/>
          <cell r="BB104"/>
          <cell r="BC104"/>
          <cell r="BD104"/>
          <cell r="BE104"/>
          <cell r="BF104"/>
          <cell r="BG104"/>
          <cell r="BH104"/>
          <cell r="BI104"/>
          <cell r="BJ104"/>
          <cell r="BK104"/>
          <cell r="BL104"/>
          <cell r="BM104"/>
          <cell r="BN104"/>
          <cell r="BO104"/>
          <cell r="BP104"/>
          <cell r="BQ104"/>
          <cell r="BR104"/>
          <cell r="BS104"/>
          <cell r="BT104"/>
          <cell r="BU104"/>
          <cell r="BV104"/>
          <cell r="BW104"/>
          <cell r="BX104"/>
        </row>
        <row r="105">
          <cell r="B105" t="str">
            <v>Other assets</v>
          </cell>
          <cell r="C105" t="str">
            <v>OTH_ASSET</v>
          </cell>
          <cell r="D105" t="str">
            <v>AUD</v>
          </cell>
          <cell r="F105">
            <v>32155</v>
          </cell>
          <cell r="G105">
            <v>46693</v>
          </cell>
          <cell r="H105">
            <v>65482</v>
          </cell>
          <cell r="I105">
            <v>63815</v>
          </cell>
          <cell r="J105">
            <v>95214</v>
          </cell>
          <cell r="K105">
            <v>105411</v>
          </cell>
          <cell r="L105">
            <v>93708</v>
          </cell>
          <cell r="M105">
            <v>92282</v>
          </cell>
          <cell r="N105">
            <v>92566</v>
          </cell>
          <cell r="O105">
            <v>104874</v>
          </cell>
          <cell r="P105">
            <v>104874</v>
          </cell>
          <cell r="Q105">
            <v>126081</v>
          </cell>
          <cell r="R105">
            <v>137746</v>
          </cell>
          <cell r="S105">
            <v>137746</v>
          </cell>
          <cell r="T105">
            <v>137904</v>
          </cell>
          <cell r="U105">
            <v>137743</v>
          </cell>
          <cell r="V105">
            <v>137743</v>
          </cell>
          <cell r="W105">
            <v>115011</v>
          </cell>
          <cell r="X105">
            <v>113779</v>
          </cell>
          <cell r="Y105">
            <v>113779</v>
          </cell>
          <cell r="Z105">
            <v>124397</v>
          </cell>
          <cell r="AA105">
            <v>122306</v>
          </cell>
          <cell r="AB105">
            <v>122306</v>
          </cell>
          <cell r="AC105">
            <v>133120</v>
          </cell>
          <cell r="AD105">
            <v>133382</v>
          </cell>
          <cell r="AE105">
            <v>133382</v>
          </cell>
          <cell r="AF105">
            <v>185062</v>
          </cell>
          <cell r="AG105">
            <v>144880</v>
          </cell>
          <cell r="AH105">
            <v>144880</v>
          </cell>
          <cell r="AI105">
            <v>113410</v>
          </cell>
          <cell r="AJ105">
            <v>47307</v>
          </cell>
          <cell r="AK105">
            <v>47307</v>
          </cell>
          <cell r="AL105">
            <v>54742</v>
          </cell>
          <cell r="AM105">
            <v>99375</v>
          </cell>
          <cell r="AN105">
            <v>99375</v>
          </cell>
          <cell r="AO105">
            <v>55217</v>
          </cell>
          <cell r="AP105">
            <v>70815</v>
          </cell>
          <cell r="AQ105">
            <v>70815</v>
          </cell>
          <cell r="AR105">
            <v>56918</v>
          </cell>
          <cell r="AS105">
            <v>63333</v>
          </cell>
          <cell r="AT105">
            <v>63333</v>
          </cell>
          <cell r="AU105">
            <v>58901</v>
          </cell>
          <cell r="AV105">
            <v>55409</v>
          </cell>
          <cell r="AW105">
            <v>55409</v>
          </cell>
          <cell r="AX105">
            <v>56832.353491679336</v>
          </cell>
          <cell r="AY105">
            <v>57881.066499462671</v>
          </cell>
          <cell r="AZ105">
            <v>57881.066499462671</v>
          </cell>
          <cell r="BA105">
            <v>58905.213000780554</v>
          </cell>
          <cell r="BB105">
            <v>60215.700827146014</v>
          </cell>
          <cell r="BC105">
            <v>60215.700827146014</v>
          </cell>
          <cell r="BD105">
            <v>61539.115790773911</v>
          </cell>
          <cell r="BE105">
            <v>62910.555919146427</v>
          </cell>
          <cell r="BF105">
            <v>62910.555919146427</v>
          </cell>
          <cell r="BG105">
            <v>64237.833264151704</v>
          </cell>
          <cell r="BH105">
            <v>65570.045273498326</v>
          </cell>
          <cell r="BI105">
            <v>65570.045273498326</v>
          </cell>
          <cell r="BJ105">
            <v>67150.671416073485</v>
          </cell>
          <cell r="BK105">
            <v>68676.073707088421</v>
          </cell>
          <cell r="BL105">
            <v>68676.073707088421</v>
          </cell>
          <cell r="BM105">
            <v>70133.036750992964</v>
          </cell>
          <cell r="BN105">
            <v>71561.803849023941</v>
          </cell>
          <cell r="BO105">
            <v>71561.803849023941</v>
          </cell>
          <cell r="BP105">
            <v>73019.015024599066</v>
          </cell>
          <cell r="BQ105">
            <v>74505.225049950051</v>
          </cell>
          <cell r="BR105">
            <v>74505.225049950051</v>
          </cell>
          <cell r="BS105">
            <v>76110.911006477705</v>
          </cell>
          <cell r="BT105">
            <v>77747.879566389674</v>
          </cell>
          <cell r="BU105">
            <v>77747.879566389674</v>
          </cell>
          <cell r="BV105">
            <v>79491.407102613288</v>
          </cell>
          <cell r="BW105">
            <v>81271.758156599288</v>
          </cell>
          <cell r="BX105">
            <v>81271.758156599288</v>
          </cell>
        </row>
        <row r="106">
          <cell r="B106" t="str">
            <v>Total assets</v>
          </cell>
          <cell r="C106" t="str">
            <v>TOT_ASSET</v>
          </cell>
          <cell r="D106" t="str">
            <v>AUD</v>
          </cell>
          <cell r="F106">
            <v>334640</v>
          </cell>
          <cell r="G106">
            <v>392773</v>
          </cell>
          <cell r="H106">
            <v>470293</v>
          </cell>
          <cell r="I106">
            <v>476987</v>
          </cell>
          <cell r="J106">
            <v>531703</v>
          </cell>
          <cell r="K106">
            <v>604213</v>
          </cell>
          <cell r="L106">
            <v>642127</v>
          </cell>
          <cell r="M106">
            <v>702995</v>
          </cell>
          <cell r="N106">
            <v>737815</v>
          </cell>
          <cell r="O106">
            <v>772092</v>
          </cell>
          <cell r="P106">
            <v>772092</v>
          </cell>
          <cell r="Q106">
            <v>860087</v>
          </cell>
          <cell r="R106">
            <v>889900</v>
          </cell>
          <cell r="S106">
            <v>889900</v>
          </cell>
          <cell r="T106">
            <v>895278</v>
          </cell>
          <cell r="U106">
            <v>914869</v>
          </cell>
          <cell r="V106">
            <v>914869</v>
          </cell>
          <cell r="W106">
            <v>896511</v>
          </cell>
          <cell r="X106">
            <v>897326</v>
          </cell>
          <cell r="Y106">
            <v>897326</v>
          </cell>
          <cell r="Z106">
            <v>935670</v>
          </cell>
          <cell r="AA106">
            <v>943156</v>
          </cell>
          <cell r="AB106">
            <v>943156</v>
          </cell>
          <cell r="AC106">
            <v>980270</v>
          </cell>
          <cell r="AD106">
            <v>981137</v>
          </cell>
          <cell r="AE106">
            <v>981137</v>
          </cell>
          <cell r="AF106">
            <v>1149955</v>
          </cell>
          <cell r="AG106">
            <v>1042286</v>
          </cell>
          <cell r="AH106">
            <v>1042286</v>
          </cell>
          <cell r="AI106">
            <v>1018339</v>
          </cell>
          <cell r="AJ106">
            <v>978857</v>
          </cell>
          <cell r="AK106">
            <v>978857</v>
          </cell>
          <cell r="AL106">
            <v>1017361</v>
          </cell>
          <cell r="AM106">
            <v>1085729</v>
          </cell>
          <cell r="AN106">
            <v>1085729</v>
          </cell>
          <cell r="AO106">
            <v>1111237</v>
          </cell>
          <cell r="AP106">
            <v>1105643</v>
          </cell>
          <cell r="AQ106">
            <v>1105643</v>
          </cell>
          <cell r="AR106">
            <v>1089699</v>
          </cell>
          <cell r="AS106">
            <v>1229115</v>
          </cell>
          <cell r="AT106">
            <v>1229115</v>
          </cell>
          <cell r="AU106">
            <v>1302609</v>
          </cell>
          <cell r="AV106">
            <v>1297108</v>
          </cell>
          <cell r="AW106">
            <v>1297108</v>
          </cell>
          <cell r="AX106">
            <v>1324983.0280125786</v>
          </cell>
          <cell r="AY106">
            <v>1345300.0192135966</v>
          </cell>
          <cell r="AZ106">
            <v>1345300.0192135966</v>
          </cell>
          <cell r="BA106">
            <v>1365125.3343283383</v>
          </cell>
          <cell r="BB106">
            <v>1390572.264489312</v>
          </cell>
          <cell r="BC106">
            <v>1390572.264489312</v>
          </cell>
          <cell r="BD106">
            <v>1415488.7703244628</v>
          </cell>
          <cell r="BE106">
            <v>1441167.9276692092</v>
          </cell>
          <cell r="BF106">
            <v>1441167.9276692092</v>
          </cell>
          <cell r="BG106">
            <v>1465335.981954393</v>
          </cell>
          <cell r="BH106">
            <v>1488980.2660714118</v>
          </cell>
          <cell r="BI106">
            <v>1488980.2660714118</v>
          </cell>
          <cell r="BJ106">
            <v>1517336.7167464891</v>
          </cell>
          <cell r="BK106">
            <v>1544466.4013097174</v>
          </cell>
          <cell r="BL106">
            <v>1544466.4013097174</v>
          </cell>
          <cell r="BM106">
            <v>1574281.3084874519</v>
          </cell>
          <cell r="BN106">
            <v>1603760.9105204483</v>
          </cell>
          <cell r="BO106">
            <v>1603760.9105204483</v>
          </cell>
          <cell r="BP106">
            <v>1633836.4244211994</v>
          </cell>
          <cell r="BQ106">
            <v>1664519.7467195697</v>
          </cell>
          <cell r="BR106">
            <v>1664519.7467195697</v>
          </cell>
          <cell r="BS106">
            <v>1697477.3453486036</v>
          </cell>
          <cell r="BT106">
            <v>1731092.0842797484</v>
          </cell>
          <cell r="BU106">
            <v>1731092.0842797484</v>
          </cell>
          <cell r="BV106">
            <v>1766754.0647598547</v>
          </cell>
          <cell r="BW106">
            <v>1803182.4023416294</v>
          </cell>
          <cell r="BX106">
            <v>1803182.4023416294</v>
          </cell>
        </row>
        <row r="107">
          <cell r="B107" t="str">
            <v>Bank deposits</v>
          </cell>
          <cell r="C107" t="str">
            <v>B_BS_L_BANKDEP</v>
          </cell>
          <cell r="D107" t="str">
            <v>AUD</v>
          </cell>
          <cell r="F107">
            <v>14118</v>
          </cell>
          <cell r="G107">
            <v>19116</v>
          </cell>
          <cell r="H107">
            <v>20092</v>
          </cell>
          <cell r="I107">
            <v>19924</v>
          </cell>
          <cell r="J107">
            <v>21610</v>
          </cell>
          <cell r="K107">
            <v>27535</v>
          </cell>
          <cell r="L107">
            <v>30538</v>
          </cell>
          <cell r="M107">
            <v>12616</v>
          </cell>
          <cell r="N107">
            <v>12013</v>
          </cell>
          <cell r="O107">
            <v>15713</v>
          </cell>
          <cell r="P107">
            <v>15713</v>
          </cell>
          <cell r="Q107">
            <v>12603</v>
          </cell>
          <cell r="R107">
            <v>19079</v>
          </cell>
          <cell r="S107">
            <v>19079</v>
          </cell>
          <cell r="T107">
            <v>20241</v>
          </cell>
          <cell r="U107">
            <v>17011</v>
          </cell>
          <cell r="V107">
            <v>17011</v>
          </cell>
          <cell r="W107">
            <v>14925</v>
          </cell>
          <cell r="X107">
            <v>15833</v>
          </cell>
          <cell r="Y107">
            <v>15833</v>
          </cell>
          <cell r="Z107">
            <v>19972</v>
          </cell>
          <cell r="AA107">
            <v>18352</v>
          </cell>
          <cell r="AB107">
            <v>18352</v>
          </cell>
          <cell r="AC107">
            <v>18097</v>
          </cell>
          <cell r="AD107">
            <v>18796</v>
          </cell>
          <cell r="AE107">
            <v>18796</v>
          </cell>
          <cell r="AF107">
            <v>39777</v>
          </cell>
          <cell r="AG107">
            <v>31545</v>
          </cell>
          <cell r="AH107">
            <v>31545</v>
          </cell>
          <cell r="AI107">
            <v>26740</v>
          </cell>
          <cell r="AJ107">
            <v>23084</v>
          </cell>
          <cell r="AK107">
            <v>23084</v>
          </cell>
          <cell r="AL107">
            <v>26468</v>
          </cell>
          <cell r="AM107">
            <v>29996</v>
          </cell>
          <cell r="AN107">
            <v>29996</v>
          </cell>
          <cell r="AO107">
            <v>31012</v>
          </cell>
          <cell r="AP107">
            <v>29649</v>
          </cell>
          <cell r="AQ107">
            <v>29649</v>
          </cell>
          <cell r="AR107">
            <v>22435</v>
          </cell>
          <cell r="AS107">
            <v>22771</v>
          </cell>
          <cell r="AT107">
            <v>22771</v>
          </cell>
          <cell r="AU107">
            <v>26214</v>
          </cell>
          <cell r="AV107">
            <v>38572</v>
          </cell>
          <cell r="AW107">
            <v>38572</v>
          </cell>
          <cell r="AX107">
            <v>39376.236975059262</v>
          </cell>
          <cell r="AY107">
            <v>39959.174479980567</v>
          </cell>
          <cell r="AZ107">
            <v>39959.174479980567</v>
          </cell>
          <cell r="BA107">
            <v>40562.82689527826</v>
          </cell>
          <cell r="BB107">
            <v>41375.183746653202</v>
          </cell>
          <cell r="BC107">
            <v>41375.183746653202</v>
          </cell>
          <cell r="BD107">
            <v>42167.41020751137</v>
          </cell>
          <cell r="BE107">
            <v>42985.87185071229</v>
          </cell>
          <cell r="BF107">
            <v>42985.87185071229</v>
          </cell>
          <cell r="BG107">
            <v>43755.821862405173</v>
          </cell>
          <cell r="BH107">
            <v>44508.111440597269</v>
          </cell>
          <cell r="BI107">
            <v>44508.111440597269</v>
          </cell>
          <cell r="BJ107">
            <v>45377.000092672366</v>
          </cell>
          <cell r="BK107">
            <v>46206.622889396342</v>
          </cell>
          <cell r="BL107">
            <v>46206.622889396342</v>
          </cell>
          <cell r="BM107">
            <v>47112.308034747723</v>
          </cell>
          <cell r="BN107">
            <v>48004.543050740074</v>
          </cell>
          <cell r="BO107">
            <v>48004.543050740074</v>
          </cell>
          <cell r="BP107">
            <v>48916.058769807838</v>
          </cell>
          <cell r="BQ107">
            <v>49848.930202364281</v>
          </cell>
          <cell r="BR107">
            <v>49848.930202364281</v>
          </cell>
          <cell r="BS107">
            <v>50854.408824385639</v>
          </cell>
          <cell r="BT107">
            <v>51881.517547338</v>
          </cell>
          <cell r="BU107">
            <v>51881.517547338</v>
          </cell>
          <cell r="BV107">
            <v>52973.689432745225</v>
          </cell>
          <cell r="BW107">
            <v>54089.61548452884</v>
          </cell>
          <cell r="BX107">
            <v>54089.61548452884</v>
          </cell>
        </row>
        <row r="108">
          <cell r="B108" t="str">
            <v>Customer deposits</v>
          </cell>
          <cell r="C108" t="str">
            <v>B_BS_L_CUSTDEP</v>
          </cell>
          <cell r="D108" t="str">
            <v>AUD</v>
          </cell>
          <cell r="F108">
            <v>172394</v>
          </cell>
          <cell r="G108">
            <v>205734</v>
          </cell>
          <cell r="H108">
            <v>249504</v>
          </cell>
          <cell r="I108">
            <v>274551</v>
          </cell>
          <cell r="J108">
            <v>296986</v>
          </cell>
          <cell r="K108">
            <v>352900</v>
          </cell>
          <cell r="L108">
            <v>383686</v>
          </cell>
          <cell r="M108">
            <v>426071</v>
          </cell>
          <cell r="N108">
            <v>444743</v>
          </cell>
          <cell r="O108">
            <v>455334</v>
          </cell>
          <cell r="P108">
            <v>455334</v>
          </cell>
          <cell r="Q108">
            <v>495367</v>
          </cell>
          <cell r="R108">
            <v>507245</v>
          </cell>
          <cell r="S108">
            <v>507245</v>
          </cell>
          <cell r="T108">
            <v>511442</v>
          </cell>
          <cell r="U108">
            <v>510050</v>
          </cell>
          <cell r="V108">
            <v>510050</v>
          </cell>
          <cell r="W108">
            <v>528100</v>
          </cell>
          <cell r="X108">
            <v>521898</v>
          </cell>
          <cell r="Y108">
            <v>521898</v>
          </cell>
          <cell r="Z108">
            <v>522158</v>
          </cell>
          <cell r="AA108">
            <v>529166</v>
          </cell>
          <cell r="AB108">
            <v>529166</v>
          </cell>
          <cell r="AC108">
            <v>536193</v>
          </cell>
          <cell r="AD108">
            <v>548339</v>
          </cell>
          <cell r="AE108">
            <v>548339</v>
          </cell>
          <cell r="AF108">
            <v>604374</v>
          </cell>
          <cell r="AG108">
            <v>584854</v>
          </cell>
          <cell r="AH108">
            <v>584854</v>
          </cell>
          <cell r="AI108">
            <v>601525</v>
          </cell>
          <cell r="AJ108">
            <v>631290</v>
          </cell>
          <cell r="AK108">
            <v>631290</v>
          </cell>
          <cell r="AL108">
            <v>647999</v>
          </cell>
          <cell r="AM108">
            <v>654479</v>
          </cell>
          <cell r="AN108">
            <v>654479</v>
          </cell>
          <cell r="AO108">
            <v>693172</v>
          </cell>
          <cell r="AP108">
            <v>689038</v>
          </cell>
          <cell r="AQ108">
            <v>689038</v>
          </cell>
          <cell r="AR108">
            <v>680185</v>
          </cell>
          <cell r="AS108">
            <v>757417</v>
          </cell>
          <cell r="AT108">
            <v>757417</v>
          </cell>
          <cell r="AU108">
            <v>796146</v>
          </cell>
          <cell r="AV108">
            <v>793818</v>
          </cell>
          <cell r="AW108">
            <v>793818</v>
          </cell>
          <cell r="AX108">
            <v>832240.12000000011</v>
          </cell>
          <cell r="AY108">
            <v>867711.62859999994</v>
          </cell>
          <cell r="AZ108">
            <v>867711.62859999994</v>
          </cell>
          <cell r="BA108">
            <v>892905.13930299995</v>
          </cell>
          <cell r="BB108">
            <v>918833.50937321503</v>
          </cell>
          <cell r="BC108">
            <v>918833.50937321503</v>
          </cell>
          <cell r="BD108">
            <v>945518.26094281452</v>
          </cell>
          <cell r="BE108">
            <v>972981.54871671204</v>
          </cell>
          <cell r="BF108">
            <v>972981.54871671204</v>
          </cell>
          <cell r="BG108">
            <v>1001246.178622467</v>
          </cell>
          <cell r="BH108">
            <v>1030335.6270115009</v>
          </cell>
          <cell r="BI108">
            <v>1030335.6270115009</v>
          </cell>
          <cell r="BJ108">
            <v>1059462.6319592183</v>
          </cell>
          <cell r="BK108">
            <v>1083484.948332042</v>
          </cell>
          <cell r="BL108">
            <v>1083484.948332042</v>
          </cell>
          <cell r="BM108">
            <v>1112178.7137449877</v>
          </cell>
          <cell r="BN108">
            <v>1136483.5817939038</v>
          </cell>
          <cell r="BO108">
            <v>1136483.5817939038</v>
          </cell>
          <cell r="BP108">
            <v>1153956.8275453635</v>
          </cell>
          <cell r="BQ108">
            <v>1171804.7443285531</v>
          </cell>
          <cell r="BR108">
            <v>1171804.7443285531</v>
          </cell>
          <cell r="BS108">
            <v>1195037.0555761436</v>
          </cell>
          <cell r="BT108">
            <v>1218734.1145180983</v>
          </cell>
          <cell r="BU108">
            <v>1218734.1145180983</v>
          </cell>
          <cell r="BV108">
            <v>1247068.7979558937</v>
          </cell>
          <cell r="BW108">
            <v>1276136.9907216569</v>
          </cell>
          <cell r="BX108">
            <v>1276136.9907216569</v>
          </cell>
        </row>
        <row r="109">
          <cell r="B109" t="str">
            <v>Debt instruments and securities</v>
          </cell>
          <cell r="C109" t="str">
            <v>DEBT_SECUR</v>
          </cell>
          <cell r="D109" t="str">
            <v>AUD</v>
          </cell>
          <cell r="F109">
            <v>50050</v>
          </cell>
          <cell r="G109">
            <v>54075</v>
          </cell>
          <cell r="H109">
            <v>67323</v>
          </cell>
          <cell r="I109">
            <v>57260</v>
          </cell>
          <cell r="J109">
            <v>59714</v>
          </cell>
          <cell r="K109">
            <v>56551</v>
          </cell>
          <cell r="L109">
            <v>63098</v>
          </cell>
          <cell r="M109">
            <v>70376</v>
          </cell>
          <cell r="N109">
            <v>73552</v>
          </cell>
          <cell r="O109">
            <v>80096</v>
          </cell>
          <cell r="P109">
            <v>80096</v>
          </cell>
          <cell r="Q109">
            <v>85664</v>
          </cell>
          <cell r="R109">
            <v>93747</v>
          </cell>
          <cell r="S109">
            <v>93747</v>
          </cell>
          <cell r="T109">
            <v>81947</v>
          </cell>
          <cell r="U109">
            <v>91080</v>
          </cell>
          <cell r="V109">
            <v>91080</v>
          </cell>
          <cell r="W109">
            <v>88778</v>
          </cell>
          <cell r="X109">
            <v>90263</v>
          </cell>
          <cell r="Y109">
            <v>90263</v>
          </cell>
          <cell r="Z109">
            <v>97576</v>
          </cell>
          <cell r="AA109">
            <v>105300</v>
          </cell>
          <cell r="AB109">
            <v>105300</v>
          </cell>
          <cell r="AC109">
            <v>113400</v>
          </cell>
          <cell r="AD109">
            <v>113100</v>
          </cell>
          <cell r="AE109">
            <v>113100</v>
          </cell>
          <cell r="AF109">
            <v>119100</v>
          </cell>
          <cell r="AG109">
            <v>110600</v>
          </cell>
          <cell r="AH109">
            <v>110600</v>
          </cell>
          <cell r="AI109">
            <v>96000</v>
          </cell>
          <cell r="AJ109">
            <v>97100</v>
          </cell>
          <cell r="AK109">
            <v>97100</v>
          </cell>
          <cell r="AL109">
            <v>86400</v>
          </cell>
          <cell r="AM109">
            <v>89000</v>
          </cell>
          <cell r="AN109">
            <v>89000</v>
          </cell>
          <cell r="AO109">
            <v>97100</v>
          </cell>
          <cell r="AP109">
            <v>94000</v>
          </cell>
          <cell r="AQ109">
            <v>94000</v>
          </cell>
          <cell r="AR109">
            <v>102300</v>
          </cell>
          <cell r="AS109">
            <v>119200</v>
          </cell>
          <cell r="AT109">
            <v>119200</v>
          </cell>
          <cell r="AU109">
            <v>128699.99999999999</v>
          </cell>
          <cell r="AV109">
            <v>126200</v>
          </cell>
          <cell r="AW109">
            <v>126200</v>
          </cell>
          <cell r="AX109">
            <v>102517.96013491019</v>
          </cell>
          <cell r="AY109">
            <v>76182.335673930589</v>
          </cell>
          <cell r="AZ109">
            <v>76182.335673930589</v>
          </cell>
          <cell r="BA109">
            <v>62793.137409422779</v>
          </cell>
          <cell r="BB109">
            <v>54370.286735739792</v>
          </cell>
          <cell r="BC109">
            <v>54370.286735739792</v>
          </cell>
          <cell r="BD109">
            <v>44473.110678126803</v>
          </cell>
          <cell r="BE109">
            <v>34374.69051097706</v>
          </cell>
          <cell r="BF109">
            <v>34374.69051097706</v>
          </cell>
          <cell r="BG109">
            <v>21952.258576635038</v>
          </cell>
          <cell r="BH109">
            <v>8042.4015760326292</v>
          </cell>
          <cell r="BI109">
            <v>8042.4015760326292</v>
          </cell>
          <cell r="BJ109">
            <v>-2644.0940999053419</v>
          </cell>
          <cell r="BK109">
            <v>-8289.7146812356077</v>
          </cell>
          <cell r="BL109">
            <v>-8289.7146812356077</v>
          </cell>
          <cell r="BM109">
            <v>-17423.475738783833</v>
          </cell>
          <cell r="BN109">
            <v>-21653.873954543611</v>
          </cell>
          <cell r="BO109">
            <v>-21653.873954543611</v>
          </cell>
          <cell r="BP109">
            <v>-17124.478287331294</v>
          </cell>
          <cell r="BQ109">
            <v>-12447.208572974429</v>
          </cell>
          <cell r="BR109">
            <v>-12447.208572974429</v>
          </cell>
          <cell r="BS109">
            <v>-12212.699590556091</v>
          </cell>
          <cell r="BT109">
            <v>-11930.998514544452</v>
          </cell>
          <cell r="BU109">
            <v>-11930.998514544452</v>
          </cell>
          <cell r="BV109">
            <v>-15405.0757790145</v>
          </cell>
          <cell r="BW109">
            <v>-19095.77281546453</v>
          </cell>
          <cell r="BX109">
            <v>-19095.77281546453</v>
          </cell>
        </row>
        <row r="110">
          <cell r="B110" t="str">
            <v>Other paying liabilities</v>
          </cell>
          <cell r="C110" t="str">
            <v>OTH_PAY_LIABS</v>
          </cell>
          <cell r="D110" t="str">
            <v>AUD</v>
          </cell>
          <cell r="F110">
            <v>32400</v>
          </cell>
          <cell r="G110">
            <v>28009</v>
          </cell>
          <cell r="H110">
            <v>34462</v>
          </cell>
          <cell r="I110">
            <v>19819</v>
          </cell>
          <cell r="J110">
            <v>13397</v>
          </cell>
          <cell r="K110">
            <v>15829</v>
          </cell>
          <cell r="L110">
            <v>13437</v>
          </cell>
          <cell r="M110">
            <v>40844</v>
          </cell>
          <cell r="N110">
            <v>53575</v>
          </cell>
          <cell r="O110">
            <v>54745</v>
          </cell>
          <cell r="P110">
            <v>54745</v>
          </cell>
          <cell r="Q110">
            <v>71848</v>
          </cell>
          <cell r="R110">
            <v>63549</v>
          </cell>
          <cell r="S110">
            <v>63549</v>
          </cell>
          <cell r="T110">
            <v>66629</v>
          </cell>
          <cell r="U110">
            <v>78145</v>
          </cell>
          <cell r="V110">
            <v>78145</v>
          </cell>
          <cell r="W110">
            <v>53307</v>
          </cell>
          <cell r="X110">
            <v>73713</v>
          </cell>
          <cell r="Y110">
            <v>73713</v>
          </cell>
          <cell r="Z110">
            <v>94072</v>
          </cell>
          <cell r="AA110">
            <v>88984</v>
          </cell>
          <cell r="AB110">
            <v>88984</v>
          </cell>
          <cell r="AC110">
            <v>98796</v>
          </cell>
          <cell r="AD110">
            <v>89338</v>
          </cell>
          <cell r="AE110">
            <v>89338</v>
          </cell>
          <cell r="AF110">
            <v>122535</v>
          </cell>
          <cell r="AG110">
            <v>97479</v>
          </cell>
          <cell r="AH110">
            <v>97479</v>
          </cell>
          <cell r="AI110">
            <v>105098</v>
          </cell>
          <cell r="AJ110">
            <v>111766</v>
          </cell>
          <cell r="AK110">
            <v>111766</v>
          </cell>
          <cell r="AL110">
            <v>132289</v>
          </cell>
          <cell r="AM110">
            <v>142802</v>
          </cell>
          <cell r="AN110">
            <v>142802</v>
          </cell>
          <cell r="AO110">
            <v>149392</v>
          </cell>
          <cell r="AP110">
            <v>125673</v>
          </cell>
          <cell r="AQ110">
            <v>125673</v>
          </cell>
          <cell r="AR110">
            <v>126552</v>
          </cell>
          <cell r="AS110">
            <v>146137</v>
          </cell>
          <cell r="AT110">
            <v>146137</v>
          </cell>
          <cell r="AU110">
            <v>176073</v>
          </cell>
          <cell r="AV110">
            <v>161246</v>
          </cell>
          <cell r="AW110">
            <v>161246</v>
          </cell>
          <cell r="AX110">
            <v>169050.57631537711</v>
          </cell>
          <cell r="AY110">
            <v>176255.80330155729</v>
          </cell>
          <cell r="AZ110">
            <v>176255.80330155729</v>
          </cell>
          <cell r="BA110">
            <v>181373.28971130858</v>
          </cell>
          <cell r="BB110">
            <v>186640.04602112004</v>
          </cell>
          <cell r="BC110">
            <v>186640.04602112004</v>
          </cell>
          <cell r="BD110">
            <v>192060.44396068761</v>
          </cell>
          <cell r="BE110">
            <v>197638.98375241554</v>
          </cell>
          <cell r="BF110">
            <v>197638.98375241554</v>
          </cell>
          <cell r="BG110">
            <v>203380.29789971802</v>
          </cell>
          <cell r="BH110">
            <v>209289.15508730782</v>
          </cell>
          <cell r="BI110">
            <v>209289.15508730782</v>
          </cell>
          <cell r="BJ110">
            <v>215205.64103219649</v>
          </cell>
          <cell r="BK110">
            <v>220085.22605779723</v>
          </cell>
          <cell r="BL110">
            <v>220085.22605779723</v>
          </cell>
          <cell r="BM110">
            <v>225913.70928414867</v>
          </cell>
          <cell r="BN110">
            <v>230850.68823072777</v>
          </cell>
          <cell r="BO110">
            <v>230850.68823072777</v>
          </cell>
          <cell r="BP110">
            <v>234399.97910652027</v>
          </cell>
          <cell r="BQ110">
            <v>238025.37584685898</v>
          </cell>
          <cell r="BR110">
            <v>238025.37584685898</v>
          </cell>
          <cell r="BS110">
            <v>242744.48937090227</v>
          </cell>
          <cell r="BT110">
            <v>247558.0057766205</v>
          </cell>
          <cell r="BU110">
            <v>247558.0057766205</v>
          </cell>
          <cell r="BV110">
            <v>253313.54969929642</v>
          </cell>
          <cell r="BW110">
            <v>259218.08929238736</v>
          </cell>
          <cell r="BX110">
            <v>259218.08929238736</v>
          </cell>
        </row>
        <row r="111">
          <cell r="B111" t="str">
            <v>Subordinated liabilities (long-term debt)</v>
          </cell>
          <cell r="C111" t="str">
            <v>SUB_ORD_LIABS</v>
          </cell>
          <cell r="D111" t="str">
            <v>AUD</v>
          </cell>
          <cell r="F111"/>
          <cell r="G111"/>
          <cell r="H111"/>
          <cell r="I111"/>
          <cell r="J111"/>
          <cell r="K111"/>
          <cell r="L111"/>
          <cell r="M111"/>
          <cell r="N111"/>
          <cell r="O111"/>
          <cell r="P111"/>
          <cell r="Q111"/>
          <cell r="R111"/>
          <cell r="S111"/>
          <cell r="T111"/>
          <cell r="U111"/>
          <cell r="V111"/>
          <cell r="W111"/>
          <cell r="X111"/>
          <cell r="Y111"/>
          <cell r="Z111"/>
          <cell r="AA111"/>
          <cell r="AB111"/>
          <cell r="AC111"/>
          <cell r="AD111"/>
          <cell r="AE111"/>
          <cell r="AF111"/>
          <cell r="AG111"/>
          <cell r="AH111"/>
          <cell r="AI111"/>
          <cell r="AJ111"/>
          <cell r="AK111"/>
          <cell r="AL111"/>
          <cell r="AM111"/>
          <cell r="AN111"/>
          <cell r="AO111"/>
          <cell r="AP111"/>
          <cell r="AQ111"/>
          <cell r="AR111"/>
          <cell r="AS111"/>
          <cell r="AT111"/>
          <cell r="AU111"/>
          <cell r="AV111"/>
          <cell r="AW111"/>
          <cell r="AX111"/>
          <cell r="AY111"/>
          <cell r="AZ111"/>
          <cell r="BA111"/>
          <cell r="BB111"/>
          <cell r="BC111"/>
          <cell r="BD111"/>
          <cell r="BE111"/>
          <cell r="BF111"/>
          <cell r="BG111"/>
          <cell r="BH111"/>
          <cell r="BI111"/>
          <cell r="BJ111"/>
          <cell r="BK111"/>
          <cell r="BL111"/>
          <cell r="BM111"/>
          <cell r="BN111"/>
          <cell r="BO111"/>
          <cell r="BP111"/>
          <cell r="BQ111"/>
          <cell r="BR111"/>
          <cell r="BS111"/>
          <cell r="BT111"/>
          <cell r="BU111"/>
          <cell r="BV111"/>
          <cell r="BW111"/>
          <cell r="BX111"/>
        </row>
        <row r="112">
          <cell r="B112" t="str">
            <v>Interest bearing liabilities</v>
          </cell>
          <cell r="C112" t="str">
            <v>B_BS_L_PERIOD</v>
          </cell>
          <cell r="D112" t="str">
            <v>AUD</v>
          </cell>
          <cell r="F112">
            <v>268962</v>
          </cell>
          <cell r="G112">
            <v>306934</v>
          </cell>
          <cell r="H112">
            <v>371381</v>
          </cell>
          <cell r="I112">
            <v>371554</v>
          </cell>
          <cell r="J112">
            <v>391707</v>
          </cell>
          <cell r="K112">
            <v>452815</v>
          </cell>
          <cell r="L112">
            <v>490759</v>
          </cell>
          <cell r="M112">
            <v>549907</v>
          </cell>
          <cell r="N112">
            <v>583883</v>
          </cell>
          <cell r="O112">
            <v>605888</v>
          </cell>
          <cell r="P112">
            <v>605888</v>
          </cell>
          <cell r="Q112">
            <v>665482</v>
          </cell>
          <cell r="R112">
            <v>683620</v>
          </cell>
          <cell r="S112">
            <v>683620</v>
          </cell>
          <cell r="T112">
            <v>680259</v>
          </cell>
          <cell r="U112">
            <v>696286</v>
          </cell>
          <cell r="V112">
            <v>696286</v>
          </cell>
          <cell r="W112">
            <v>685110</v>
          </cell>
          <cell r="X112">
            <v>701707</v>
          </cell>
          <cell r="Y112">
            <v>701707</v>
          </cell>
          <cell r="Z112">
            <v>733778</v>
          </cell>
          <cell r="AA112">
            <v>741802</v>
          </cell>
          <cell r="AB112">
            <v>741802</v>
          </cell>
          <cell r="AC112">
            <v>766486</v>
          </cell>
          <cell r="AD112">
            <v>769573</v>
          </cell>
          <cell r="AE112">
            <v>769573</v>
          </cell>
          <cell r="AF112">
            <v>885786</v>
          </cell>
          <cell r="AG112">
            <v>824478</v>
          </cell>
          <cell r="AH112">
            <v>824478</v>
          </cell>
          <cell r="AI112">
            <v>829363</v>
          </cell>
          <cell r="AJ112">
            <v>863240</v>
          </cell>
          <cell r="AK112">
            <v>863240</v>
          </cell>
          <cell r="AL112">
            <v>893156</v>
          </cell>
          <cell r="AM112">
            <v>916277</v>
          </cell>
          <cell r="AN112">
            <v>916277</v>
          </cell>
          <cell r="AO112">
            <v>970676</v>
          </cell>
          <cell r="AP112">
            <v>938360</v>
          </cell>
          <cell r="AQ112">
            <v>938360</v>
          </cell>
          <cell r="AR112">
            <v>931472</v>
          </cell>
          <cell r="AS112">
            <v>1045525</v>
          </cell>
          <cell r="AT112">
            <v>1045525</v>
          </cell>
          <cell r="AU112">
            <v>1127133</v>
          </cell>
          <cell r="AV112">
            <v>1119836</v>
          </cell>
          <cell r="AW112">
            <v>1119836</v>
          </cell>
          <cell r="AX112">
            <v>1143184.8934253466</v>
          </cell>
          <cell r="AY112">
            <v>1160108.9420554684</v>
          </cell>
          <cell r="AZ112">
            <v>1160108.9420554684</v>
          </cell>
          <cell r="BA112">
            <v>1177634.3933190096</v>
          </cell>
          <cell r="BB112">
            <v>1201219.0258767279</v>
          </cell>
          <cell r="BC112">
            <v>1201219.0258767279</v>
          </cell>
          <cell r="BD112">
            <v>1224219.2257891402</v>
          </cell>
          <cell r="BE112">
            <v>1247981.0948308168</v>
          </cell>
          <cell r="BF112">
            <v>1247981.0948308168</v>
          </cell>
          <cell r="BG112">
            <v>1270334.5569612251</v>
          </cell>
          <cell r="BH112">
            <v>1292175.2951154385</v>
          </cell>
          <cell r="BI112">
            <v>1292175.2951154385</v>
          </cell>
          <cell r="BJ112">
            <v>1317401.178984182</v>
          </cell>
          <cell r="BK112">
            <v>1341487.0825980003</v>
          </cell>
          <cell r="BL112">
            <v>1341487.0825980003</v>
          </cell>
          <cell r="BM112">
            <v>1367781.2553251004</v>
          </cell>
          <cell r="BN112">
            <v>1393684.9391208282</v>
          </cell>
          <cell r="BO112">
            <v>1393684.9391208282</v>
          </cell>
          <cell r="BP112">
            <v>1420148.3871343604</v>
          </cell>
          <cell r="BQ112">
            <v>1447231.841804802</v>
          </cell>
          <cell r="BR112">
            <v>1447231.841804802</v>
          </cell>
          <cell r="BS112">
            <v>1476423.2541808754</v>
          </cell>
          <cell r="BT112">
            <v>1506242.6393275121</v>
          </cell>
          <cell r="BU112">
            <v>1506242.6393275121</v>
          </cell>
          <cell r="BV112">
            <v>1537950.9613089208</v>
          </cell>
          <cell r="BW112">
            <v>1570348.9226831084</v>
          </cell>
          <cell r="BX112">
            <v>1570348.9226831086</v>
          </cell>
        </row>
        <row r="113">
          <cell r="B113" t="str">
            <v>Preference share capital, non-equity</v>
          </cell>
          <cell r="C113" t="str">
            <v>PREF_SHARE_CAP</v>
          </cell>
          <cell r="D113" t="str">
            <v>AUD</v>
          </cell>
          <cell r="F113"/>
          <cell r="G113"/>
          <cell r="H113"/>
          <cell r="I113"/>
          <cell r="J113"/>
          <cell r="K113"/>
          <cell r="L113"/>
          <cell r="M113"/>
          <cell r="N113"/>
          <cell r="O113"/>
          <cell r="P113"/>
          <cell r="Q113"/>
          <cell r="R113"/>
          <cell r="S113"/>
          <cell r="T113"/>
          <cell r="U113"/>
          <cell r="V113"/>
          <cell r="W113"/>
          <cell r="X113"/>
          <cell r="Y113"/>
          <cell r="Z113"/>
          <cell r="AA113"/>
          <cell r="AB113"/>
          <cell r="AC113"/>
          <cell r="AD113"/>
          <cell r="AE113"/>
          <cell r="AF113"/>
          <cell r="AG113"/>
          <cell r="AH113"/>
          <cell r="AI113"/>
          <cell r="AJ113"/>
          <cell r="AK113"/>
          <cell r="AL113"/>
          <cell r="AM113"/>
          <cell r="AN113"/>
          <cell r="AO113"/>
          <cell r="AP113"/>
          <cell r="AQ113"/>
          <cell r="AR113"/>
          <cell r="AS113"/>
          <cell r="AT113"/>
          <cell r="AU113"/>
          <cell r="AV113"/>
          <cell r="AW113"/>
          <cell r="AX113"/>
          <cell r="AY113"/>
          <cell r="AZ113"/>
          <cell r="BA113"/>
          <cell r="BB113"/>
          <cell r="BC113"/>
          <cell r="BD113"/>
          <cell r="BE113"/>
          <cell r="BF113"/>
          <cell r="BG113"/>
          <cell r="BH113"/>
          <cell r="BI113"/>
          <cell r="BJ113"/>
          <cell r="BK113"/>
          <cell r="BL113"/>
          <cell r="BM113"/>
          <cell r="BN113"/>
          <cell r="BO113"/>
          <cell r="BP113"/>
          <cell r="BQ113"/>
          <cell r="BR113"/>
          <cell r="BS113"/>
          <cell r="BT113"/>
          <cell r="BU113"/>
          <cell r="BV113"/>
          <cell r="BW113"/>
          <cell r="BX113"/>
        </row>
        <row r="114">
          <cell r="B114" t="str">
            <v>Provisions for liabilities &amp; charges</v>
          </cell>
          <cell r="C114" t="str">
            <v>PROV_BS</v>
          </cell>
          <cell r="D114" t="str">
            <v>AUD</v>
          </cell>
          <cell r="F114">
            <v>957</v>
          </cell>
          <cell r="G114">
            <v>1021</v>
          </cell>
          <cell r="H114">
            <v>1217</v>
          </cell>
          <cell r="I114">
            <v>1312</v>
          </cell>
          <cell r="J114">
            <v>1297</v>
          </cell>
          <cell r="K114">
            <v>1248</v>
          </cell>
          <cell r="L114">
            <v>1201</v>
          </cell>
          <cell r="M114">
            <v>1228</v>
          </cell>
          <cell r="N114">
            <v>1115</v>
          </cell>
          <cell r="O114">
            <v>1100</v>
          </cell>
          <cell r="P114">
            <v>1100</v>
          </cell>
          <cell r="Q114">
            <v>1128</v>
          </cell>
          <cell r="R114">
            <v>1074</v>
          </cell>
          <cell r="S114">
            <v>1074</v>
          </cell>
          <cell r="T114">
            <v>1202</v>
          </cell>
          <cell r="U114">
            <v>1209</v>
          </cell>
          <cell r="V114">
            <v>1209</v>
          </cell>
          <cell r="W114">
            <v>1179</v>
          </cell>
          <cell r="X114">
            <v>1158</v>
          </cell>
          <cell r="Y114">
            <v>1158</v>
          </cell>
          <cell r="Z114">
            <v>1532</v>
          </cell>
          <cell r="AA114">
            <v>1972</v>
          </cell>
          <cell r="AB114">
            <v>1972</v>
          </cell>
          <cell r="AC114">
            <v>2247</v>
          </cell>
          <cell r="AD114">
            <v>2812</v>
          </cell>
          <cell r="AE114">
            <v>2812</v>
          </cell>
          <cell r="AF114">
            <v>2773</v>
          </cell>
          <cell r="AG114">
            <v>2579</v>
          </cell>
          <cell r="AH114">
            <v>2579</v>
          </cell>
          <cell r="AI114">
            <v>2417</v>
          </cell>
          <cell r="AJ114">
            <v>2214</v>
          </cell>
          <cell r="AK114">
            <v>2214</v>
          </cell>
          <cell r="AL114">
            <v>2262</v>
          </cell>
          <cell r="AM114">
            <v>1872</v>
          </cell>
          <cell r="AN114">
            <v>1872</v>
          </cell>
          <cell r="AO114">
            <v>1694</v>
          </cell>
          <cell r="AP114">
            <v>1717</v>
          </cell>
          <cell r="AQ114">
            <v>1717</v>
          </cell>
          <cell r="AR114">
            <v>1663</v>
          </cell>
          <cell r="AS114">
            <v>1585</v>
          </cell>
          <cell r="AT114">
            <v>1585</v>
          </cell>
          <cell r="AU114">
            <v>1709</v>
          </cell>
          <cell r="AV114">
            <v>2481</v>
          </cell>
          <cell r="AW114">
            <v>2481</v>
          </cell>
          <cell r="AX114">
            <v>2532.729543065489</v>
          </cell>
          <cell r="AY114">
            <v>2570.2248233130722</v>
          </cell>
          <cell r="AZ114">
            <v>2570.2248233130722</v>
          </cell>
          <cell r="BA114">
            <v>2609.0525128898007</v>
          </cell>
          <cell r="BB114">
            <v>2661.3043367065911</v>
          </cell>
          <cell r="BC114">
            <v>2661.3043367065911</v>
          </cell>
          <cell r="BD114">
            <v>2712.2613482535453</v>
          </cell>
          <cell r="BE114">
            <v>2764.9058400294839</v>
          </cell>
          <cell r="BF114">
            <v>2764.9058400294839</v>
          </cell>
          <cell r="BG114">
            <v>2814.4300020903061</v>
          </cell>
          <cell r="BH114">
            <v>2862.8182226517129</v>
          </cell>
          <cell r="BI114">
            <v>2862.8182226517129</v>
          </cell>
          <cell r="BJ114">
            <v>2918.7062436461729</v>
          </cell>
          <cell r="BK114">
            <v>2972.0686349837283</v>
          </cell>
          <cell r="BL114">
            <v>2972.0686349837283</v>
          </cell>
          <cell r="BM114">
            <v>3030.3234531320427</v>
          </cell>
          <cell r="BN114">
            <v>3087.7131418875397</v>
          </cell>
          <cell r="BO114">
            <v>3087.7131418875397</v>
          </cell>
          <cell r="BP114">
            <v>3146.3429899381235</v>
          </cell>
          <cell r="BQ114">
            <v>3206.3464645874169</v>
          </cell>
          <cell r="BR114">
            <v>3206.3464645874169</v>
          </cell>
          <cell r="BS114">
            <v>3271.0201258244533</v>
          </cell>
          <cell r="BT114">
            <v>3337.085062608774</v>
          </cell>
          <cell r="BU114">
            <v>3337.085062608774</v>
          </cell>
          <cell r="BV114">
            <v>3407.3349445878089</v>
          </cell>
          <cell r="BW114">
            <v>3479.1127246996821</v>
          </cell>
          <cell r="BX114">
            <v>3479.1127246996821</v>
          </cell>
        </row>
        <row r="115">
          <cell r="B115" t="str">
            <v>Accruals &amp; deferred income</v>
          </cell>
          <cell r="C115" t="str">
            <v>ACCRUAL</v>
          </cell>
          <cell r="D115" t="str">
            <v>AUD</v>
          </cell>
          <cell r="F115"/>
          <cell r="G115"/>
          <cell r="H115"/>
          <cell r="I115"/>
          <cell r="J115"/>
          <cell r="K115"/>
          <cell r="L115"/>
          <cell r="M115"/>
          <cell r="N115"/>
          <cell r="O115"/>
          <cell r="P115"/>
          <cell r="Q115"/>
          <cell r="R115"/>
          <cell r="S115"/>
          <cell r="T115"/>
          <cell r="U115"/>
          <cell r="V115"/>
          <cell r="W115"/>
          <cell r="X115"/>
          <cell r="Y115"/>
          <cell r="Z115"/>
          <cell r="AA115"/>
          <cell r="AB115"/>
          <cell r="AC115"/>
          <cell r="AD115"/>
          <cell r="AE115"/>
          <cell r="AF115"/>
          <cell r="AG115"/>
          <cell r="AH115"/>
          <cell r="AI115"/>
          <cell r="AJ115"/>
          <cell r="AK115"/>
          <cell r="AL115"/>
          <cell r="AM115"/>
          <cell r="AN115"/>
          <cell r="AO115"/>
          <cell r="AP115"/>
          <cell r="AQ115"/>
          <cell r="AR115"/>
          <cell r="AS115"/>
          <cell r="AT115"/>
          <cell r="AU115"/>
          <cell r="AV115"/>
          <cell r="AW115"/>
          <cell r="AX115"/>
          <cell r="AY115"/>
          <cell r="AZ115"/>
          <cell r="BA115"/>
          <cell r="BB115"/>
          <cell r="BC115"/>
          <cell r="BD115"/>
          <cell r="BE115"/>
          <cell r="BF115"/>
          <cell r="BG115"/>
          <cell r="BH115"/>
          <cell r="BI115"/>
          <cell r="BJ115"/>
          <cell r="BK115"/>
          <cell r="BL115"/>
          <cell r="BM115"/>
          <cell r="BN115"/>
          <cell r="BO115"/>
          <cell r="BP115"/>
          <cell r="BQ115"/>
          <cell r="BR115"/>
          <cell r="BS115"/>
          <cell r="BT115"/>
          <cell r="BU115"/>
          <cell r="BV115"/>
          <cell r="BW115"/>
          <cell r="BX115"/>
        </row>
        <row r="116">
          <cell r="B116" t="str">
            <v>Current lease liabilities (op lease: US GAAP)</v>
          </cell>
          <cell r="C116" t="str">
            <v>ST_LEASE_LIAB</v>
          </cell>
          <cell r="D116" t="str">
            <v>AUD</v>
          </cell>
          <cell r="F116"/>
          <cell r="G116"/>
          <cell r="H116"/>
          <cell r="I116"/>
          <cell r="J116"/>
          <cell r="K116"/>
          <cell r="L116"/>
          <cell r="M116"/>
          <cell r="N116"/>
          <cell r="O116"/>
          <cell r="P116"/>
          <cell r="Q116"/>
          <cell r="R116"/>
          <cell r="S116"/>
          <cell r="T116"/>
          <cell r="U116"/>
          <cell r="V116"/>
          <cell r="W116"/>
          <cell r="X116"/>
          <cell r="Y116"/>
          <cell r="Z116"/>
          <cell r="AA116"/>
          <cell r="AB116"/>
          <cell r="AC116"/>
          <cell r="AD116"/>
          <cell r="AE116"/>
          <cell r="AF116"/>
          <cell r="AG116"/>
          <cell r="AH116"/>
          <cell r="AI116"/>
          <cell r="AJ116"/>
          <cell r="AK116"/>
          <cell r="AL116"/>
          <cell r="AM116"/>
          <cell r="AN116"/>
          <cell r="AO116"/>
          <cell r="AP116"/>
          <cell r="AQ116"/>
          <cell r="AR116"/>
          <cell r="AS116"/>
          <cell r="AT116"/>
          <cell r="AU116"/>
          <cell r="AV116"/>
          <cell r="AW116"/>
          <cell r="AX116"/>
          <cell r="AY116"/>
          <cell r="AZ116"/>
          <cell r="BA116"/>
          <cell r="BB116"/>
          <cell r="BC116"/>
          <cell r="BD116"/>
          <cell r="BE116"/>
          <cell r="BF116"/>
          <cell r="BG116"/>
          <cell r="BH116"/>
          <cell r="BI116"/>
          <cell r="BJ116"/>
          <cell r="BK116"/>
          <cell r="BL116"/>
          <cell r="BM116"/>
          <cell r="BN116"/>
          <cell r="BO116"/>
          <cell r="BP116"/>
          <cell r="BQ116"/>
          <cell r="BR116"/>
          <cell r="BS116"/>
          <cell r="BT116"/>
          <cell r="BU116"/>
          <cell r="BV116"/>
          <cell r="BW116"/>
          <cell r="BX116"/>
        </row>
        <row r="117">
          <cell r="B117" t="str">
            <v>Non-current lease liabilities (op lease: US GAAP)</v>
          </cell>
          <cell r="C117" t="str">
            <v>LT_LEASE_LIAB</v>
          </cell>
          <cell r="D117" t="str">
            <v>AUD</v>
          </cell>
          <cell r="F117"/>
          <cell r="G117"/>
          <cell r="H117"/>
          <cell r="I117"/>
          <cell r="J117"/>
          <cell r="K117"/>
          <cell r="L117"/>
          <cell r="M117"/>
          <cell r="N117"/>
          <cell r="O117"/>
          <cell r="P117"/>
          <cell r="Q117"/>
          <cell r="R117"/>
          <cell r="S117"/>
          <cell r="T117"/>
          <cell r="U117"/>
          <cell r="V117"/>
          <cell r="W117"/>
          <cell r="X117"/>
          <cell r="Y117"/>
          <cell r="Z117"/>
          <cell r="AA117"/>
          <cell r="AB117"/>
          <cell r="AC117"/>
          <cell r="AD117"/>
          <cell r="AE117"/>
          <cell r="AF117"/>
          <cell r="AG117"/>
          <cell r="AH117"/>
          <cell r="AI117"/>
          <cell r="AJ117"/>
          <cell r="AK117"/>
          <cell r="AL117"/>
          <cell r="AM117"/>
          <cell r="AN117"/>
          <cell r="AO117"/>
          <cell r="AP117"/>
          <cell r="AQ117"/>
          <cell r="AR117"/>
          <cell r="AS117"/>
          <cell r="AT117"/>
          <cell r="AU117"/>
          <cell r="AV117"/>
          <cell r="AW117"/>
          <cell r="AX117"/>
          <cell r="AY117"/>
          <cell r="AZ117"/>
          <cell r="BA117"/>
          <cell r="BB117"/>
          <cell r="BC117"/>
          <cell r="BD117"/>
          <cell r="BE117"/>
          <cell r="BF117"/>
          <cell r="BG117"/>
          <cell r="BH117"/>
          <cell r="BI117"/>
          <cell r="BJ117"/>
          <cell r="BK117"/>
          <cell r="BL117"/>
          <cell r="BM117"/>
          <cell r="BN117"/>
          <cell r="BO117"/>
          <cell r="BP117"/>
          <cell r="BQ117"/>
          <cell r="BR117"/>
          <cell r="BS117"/>
          <cell r="BT117"/>
          <cell r="BU117"/>
          <cell r="BV117"/>
          <cell r="BW117"/>
          <cell r="BX117"/>
        </row>
        <row r="118">
          <cell r="B118" t="str">
            <v>Life assurance liabilities attributable to policyholders</v>
          </cell>
          <cell r="C118" t="str">
            <v>LIFE_POLICY_LIABS</v>
          </cell>
          <cell r="D118" t="str">
            <v>AUD</v>
          </cell>
          <cell r="F118"/>
          <cell r="G118"/>
          <cell r="H118"/>
          <cell r="I118"/>
          <cell r="J118"/>
          <cell r="K118"/>
          <cell r="L118"/>
          <cell r="M118"/>
          <cell r="N118"/>
          <cell r="O118"/>
          <cell r="P118"/>
          <cell r="Q118"/>
          <cell r="R118"/>
          <cell r="S118"/>
          <cell r="T118"/>
          <cell r="U118"/>
          <cell r="V118"/>
          <cell r="W118"/>
          <cell r="X118"/>
          <cell r="Y118"/>
          <cell r="Z118"/>
          <cell r="AA118"/>
          <cell r="AB118"/>
          <cell r="AC118"/>
          <cell r="AD118"/>
          <cell r="AE118"/>
          <cell r="AF118"/>
          <cell r="AG118"/>
          <cell r="AH118"/>
          <cell r="AI118"/>
          <cell r="AJ118"/>
          <cell r="AK118"/>
          <cell r="AL118"/>
          <cell r="AM118"/>
          <cell r="AN118"/>
          <cell r="AO118"/>
          <cell r="AP118"/>
          <cell r="AQ118"/>
          <cell r="AR118"/>
          <cell r="AS118"/>
          <cell r="AT118"/>
          <cell r="AU118"/>
          <cell r="AV118"/>
          <cell r="AW118"/>
          <cell r="AX118"/>
          <cell r="AY118"/>
          <cell r="AZ118"/>
          <cell r="BA118"/>
          <cell r="BB118"/>
          <cell r="BC118"/>
          <cell r="BD118"/>
          <cell r="BE118"/>
          <cell r="BF118"/>
          <cell r="BG118"/>
          <cell r="BH118"/>
          <cell r="BI118"/>
          <cell r="BJ118"/>
          <cell r="BK118"/>
          <cell r="BL118"/>
          <cell r="BM118"/>
          <cell r="BN118"/>
          <cell r="BO118"/>
          <cell r="BP118"/>
          <cell r="BQ118"/>
          <cell r="BR118"/>
          <cell r="BS118"/>
          <cell r="BT118"/>
          <cell r="BU118"/>
          <cell r="BV118"/>
          <cell r="BW118"/>
          <cell r="BX118"/>
        </row>
        <row r="119">
          <cell r="B119" t="str">
            <v>Other liabilities</v>
          </cell>
          <cell r="C119" t="str">
            <v>OTH_LIABS</v>
          </cell>
          <cell r="D119" t="str">
            <v>AUD</v>
          </cell>
          <cell r="F119">
            <v>44815</v>
          </cell>
          <cell r="G119">
            <v>62770</v>
          </cell>
          <cell r="H119">
            <v>71143</v>
          </cell>
          <cell r="I119">
            <v>71692</v>
          </cell>
          <cell r="J119">
            <v>104544</v>
          </cell>
          <cell r="K119">
            <v>112196</v>
          </cell>
          <cell r="L119">
            <v>108947</v>
          </cell>
          <cell r="M119">
            <v>106257</v>
          </cell>
          <cell r="N119">
            <v>105779</v>
          </cell>
          <cell r="O119">
            <v>115820</v>
          </cell>
          <cell r="P119">
            <v>115820</v>
          </cell>
          <cell r="Q119">
            <v>141426</v>
          </cell>
          <cell r="R119">
            <v>147853</v>
          </cell>
          <cell r="S119">
            <v>147853</v>
          </cell>
          <cell r="T119">
            <v>157353</v>
          </cell>
          <cell r="U119">
            <v>159447</v>
          </cell>
          <cell r="V119">
            <v>159447</v>
          </cell>
          <cell r="W119">
            <v>152314</v>
          </cell>
          <cell r="X119">
            <v>135386</v>
          </cell>
          <cell r="Y119">
            <v>135386</v>
          </cell>
          <cell r="Z119">
            <v>140860</v>
          </cell>
          <cell r="AA119">
            <v>139977</v>
          </cell>
          <cell r="AB119">
            <v>139977</v>
          </cell>
          <cell r="AC119">
            <v>151566</v>
          </cell>
          <cell r="AD119">
            <v>147958</v>
          </cell>
          <cell r="AE119">
            <v>147958</v>
          </cell>
          <cell r="AF119">
            <v>200021</v>
          </cell>
          <cell r="AG119">
            <v>153932</v>
          </cell>
          <cell r="AH119">
            <v>153932</v>
          </cell>
          <cell r="AI119">
            <v>123983</v>
          </cell>
          <cell r="AJ119">
            <v>49727</v>
          </cell>
          <cell r="AK119">
            <v>49727</v>
          </cell>
          <cell r="AL119">
            <v>60187</v>
          </cell>
          <cell r="AM119">
            <v>101179</v>
          </cell>
          <cell r="AN119">
            <v>101179</v>
          </cell>
          <cell r="AO119">
            <v>69287</v>
          </cell>
          <cell r="AP119">
            <v>95549</v>
          </cell>
          <cell r="AQ119">
            <v>95549</v>
          </cell>
          <cell r="AR119">
            <v>86258</v>
          </cell>
          <cell r="AS119">
            <v>112148</v>
          </cell>
          <cell r="AT119">
            <v>112148</v>
          </cell>
          <cell r="AU119">
            <v>102200</v>
          </cell>
          <cell r="AV119">
            <v>103663</v>
          </cell>
          <cell r="AW119">
            <v>103663</v>
          </cell>
          <cell r="AX119">
            <v>105824.40250818129</v>
          </cell>
          <cell r="AY119">
            <v>107391.05838738532</v>
          </cell>
          <cell r="AZ119">
            <v>107391.05838738532</v>
          </cell>
          <cell r="BA119">
            <v>109013.38599100984</v>
          </cell>
          <cell r="BB119">
            <v>111196.61082467365</v>
          </cell>
          <cell r="BC119">
            <v>111196.61082467365</v>
          </cell>
          <cell r="BD119">
            <v>113325.73484240517</v>
          </cell>
          <cell r="BE119">
            <v>115525.36642280384</v>
          </cell>
          <cell r="BF119">
            <v>115525.36642280384</v>
          </cell>
          <cell r="BG119">
            <v>117594.62205025689</v>
          </cell>
          <cell r="BH119">
            <v>119616.41491928436</v>
          </cell>
          <cell r="BI119">
            <v>119616.41491928436</v>
          </cell>
          <cell r="BJ119">
            <v>121951.570066543</v>
          </cell>
          <cell r="BK119">
            <v>124181.19746405409</v>
          </cell>
          <cell r="BL119">
            <v>124181.19746405409</v>
          </cell>
          <cell r="BM119">
            <v>126615.24390246953</v>
          </cell>
          <cell r="BN119">
            <v>129013.14285670615</v>
          </cell>
          <cell r="BO119">
            <v>129013.14285670615</v>
          </cell>
          <cell r="BP119">
            <v>131462.85907535497</v>
          </cell>
          <cell r="BQ119">
            <v>133969.96918924843</v>
          </cell>
          <cell r="BR119">
            <v>133969.96918924843</v>
          </cell>
          <cell r="BS119">
            <v>136672.21253661439</v>
          </cell>
          <cell r="BT119">
            <v>139432.58720081148</v>
          </cell>
          <cell r="BU119">
            <v>139432.58720081148</v>
          </cell>
          <cell r="BV119">
            <v>142367.82037920435</v>
          </cell>
          <cell r="BW119">
            <v>145366.8933416135</v>
          </cell>
          <cell r="BX119">
            <v>145366.8933416135</v>
          </cell>
        </row>
        <row r="120">
          <cell r="B120" t="str">
            <v>Total liabilities</v>
          </cell>
          <cell r="C120" t="str">
            <v>TOT_LIAB</v>
          </cell>
          <cell r="D120" t="str">
            <v>AUD</v>
          </cell>
          <cell r="F120">
            <v>314734</v>
          </cell>
          <cell r="G120">
            <v>370725</v>
          </cell>
          <cell r="H120">
            <v>443741</v>
          </cell>
          <cell r="I120">
            <v>444558</v>
          </cell>
          <cell r="J120">
            <v>497548</v>
          </cell>
          <cell r="K120">
            <v>566259</v>
          </cell>
          <cell r="L120">
            <v>600907</v>
          </cell>
          <cell r="M120">
            <v>657392</v>
          </cell>
          <cell r="N120">
            <v>690777</v>
          </cell>
          <cell r="O120">
            <v>722808</v>
          </cell>
          <cell r="P120">
            <v>722808</v>
          </cell>
          <cell r="Q120">
            <v>808036</v>
          </cell>
          <cell r="R120">
            <v>832547</v>
          </cell>
          <cell r="S120">
            <v>832547</v>
          </cell>
          <cell r="T120">
            <v>838814</v>
          </cell>
          <cell r="U120">
            <v>856942</v>
          </cell>
          <cell r="V120">
            <v>856942</v>
          </cell>
          <cell r="W120">
            <v>838603</v>
          </cell>
          <cell r="X120">
            <v>838251</v>
          </cell>
          <cell r="Y120">
            <v>838251</v>
          </cell>
          <cell r="Z120">
            <v>876170</v>
          </cell>
          <cell r="AA120">
            <v>883751</v>
          </cell>
          <cell r="AB120">
            <v>883751</v>
          </cell>
          <cell r="AC120">
            <v>920299</v>
          </cell>
          <cell r="AD120">
            <v>920343</v>
          </cell>
          <cell r="AE120">
            <v>920343</v>
          </cell>
          <cell r="AF120">
            <v>1088580</v>
          </cell>
          <cell r="AG120">
            <v>980989</v>
          </cell>
          <cell r="AH120">
            <v>980989</v>
          </cell>
          <cell r="AI120">
            <v>955763</v>
          </cell>
          <cell r="AJ120">
            <v>915181</v>
          </cell>
          <cell r="AK120">
            <v>915181</v>
          </cell>
          <cell r="AL120">
            <v>955605</v>
          </cell>
          <cell r="AM120">
            <v>1019328</v>
          </cell>
          <cell r="AN120">
            <v>1019328</v>
          </cell>
          <cell r="AO120">
            <v>1041657</v>
          </cell>
          <cell r="AP120">
            <v>1035626</v>
          </cell>
          <cell r="AQ120">
            <v>1035626</v>
          </cell>
          <cell r="AR120">
            <v>1019393</v>
          </cell>
          <cell r="AS120">
            <v>1159258</v>
          </cell>
          <cell r="AT120">
            <v>1159258</v>
          </cell>
          <cell r="AU120">
            <v>1231042</v>
          </cell>
          <cell r="AV120">
            <v>1225980</v>
          </cell>
          <cell r="AW120">
            <v>1225980</v>
          </cell>
          <cell r="AX120">
            <v>1251542.0254765933</v>
          </cell>
          <cell r="AY120">
            <v>1270070.2252661667</v>
          </cell>
          <cell r="AZ120">
            <v>1270070.2252661667</v>
          </cell>
          <cell r="BA120">
            <v>1289256.8318229092</v>
          </cell>
          <cell r="BB120">
            <v>1315076.9410381082</v>
          </cell>
          <cell r="BC120">
            <v>1315076.9410381082</v>
          </cell>
          <cell r="BD120">
            <v>1340257.221979799</v>
          </cell>
          <cell r="BE120">
            <v>1366271.3670936502</v>
          </cell>
          <cell r="BF120">
            <v>1366271.3670936502</v>
          </cell>
          <cell r="BG120">
            <v>1390743.6090135723</v>
          </cell>
          <cell r="BH120">
            <v>1414654.5282573747</v>
          </cell>
          <cell r="BI120">
            <v>1414654.5282573747</v>
          </cell>
          <cell r="BJ120">
            <v>1442271.4552943711</v>
          </cell>
          <cell r="BK120">
            <v>1468640.3486970379</v>
          </cell>
          <cell r="BL120">
            <v>1468640.3486970379</v>
          </cell>
          <cell r="BM120">
            <v>1497426.822680702</v>
          </cell>
          <cell r="BN120">
            <v>1525785.7951194218</v>
          </cell>
          <cell r="BO120">
            <v>1525785.7951194218</v>
          </cell>
          <cell r="BP120">
            <v>1554757.5891996534</v>
          </cell>
          <cell r="BQ120">
            <v>1584408.1574586378</v>
          </cell>
          <cell r="BR120">
            <v>1584408.1574586378</v>
          </cell>
          <cell r="BS120">
            <v>1616366.4868433143</v>
          </cell>
          <cell r="BT120">
            <v>1649012.3115909325</v>
          </cell>
          <cell r="BU120">
            <v>1649012.3115909325</v>
          </cell>
          <cell r="BV120">
            <v>1683726.116632713</v>
          </cell>
          <cell r="BW120">
            <v>1719194.9287494216</v>
          </cell>
          <cell r="BX120">
            <v>1719194.9287494218</v>
          </cell>
        </row>
        <row r="121">
          <cell r="B121" t="str">
            <v>Preferred shares</v>
          </cell>
          <cell r="C121" t="str">
            <v>PREF_SH</v>
          </cell>
          <cell r="D121" t="str">
            <v>AUD</v>
          </cell>
          <cell r="F121">
            <v>871</v>
          </cell>
          <cell r="G121">
            <v>871</v>
          </cell>
          <cell r="H121">
            <v>871</v>
          </cell>
          <cell r="I121">
            <v>871</v>
          </cell>
          <cell r="J121">
            <v>871</v>
          </cell>
          <cell r="K121">
            <v>871</v>
          </cell>
          <cell r="L121">
            <v>871</v>
          </cell>
          <cell r="M121">
            <v>871</v>
          </cell>
          <cell r="N121">
            <v>871</v>
          </cell>
          <cell r="O121">
            <v>871</v>
          </cell>
          <cell r="P121">
            <v>871</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row>
        <row r="122">
          <cell r="B122" t="str">
            <v>Total common equity</v>
          </cell>
          <cell r="C122" t="str">
            <v>ORD_SH_FUND</v>
          </cell>
          <cell r="D122" t="str">
            <v>AUD</v>
          </cell>
          <cell r="F122">
            <v>19001</v>
          </cell>
          <cell r="G122">
            <v>21139</v>
          </cell>
          <cell r="H122">
            <v>25619</v>
          </cell>
          <cell r="I122">
            <v>31493</v>
          </cell>
          <cell r="J122">
            <v>33220</v>
          </cell>
          <cell r="K122">
            <v>37035</v>
          </cell>
          <cell r="L122">
            <v>40300</v>
          </cell>
          <cell r="M122">
            <v>44670</v>
          </cell>
          <cell r="N122">
            <v>46100</v>
          </cell>
          <cell r="O122">
            <v>48336</v>
          </cell>
          <cell r="P122">
            <v>48336</v>
          </cell>
          <cell r="Q122">
            <v>51956</v>
          </cell>
          <cell r="R122">
            <v>57247</v>
          </cell>
          <cell r="S122">
            <v>57247</v>
          </cell>
          <cell r="T122">
            <v>56363</v>
          </cell>
          <cell r="U122">
            <v>57818</v>
          </cell>
          <cell r="V122">
            <v>57818</v>
          </cell>
          <cell r="W122">
            <v>57791</v>
          </cell>
          <cell r="X122">
            <v>58959</v>
          </cell>
          <cell r="Y122">
            <v>58959</v>
          </cell>
          <cell r="Z122">
            <v>59374</v>
          </cell>
          <cell r="AA122">
            <v>59265</v>
          </cell>
          <cell r="AB122">
            <v>59265</v>
          </cell>
          <cell r="AC122">
            <v>59821</v>
          </cell>
          <cell r="AD122">
            <v>60783</v>
          </cell>
          <cell r="AE122">
            <v>60783</v>
          </cell>
          <cell r="AF122">
            <v>61364</v>
          </cell>
          <cell r="AG122">
            <v>61287</v>
          </cell>
          <cell r="AH122">
            <v>61287</v>
          </cell>
          <cell r="AI122">
            <v>62566</v>
          </cell>
          <cell r="AJ122">
            <v>63665</v>
          </cell>
          <cell r="AK122">
            <v>63665</v>
          </cell>
          <cell r="AL122">
            <v>61747</v>
          </cell>
          <cell r="AM122">
            <v>65907</v>
          </cell>
          <cell r="AN122">
            <v>65907</v>
          </cell>
          <cell r="AO122">
            <v>69055</v>
          </cell>
          <cell r="AP122">
            <v>69495</v>
          </cell>
          <cell r="AQ122">
            <v>69495</v>
          </cell>
          <cell r="AR122">
            <v>69538</v>
          </cell>
          <cell r="AS122">
            <v>69086</v>
          </cell>
          <cell r="AT122">
            <v>69086</v>
          </cell>
          <cell r="AU122">
            <v>70803</v>
          </cell>
          <cell r="AV122">
            <v>70389</v>
          </cell>
          <cell r="AW122">
            <v>70389</v>
          </cell>
          <cell r="AX122">
            <v>72702.002535985375</v>
          </cell>
          <cell r="AY122">
            <v>74490.793947429847</v>
          </cell>
          <cell r="AZ122">
            <v>74490.793947429847</v>
          </cell>
          <cell r="BA122">
            <v>75129.502505429002</v>
          </cell>
          <cell r="BB122">
            <v>74756.323451203672</v>
          </cell>
          <cell r="BC122">
            <v>74756.323451203658</v>
          </cell>
          <cell r="BD122">
            <v>74492.548344663897</v>
          </cell>
          <cell r="BE122">
            <v>74157.560575558949</v>
          </cell>
          <cell r="BF122">
            <v>74157.56057555892</v>
          </cell>
          <cell r="BG122">
            <v>73853.372940820758</v>
          </cell>
          <cell r="BH122">
            <v>73586.737814037158</v>
          </cell>
          <cell r="BI122">
            <v>73586.737814037129</v>
          </cell>
          <cell r="BJ122">
            <v>74326.261452117891</v>
          </cell>
          <cell r="BK122">
            <v>75087.052612679647</v>
          </cell>
          <cell r="BL122">
            <v>75087.052612679618</v>
          </cell>
          <cell r="BM122">
            <v>76115.485806749988</v>
          </cell>
          <cell r="BN122">
            <v>77236.115401026516</v>
          </cell>
          <cell r="BO122">
            <v>77236.115401026502</v>
          </cell>
          <cell r="BP122">
            <v>78339.835221546033</v>
          </cell>
          <cell r="BQ122">
            <v>79372.589260931723</v>
          </cell>
          <cell r="BR122">
            <v>79372.589260931709</v>
          </cell>
          <cell r="BS122">
            <v>80371.858505289201</v>
          </cell>
          <cell r="BT122">
            <v>81340.772688815836</v>
          </cell>
          <cell r="BU122">
            <v>81340.772688815821</v>
          </cell>
          <cell r="BV122">
            <v>82288.948127141804</v>
          </cell>
          <cell r="BW122">
            <v>83248.473592207651</v>
          </cell>
          <cell r="BX122">
            <v>83248.473592207622</v>
          </cell>
        </row>
        <row r="123">
          <cell r="B123" t="str">
            <v>Minority interest</v>
          </cell>
          <cell r="C123" t="str">
            <v>MINOR_EQUITY_BS</v>
          </cell>
          <cell r="D123" t="str">
            <v>AUD</v>
          </cell>
          <cell r="F123">
            <v>34</v>
          </cell>
          <cell r="G123">
            <v>38</v>
          </cell>
          <cell r="H123">
            <v>62</v>
          </cell>
          <cell r="I123">
            <v>65</v>
          </cell>
          <cell r="J123">
            <v>64</v>
          </cell>
          <cell r="K123">
            <v>48</v>
          </cell>
          <cell r="L123">
            <v>49</v>
          </cell>
          <cell r="M123">
            <v>62</v>
          </cell>
          <cell r="N123">
            <v>67</v>
          </cell>
          <cell r="O123">
            <v>77</v>
          </cell>
          <cell r="P123">
            <v>77</v>
          </cell>
          <cell r="Q123">
            <v>95</v>
          </cell>
          <cell r="R123">
            <v>106</v>
          </cell>
          <cell r="S123">
            <v>106</v>
          </cell>
          <cell r="T123">
            <v>101</v>
          </cell>
          <cell r="U123">
            <v>109</v>
          </cell>
          <cell r="V123">
            <v>109</v>
          </cell>
          <cell r="W123">
            <v>117</v>
          </cell>
          <cell r="X123">
            <v>116</v>
          </cell>
          <cell r="Y123">
            <v>116</v>
          </cell>
          <cell r="Z123">
            <v>126</v>
          </cell>
          <cell r="AA123">
            <v>140</v>
          </cell>
          <cell r="AB123">
            <v>140</v>
          </cell>
          <cell r="AC123">
            <v>150</v>
          </cell>
          <cell r="AD123">
            <v>11</v>
          </cell>
          <cell r="AE123">
            <v>11</v>
          </cell>
          <cell r="AF123">
            <v>11</v>
          </cell>
          <cell r="AG123">
            <v>10</v>
          </cell>
          <cell r="AH123">
            <v>10</v>
          </cell>
          <cell r="AI123">
            <v>10</v>
          </cell>
          <cell r="AJ123">
            <v>11</v>
          </cell>
          <cell r="AK123">
            <v>11</v>
          </cell>
          <cell r="AL123">
            <v>9</v>
          </cell>
          <cell r="AM123">
            <v>494</v>
          </cell>
          <cell r="AN123">
            <v>494</v>
          </cell>
          <cell r="AO123">
            <v>525</v>
          </cell>
          <cell r="AP123">
            <v>522</v>
          </cell>
          <cell r="AQ123">
            <v>522</v>
          </cell>
          <cell r="AR123">
            <v>768</v>
          </cell>
          <cell r="AS123">
            <v>771</v>
          </cell>
          <cell r="AT123">
            <v>771</v>
          </cell>
          <cell r="AU123">
            <v>764</v>
          </cell>
          <cell r="AV123">
            <v>739</v>
          </cell>
          <cell r="AW123">
            <v>739</v>
          </cell>
          <cell r="AX123">
            <v>739</v>
          </cell>
          <cell r="AY123">
            <v>739</v>
          </cell>
          <cell r="AZ123">
            <v>739</v>
          </cell>
          <cell r="BA123">
            <v>739</v>
          </cell>
          <cell r="BB123">
            <v>739</v>
          </cell>
          <cell r="BC123">
            <v>739</v>
          </cell>
          <cell r="BD123">
            <v>739</v>
          </cell>
          <cell r="BE123">
            <v>739</v>
          </cell>
          <cell r="BF123">
            <v>739</v>
          </cell>
          <cell r="BG123">
            <v>739</v>
          </cell>
          <cell r="BH123">
            <v>739</v>
          </cell>
          <cell r="BI123">
            <v>739</v>
          </cell>
          <cell r="BJ123">
            <v>739</v>
          </cell>
          <cell r="BK123">
            <v>739</v>
          </cell>
          <cell r="BL123">
            <v>739</v>
          </cell>
          <cell r="BM123">
            <v>739</v>
          </cell>
          <cell r="BN123">
            <v>739</v>
          </cell>
          <cell r="BO123">
            <v>739</v>
          </cell>
          <cell r="BP123">
            <v>739</v>
          </cell>
          <cell r="BQ123">
            <v>739</v>
          </cell>
          <cell r="BR123">
            <v>739</v>
          </cell>
          <cell r="BS123">
            <v>739</v>
          </cell>
          <cell r="BT123">
            <v>739</v>
          </cell>
          <cell r="BU123">
            <v>739</v>
          </cell>
          <cell r="BV123">
            <v>739</v>
          </cell>
          <cell r="BW123">
            <v>739</v>
          </cell>
          <cell r="BX123">
            <v>739</v>
          </cell>
        </row>
        <row r="124">
          <cell r="B124" t="str">
            <v>Minority interest</v>
          </cell>
          <cell r="C124" t="str">
            <v>MINORITIES</v>
          </cell>
          <cell r="D124" t="str">
            <v>AUD</v>
          </cell>
          <cell r="F124">
            <v>34</v>
          </cell>
          <cell r="G124">
            <v>38</v>
          </cell>
          <cell r="H124">
            <v>62</v>
          </cell>
          <cell r="I124">
            <v>65</v>
          </cell>
          <cell r="J124">
            <v>64</v>
          </cell>
          <cell r="K124">
            <v>48</v>
          </cell>
          <cell r="L124">
            <v>49</v>
          </cell>
          <cell r="M124">
            <v>62</v>
          </cell>
          <cell r="N124">
            <v>67</v>
          </cell>
          <cell r="O124">
            <v>77</v>
          </cell>
          <cell r="P124">
            <v>77</v>
          </cell>
          <cell r="Q124">
            <v>95</v>
          </cell>
          <cell r="R124">
            <v>106</v>
          </cell>
          <cell r="S124">
            <v>106</v>
          </cell>
          <cell r="T124">
            <v>101</v>
          </cell>
          <cell r="U124">
            <v>109</v>
          </cell>
          <cell r="V124">
            <v>109</v>
          </cell>
          <cell r="W124">
            <v>117</v>
          </cell>
          <cell r="X124">
            <v>116</v>
          </cell>
          <cell r="Y124">
            <v>116</v>
          </cell>
          <cell r="Z124">
            <v>126</v>
          </cell>
          <cell r="AA124">
            <v>140</v>
          </cell>
          <cell r="AB124">
            <v>140</v>
          </cell>
          <cell r="AC124">
            <v>150</v>
          </cell>
          <cell r="AD124">
            <v>11</v>
          </cell>
          <cell r="AE124">
            <v>11</v>
          </cell>
          <cell r="AF124">
            <v>11</v>
          </cell>
          <cell r="AG124">
            <v>10</v>
          </cell>
          <cell r="AH124">
            <v>10</v>
          </cell>
          <cell r="AI124">
            <v>10</v>
          </cell>
          <cell r="AJ124">
            <v>11</v>
          </cell>
          <cell r="AK124">
            <v>11</v>
          </cell>
          <cell r="AL124">
            <v>9</v>
          </cell>
          <cell r="AM124">
            <v>494</v>
          </cell>
          <cell r="AN124">
            <v>494</v>
          </cell>
          <cell r="AO124">
            <v>525</v>
          </cell>
          <cell r="AP124">
            <v>522</v>
          </cell>
          <cell r="AQ124">
            <v>522</v>
          </cell>
          <cell r="AR124">
            <v>768</v>
          </cell>
          <cell r="AS124">
            <v>771</v>
          </cell>
          <cell r="AT124">
            <v>771</v>
          </cell>
          <cell r="AU124">
            <v>764</v>
          </cell>
          <cell r="AV124">
            <v>739</v>
          </cell>
          <cell r="AW124">
            <v>739</v>
          </cell>
          <cell r="AX124">
            <v>739</v>
          </cell>
          <cell r="AY124">
            <v>739</v>
          </cell>
          <cell r="AZ124">
            <v>739</v>
          </cell>
          <cell r="BA124">
            <v>739</v>
          </cell>
          <cell r="BB124">
            <v>739</v>
          </cell>
          <cell r="BC124">
            <v>739</v>
          </cell>
          <cell r="BD124">
            <v>739</v>
          </cell>
          <cell r="BE124">
            <v>739</v>
          </cell>
          <cell r="BF124">
            <v>739</v>
          </cell>
          <cell r="BG124">
            <v>739</v>
          </cell>
          <cell r="BH124">
            <v>739</v>
          </cell>
          <cell r="BI124">
            <v>739</v>
          </cell>
          <cell r="BJ124">
            <v>739</v>
          </cell>
          <cell r="BK124">
            <v>739</v>
          </cell>
          <cell r="BL124">
            <v>739</v>
          </cell>
          <cell r="BM124">
            <v>739</v>
          </cell>
          <cell r="BN124">
            <v>739</v>
          </cell>
          <cell r="BO124">
            <v>739</v>
          </cell>
          <cell r="BP124">
            <v>739</v>
          </cell>
          <cell r="BQ124">
            <v>739</v>
          </cell>
          <cell r="BR124">
            <v>739</v>
          </cell>
          <cell r="BS124">
            <v>739</v>
          </cell>
          <cell r="BT124">
            <v>739</v>
          </cell>
          <cell r="BU124">
            <v>739</v>
          </cell>
          <cell r="BV124">
            <v>739</v>
          </cell>
          <cell r="BW124">
            <v>739</v>
          </cell>
          <cell r="BX124">
            <v>739</v>
          </cell>
        </row>
        <row r="125">
          <cell r="B125" t="str">
            <v>Total shareholders' equity</v>
          </cell>
          <cell r="C125" t="str">
            <v>EQ</v>
          </cell>
          <cell r="D125" t="str">
            <v>AUD</v>
          </cell>
          <cell r="F125">
            <v>19906</v>
          </cell>
          <cell r="G125">
            <v>22048</v>
          </cell>
          <cell r="H125">
            <v>26552</v>
          </cell>
          <cell r="I125">
            <v>32429</v>
          </cell>
          <cell r="J125">
            <v>34155</v>
          </cell>
          <cell r="K125">
            <v>37954</v>
          </cell>
          <cell r="L125">
            <v>41220</v>
          </cell>
          <cell r="M125">
            <v>45603</v>
          </cell>
          <cell r="N125">
            <v>47038</v>
          </cell>
          <cell r="O125">
            <v>49284</v>
          </cell>
          <cell r="P125">
            <v>49284</v>
          </cell>
          <cell r="Q125">
            <v>52051</v>
          </cell>
          <cell r="R125">
            <v>57353</v>
          </cell>
          <cell r="S125">
            <v>57353</v>
          </cell>
          <cell r="T125">
            <v>56464</v>
          </cell>
          <cell r="U125">
            <v>57927</v>
          </cell>
          <cell r="V125">
            <v>57927</v>
          </cell>
          <cell r="W125">
            <v>57908</v>
          </cell>
          <cell r="X125">
            <v>59075</v>
          </cell>
          <cell r="Y125">
            <v>59075</v>
          </cell>
          <cell r="Z125">
            <v>59500</v>
          </cell>
          <cell r="AA125">
            <v>59405</v>
          </cell>
          <cell r="AB125">
            <v>59405</v>
          </cell>
          <cell r="AC125">
            <v>59971</v>
          </cell>
          <cell r="AD125">
            <v>60794</v>
          </cell>
          <cell r="AE125">
            <v>60794</v>
          </cell>
          <cell r="AF125">
            <v>61375</v>
          </cell>
          <cell r="AG125">
            <v>61297</v>
          </cell>
          <cell r="AH125">
            <v>61297</v>
          </cell>
          <cell r="AI125">
            <v>62576</v>
          </cell>
          <cell r="AJ125">
            <v>63676</v>
          </cell>
          <cell r="AK125">
            <v>63676</v>
          </cell>
          <cell r="AL125">
            <v>61756</v>
          </cell>
          <cell r="AM125">
            <v>66401</v>
          </cell>
          <cell r="AN125">
            <v>66401</v>
          </cell>
          <cell r="AO125">
            <v>69580</v>
          </cell>
          <cell r="AP125">
            <v>70017</v>
          </cell>
          <cell r="AQ125">
            <v>70017</v>
          </cell>
          <cell r="AR125">
            <v>70306</v>
          </cell>
          <cell r="AS125">
            <v>69857</v>
          </cell>
          <cell r="AT125">
            <v>69857</v>
          </cell>
          <cell r="AU125">
            <v>71567</v>
          </cell>
          <cell r="AV125">
            <v>71128</v>
          </cell>
          <cell r="AW125">
            <v>71128</v>
          </cell>
          <cell r="AX125">
            <v>73441.002535985375</v>
          </cell>
          <cell r="AY125">
            <v>75229.793947429847</v>
          </cell>
          <cell r="AZ125">
            <v>75229.793947429847</v>
          </cell>
          <cell r="BA125">
            <v>75868.502505429002</v>
          </cell>
          <cell r="BB125">
            <v>75495.323451203672</v>
          </cell>
          <cell r="BC125">
            <v>75495.323451203658</v>
          </cell>
          <cell r="BD125">
            <v>75231.548344663897</v>
          </cell>
          <cell r="BE125">
            <v>74896.560575558949</v>
          </cell>
          <cell r="BF125">
            <v>74896.56057555892</v>
          </cell>
          <cell r="BG125">
            <v>74592.372940820758</v>
          </cell>
          <cell r="BH125">
            <v>74325.737814037158</v>
          </cell>
          <cell r="BI125">
            <v>74325.737814037129</v>
          </cell>
          <cell r="BJ125">
            <v>75065.261452117891</v>
          </cell>
          <cell r="BK125">
            <v>75826.052612679647</v>
          </cell>
          <cell r="BL125">
            <v>75826.052612679618</v>
          </cell>
          <cell r="BM125">
            <v>76854.485806749988</v>
          </cell>
          <cell r="BN125">
            <v>77975.115401026516</v>
          </cell>
          <cell r="BO125">
            <v>77975.115401026502</v>
          </cell>
          <cell r="BP125">
            <v>79078.835221546033</v>
          </cell>
          <cell r="BQ125">
            <v>80111.589260931723</v>
          </cell>
          <cell r="BR125">
            <v>80111.589260931709</v>
          </cell>
          <cell r="BS125">
            <v>81110.858505289201</v>
          </cell>
          <cell r="BT125">
            <v>82079.772688815836</v>
          </cell>
          <cell r="BU125">
            <v>82079.772688815821</v>
          </cell>
          <cell r="BV125">
            <v>83027.948127141804</v>
          </cell>
          <cell r="BW125">
            <v>83987.473592207651</v>
          </cell>
          <cell r="BX125">
            <v>83987.473592207622</v>
          </cell>
        </row>
        <row r="126">
          <cell r="B126" t="str">
            <v>Total liabilities and equity</v>
          </cell>
          <cell r="C126" t="str">
            <v>TOT_LIAB_EQ</v>
          </cell>
          <cell r="D126" t="str">
            <v>AUD</v>
          </cell>
          <cell r="F126">
            <v>334640</v>
          </cell>
          <cell r="G126">
            <v>392773</v>
          </cell>
          <cell r="H126">
            <v>470293</v>
          </cell>
          <cell r="I126">
            <v>476987</v>
          </cell>
          <cell r="J126">
            <v>531703</v>
          </cell>
          <cell r="K126">
            <v>604213</v>
          </cell>
          <cell r="L126">
            <v>642127</v>
          </cell>
          <cell r="M126">
            <v>702995</v>
          </cell>
          <cell r="N126">
            <v>737815</v>
          </cell>
          <cell r="O126">
            <v>772092</v>
          </cell>
          <cell r="P126">
            <v>772092</v>
          </cell>
          <cell r="Q126">
            <v>860087</v>
          </cell>
          <cell r="R126">
            <v>889900</v>
          </cell>
          <cell r="S126">
            <v>889900</v>
          </cell>
          <cell r="T126">
            <v>895278</v>
          </cell>
          <cell r="U126">
            <v>914869</v>
          </cell>
          <cell r="V126">
            <v>914869</v>
          </cell>
          <cell r="W126">
            <v>896511</v>
          </cell>
          <cell r="X126">
            <v>897326</v>
          </cell>
          <cell r="Y126">
            <v>897326</v>
          </cell>
          <cell r="Z126">
            <v>935670</v>
          </cell>
          <cell r="AA126">
            <v>943156</v>
          </cell>
          <cell r="AB126">
            <v>943156</v>
          </cell>
          <cell r="AC126">
            <v>980270</v>
          </cell>
          <cell r="AD126">
            <v>981137</v>
          </cell>
          <cell r="AE126">
            <v>981137</v>
          </cell>
          <cell r="AF126">
            <v>1149955</v>
          </cell>
          <cell r="AG126">
            <v>1042286</v>
          </cell>
          <cell r="AH126">
            <v>1042286</v>
          </cell>
          <cell r="AI126">
            <v>1018339</v>
          </cell>
          <cell r="AJ126">
            <v>978857</v>
          </cell>
          <cell r="AK126">
            <v>978857</v>
          </cell>
          <cell r="AL126">
            <v>1017361</v>
          </cell>
          <cell r="AM126">
            <v>1085729</v>
          </cell>
          <cell r="AN126">
            <v>1085729</v>
          </cell>
          <cell r="AO126">
            <v>1111237</v>
          </cell>
          <cell r="AP126">
            <v>1105643</v>
          </cell>
          <cell r="AQ126">
            <v>1105643</v>
          </cell>
          <cell r="AR126">
            <v>1089699</v>
          </cell>
          <cell r="AS126">
            <v>1229115</v>
          </cell>
          <cell r="AT126">
            <v>1229115</v>
          </cell>
          <cell r="AU126">
            <v>1302609</v>
          </cell>
          <cell r="AV126">
            <v>1297108</v>
          </cell>
          <cell r="AW126">
            <v>1297108</v>
          </cell>
          <cell r="AX126">
            <v>1324983.0280125786</v>
          </cell>
          <cell r="AY126">
            <v>1345300.0192135966</v>
          </cell>
          <cell r="AZ126">
            <v>1345300.0192135966</v>
          </cell>
          <cell r="BA126">
            <v>1365125.3343283383</v>
          </cell>
          <cell r="BB126">
            <v>1390572.264489312</v>
          </cell>
          <cell r="BC126">
            <v>1390572.264489312</v>
          </cell>
          <cell r="BD126">
            <v>1415488.7703244628</v>
          </cell>
          <cell r="BE126">
            <v>1441167.9276692092</v>
          </cell>
          <cell r="BF126">
            <v>1441167.9276692092</v>
          </cell>
          <cell r="BG126">
            <v>1465335.981954393</v>
          </cell>
          <cell r="BH126">
            <v>1488980.2660714118</v>
          </cell>
          <cell r="BI126">
            <v>1488980.2660714118</v>
          </cell>
          <cell r="BJ126">
            <v>1517336.7167464891</v>
          </cell>
          <cell r="BK126">
            <v>1544466.4013097174</v>
          </cell>
          <cell r="BL126">
            <v>1544466.4013097174</v>
          </cell>
          <cell r="BM126">
            <v>1574281.3084874519</v>
          </cell>
          <cell r="BN126">
            <v>1603760.9105204483</v>
          </cell>
          <cell r="BO126">
            <v>1603760.9105204483</v>
          </cell>
          <cell r="BP126">
            <v>1633836.4244211994</v>
          </cell>
          <cell r="BQ126">
            <v>1664519.7467195697</v>
          </cell>
          <cell r="BR126">
            <v>1664519.7467195697</v>
          </cell>
          <cell r="BS126">
            <v>1697477.3453486036</v>
          </cell>
          <cell r="BT126">
            <v>1731092.0842797484</v>
          </cell>
          <cell r="BU126">
            <v>1731092.0842797484</v>
          </cell>
          <cell r="BV126">
            <v>1766754.0647598547</v>
          </cell>
          <cell r="BW126">
            <v>1803182.4023416294</v>
          </cell>
          <cell r="BX126">
            <v>1803182.4023416294</v>
          </cell>
        </row>
        <row r="127">
          <cell r="B127" t="str">
            <v>Reserves</v>
          </cell>
          <cell r="C127" t="str">
            <v>RESERVES</v>
          </cell>
          <cell r="D127" t="str">
            <v>AUD</v>
          </cell>
          <cell r="F127">
            <v>-354</v>
          </cell>
          <cell r="G127">
            <v>-889</v>
          </cell>
          <cell r="H127">
            <v>-742</v>
          </cell>
          <cell r="I127">
            <v>-1787</v>
          </cell>
          <cell r="J127">
            <v>-2587</v>
          </cell>
          <cell r="K127">
            <v>-2095</v>
          </cell>
          <cell r="L127">
            <v>-2498</v>
          </cell>
          <cell r="M127">
            <v>-907</v>
          </cell>
          <cell r="N127">
            <v>-334</v>
          </cell>
          <cell r="O127">
            <v>-239</v>
          </cell>
          <cell r="P127">
            <v>-239</v>
          </cell>
          <cell r="Q127">
            <v>2188</v>
          </cell>
          <cell r="R127">
            <v>1571</v>
          </cell>
          <cell r="S127">
            <v>1571</v>
          </cell>
          <cell r="T127">
            <v>377</v>
          </cell>
          <cell r="U127">
            <v>1078</v>
          </cell>
          <cell r="V127">
            <v>1078</v>
          </cell>
          <cell r="W127">
            <v>115</v>
          </cell>
          <cell r="X127">
            <v>37</v>
          </cell>
          <cell r="Y127">
            <v>37</v>
          </cell>
          <cell r="Z127">
            <v>541</v>
          </cell>
          <cell r="AA127">
            <v>323</v>
          </cell>
          <cell r="AB127">
            <v>323</v>
          </cell>
          <cell r="AC127">
            <v>1709</v>
          </cell>
          <cell r="AD127">
            <v>1629</v>
          </cell>
          <cell r="AE127">
            <v>1629</v>
          </cell>
          <cell r="AF127">
            <v>2851</v>
          </cell>
          <cell r="AG127">
            <v>1501</v>
          </cell>
          <cell r="AH127">
            <v>1501</v>
          </cell>
          <cell r="AI127">
            <v>741</v>
          </cell>
          <cell r="AJ127">
            <v>1228</v>
          </cell>
          <cell r="AK127">
            <v>1228</v>
          </cell>
          <cell r="AL127">
            <v>-1422</v>
          </cell>
          <cell r="AM127">
            <v>-2606</v>
          </cell>
          <cell r="AN127">
            <v>-2606</v>
          </cell>
          <cell r="AO127">
            <v>-1019</v>
          </cell>
          <cell r="AP127">
            <v>-1735</v>
          </cell>
          <cell r="AQ127">
            <v>-1735</v>
          </cell>
          <cell r="AR127">
            <v>-1466</v>
          </cell>
          <cell r="AS127">
            <v>-1774</v>
          </cell>
          <cell r="AT127">
            <v>-1774</v>
          </cell>
          <cell r="AU127">
            <v>-990</v>
          </cell>
          <cell r="AV127">
            <v>-1555</v>
          </cell>
          <cell r="AW127">
            <v>-1555</v>
          </cell>
          <cell r="AX127">
            <v>-1048.3926854501262</v>
          </cell>
          <cell r="AY127">
            <v>-1186.7909486308274</v>
          </cell>
          <cell r="AZ127">
            <v>-1186.7909486308274</v>
          </cell>
          <cell r="BA127">
            <v>-1403.5849495190441</v>
          </cell>
          <cell r="BB127">
            <v>-1580.3628944283616</v>
          </cell>
          <cell r="BC127">
            <v>-1580.3628944283616</v>
          </cell>
          <cell r="BD127">
            <v>-1791.6734587801839</v>
          </cell>
          <cell r="BE127">
            <v>-2035.5360596852499</v>
          </cell>
          <cell r="BF127">
            <v>-2035.5360596852499</v>
          </cell>
          <cell r="BG127">
            <v>-2274.5202197573522</v>
          </cell>
          <cell r="BH127">
            <v>-2503.1800643504585</v>
          </cell>
          <cell r="BI127">
            <v>-2503.1800643504585</v>
          </cell>
          <cell r="BJ127">
            <v>-2711.407842824462</v>
          </cell>
          <cell r="BK127">
            <v>-2910.9087609087037</v>
          </cell>
          <cell r="BL127">
            <v>-2910.9087609087037</v>
          </cell>
          <cell r="BM127">
            <v>-3008.2250313790905</v>
          </cell>
          <cell r="BN127">
            <v>-3008.2250313790905</v>
          </cell>
          <cell r="BO127">
            <v>-3008.2250313790905</v>
          </cell>
          <cell r="BP127">
            <v>-3008.2250313790905</v>
          </cell>
          <cell r="BQ127">
            <v>-3008.2250313790905</v>
          </cell>
          <cell r="BR127">
            <v>-3008.2250313790905</v>
          </cell>
          <cell r="BS127">
            <v>-3008.2250313790905</v>
          </cell>
          <cell r="BT127">
            <v>-3008.2250313790905</v>
          </cell>
          <cell r="BU127">
            <v>-3008.2250313790905</v>
          </cell>
          <cell r="BV127">
            <v>-3008.2250313790905</v>
          </cell>
          <cell r="BW127">
            <v>-3008.2250313790905</v>
          </cell>
          <cell r="BX127">
            <v>-3008.2250313790905</v>
          </cell>
        </row>
        <row r="128">
          <cell r="B128" t="str">
            <v>Retained profits or accumulated losses</v>
          </cell>
          <cell r="C128" t="str">
            <v>RETAIN_PROFIT_LOSS</v>
          </cell>
          <cell r="D128" t="str">
            <v>AUD</v>
          </cell>
          <cell r="F128">
            <v>11084</v>
          </cell>
          <cell r="G128">
            <v>13082</v>
          </cell>
          <cell r="H128">
            <v>13772</v>
          </cell>
          <cell r="I128">
            <v>14129</v>
          </cell>
          <cell r="J128">
            <v>15921</v>
          </cell>
          <cell r="K128">
            <v>17787</v>
          </cell>
          <cell r="L128">
            <v>19728</v>
          </cell>
          <cell r="M128">
            <v>21936</v>
          </cell>
          <cell r="N128">
            <v>22905</v>
          </cell>
          <cell r="O128">
            <v>24544</v>
          </cell>
          <cell r="P128">
            <v>24544</v>
          </cell>
          <cell r="Q128">
            <v>25616</v>
          </cell>
          <cell r="R128">
            <v>27309</v>
          </cell>
          <cell r="S128">
            <v>27309</v>
          </cell>
          <cell r="T128">
            <v>27361</v>
          </cell>
          <cell r="U128">
            <v>27975</v>
          </cell>
          <cell r="V128">
            <v>27975</v>
          </cell>
          <cell r="W128">
            <v>28640</v>
          </cell>
          <cell r="X128">
            <v>29834</v>
          </cell>
          <cell r="Y128">
            <v>29834</v>
          </cell>
          <cell r="Z128">
            <v>30922</v>
          </cell>
          <cell r="AA128">
            <v>31737</v>
          </cell>
          <cell r="AB128">
            <v>31737</v>
          </cell>
          <cell r="AC128">
            <v>32064</v>
          </cell>
          <cell r="AD128">
            <v>32664</v>
          </cell>
          <cell r="AE128">
            <v>32664</v>
          </cell>
          <cell r="AF128">
            <v>32073</v>
          </cell>
          <cell r="AG128">
            <v>33255</v>
          </cell>
          <cell r="AH128">
            <v>33255</v>
          </cell>
          <cell r="AI128">
            <v>35210</v>
          </cell>
          <cell r="AJ128">
            <v>36453</v>
          </cell>
          <cell r="AK128">
            <v>36453</v>
          </cell>
          <cell r="AL128">
            <v>38078</v>
          </cell>
          <cell r="AM128">
            <v>39716</v>
          </cell>
          <cell r="AN128">
            <v>39716</v>
          </cell>
          <cell r="AO128">
            <v>41020</v>
          </cell>
          <cell r="AP128">
            <v>42148</v>
          </cell>
          <cell r="AQ128">
            <v>42148</v>
          </cell>
          <cell r="AR128">
            <v>42739</v>
          </cell>
          <cell r="AS128">
            <v>43449</v>
          </cell>
          <cell r="AT128">
            <v>43449</v>
          </cell>
          <cell r="AU128">
            <v>44697</v>
          </cell>
          <cell r="AV128">
            <v>44492</v>
          </cell>
          <cell r="AW128">
            <v>44492</v>
          </cell>
          <cell r="AX128">
            <v>45555.498696615505</v>
          </cell>
          <cell r="AY128">
            <v>46707.298132217344</v>
          </cell>
          <cell r="AZ128">
            <v>46707.298132217344</v>
          </cell>
          <cell r="BA128">
            <v>47562.800691104712</v>
          </cell>
          <cell r="BB128">
            <v>48366.399581788697</v>
          </cell>
          <cell r="BC128">
            <v>48366.399581788697</v>
          </cell>
          <cell r="BD128">
            <v>49313.935039600728</v>
          </cell>
          <cell r="BE128">
            <v>50222.809871400845</v>
          </cell>
          <cell r="BF128">
            <v>50222.809871400845</v>
          </cell>
          <cell r="BG128">
            <v>51157.606396734765</v>
          </cell>
          <cell r="BH128">
            <v>52119.63111454426</v>
          </cell>
          <cell r="BI128">
            <v>52119.63111454426</v>
          </cell>
          <cell r="BJ128">
            <v>53067.382531098992</v>
          </cell>
          <cell r="BK128">
            <v>54027.674609744994</v>
          </cell>
          <cell r="BL128">
            <v>54027.674609744994</v>
          </cell>
          <cell r="BM128">
            <v>55153.424074285729</v>
          </cell>
          <cell r="BN128">
            <v>56274.053668562265</v>
          </cell>
          <cell r="BO128">
            <v>56274.053668562265</v>
          </cell>
          <cell r="BP128">
            <v>57377.773489081781</v>
          </cell>
          <cell r="BQ128">
            <v>58410.527528467479</v>
          </cell>
          <cell r="BR128">
            <v>58410.527528467479</v>
          </cell>
          <cell r="BS128">
            <v>59409.796772824964</v>
          </cell>
          <cell r="BT128">
            <v>60378.710956351591</v>
          </cell>
          <cell r="BU128">
            <v>60378.710956351591</v>
          </cell>
          <cell r="BV128">
            <v>61326.886394677553</v>
          </cell>
          <cell r="BW128">
            <v>62286.411859743399</v>
          </cell>
          <cell r="BX128">
            <v>62286.411859743399</v>
          </cell>
        </row>
        <row r="129">
          <cell r="A129" t="str">
            <v>ANZ Balance Sheet</v>
          </cell>
          <cell r="B129"/>
          <cell r="C129"/>
          <cell r="D129"/>
        </row>
        <row r="130">
          <cell r="B130" t="str">
            <v>Average Loans and Advances</v>
          </cell>
          <cell r="C130" t="str">
            <v>AVG_LOANS_ADVANCES</v>
          </cell>
          <cell r="D130" t="str">
            <v>AUD</v>
          </cell>
          <cell r="F130">
            <v>259319</v>
          </cell>
          <cell r="G130">
            <v>286540</v>
          </cell>
          <cell r="H130">
            <v>331629</v>
          </cell>
          <cell r="I130">
            <v>355798</v>
          </cell>
          <cell r="J130">
            <v>358607</v>
          </cell>
          <cell r="K130">
            <v>387389</v>
          </cell>
          <cell r="L130">
            <v>417962</v>
          </cell>
          <cell r="M130">
            <v>461679</v>
          </cell>
          <cell r="N130">
            <v>502604</v>
          </cell>
          <cell r="O130">
            <v>527414</v>
          </cell>
          <cell r="P130">
            <v>515042</v>
          </cell>
          <cell r="Q130">
            <v>545866</v>
          </cell>
          <cell r="R130">
            <v>567609</v>
          </cell>
          <cell r="S130">
            <v>555633</v>
          </cell>
          <cell r="T130">
            <v>550932</v>
          </cell>
          <cell r="U130">
            <v>551065</v>
          </cell>
          <cell r="V130">
            <v>551008</v>
          </cell>
          <cell r="W130">
            <v>555781</v>
          </cell>
          <cell r="X130">
            <v>558356</v>
          </cell>
          <cell r="Y130">
            <v>557072</v>
          </cell>
          <cell r="Z130">
            <v>561445</v>
          </cell>
          <cell r="AA130">
            <v>572505</v>
          </cell>
          <cell r="AB130">
            <v>567013</v>
          </cell>
          <cell r="AC130">
            <v>585911</v>
          </cell>
          <cell r="AD130">
            <v>589929</v>
          </cell>
          <cell r="AE130">
            <v>587924</v>
          </cell>
          <cell r="AF130">
            <v>604639</v>
          </cell>
          <cell r="AG130">
            <v>607394</v>
          </cell>
          <cell r="AH130">
            <v>606017</v>
          </cell>
          <cell r="AI130">
            <v>586454</v>
          </cell>
          <cell r="AJ130">
            <v>587317</v>
          </cell>
          <cell r="AK130">
            <v>586885</v>
          </cell>
          <cell r="AL130">
            <v>607087</v>
          </cell>
          <cell r="AM130">
            <v>619490</v>
          </cell>
          <cell r="AN130">
            <v>613305.49041095888</v>
          </cell>
          <cell r="AO130">
            <v>649253</v>
          </cell>
          <cell r="AP130">
            <v>650169</v>
          </cell>
          <cell r="AQ130">
            <v>649712.25479452056</v>
          </cell>
          <cell r="AR130">
            <v>663982</v>
          </cell>
          <cell r="AS130">
            <v>699378</v>
          </cell>
          <cell r="AT130">
            <v>681680</v>
          </cell>
          <cell r="AU130">
            <v>762557</v>
          </cell>
          <cell r="AV130">
            <v>777193</v>
          </cell>
          <cell r="AW130">
            <v>769895.04931506852</v>
          </cell>
          <cell r="AX130">
            <v>788631.5134607947</v>
          </cell>
          <cell r="AY130">
            <v>802228.10412285465</v>
          </cell>
          <cell r="AZ130">
            <v>795448.43425848498</v>
          </cell>
          <cell r="BA130">
            <v>813317.91753129219</v>
          </cell>
          <cell r="BB130">
            <v>825982.74239866459</v>
          </cell>
          <cell r="BC130">
            <v>819667.67904013919</v>
          </cell>
          <cell r="BD130">
            <v>840271.45795047376</v>
          </cell>
          <cell r="BE130">
            <v>854650.90618809976</v>
          </cell>
          <cell r="BF130">
            <v>847461.18206928682</v>
          </cell>
          <cell r="BG130">
            <v>868818.54256245075</v>
          </cell>
          <cell r="BH130">
            <v>882408.7980821887</v>
          </cell>
          <cell r="BI130">
            <v>875632.28711070295</v>
          </cell>
          <cell r="BJ130">
            <v>897481.22611565853</v>
          </cell>
          <cell r="BK130">
            <v>913828.64768475492</v>
          </cell>
          <cell r="BL130">
            <v>905677.33062838367</v>
          </cell>
          <cell r="BM130">
            <v>930695.09022144892</v>
          </cell>
          <cell r="BN130">
            <v>948288.9735435294</v>
          </cell>
          <cell r="BO130">
            <v>939516.13309251936</v>
          </cell>
          <cell r="BP130">
            <v>965918.36016363301</v>
          </cell>
          <cell r="BQ130">
            <v>983904.47254118323</v>
          </cell>
          <cell r="BR130">
            <v>974911.41635240812</v>
          </cell>
          <cell r="BS130">
            <v>1002807.3076197047</v>
          </cell>
          <cell r="BT130">
            <v>1022642.4197058066</v>
          </cell>
          <cell r="BU130">
            <v>1012752.035049175</v>
          </cell>
          <cell r="BV130">
            <v>1043332.9823636319</v>
          </cell>
          <cell r="BW130">
            <v>1064914.5256654462</v>
          </cell>
          <cell r="BX130">
            <v>1054153.3177724867</v>
          </cell>
        </row>
        <row r="131">
          <cell r="B131" t="str">
            <v>Average Other Productive Assets</v>
          </cell>
          <cell r="C131" t="str">
            <v>AVG_OTH_PROD_ASSETS</v>
          </cell>
          <cell r="D131" t="str">
            <v>AUD</v>
          </cell>
          <cell r="F131">
            <v>40735.5</v>
          </cell>
          <cell r="G131">
            <v>46157.5</v>
          </cell>
          <cell r="H131">
            <v>57938</v>
          </cell>
          <cell r="I131">
            <v>68531.5</v>
          </cell>
          <cell r="J131">
            <v>75373</v>
          </cell>
          <cell r="K131">
            <v>81550.5</v>
          </cell>
          <cell r="L131">
            <v>100992</v>
          </cell>
          <cell r="M131">
            <v>109602.5</v>
          </cell>
          <cell r="N131">
            <v>126263.5</v>
          </cell>
          <cell r="O131">
            <v>131103</v>
          </cell>
          <cell r="P131">
            <v>128738.5</v>
          </cell>
          <cell r="Q131">
            <v>153763</v>
          </cell>
          <cell r="R131">
            <v>161676.5</v>
          </cell>
          <cell r="S131">
            <v>158817.5</v>
          </cell>
          <cell r="T131">
            <v>177960.5</v>
          </cell>
          <cell r="U131">
            <v>176605</v>
          </cell>
          <cell r="V131">
            <v>177283.5</v>
          </cell>
          <cell r="W131">
            <v>185563</v>
          </cell>
          <cell r="X131">
            <v>191419</v>
          </cell>
          <cell r="Y131">
            <v>188546</v>
          </cell>
          <cell r="Z131">
            <v>201750.5</v>
          </cell>
          <cell r="AA131">
            <v>210226.5</v>
          </cell>
          <cell r="AB131">
            <v>205974</v>
          </cell>
          <cell r="AC131">
            <v>223877.5</v>
          </cell>
          <cell r="AD131">
            <v>223146</v>
          </cell>
          <cell r="AE131">
            <v>223601.5</v>
          </cell>
          <cell r="AF131">
            <v>250052</v>
          </cell>
          <cell r="AG131">
            <v>259611</v>
          </cell>
          <cell r="AH131">
            <v>255009</v>
          </cell>
          <cell r="AI131">
            <v>269099</v>
          </cell>
          <cell r="AJ131">
            <v>280763</v>
          </cell>
          <cell r="AK131">
            <v>275031</v>
          </cell>
          <cell r="AL131">
            <v>291173.5</v>
          </cell>
          <cell r="AM131">
            <v>299685.5</v>
          </cell>
          <cell r="AN131">
            <v>295435.81369863014</v>
          </cell>
          <cell r="AO131">
            <v>322795.5</v>
          </cell>
          <cell r="AP131">
            <v>326085.5</v>
          </cell>
          <cell r="AQ131">
            <v>324327.00273972604</v>
          </cell>
          <cell r="AR131">
            <v>350680.5</v>
          </cell>
          <cell r="AS131">
            <v>331352.5</v>
          </cell>
          <cell r="AT131">
            <v>340977</v>
          </cell>
          <cell r="AU131">
            <v>378620.5</v>
          </cell>
          <cell r="AV131">
            <v>398921</v>
          </cell>
          <cell r="AW131">
            <v>388823.93013698631</v>
          </cell>
          <cell r="AX131">
            <v>404737.61639910634</v>
          </cell>
          <cell r="AY131">
            <v>411635.76952819765</v>
          </cell>
          <cell r="AZ131">
            <v>408197.69284551474</v>
          </cell>
          <cell r="BA131">
            <v>417245.5236739628</v>
          </cell>
          <cell r="BB131">
            <v>423660.13094151078</v>
          </cell>
          <cell r="BC131">
            <v>420459.50886632834</v>
          </cell>
          <cell r="BD131">
            <v>430940.94325968478</v>
          </cell>
          <cell r="BE131">
            <v>438302.8526781745</v>
          </cell>
          <cell r="BF131">
            <v>434621.59516051068</v>
          </cell>
          <cell r="BG131">
            <v>445605.43690449564</v>
          </cell>
          <cell r="BH131">
            <v>452662.86719727539</v>
          </cell>
          <cell r="BI131">
            <v>449144.58024373971</v>
          </cell>
          <cell r="BJ131">
            <v>460453.80385631748</v>
          </cell>
          <cell r="BK131">
            <v>468871.05891857791</v>
          </cell>
          <cell r="BL131">
            <v>464674.51864002121</v>
          </cell>
          <cell r="BM131">
            <v>477555.33956049732</v>
          </cell>
          <cell r="BN131">
            <v>486615.2050567168</v>
          </cell>
          <cell r="BO131">
            <v>482098.88927574147</v>
          </cell>
          <cell r="BP131">
            <v>495696.04148027202</v>
          </cell>
          <cell r="BQ131">
            <v>504961.01188258786</v>
          </cell>
          <cell r="BR131">
            <v>500328.66823552526</v>
          </cell>
          <cell r="BS131">
            <v>514696.47017199284</v>
          </cell>
          <cell r="BT131">
            <v>524910.50466561702</v>
          </cell>
          <cell r="BU131">
            <v>519817.6538151264</v>
          </cell>
          <cell r="BV131">
            <v>535564.04901542328</v>
          </cell>
          <cell r="BW131">
            <v>546675.40203098045</v>
          </cell>
          <cell r="BX131">
            <v>541135.13022508891</v>
          </cell>
        </row>
        <row r="132">
          <cell r="B132" t="str">
            <v>Average Productive Interest Earning Assets</v>
          </cell>
          <cell r="C132" t="str">
            <v>AVG_PROD_INT_EARN_ASSETS</v>
          </cell>
          <cell r="D132" t="str">
            <v>AUD</v>
          </cell>
          <cell r="F132">
            <v>300054.5</v>
          </cell>
          <cell r="G132">
            <v>332697.5</v>
          </cell>
          <cell r="H132">
            <v>389567</v>
          </cell>
          <cell r="I132">
            <v>424329.5</v>
          </cell>
          <cell r="J132">
            <v>433980</v>
          </cell>
          <cell r="K132">
            <v>468939.5</v>
          </cell>
          <cell r="L132">
            <v>518954</v>
          </cell>
          <cell r="M132">
            <v>571281.5</v>
          </cell>
          <cell r="N132">
            <v>628867.5</v>
          </cell>
          <cell r="O132">
            <v>658517</v>
          </cell>
          <cell r="P132">
            <v>643780.5</v>
          </cell>
          <cell r="Q132">
            <v>699629</v>
          </cell>
          <cell r="R132">
            <v>729285.5</v>
          </cell>
          <cell r="S132">
            <v>714450.5</v>
          </cell>
          <cell r="T132">
            <v>728892.5</v>
          </cell>
          <cell r="U132">
            <v>727670</v>
          </cell>
          <cell r="V132">
            <v>728291.5</v>
          </cell>
          <cell r="W132">
            <v>741344</v>
          </cell>
          <cell r="X132">
            <v>749775</v>
          </cell>
          <cell r="Y132">
            <v>745618</v>
          </cell>
          <cell r="Z132">
            <v>763195.5</v>
          </cell>
          <cell r="AA132">
            <v>782731.5</v>
          </cell>
          <cell r="AB132">
            <v>772987</v>
          </cell>
          <cell r="AC132">
            <v>809788.5</v>
          </cell>
          <cell r="AD132">
            <v>813075</v>
          </cell>
          <cell r="AE132">
            <v>811525.5</v>
          </cell>
          <cell r="AF132">
            <v>854691</v>
          </cell>
          <cell r="AG132">
            <v>867005</v>
          </cell>
          <cell r="AH132">
            <v>861026</v>
          </cell>
          <cell r="AI132">
            <v>855553</v>
          </cell>
          <cell r="AJ132">
            <v>868080</v>
          </cell>
          <cell r="AK132">
            <v>861916</v>
          </cell>
          <cell r="AL132">
            <v>898260.5</v>
          </cell>
          <cell r="AM132">
            <v>919175.5</v>
          </cell>
          <cell r="AN132">
            <v>908741</v>
          </cell>
          <cell r="AO132">
            <v>972048.5</v>
          </cell>
          <cell r="AP132">
            <v>976254.5</v>
          </cell>
          <cell r="AQ132">
            <v>974039</v>
          </cell>
          <cell r="AR132">
            <v>1014662.5</v>
          </cell>
          <cell r="AS132">
            <v>1030730.5</v>
          </cell>
          <cell r="AT132">
            <v>1022657</v>
          </cell>
          <cell r="AU132">
            <v>1141177.5</v>
          </cell>
          <cell r="AV132">
            <v>1176114</v>
          </cell>
          <cell r="AW132">
            <v>1158718.5</v>
          </cell>
          <cell r="AX132">
            <v>1193369.129859901</v>
          </cell>
          <cell r="AY132">
            <v>1213863.8736510524</v>
          </cell>
          <cell r="AZ132">
            <v>1203646.127104</v>
          </cell>
          <cell r="BA132">
            <v>1230563.441205255</v>
          </cell>
          <cell r="BB132">
            <v>1249642.8733401755</v>
          </cell>
          <cell r="BC132">
            <v>1240127.1879064674</v>
          </cell>
          <cell r="BD132">
            <v>1271212.4012101586</v>
          </cell>
          <cell r="BE132">
            <v>1292953.7588662743</v>
          </cell>
          <cell r="BF132">
            <v>1282082.7772297973</v>
          </cell>
          <cell r="BG132">
            <v>1314423.9794669463</v>
          </cell>
          <cell r="BH132">
            <v>1335071.6652794641</v>
          </cell>
          <cell r="BI132">
            <v>1324776.8673544428</v>
          </cell>
          <cell r="BJ132">
            <v>1357935.0299719761</v>
          </cell>
          <cell r="BK132">
            <v>1382699.7066033329</v>
          </cell>
          <cell r="BL132">
            <v>1370351.849268405</v>
          </cell>
          <cell r="BM132">
            <v>1408250.4297819461</v>
          </cell>
          <cell r="BN132">
            <v>1434904.1786002461</v>
          </cell>
          <cell r="BO132">
            <v>1421615.0223682607</v>
          </cell>
          <cell r="BP132">
            <v>1461614.4016439051</v>
          </cell>
          <cell r="BQ132">
            <v>1488865.484423771</v>
          </cell>
          <cell r="BR132">
            <v>1475240.0845879337</v>
          </cell>
          <cell r="BS132">
            <v>1517503.7777916975</v>
          </cell>
          <cell r="BT132">
            <v>1547552.9243714237</v>
          </cell>
          <cell r="BU132">
            <v>1532569.6888643014</v>
          </cell>
          <cell r="BV132">
            <v>1578897.0313790552</v>
          </cell>
          <cell r="BW132">
            <v>1611589.9276964266</v>
          </cell>
          <cell r="BX132">
            <v>1595288.4479975756</v>
          </cell>
        </row>
        <row r="133">
          <cell r="B133" t="str">
            <v>Average Gross Non-Performing Assets</v>
          </cell>
          <cell r="C133" t="str">
            <v>AVG_GROSS_NON_PERF_ASSETS</v>
          </cell>
          <cell r="D133" t="str">
            <v>AUD</v>
          </cell>
          <cell r="F133">
            <v>651.5</v>
          </cell>
          <cell r="G133">
            <v>663.5</v>
          </cell>
          <cell r="H133">
            <v>1208</v>
          </cell>
          <cell r="I133">
            <v>3134.5</v>
          </cell>
          <cell r="J133">
            <v>5297</v>
          </cell>
          <cell r="K133">
            <v>5362.5</v>
          </cell>
          <cell r="L133">
            <v>4507</v>
          </cell>
          <cell r="M133">
            <v>4057.5</v>
          </cell>
          <cell r="N133">
            <v>3532.5</v>
          </cell>
          <cell r="O133">
            <v>2998</v>
          </cell>
          <cell r="P133">
            <v>3216.5</v>
          </cell>
          <cell r="Q133">
            <v>2574</v>
          </cell>
          <cell r="R133">
            <v>2453.5</v>
          </cell>
          <cell r="S133">
            <v>2561.5</v>
          </cell>
          <cell r="T133">
            <v>2502.5</v>
          </cell>
          <cell r="U133">
            <v>2605</v>
          </cell>
          <cell r="V133">
            <v>2543.5</v>
          </cell>
          <cell r="W133">
            <v>2562</v>
          </cell>
          <cell r="X133">
            <v>2298</v>
          </cell>
          <cell r="Y133">
            <v>2382</v>
          </cell>
          <cell r="Z133">
            <v>1990.5</v>
          </cell>
          <cell r="AA133">
            <v>1769.5</v>
          </cell>
          <cell r="AB133">
            <v>1897</v>
          </cell>
          <cell r="AC133">
            <v>1739.5</v>
          </cell>
          <cell r="AD133">
            <v>1757</v>
          </cell>
          <cell r="AE133">
            <v>1693.5</v>
          </cell>
          <cell r="AF133">
            <v>1960</v>
          </cell>
          <cell r="AG133">
            <v>2105</v>
          </cell>
          <cell r="AH133">
            <v>1856</v>
          </cell>
          <cell r="AI133">
            <v>1971</v>
          </cell>
          <cell r="AJ133">
            <v>1745</v>
          </cell>
          <cell r="AK133">
            <v>1775</v>
          </cell>
          <cell r="AL133">
            <v>1417.5</v>
          </cell>
          <cell r="AM133">
            <v>1164.5</v>
          </cell>
          <cell r="AN133">
            <v>1296</v>
          </cell>
          <cell r="AO133">
            <v>923.5</v>
          </cell>
          <cell r="AP133">
            <v>920.5</v>
          </cell>
          <cell r="AQ133">
            <v>1040</v>
          </cell>
          <cell r="AR133">
            <v>958.5</v>
          </cell>
          <cell r="AS133">
            <v>880.5</v>
          </cell>
          <cell r="AT133">
            <v>959</v>
          </cell>
          <cell r="AU133">
            <v>950.5</v>
          </cell>
          <cell r="AV133">
            <v>1039</v>
          </cell>
          <cell r="AW133">
            <v>969.5</v>
          </cell>
          <cell r="AX133">
            <v>1108.8852083187269</v>
          </cell>
          <cell r="AY133">
            <v>1207.8259815108586</v>
          </cell>
          <cell r="AZ133">
            <v>1156.9407731921317</v>
          </cell>
          <cell r="BA133">
            <v>1305.1250012256251</v>
          </cell>
          <cell r="BB133">
            <v>1408.1051977363907</v>
          </cell>
          <cell r="BC133">
            <v>1358.8617428950292</v>
          </cell>
          <cell r="BD133">
            <v>1480.5689282422377</v>
          </cell>
          <cell r="BE133">
            <v>1518.6285227530411</v>
          </cell>
          <cell r="BF133">
            <v>1499.9015339165981</v>
          </cell>
          <cell r="BG133">
            <v>1507.0104326237465</v>
          </cell>
          <cell r="BH133">
            <v>1443.4138435372161</v>
          </cell>
          <cell r="BI133">
            <v>1474.3645393408706</v>
          </cell>
          <cell r="BJ133">
            <v>1409.0682966984546</v>
          </cell>
          <cell r="BK133">
            <v>1404.5430593023225</v>
          </cell>
          <cell r="BL133">
            <v>1406.2427128582081</v>
          </cell>
          <cell r="BM133">
            <v>1400.0914392296904</v>
          </cell>
          <cell r="BN133">
            <v>1394.4114201044438</v>
          </cell>
          <cell r="BO133">
            <v>1396.0374563368291</v>
          </cell>
          <cell r="BP133">
            <v>1386.0312237369021</v>
          </cell>
          <cell r="BQ133">
            <v>1377.0956885968653</v>
          </cell>
          <cell r="BR133">
            <v>1381.4219020715459</v>
          </cell>
          <cell r="BS133">
            <v>1369.437209542082</v>
          </cell>
          <cell r="BT133">
            <v>1362.9720454890075</v>
          </cell>
          <cell r="BU133">
            <v>1366.0212028784345</v>
          </cell>
          <cell r="BV133">
            <v>1357.2300312979858</v>
          </cell>
          <cell r="BW133">
            <v>1352.1968860865657</v>
          </cell>
          <cell r="BX133">
            <v>1354.5228936139397</v>
          </cell>
        </row>
        <row r="134">
          <cell r="B134" t="str">
            <v>Average Interest Earning Assets</v>
          </cell>
          <cell r="C134" t="str">
            <v>AVG_INT_EARN_ASSETS</v>
          </cell>
          <cell r="D134" t="str">
            <v>AUD</v>
          </cell>
          <cell r="F134">
            <v>300706</v>
          </cell>
          <cell r="G134">
            <v>333361</v>
          </cell>
          <cell r="H134">
            <v>390775</v>
          </cell>
          <cell r="I134">
            <v>427464</v>
          </cell>
          <cell r="J134">
            <v>439277</v>
          </cell>
          <cell r="K134">
            <v>474302</v>
          </cell>
          <cell r="L134">
            <v>523461</v>
          </cell>
          <cell r="M134">
            <v>575339</v>
          </cell>
          <cell r="N134">
            <v>632400</v>
          </cell>
          <cell r="O134">
            <v>661515</v>
          </cell>
          <cell r="P134">
            <v>646997</v>
          </cell>
          <cell r="Q134">
            <v>702203</v>
          </cell>
          <cell r="R134">
            <v>731739</v>
          </cell>
          <cell r="S134">
            <v>717012</v>
          </cell>
          <cell r="T134">
            <v>731395</v>
          </cell>
          <cell r="U134">
            <v>730275</v>
          </cell>
          <cell r="V134">
            <v>730835</v>
          </cell>
          <cell r="W134">
            <v>743906</v>
          </cell>
          <cell r="X134">
            <v>752073</v>
          </cell>
          <cell r="Y134">
            <v>748000</v>
          </cell>
          <cell r="Z134">
            <v>765186</v>
          </cell>
          <cell r="AA134">
            <v>784501</v>
          </cell>
          <cell r="AB134">
            <v>774884</v>
          </cell>
          <cell r="AC134">
            <v>811528</v>
          </cell>
          <cell r="AD134">
            <v>814832</v>
          </cell>
          <cell r="AE134">
            <v>813219</v>
          </cell>
          <cell r="AF134">
            <v>856651</v>
          </cell>
          <cell r="AG134">
            <v>869110</v>
          </cell>
          <cell r="AH134">
            <v>862882</v>
          </cell>
          <cell r="AI134">
            <v>857524</v>
          </cell>
          <cell r="AJ134">
            <v>869825</v>
          </cell>
          <cell r="AK134">
            <v>863691</v>
          </cell>
          <cell r="AL134">
            <v>899678</v>
          </cell>
          <cell r="AM134">
            <v>920340</v>
          </cell>
          <cell r="AN134">
            <v>910037</v>
          </cell>
          <cell r="AO134">
            <v>972972</v>
          </cell>
          <cell r="AP134">
            <v>977175</v>
          </cell>
          <cell r="AQ134">
            <v>975079</v>
          </cell>
          <cell r="AR134">
            <v>1015621</v>
          </cell>
          <cell r="AS134">
            <v>1031611</v>
          </cell>
          <cell r="AT134">
            <v>1023616</v>
          </cell>
          <cell r="AU134">
            <v>1142128</v>
          </cell>
          <cell r="AV134">
            <v>1177153</v>
          </cell>
          <cell r="AW134">
            <v>1159688</v>
          </cell>
          <cell r="AX134">
            <v>1194478.0150682197</v>
          </cell>
          <cell r="AY134">
            <v>1215071.6996325632</v>
          </cell>
          <cell r="AZ134">
            <v>1204803.0678771921</v>
          </cell>
          <cell r="BA134">
            <v>1231868.5662064806</v>
          </cell>
          <cell r="BB134">
            <v>1251050.9785379118</v>
          </cell>
          <cell r="BC134">
            <v>1241486.0496493625</v>
          </cell>
          <cell r="BD134">
            <v>1272692.9701384008</v>
          </cell>
          <cell r="BE134">
            <v>1294472.3873890273</v>
          </cell>
          <cell r="BF134">
            <v>1283582.6787637139</v>
          </cell>
          <cell r="BG134">
            <v>1315930.9898995701</v>
          </cell>
          <cell r="BH134">
            <v>1336515.0791230013</v>
          </cell>
          <cell r="BI134">
            <v>1326251.2318937837</v>
          </cell>
          <cell r="BJ134">
            <v>1359344.0982686745</v>
          </cell>
          <cell r="BK134">
            <v>1384104.2496626351</v>
          </cell>
          <cell r="BL134">
            <v>1371758.0919812631</v>
          </cell>
          <cell r="BM134">
            <v>1409650.5212211758</v>
          </cell>
          <cell r="BN134">
            <v>1436298.5900203506</v>
          </cell>
          <cell r="BO134">
            <v>1423011.0598245976</v>
          </cell>
          <cell r="BP134">
            <v>1463000.432867642</v>
          </cell>
          <cell r="BQ134">
            <v>1490242.5801123679</v>
          </cell>
          <cell r="BR134">
            <v>1476621.5064900052</v>
          </cell>
          <cell r="BS134">
            <v>1518873.2150012397</v>
          </cell>
          <cell r="BT134">
            <v>1548915.8964169128</v>
          </cell>
          <cell r="BU134">
            <v>1533935.7100671798</v>
          </cell>
          <cell r="BV134">
            <v>1580254.2614103532</v>
          </cell>
          <cell r="BW134">
            <v>1612942.1245825132</v>
          </cell>
          <cell r="BX134">
            <v>1596642.9708911895</v>
          </cell>
        </row>
        <row r="135">
          <cell r="B135" t="str">
            <v>Average Provisions for Bad Debts</v>
          </cell>
          <cell r="C135" t="str">
            <v>AVG_PROV_BAD_DEBT</v>
          </cell>
          <cell r="D135" t="str">
            <v>AUD</v>
          </cell>
          <cell r="F135">
            <v>-2333</v>
          </cell>
          <cell r="G135">
            <v>-2244</v>
          </cell>
          <cell r="H135">
            <v>-2879</v>
          </cell>
          <cell r="I135">
            <v>-4011</v>
          </cell>
          <cell r="J135">
            <v>-4777</v>
          </cell>
          <cell r="K135">
            <v>-4950.5</v>
          </cell>
          <cell r="L135">
            <v>-4705.5</v>
          </cell>
          <cell r="M135">
            <v>-4446</v>
          </cell>
          <cell r="N135">
            <v>-4333.5</v>
          </cell>
          <cell r="O135">
            <v>-4123</v>
          </cell>
          <cell r="P135">
            <v>-4143.5</v>
          </cell>
          <cell r="Q135">
            <v>-3980.5</v>
          </cell>
          <cell r="R135">
            <v>-4022.5</v>
          </cell>
          <cell r="S135">
            <v>-3975</v>
          </cell>
          <cell r="T135">
            <v>-4058.5</v>
          </cell>
          <cell r="U135">
            <v>-4141.5</v>
          </cell>
          <cell r="V135">
            <v>-4100</v>
          </cell>
          <cell r="W135">
            <v>-4118.5</v>
          </cell>
          <cell r="X135">
            <v>-3926</v>
          </cell>
          <cell r="Y135">
            <v>-3990.5</v>
          </cell>
          <cell r="Z135">
            <v>-3696.5</v>
          </cell>
          <cell r="AA135">
            <v>-3519</v>
          </cell>
          <cell r="AB135">
            <v>-3620.5</v>
          </cell>
          <cell r="AC135">
            <v>-3856</v>
          </cell>
          <cell r="AD135">
            <v>-4229.5</v>
          </cell>
          <cell r="AE135">
            <v>-3816.5</v>
          </cell>
          <cell r="AF135">
            <v>-4892</v>
          </cell>
          <cell r="AG135">
            <v>-5746.5</v>
          </cell>
          <cell r="AH135">
            <v>-5044.5</v>
          </cell>
          <cell r="AI135">
            <v>-5496.5</v>
          </cell>
          <cell r="AJ135">
            <v>-4988</v>
          </cell>
          <cell r="AK135">
            <v>-5390.5</v>
          </cell>
          <cell r="AL135">
            <v>-4637.5</v>
          </cell>
          <cell r="AM135">
            <v>-4394</v>
          </cell>
          <cell r="AN135">
            <v>-4638.5</v>
          </cell>
          <cell r="AO135">
            <v>-4428</v>
          </cell>
          <cell r="AP135">
            <v>-4434.5</v>
          </cell>
          <cell r="AQ135">
            <v>-4401.5</v>
          </cell>
          <cell r="AR135">
            <v>-4389.5</v>
          </cell>
          <cell r="AS135">
            <v>-4463</v>
          </cell>
          <cell r="AT135">
            <v>-4481.5</v>
          </cell>
          <cell r="AU135">
            <v>-4599.5</v>
          </cell>
          <cell r="AV135">
            <v>-4711</v>
          </cell>
          <cell r="AW135">
            <v>-4666.5</v>
          </cell>
          <cell r="AX135">
            <v>-4852.9562356965853</v>
          </cell>
          <cell r="AY135">
            <v>-4988.1889034639153</v>
          </cell>
          <cell r="AZ135">
            <v>-4913.2326677673309</v>
          </cell>
          <cell r="BA135">
            <v>-5107.6893640185554</v>
          </cell>
          <cell r="BB135">
            <v>-5240.899330038972</v>
          </cell>
          <cell r="BC135">
            <v>-5181.6753015550785</v>
          </cell>
          <cell r="BD135">
            <v>-5407.4507094539331</v>
          </cell>
          <cell r="BE135">
            <v>-5599.1737138697426</v>
          </cell>
          <cell r="BF135">
            <v>-5506.6082719913047</v>
          </cell>
          <cell r="BG135">
            <v>-5809.9240156576689</v>
          </cell>
          <cell r="BH135">
            <v>-6047.5407679808059</v>
          </cell>
          <cell r="BI135">
            <v>-5935.9480287302504</v>
          </cell>
          <cell r="BJ135">
            <v>-6316.1607009345844</v>
          </cell>
          <cell r="BK135">
            <v>-6601.7623677276006</v>
          </cell>
          <cell r="BL135">
            <v>-6459.1664478464027</v>
          </cell>
          <cell r="BM135">
            <v>-6792.2184677795394</v>
          </cell>
          <cell r="BN135">
            <v>-6880.6802306570589</v>
          </cell>
          <cell r="BO135">
            <v>-6833.2298775169384</v>
          </cell>
          <cell r="BP135">
            <v>-6963.3132888273894</v>
          </cell>
          <cell r="BQ135">
            <v>-7047.1724703448426</v>
          </cell>
          <cell r="BR135">
            <v>-7005.550821911911</v>
          </cell>
          <cell r="BS135">
            <v>-7139.4365539322143</v>
          </cell>
          <cell r="BT135">
            <v>-7240.1205785879065</v>
          </cell>
          <cell r="BU135">
            <v>-7190.0940280850573</v>
          </cell>
          <cell r="BV135">
            <v>-7347.951988198005</v>
          </cell>
          <cell r="BW135">
            <v>-7463.2065132631924</v>
          </cell>
          <cell r="BX135">
            <v>-7406.0325778059359</v>
          </cell>
        </row>
        <row r="136">
          <cell r="B136" t="str">
            <v>Average Acceptances</v>
          </cell>
          <cell r="C136" t="str">
            <v>AVG_ACCEPTANCES</v>
          </cell>
          <cell r="D136" t="str">
            <v>AUD</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cell r="BM136">
            <v>0</v>
          </cell>
          <cell r="BN136">
            <v>0</v>
          </cell>
          <cell r="BO136">
            <v>0</v>
          </cell>
          <cell r="BP136">
            <v>0</v>
          </cell>
          <cell r="BQ136">
            <v>0</v>
          </cell>
          <cell r="BR136">
            <v>0</v>
          </cell>
          <cell r="BS136">
            <v>0</v>
          </cell>
          <cell r="BT136">
            <v>0</v>
          </cell>
          <cell r="BU136">
            <v>0</v>
          </cell>
          <cell r="BV136">
            <v>0</v>
          </cell>
          <cell r="BW136">
            <v>0</v>
          </cell>
          <cell r="BX136">
            <v>0</v>
          </cell>
        </row>
        <row r="137">
          <cell r="B137" t="str">
            <v>Average Other Assets</v>
          </cell>
          <cell r="C137" t="str">
            <v>AVG_OTHER_ASSETS</v>
          </cell>
          <cell r="D137" t="str">
            <v>AUD</v>
          </cell>
          <cell r="F137">
            <v>25433</v>
          </cell>
          <cell r="G137">
            <v>32234</v>
          </cell>
          <cell r="H137">
            <v>48373</v>
          </cell>
          <cell r="I137">
            <v>82725</v>
          </cell>
          <cell r="J137">
            <v>91085</v>
          </cell>
          <cell r="K137">
            <v>102874</v>
          </cell>
          <cell r="L137">
            <v>108347</v>
          </cell>
          <cell r="M137">
            <v>104281</v>
          </cell>
          <cell r="N137">
            <v>106456</v>
          </cell>
          <cell r="O137">
            <v>106466</v>
          </cell>
          <cell r="P137">
            <v>106270</v>
          </cell>
          <cell r="Q137">
            <v>132178</v>
          </cell>
          <cell r="R137">
            <v>143883</v>
          </cell>
          <cell r="S137">
            <v>138041</v>
          </cell>
          <cell r="T137">
            <v>173453</v>
          </cell>
          <cell r="U137">
            <v>188978</v>
          </cell>
          <cell r="V137">
            <v>181257</v>
          </cell>
          <cell r="W137">
            <v>178042</v>
          </cell>
          <cell r="X137">
            <v>171994</v>
          </cell>
          <cell r="Y137">
            <v>174882</v>
          </cell>
          <cell r="Z137">
            <v>130141</v>
          </cell>
          <cell r="AA137">
            <v>130260</v>
          </cell>
          <cell r="AB137">
            <v>130370</v>
          </cell>
          <cell r="AC137">
            <v>124368</v>
          </cell>
          <cell r="AD137">
            <v>168176</v>
          </cell>
          <cell r="AE137">
            <v>146008</v>
          </cell>
          <cell r="AF137">
            <v>170916</v>
          </cell>
          <cell r="AG137">
            <v>218743</v>
          </cell>
          <cell r="AH137">
            <v>194980</v>
          </cell>
          <cell r="AI137">
            <v>193138</v>
          </cell>
          <cell r="AJ137">
            <v>161840</v>
          </cell>
          <cell r="AK137">
            <v>177340</v>
          </cell>
          <cell r="AL137">
            <v>114491</v>
          </cell>
          <cell r="AM137">
            <v>146075</v>
          </cell>
          <cell r="AN137">
            <v>130327</v>
          </cell>
          <cell r="AO137">
            <v>143805</v>
          </cell>
          <cell r="AP137">
            <v>142563</v>
          </cell>
          <cell r="AQ137">
            <v>143157</v>
          </cell>
          <cell r="AR137">
            <v>151746</v>
          </cell>
          <cell r="AS137">
            <v>154667</v>
          </cell>
          <cell r="AT137">
            <v>153298</v>
          </cell>
          <cell r="AU137">
            <v>180485</v>
          </cell>
          <cell r="AV137">
            <v>176800</v>
          </cell>
          <cell r="AW137">
            <v>178705</v>
          </cell>
          <cell r="AX137">
            <v>179481.68509743694</v>
          </cell>
          <cell r="AY137">
            <v>182611.67412334122</v>
          </cell>
          <cell r="AZ137">
            <v>181046.41247356893</v>
          </cell>
          <cell r="BA137">
            <v>185184.71438861018</v>
          </cell>
          <cell r="BB137">
            <v>188135.88766067871</v>
          </cell>
          <cell r="BC137">
            <v>186677.89240593486</v>
          </cell>
          <cell r="BD137">
            <v>191483.64793849</v>
          </cell>
          <cell r="BE137">
            <v>194864.67500864516</v>
          </cell>
          <cell r="BF137">
            <v>193273.31903610507</v>
          </cell>
          <cell r="BG137">
            <v>198223.69051184875</v>
          </cell>
          <cell r="BH137">
            <v>201483.7724948313</v>
          </cell>
          <cell r="BI137">
            <v>199919.24015695549</v>
          </cell>
          <cell r="BJ137">
            <v>205105.05873479234</v>
          </cell>
          <cell r="BK137">
            <v>209009.36858328359</v>
          </cell>
          <cell r="BL137">
            <v>207127.42680164494</v>
          </cell>
          <cell r="BM137">
            <v>212837.44647727275</v>
          </cell>
          <cell r="BN137">
            <v>216813.65645081474</v>
          </cell>
          <cell r="BO137">
            <v>214788.21996316168</v>
          </cell>
          <cell r="BP137">
            <v>220798.94511500068</v>
          </cell>
          <cell r="BQ137">
            <v>224864.42235619048</v>
          </cell>
          <cell r="BR137">
            <v>222873.92126867975</v>
          </cell>
          <cell r="BS137">
            <v>229148.38279537001</v>
          </cell>
          <cell r="BT137">
            <v>233639.95299722979</v>
          </cell>
          <cell r="BU137">
            <v>231356.50260595305</v>
          </cell>
          <cell r="BV137">
            <v>238333.89946144659</v>
          </cell>
          <cell r="BW137">
            <v>243226.86671311129</v>
          </cell>
          <cell r="BX137">
            <v>240742.36431741202</v>
          </cell>
        </row>
        <row r="138">
          <cell r="B138" t="str">
            <v>Average Total Assets</v>
          </cell>
          <cell r="C138" t="str">
            <v>AVG_TOTAL_ASSETS</v>
          </cell>
          <cell r="D138" t="str">
            <v>AUD</v>
          </cell>
          <cell r="F138">
            <v>323913</v>
          </cell>
          <cell r="G138">
            <v>363333</v>
          </cell>
          <cell r="H138">
            <v>435652</v>
          </cell>
          <cell r="I138">
            <v>505663</v>
          </cell>
          <cell r="J138">
            <v>525334</v>
          </cell>
          <cell r="K138">
            <v>572303</v>
          </cell>
          <cell r="L138">
            <v>627270</v>
          </cell>
          <cell r="M138">
            <v>675266</v>
          </cell>
          <cell r="N138">
            <v>734543</v>
          </cell>
          <cell r="O138">
            <v>764048</v>
          </cell>
          <cell r="P138">
            <v>749334</v>
          </cell>
          <cell r="Q138">
            <v>830353</v>
          </cell>
          <cell r="R138">
            <v>871605</v>
          </cell>
          <cell r="S138">
            <v>851036</v>
          </cell>
          <cell r="T138">
            <v>900748</v>
          </cell>
          <cell r="U138">
            <v>915070</v>
          </cell>
          <cell r="V138">
            <v>907909</v>
          </cell>
          <cell r="W138">
            <v>917894</v>
          </cell>
          <cell r="X138">
            <v>920269</v>
          </cell>
          <cell r="Y138">
            <v>919084</v>
          </cell>
          <cell r="Z138">
            <v>891732</v>
          </cell>
          <cell r="AA138">
            <v>911318</v>
          </cell>
          <cell r="AB138">
            <v>901811</v>
          </cell>
          <cell r="AC138">
            <v>931627</v>
          </cell>
          <cell r="AD138">
            <v>978818</v>
          </cell>
          <cell r="AE138">
            <v>955037</v>
          </cell>
          <cell r="AF138">
            <v>1021973</v>
          </cell>
          <cell r="AG138">
            <v>1081954</v>
          </cell>
          <cell r="AH138">
            <v>1051963</v>
          </cell>
          <cell r="AI138">
            <v>1045568</v>
          </cell>
          <cell r="AJ138">
            <v>1026783</v>
          </cell>
          <cell r="AK138">
            <v>1036149</v>
          </cell>
          <cell r="AL138">
            <v>1009776</v>
          </cell>
          <cell r="AM138">
            <v>1062020</v>
          </cell>
          <cell r="AN138">
            <v>1035969</v>
          </cell>
          <cell r="AO138">
            <v>1112316</v>
          </cell>
          <cell r="AP138">
            <v>1115330</v>
          </cell>
          <cell r="AQ138">
            <v>1113828</v>
          </cell>
          <cell r="AR138">
            <v>1162996</v>
          </cell>
          <cell r="AS138">
            <v>1181723</v>
          </cell>
          <cell r="AT138">
            <v>1172359</v>
          </cell>
          <cell r="AU138">
            <v>1317969</v>
          </cell>
          <cell r="AV138">
            <v>1349175</v>
          </cell>
          <cell r="AW138">
            <v>1333615</v>
          </cell>
          <cell r="AX138">
            <v>1369031.7876942635</v>
          </cell>
          <cell r="AY138">
            <v>1392634.9084203697</v>
          </cell>
          <cell r="AZ138">
            <v>1380801.0150152263</v>
          </cell>
          <cell r="BA138">
            <v>1411886.3672025884</v>
          </cell>
          <cell r="BB138">
            <v>1433871.980931015</v>
          </cell>
          <cell r="BC138">
            <v>1422849.0567877218</v>
          </cell>
          <cell r="BD138">
            <v>1458676.6019255584</v>
          </cell>
          <cell r="BE138">
            <v>1483638.7311212653</v>
          </cell>
          <cell r="BF138">
            <v>1471157.6665234119</v>
          </cell>
          <cell r="BG138">
            <v>1508233.1636565106</v>
          </cell>
          <cell r="BH138">
            <v>1531825.2868367792</v>
          </cell>
          <cell r="BI138">
            <v>1519996.9072696858</v>
          </cell>
          <cell r="BJ138">
            <v>1557990.400382651</v>
          </cell>
          <cell r="BK138">
            <v>1586368.8501312793</v>
          </cell>
          <cell r="BL138">
            <v>1572140.7506682687</v>
          </cell>
          <cell r="BM138">
            <v>1615648.2988775289</v>
          </cell>
          <cell r="BN138">
            <v>1646190.5548307709</v>
          </cell>
          <cell r="BO138">
            <v>1630877.5881473648</v>
          </cell>
          <cell r="BP138">
            <v>1676794.4430453824</v>
          </cell>
          <cell r="BQ138">
            <v>1708017.592465129</v>
          </cell>
          <cell r="BR138">
            <v>1692406.0177552556</v>
          </cell>
          <cell r="BS138">
            <v>1740832.1346921746</v>
          </cell>
          <cell r="BT138">
            <v>1775265.0713614018</v>
          </cell>
          <cell r="BU138">
            <v>1758001.434620392</v>
          </cell>
          <cell r="BV138">
            <v>1811183.0349481446</v>
          </cell>
          <cell r="BW138">
            <v>1848647.7041927534</v>
          </cell>
          <cell r="BX138">
            <v>1829864.0481057304</v>
          </cell>
        </row>
        <row r="139">
          <cell r="B139" t="str">
            <v>Average Interest Bearing Liabilities</v>
          </cell>
          <cell r="C139" t="str">
            <v>AVG_INT_BEARING_LIABS</v>
          </cell>
          <cell r="D139" t="str">
            <v>AUD</v>
          </cell>
          <cell r="F139">
            <v>275952.13972602738</v>
          </cell>
          <cell r="G139">
            <v>307860.81643835618</v>
          </cell>
          <cell r="H139">
            <v>366608.5</v>
          </cell>
          <cell r="I139">
            <v>395700.52876712329</v>
          </cell>
          <cell r="J139">
            <v>409399.91780821915</v>
          </cell>
          <cell r="K139">
            <v>440948.93424657534</v>
          </cell>
          <cell r="L139">
            <v>483593.5</v>
          </cell>
          <cell r="M139">
            <v>528109.08219178079</v>
          </cell>
          <cell r="N139">
            <v>577633</v>
          </cell>
          <cell r="O139">
            <v>604711</v>
          </cell>
          <cell r="P139">
            <v>591210.95890410955</v>
          </cell>
          <cell r="Q139">
            <v>645698</v>
          </cell>
          <cell r="R139">
            <v>664117</v>
          </cell>
          <cell r="S139">
            <v>654937.63287671236</v>
          </cell>
          <cell r="T139">
            <v>661807</v>
          </cell>
          <cell r="U139">
            <v>665165</v>
          </cell>
          <cell r="V139">
            <v>663486</v>
          </cell>
          <cell r="W139">
            <v>676201</v>
          </cell>
          <cell r="X139">
            <v>682798</v>
          </cell>
          <cell r="Y139">
            <v>679507.64254652115</v>
          </cell>
          <cell r="Z139">
            <v>685757.12348135572</v>
          </cell>
          <cell r="AA139">
            <v>690363.75591871841</v>
          </cell>
          <cell r="AB139">
            <v>688095.40433146758</v>
          </cell>
          <cell r="AC139">
            <v>707116.4610036111</v>
          </cell>
          <cell r="AD139">
            <v>721428.51401434524</v>
          </cell>
          <cell r="AE139">
            <v>714312.77218035632</v>
          </cell>
          <cell r="AF139">
            <v>756889.20614700892</v>
          </cell>
          <cell r="AG139">
            <v>777949.36872547469</v>
          </cell>
          <cell r="AH139">
            <v>738317.56099600997</v>
          </cell>
          <cell r="AI139">
            <v>766919.24137503898</v>
          </cell>
          <cell r="AJ139">
            <v>778289.22774388955</v>
          </cell>
          <cell r="AK139">
            <v>772608.58891381684</v>
          </cell>
          <cell r="AL139">
            <v>795328.22118652461</v>
          </cell>
          <cell r="AM139">
            <v>806619.05829040986</v>
          </cell>
          <cell r="AN139">
            <v>801040.39587081643</v>
          </cell>
          <cell r="AO139">
            <v>860770.31226169679</v>
          </cell>
          <cell r="AP139">
            <v>871350.99403325887</v>
          </cell>
          <cell r="AQ139">
            <v>866068.89707966801</v>
          </cell>
          <cell r="AR139">
            <v>920685.70470922138</v>
          </cell>
          <cell r="AS139">
            <v>927068.49646334723</v>
          </cell>
          <cell r="AT139">
            <v>923877.1005862843</v>
          </cell>
          <cell r="AU139">
            <v>1034514.1749053453</v>
          </cell>
          <cell r="AV139">
            <v>1013966.6652803209</v>
          </cell>
          <cell r="AW139">
            <v>1024192.7011883974</v>
          </cell>
          <cell r="AX139">
            <v>1029528.2640303376</v>
          </cell>
          <cell r="AY139">
            <v>1047961.1784358912</v>
          </cell>
          <cell r="AZ139">
            <v>1038771.4897427743</v>
          </cell>
          <cell r="BA139">
            <v>1063508.9902023277</v>
          </cell>
          <cell r="BB139">
            <v>1082537.4579517876</v>
          </cell>
          <cell r="BC139">
            <v>1073050.6890716124</v>
          </cell>
          <cell r="BD139">
            <v>1103920.6719502867</v>
          </cell>
          <cell r="BE139">
            <v>1125355.9700398433</v>
          </cell>
          <cell r="BF139">
            <v>1114638.3209950652</v>
          </cell>
          <cell r="BG139">
            <v>1146514.6756419784</v>
          </cell>
          <cell r="BH139">
            <v>1166802.2789922624</v>
          </cell>
          <cell r="BI139">
            <v>1156688.0526149764</v>
          </cell>
          <cell r="BJ139">
            <v>1188096.976396475</v>
          </cell>
          <cell r="BK139">
            <v>1211420.1241034702</v>
          </cell>
          <cell r="BL139">
            <v>1199792.6239428401</v>
          </cell>
          <cell r="BM139">
            <v>1235390.8741992761</v>
          </cell>
          <cell r="BN139">
            <v>1260152.5452958706</v>
          </cell>
          <cell r="BO139">
            <v>1247807.9482613693</v>
          </cell>
          <cell r="BP139">
            <v>1284978.1992994563</v>
          </cell>
          <cell r="BQ139">
            <v>1310343.188701689</v>
          </cell>
          <cell r="BR139">
            <v>1297660.6940005724</v>
          </cell>
          <cell r="BS139">
            <v>1337122.5099253133</v>
          </cell>
          <cell r="BT139">
            <v>1365306.327179526</v>
          </cell>
          <cell r="BU139">
            <v>1351255.6233718188</v>
          </cell>
          <cell r="BV139">
            <v>1394773.1523728096</v>
          </cell>
          <cell r="BW139">
            <v>1425573.6115428007</v>
          </cell>
          <cell r="BX139">
            <v>1410218.3924589355</v>
          </cell>
        </row>
        <row r="140">
          <cell r="B140" t="str">
            <v>Average Non-Interest Bearing Liabilities</v>
          </cell>
          <cell r="C140" t="str">
            <v>AVG_NON_INT_BEARING_LIABS</v>
          </cell>
          <cell r="D140" t="str">
            <v>AUD</v>
          </cell>
          <cell r="F140">
            <v>9217.860273972603</v>
          </cell>
          <cell r="G140">
            <v>9781.1835616438348</v>
          </cell>
          <cell r="H140">
            <v>9418.5</v>
          </cell>
          <cell r="I140">
            <v>9744.4712328767146</v>
          </cell>
          <cell r="J140">
            <v>10366.082191780823</v>
          </cell>
          <cell r="K140">
            <v>10697.065753424658</v>
          </cell>
          <cell r="L140">
            <v>11353.5</v>
          </cell>
          <cell r="M140">
            <v>13087.917808219179</v>
          </cell>
          <cell r="N140">
            <v>15213</v>
          </cell>
          <cell r="O140">
            <v>15548</v>
          </cell>
          <cell r="P140">
            <v>15380.04109589041</v>
          </cell>
          <cell r="Q140">
            <v>17001</v>
          </cell>
          <cell r="R140">
            <v>18193</v>
          </cell>
          <cell r="S140">
            <v>17595.367123287673</v>
          </cell>
          <cell r="T140">
            <v>42328</v>
          </cell>
          <cell r="U140">
            <v>43865</v>
          </cell>
          <cell r="V140">
            <v>43096.5</v>
          </cell>
          <cell r="W140">
            <v>46703</v>
          </cell>
          <cell r="X140">
            <v>45395.324126942694</v>
          </cell>
          <cell r="Y140">
            <v>46048.265166439072</v>
          </cell>
          <cell r="Z140">
            <v>37731.592643150856</v>
          </cell>
          <cell r="AA140">
            <v>48190.366896599058</v>
          </cell>
          <cell r="AB140">
            <v>42946.65268185654</v>
          </cell>
          <cell r="AC140">
            <v>47764.212944424122</v>
          </cell>
          <cell r="AD140">
            <v>55312.091492087857</v>
          </cell>
          <cell r="AE140">
            <v>51527.812658601659</v>
          </cell>
          <cell r="AF140">
            <v>52359.640645164836</v>
          </cell>
          <cell r="AG140">
            <v>56994.689661422104</v>
          </cell>
          <cell r="AH140">
            <v>54677.16515329347</v>
          </cell>
          <cell r="AI140">
            <v>43526.854821683024</v>
          </cell>
          <cell r="AJ140">
            <v>39431.200975916479</v>
          </cell>
          <cell r="AK140">
            <v>41484.638383519989</v>
          </cell>
          <cell r="AL140">
            <v>36767.007564821288</v>
          </cell>
          <cell r="AM140">
            <v>55487.577320322423</v>
          </cell>
          <cell r="AN140">
            <v>46101.647826468434</v>
          </cell>
          <cell r="AO140">
            <v>46814.560877176715</v>
          </cell>
          <cell r="AP140">
            <v>44533.255240779326</v>
          </cell>
          <cell r="AQ140">
            <v>45677.033135192272</v>
          </cell>
          <cell r="AR140">
            <v>45117.187190459888</v>
          </cell>
          <cell r="AS140">
            <v>49925.475553140466</v>
          </cell>
          <cell r="AT140">
            <v>47521.331371800174</v>
          </cell>
          <cell r="AU140">
            <v>54536.980026300087</v>
          </cell>
          <cell r="AV140">
            <v>47393.334719679013</v>
          </cell>
          <cell r="AW140">
            <v>50974.943188478079</v>
          </cell>
          <cell r="AX140">
            <v>48130.001503673899</v>
          </cell>
          <cell r="AY140">
            <v>48684.050326761768</v>
          </cell>
          <cell r="AZ140">
            <v>48406.266944227304</v>
          </cell>
          <cell r="BA140">
            <v>49128.470211910666</v>
          </cell>
          <cell r="BB140">
            <v>49638.959349675271</v>
          </cell>
          <cell r="BC140">
            <v>49383.015480604256</v>
          </cell>
          <cell r="BD140">
            <v>50317.449749147789</v>
          </cell>
          <cell r="BE140">
            <v>51011.466508135483</v>
          </cell>
          <cell r="BF140">
            <v>50664.458128641636</v>
          </cell>
          <cell r="BG140">
            <v>51692.755281090322</v>
          </cell>
          <cell r="BH140">
            <v>52343.937323445556</v>
          </cell>
          <cell r="BI140">
            <v>52017.454272072937</v>
          </cell>
          <cell r="BJ140">
            <v>53181.403301438026</v>
          </cell>
          <cell r="BK140">
            <v>53956.727344535771</v>
          </cell>
          <cell r="BL140">
            <v>53568.003235256634</v>
          </cell>
          <cell r="BM140">
            <v>54751.028778832107</v>
          </cell>
          <cell r="BN140">
            <v>55597.250766032957</v>
          </cell>
          <cell r="BO140">
            <v>55172.980564230893</v>
          </cell>
          <cell r="BP140">
            <v>56436.041802652006</v>
          </cell>
          <cell r="BQ140">
            <v>57297.475092973073</v>
          </cell>
          <cell r="BR140">
            <v>56866.758447812535</v>
          </cell>
          <cell r="BS140">
            <v>58200.672907720931</v>
          </cell>
          <cell r="BT140">
            <v>59148.523361315289</v>
          </cell>
          <cell r="BU140">
            <v>58673.299709239211</v>
          </cell>
          <cell r="BV140">
            <v>60137.690425928769</v>
          </cell>
          <cell r="BW140">
            <v>61166.293753476726</v>
          </cell>
          <cell r="BX140">
            <v>60650.583044048573</v>
          </cell>
        </row>
        <row r="141">
          <cell r="B141" t="str">
            <v>Average Other Liabilities</v>
          </cell>
          <cell r="C141" t="str">
            <v>AVG_OTHER_LIABS</v>
          </cell>
          <cell r="D141" t="str">
            <v>AUD</v>
          </cell>
          <cell r="F141">
            <v>20127</v>
          </cell>
          <cell r="G141">
            <v>24962</v>
          </cell>
          <cell r="H141">
            <v>36102</v>
          </cell>
          <cell r="I141">
            <v>71154</v>
          </cell>
          <cell r="J141">
            <v>72312</v>
          </cell>
          <cell r="K141">
            <v>84790</v>
          </cell>
          <cell r="L141">
            <v>92759</v>
          </cell>
          <cell r="M141">
            <v>90965</v>
          </cell>
          <cell r="N141">
            <v>95518</v>
          </cell>
          <cell r="O141">
            <v>96254</v>
          </cell>
          <cell r="P141">
            <v>95887</v>
          </cell>
          <cell r="Q141">
            <v>117157</v>
          </cell>
          <cell r="R141">
            <v>136330</v>
          </cell>
          <cell r="S141">
            <v>126768</v>
          </cell>
          <cell r="T141">
            <v>139148</v>
          </cell>
          <cell r="U141">
            <v>149226</v>
          </cell>
          <cell r="V141">
            <v>144185.5</v>
          </cell>
          <cell r="W141">
            <v>137191</v>
          </cell>
          <cell r="X141">
            <v>133349.67587305733</v>
          </cell>
          <cell r="Y141">
            <v>135264.09228703973</v>
          </cell>
          <cell r="Z141">
            <v>107934.28387549345</v>
          </cell>
          <cell r="AA141">
            <v>112154.87718468253</v>
          </cell>
          <cell r="AB141">
            <v>109917.94298667589</v>
          </cell>
          <cell r="AC141">
            <v>114703.32605196477</v>
          </cell>
          <cell r="AD141">
            <v>135847.39449356694</v>
          </cell>
          <cell r="AE141">
            <v>125249.41516104201</v>
          </cell>
          <cell r="AF141">
            <v>152301.1532078262</v>
          </cell>
          <cell r="AG141">
            <v>185862.94161310326</v>
          </cell>
          <cell r="AH141">
            <v>198183.27385069651</v>
          </cell>
          <cell r="AI141">
            <v>173222.90380327799</v>
          </cell>
          <cell r="AJ141">
            <v>146251.57128019398</v>
          </cell>
          <cell r="AK141">
            <v>159699.77270266321</v>
          </cell>
          <cell r="AL141">
            <v>115136.77124865411</v>
          </cell>
          <cell r="AM141">
            <v>136793.36438926775</v>
          </cell>
          <cell r="AN141">
            <v>125994.95630271512</v>
          </cell>
          <cell r="AO141">
            <v>137120.12686112651</v>
          </cell>
          <cell r="AP141">
            <v>130749.75072596176</v>
          </cell>
          <cell r="AQ141">
            <v>133928.06978513976</v>
          </cell>
          <cell r="AR141">
            <v>126310.1081003187</v>
          </cell>
          <cell r="AS141">
            <v>135023.02798351226</v>
          </cell>
          <cell r="AT141">
            <v>130666.56804191542</v>
          </cell>
          <cell r="AU141">
            <v>157671.84506835463</v>
          </cell>
          <cell r="AV141">
            <v>214471</v>
          </cell>
          <cell r="AW141">
            <v>186149.35562312463</v>
          </cell>
          <cell r="AX141">
            <v>217804.66838954599</v>
          </cell>
          <cell r="AY141">
            <v>220311.92823609011</v>
          </cell>
          <cell r="AZ141">
            <v>219002.84463294991</v>
          </cell>
          <cell r="BA141">
            <v>222323.07975668972</v>
          </cell>
          <cell r="BB141">
            <v>224633.21717396774</v>
          </cell>
          <cell r="BC141">
            <v>223421.45250479248</v>
          </cell>
          <cell r="BD141">
            <v>227703.6175863035</v>
          </cell>
          <cell r="BE141">
            <v>230844.28006969369</v>
          </cell>
          <cell r="BF141">
            <v>229273.94882799848</v>
          </cell>
          <cell r="BG141">
            <v>233927.34407623904</v>
          </cell>
          <cell r="BH141">
            <v>236874.16486089211</v>
          </cell>
          <cell r="BI141">
            <v>235339.35119244223</v>
          </cell>
          <cell r="BJ141">
            <v>240663.98397424188</v>
          </cell>
          <cell r="BK141">
            <v>244172.58964275522</v>
          </cell>
          <cell r="BL141">
            <v>242347.45728908922</v>
          </cell>
          <cell r="BM141">
            <v>247767.07447743881</v>
          </cell>
          <cell r="BN141">
            <v>251596.51751812012</v>
          </cell>
          <cell r="BO141">
            <v>249606.39157420653</v>
          </cell>
          <cell r="BP141">
            <v>255392.33297357964</v>
          </cell>
          <cell r="BQ141">
            <v>259290.61234769877</v>
          </cell>
          <cell r="BR141">
            <v>257341.47266063932</v>
          </cell>
          <cell r="BS141">
            <v>263377.89043590543</v>
          </cell>
          <cell r="BT141">
            <v>267667.23694075109</v>
          </cell>
          <cell r="BU141">
            <v>265436.87508295779</v>
          </cell>
          <cell r="BV141">
            <v>272143.55519878305</v>
          </cell>
          <cell r="BW141">
            <v>276798.33599374862</v>
          </cell>
          <cell r="BX141">
            <v>274377.3662732658</v>
          </cell>
        </row>
        <row r="142">
          <cell r="B142" t="str">
            <v>Net Free Funds</v>
          </cell>
          <cell r="C142" t="str">
            <v>NET_FREE_FUNDS</v>
          </cell>
          <cell r="D142" t="str">
            <v>AUD</v>
          </cell>
          <cell r="F142">
            <v>15536</v>
          </cell>
          <cell r="G142">
            <v>15719</v>
          </cell>
          <cell r="H142">
            <v>14748</v>
          </cell>
          <cell r="I142">
            <v>22019</v>
          </cell>
          <cell r="J142">
            <v>19511</v>
          </cell>
          <cell r="K142">
            <v>22656</v>
          </cell>
          <cell r="L142">
            <v>28514</v>
          </cell>
          <cell r="M142">
            <v>34142</v>
          </cell>
          <cell r="N142">
            <v>39554</v>
          </cell>
          <cell r="O142">
            <v>41256</v>
          </cell>
          <cell r="P142">
            <v>40406</v>
          </cell>
          <cell r="Q142">
            <v>39504</v>
          </cell>
          <cell r="R142">
            <v>49429</v>
          </cell>
          <cell r="S142">
            <v>44479</v>
          </cell>
          <cell r="T142">
            <v>27260</v>
          </cell>
          <cell r="U142">
            <v>21245</v>
          </cell>
          <cell r="V142">
            <v>24252.5</v>
          </cell>
          <cell r="W142">
            <v>21002</v>
          </cell>
          <cell r="X142">
            <v>23879.675873057335</v>
          </cell>
          <cell r="Y142">
            <v>22444.092287039733</v>
          </cell>
          <cell r="Z142">
            <v>41697.283875493449</v>
          </cell>
          <cell r="AA142">
            <v>45946.877184682526</v>
          </cell>
          <cell r="AB142">
            <v>43841.942986675858</v>
          </cell>
          <cell r="AC142">
            <v>56647.326051964774</v>
          </cell>
          <cell r="AD142">
            <v>38091.394493566942</v>
          </cell>
          <cell r="AE142">
            <v>47378.415161041979</v>
          </cell>
          <cell r="AF142">
            <v>47402.153207826195</v>
          </cell>
          <cell r="AG142">
            <v>34165.941613103263</v>
          </cell>
          <cell r="AH142">
            <v>69887.273850696511</v>
          </cell>
          <cell r="AI142">
            <v>47077.903803277994</v>
          </cell>
          <cell r="AJ142">
            <v>52104.571280193981</v>
          </cell>
          <cell r="AK142">
            <v>49597.772702663206</v>
          </cell>
          <cell r="AL142">
            <v>67582.771248654113</v>
          </cell>
          <cell r="AM142">
            <v>58233.36438926775</v>
          </cell>
          <cell r="AN142">
            <v>62894.956302715116</v>
          </cell>
          <cell r="AO142">
            <v>65387.126861126511</v>
          </cell>
          <cell r="AP142">
            <v>61290.750725961756</v>
          </cell>
          <cell r="AQ142">
            <v>63333.069785139814</v>
          </cell>
          <cell r="AR142">
            <v>49818.108100318699</v>
          </cell>
          <cell r="AS142">
            <v>54617.027983512264</v>
          </cell>
          <cell r="AT142">
            <v>52217.568041915423</v>
          </cell>
          <cell r="AU142">
            <v>53076.845068354625</v>
          </cell>
          <cell r="AV142">
            <v>115793</v>
          </cell>
          <cell r="AW142">
            <v>84520.355623124691</v>
          </cell>
          <cell r="AX142">
            <v>116819.7495342083</v>
          </cell>
          <cell r="AY142">
            <v>118426.47086991026</v>
          </cell>
          <cell r="AZ142">
            <v>117625.31119019055</v>
          </cell>
          <cell r="BA142">
            <v>119231.10579224209</v>
          </cell>
          <cell r="BB142">
            <v>118874.56123644873</v>
          </cell>
          <cell r="BC142">
            <v>119052.34509714576</v>
          </cell>
          <cell r="BD142">
            <v>118454.84843896628</v>
          </cell>
          <cell r="BE142">
            <v>118104.9508410485</v>
          </cell>
          <cell r="BF142">
            <v>118279.89964000729</v>
          </cell>
          <cell r="BG142">
            <v>117723.55897650147</v>
          </cell>
          <cell r="BH142">
            <v>117368.86280729335</v>
          </cell>
          <cell r="BI142">
            <v>117545.72500673425</v>
          </cell>
          <cell r="BJ142">
            <v>118065.71857076137</v>
          </cell>
          <cell r="BK142">
            <v>118727.39821462911</v>
          </cell>
          <cell r="BL142">
            <v>118397.46480316657</v>
          </cell>
          <cell r="BM142">
            <v>119508.6182430676</v>
          </cell>
          <cell r="BN142">
            <v>120548.79395844716</v>
          </cell>
          <cell r="BO142">
            <v>120030.13099899743</v>
          </cell>
          <cell r="BP142">
            <v>121586.19176553382</v>
          </cell>
          <cell r="BQ142">
            <v>122601.91631770585</v>
          </cell>
          <cell r="BR142">
            <v>122094.05404162005</v>
          </cell>
          <cell r="BS142">
            <v>123550.03216820532</v>
          </cell>
          <cell r="BT142">
            <v>124461.04587607157</v>
          </cell>
          <cell r="BU142">
            <v>124006.78698612173</v>
          </cell>
          <cell r="BV142">
            <v>125343.41861161501</v>
          </cell>
          <cell r="BW142">
            <v>126202.21928623578</v>
          </cell>
          <cell r="BX142">
            <v>125773.99538820551</v>
          </cell>
        </row>
        <row r="143">
          <cell r="B143" t="str">
            <v>Gross Loans &amp; Advances</v>
          </cell>
          <cell r="C143" t="str">
            <v>GROSS_LOANS_ADVANCES</v>
          </cell>
          <cell r="D143" t="str">
            <v>AUD</v>
          </cell>
          <cell r="F143">
            <v>259731</v>
          </cell>
          <cell r="G143">
            <v>292848</v>
          </cell>
          <cell r="H143">
            <v>340050</v>
          </cell>
          <cell r="I143">
            <v>338345</v>
          </cell>
          <cell r="J143">
            <v>358587</v>
          </cell>
          <cell r="K143">
            <v>402797</v>
          </cell>
          <cell r="L143">
            <v>431566</v>
          </cell>
          <cell r="M143">
            <v>486817</v>
          </cell>
          <cell r="N143">
            <v>512300</v>
          </cell>
          <cell r="O143">
            <v>524383</v>
          </cell>
          <cell r="P143">
            <v>524383</v>
          </cell>
          <cell r="Q143">
            <v>560485</v>
          </cell>
          <cell r="R143">
            <v>572370</v>
          </cell>
          <cell r="S143">
            <v>572370</v>
          </cell>
          <cell r="T143">
            <v>564691</v>
          </cell>
          <cell r="U143">
            <v>578944</v>
          </cell>
          <cell r="V143">
            <v>578944</v>
          </cell>
          <cell r="W143">
            <v>579211</v>
          </cell>
          <cell r="X143">
            <v>583444</v>
          </cell>
          <cell r="Y143">
            <v>583444</v>
          </cell>
          <cell r="Z143">
            <v>594939</v>
          </cell>
          <cell r="AA143">
            <v>607813</v>
          </cell>
          <cell r="AB143">
            <v>607813</v>
          </cell>
          <cell r="AC143">
            <v>613269</v>
          </cell>
          <cell r="AD143">
            <v>618295</v>
          </cell>
          <cell r="AE143">
            <v>618295</v>
          </cell>
          <cell r="AF143">
            <v>660781</v>
          </cell>
          <cell r="AG143">
            <v>621272</v>
          </cell>
          <cell r="AH143">
            <v>621272</v>
          </cell>
          <cell r="AI143">
            <v>617668</v>
          </cell>
          <cell r="AJ143">
            <v>632764</v>
          </cell>
          <cell r="AK143">
            <v>632764</v>
          </cell>
          <cell r="AL143">
            <v>653973</v>
          </cell>
          <cell r="AM143">
            <v>673625</v>
          </cell>
          <cell r="AN143">
            <v>673625</v>
          </cell>
          <cell r="AO143">
            <v>691106</v>
          </cell>
          <cell r="AP143">
            <v>707630</v>
          </cell>
          <cell r="AQ143">
            <v>707630</v>
          </cell>
          <cell r="AR143">
            <v>715512</v>
          </cell>
          <cell r="AS143">
            <v>803335</v>
          </cell>
          <cell r="AT143">
            <v>803335</v>
          </cell>
          <cell r="AU143">
            <v>820212</v>
          </cell>
          <cell r="AV143">
            <v>829471</v>
          </cell>
          <cell r="AW143">
            <v>829471</v>
          </cell>
          <cell r="AX143">
            <v>847296.4450366674</v>
          </cell>
          <cell r="AY143">
            <v>860288.69780860271</v>
          </cell>
          <cell r="AZ143">
            <v>860288.69780860271</v>
          </cell>
          <cell r="BA143">
            <v>872966.53493052314</v>
          </cell>
          <cell r="BB143">
            <v>889239.26673662791</v>
          </cell>
          <cell r="BC143">
            <v>889239.26673662791</v>
          </cell>
          <cell r="BD143">
            <v>905172.8042767467</v>
          </cell>
          <cell r="BE143">
            <v>921594.04007353773</v>
          </cell>
          <cell r="BF143">
            <v>921594.04007353773</v>
          </cell>
          <cell r="BG143">
            <v>937048.95990749577</v>
          </cell>
          <cell r="BH143">
            <v>952168.94065761648</v>
          </cell>
          <cell r="BI143">
            <v>952168.94065761648</v>
          </cell>
          <cell r="BJ143">
            <v>970302.24451350747</v>
          </cell>
          <cell r="BK143">
            <v>987651.05940351321</v>
          </cell>
          <cell r="BL143">
            <v>987651.05940351321</v>
          </cell>
          <cell r="BM143">
            <v>1006717.0129491105</v>
          </cell>
          <cell r="BN143">
            <v>1025568.5464975209</v>
          </cell>
          <cell r="BO143">
            <v>1025568.5464975209</v>
          </cell>
          <cell r="BP143">
            <v>1044801.1521022737</v>
          </cell>
          <cell r="BQ143">
            <v>1064422.4373230506</v>
          </cell>
          <cell r="BR143">
            <v>1064422.4373230506</v>
          </cell>
          <cell r="BS143">
            <v>1085498.0704179227</v>
          </cell>
          <cell r="BT143">
            <v>1106993.9297572803</v>
          </cell>
          <cell r="BU143">
            <v>1106993.9297572803</v>
          </cell>
          <cell r="BV143">
            <v>1129798.9534028166</v>
          </cell>
          <cell r="BW143">
            <v>1153094.0449466913</v>
          </cell>
          <cell r="BX143">
            <v>1153094.0449466913</v>
          </cell>
        </row>
        <row r="144">
          <cell r="B144" t="str">
            <v>Specific Provision For Doubtful Debts</v>
          </cell>
          <cell r="C144" t="str">
            <v>SPECIFIC_PROV_DOUBTFUL</v>
          </cell>
          <cell r="D144" t="str">
            <v>AUD</v>
          </cell>
          <cell r="F144">
            <v>286</v>
          </cell>
          <cell r="G144">
            <v>270</v>
          </cell>
          <cell r="H144">
            <v>675</v>
          </cell>
          <cell r="I144">
            <v>1526</v>
          </cell>
          <cell r="J144">
            <v>1875</v>
          </cell>
          <cell r="K144">
            <v>1697</v>
          </cell>
          <cell r="L144">
            <v>1773</v>
          </cell>
          <cell r="M144">
            <v>1467</v>
          </cell>
          <cell r="N144">
            <v>1470</v>
          </cell>
          <cell r="O144">
            <v>1176</v>
          </cell>
          <cell r="P144">
            <v>1176</v>
          </cell>
          <cell r="Q144">
            <v>1114</v>
          </cell>
          <cell r="R144">
            <v>1061</v>
          </cell>
          <cell r="S144">
            <v>1061</v>
          </cell>
          <cell r="T144">
            <v>1238</v>
          </cell>
          <cell r="U144">
            <v>1307</v>
          </cell>
          <cell r="V144">
            <v>1307</v>
          </cell>
          <cell r="W144">
            <v>1269</v>
          </cell>
          <cell r="X144">
            <v>1136</v>
          </cell>
          <cell r="Y144">
            <v>1136</v>
          </cell>
          <cell r="Z144">
            <v>1016</v>
          </cell>
          <cell r="AA144">
            <v>920</v>
          </cell>
          <cell r="AB144">
            <v>920</v>
          </cell>
          <cell r="AC144">
            <v>891</v>
          </cell>
          <cell r="AD144">
            <v>814</v>
          </cell>
          <cell r="AE144">
            <v>814</v>
          </cell>
          <cell r="AF144">
            <v>1093</v>
          </cell>
          <cell r="AG144">
            <v>891</v>
          </cell>
          <cell r="AH144">
            <v>891</v>
          </cell>
          <cell r="AI144">
            <v>809</v>
          </cell>
          <cell r="AJ144">
            <v>687</v>
          </cell>
          <cell r="AK144">
            <v>687</v>
          </cell>
          <cell r="AL144">
            <v>636</v>
          </cell>
          <cell r="AM144">
            <v>542</v>
          </cell>
          <cell r="AN144">
            <v>542</v>
          </cell>
          <cell r="AO144">
            <v>421</v>
          </cell>
          <cell r="AP144">
            <v>376</v>
          </cell>
          <cell r="AQ144">
            <v>376</v>
          </cell>
          <cell r="AR144">
            <v>325</v>
          </cell>
          <cell r="AS144">
            <v>308</v>
          </cell>
          <cell r="AT144">
            <v>308</v>
          </cell>
          <cell r="AU144">
            <v>364</v>
          </cell>
          <cell r="AV144">
            <v>399</v>
          </cell>
          <cell r="AW144">
            <v>399</v>
          </cell>
          <cell r="AX144">
            <v>471.42684111836809</v>
          </cell>
          <cell r="AY144">
            <v>516.80253009898047</v>
          </cell>
          <cell r="AZ144">
            <v>516.80253009898047</v>
          </cell>
          <cell r="BA144">
            <v>568.79553123825337</v>
          </cell>
          <cell r="BB144">
            <v>641.30425394208316</v>
          </cell>
          <cell r="BC144">
            <v>641.30425394208316</v>
          </cell>
          <cell r="BD144">
            <v>765.18857532141726</v>
          </cell>
          <cell r="BE144">
            <v>897.10178914351832</v>
          </cell>
          <cell r="BF144">
            <v>897.10178914351832</v>
          </cell>
          <cell r="BG144">
            <v>1060.738411427832</v>
          </cell>
          <cell r="BH144">
            <v>1253.4104486469741</v>
          </cell>
          <cell r="BI144">
            <v>1253.4104486469741</v>
          </cell>
          <cell r="BJ144">
            <v>1444.2507365588035</v>
          </cell>
          <cell r="BK144">
            <v>1637.0042163202156</v>
          </cell>
          <cell r="BL144">
            <v>1637.0042163202156</v>
          </cell>
          <cell r="BM144">
            <v>1633.2062638584659</v>
          </cell>
          <cell r="BN144">
            <v>1623.7373270653136</v>
          </cell>
          <cell r="BO144">
            <v>1623.7373270653136</v>
          </cell>
          <cell r="BP144">
            <v>1613.6325380151256</v>
          </cell>
          <cell r="BQ144">
            <v>1602.8664897455524</v>
          </cell>
          <cell r="BR144">
            <v>1602.8664897455524</v>
          </cell>
          <cell r="BS144">
            <v>1595.7445360136558</v>
          </cell>
          <cell r="BT144">
            <v>1587.7657280023971</v>
          </cell>
          <cell r="BU144">
            <v>1587.7657280023971</v>
          </cell>
          <cell r="BV144">
            <v>1582.3328441350561</v>
          </cell>
          <cell r="BW144">
            <v>1576.0097499587753</v>
          </cell>
          <cell r="BX144">
            <v>1576.0097499587753</v>
          </cell>
        </row>
        <row r="145">
          <cell r="B145" t="str">
            <v>General Provision For Doubtful Debts</v>
          </cell>
          <cell r="C145" t="str">
            <v>GENERAL_PROV_DOUBTFUL</v>
          </cell>
          <cell r="D145" t="str">
            <v>AUD</v>
          </cell>
          <cell r="F145">
            <v>1940</v>
          </cell>
          <cell r="G145">
            <v>1992</v>
          </cell>
          <cell r="H145">
            <v>2821</v>
          </cell>
          <cell r="I145">
            <v>3000</v>
          </cell>
          <cell r="J145">
            <v>3153</v>
          </cell>
          <cell r="K145">
            <v>3176</v>
          </cell>
          <cell r="L145">
            <v>2765</v>
          </cell>
          <cell r="M145">
            <v>2887</v>
          </cell>
          <cell r="N145">
            <v>2843</v>
          </cell>
          <cell r="O145">
            <v>2757</v>
          </cell>
          <cell r="P145">
            <v>2757</v>
          </cell>
          <cell r="Q145">
            <v>2914</v>
          </cell>
          <cell r="R145">
            <v>2956</v>
          </cell>
          <cell r="S145">
            <v>2956</v>
          </cell>
          <cell r="T145">
            <v>2862</v>
          </cell>
          <cell r="U145">
            <v>2876</v>
          </cell>
          <cell r="V145">
            <v>2876</v>
          </cell>
          <cell r="W145">
            <v>2785</v>
          </cell>
          <cell r="X145">
            <v>2662</v>
          </cell>
          <cell r="Y145">
            <v>2662</v>
          </cell>
          <cell r="Z145">
            <v>2579</v>
          </cell>
          <cell r="AA145">
            <v>2523</v>
          </cell>
          <cell r="AB145">
            <v>2523</v>
          </cell>
          <cell r="AC145">
            <v>3378</v>
          </cell>
          <cell r="AD145">
            <v>3376</v>
          </cell>
          <cell r="AE145">
            <v>3376</v>
          </cell>
          <cell r="AF145">
            <v>4501</v>
          </cell>
          <cell r="AG145">
            <v>5008</v>
          </cell>
          <cell r="AH145">
            <v>5008</v>
          </cell>
          <cell r="AI145">
            <v>4285</v>
          </cell>
          <cell r="AJ145">
            <v>4195</v>
          </cell>
          <cell r="AK145">
            <v>4195</v>
          </cell>
          <cell r="AL145">
            <v>3757</v>
          </cell>
          <cell r="AM145">
            <v>3853</v>
          </cell>
          <cell r="AN145">
            <v>3853</v>
          </cell>
          <cell r="AO145">
            <v>4040</v>
          </cell>
          <cell r="AP145">
            <v>4032</v>
          </cell>
          <cell r="AQ145">
            <v>4032</v>
          </cell>
          <cell r="AR145">
            <v>4046</v>
          </cell>
          <cell r="AS145">
            <v>4247</v>
          </cell>
          <cell r="AT145">
            <v>4247</v>
          </cell>
          <cell r="AU145">
            <v>4280</v>
          </cell>
          <cell r="AV145">
            <v>4379</v>
          </cell>
          <cell r="AW145">
            <v>4379</v>
          </cell>
          <cell r="AX145">
            <v>4456.4856302748012</v>
          </cell>
          <cell r="AY145">
            <v>4531.6628054356815</v>
          </cell>
          <cell r="AZ145">
            <v>4531.6628054356815</v>
          </cell>
          <cell r="BA145">
            <v>4598.1178612641943</v>
          </cell>
          <cell r="BB145">
            <v>4673.581013633413</v>
          </cell>
          <cell r="BC145">
            <v>4673.581013633413</v>
          </cell>
          <cell r="BD145">
            <v>4734.8275760109536</v>
          </cell>
          <cell r="BE145">
            <v>4801.2294872635957</v>
          </cell>
          <cell r="BF145">
            <v>4801.2294872635957</v>
          </cell>
          <cell r="BG145">
            <v>4860.7783434803923</v>
          </cell>
          <cell r="BH145">
            <v>4920.1543324064132</v>
          </cell>
          <cell r="BI145">
            <v>4920.1543324064132</v>
          </cell>
          <cell r="BJ145">
            <v>5014.5058842569779</v>
          </cell>
          <cell r="BK145">
            <v>5107.7638983192028</v>
          </cell>
          <cell r="BL145">
            <v>5107.7638983192028</v>
          </cell>
          <cell r="BM145">
            <v>5206.4625570611943</v>
          </cell>
          <cell r="BN145">
            <v>5297.9543133291445</v>
          </cell>
          <cell r="BO145">
            <v>5297.9543133291445</v>
          </cell>
          <cell r="BP145">
            <v>5391.3023992451954</v>
          </cell>
          <cell r="BQ145">
            <v>5486.5435136838114</v>
          </cell>
          <cell r="BR145">
            <v>5486.5435136838114</v>
          </cell>
          <cell r="BS145">
            <v>5593.7185684214082</v>
          </cell>
          <cell r="BT145">
            <v>5703.0123247383526</v>
          </cell>
          <cell r="BU145">
            <v>5703.0123247383526</v>
          </cell>
          <cell r="BV145">
            <v>5822.7930795202055</v>
          </cell>
          <cell r="BW145">
            <v>5945.2773529123479</v>
          </cell>
          <cell r="BX145">
            <v>5945.2773529123479</v>
          </cell>
        </row>
        <row r="146">
          <cell r="B146" t="str">
            <v>Unearned income</v>
          </cell>
          <cell r="C146" t="str">
            <v>UNEARNED_INCOME</v>
          </cell>
          <cell r="D146" t="str">
            <v>AUD</v>
          </cell>
          <cell r="F146">
            <v>2002</v>
          </cell>
          <cell r="G146">
            <v>1707</v>
          </cell>
          <cell r="H146">
            <v>2000</v>
          </cell>
          <cell r="I146">
            <v>1812</v>
          </cell>
          <cell r="J146">
            <v>1662</v>
          </cell>
          <cell r="K146">
            <v>1587</v>
          </cell>
          <cell r="L146">
            <v>444</v>
          </cell>
          <cell r="M146">
            <v>12</v>
          </cell>
          <cell r="N146">
            <v>52</v>
          </cell>
          <cell r="O146">
            <v>-151</v>
          </cell>
          <cell r="P146">
            <v>-151</v>
          </cell>
          <cell r="Q146">
            <v>-324</v>
          </cell>
          <cell r="R146">
            <v>-514</v>
          </cell>
          <cell r="S146">
            <v>-514</v>
          </cell>
          <cell r="T146">
            <v>-417</v>
          </cell>
          <cell r="U146">
            <v>-520</v>
          </cell>
          <cell r="V146">
            <v>-520</v>
          </cell>
          <cell r="W146">
            <v>-582</v>
          </cell>
          <cell r="X146">
            <v>-647</v>
          </cell>
          <cell r="Y146">
            <v>-647</v>
          </cell>
          <cell r="Z146">
            <v>-603</v>
          </cell>
          <cell r="AA146">
            <v>-567</v>
          </cell>
          <cell r="AB146">
            <v>-567</v>
          </cell>
          <cell r="AC146">
            <v>-501</v>
          </cell>
          <cell r="AD146">
            <v>-472</v>
          </cell>
          <cell r="AE146">
            <v>-472</v>
          </cell>
          <cell r="AF146">
            <v>-497</v>
          </cell>
          <cell r="AG146">
            <v>-802</v>
          </cell>
          <cell r="AH146">
            <v>-802</v>
          </cell>
          <cell r="AI146">
            <v>-941</v>
          </cell>
          <cell r="AJ146">
            <v>-1000</v>
          </cell>
          <cell r="AK146">
            <v>-1000</v>
          </cell>
          <cell r="AL146">
            <v>-1022</v>
          </cell>
          <cell r="AM146">
            <v>-2364</v>
          </cell>
          <cell r="AN146">
            <v>-2364</v>
          </cell>
          <cell r="AO146">
            <v>-2639</v>
          </cell>
          <cell r="AP146">
            <v>-2960</v>
          </cell>
          <cell r="AQ146">
            <v>-2960</v>
          </cell>
          <cell r="AR146">
            <v>-3148</v>
          </cell>
          <cell r="AS146">
            <v>-3722</v>
          </cell>
          <cell r="AT146">
            <v>-3722</v>
          </cell>
          <cell r="AU146">
            <v>-3751</v>
          </cell>
          <cell r="AV146">
            <v>-3859</v>
          </cell>
          <cell r="AW146">
            <v>-3859</v>
          </cell>
          <cell r="AX146">
            <v>-3859</v>
          </cell>
          <cell r="AY146">
            <v>-3859</v>
          </cell>
          <cell r="AZ146">
            <v>-3859</v>
          </cell>
          <cell r="BA146">
            <v>-3859</v>
          </cell>
          <cell r="BB146">
            <v>-3859</v>
          </cell>
          <cell r="BC146">
            <v>-3859</v>
          </cell>
          <cell r="BD146">
            <v>-3859</v>
          </cell>
          <cell r="BE146">
            <v>-3859</v>
          </cell>
          <cell r="BF146">
            <v>-3859</v>
          </cell>
          <cell r="BG146">
            <v>-3859</v>
          </cell>
          <cell r="BH146">
            <v>-3859</v>
          </cell>
          <cell r="BI146">
            <v>-3859</v>
          </cell>
          <cell r="BJ146">
            <v>-3859</v>
          </cell>
          <cell r="BK146">
            <v>-3859</v>
          </cell>
          <cell r="BL146">
            <v>-3859</v>
          </cell>
          <cell r="BM146">
            <v>-3859</v>
          </cell>
          <cell r="BN146">
            <v>-3859</v>
          </cell>
          <cell r="BO146">
            <v>-3859</v>
          </cell>
          <cell r="BP146">
            <v>-3859</v>
          </cell>
          <cell r="BQ146">
            <v>-3859</v>
          </cell>
          <cell r="BR146">
            <v>-3859</v>
          </cell>
          <cell r="BS146">
            <v>-3859</v>
          </cell>
          <cell r="BT146">
            <v>-3859</v>
          </cell>
          <cell r="BU146">
            <v>-3859</v>
          </cell>
          <cell r="BV146">
            <v>-3859</v>
          </cell>
          <cell r="BW146">
            <v>-3859</v>
          </cell>
          <cell r="BX146">
            <v>-3859</v>
          </cell>
        </row>
        <row r="147">
          <cell r="B147" t="str">
            <v>Acceptances</v>
          </cell>
          <cell r="C147" t="str">
            <v>ACCEPTANCES_ASSETS</v>
          </cell>
          <cell r="D147" t="str">
            <v>AUD</v>
          </cell>
          <cell r="F147">
            <v>13435</v>
          </cell>
          <cell r="G147">
            <v>14536</v>
          </cell>
          <cell r="H147">
            <v>15297</v>
          </cell>
          <cell r="I147">
            <v>13762</v>
          </cell>
          <cell r="J147">
            <v>11495</v>
          </cell>
          <cell r="K147">
            <v>970</v>
          </cell>
          <cell r="L147">
            <v>1239</v>
          </cell>
          <cell r="M147">
            <v>812</v>
          </cell>
          <cell r="N147">
            <v>1185</v>
          </cell>
          <cell r="O147">
            <v>1151</v>
          </cell>
          <cell r="P147">
            <v>1151</v>
          </cell>
          <cell r="Q147">
            <v>1422</v>
          </cell>
          <cell r="R147">
            <v>1371</v>
          </cell>
          <cell r="S147">
            <v>1371</v>
          </cell>
          <cell r="T147">
            <v>760</v>
          </cell>
          <cell r="U147">
            <v>571</v>
          </cell>
          <cell r="V147">
            <v>571</v>
          </cell>
          <cell r="W147">
            <v>565</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cell r="BM147">
            <v>0</v>
          </cell>
          <cell r="BN147">
            <v>0</v>
          </cell>
          <cell r="BO147">
            <v>0</v>
          </cell>
          <cell r="BP147">
            <v>0</v>
          </cell>
          <cell r="BQ147">
            <v>0</v>
          </cell>
          <cell r="BR147">
            <v>0</v>
          </cell>
          <cell r="BS147">
            <v>0</v>
          </cell>
          <cell r="BT147">
            <v>0</v>
          </cell>
          <cell r="BU147">
            <v>0</v>
          </cell>
          <cell r="BV147">
            <v>0</v>
          </cell>
          <cell r="BW147">
            <v>0</v>
          </cell>
          <cell r="BX147">
            <v>0</v>
          </cell>
        </row>
        <row r="148">
          <cell r="B148" t="str">
            <v>Liquid Assets (incl. regulatory deposits)</v>
          </cell>
          <cell r="C148" t="str">
            <v>LIQUID_ASSETS</v>
          </cell>
          <cell r="D148" t="str">
            <v>AUD</v>
          </cell>
          <cell r="F148"/>
          <cell r="G148"/>
          <cell r="H148"/>
          <cell r="I148"/>
          <cell r="J148"/>
          <cell r="K148"/>
          <cell r="L148"/>
          <cell r="M148"/>
          <cell r="N148"/>
          <cell r="O148"/>
          <cell r="P148"/>
          <cell r="Q148"/>
          <cell r="R148"/>
          <cell r="S148"/>
          <cell r="T148"/>
          <cell r="U148"/>
          <cell r="V148"/>
          <cell r="W148"/>
          <cell r="X148"/>
          <cell r="Y148"/>
          <cell r="Z148"/>
          <cell r="AA148"/>
          <cell r="AB148"/>
          <cell r="AC148"/>
          <cell r="AD148"/>
          <cell r="AE148"/>
          <cell r="AF148"/>
          <cell r="AG148"/>
          <cell r="AH148"/>
          <cell r="AI148"/>
          <cell r="AJ148"/>
          <cell r="AK148"/>
          <cell r="AL148"/>
          <cell r="AM148"/>
          <cell r="AN148"/>
          <cell r="AO148"/>
          <cell r="AP148"/>
          <cell r="AQ148"/>
          <cell r="AR148"/>
          <cell r="AS148"/>
          <cell r="AT148"/>
          <cell r="AU148"/>
          <cell r="AV148"/>
          <cell r="AW148"/>
          <cell r="AX148"/>
          <cell r="AY148"/>
          <cell r="AZ148"/>
          <cell r="BA148"/>
          <cell r="BB148"/>
          <cell r="BC148"/>
          <cell r="BD148"/>
          <cell r="BE148"/>
          <cell r="BF148"/>
          <cell r="BG148"/>
          <cell r="BH148"/>
          <cell r="BI148"/>
          <cell r="BJ148"/>
          <cell r="BK148"/>
          <cell r="BL148"/>
          <cell r="BM148"/>
          <cell r="BN148"/>
          <cell r="BO148"/>
          <cell r="BP148"/>
          <cell r="BQ148"/>
          <cell r="BR148"/>
          <cell r="BS148"/>
          <cell r="BT148"/>
          <cell r="BU148"/>
          <cell r="BV148"/>
          <cell r="BW148"/>
          <cell r="BX148"/>
        </row>
        <row r="149">
          <cell r="B149" t="str">
            <v>Investments (Current assets)</v>
          </cell>
          <cell r="C149" t="str">
            <v>INVESTMENTS</v>
          </cell>
          <cell r="D149" t="str">
            <v>AUD</v>
          </cell>
          <cell r="F149"/>
          <cell r="G149"/>
          <cell r="H149"/>
          <cell r="I149"/>
          <cell r="J149"/>
          <cell r="K149"/>
          <cell r="L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cell r="AQ149"/>
          <cell r="AR149"/>
          <cell r="AS149"/>
          <cell r="AT149"/>
          <cell r="AU149"/>
          <cell r="AV149"/>
          <cell r="AW149"/>
          <cell r="AX149"/>
          <cell r="AY149"/>
          <cell r="AZ149"/>
          <cell r="BA149"/>
          <cell r="BB149"/>
          <cell r="BC149"/>
          <cell r="BD149"/>
          <cell r="BE149"/>
          <cell r="BF149"/>
          <cell r="BG149"/>
          <cell r="BH149"/>
          <cell r="BI149"/>
          <cell r="BJ149"/>
          <cell r="BK149"/>
          <cell r="BL149"/>
          <cell r="BM149"/>
          <cell r="BN149"/>
          <cell r="BO149"/>
          <cell r="BP149"/>
          <cell r="BQ149"/>
          <cell r="BR149"/>
          <cell r="BS149"/>
          <cell r="BT149"/>
          <cell r="BU149"/>
          <cell r="BV149"/>
          <cell r="BW149"/>
          <cell r="BX149"/>
        </row>
        <row r="150">
          <cell r="B150" t="str">
            <v>Other Intangibles - Depreciable (Net of Amort)</v>
          </cell>
          <cell r="C150" t="str">
            <v>OTHER_INTANGIBLES_DEPREC</v>
          </cell>
          <cell r="D150" t="str">
            <v>AUD</v>
          </cell>
          <cell r="F150"/>
          <cell r="G150"/>
          <cell r="H150"/>
          <cell r="I150"/>
          <cell r="J150"/>
          <cell r="K150"/>
          <cell r="L150"/>
          <cell r="M150"/>
          <cell r="N150"/>
          <cell r="O150"/>
          <cell r="P150"/>
          <cell r="Q150"/>
          <cell r="R150"/>
          <cell r="S150"/>
          <cell r="T150"/>
          <cell r="U150"/>
          <cell r="V150"/>
          <cell r="W150"/>
          <cell r="X150"/>
          <cell r="Y150"/>
          <cell r="Z150"/>
          <cell r="AA150"/>
          <cell r="AB150"/>
          <cell r="AC150"/>
          <cell r="AD150"/>
          <cell r="AE150"/>
          <cell r="AF150"/>
          <cell r="AG150"/>
          <cell r="AH150"/>
          <cell r="AI150"/>
          <cell r="AJ150"/>
          <cell r="AK150"/>
          <cell r="AL150"/>
          <cell r="AM150"/>
          <cell r="AN150"/>
          <cell r="AO150"/>
          <cell r="AP150"/>
          <cell r="AQ150"/>
          <cell r="AR150"/>
          <cell r="AS150"/>
          <cell r="AT150"/>
          <cell r="AU150"/>
          <cell r="AV150"/>
          <cell r="AW150"/>
          <cell r="AX150"/>
          <cell r="AY150"/>
          <cell r="AZ150"/>
          <cell r="BA150"/>
          <cell r="BB150"/>
          <cell r="BC150"/>
          <cell r="BD150"/>
          <cell r="BE150"/>
          <cell r="BF150"/>
          <cell r="BG150"/>
          <cell r="BH150"/>
          <cell r="BI150"/>
          <cell r="BJ150"/>
          <cell r="BK150"/>
          <cell r="BL150"/>
          <cell r="BM150"/>
          <cell r="BN150"/>
          <cell r="BO150"/>
          <cell r="BP150"/>
          <cell r="BQ150"/>
          <cell r="BR150"/>
          <cell r="BS150"/>
          <cell r="BT150"/>
          <cell r="BU150"/>
          <cell r="BV150"/>
          <cell r="BW150"/>
          <cell r="BX150"/>
        </row>
        <row r="151">
          <cell r="B151" t="str">
            <v>Other Intangibles - Non-Depreciable (Net of Amort)</v>
          </cell>
          <cell r="C151" t="str">
            <v>OTHER_INTANGIBLES_NON_DEPREC</v>
          </cell>
          <cell r="D151" t="str">
            <v>AUD</v>
          </cell>
          <cell r="F151"/>
          <cell r="G151"/>
          <cell r="H151"/>
          <cell r="I151"/>
          <cell r="J151"/>
          <cell r="K151"/>
          <cell r="L151"/>
          <cell r="M151"/>
          <cell r="N151"/>
          <cell r="O151"/>
          <cell r="P151"/>
          <cell r="Q151"/>
          <cell r="R151"/>
          <cell r="S151"/>
          <cell r="T151"/>
          <cell r="U151"/>
          <cell r="V151"/>
          <cell r="W151"/>
          <cell r="X151"/>
          <cell r="Y151"/>
          <cell r="Z151"/>
          <cell r="AA151"/>
          <cell r="AB151"/>
          <cell r="AC151"/>
          <cell r="AD151"/>
          <cell r="AE151"/>
          <cell r="AF151"/>
          <cell r="AG151"/>
          <cell r="AH151"/>
          <cell r="AI151"/>
          <cell r="AJ151"/>
          <cell r="AK151"/>
          <cell r="AL151"/>
          <cell r="AM151"/>
          <cell r="AN151"/>
          <cell r="AO151"/>
          <cell r="AP151"/>
          <cell r="AQ151"/>
          <cell r="AR151"/>
          <cell r="AS151"/>
          <cell r="AT151"/>
          <cell r="AU151"/>
          <cell r="AV151"/>
          <cell r="AW151"/>
          <cell r="AX151"/>
          <cell r="AY151"/>
          <cell r="AZ151"/>
          <cell r="BA151"/>
          <cell r="BB151"/>
          <cell r="BC151"/>
          <cell r="BD151"/>
          <cell r="BE151"/>
          <cell r="BF151"/>
          <cell r="BG151"/>
          <cell r="BH151"/>
          <cell r="BI151"/>
          <cell r="BJ151"/>
          <cell r="BK151"/>
          <cell r="BL151"/>
          <cell r="BM151"/>
          <cell r="BN151"/>
          <cell r="BO151"/>
          <cell r="BP151"/>
          <cell r="BQ151"/>
          <cell r="BR151"/>
          <cell r="BS151"/>
          <cell r="BT151"/>
          <cell r="BU151"/>
          <cell r="BV151"/>
          <cell r="BW151"/>
          <cell r="BX151"/>
        </row>
        <row r="152">
          <cell r="B152" t="str">
            <v>Defined Benefit Surplus</v>
          </cell>
          <cell r="C152" t="str">
            <v>DEFINED_BENEFIT_SURPLUS</v>
          </cell>
          <cell r="D152" t="str">
            <v>AUD</v>
          </cell>
          <cell r="F152"/>
          <cell r="G152"/>
          <cell r="H152"/>
          <cell r="I152"/>
          <cell r="J152"/>
          <cell r="K152"/>
          <cell r="L152"/>
          <cell r="M152"/>
          <cell r="N152"/>
          <cell r="O152"/>
          <cell r="P152"/>
          <cell r="Q152"/>
          <cell r="R152"/>
          <cell r="S152"/>
          <cell r="T152"/>
          <cell r="U152"/>
          <cell r="V152"/>
          <cell r="W152"/>
          <cell r="X152"/>
          <cell r="Y152"/>
          <cell r="Z152"/>
          <cell r="AA152"/>
          <cell r="AB152"/>
          <cell r="AC152"/>
          <cell r="AD152"/>
          <cell r="AE152"/>
          <cell r="AF152"/>
          <cell r="AG152"/>
          <cell r="AH152"/>
          <cell r="AI152"/>
          <cell r="AJ152"/>
          <cell r="AK152"/>
          <cell r="AL152"/>
          <cell r="AM152"/>
          <cell r="AN152"/>
          <cell r="AO152"/>
          <cell r="AP152"/>
          <cell r="AQ152"/>
          <cell r="AR152"/>
          <cell r="AS152"/>
          <cell r="AT152"/>
          <cell r="AU152"/>
          <cell r="AV152"/>
          <cell r="AW152"/>
          <cell r="AX152"/>
          <cell r="AY152"/>
          <cell r="AZ152"/>
          <cell r="BA152"/>
          <cell r="BB152"/>
          <cell r="BC152"/>
          <cell r="BD152"/>
          <cell r="BE152"/>
          <cell r="BF152"/>
          <cell r="BG152"/>
          <cell r="BH152"/>
          <cell r="BI152"/>
          <cell r="BJ152"/>
          <cell r="BK152"/>
          <cell r="BL152"/>
          <cell r="BM152"/>
          <cell r="BN152"/>
          <cell r="BO152"/>
          <cell r="BP152"/>
          <cell r="BQ152"/>
          <cell r="BR152"/>
          <cell r="BS152"/>
          <cell r="BT152"/>
          <cell r="BU152"/>
          <cell r="BV152"/>
          <cell r="BW152"/>
          <cell r="BX152"/>
        </row>
        <row r="153">
          <cell r="B153" t="str">
            <v>Other Assets</v>
          </cell>
          <cell r="C153" t="str">
            <v>ASSET_MISC</v>
          </cell>
          <cell r="D153" t="str">
            <v>AUD</v>
          </cell>
          <cell r="F153"/>
          <cell r="G153"/>
          <cell r="H153"/>
          <cell r="I153"/>
          <cell r="J153"/>
          <cell r="K153"/>
          <cell r="L153"/>
          <cell r="M153"/>
          <cell r="N153"/>
          <cell r="O153"/>
          <cell r="P153"/>
          <cell r="Q153"/>
          <cell r="R153"/>
          <cell r="S153"/>
          <cell r="T153"/>
          <cell r="U153"/>
          <cell r="V153"/>
          <cell r="W153"/>
          <cell r="X153"/>
          <cell r="Y153"/>
          <cell r="Z153"/>
          <cell r="AA153"/>
          <cell r="AB153"/>
          <cell r="AC153"/>
          <cell r="AD153"/>
          <cell r="AE153"/>
          <cell r="AF153"/>
          <cell r="AG153"/>
          <cell r="AH153"/>
          <cell r="AI153"/>
          <cell r="AJ153"/>
          <cell r="AK153"/>
          <cell r="AL153"/>
          <cell r="AM153"/>
          <cell r="AN153"/>
          <cell r="AO153"/>
          <cell r="AP153"/>
          <cell r="AQ153"/>
          <cell r="AR153"/>
          <cell r="AS153"/>
          <cell r="AT153"/>
          <cell r="AU153"/>
          <cell r="AV153"/>
          <cell r="AW153"/>
          <cell r="AX153"/>
          <cell r="AY153"/>
          <cell r="AZ153"/>
          <cell r="BA153"/>
          <cell r="BB153"/>
          <cell r="BC153"/>
          <cell r="BD153"/>
          <cell r="BE153"/>
          <cell r="BF153"/>
          <cell r="BG153"/>
          <cell r="BH153"/>
          <cell r="BI153"/>
          <cell r="BJ153"/>
          <cell r="BK153"/>
          <cell r="BL153"/>
          <cell r="BM153"/>
          <cell r="BN153"/>
          <cell r="BO153"/>
          <cell r="BP153"/>
          <cell r="BQ153"/>
          <cell r="BR153"/>
          <cell r="BS153"/>
          <cell r="BT153"/>
          <cell r="BU153"/>
          <cell r="BV153"/>
          <cell r="BW153"/>
          <cell r="BX153"/>
        </row>
        <row r="154">
          <cell r="B154" t="str">
            <v>Bonds, notes &amp; subordinated debt</v>
          </cell>
          <cell r="C154" t="str">
            <v>BONDS_NOTES_SUBORD_DEBT</v>
          </cell>
          <cell r="D154" t="str">
            <v>AUD</v>
          </cell>
          <cell r="F154"/>
          <cell r="G154"/>
          <cell r="H154"/>
          <cell r="I154"/>
          <cell r="J154"/>
          <cell r="K154"/>
          <cell r="L154"/>
          <cell r="M154"/>
          <cell r="N154"/>
          <cell r="O154"/>
          <cell r="P154"/>
          <cell r="Q154"/>
          <cell r="R154"/>
          <cell r="S154"/>
          <cell r="T154"/>
          <cell r="U154"/>
          <cell r="V154"/>
          <cell r="W154"/>
          <cell r="X154"/>
          <cell r="Y154"/>
          <cell r="Z154"/>
          <cell r="AA154"/>
          <cell r="AB154"/>
          <cell r="AC154"/>
          <cell r="AD154"/>
          <cell r="AE154"/>
          <cell r="AF154"/>
          <cell r="AG154"/>
          <cell r="AH154"/>
          <cell r="AI154"/>
          <cell r="AJ154"/>
          <cell r="AK154"/>
          <cell r="AL154"/>
          <cell r="AM154"/>
          <cell r="AN154"/>
          <cell r="AO154"/>
          <cell r="AP154"/>
          <cell r="AQ154"/>
          <cell r="AR154"/>
          <cell r="AS154"/>
          <cell r="AT154"/>
          <cell r="AU154"/>
          <cell r="AV154"/>
          <cell r="AW154"/>
          <cell r="AX154"/>
          <cell r="AY154"/>
          <cell r="AZ154"/>
          <cell r="BA154"/>
          <cell r="BB154"/>
          <cell r="BC154"/>
          <cell r="BD154"/>
          <cell r="BE154"/>
          <cell r="BF154"/>
          <cell r="BG154"/>
          <cell r="BH154"/>
          <cell r="BI154"/>
          <cell r="BJ154"/>
          <cell r="BK154"/>
          <cell r="BL154"/>
          <cell r="BM154"/>
          <cell r="BN154"/>
          <cell r="BO154"/>
          <cell r="BP154"/>
          <cell r="BQ154"/>
          <cell r="BR154"/>
          <cell r="BS154"/>
          <cell r="BT154"/>
          <cell r="BU154"/>
          <cell r="BV154"/>
          <cell r="BW154"/>
          <cell r="BX154"/>
        </row>
        <row r="155">
          <cell r="B155" t="str">
            <v>Acceptances</v>
          </cell>
          <cell r="C155" t="str">
            <v>ACCEPTANCES_LIABS</v>
          </cell>
          <cell r="D155" t="str">
            <v>AUD</v>
          </cell>
          <cell r="F155">
            <v>13435</v>
          </cell>
          <cell r="G155">
            <v>14536</v>
          </cell>
          <cell r="H155">
            <v>15297</v>
          </cell>
          <cell r="I155">
            <v>13762</v>
          </cell>
          <cell r="J155">
            <v>11495</v>
          </cell>
          <cell r="K155">
            <v>970</v>
          </cell>
          <cell r="L155">
            <v>1239</v>
          </cell>
          <cell r="M155">
            <v>812</v>
          </cell>
          <cell r="N155">
            <v>1185</v>
          </cell>
          <cell r="O155">
            <v>1151</v>
          </cell>
          <cell r="P155">
            <v>1151</v>
          </cell>
          <cell r="Q155">
            <v>1422</v>
          </cell>
          <cell r="R155">
            <v>1371</v>
          </cell>
          <cell r="S155">
            <v>1371</v>
          </cell>
          <cell r="T155">
            <v>760</v>
          </cell>
          <cell r="U155">
            <v>571</v>
          </cell>
          <cell r="V155">
            <v>571</v>
          </cell>
          <cell r="W155">
            <v>565</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cell r="BN155">
            <v>0</v>
          </cell>
          <cell r="BO155">
            <v>0</v>
          </cell>
          <cell r="BP155">
            <v>0</v>
          </cell>
          <cell r="BQ155">
            <v>0</v>
          </cell>
          <cell r="BR155">
            <v>0</v>
          </cell>
          <cell r="BS155">
            <v>0</v>
          </cell>
          <cell r="BT155">
            <v>0</v>
          </cell>
          <cell r="BU155">
            <v>0</v>
          </cell>
          <cell r="BV155">
            <v>0</v>
          </cell>
          <cell r="BW155">
            <v>0</v>
          </cell>
          <cell r="BX155">
            <v>0</v>
          </cell>
        </row>
        <row r="156">
          <cell r="B156" t="str">
            <v>Loan capital</v>
          </cell>
          <cell r="C156" t="str">
            <v>LOAN_CAPITAL</v>
          </cell>
          <cell r="D156" t="str">
            <v>AUD</v>
          </cell>
          <cell r="F156"/>
          <cell r="G156"/>
          <cell r="H156"/>
          <cell r="I156"/>
          <cell r="J156"/>
          <cell r="K156"/>
          <cell r="L156"/>
          <cell r="M156"/>
          <cell r="N156"/>
          <cell r="O156"/>
          <cell r="P156"/>
          <cell r="Q156"/>
          <cell r="R156"/>
          <cell r="S156"/>
          <cell r="T156"/>
          <cell r="U156"/>
          <cell r="V156"/>
          <cell r="W156"/>
          <cell r="X156"/>
          <cell r="Y156"/>
          <cell r="Z156"/>
          <cell r="AA156"/>
          <cell r="AB156"/>
          <cell r="AC156"/>
          <cell r="AD156"/>
          <cell r="AE156"/>
          <cell r="AF156"/>
          <cell r="AG156"/>
          <cell r="AH156"/>
          <cell r="AI156"/>
          <cell r="AJ156"/>
          <cell r="AK156"/>
          <cell r="AL156"/>
          <cell r="AM156"/>
          <cell r="AN156"/>
          <cell r="AO156"/>
          <cell r="AP156"/>
          <cell r="AQ156"/>
          <cell r="AR156"/>
          <cell r="AS156"/>
          <cell r="AT156"/>
          <cell r="AU156"/>
          <cell r="AV156"/>
          <cell r="AW156"/>
          <cell r="AX156"/>
          <cell r="AY156"/>
          <cell r="AZ156"/>
          <cell r="BA156"/>
          <cell r="BB156"/>
          <cell r="BC156"/>
          <cell r="BD156"/>
          <cell r="BE156"/>
          <cell r="BF156"/>
          <cell r="BG156"/>
          <cell r="BH156"/>
          <cell r="BI156"/>
          <cell r="BJ156"/>
          <cell r="BK156"/>
          <cell r="BL156"/>
          <cell r="BM156"/>
          <cell r="BN156"/>
          <cell r="BO156"/>
          <cell r="BP156"/>
          <cell r="BQ156"/>
          <cell r="BR156"/>
          <cell r="BS156"/>
          <cell r="BT156"/>
          <cell r="BU156"/>
          <cell r="BV156"/>
          <cell r="BW156"/>
          <cell r="BX156"/>
        </row>
        <row r="157">
          <cell r="B157" t="str">
            <v>Financial Instruments/Hedging (Current liab)</v>
          </cell>
          <cell r="C157" t="str">
            <v>FIN_INSTR_HEDGE_CURR_LIABILITY</v>
          </cell>
          <cell r="D157" t="str">
            <v>AUD</v>
          </cell>
          <cell r="F157"/>
          <cell r="G157"/>
          <cell r="H157"/>
          <cell r="I157"/>
          <cell r="J157"/>
          <cell r="K157"/>
          <cell r="L157"/>
          <cell r="M157"/>
          <cell r="N157"/>
          <cell r="O157"/>
          <cell r="P157"/>
          <cell r="Q157"/>
          <cell r="R157"/>
          <cell r="S157"/>
          <cell r="T157"/>
          <cell r="U157"/>
          <cell r="V157"/>
          <cell r="W157"/>
          <cell r="X157"/>
          <cell r="Y157"/>
          <cell r="Z157"/>
          <cell r="AA157"/>
          <cell r="AB157"/>
          <cell r="AC157"/>
          <cell r="AD157"/>
          <cell r="AE157"/>
          <cell r="AF157"/>
          <cell r="AG157"/>
          <cell r="AH157"/>
          <cell r="AI157"/>
          <cell r="AJ157"/>
          <cell r="AK157"/>
          <cell r="AL157"/>
          <cell r="AM157"/>
          <cell r="AN157"/>
          <cell r="AO157"/>
          <cell r="AP157"/>
          <cell r="AQ157"/>
          <cell r="AR157"/>
          <cell r="AS157"/>
          <cell r="AT157"/>
          <cell r="AU157"/>
          <cell r="AV157"/>
          <cell r="AW157"/>
          <cell r="AX157"/>
          <cell r="AY157"/>
          <cell r="AZ157"/>
          <cell r="BA157"/>
          <cell r="BB157"/>
          <cell r="BC157"/>
          <cell r="BD157"/>
          <cell r="BE157"/>
          <cell r="BF157"/>
          <cell r="BG157"/>
          <cell r="BH157"/>
          <cell r="BI157"/>
          <cell r="BJ157"/>
          <cell r="BK157"/>
          <cell r="BL157"/>
          <cell r="BM157"/>
          <cell r="BN157"/>
          <cell r="BO157"/>
          <cell r="BP157"/>
          <cell r="BQ157"/>
          <cell r="BR157"/>
          <cell r="BS157"/>
          <cell r="BT157"/>
          <cell r="BU157"/>
          <cell r="BV157"/>
          <cell r="BW157"/>
          <cell r="BX157"/>
        </row>
        <row r="158">
          <cell r="B158" t="str">
            <v>Defined Benefit Obligation</v>
          </cell>
          <cell r="C158" t="str">
            <v>DEFINED_BENEFIT_OBLIGATION</v>
          </cell>
          <cell r="D158" t="str">
            <v>AUD</v>
          </cell>
          <cell r="F158"/>
          <cell r="G158"/>
          <cell r="H158"/>
          <cell r="I158"/>
          <cell r="J158"/>
          <cell r="K158"/>
          <cell r="L158"/>
          <cell r="M158"/>
          <cell r="N158"/>
          <cell r="O158"/>
          <cell r="P158"/>
          <cell r="Q158"/>
          <cell r="R158"/>
          <cell r="S158"/>
          <cell r="T158"/>
          <cell r="U158"/>
          <cell r="V158"/>
          <cell r="W158"/>
          <cell r="X158"/>
          <cell r="Y158"/>
          <cell r="Z158"/>
          <cell r="AA158"/>
          <cell r="AB158"/>
          <cell r="AC158"/>
          <cell r="AD158"/>
          <cell r="AE158"/>
          <cell r="AF158"/>
          <cell r="AG158"/>
          <cell r="AH158"/>
          <cell r="AI158"/>
          <cell r="AJ158"/>
          <cell r="AK158"/>
          <cell r="AL158"/>
          <cell r="AM158"/>
          <cell r="AN158"/>
          <cell r="AO158"/>
          <cell r="AP158"/>
          <cell r="AQ158"/>
          <cell r="AR158"/>
          <cell r="AS158"/>
          <cell r="AT158"/>
          <cell r="AU158"/>
          <cell r="AV158"/>
          <cell r="AW158"/>
          <cell r="AX158"/>
          <cell r="AY158"/>
          <cell r="AZ158"/>
          <cell r="BA158"/>
          <cell r="BB158"/>
          <cell r="BC158"/>
          <cell r="BD158"/>
          <cell r="BE158"/>
          <cell r="BF158"/>
          <cell r="BG158"/>
          <cell r="BH158"/>
          <cell r="BI158"/>
          <cell r="BJ158"/>
          <cell r="BK158"/>
          <cell r="BL158"/>
          <cell r="BM158"/>
          <cell r="BN158"/>
          <cell r="BO158"/>
          <cell r="BP158"/>
          <cell r="BQ158"/>
          <cell r="BR158"/>
          <cell r="BS158"/>
          <cell r="BT158"/>
          <cell r="BU158"/>
          <cell r="BV158"/>
          <cell r="BW158"/>
          <cell r="BX158"/>
        </row>
        <row r="159">
          <cell r="B159" t="str">
            <v>Other Liabilities</v>
          </cell>
          <cell r="C159" t="str">
            <v>LIAB_MISC</v>
          </cell>
          <cell r="D159" t="str">
            <v>AUD</v>
          </cell>
          <cell r="F159"/>
          <cell r="G159"/>
          <cell r="H159"/>
          <cell r="I159"/>
          <cell r="J159"/>
          <cell r="K159"/>
          <cell r="L159"/>
          <cell r="M159"/>
          <cell r="N159"/>
          <cell r="O159"/>
          <cell r="P159"/>
          <cell r="Q159"/>
          <cell r="R159"/>
          <cell r="S159"/>
          <cell r="T159"/>
          <cell r="U159"/>
          <cell r="V159"/>
          <cell r="W159"/>
          <cell r="X159"/>
          <cell r="Y159"/>
          <cell r="Z159"/>
          <cell r="AA159"/>
          <cell r="AB159"/>
          <cell r="AC159"/>
          <cell r="AD159"/>
          <cell r="AE159"/>
          <cell r="AF159"/>
          <cell r="AG159"/>
          <cell r="AH159"/>
          <cell r="AI159"/>
          <cell r="AJ159"/>
          <cell r="AK159"/>
          <cell r="AL159"/>
          <cell r="AM159"/>
          <cell r="AN159"/>
          <cell r="AO159"/>
          <cell r="AP159"/>
          <cell r="AQ159"/>
          <cell r="AR159"/>
          <cell r="AS159"/>
          <cell r="AT159"/>
          <cell r="AU159"/>
          <cell r="AV159"/>
          <cell r="AW159"/>
          <cell r="AX159"/>
          <cell r="AY159"/>
          <cell r="AZ159"/>
          <cell r="BA159"/>
          <cell r="BB159"/>
          <cell r="BC159"/>
          <cell r="BD159"/>
          <cell r="BE159"/>
          <cell r="BF159"/>
          <cell r="BG159"/>
          <cell r="BH159"/>
          <cell r="BI159"/>
          <cell r="BJ159"/>
          <cell r="BK159"/>
          <cell r="BL159"/>
          <cell r="BM159"/>
          <cell r="BN159"/>
          <cell r="BO159"/>
          <cell r="BP159"/>
          <cell r="BQ159"/>
          <cell r="BR159"/>
          <cell r="BS159"/>
          <cell r="BT159"/>
          <cell r="BU159"/>
          <cell r="BV159"/>
          <cell r="BW159"/>
          <cell r="BX159"/>
        </row>
        <row r="160">
          <cell r="B160" t="str">
            <v>Ordinary Capital</v>
          </cell>
          <cell r="C160" t="str">
            <v>ORD_SHARE_CAPITAL</v>
          </cell>
          <cell r="D160" t="str">
            <v>AUD</v>
          </cell>
          <cell r="F160">
            <v>8271</v>
          </cell>
          <cell r="G160">
            <v>8946</v>
          </cell>
          <cell r="H160">
            <v>12589</v>
          </cell>
          <cell r="I160">
            <v>19151</v>
          </cell>
          <cell r="J160">
            <v>19886</v>
          </cell>
          <cell r="K160">
            <v>21343</v>
          </cell>
          <cell r="L160">
            <v>23070</v>
          </cell>
          <cell r="M160">
            <v>23641</v>
          </cell>
          <cell r="N160">
            <v>23529</v>
          </cell>
          <cell r="O160">
            <v>24031</v>
          </cell>
          <cell r="P160">
            <v>24031</v>
          </cell>
          <cell r="Q160">
            <v>24152</v>
          </cell>
          <cell r="R160">
            <v>28367</v>
          </cell>
          <cell r="S160">
            <v>28367</v>
          </cell>
          <cell r="T160">
            <v>28625</v>
          </cell>
          <cell r="U160">
            <v>28765</v>
          </cell>
          <cell r="V160">
            <v>28765</v>
          </cell>
          <cell r="W160">
            <v>29036</v>
          </cell>
          <cell r="X160">
            <v>29088</v>
          </cell>
          <cell r="Y160">
            <v>29088</v>
          </cell>
          <cell r="Z160">
            <v>27911</v>
          </cell>
          <cell r="AA160">
            <v>27205</v>
          </cell>
          <cell r="AB160">
            <v>27205</v>
          </cell>
          <cell r="AC160">
            <v>26048</v>
          </cell>
          <cell r="AD160">
            <v>26490</v>
          </cell>
          <cell r="AE160">
            <v>26490</v>
          </cell>
          <cell r="AF160">
            <v>26440</v>
          </cell>
          <cell r="AG160">
            <v>26531</v>
          </cell>
          <cell r="AH160">
            <v>26531</v>
          </cell>
          <cell r="AI160">
            <v>26615</v>
          </cell>
          <cell r="AJ160">
            <v>25984</v>
          </cell>
          <cell r="AK160">
            <v>25984</v>
          </cell>
          <cell r="AL160">
            <v>25091</v>
          </cell>
          <cell r="AM160">
            <v>28797</v>
          </cell>
          <cell r="AN160">
            <v>28797</v>
          </cell>
          <cell r="AO160">
            <v>29054</v>
          </cell>
          <cell r="AP160">
            <v>29082</v>
          </cell>
          <cell r="AQ160">
            <v>29082</v>
          </cell>
          <cell r="AR160">
            <v>28265</v>
          </cell>
          <cell r="AS160">
            <v>27411</v>
          </cell>
          <cell r="AT160">
            <v>27411</v>
          </cell>
          <cell r="AU160">
            <v>27096</v>
          </cell>
          <cell r="AV160">
            <v>27452</v>
          </cell>
          <cell r="AW160">
            <v>27452</v>
          </cell>
          <cell r="AX160">
            <v>28194.896524820004</v>
          </cell>
          <cell r="AY160">
            <v>28970.286763843338</v>
          </cell>
          <cell r="AZ160">
            <v>28970.286763843338</v>
          </cell>
          <cell r="BA160">
            <v>28970.286763843338</v>
          </cell>
          <cell r="BB160">
            <v>27970.286763843331</v>
          </cell>
          <cell r="BC160">
            <v>27970.286763843316</v>
          </cell>
          <cell r="BD160">
            <v>26970.28676384336</v>
          </cell>
          <cell r="BE160">
            <v>25970.28676384336</v>
          </cell>
          <cell r="BF160">
            <v>25970.286763843331</v>
          </cell>
          <cell r="BG160">
            <v>24970.286763843345</v>
          </cell>
          <cell r="BH160">
            <v>23970.286763843353</v>
          </cell>
          <cell r="BI160">
            <v>23970.286763843324</v>
          </cell>
          <cell r="BJ160">
            <v>23970.286763843367</v>
          </cell>
          <cell r="BK160">
            <v>23970.286763843353</v>
          </cell>
          <cell r="BL160">
            <v>23970.286763843324</v>
          </cell>
          <cell r="BM160">
            <v>23970.286763843345</v>
          </cell>
          <cell r="BN160">
            <v>23970.286763843338</v>
          </cell>
          <cell r="BO160">
            <v>23970.286763843324</v>
          </cell>
          <cell r="BP160">
            <v>23970.286763843338</v>
          </cell>
          <cell r="BQ160">
            <v>23970.286763843331</v>
          </cell>
          <cell r="BR160">
            <v>23970.286763843316</v>
          </cell>
          <cell r="BS160">
            <v>23970.286763843324</v>
          </cell>
          <cell r="BT160">
            <v>23970.286763843331</v>
          </cell>
          <cell r="BU160">
            <v>23970.286763843316</v>
          </cell>
          <cell r="BV160">
            <v>23970.286763843338</v>
          </cell>
          <cell r="BW160">
            <v>23970.286763843338</v>
          </cell>
          <cell r="BX160">
            <v>23970.286763843309</v>
          </cell>
        </row>
        <row r="161">
          <cell r="B161" t="str">
            <v>Net Assets</v>
          </cell>
          <cell r="C161" t="str">
            <v>NET_ASSETS</v>
          </cell>
          <cell r="D161" t="str">
            <v>AUD</v>
          </cell>
          <cell r="F161">
            <v>19906</v>
          </cell>
          <cell r="G161">
            <v>22048</v>
          </cell>
          <cell r="H161">
            <v>26552</v>
          </cell>
          <cell r="I161">
            <v>32429</v>
          </cell>
          <cell r="J161">
            <v>34155</v>
          </cell>
          <cell r="K161">
            <v>37954</v>
          </cell>
          <cell r="L161">
            <v>41220</v>
          </cell>
          <cell r="M161">
            <v>45603</v>
          </cell>
          <cell r="N161">
            <v>47038</v>
          </cell>
          <cell r="O161">
            <v>49284</v>
          </cell>
          <cell r="P161">
            <v>49284</v>
          </cell>
          <cell r="Q161">
            <v>52051</v>
          </cell>
          <cell r="R161">
            <v>57353</v>
          </cell>
          <cell r="S161">
            <v>57353</v>
          </cell>
          <cell r="T161">
            <v>56464</v>
          </cell>
          <cell r="U161">
            <v>57927</v>
          </cell>
          <cell r="V161">
            <v>57927</v>
          </cell>
          <cell r="W161">
            <v>57908</v>
          </cell>
          <cell r="X161">
            <v>59075</v>
          </cell>
          <cell r="Y161">
            <v>59075</v>
          </cell>
          <cell r="Z161">
            <v>59500</v>
          </cell>
          <cell r="AA161">
            <v>59405</v>
          </cell>
          <cell r="AB161">
            <v>59405</v>
          </cell>
          <cell r="AC161">
            <v>59971</v>
          </cell>
          <cell r="AD161">
            <v>60794</v>
          </cell>
          <cell r="AE161">
            <v>60794</v>
          </cell>
          <cell r="AF161">
            <v>61375</v>
          </cell>
          <cell r="AG161">
            <v>61297</v>
          </cell>
          <cell r="AH161">
            <v>61297</v>
          </cell>
          <cell r="AI161">
            <v>62576</v>
          </cell>
          <cell r="AJ161">
            <v>63676</v>
          </cell>
          <cell r="AK161">
            <v>63676</v>
          </cell>
          <cell r="AL161">
            <v>61756</v>
          </cell>
          <cell r="AM161">
            <v>66401</v>
          </cell>
          <cell r="AN161">
            <v>66401</v>
          </cell>
          <cell r="AO161">
            <v>69580</v>
          </cell>
          <cell r="AP161">
            <v>70017</v>
          </cell>
          <cell r="AQ161">
            <v>70017</v>
          </cell>
          <cell r="AR161">
            <v>70306</v>
          </cell>
          <cell r="AS161">
            <v>69857</v>
          </cell>
          <cell r="AT161">
            <v>69857</v>
          </cell>
          <cell r="AU161">
            <v>71567</v>
          </cell>
          <cell r="AV161">
            <v>71128</v>
          </cell>
          <cell r="AW161">
            <v>71128</v>
          </cell>
          <cell r="AX161">
            <v>73441.002535985375</v>
          </cell>
          <cell r="AY161">
            <v>75229.793947429847</v>
          </cell>
          <cell r="AZ161">
            <v>75229.793947429847</v>
          </cell>
          <cell r="BA161">
            <v>75868.502505429002</v>
          </cell>
          <cell r="BB161">
            <v>75495.323451203672</v>
          </cell>
          <cell r="BC161">
            <v>75495.323451203658</v>
          </cell>
          <cell r="BD161">
            <v>75231.548344663897</v>
          </cell>
          <cell r="BE161">
            <v>74896.560575558949</v>
          </cell>
          <cell r="BF161">
            <v>74896.56057555892</v>
          </cell>
          <cell r="BG161">
            <v>74592.372940820758</v>
          </cell>
          <cell r="BH161">
            <v>74325.737814037158</v>
          </cell>
          <cell r="BI161">
            <v>74325.737814037129</v>
          </cell>
          <cell r="BJ161">
            <v>75065.261452117891</v>
          </cell>
          <cell r="BK161">
            <v>75826.052612679647</v>
          </cell>
          <cell r="BL161">
            <v>75826.052612679618</v>
          </cell>
          <cell r="BM161">
            <v>76854.485806749988</v>
          </cell>
          <cell r="BN161">
            <v>77975.115401026516</v>
          </cell>
          <cell r="BO161">
            <v>77975.115401026502</v>
          </cell>
          <cell r="BP161">
            <v>79078.835221546033</v>
          </cell>
          <cell r="BQ161">
            <v>80111.589260931723</v>
          </cell>
          <cell r="BR161">
            <v>80111.589260931709</v>
          </cell>
          <cell r="BS161">
            <v>81110.858505289201</v>
          </cell>
          <cell r="BT161">
            <v>82079.772688815836</v>
          </cell>
          <cell r="BU161">
            <v>82079.772688815821</v>
          </cell>
          <cell r="BV161">
            <v>83027.948127141804</v>
          </cell>
          <cell r="BW161">
            <v>83987.473592207651</v>
          </cell>
          <cell r="BX161">
            <v>83987.473592207622</v>
          </cell>
        </row>
        <row r="162">
          <cell r="B162" t="str">
            <v>Net Tangible Assets</v>
          </cell>
          <cell r="C162" t="str">
            <v>NET_TANGIBLE_ASSETS</v>
          </cell>
          <cell r="D162" t="str">
            <v>AUD</v>
          </cell>
          <cell r="F162">
            <v>16569</v>
          </cell>
          <cell r="G162">
            <v>18371</v>
          </cell>
          <cell r="H162">
            <v>22811</v>
          </cell>
          <cell r="I162">
            <v>28533</v>
          </cell>
          <cell r="J162">
            <v>27525</v>
          </cell>
          <cell r="K162">
            <v>30990</v>
          </cell>
          <cell r="L162">
            <v>34138</v>
          </cell>
          <cell r="M162">
            <v>37913</v>
          </cell>
          <cell r="N162">
            <v>39069</v>
          </cell>
          <cell r="O162">
            <v>41334</v>
          </cell>
          <cell r="P162">
            <v>41334</v>
          </cell>
          <cell r="Q162">
            <v>43667</v>
          </cell>
          <cell r="R162">
            <v>49041</v>
          </cell>
          <cell r="S162">
            <v>49041</v>
          </cell>
          <cell r="T162">
            <v>48879</v>
          </cell>
          <cell r="U162">
            <v>50255</v>
          </cell>
          <cell r="V162">
            <v>50255</v>
          </cell>
          <cell r="W162">
            <v>50855</v>
          </cell>
          <cell r="X162">
            <v>52105</v>
          </cell>
          <cell r="Y162">
            <v>52105</v>
          </cell>
          <cell r="Z162">
            <v>54162</v>
          </cell>
          <cell r="AA162">
            <v>54475</v>
          </cell>
          <cell r="AB162">
            <v>54475</v>
          </cell>
          <cell r="AC162">
            <v>54954</v>
          </cell>
          <cell r="AD162">
            <v>55933</v>
          </cell>
          <cell r="AE162">
            <v>55933</v>
          </cell>
          <cell r="AF162">
            <v>56418</v>
          </cell>
          <cell r="AG162">
            <v>56918</v>
          </cell>
          <cell r="AH162">
            <v>56918</v>
          </cell>
          <cell r="AI162">
            <v>58552</v>
          </cell>
          <cell r="AJ162">
            <v>59552</v>
          </cell>
          <cell r="AK162">
            <v>59552</v>
          </cell>
          <cell r="AL162">
            <v>57688</v>
          </cell>
          <cell r="AM162">
            <v>62524</v>
          </cell>
          <cell r="AN162">
            <v>62524</v>
          </cell>
          <cell r="AO162">
            <v>65543</v>
          </cell>
          <cell r="AP162">
            <v>65959</v>
          </cell>
          <cell r="AQ162">
            <v>65959</v>
          </cell>
          <cell r="AR162">
            <v>66308</v>
          </cell>
          <cell r="AS162">
            <v>64346</v>
          </cell>
          <cell r="AT162">
            <v>64346</v>
          </cell>
          <cell r="AU162">
            <v>65702</v>
          </cell>
          <cell r="AV162">
            <v>65363</v>
          </cell>
          <cell r="AW162">
            <v>65363</v>
          </cell>
          <cell r="AX162">
            <v>67725.053331010116</v>
          </cell>
          <cell r="AY162">
            <v>69543.075247547225</v>
          </cell>
          <cell r="AZ162">
            <v>69543.075247547225</v>
          </cell>
          <cell r="BA162">
            <v>70206.250846371622</v>
          </cell>
          <cell r="BB162">
            <v>69843.39698330262</v>
          </cell>
          <cell r="BC162">
            <v>69843.396983302606</v>
          </cell>
          <cell r="BD162">
            <v>69589.803454179768</v>
          </cell>
          <cell r="BE162">
            <v>69254.047234642028</v>
          </cell>
          <cell r="BF162">
            <v>69254.047234641999</v>
          </cell>
          <cell r="BG162">
            <v>68951.688700601211</v>
          </cell>
          <cell r="BH162">
            <v>68677.688621048685</v>
          </cell>
          <cell r="BI162">
            <v>68677.688621048655</v>
          </cell>
          <cell r="BJ162">
            <v>69414.105402572401</v>
          </cell>
          <cell r="BK162">
            <v>70163.521420014702</v>
          </cell>
          <cell r="BL162">
            <v>70163.521420014673</v>
          </cell>
          <cell r="BM162">
            <v>71185.73378242187</v>
          </cell>
          <cell r="BN162">
            <v>72296.6705969834</v>
          </cell>
          <cell r="BO162">
            <v>72296.670596983386</v>
          </cell>
          <cell r="BP162">
            <v>73393.392541630717</v>
          </cell>
          <cell r="BQ162">
            <v>74414.745224789935</v>
          </cell>
          <cell r="BR162">
            <v>74414.74522478992</v>
          </cell>
          <cell r="BS162">
            <v>75406.33739331906</v>
          </cell>
          <cell r="BT162">
            <v>76364.331698508962</v>
          </cell>
          <cell r="BU162">
            <v>76364.331698508948</v>
          </cell>
          <cell r="BV162">
            <v>77303.683383169919</v>
          </cell>
          <cell r="BW162">
            <v>78251.941455925466</v>
          </cell>
          <cell r="BX162">
            <v>78251.941455925436</v>
          </cell>
        </row>
        <row r="163">
          <cell r="B163" t="str">
            <v>Gross Non-Accrual Loans</v>
          </cell>
          <cell r="C163" t="str">
            <v>GROSS_NON_ACCRUAL</v>
          </cell>
          <cell r="D163" t="str">
            <v>AUD</v>
          </cell>
          <cell r="F163">
            <v>661</v>
          </cell>
          <cell r="G163">
            <v>666</v>
          </cell>
          <cell r="H163">
            <v>1750</v>
          </cell>
          <cell r="I163">
            <v>4519</v>
          </cell>
          <cell r="J163">
            <v>6075</v>
          </cell>
          <cell r="K163">
            <v>4650</v>
          </cell>
          <cell r="L163">
            <v>4364</v>
          </cell>
          <cell r="M163">
            <v>3751</v>
          </cell>
          <cell r="N163">
            <v>3314</v>
          </cell>
          <cell r="O163">
            <v>2682</v>
          </cell>
          <cell r="P163">
            <v>2682</v>
          </cell>
          <cell r="Q163">
            <v>2466</v>
          </cell>
          <cell r="R163">
            <v>2441</v>
          </cell>
          <cell r="S163">
            <v>2441</v>
          </cell>
          <cell r="T163">
            <v>2564</v>
          </cell>
          <cell r="U163">
            <v>2646</v>
          </cell>
          <cell r="V163">
            <v>2646</v>
          </cell>
          <cell r="W163">
            <v>2478</v>
          </cell>
          <cell r="X163">
            <v>2118</v>
          </cell>
          <cell r="Y163">
            <v>2118</v>
          </cell>
          <cell r="Z163">
            <v>1863</v>
          </cell>
          <cell r="AA163">
            <v>1676</v>
          </cell>
          <cell r="AB163">
            <v>1676</v>
          </cell>
          <cell r="AC163">
            <v>1803</v>
          </cell>
          <cell r="AD163">
            <v>1711</v>
          </cell>
          <cell r="AE163">
            <v>1711</v>
          </cell>
          <cell r="AF163">
            <v>2209</v>
          </cell>
          <cell r="AG163">
            <v>2001</v>
          </cell>
          <cell r="AH163">
            <v>2001</v>
          </cell>
          <cell r="AI163">
            <v>1941</v>
          </cell>
          <cell r="AJ163">
            <v>1549</v>
          </cell>
          <cell r="AK163">
            <v>1549</v>
          </cell>
          <cell r="AL163">
            <v>1286</v>
          </cell>
          <cell r="AM163">
            <v>1043</v>
          </cell>
          <cell r="AN163">
            <v>1043</v>
          </cell>
          <cell r="AO163">
            <v>804</v>
          </cell>
          <cell r="AP163">
            <v>1037</v>
          </cell>
          <cell r="AQ163">
            <v>1037</v>
          </cell>
          <cell r="AR163">
            <v>880</v>
          </cell>
          <cell r="AS163">
            <v>881</v>
          </cell>
          <cell r="AT163">
            <v>881</v>
          </cell>
          <cell r="AU163">
            <v>1020</v>
          </cell>
          <cell r="AV163">
            <v>1058</v>
          </cell>
          <cell r="AW163">
            <v>1058</v>
          </cell>
          <cell r="AX163">
            <v>1159.7704166374538</v>
          </cell>
          <cell r="AY163">
            <v>1255.8815463842634</v>
          </cell>
          <cell r="AZ163">
            <v>1255.8815463842634</v>
          </cell>
          <cell r="BA163">
            <v>1354.3684560669865</v>
          </cell>
          <cell r="BB163">
            <v>1461.8419394057948</v>
          </cell>
          <cell r="BC163">
            <v>1461.8419394057948</v>
          </cell>
          <cell r="BD163">
            <v>1499.2959170786808</v>
          </cell>
          <cell r="BE163">
            <v>1537.9611284274013</v>
          </cell>
          <cell r="BF163">
            <v>1537.9611284274013</v>
          </cell>
          <cell r="BG163">
            <v>1476.059736820092</v>
          </cell>
          <cell r="BH163">
            <v>1410.7679502543401</v>
          </cell>
          <cell r="BI163">
            <v>1410.7679502543401</v>
          </cell>
          <cell r="BJ163">
            <v>1407.3686431425692</v>
          </cell>
          <cell r="BK163">
            <v>1401.7174754620758</v>
          </cell>
          <cell r="BL163">
            <v>1401.7174754620758</v>
          </cell>
          <cell r="BM163">
            <v>1398.4654029973049</v>
          </cell>
          <cell r="BN163">
            <v>1390.3574372115827</v>
          </cell>
          <cell r="BO163">
            <v>1390.3574372115827</v>
          </cell>
          <cell r="BP163">
            <v>1381.7050102622218</v>
          </cell>
          <cell r="BQ163">
            <v>1372.4863669315089</v>
          </cell>
          <cell r="BR163">
            <v>1372.4863669315089</v>
          </cell>
          <cell r="BS163">
            <v>1366.3880521526551</v>
          </cell>
          <cell r="BT163">
            <v>1359.5560388253598</v>
          </cell>
          <cell r="BU163">
            <v>1359.5560388253598</v>
          </cell>
          <cell r="BV163">
            <v>1354.9040237706117</v>
          </cell>
          <cell r="BW163">
            <v>1349.4897484025196</v>
          </cell>
          <cell r="BX163">
            <v>1349.4897484025196</v>
          </cell>
        </row>
        <row r="164">
          <cell r="A164" t="str">
            <v>Additional Balance Sheet Items</v>
          </cell>
          <cell r="B164"/>
          <cell r="C164"/>
          <cell r="D164"/>
        </row>
        <row r="165">
          <cell r="B165" t="str">
            <v>Total US$ debt (in US$)</v>
          </cell>
          <cell r="C165" t="str">
            <v>TOT_USD_DEBT</v>
          </cell>
          <cell r="F165"/>
          <cell r="G165"/>
          <cell r="H165"/>
          <cell r="I165"/>
          <cell r="J165"/>
          <cell r="K165"/>
          <cell r="L165"/>
          <cell r="M165"/>
          <cell r="N165"/>
          <cell r="O165"/>
          <cell r="P165"/>
          <cell r="Q165"/>
          <cell r="R165"/>
          <cell r="S165"/>
          <cell r="T165"/>
          <cell r="U165"/>
          <cell r="V165"/>
          <cell r="W165"/>
          <cell r="X165"/>
          <cell r="Y165"/>
          <cell r="Z165"/>
          <cell r="AA165"/>
          <cell r="AB165"/>
          <cell r="AC165"/>
          <cell r="AD165"/>
          <cell r="AE165"/>
          <cell r="AF165"/>
          <cell r="AG165"/>
          <cell r="AH165"/>
          <cell r="AI165"/>
          <cell r="AJ165"/>
          <cell r="AK165"/>
          <cell r="AL165"/>
          <cell r="AM165"/>
          <cell r="AN165"/>
          <cell r="AO165"/>
          <cell r="AP165"/>
          <cell r="AQ165"/>
          <cell r="AR165"/>
          <cell r="AS165"/>
          <cell r="AT165"/>
          <cell r="AU165"/>
          <cell r="AV165"/>
          <cell r="AW165"/>
          <cell r="AX165"/>
          <cell r="AY165"/>
          <cell r="AZ165"/>
          <cell r="BA165"/>
          <cell r="BB165"/>
          <cell r="BC165"/>
          <cell r="BD165"/>
          <cell r="BE165"/>
          <cell r="BF165"/>
          <cell r="BG165"/>
          <cell r="BH165"/>
          <cell r="BI165"/>
          <cell r="BJ165"/>
          <cell r="BK165"/>
          <cell r="BL165"/>
          <cell r="BM165"/>
          <cell r="BN165"/>
          <cell r="BO165"/>
          <cell r="BP165"/>
          <cell r="BQ165"/>
          <cell r="BR165"/>
          <cell r="BS165"/>
          <cell r="BT165"/>
          <cell r="BU165"/>
          <cell r="BV165"/>
          <cell r="BW165"/>
          <cell r="BX165"/>
        </row>
        <row r="166">
          <cell r="B166" t="str">
            <v>% US$ debt hedged (principal)</v>
          </cell>
          <cell r="C166" t="str">
            <v>TOT_PCT_USD_DEBT_HEDGED</v>
          </cell>
          <cell r="F166"/>
          <cell r="G166"/>
          <cell r="H166"/>
          <cell r="I166"/>
          <cell r="J166"/>
          <cell r="K166">
            <v>1</v>
          </cell>
          <cell r="L166">
            <v>1</v>
          </cell>
          <cell r="M166">
            <v>1</v>
          </cell>
          <cell r="N166">
            <v>1</v>
          </cell>
          <cell r="O166">
            <v>1</v>
          </cell>
          <cell r="P166">
            <v>1</v>
          </cell>
          <cell r="Q166">
            <v>1</v>
          </cell>
          <cell r="R166">
            <v>1</v>
          </cell>
          <cell r="S166">
            <v>1</v>
          </cell>
          <cell r="T166">
            <v>1</v>
          </cell>
          <cell r="U166">
            <v>1</v>
          </cell>
          <cell r="V166">
            <v>1</v>
          </cell>
          <cell r="W166">
            <v>1</v>
          </cell>
          <cell r="X166">
            <v>1</v>
          </cell>
          <cell r="Y166">
            <v>1</v>
          </cell>
          <cell r="Z166">
            <v>1</v>
          </cell>
          <cell r="AA166">
            <v>1</v>
          </cell>
          <cell r="AB166">
            <v>1</v>
          </cell>
          <cell r="AC166">
            <v>1</v>
          </cell>
          <cell r="AD166">
            <v>1</v>
          </cell>
          <cell r="AE166">
            <v>1</v>
          </cell>
          <cell r="AF166">
            <v>1</v>
          </cell>
          <cell r="AG166">
            <v>1</v>
          </cell>
          <cell r="AH166">
            <v>1</v>
          </cell>
          <cell r="AI166">
            <v>1</v>
          </cell>
          <cell r="AJ166">
            <v>1</v>
          </cell>
          <cell r="AK166">
            <v>1</v>
          </cell>
          <cell r="AL166">
            <v>1</v>
          </cell>
          <cell r="AM166">
            <v>1</v>
          </cell>
          <cell r="AN166">
            <v>1</v>
          </cell>
          <cell r="AO166">
            <v>1</v>
          </cell>
          <cell r="AP166">
            <v>1</v>
          </cell>
          <cell r="AQ166">
            <v>1</v>
          </cell>
          <cell r="AR166">
            <v>1</v>
          </cell>
          <cell r="AS166">
            <v>1</v>
          </cell>
          <cell r="AT166">
            <v>1</v>
          </cell>
          <cell r="AU166">
            <v>1</v>
          </cell>
          <cell r="AV166">
            <v>1</v>
          </cell>
          <cell r="AW166">
            <v>1</v>
          </cell>
          <cell r="AX166">
            <v>1</v>
          </cell>
          <cell r="AY166">
            <v>1</v>
          </cell>
          <cell r="AZ166">
            <v>1</v>
          </cell>
          <cell r="BA166">
            <v>1</v>
          </cell>
          <cell r="BB166">
            <v>1</v>
          </cell>
          <cell r="BC166">
            <v>1</v>
          </cell>
          <cell r="BD166">
            <v>1</v>
          </cell>
          <cell r="BE166">
            <v>1</v>
          </cell>
          <cell r="BF166">
            <v>1</v>
          </cell>
          <cell r="BG166">
            <v>1</v>
          </cell>
          <cell r="BH166">
            <v>1</v>
          </cell>
          <cell r="BI166">
            <v>1</v>
          </cell>
          <cell r="BJ166">
            <v>1</v>
          </cell>
          <cell r="BK166">
            <v>1</v>
          </cell>
          <cell r="BL166">
            <v>1</v>
          </cell>
          <cell r="BM166">
            <v>1</v>
          </cell>
          <cell r="BN166">
            <v>1</v>
          </cell>
          <cell r="BO166">
            <v>1</v>
          </cell>
          <cell r="BP166">
            <v>1</v>
          </cell>
          <cell r="BQ166">
            <v>1</v>
          </cell>
          <cell r="BR166">
            <v>1</v>
          </cell>
          <cell r="BS166">
            <v>1</v>
          </cell>
          <cell r="BT166">
            <v>1</v>
          </cell>
          <cell r="BU166">
            <v>1</v>
          </cell>
          <cell r="BV166">
            <v>1</v>
          </cell>
          <cell r="BW166">
            <v>1</v>
          </cell>
          <cell r="BX166">
            <v>1</v>
          </cell>
        </row>
        <row r="167">
          <cell r="B167" t="str">
            <v>% Floating debt (local currency debt)</v>
          </cell>
          <cell r="C167" t="str">
            <v>FLOATING_PCT_LOCAL_DEBT</v>
          </cell>
          <cell r="F167"/>
          <cell r="G167"/>
          <cell r="H167"/>
          <cell r="I167"/>
          <cell r="J167"/>
          <cell r="K167"/>
          <cell r="L167"/>
          <cell r="M167"/>
          <cell r="N167"/>
          <cell r="O167"/>
          <cell r="P167"/>
          <cell r="Q167"/>
          <cell r="R167"/>
          <cell r="S167"/>
          <cell r="T167"/>
          <cell r="U167"/>
          <cell r="V167"/>
          <cell r="W167"/>
          <cell r="X167"/>
          <cell r="Y167"/>
          <cell r="Z167"/>
          <cell r="AA167"/>
          <cell r="AB167"/>
          <cell r="AC167"/>
          <cell r="AD167"/>
          <cell r="AE167"/>
          <cell r="AF167"/>
          <cell r="AG167"/>
          <cell r="AH167"/>
          <cell r="AI167"/>
          <cell r="AJ167"/>
          <cell r="AK167"/>
          <cell r="AL167"/>
          <cell r="AM167"/>
          <cell r="AN167"/>
          <cell r="AO167"/>
          <cell r="AP167"/>
          <cell r="AQ167"/>
          <cell r="AR167"/>
          <cell r="AS167"/>
          <cell r="AT167"/>
          <cell r="AU167"/>
          <cell r="AV167"/>
          <cell r="AW167"/>
          <cell r="AX167"/>
          <cell r="AY167"/>
          <cell r="AZ167"/>
          <cell r="BA167"/>
          <cell r="BB167"/>
          <cell r="BC167"/>
          <cell r="BD167"/>
          <cell r="BE167"/>
          <cell r="BF167"/>
          <cell r="BG167"/>
          <cell r="BH167"/>
          <cell r="BI167"/>
          <cell r="BJ167"/>
          <cell r="BK167"/>
          <cell r="BL167"/>
          <cell r="BM167"/>
          <cell r="BN167"/>
          <cell r="BO167"/>
          <cell r="BP167"/>
          <cell r="BQ167"/>
          <cell r="BR167"/>
          <cell r="BS167"/>
          <cell r="BT167"/>
          <cell r="BU167"/>
          <cell r="BV167"/>
          <cell r="BW167"/>
          <cell r="BX167"/>
        </row>
        <row r="168">
          <cell r="B168" t="str">
            <v>% floating debt hedged (rates)</v>
          </cell>
          <cell r="C168" t="str">
            <v>FLOATING_PCT_LOCAL_DEBT_HEDGED</v>
          </cell>
          <cell r="F168"/>
          <cell r="G168"/>
          <cell r="H168"/>
          <cell r="I168"/>
          <cell r="J168"/>
          <cell r="K168"/>
          <cell r="L168"/>
          <cell r="M168"/>
          <cell r="N168"/>
          <cell r="O168"/>
          <cell r="P168"/>
          <cell r="Q168"/>
          <cell r="R168"/>
          <cell r="S168"/>
          <cell r="T168"/>
          <cell r="U168"/>
          <cell r="V168"/>
          <cell r="W168"/>
          <cell r="X168"/>
          <cell r="Y168"/>
          <cell r="Z168"/>
          <cell r="AA168"/>
          <cell r="AB168"/>
          <cell r="AC168"/>
          <cell r="AD168"/>
          <cell r="AE168"/>
          <cell r="AF168"/>
          <cell r="AG168"/>
          <cell r="AH168"/>
          <cell r="AI168"/>
          <cell r="AJ168"/>
          <cell r="AK168"/>
          <cell r="AL168"/>
          <cell r="AM168"/>
          <cell r="AN168"/>
          <cell r="AO168"/>
          <cell r="AP168"/>
          <cell r="AQ168"/>
          <cell r="AR168"/>
          <cell r="AS168"/>
          <cell r="AT168"/>
          <cell r="AU168"/>
          <cell r="AV168"/>
          <cell r="AW168"/>
          <cell r="AX168"/>
          <cell r="AY168"/>
          <cell r="AZ168"/>
          <cell r="BA168"/>
          <cell r="BB168"/>
          <cell r="BC168"/>
          <cell r="BD168"/>
          <cell r="BE168"/>
          <cell r="BF168"/>
          <cell r="BG168"/>
          <cell r="BH168"/>
          <cell r="BI168"/>
          <cell r="BJ168"/>
          <cell r="BK168"/>
          <cell r="BL168"/>
          <cell r="BM168"/>
          <cell r="BN168"/>
          <cell r="BO168"/>
          <cell r="BP168"/>
          <cell r="BQ168"/>
          <cell r="BR168"/>
          <cell r="BS168"/>
          <cell r="BT168"/>
          <cell r="BU168"/>
          <cell r="BV168"/>
          <cell r="BW168"/>
          <cell r="BX168"/>
        </row>
        <row r="169">
          <cell r="B169" t="str">
            <v>Net debt</v>
          </cell>
          <cell r="C169" t="str">
            <v>NET_DEBT</v>
          </cell>
          <cell r="D169" t="str">
            <v>AUD</v>
          </cell>
          <cell r="F169"/>
          <cell r="G169"/>
          <cell r="H169"/>
          <cell r="I169"/>
          <cell r="J169"/>
          <cell r="K169"/>
          <cell r="L169"/>
          <cell r="M169"/>
          <cell r="N169"/>
          <cell r="O169"/>
          <cell r="P169"/>
          <cell r="Q169"/>
          <cell r="R169"/>
          <cell r="S169"/>
          <cell r="T169"/>
          <cell r="U169"/>
          <cell r="V169"/>
          <cell r="W169"/>
          <cell r="X169"/>
          <cell r="Y169"/>
          <cell r="Z169"/>
          <cell r="AA169"/>
          <cell r="AB169"/>
          <cell r="AC169"/>
          <cell r="AD169"/>
          <cell r="AE169"/>
          <cell r="AF169"/>
          <cell r="AG169"/>
          <cell r="AH169"/>
          <cell r="AI169"/>
          <cell r="AJ169"/>
          <cell r="AK169"/>
          <cell r="AL169"/>
          <cell r="AM169"/>
          <cell r="AN169"/>
          <cell r="AO169"/>
          <cell r="AP169"/>
          <cell r="AQ169"/>
          <cell r="AR169"/>
          <cell r="AS169"/>
          <cell r="AT169"/>
          <cell r="AU169"/>
          <cell r="AV169"/>
          <cell r="AW169"/>
          <cell r="AX169"/>
          <cell r="AY169"/>
          <cell r="AZ169"/>
          <cell r="BA169"/>
          <cell r="BB169"/>
          <cell r="BC169"/>
          <cell r="BD169"/>
          <cell r="BE169"/>
          <cell r="BF169"/>
          <cell r="BG169"/>
          <cell r="BH169"/>
          <cell r="BI169"/>
          <cell r="BJ169"/>
          <cell r="BK169"/>
          <cell r="BL169"/>
          <cell r="BM169"/>
          <cell r="BN169"/>
          <cell r="BO169"/>
          <cell r="BP169"/>
          <cell r="BQ169"/>
          <cell r="BR169"/>
          <cell r="BS169"/>
          <cell r="BT169"/>
          <cell r="BU169"/>
          <cell r="BV169"/>
          <cell r="BW169"/>
          <cell r="BX169"/>
        </row>
        <row r="170">
          <cell r="B170" t="str">
            <v>GS tangible equity</v>
          </cell>
          <cell r="C170" t="str">
            <v>B_BS_L_GSTANGEQ</v>
          </cell>
          <cell r="D170" t="str">
            <v>AUD</v>
          </cell>
          <cell r="F170">
            <v>16061</v>
          </cell>
          <cell r="G170">
            <v>17924</v>
          </cell>
          <cell r="H170">
            <v>22503</v>
          </cell>
          <cell r="I170">
            <v>28446</v>
          </cell>
          <cell r="J170">
            <v>27807</v>
          </cell>
          <cell r="K170">
            <v>31643</v>
          </cell>
          <cell r="L170">
            <v>34980</v>
          </cell>
          <cell r="M170">
            <v>39150</v>
          </cell>
          <cell r="N170">
            <v>40463</v>
          </cell>
          <cell r="O170">
            <v>42919</v>
          </cell>
          <cell r="P170">
            <v>42919</v>
          </cell>
          <cell r="Q170">
            <v>46261</v>
          </cell>
          <cell r="R170">
            <v>51828</v>
          </cell>
          <cell r="S170">
            <v>51828</v>
          </cell>
          <cell r="T170">
            <v>51027</v>
          </cell>
          <cell r="U170">
            <v>52348</v>
          </cell>
          <cell r="V170">
            <v>52348</v>
          </cell>
          <cell r="W170">
            <v>52655</v>
          </cell>
          <cell r="X170">
            <v>53845</v>
          </cell>
          <cell r="Y170">
            <v>53845</v>
          </cell>
          <cell r="Z170">
            <v>55811</v>
          </cell>
          <cell r="AA170">
            <v>55756</v>
          </cell>
          <cell r="AB170">
            <v>55756</v>
          </cell>
          <cell r="AC170">
            <v>56172</v>
          </cell>
          <cell r="AD170">
            <v>57245</v>
          </cell>
          <cell r="AE170">
            <v>57245</v>
          </cell>
          <cell r="AF170">
            <v>57670</v>
          </cell>
          <cell r="AG170">
            <v>57947</v>
          </cell>
          <cell r="AH170">
            <v>57947</v>
          </cell>
          <cell r="AI170">
            <v>59503</v>
          </cell>
          <cell r="AJ170">
            <v>60501</v>
          </cell>
          <cell r="AK170">
            <v>60501</v>
          </cell>
          <cell r="AL170">
            <v>58603</v>
          </cell>
          <cell r="AM170">
            <v>62926</v>
          </cell>
          <cell r="AN170">
            <v>62926</v>
          </cell>
          <cell r="AO170">
            <v>65895</v>
          </cell>
          <cell r="AP170">
            <v>66356</v>
          </cell>
          <cell r="AQ170">
            <v>66356</v>
          </cell>
          <cell r="AR170">
            <v>66445</v>
          </cell>
          <cell r="AS170">
            <v>64595</v>
          </cell>
          <cell r="AT170">
            <v>64595</v>
          </cell>
          <cell r="AU170">
            <v>65939</v>
          </cell>
          <cell r="AV170">
            <v>65622</v>
          </cell>
          <cell r="AW170">
            <v>65622</v>
          </cell>
          <cell r="AX170">
            <v>67935.002535985375</v>
          </cell>
          <cell r="AY170">
            <v>69723.793947429847</v>
          </cell>
          <cell r="AZ170">
            <v>69723.793947429847</v>
          </cell>
          <cell r="BA170">
            <v>70362.502505429002</v>
          </cell>
          <cell r="BB170">
            <v>69989.323451203672</v>
          </cell>
          <cell r="BC170">
            <v>69989.323451203658</v>
          </cell>
          <cell r="BD170">
            <v>69725.548344663897</v>
          </cell>
          <cell r="BE170">
            <v>69390.560575558949</v>
          </cell>
          <cell r="BF170">
            <v>69390.56057555892</v>
          </cell>
          <cell r="BG170">
            <v>69086.372940820758</v>
          </cell>
          <cell r="BH170">
            <v>68819.737814037158</v>
          </cell>
          <cell r="BI170">
            <v>68819.737814037129</v>
          </cell>
          <cell r="BJ170">
            <v>69559.261452117891</v>
          </cell>
          <cell r="BK170">
            <v>70320.052612679647</v>
          </cell>
          <cell r="BL170">
            <v>70320.052612679618</v>
          </cell>
          <cell r="BM170">
            <v>71348.485806749988</v>
          </cell>
          <cell r="BN170">
            <v>72469.115401026516</v>
          </cell>
          <cell r="BO170">
            <v>72469.115401026502</v>
          </cell>
          <cell r="BP170">
            <v>73572.835221546033</v>
          </cell>
          <cell r="BQ170">
            <v>74605.589260931723</v>
          </cell>
          <cell r="BR170">
            <v>74605.589260931709</v>
          </cell>
          <cell r="BS170">
            <v>75604.858505289201</v>
          </cell>
          <cell r="BT170">
            <v>76573.772688815836</v>
          </cell>
          <cell r="BU170">
            <v>76573.772688815821</v>
          </cell>
          <cell r="BV170">
            <v>77521.948127141804</v>
          </cell>
          <cell r="BW170">
            <v>78481.473592207651</v>
          </cell>
          <cell r="BX170">
            <v>78481.473592207622</v>
          </cell>
        </row>
        <row r="171">
          <cell r="B171" t="str">
            <v>Capitalized operating leases (off-balance sheet)</v>
          </cell>
          <cell r="C171" t="str">
            <v>CAP_LEASES</v>
          </cell>
          <cell r="D171" t="str">
            <v>AUD</v>
          </cell>
          <cell r="F171"/>
          <cell r="G171"/>
          <cell r="H171"/>
          <cell r="I171"/>
          <cell r="J171"/>
          <cell r="K171"/>
          <cell r="L171"/>
          <cell r="M171"/>
          <cell r="N171"/>
          <cell r="O171"/>
          <cell r="P171"/>
          <cell r="Q171"/>
          <cell r="R171"/>
          <cell r="S171"/>
          <cell r="T171"/>
          <cell r="U171"/>
          <cell r="V171"/>
          <cell r="W171"/>
          <cell r="X171"/>
          <cell r="Y171"/>
          <cell r="Z171"/>
          <cell r="AA171"/>
          <cell r="AB171"/>
          <cell r="AC171"/>
          <cell r="AD171"/>
          <cell r="AE171"/>
          <cell r="AF171"/>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cell r="BI171"/>
          <cell r="BJ171"/>
          <cell r="BK171"/>
          <cell r="BL171"/>
          <cell r="BM171"/>
          <cell r="BN171"/>
          <cell r="BO171"/>
          <cell r="BP171"/>
          <cell r="BQ171"/>
          <cell r="BR171"/>
          <cell r="BS171"/>
          <cell r="BT171"/>
          <cell r="BU171"/>
          <cell r="BV171"/>
          <cell r="BW171"/>
          <cell r="BX171"/>
        </row>
        <row r="172">
          <cell r="B172" t="str">
            <v>Associates (mkt value) used in EV calculation</v>
          </cell>
          <cell r="C172" t="str">
            <v>MV_ASSOCIATES</v>
          </cell>
          <cell r="D172" t="str">
            <v>AUD</v>
          </cell>
          <cell r="F172"/>
          <cell r="G172"/>
          <cell r="H172"/>
          <cell r="I172"/>
          <cell r="J172"/>
          <cell r="K172"/>
          <cell r="L172"/>
          <cell r="M172"/>
          <cell r="N172"/>
          <cell r="O172"/>
          <cell r="P172"/>
          <cell r="Q172"/>
          <cell r="R172"/>
          <cell r="S172"/>
          <cell r="T172"/>
          <cell r="U172"/>
          <cell r="V172"/>
          <cell r="W172"/>
          <cell r="X172"/>
          <cell r="Y172"/>
          <cell r="Z172"/>
          <cell r="AA172"/>
          <cell r="AB172"/>
          <cell r="AC172"/>
          <cell r="AD172"/>
          <cell r="AE172"/>
          <cell r="AF172"/>
          <cell r="AG172"/>
          <cell r="AH172"/>
          <cell r="AI172"/>
          <cell r="AJ172"/>
          <cell r="AK172"/>
          <cell r="AL172"/>
          <cell r="AM172"/>
          <cell r="AN172"/>
          <cell r="AO172"/>
          <cell r="AP172"/>
          <cell r="AQ172"/>
          <cell r="AR172"/>
          <cell r="AS172"/>
          <cell r="AT172"/>
          <cell r="AU172"/>
          <cell r="AV172"/>
          <cell r="AW172"/>
          <cell r="AX172"/>
          <cell r="AY172"/>
          <cell r="AZ172"/>
          <cell r="BA172"/>
          <cell r="BB172"/>
          <cell r="BC172"/>
          <cell r="BD172"/>
          <cell r="BE172"/>
          <cell r="BF172"/>
          <cell r="BG172"/>
          <cell r="BH172"/>
          <cell r="BI172"/>
          <cell r="BJ172"/>
          <cell r="BK172"/>
          <cell r="BL172"/>
          <cell r="BM172"/>
          <cell r="BN172"/>
          <cell r="BO172"/>
          <cell r="BP172"/>
          <cell r="BQ172"/>
          <cell r="BR172"/>
          <cell r="BS172"/>
          <cell r="BT172"/>
          <cell r="BU172"/>
          <cell r="BV172"/>
          <cell r="BW172"/>
          <cell r="BX172"/>
        </row>
        <row r="173">
          <cell r="B173" t="str">
            <v>Unfunded pensions &amp; other provisions</v>
          </cell>
          <cell r="C173" t="str">
            <v>UNF_PENS</v>
          </cell>
          <cell r="D173" t="str">
            <v>AUD</v>
          </cell>
          <cell r="F173"/>
          <cell r="G173"/>
          <cell r="H173"/>
          <cell r="I173"/>
          <cell r="J173"/>
          <cell r="K173"/>
          <cell r="L173"/>
          <cell r="M173"/>
          <cell r="N173"/>
          <cell r="O173"/>
          <cell r="P173"/>
          <cell r="Q173"/>
          <cell r="R173"/>
          <cell r="S173"/>
          <cell r="T173"/>
          <cell r="U173"/>
          <cell r="V173"/>
          <cell r="W173"/>
          <cell r="X173"/>
          <cell r="Y173"/>
          <cell r="Z173"/>
          <cell r="AA173"/>
          <cell r="AB173"/>
          <cell r="AC173"/>
          <cell r="AD173"/>
          <cell r="AE173"/>
          <cell r="AF173"/>
          <cell r="AG173"/>
          <cell r="AH173"/>
          <cell r="AI173"/>
          <cell r="AJ173"/>
          <cell r="AK173"/>
          <cell r="AL173"/>
          <cell r="AM173"/>
          <cell r="AN173"/>
          <cell r="AO173"/>
          <cell r="AP173"/>
          <cell r="AQ173"/>
          <cell r="AR173"/>
          <cell r="AS173"/>
          <cell r="AT173"/>
          <cell r="AU173"/>
          <cell r="AV173"/>
          <cell r="AW173"/>
          <cell r="AX173"/>
          <cell r="AY173"/>
          <cell r="AZ173"/>
          <cell r="BA173"/>
          <cell r="BB173"/>
          <cell r="BC173"/>
          <cell r="BD173"/>
          <cell r="BE173"/>
          <cell r="BF173"/>
          <cell r="BG173"/>
          <cell r="BH173"/>
          <cell r="BI173"/>
          <cell r="BJ173"/>
          <cell r="BK173"/>
          <cell r="BL173"/>
          <cell r="BM173"/>
          <cell r="BN173"/>
          <cell r="BO173"/>
          <cell r="BP173"/>
          <cell r="BQ173"/>
          <cell r="BR173"/>
          <cell r="BS173"/>
          <cell r="BT173"/>
          <cell r="BU173"/>
          <cell r="BV173"/>
          <cell r="BW173"/>
          <cell r="BX173"/>
        </row>
        <row r="174">
          <cell r="B174" t="str">
            <v>Unfunded pension liabilities (off balance sheet)</v>
          </cell>
          <cell r="C174" t="str">
            <v>UNF_PENS_OFF</v>
          </cell>
          <cell r="D174" t="str">
            <v>AUD</v>
          </cell>
          <cell r="F174"/>
          <cell r="G174"/>
          <cell r="H174"/>
          <cell r="I174"/>
          <cell r="J174"/>
          <cell r="K174"/>
          <cell r="L174"/>
          <cell r="M174"/>
          <cell r="N174"/>
          <cell r="O174"/>
          <cell r="P174"/>
          <cell r="Q174"/>
          <cell r="R174"/>
          <cell r="S174"/>
          <cell r="T174"/>
          <cell r="U174"/>
          <cell r="V174"/>
          <cell r="W174"/>
          <cell r="X174"/>
          <cell r="Y174"/>
          <cell r="Z174"/>
          <cell r="AA174"/>
          <cell r="AB174"/>
          <cell r="AC174"/>
          <cell r="AD174"/>
          <cell r="AE174"/>
          <cell r="AF174"/>
          <cell r="AG174"/>
          <cell r="AH174"/>
          <cell r="AI174"/>
          <cell r="AJ174"/>
          <cell r="AK174"/>
          <cell r="AL174"/>
          <cell r="AM174"/>
          <cell r="AN174"/>
          <cell r="AO174"/>
          <cell r="AP174"/>
          <cell r="AQ174"/>
          <cell r="AR174"/>
          <cell r="AS174"/>
          <cell r="AT174"/>
          <cell r="AU174"/>
          <cell r="AV174"/>
          <cell r="AW174"/>
          <cell r="AX174"/>
          <cell r="AY174"/>
          <cell r="AZ174"/>
          <cell r="BA174"/>
          <cell r="BB174"/>
          <cell r="BC174"/>
          <cell r="BD174"/>
          <cell r="BE174"/>
          <cell r="BF174"/>
          <cell r="BG174"/>
          <cell r="BH174"/>
          <cell r="BI174"/>
          <cell r="BJ174"/>
          <cell r="BK174"/>
          <cell r="BL174"/>
          <cell r="BM174"/>
          <cell r="BN174"/>
          <cell r="BO174"/>
          <cell r="BP174"/>
          <cell r="BQ174"/>
          <cell r="BR174"/>
          <cell r="BS174"/>
          <cell r="BT174"/>
          <cell r="BU174"/>
          <cell r="BV174"/>
          <cell r="BW174"/>
          <cell r="BX174"/>
        </row>
        <row r="175">
          <cell r="B175" t="str">
            <v>Unfunded pension liabilities &amp; other, used in EV</v>
          </cell>
          <cell r="C175" t="str">
            <v>UNF_PENS_LIAB_OTH</v>
          </cell>
          <cell r="D175" t="str">
            <v>AUD</v>
          </cell>
          <cell r="F175"/>
          <cell r="G175"/>
          <cell r="H175"/>
          <cell r="I175"/>
          <cell r="J175"/>
          <cell r="K175"/>
          <cell r="L175"/>
          <cell r="M175"/>
          <cell r="N175"/>
          <cell r="O175"/>
          <cell r="P175"/>
          <cell r="Q175"/>
          <cell r="R175"/>
          <cell r="S175"/>
          <cell r="T175"/>
          <cell r="U175"/>
          <cell r="V175"/>
          <cell r="W175"/>
          <cell r="X175"/>
          <cell r="Y175"/>
          <cell r="Z175"/>
          <cell r="AA175"/>
          <cell r="AB175"/>
          <cell r="AC175"/>
          <cell r="AD175"/>
          <cell r="AE175"/>
          <cell r="AF175"/>
          <cell r="AG175"/>
          <cell r="AH175"/>
          <cell r="AI175"/>
          <cell r="AJ175"/>
          <cell r="AK175"/>
          <cell r="AL175"/>
          <cell r="AM175"/>
          <cell r="AN175"/>
          <cell r="AO175"/>
          <cell r="AP175"/>
          <cell r="AQ175"/>
          <cell r="AR175"/>
          <cell r="AS175"/>
          <cell r="AT175"/>
          <cell r="AU175"/>
          <cell r="AV175"/>
          <cell r="AW175"/>
          <cell r="AX175"/>
          <cell r="AY175"/>
          <cell r="AZ175"/>
          <cell r="BA175"/>
          <cell r="BB175"/>
          <cell r="BC175"/>
          <cell r="BD175"/>
          <cell r="BE175"/>
          <cell r="BF175"/>
          <cell r="BG175"/>
          <cell r="BH175"/>
          <cell r="BI175"/>
          <cell r="BJ175"/>
          <cell r="BK175"/>
          <cell r="BL175"/>
          <cell r="BM175"/>
          <cell r="BN175"/>
          <cell r="BO175"/>
          <cell r="BP175"/>
          <cell r="BQ175"/>
          <cell r="BR175"/>
          <cell r="BS175"/>
          <cell r="BT175"/>
          <cell r="BU175"/>
          <cell r="BV175"/>
          <cell r="BW175"/>
          <cell r="BX175"/>
        </row>
        <row r="176">
          <cell r="B176" t="str">
            <v>Other GCI adjustments</v>
          </cell>
          <cell r="C176" t="str">
            <v>OTH_GCI_ADJ</v>
          </cell>
          <cell r="D176" t="str">
            <v>AUD</v>
          </cell>
          <cell r="F176"/>
          <cell r="G176"/>
          <cell r="H176"/>
          <cell r="I176"/>
          <cell r="J176"/>
          <cell r="K176"/>
          <cell r="L176"/>
          <cell r="M176"/>
          <cell r="N176"/>
          <cell r="O176"/>
          <cell r="P176"/>
          <cell r="Q176"/>
          <cell r="R176"/>
          <cell r="S176"/>
          <cell r="T176"/>
          <cell r="U176"/>
          <cell r="V176"/>
          <cell r="W176"/>
          <cell r="X176"/>
          <cell r="Y176"/>
          <cell r="Z176"/>
          <cell r="AA176"/>
          <cell r="AB176"/>
          <cell r="AC176"/>
          <cell r="AD176"/>
          <cell r="AE176"/>
          <cell r="AF176"/>
          <cell r="AG176"/>
          <cell r="AH176"/>
          <cell r="AI176"/>
          <cell r="AJ176"/>
          <cell r="AK176"/>
          <cell r="AL176"/>
          <cell r="AM176"/>
          <cell r="AN176"/>
          <cell r="AO176"/>
          <cell r="AP176"/>
          <cell r="AQ176"/>
          <cell r="AR176"/>
          <cell r="AS176"/>
          <cell r="AT176"/>
          <cell r="AU176"/>
          <cell r="AV176"/>
          <cell r="AW176"/>
          <cell r="AX176"/>
          <cell r="AY176"/>
          <cell r="AZ176"/>
          <cell r="BA176"/>
          <cell r="BB176"/>
          <cell r="BC176"/>
          <cell r="BD176"/>
          <cell r="BE176"/>
          <cell r="BF176"/>
          <cell r="BG176"/>
          <cell r="BH176"/>
          <cell r="BI176"/>
          <cell r="BJ176"/>
          <cell r="BK176"/>
          <cell r="BL176"/>
          <cell r="BM176"/>
          <cell r="BN176"/>
          <cell r="BO176"/>
          <cell r="BP176"/>
          <cell r="BQ176"/>
          <cell r="BR176"/>
          <cell r="BS176"/>
          <cell r="BT176"/>
          <cell r="BU176"/>
          <cell r="BV176"/>
          <cell r="BW176"/>
          <cell r="BX176"/>
        </row>
        <row r="177">
          <cell r="B177" t="str">
            <v>Minority interest</v>
          </cell>
          <cell r="C177" t="str">
            <v>BAL_MINO_INT</v>
          </cell>
          <cell r="D177" t="str">
            <v>AUD</v>
          </cell>
          <cell r="F177">
            <v>34</v>
          </cell>
          <cell r="G177">
            <v>38</v>
          </cell>
          <cell r="H177">
            <v>62</v>
          </cell>
          <cell r="I177">
            <v>65</v>
          </cell>
          <cell r="J177">
            <v>64</v>
          </cell>
          <cell r="K177">
            <v>48</v>
          </cell>
          <cell r="L177">
            <v>49</v>
          </cell>
          <cell r="M177">
            <v>62</v>
          </cell>
          <cell r="N177">
            <v>67</v>
          </cell>
          <cell r="O177">
            <v>77</v>
          </cell>
          <cell r="P177">
            <v>77</v>
          </cell>
          <cell r="Q177">
            <v>95</v>
          </cell>
          <cell r="R177">
            <v>106</v>
          </cell>
          <cell r="S177">
            <v>106</v>
          </cell>
          <cell r="T177">
            <v>101</v>
          </cell>
          <cell r="U177">
            <v>109</v>
          </cell>
          <cell r="V177">
            <v>109</v>
          </cell>
          <cell r="W177">
            <v>117</v>
          </cell>
          <cell r="X177">
            <v>116</v>
          </cell>
          <cell r="Y177">
            <v>116</v>
          </cell>
          <cell r="Z177">
            <v>126</v>
          </cell>
          <cell r="AA177">
            <v>140</v>
          </cell>
          <cell r="AB177">
            <v>140</v>
          </cell>
          <cell r="AC177">
            <v>150</v>
          </cell>
          <cell r="AD177">
            <v>11</v>
          </cell>
          <cell r="AE177">
            <v>11</v>
          </cell>
          <cell r="AF177">
            <v>11</v>
          </cell>
          <cell r="AG177">
            <v>10</v>
          </cell>
          <cell r="AH177">
            <v>10</v>
          </cell>
          <cell r="AI177">
            <v>10</v>
          </cell>
          <cell r="AJ177">
            <v>11</v>
          </cell>
          <cell r="AK177">
            <v>11</v>
          </cell>
          <cell r="AL177">
            <v>9</v>
          </cell>
          <cell r="AM177">
            <v>494</v>
          </cell>
          <cell r="AN177">
            <v>494</v>
          </cell>
          <cell r="AO177">
            <v>525</v>
          </cell>
          <cell r="AP177">
            <v>522</v>
          </cell>
          <cell r="AQ177">
            <v>522</v>
          </cell>
          <cell r="AR177">
            <v>768</v>
          </cell>
          <cell r="AS177">
            <v>771</v>
          </cell>
          <cell r="AT177">
            <v>771</v>
          </cell>
          <cell r="AU177">
            <v>764</v>
          </cell>
          <cell r="AV177">
            <v>739</v>
          </cell>
          <cell r="AW177">
            <v>739</v>
          </cell>
          <cell r="AX177">
            <v>739</v>
          </cell>
          <cell r="AY177">
            <v>739</v>
          </cell>
          <cell r="AZ177">
            <v>739</v>
          </cell>
          <cell r="BA177">
            <v>739</v>
          </cell>
          <cell r="BB177">
            <v>739</v>
          </cell>
          <cell r="BC177">
            <v>739</v>
          </cell>
          <cell r="BD177">
            <v>739</v>
          </cell>
          <cell r="BE177">
            <v>739</v>
          </cell>
          <cell r="BF177">
            <v>739</v>
          </cell>
          <cell r="BG177">
            <v>739</v>
          </cell>
          <cell r="BH177">
            <v>739</v>
          </cell>
          <cell r="BI177">
            <v>739</v>
          </cell>
          <cell r="BJ177">
            <v>739</v>
          </cell>
          <cell r="BK177">
            <v>739</v>
          </cell>
          <cell r="BL177">
            <v>739</v>
          </cell>
          <cell r="BM177">
            <v>739</v>
          </cell>
          <cell r="BN177">
            <v>739</v>
          </cell>
          <cell r="BO177">
            <v>739</v>
          </cell>
          <cell r="BP177">
            <v>739</v>
          </cell>
          <cell r="BQ177">
            <v>739</v>
          </cell>
          <cell r="BR177">
            <v>739</v>
          </cell>
          <cell r="BS177">
            <v>739</v>
          </cell>
          <cell r="BT177">
            <v>739</v>
          </cell>
          <cell r="BU177">
            <v>739</v>
          </cell>
          <cell r="BV177">
            <v>739</v>
          </cell>
          <cell r="BW177">
            <v>739</v>
          </cell>
          <cell r="BX177">
            <v>739</v>
          </cell>
        </row>
        <row r="178">
          <cell r="B178" t="str">
            <v>Right-of-use assets (op lease assets under US GAAP)</v>
          </cell>
          <cell r="C178" t="str">
            <v>ROU_ASSET</v>
          </cell>
          <cell r="D178" t="str">
            <v>AUD</v>
          </cell>
          <cell r="F178"/>
          <cell r="G178"/>
          <cell r="H178"/>
          <cell r="I178"/>
          <cell r="J178"/>
          <cell r="K178"/>
          <cell r="L178"/>
          <cell r="M178"/>
          <cell r="N178"/>
          <cell r="O178"/>
          <cell r="P178"/>
          <cell r="Q178"/>
          <cell r="R178"/>
          <cell r="S178"/>
          <cell r="T178"/>
          <cell r="U178"/>
          <cell r="V178"/>
          <cell r="W178"/>
          <cell r="X178"/>
          <cell r="Y178"/>
          <cell r="Z178"/>
          <cell r="AA178"/>
          <cell r="AB178"/>
          <cell r="AC178"/>
          <cell r="AD178"/>
          <cell r="AE178"/>
          <cell r="AF178"/>
          <cell r="AG178"/>
          <cell r="AH178"/>
          <cell r="AI178"/>
          <cell r="AJ178"/>
          <cell r="AK178"/>
          <cell r="AL178"/>
          <cell r="AM178"/>
          <cell r="AN178"/>
          <cell r="AO178"/>
          <cell r="AP178"/>
          <cell r="AQ178"/>
          <cell r="AR178"/>
          <cell r="AS178"/>
          <cell r="AT178"/>
          <cell r="AU178"/>
          <cell r="AV178"/>
          <cell r="AW178"/>
          <cell r="AX178"/>
          <cell r="AY178"/>
          <cell r="AZ178"/>
          <cell r="BA178"/>
          <cell r="BB178"/>
          <cell r="BC178"/>
          <cell r="BD178"/>
          <cell r="BE178"/>
          <cell r="BF178"/>
          <cell r="BG178"/>
          <cell r="BH178"/>
          <cell r="BI178"/>
          <cell r="BJ178"/>
          <cell r="BK178"/>
          <cell r="BL178"/>
          <cell r="BM178"/>
          <cell r="BN178"/>
          <cell r="BO178"/>
          <cell r="BP178"/>
          <cell r="BQ178"/>
          <cell r="BR178"/>
          <cell r="BS178"/>
          <cell r="BT178"/>
          <cell r="BU178"/>
          <cell r="BV178"/>
          <cell r="BW178"/>
          <cell r="BX178"/>
        </row>
        <row r="179">
          <cell r="A179" t="str">
            <v>Cash Flow Statement</v>
          </cell>
          <cell r="B179"/>
          <cell r="C179"/>
          <cell r="D179"/>
        </row>
        <row r="180">
          <cell r="B180" t="str">
            <v>Dividends paid</v>
          </cell>
          <cell r="C180" t="str">
            <v>DIV_PAID</v>
          </cell>
          <cell r="D180" t="str">
            <v>AUD</v>
          </cell>
          <cell r="F180">
            <v>-2101.6480000000001</v>
          </cell>
          <cell r="G180">
            <v>-2410.9679999999998</v>
          </cell>
          <cell r="H180">
            <v>-2571.1460000000002</v>
          </cell>
          <cell r="I180">
            <v>-2502.8440000000001</v>
          </cell>
          <cell r="J180">
            <v>-2719.9400000000005</v>
          </cell>
          <cell r="K180">
            <v>-3555.8739999999998</v>
          </cell>
          <cell r="L180">
            <v>-3766.51</v>
          </cell>
          <cell r="M180">
            <v>-4149.6469999999999</v>
          </cell>
          <cell r="N180">
            <v>-2496.7669999999998</v>
          </cell>
          <cell r="O180">
            <v>-2277.6029999999996</v>
          </cell>
          <cell r="P180">
            <v>-4774.369999999999</v>
          </cell>
          <cell r="Q180">
            <v>-2618.77</v>
          </cell>
          <cell r="R180">
            <v>-2378.7600000000002</v>
          </cell>
          <cell r="S180">
            <v>-4997.5300000000007</v>
          </cell>
          <cell r="T180">
            <v>-2757.5649999999996</v>
          </cell>
          <cell r="U180">
            <v>-2334.08</v>
          </cell>
          <cell r="V180">
            <v>-5091.6449999999995</v>
          </cell>
          <cell r="W180">
            <v>-2342</v>
          </cell>
          <cell r="X180">
            <v>-2348.8296072000003</v>
          </cell>
          <cell r="Y180">
            <v>-4690.8296072000003</v>
          </cell>
          <cell r="Z180">
            <v>-2349.9322616000004</v>
          </cell>
          <cell r="AA180">
            <v>-2319.0071824000001</v>
          </cell>
          <cell r="AB180">
            <v>-4668.9394440000005</v>
          </cell>
          <cell r="AC180">
            <v>-2298.8944944</v>
          </cell>
          <cell r="AD180">
            <v>-2266.5404632000004</v>
          </cell>
          <cell r="AE180">
            <v>-4565.4349576000004</v>
          </cell>
          <cell r="AF180">
            <v>-2267.6679384000004</v>
          </cell>
          <cell r="AG180">
            <v>-709.04435550000005</v>
          </cell>
          <cell r="AH180">
            <v>-2976.7122939000005</v>
          </cell>
          <cell r="AI180">
            <v>-994.12957874999995</v>
          </cell>
          <cell r="AJ180">
            <v>-1991.8792599999999</v>
          </cell>
          <cell r="AK180">
            <v>-2986.00883875</v>
          </cell>
          <cell r="AL180">
            <v>-2032.9658294399999</v>
          </cell>
          <cell r="AM180">
            <v>-2011.7550052800002</v>
          </cell>
          <cell r="AN180">
            <v>-4044.7208347200003</v>
          </cell>
          <cell r="AO180">
            <v>-2212.5435757400001</v>
          </cell>
          <cell r="AP180">
            <v>-2432.7270934200001</v>
          </cell>
          <cell r="AQ180">
            <v>-4645.2706691599997</v>
          </cell>
          <cell r="AR180">
            <v>-2824.9696728399999</v>
          </cell>
          <cell r="AS180">
            <v>-2496.2338627399999</v>
          </cell>
          <cell r="AT180">
            <v>-5321.2035355799999</v>
          </cell>
          <cell r="AU180">
            <v>-2472.9154957999999</v>
          </cell>
          <cell r="AV180">
            <v>-2466.2334662599997</v>
          </cell>
          <cell r="AW180" t="e">
            <v>#N/A</v>
          </cell>
          <cell r="AX180">
            <v>-2476.3217494</v>
          </cell>
          <cell r="AY180">
            <v>-2584.6341300777817</v>
          </cell>
          <cell r="AZ180">
            <v>-5060.9558794777822</v>
          </cell>
          <cell r="BA180">
            <v>-2724.4914778916605</v>
          </cell>
          <cell r="BB180">
            <v>-2754.7636054237901</v>
          </cell>
          <cell r="BC180">
            <v>-5479.255083315451</v>
          </cell>
          <cell r="BD180">
            <v>-2761.3619039741825</v>
          </cell>
          <cell r="BE180">
            <v>-2798.2634310181161</v>
          </cell>
          <cell r="BF180">
            <v>-5559.625334992299</v>
          </cell>
          <cell r="BG180">
            <v>-2835.2162681665745</v>
          </cell>
          <cell r="BH180">
            <v>-2872.2387928951985</v>
          </cell>
          <cell r="BI180">
            <v>-5707.4550610617734</v>
          </cell>
          <cell r="BJ180">
            <v>-2909.3476727699331</v>
          </cell>
          <cell r="BK180">
            <v>-2967.534626225332</v>
          </cell>
          <cell r="BL180">
            <v>-5876.882298995265</v>
          </cell>
          <cell r="BM180">
            <v>-3025.7215796807304</v>
          </cell>
          <cell r="BN180">
            <v>-3083.9085331361293</v>
          </cell>
          <cell r="BO180">
            <v>-6109.6301128168598</v>
          </cell>
          <cell r="BP180">
            <v>-3142.0954865915278</v>
          </cell>
          <cell r="BQ180">
            <v>-3200.2824400469267</v>
          </cell>
          <cell r="BR180">
            <v>-6342.3779266384545</v>
          </cell>
          <cell r="BS180">
            <v>-3258.4693935023251</v>
          </cell>
          <cell r="BT180">
            <v>-3316.6563469577241</v>
          </cell>
          <cell r="BU180">
            <v>-6575.1257404600492</v>
          </cell>
          <cell r="BV180">
            <v>-3374.843300413123</v>
          </cell>
          <cell r="BW180">
            <v>-3433.0302538685214</v>
          </cell>
          <cell r="BX180">
            <v>-6807.8735542816448</v>
          </cell>
        </row>
        <row r="181">
          <cell r="B181" t="str">
            <v>Lease principal payments  (applicable to IFRS cos.)</v>
          </cell>
          <cell r="C181" t="str">
            <v>LEASE_PRINCIPAL_CASH</v>
          </cell>
          <cell r="D181" t="str">
            <v>AUD</v>
          </cell>
          <cell r="F181"/>
          <cell r="G181"/>
          <cell r="H181"/>
          <cell r="I181"/>
          <cell r="J181"/>
          <cell r="K181"/>
          <cell r="L181"/>
          <cell r="M181"/>
          <cell r="N181"/>
          <cell r="O181"/>
          <cell r="P181"/>
          <cell r="Q181"/>
          <cell r="R181"/>
          <cell r="S181"/>
          <cell r="T181"/>
          <cell r="U181"/>
          <cell r="V181"/>
          <cell r="W181"/>
          <cell r="X181"/>
          <cell r="Y181"/>
          <cell r="Z181"/>
          <cell r="AA181"/>
          <cell r="AB181"/>
          <cell r="AC181"/>
          <cell r="AD181"/>
          <cell r="AE181"/>
          <cell r="AF181"/>
          <cell r="AG181"/>
          <cell r="AH181"/>
          <cell r="AI181"/>
          <cell r="AJ181"/>
          <cell r="AK181"/>
          <cell r="AL181"/>
          <cell r="AM181"/>
          <cell r="AN181"/>
          <cell r="AO181"/>
          <cell r="AP181"/>
          <cell r="AQ181"/>
          <cell r="AR181"/>
          <cell r="AS181"/>
          <cell r="AT181"/>
          <cell r="AU181"/>
          <cell r="AV181"/>
          <cell r="AW181"/>
          <cell r="AX181"/>
          <cell r="AY181"/>
          <cell r="AZ181"/>
          <cell r="BA181"/>
          <cell r="BB181"/>
          <cell r="BC181"/>
          <cell r="BD181"/>
          <cell r="BE181"/>
          <cell r="BF181"/>
          <cell r="BG181"/>
          <cell r="BH181"/>
          <cell r="BI181"/>
          <cell r="BJ181"/>
          <cell r="BK181"/>
          <cell r="BL181"/>
          <cell r="BM181"/>
          <cell r="BN181"/>
          <cell r="BO181"/>
          <cell r="BP181"/>
          <cell r="BQ181"/>
          <cell r="BR181"/>
          <cell r="BS181"/>
          <cell r="BT181"/>
          <cell r="BU181"/>
          <cell r="BV181"/>
          <cell r="BW181"/>
          <cell r="BX181"/>
        </row>
        <row r="182">
          <cell r="A182" t="str">
            <v>Additional Cash Flow Items</v>
          </cell>
          <cell r="B182"/>
          <cell r="C182"/>
          <cell r="D182"/>
        </row>
        <row r="183">
          <cell r="B183" t="str">
            <v>Other DACF adjustments</v>
          </cell>
          <cell r="C183" t="str">
            <v>OTH_DACF_ADJ</v>
          </cell>
          <cell r="D183" t="str">
            <v>AUD</v>
          </cell>
          <cell r="F183"/>
          <cell r="G183"/>
          <cell r="H183"/>
          <cell r="I183"/>
          <cell r="J183"/>
          <cell r="K183"/>
          <cell r="L183"/>
          <cell r="M183"/>
          <cell r="N183"/>
          <cell r="O183"/>
          <cell r="P183"/>
          <cell r="Q183"/>
          <cell r="R183"/>
          <cell r="S183"/>
          <cell r="T183"/>
          <cell r="U183"/>
          <cell r="V183"/>
          <cell r="W183"/>
          <cell r="X183"/>
          <cell r="Y183"/>
          <cell r="Z183"/>
          <cell r="AA183"/>
          <cell r="AB183"/>
          <cell r="AC183"/>
          <cell r="AD183"/>
          <cell r="AE183"/>
          <cell r="AF183"/>
          <cell r="AG183"/>
          <cell r="AH183"/>
          <cell r="AI183"/>
          <cell r="AJ183"/>
          <cell r="AK183"/>
          <cell r="AL183"/>
          <cell r="AM183"/>
          <cell r="AN183"/>
          <cell r="AO183"/>
          <cell r="AP183"/>
          <cell r="AQ183"/>
          <cell r="AR183"/>
          <cell r="AS183"/>
          <cell r="AT183"/>
          <cell r="AU183"/>
          <cell r="AV183"/>
          <cell r="AW183"/>
          <cell r="AX183"/>
          <cell r="AY183"/>
          <cell r="AZ183"/>
          <cell r="BA183"/>
          <cell r="BB183"/>
          <cell r="BC183"/>
          <cell r="BD183"/>
          <cell r="BE183"/>
          <cell r="BF183"/>
          <cell r="BG183"/>
          <cell r="BH183"/>
          <cell r="BI183"/>
          <cell r="BJ183"/>
          <cell r="BK183"/>
          <cell r="BL183"/>
          <cell r="BM183"/>
          <cell r="BN183"/>
          <cell r="BO183"/>
          <cell r="BP183"/>
          <cell r="BQ183"/>
          <cell r="BR183"/>
          <cell r="BS183"/>
          <cell r="BT183"/>
          <cell r="BU183"/>
          <cell r="BV183"/>
          <cell r="BW183"/>
          <cell r="BX183"/>
        </row>
        <row r="184">
          <cell r="A184" t="str">
            <v>Other Items</v>
          </cell>
          <cell r="B184"/>
          <cell r="C184"/>
          <cell r="D184"/>
        </row>
        <row r="185">
          <cell r="B185" t="str">
            <v>Number of employees</v>
          </cell>
          <cell r="C185" t="str">
            <v>EMPLOYEES</v>
          </cell>
          <cell r="F185">
            <v>32.256</v>
          </cell>
          <cell r="G185">
            <v>34.353000000000002</v>
          </cell>
          <cell r="H185">
            <v>36.924999999999997</v>
          </cell>
          <cell r="I185">
            <v>37.686999999999998</v>
          </cell>
          <cell r="J185">
            <v>47.098999999999997</v>
          </cell>
          <cell r="K185">
            <v>50.296999999999997</v>
          </cell>
          <cell r="L185">
            <v>48.238999999999997</v>
          </cell>
          <cell r="M185">
            <v>48.865000000000002</v>
          </cell>
          <cell r="N185">
            <v>49.85</v>
          </cell>
          <cell r="O185">
            <v>50.328000000000003</v>
          </cell>
          <cell r="P185">
            <v>50.328000000000003</v>
          </cell>
          <cell r="Q185">
            <v>51.243000000000002</v>
          </cell>
          <cell r="R185">
            <v>50.152000000000001</v>
          </cell>
          <cell r="S185">
            <v>50.152000000000001</v>
          </cell>
          <cell r="T185">
            <v>48.896000000000001</v>
          </cell>
          <cell r="U185">
            <v>46.554000000000002</v>
          </cell>
          <cell r="V185">
            <v>46.554000000000002</v>
          </cell>
          <cell r="W185">
            <v>44.015000000000001</v>
          </cell>
          <cell r="X185">
            <v>42.872999999999998</v>
          </cell>
          <cell r="Y185">
            <v>42.872999999999998</v>
          </cell>
          <cell r="Z185">
            <v>39.655000000000001</v>
          </cell>
          <cell r="AA185">
            <v>37.86</v>
          </cell>
          <cell r="AB185">
            <v>37.86</v>
          </cell>
          <cell r="AC185">
            <v>37.363999999999997</v>
          </cell>
          <cell r="AD185">
            <v>37.588000000000001</v>
          </cell>
          <cell r="AE185">
            <v>37.588000000000001</v>
          </cell>
          <cell r="AF185">
            <v>37.834000000000003</v>
          </cell>
          <cell r="AG185">
            <v>37.506</v>
          </cell>
          <cell r="AH185">
            <v>37.506</v>
          </cell>
          <cell r="AI185">
            <v>37.844000000000001</v>
          </cell>
          <cell r="AJ185">
            <v>39.683999999999997</v>
          </cell>
          <cell r="AK185">
            <v>39.683999999999997</v>
          </cell>
          <cell r="AL185">
            <v>39.529000000000003</v>
          </cell>
          <cell r="AM185">
            <v>39.381</v>
          </cell>
          <cell r="AN185">
            <v>39.381</v>
          </cell>
          <cell r="AO185">
            <v>39.802</v>
          </cell>
          <cell r="AP185">
            <v>40.341999999999999</v>
          </cell>
          <cell r="AQ185">
            <v>40.341999999999999</v>
          </cell>
          <cell r="AR185">
            <v>40.262</v>
          </cell>
          <cell r="AS185">
            <v>42.37</v>
          </cell>
          <cell r="AT185">
            <v>42.37</v>
          </cell>
          <cell r="AU185">
            <v>43.094000000000001</v>
          </cell>
          <cell r="AV185">
            <v>42.698</v>
          </cell>
          <cell r="AW185">
            <v>42.698</v>
          </cell>
          <cell r="AX185">
            <v>43.039584000000005</v>
          </cell>
          <cell r="AY185">
            <v>43.383900672000003</v>
          </cell>
          <cell r="AZ185">
            <v>43.383900672000003</v>
          </cell>
          <cell r="BA185">
            <v>44.034659182080006</v>
          </cell>
          <cell r="BB185">
            <v>44.695179069811196</v>
          </cell>
          <cell r="BC185">
            <v>44.695179069811196</v>
          </cell>
          <cell r="BD185">
            <v>45.253868808183832</v>
          </cell>
          <cell r="BE185">
            <v>45.819542168286127</v>
          </cell>
          <cell r="BF185">
            <v>45.819542168286127</v>
          </cell>
          <cell r="BG185">
            <v>46.163188734548278</v>
          </cell>
          <cell r="BH185">
            <v>46.509412650057392</v>
          </cell>
          <cell r="BI185">
            <v>46.509412650057392</v>
          </cell>
          <cell r="BJ185">
            <v>46.858233244932826</v>
          </cell>
          <cell r="BK185">
            <v>47.209669994269824</v>
          </cell>
          <cell r="BL185">
            <v>47.209669994269824</v>
          </cell>
          <cell r="BM185">
            <v>47.409669994269827</v>
          </cell>
          <cell r="BN185">
            <v>47.609669994269822</v>
          </cell>
          <cell r="BO185">
            <v>47.609669994269822</v>
          </cell>
          <cell r="BP185">
            <v>47.809669994269825</v>
          </cell>
          <cell r="BQ185">
            <v>48.009669994269828</v>
          </cell>
          <cell r="BR185">
            <v>48.009669994269828</v>
          </cell>
          <cell r="BS185">
            <v>48.209669994269824</v>
          </cell>
          <cell r="BT185">
            <v>48.409669994269827</v>
          </cell>
          <cell r="BU185">
            <v>48.409669994269827</v>
          </cell>
          <cell r="BV185">
            <v>48.609669994269822</v>
          </cell>
          <cell r="BW185">
            <v>48.809669994269825</v>
          </cell>
          <cell r="BX185">
            <v>48.809669994269825</v>
          </cell>
        </row>
        <row r="186">
          <cell r="B186" t="str">
            <v>Number of branches</v>
          </cell>
          <cell r="C186" t="str">
            <v>BRANCHES</v>
          </cell>
          <cell r="F186"/>
          <cell r="G186"/>
          <cell r="H186"/>
          <cell r="I186"/>
          <cell r="J186"/>
          <cell r="K186"/>
          <cell r="L186"/>
          <cell r="M186"/>
          <cell r="N186"/>
          <cell r="O186"/>
          <cell r="P186"/>
          <cell r="Q186"/>
          <cell r="R186"/>
          <cell r="S186"/>
          <cell r="T186"/>
          <cell r="U186"/>
          <cell r="V186"/>
          <cell r="W186"/>
          <cell r="X186"/>
          <cell r="Y186"/>
          <cell r="Z186"/>
          <cell r="AA186"/>
          <cell r="AB186"/>
          <cell r="AC186"/>
          <cell r="AD186"/>
          <cell r="AE186"/>
          <cell r="AF186"/>
          <cell r="AG186"/>
          <cell r="AH186"/>
          <cell r="AI186"/>
          <cell r="AJ186"/>
          <cell r="AK186"/>
          <cell r="AL186"/>
          <cell r="AM186"/>
          <cell r="AN186"/>
          <cell r="AO186"/>
          <cell r="AP186"/>
          <cell r="AQ186"/>
          <cell r="AR186"/>
          <cell r="AS186"/>
          <cell r="AT186"/>
          <cell r="AU186"/>
          <cell r="AV186"/>
          <cell r="AW186"/>
          <cell r="AX186"/>
          <cell r="AY186"/>
          <cell r="AZ186"/>
          <cell r="BA186"/>
          <cell r="BB186"/>
          <cell r="BC186"/>
          <cell r="BD186"/>
          <cell r="BE186"/>
          <cell r="BF186"/>
          <cell r="BG186"/>
          <cell r="BH186"/>
          <cell r="BI186"/>
          <cell r="BJ186"/>
          <cell r="BK186"/>
          <cell r="BL186"/>
          <cell r="BM186"/>
          <cell r="BN186"/>
          <cell r="BO186"/>
          <cell r="BP186"/>
          <cell r="BQ186"/>
          <cell r="BR186"/>
          <cell r="BS186"/>
          <cell r="BT186"/>
          <cell r="BU186"/>
          <cell r="BV186"/>
          <cell r="BW186"/>
          <cell r="BX186"/>
        </row>
        <row r="187">
          <cell r="A187" t="str">
            <v>ANZ Other Items</v>
          </cell>
          <cell r="B187"/>
          <cell r="C187"/>
          <cell r="D187"/>
        </row>
        <row r="188">
          <cell r="B188" t="str">
            <v>Balance Of Franking Credits</v>
          </cell>
          <cell r="C188" t="str">
            <v>BAL_OF_FRANK_CREDITS</v>
          </cell>
          <cell r="D188" t="str">
            <v>AUD</v>
          </cell>
          <cell r="F188">
            <v>341</v>
          </cell>
          <cell r="G188">
            <v>580</v>
          </cell>
          <cell r="H188">
            <v>35</v>
          </cell>
          <cell r="I188">
            <v>49</v>
          </cell>
          <cell r="J188">
            <v>397</v>
          </cell>
          <cell r="K188">
            <v>363</v>
          </cell>
          <cell r="L188">
            <v>386</v>
          </cell>
          <cell r="M188">
            <v>265</v>
          </cell>
          <cell r="N188">
            <v>212.88442857142866</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25.330339133147845</v>
          </cell>
          <cell r="AY188">
            <v>52.928224366163931</v>
          </cell>
          <cell r="AZ188">
            <v>52.928224366163931</v>
          </cell>
          <cell r="BA188">
            <v>36.256081383520382</v>
          </cell>
          <cell r="BB188">
            <v>12.738804622696762</v>
          </cell>
          <cell r="BC188">
            <v>12.738804622696762</v>
          </cell>
          <cell r="BD188">
            <v>12.011306945112437</v>
          </cell>
          <cell r="BE188">
            <v>-0.19772103106743089</v>
          </cell>
          <cell r="BF188">
            <v>-0.19772103106743089</v>
          </cell>
          <cell r="BG188">
            <v>-9.3709586983025019</v>
          </cell>
          <cell r="BH188">
            <v>-15.224763036281388</v>
          </cell>
          <cell r="BI188">
            <v>-15.224763036281388</v>
          </cell>
          <cell r="BJ188">
            <v>-33.398181503824958</v>
          </cell>
          <cell r="BK188">
            <v>-53.118721477054009</v>
          </cell>
          <cell r="BL188">
            <v>-53.118721477054009</v>
          </cell>
          <cell r="BM188">
            <v>-39.990387609978143</v>
          </cell>
          <cell r="BN188">
            <v>-32.381609221781332</v>
          </cell>
          <cell r="BO188">
            <v>-32.381609221781332</v>
          </cell>
          <cell r="BP188">
            <v>-32.944322971725001</v>
          </cell>
          <cell r="BQ188">
            <v>-53.837500958537134</v>
          </cell>
          <cell r="BR188">
            <v>-53.837500958537134</v>
          </cell>
          <cell r="BS188">
            <v>-86.63043794877035</v>
          </cell>
          <cell r="BT188">
            <v>-130.61915389230967</v>
          </cell>
          <cell r="BU188">
            <v>-130.61915389230967</v>
          </cell>
          <cell r="BV188">
            <v>-183.6406234546165</v>
          </cell>
          <cell r="BW188">
            <v>-238.47702753211217</v>
          </cell>
          <cell r="BX188">
            <v>-238.47702753211217</v>
          </cell>
        </row>
        <row r="189">
          <cell r="B189" t="str">
            <v>Interest earning assets</v>
          </cell>
          <cell r="C189" t="str">
            <v>INT_EARN_ASSETS</v>
          </cell>
          <cell r="D189" t="str">
            <v>AUD</v>
          </cell>
          <cell r="F189"/>
          <cell r="G189"/>
          <cell r="H189"/>
          <cell r="I189"/>
          <cell r="J189"/>
          <cell r="K189"/>
          <cell r="L189"/>
          <cell r="M189"/>
          <cell r="N189"/>
          <cell r="O189"/>
          <cell r="P189"/>
          <cell r="Q189"/>
          <cell r="R189"/>
          <cell r="S189"/>
          <cell r="T189"/>
          <cell r="U189"/>
          <cell r="V189"/>
          <cell r="W189"/>
          <cell r="X189"/>
          <cell r="Y189"/>
          <cell r="Z189"/>
          <cell r="AA189"/>
          <cell r="AB189"/>
          <cell r="AC189"/>
          <cell r="AD189"/>
          <cell r="AE189"/>
          <cell r="AF189"/>
          <cell r="AG189"/>
          <cell r="AH189"/>
          <cell r="AI189"/>
          <cell r="AJ189"/>
          <cell r="AK189"/>
          <cell r="AL189"/>
          <cell r="AM189"/>
          <cell r="AN189"/>
          <cell r="AO189"/>
          <cell r="AP189"/>
          <cell r="AQ189"/>
          <cell r="AR189"/>
          <cell r="AS189"/>
          <cell r="AT189"/>
          <cell r="AU189"/>
          <cell r="AV189"/>
          <cell r="AW189"/>
          <cell r="AX189"/>
          <cell r="AY189"/>
          <cell r="AZ189"/>
          <cell r="BA189"/>
          <cell r="BB189"/>
          <cell r="BC189"/>
          <cell r="BD189"/>
          <cell r="BE189"/>
          <cell r="BF189"/>
          <cell r="BG189"/>
          <cell r="BH189"/>
          <cell r="BI189"/>
          <cell r="BJ189"/>
          <cell r="BK189"/>
          <cell r="BL189"/>
          <cell r="BM189"/>
          <cell r="BN189"/>
          <cell r="BO189"/>
          <cell r="BP189"/>
          <cell r="BQ189"/>
          <cell r="BR189"/>
          <cell r="BS189"/>
          <cell r="BT189"/>
          <cell r="BU189"/>
          <cell r="BV189"/>
          <cell r="BW189"/>
          <cell r="BX189"/>
        </row>
        <row r="190">
          <cell r="B190" t="str">
            <v>Pre-tax hybrid distributions</v>
          </cell>
          <cell r="C190" t="str">
            <v>HYBRID_DIST_PRE_TAX</v>
          </cell>
          <cell r="D190" t="str">
            <v>AUD</v>
          </cell>
          <cell r="F190">
            <v>-38.571428571428577</v>
          </cell>
          <cell r="G190">
            <v>-52.857142857142861</v>
          </cell>
          <cell r="H190">
            <v>-65.714285714285722</v>
          </cell>
          <cell r="I190">
            <v>-47.142857142857146</v>
          </cell>
          <cell r="J190">
            <v>-15.714285714285715</v>
          </cell>
          <cell r="K190">
            <v>-17.142857142857142</v>
          </cell>
          <cell r="L190">
            <v>-15.714285714285715</v>
          </cell>
          <cell r="M190">
            <v>-8.5714285714285712</v>
          </cell>
          <cell r="N190">
            <v>-4.2857142857142856</v>
          </cell>
          <cell r="O190">
            <v>-4.2857142857142856</v>
          </cell>
          <cell r="P190">
            <v>-8.5714285714285712</v>
          </cell>
          <cell r="Q190">
            <v>-1.4285714285714286</v>
          </cell>
          <cell r="R190">
            <v>0</v>
          </cell>
          <cell r="S190">
            <v>-1.4285714285714286</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cell r="BM190">
            <v>0</v>
          </cell>
          <cell r="BN190">
            <v>0</v>
          </cell>
          <cell r="BO190">
            <v>0</v>
          </cell>
          <cell r="BP190">
            <v>0</v>
          </cell>
          <cell r="BQ190">
            <v>0</v>
          </cell>
          <cell r="BR190">
            <v>0</v>
          </cell>
          <cell r="BS190">
            <v>0</v>
          </cell>
          <cell r="BT190">
            <v>0</v>
          </cell>
          <cell r="BU190">
            <v>0</v>
          </cell>
          <cell r="BV190">
            <v>0</v>
          </cell>
          <cell r="BW190">
            <v>0</v>
          </cell>
          <cell r="BX190">
            <v>0</v>
          </cell>
        </row>
        <row r="191">
          <cell r="B191" t="str">
            <v>Cost of Debt</v>
          </cell>
          <cell r="C191" t="str">
            <v>COST_OF_DEBT_DCF</v>
          </cell>
          <cell r="E191"/>
        </row>
        <row r="192">
          <cell r="B192" t="str">
            <v>Debt to Equity (Market Values)</v>
          </cell>
          <cell r="C192" t="str">
            <v>DEBT_TO_EQUITY_MKT_VALUES_DCF</v>
          </cell>
          <cell r="E192"/>
        </row>
        <row r="193">
          <cell r="B193" t="str">
            <v>Capital at End of Year - Adjusted total capital employed</v>
          </cell>
          <cell r="C193" t="str">
            <v>TOTAL_CAPITAL_EMPLOYED_ADJ</v>
          </cell>
          <cell r="D193" t="str">
            <v>AUD</v>
          </cell>
          <cell r="F193"/>
          <cell r="G193"/>
          <cell r="H193"/>
          <cell r="I193"/>
          <cell r="J193"/>
          <cell r="K193"/>
          <cell r="L193"/>
          <cell r="M193"/>
          <cell r="N193"/>
          <cell r="O193"/>
          <cell r="P193"/>
          <cell r="Q193"/>
          <cell r="R193"/>
          <cell r="S193"/>
          <cell r="T193"/>
          <cell r="U193"/>
          <cell r="V193"/>
          <cell r="W193"/>
          <cell r="X193"/>
          <cell r="Y193"/>
          <cell r="Z193"/>
          <cell r="AA193"/>
          <cell r="AB193"/>
          <cell r="AC193"/>
          <cell r="AD193"/>
          <cell r="AE193"/>
          <cell r="AF193"/>
          <cell r="AG193"/>
          <cell r="AH193"/>
          <cell r="AI193"/>
          <cell r="AJ193"/>
          <cell r="AK193"/>
          <cell r="AL193"/>
          <cell r="AM193"/>
          <cell r="AN193"/>
          <cell r="AO193"/>
          <cell r="AP193"/>
          <cell r="AQ193"/>
          <cell r="AR193"/>
          <cell r="AS193"/>
          <cell r="AT193"/>
          <cell r="AU193"/>
          <cell r="AV193"/>
          <cell r="AW193"/>
          <cell r="AX193"/>
          <cell r="AY193"/>
          <cell r="AZ193"/>
          <cell r="BA193"/>
          <cell r="BB193"/>
          <cell r="BC193"/>
          <cell r="BD193"/>
          <cell r="BE193"/>
          <cell r="BF193"/>
          <cell r="BG193"/>
          <cell r="BH193"/>
          <cell r="BI193"/>
          <cell r="BJ193"/>
          <cell r="BK193"/>
          <cell r="BL193"/>
          <cell r="BM193"/>
          <cell r="BN193"/>
          <cell r="BO193"/>
          <cell r="BP193"/>
          <cell r="BQ193"/>
          <cell r="BR193"/>
          <cell r="BS193"/>
          <cell r="BT193"/>
          <cell r="BU193"/>
          <cell r="BV193"/>
          <cell r="BW193"/>
          <cell r="BX193"/>
        </row>
        <row r="194">
          <cell r="B194" t="str">
            <v>Average Capital Employed</v>
          </cell>
          <cell r="C194" t="str">
            <v>AVG_CAPITAL_EMPLOYED_ADJ</v>
          </cell>
          <cell r="D194" t="str">
            <v>AUD</v>
          </cell>
          <cell r="F194"/>
          <cell r="G194"/>
          <cell r="H194"/>
          <cell r="I194"/>
          <cell r="J194"/>
          <cell r="K194"/>
          <cell r="L194"/>
          <cell r="M194"/>
          <cell r="N194"/>
          <cell r="O194"/>
          <cell r="P194"/>
          <cell r="Q194"/>
          <cell r="R194"/>
          <cell r="S194"/>
          <cell r="T194"/>
          <cell r="U194"/>
          <cell r="V194"/>
          <cell r="W194"/>
          <cell r="X194"/>
          <cell r="Y194"/>
          <cell r="Z194"/>
          <cell r="AA194"/>
          <cell r="AB194"/>
          <cell r="AC194"/>
          <cell r="AD194"/>
          <cell r="AE194"/>
          <cell r="AF194"/>
          <cell r="AG194"/>
          <cell r="AH194"/>
          <cell r="AI194"/>
          <cell r="AJ194"/>
          <cell r="AK194"/>
          <cell r="AL194"/>
          <cell r="AM194"/>
          <cell r="AN194"/>
          <cell r="AO194"/>
          <cell r="AP194"/>
          <cell r="AQ194"/>
          <cell r="AR194"/>
          <cell r="AS194"/>
          <cell r="AT194"/>
          <cell r="AU194"/>
          <cell r="AV194"/>
          <cell r="AW194"/>
          <cell r="AX194"/>
          <cell r="AY194"/>
          <cell r="AZ194"/>
          <cell r="BA194"/>
          <cell r="BB194"/>
          <cell r="BC194"/>
          <cell r="BD194"/>
          <cell r="BE194"/>
          <cell r="BF194"/>
          <cell r="BG194"/>
          <cell r="BH194"/>
          <cell r="BI194"/>
          <cell r="BJ194"/>
          <cell r="BK194"/>
          <cell r="BL194"/>
          <cell r="BM194"/>
          <cell r="BN194"/>
          <cell r="BO194"/>
          <cell r="BP194"/>
          <cell r="BQ194"/>
          <cell r="BR194"/>
          <cell r="BS194"/>
          <cell r="BT194"/>
          <cell r="BU194"/>
          <cell r="BV194"/>
          <cell r="BW194"/>
          <cell r="BX194"/>
        </row>
        <row r="195">
          <cell r="A195" t="str">
            <v>Operating Metrics</v>
          </cell>
          <cell r="B195"/>
          <cell r="C195"/>
          <cell r="D195"/>
        </row>
        <row r="196">
          <cell r="B196" t="str">
            <v>Sustainable ROE estimate</v>
          </cell>
          <cell r="C196" t="str">
            <v>B_CAMELOT_SUST_ROE</v>
          </cell>
          <cell r="F196"/>
          <cell r="G196"/>
          <cell r="H196"/>
          <cell r="I196"/>
          <cell r="J196"/>
          <cell r="K196"/>
          <cell r="L196"/>
          <cell r="M196"/>
          <cell r="N196"/>
          <cell r="O196"/>
          <cell r="P196"/>
          <cell r="Q196"/>
          <cell r="R196"/>
          <cell r="S196"/>
          <cell r="T196"/>
          <cell r="U196"/>
          <cell r="V196"/>
          <cell r="W196"/>
          <cell r="X196"/>
          <cell r="Y196"/>
          <cell r="Z196"/>
          <cell r="AA196"/>
          <cell r="AB196"/>
          <cell r="AC196"/>
          <cell r="AD196"/>
          <cell r="AE196"/>
          <cell r="AF196"/>
          <cell r="AG196"/>
          <cell r="AH196"/>
          <cell r="AI196"/>
          <cell r="AJ196"/>
          <cell r="AK196"/>
          <cell r="AL196"/>
          <cell r="AM196"/>
          <cell r="AN196"/>
          <cell r="AO196"/>
          <cell r="AP196"/>
          <cell r="AQ196"/>
          <cell r="AR196"/>
          <cell r="AS196"/>
          <cell r="AT196"/>
          <cell r="AU196"/>
          <cell r="AV196"/>
          <cell r="AW196"/>
          <cell r="AX196"/>
          <cell r="AY196"/>
          <cell r="AZ196"/>
          <cell r="BA196"/>
          <cell r="BB196"/>
          <cell r="BC196"/>
          <cell r="BD196"/>
          <cell r="BE196"/>
          <cell r="BF196"/>
          <cell r="BG196"/>
          <cell r="BH196"/>
          <cell r="BI196"/>
          <cell r="BJ196"/>
          <cell r="BK196"/>
          <cell r="BL196"/>
          <cell r="BM196"/>
          <cell r="BN196"/>
          <cell r="BO196"/>
          <cell r="BP196"/>
          <cell r="BQ196"/>
          <cell r="BR196"/>
          <cell r="BS196"/>
          <cell r="BT196"/>
          <cell r="BU196"/>
          <cell r="BV196"/>
          <cell r="BW196"/>
          <cell r="BX196"/>
        </row>
        <row r="197">
          <cell r="B197" t="str">
            <v>Long-term dividend payout estimate</v>
          </cell>
          <cell r="C197" t="str">
            <v>B_LT_DIV_PAYOUT</v>
          </cell>
          <cell r="F197"/>
          <cell r="G197"/>
          <cell r="H197"/>
          <cell r="I197"/>
          <cell r="J197"/>
          <cell r="K197"/>
          <cell r="L197"/>
          <cell r="M197"/>
          <cell r="N197"/>
          <cell r="O197"/>
          <cell r="P197"/>
          <cell r="Q197"/>
          <cell r="R197"/>
          <cell r="S197"/>
          <cell r="T197"/>
          <cell r="U197"/>
          <cell r="V197"/>
          <cell r="W197"/>
          <cell r="X197"/>
          <cell r="Y197"/>
          <cell r="Z197"/>
          <cell r="AA197"/>
          <cell r="AB197"/>
          <cell r="AC197"/>
          <cell r="AD197"/>
          <cell r="AE197"/>
          <cell r="AF197"/>
          <cell r="AG197"/>
          <cell r="AH197"/>
          <cell r="AI197"/>
          <cell r="AJ197"/>
          <cell r="AK197"/>
          <cell r="AL197"/>
          <cell r="AM197"/>
          <cell r="AN197"/>
          <cell r="AO197"/>
          <cell r="AP197"/>
          <cell r="AQ197"/>
          <cell r="AR197"/>
          <cell r="AS197"/>
          <cell r="AT197"/>
          <cell r="AU197"/>
          <cell r="AV197"/>
          <cell r="AW197"/>
          <cell r="AX197"/>
          <cell r="AY197"/>
          <cell r="AZ197"/>
          <cell r="BA197"/>
          <cell r="BB197"/>
          <cell r="BC197"/>
          <cell r="BD197"/>
          <cell r="BE197"/>
          <cell r="BF197"/>
          <cell r="BG197"/>
          <cell r="BH197"/>
          <cell r="BI197"/>
          <cell r="BJ197"/>
          <cell r="BK197"/>
          <cell r="BL197"/>
          <cell r="BM197"/>
          <cell r="BN197"/>
          <cell r="BO197"/>
          <cell r="BP197"/>
          <cell r="BQ197"/>
          <cell r="BR197"/>
          <cell r="BS197"/>
          <cell r="BT197"/>
          <cell r="BU197"/>
          <cell r="BV197"/>
          <cell r="BW197"/>
          <cell r="BX197"/>
        </row>
        <row r="198">
          <cell r="A198" t="str">
            <v>NPLs (Gross)</v>
          </cell>
          <cell r="B198"/>
          <cell r="C198"/>
          <cell r="D198"/>
        </row>
        <row r="199">
          <cell r="B199" t="str">
            <v>Total NPLs, gross</v>
          </cell>
          <cell r="C199" t="str">
            <v>B_NPL_TOTNPL</v>
          </cell>
          <cell r="D199" t="str">
            <v>AUD</v>
          </cell>
          <cell r="F199">
            <v>1197</v>
          </cell>
          <cell r="G199">
            <v>1263</v>
          </cell>
          <cell r="H199">
            <v>3733</v>
          </cell>
          <cell r="I199">
            <v>7192</v>
          </cell>
          <cell r="J199">
            <v>8116</v>
          </cell>
          <cell r="K199">
            <v>7415</v>
          </cell>
          <cell r="L199">
            <v>6909</v>
          </cell>
          <cell r="M199">
            <v>6082</v>
          </cell>
          <cell r="N199">
            <v>5681</v>
          </cell>
          <cell r="O199">
            <v>4871</v>
          </cell>
          <cell r="P199">
            <v>4871</v>
          </cell>
          <cell r="Q199">
            <v>4956</v>
          </cell>
          <cell r="R199">
            <v>5097</v>
          </cell>
          <cell r="S199">
            <v>5097</v>
          </cell>
          <cell r="T199">
            <v>5456</v>
          </cell>
          <cell r="U199">
            <v>5876</v>
          </cell>
          <cell r="V199">
            <v>5876</v>
          </cell>
          <cell r="W199">
            <v>5711</v>
          </cell>
          <cell r="X199">
            <v>5337</v>
          </cell>
          <cell r="Y199">
            <v>5337</v>
          </cell>
          <cell r="Z199">
            <v>5072</v>
          </cell>
          <cell r="AA199">
            <v>5050</v>
          </cell>
          <cell r="AB199">
            <v>5050</v>
          </cell>
          <cell r="AC199">
            <v>5456</v>
          </cell>
          <cell r="AD199">
            <v>5773</v>
          </cell>
          <cell r="AE199">
            <v>5773</v>
          </cell>
          <cell r="AF199">
            <v>6220</v>
          </cell>
          <cell r="AG199">
            <v>6303</v>
          </cell>
          <cell r="AH199">
            <v>6303</v>
          </cell>
          <cell r="AI199">
            <v>5763</v>
          </cell>
          <cell r="AJ199">
            <v>5030</v>
          </cell>
          <cell r="AK199">
            <v>5030</v>
          </cell>
          <cell r="AL199">
            <v>4532</v>
          </cell>
          <cell r="AM199">
            <v>3847</v>
          </cell>
          <cell r="AN199">
            <v>3847</v>
          </cell>
          <cell r="AO199">
            <v>3712</v>
          </cell>
          <cell r="AP199">
            <v>4362</v>
          </cell>
          <cell r="AQ199">
            <v>4362</v>
          </cell>
          <cell r="AR199">
            <v>5008</v>
          </cell>
          <cell r="AS199">
            <v>5866</v>
          </cell>
          <cell r="AT199">
            <v>5866</v>
          </cell>
          <cell r="AU199">
            <v>6808</v>
          </cell>
          <cell r="AV199">
            <v>6987</v>
          </cell>
          <cell r="AW199">
            <v>6987</v>
          </cell>
          <cell r="AX199">
            <v>7659.0887533515015</v>
          </cell>
          <cell r="AY199">
            <v>8293.8037472465476</v>
          </cell>
          <cell r="AZ199">
            <v>8293.8037472465476</v>
          </cell>
          <cell r="BA199">
            <v>8944.2083199811295</v>
          </cell>
          <cell r="BB199">
            <v>9653.9599533348664</v>
          </cell>
          <cell r="BC199">
            <v>9653.9599533348664</v>
          </cell>
          <cell r="BD199">
            <v>9901.3048890630835</v>
          </cell>
          <cell r="BE199">
            <v>10156.648775351845</v>
          </cell>
          <cell r="BF199">
            <v>10156.648775351845</v>
          </cell>
          <cell r="BG199">
            <v>9747.8538574309841</v>
          </cell>
          <cell r="BH199">
            <v>9316.668873749597</v>
          </cell>
          <cell r="BI199">
            <v>9316.668873749597</v>
          </cell>
          <cell r="BJ199">
            <v>9294.2199523980435</v>
          </cell>
          <cell r="BK199">
            <v>9256.8998119598491</v>
          </cell>
          <cell r="BL199">
            <v>9256.8998119598491</v>
          </cell>
          <cell r="BM199">
            <v>9235.4232237638626</v>
          </cell>
          <cell r="BN199">
            <v>9181.8784629464317</v>
          </cell>
          <cell r="BO199">
            <v>9181.8784629464317</v>
          </cell>
          <cell r="BP199">
            <v>9124.7380970719678</v>
          </cell>
          <cell r="BQ199">
            <v>9063.8584553406909</v>
          </cell>
          <cell r="BR199">
            <v>9063.8584553406909</v>
          </cell>
          <cell r="BS199">
            <v>9023.5853689892247</v>
          </cell>
          <cell r="BT199">
            <v>8978.4669596151107</v>
          </cell>
          <cell r="BU199">
            <v>8978.4669596151107</v>
          </cell>
          <cell r="BV199">
            <v>8947.7451928972241</v>
          </cell>
          <cell r="BW199">
            <v>8911.9894821251437</v>
          </cell>
          <cell r="BX199">
            <v>8911.9894821251437</v>
          </cell>
        </row>
        <row r="200">
          <cell r="B200" t="str">
            <v>Other impaired loans</v>
          </cell>
          <cell r="C200" t="str">
            <v>B_NPL_PROBLN</v>
          </cell>
          <cell r="D200" t="str">
            <v>AUD</v>
          </cell>
          <cell r="F200"/>
          <cell r="G200"/>
          <cell r="H200"/>
          <cell r="I200"/>
          <cell r="J200"/>
          <cell r="K200"/>
          <cell r="L200"/>
          <cell r="M200"/>
          <cell r="N200"/>
          <cell r="O200"/>
          <cell r="P200"/>
          <cell r="Q200"/>
          <cell r="R200"/>
          <cell r="S200"/>
          <cell r="T200"/>
          <cell r="U200"/>
          <cell r="V200"/>
          <cell r="W200"/>
          <cell r="X200"/>
          <cell r="Y200"/>
          <cell r="Z200"/>
          <cell r="AA200"/>
          <cell r="AB200"/>
          <cell r="AC200"/>
          <cell r="AD200"/>
          <cell r="AE200"/>
          <cell r="AF200"/>
          <cell r="AG200"/>
          <cell r="AH200"/>
          <cell r="AI200"/>
          <cell r="AJ200"/>
          <cell r="AK200"/>
          <cell r="AL200"/>
          <cell r="AM200"/>
          <cell r="AN200"/>
          <cell r="AO200"/>
          <cell r="AP200"/>
          <cell r="AQ200"/>
          <cell r="AR200"/>
          <cell r="AS200"/>
          <cell r="AT200"/>
          <cell r="AU200"/>
          <cell r="AV200"/>
          <cell r="AW200"/>
          <cell r="AX200"/>
          <cell r="AY200"/>
          <cell r="AZ200"/>
          <cell r="BA200"/>
          <cell r="BB200"/>
          <cell r="BC200"/>
          <cell r="BD200"/>
          <cell r="BE200"/>
          <cell r="BF200"/>
          <cell r="BG200"/>
          <cell r="BH200"/>
          <cell r="BI200"/>
          <cell r="BJ200"/>
          <cell r="BK200"/>
          <cell r="BL200"/>
          <cell r="BM200"/>
          <cell r="BN200"/>
          <cell r="BO200"/>
          <cell r="BP200"/>
          <cell r="BQ200"/>
          <cell r="BR200"/>
          <cell r="BS200"/>
          <cell r="BT200"/>
          <cell r="BU200"/>
          <cell r="BV200"/>
          <cell r="BW200"/>
          <cell r="BX200"/>
        </row>
        <row r="201">
          <cell r="A201" t="str">
            <v>Capital Adequacy</v>
          </cell>
          <cell r="B201"/>
          <cell r="C201"/>
          <cell r="D201"/>
        </row>
        <row r="202">
          <cell r="B202" t="str">
            <v>Tier 1 capital</v>
          </cell>
          <cell r="C202" t="str">
            <v>B_CA_T1CAP</v>
          </cell>
          <cell r="D202" t="str">
            <v>AUD</v>
          </cell>
          <cell r="F202">
            <v>15641</v>
          </cell>
          <cell r="G202">
            <v>17712</v>
          </cell>
          <cell r="H202">
            <v>21229</v>
          </cell>
          <cell r="I202">
            <v>26619</v>
          </cell>
          <cell r="J202">
            <v>26691</v>
          </cell>
          <cell r="K202">
            <v>30616</v>
          </cell>
          <cell r="L202">
            <v>32501</v>
          </cell>
          <cell r="M202">
            <v>35180</v>
          </cell>
          <cell r="N202">
            <v>37299</v>
          </cell>
          <cell r="O202">
            <v>38601</v>
          </cell>
          <cell r="P202">
            <v>38601</v>
          </cell>
          <cell r="Q202">
            <v>41088</v>
          </cell>
          <cell r="R202">
            <v>45484</v>
          </cell>
          <cell r="S202">
            <v>45484</v>
          </cell>
          <cell r="T202">
            <v>45062</v>
          </cell>
          <cell r="U202">
            <v>48285</v>
          </cell>
          <cell r="V202">
            <v>48285</v>
          </cell>
          <cell r="W202">
            <v>48091</v>
          </cell>
          <cell r="X202">
            <v>49324</v>
          </cell>
          <cell r="Y202">
            <v>49324</v>
          </cell>
          <cell r="Z202">
            <v>51125</v>
          </cell>
          <cell r="AA202">
            <v>52240</v>
          </cell>
          <cell r="AB202">
            <v>52240</v>
          </cell>
          <cell r="AC202">
            <v>53075</v>
          </cell>
          <cell r="AD202">
            <v>55221</v>
          </cell>
          <cell r="AE202">
            <v>55221</v>
          </cell>
          <cell r="AF202">
            <v>56002</v>
          </cell>
          <cell r="AG202">
            <v>56087</v>
          </cell>
          <cell r="AH202">
            <v>56087</v>
          </cell>
          <cell r="AI202">
            <v>58431</v>
          </cell>
          <cell r="AJ202">
            <v>59473</v>
          </cell>
          <cell r="AK202">
            <v>59473</v>
          </cell>
          <cell r="AL202">
            <v>58001</v>
          </cell>
          <cell r="AM202">
            <v>63558</v>
          </cell>
          <cell r="AN202">
            <v>63558</v>
          </cell>
          <cell r="AO202">
            <v>65565</v>
          </cell>
          <cell r="AP202">
            <v>66026</v>
          </cell>
          <cell r="AQ202">
            <v>66026</v>
          </cell>
          <cell r="AR202">
            <v>66709</v>
          </cell>
          <cell r="AS202">
            <v>62676</v>
          </cell>
          <cell r="AT202">
            <v>62676</v>
          </cell>
          <cell r="AU202">
            <v>62672</v>
          </cell>
          <cell r="AV202">
            <v>62541</v>
          </cell>
          <cell r="AW202">
            <v>62541</v>
          </cell>
          <cell r="AX202">
            <v>64888.569980223801</v>
          </cell>
          <cell r="AY202">
            <v>66691.90443558988</v>
          </cell>
          <cell r="AZ202">
            <v>66691.90443558988</v>
          </cell>
          <cell r="BA202">
            <v>67340.099829021114</v>
          </cell>
          <cell r="BB202">
            <v>66961.923732556505</v>
          </cell>
          <cell r="BC202">
            <v>66961.92373255649</v>
          </cell>
          <cell r="BD202">
            <v>66692.745800752513</v>
          </cell>
          <cell r="BE202">
            <v>66341.089103866747</v>
          </cell>
          <cell r="BF202">
            <v>66341.089103866718</v>
          </cell>
          <cell r="BG202">
            <v>66022.571770001974</v>
          </cell>
          <cell r="BH202">
            <v>65732.126317998045</v>
          </cell>
          <cell r="BI202">
            <v>65732.126317998016</v>
          </cell>
          <cell r="BJ202">
            <v>66451.817660086046</v>
          </cell>
          <cell r="BK202">
            <v>67184.224919500441</v>
          </cell>
          <cell r="BL202">
            <v>67184.224919500411</v>
          </cell>
          <cell r="BM202">
            <v>68189.089287289054</v>
          </cell>
          <cell r="BN202">
            <v>69282.332085859802</v>
          </cell>
          <cell r="BO202">
            <v>69282.332085859787</v>
          </cell>
          <cell r="BP202">
            <v>70361.007072644861</v>
          </cell>
          <cell r="BQ202">
            <v>71363.952797138452</v>
          </cell>
          <cell r="BR202">
            <v>71363.952797138438</v>
          </cell>
          <cell r="BS202">
            <v>72336.77080606512</v>
          </cell>
          <cell r="BT202">
            <v>73275.616406555928</v>
          </cell>
          <cell r="BU202">
            <v>73275.616406555913</v>
          </cell>
          <cell r="BV202">
            <v>74195.437350354099</v>
          </cell>
          <cell r="BW202">
            <v>75123.775005170144</v>
          </cell>
          <cell r="BX202">
            <v>75123.775005170115</v>
          </cell>
        </row>
        <row r="203">
          <cell r="B203" t="str">
            <v>Tier 1 core equity</v>
          </cell>
          <cell r="C203" t="str">
            <v>B_CA_CORECAP</v>
          </cell>
          <cell r="D203" t="str">
            <v>AUD</v>
          </cell>
          <cell r="F203">
            <v>12299</v>
          </cell>
          <cell r="G203">
            <v>13560</v>
          </cell>
          <cell r="H203">
            <v>16287</v>
          </cell>
          <cell r="I203">
            <v>22596</v>
          </cell>
          <cell r="J203">
            <v>21258</v>
          </cell>
          <cell r="K203">
            <v>23864</v>
          </cell>
          <cell r="L203">
            <v>26524</v>
          </cell>
          <cell r="M203">
            <v>28779</v>
          </cell>
          <cell r="N203">
            <v>30020</v>
          </cell>
          <cell r="O203">
            <v>31776</v>
          </cell>
          <cell r="P203">
            <v>31776</v>
          </cell>
          <cell r="Q203">
            <v>33736</v>
          </cell>
          <cell r="R203">
            <v>38526</v>
          </cell>
          <cell r="S203">
            <v>38526</v>
          </cell>
          <cell r="T203">
            <v>38102</v>
          </cell>
          <cell r="U203">
            <v>39267</v>
          </cell>
          <cell r="V203">
            <v>39267</v>
          </cell>
          <cell r="W203">
            <v>40217</v>
          </cell>
          <cell r="X203">
            <v>41336</v>
          </cell>
          <cell r="Y203">
            <v>41336</v>
          </cell>
          <cell r="Z203">
            <v>43707</v>
          </cell>
          <cell r="AA203">
            <v>44713</v>
          </cell>
          <cell r="AB203">
            <v>44713</v>
          </cell>
          <cell r="AC203">
            <v>45528</v>
          </cell>
          <cell r="AD203">
            <v>47355</v>
          </cell>
          <cell r="AE203">
            <v>47355</v>
          </cell>
          <cell r="AF203">
            <v>48038</v>
          </cell>
          <cell r="AG203">
            <v>48308</v>
          </cell>
          <cell r="AH203">
            <v>48308</v>
          </cell>
          <cell r="AI203">
            <v>50786</v>
          </cell>
          <cell r="AJ203">
            <v>51359</v>
          </cell>
          <cell r="AK203">
            <v>51359</v>
          </cell>
          <cell r="AL203">
            <v>50511</v>
          </cell>
          <cell r="AM203">
            <v>55872</v>
          </cell>
          <cell r="AN203">
            <v>55872</v>
          </cell>
          <cell r="AO203">
            <v>57381</v>
          </cell>
          <cell r="AP203">
            <v>57794</v>
          </cell>
          <cell r="AQ203">
            <v>57794</v>
          </cell>
          <cell r="AR203">
            <v>58412</v>
          </cell>
          <cell r="AS203">
            <v>54469</v>
          </cell>
          <cell r="AT203">
            <v>54469</v>
          </cell>
          <cell r="AU203">
            <v>55229</v>
          </cell>
          <cell r="AV203">
            <v>55184</v>
          </cell>
          <cell r="AW203">
            <v>55184</v>
          </cell>
          <cell r="AX203">
            <v>57531.569980223801</v>
          </cell>
          <cell r="AY203">
            <v>59334.90443558988</v>
          </cell>
          <cell r="AZ203">
            <v>59334.90443558988</v>
          </cell>
          <cell r="BA203">
            <v>59983.099829021114</v>
          </cell>
          <cell r="BB203">
            <v>59604.923732556505</v>
          </cell>
          <cell r="BC203">
            <v>59604.92373255649</v>
          </cell>
          <cell r="BD203">
            <v>59335.745800752513</v>
          </cell>
          <cell r="BE203">
            <v>58984.089103866747</v>
          </cell>
          <cell r="BF203">
            <v>58984.089103866718</v>
          </cell>
          <cell r="BG203">
            <v>58665.571770001974</v>
          </cell>
          <cell r="BH203">
            <v>58375.126317998045</v>
          </cell>
          <cell r="BI203">
            <v>58375.126317998016</v>
          </cell>
          <cell r="BJ203">
            <v>59094.817660086046</v>
          </cell>
          <cell r="BK203">
            <v>59827.224919500441</v>
          </cell>
          <cell r="BL203">
            <v>59827.224919500411</v>
          </cell>
          <cell r="BM203">
            <v>60832.089287289054</v>
          </cell>
          <cell r="BN203">
            <v>61925.332085859802</v>
          </cell>
          <cell r="BO203">
            <v>61925.332085859787</v>
          </cell>
          <cell r="BP203">
            <v>63004.007072644861</v>
          </cell>
          <cell r="BQ203">
            <v>64006.952797138452</v>
          </cell>
          <cell r="BR203">
            <v>64006.952797138438</v>
          </cell>
          <cell r="BS203">
            <v>64979.77080606512</v>
          </cell>
          <cell r="BT203">
            <v>65918.616406555928</v>
          </cell>
          <cell r="BU203">
            <v>65918.616406555913</v>
          </cell>
          <cell r="BV203">
            <v>66838.437350354099</v>
          </cell>
          <cell r="BW203">
            <v>67766.775005170144</v>
          </cell>
          <cell r="BX203">
            <v>67766.775005170115</v>
          </cell>
        </row>
        <row r="204">
          <cell r="B204" t="str">
            <v>Tier 1 preference share capital</v>
          </cell>
          <cell r="C204" t="str">
            <v>B_CA_PREFCAP</v>
          </cell>
          <cell r="D204" t="str">
            <v>AUD</v>
          </cell>
          <cell r="F204"/>
          <cell r="G204"/>
          <cell r="H204"/>
          <cell r="I204"/>
          <cell r="J204"/>
          <cell r="K204"/>
          <cell r="L204"/>
          <cell r="M204"/>
          <cell r="N204"/>
          <cell r="O204"/>
          <cell r="P204"/>
          <cell r="Q204"/>
          <cell r="R204"/>
          <cell r="S204"/>
          <cell r="T204"/>
          <cell r="U204"/>
          <cell r="V204"/>
          <cell r="W204"/>
          <cell r="X204"/>
          <cell r="Y204"/>
          <cell r="Z204"/>
          <cell r="AA204"/>
          <cell r="AB204"/>
          <cell r="AC204"/>
          <cell r="AD204"/>
          <cell r="AE204"/>
          <cell r="AF204"/>
          <cell r="AG204"/>
          <cell r="AH204"/>
          <cell r="AI204"/>
          <cell r="AJ204"/>
          <cell r="AK204"/>
          <cell r="AL204"/>
          <cell r="AM204"/>
          <cell r="AN204"/>
          <cell r="AO204"/>
          <cell r="AP204"/>
          <cell r="AQ204"/>
          <cell r="AR204"/>
          <cell r="AS204"/>
          <cell r="AT204"/>
          <cell r="AU204"/>
          <cell r="AV204"/>
          <cell r="AW204"/>
          <cell r="AX204"/>
          <cell r="AY204"/>
          <cell r="AZ204"/>
          <cell r="BA204"/>
          <cell r="BB204"/>
          <cell r="BC204"/>
          <cell r="BD204"/>
          <cell r="BE204"/>
          <cell r="BF204"/>
          <cell r="BG204"/>
          <cell r="BH204"/>
          <cell r="BI204"/>
          <cell r="BJ204"/>
          <cell r="BK204"/>
          <cell r="BL204"/>
          <cell r="BM204"/>
          <cell r="BN204"/>
          <cell r="BO204"/>
          <cell r="BP204"/>
          <cell r="BQ204"/>
          <cell r="BR204"/>
          <cell r="BS204"/>
          <cell r="BT204"/>
          <cell r="BU204"/>
          <cell r="BV204"/>
          <cell r="BW204"/>
          <cell r="BX204"/>
        </row>
        <row r="205">
          <cell r="B205" t="str">
            <v>Tier 1 capital ratio</v>
          </cell>
          <cell r="C205" t="str">
            <v>B_CA_T1RATIO</v>
          </cell>
          <cell r="F205">
            <v>6.5568891143315877E-2</v>
          </cell>
          <cell r="G205">
            <v>6.4862251941802687E-2</v>
          </cell>
          <cell r="H205">
            <v>8.4662013958125629E-2</v>
          </cell>
          <cell r="I205">
            <v>0.11582996462310333</v>
          </cell>
          <cell r="J205">
            <v>0.11430002954816994</v>
          </cell>
          <cell r="K205">
            <v>0.12304081534232482</v>
          </cell>
          <cell r="L205">
            <v>0.12751741049534085</v>
          </cell>
          <cell r="M205">
            <v>0.12230098278817039</v>
          </cell>
          <cell r="N205">
            <v>0.10339579752730499</v>
          </cell>
          <cell r="O205">
            <v>0.10677151763758924</v>
          </cell>
          <cell r="P205">
            <v>0.12496883953574955</v>
          </cell>
          <cell r="Q205">
            <v>0.1062081408664049</v>
          </cell>
          <cell r="R205">
            <v>0.1131620129522786</v>
          </cell>
          <cell r="S205">
            <v>0.13004680472679134</v>
          </cell>
          <cell r="T205">
            <v>0.11603898695713752</v>
          </cell>
          <cell r="U205">
            <v>0.11817701220318076</v>
          </cell>
          <cell r="V205">
            <v>0.13716043666360825</v>
          </cell>
          <cell r="W205">
            <v>0.12112381624017732</v>
          </cell>
          <cell r="X205">
            <v>0.12611189093689038</v>
          </cell>
          <cell r="Y205">
            <v>0.14643414857170001</v>
          </cell>
          <cell r="Z205">
            <v>0.12917627856090677</v>
          </cell>
          <cell r="AA205">
            <v>0.13366767309758967</v>
          </cell>
          <cell r="AB205">
            <v>0.15474850405829729</v>
          </cell>
          <cell r="AC205">
            <v>0.13392935999051203</v>
          </cell>
          <cell r="AD205">
            <v>0.13243684661155361</v>
          </cell>
          <cell r="AE205">
            <v>0.13243684661155361</v>
          </cell>
          <cell r="AF205">
            <v>0.12472272455969996</v>
          </cell>
          <cell r="AG205">
            <v>0.13062200734074861</v>
          </cell>
          <cell r="AH205">
            <v>0.13062200734074861</v>
          </cell>
          <cell r="AI205">
            <v>0.14315499086156122</v>
          </cell>
          <cell r="AJ205">
            <v>0.14293439337060126</v>
          </cell>
          <cell r="AK205">
            <v>0.14293439337060126</v>
          </cell>
          <cell r="AL205">
            <v>0.13244959009842205</v>
          </cell>
          <cell r="AM205">
            <v>0.1397745415840147</v>
          </cell>
          <cell r="AN205">
            <v>0.1397745415840147</v>
          </cell>
          <cell r="AO205">
            <v>0.15054625109640563</v>
          </cell>
          <cell r="AP205">
            <v>0.15236991925266599</v>
          </cell>
          <cell r="AQ205">
            <v>0.15236991925266599</v>
          </cell>
          <cell r="AR205">
            <v>0.15414102809979227</v>
          </cell>
          <cell r="AS205">
            <v>0.14034600588469753</v>
          </cell>
          <cell r="AT205">
            <v>0.14034600588469753</v>
          </cell>
          <cell r="AU205">
            <v>0.13362928279164774</v>
          </cell>
          <cell r="AV205">
            <v>0.13638950859999083</v>
          </cell>
          <cell r="AW205">
            <v>0.13638950859999083</v>
          </cell>
          <cell r="AX205">
            <v>0.13714758712822672</v>
          </cell>
          <cell r="AY205">
            <v>0.13952058264553524</v>
          </cell>
          <cell r="AZ205">
            <v>0.13952058264553524</v>
          </cell>
          <cell r="BA205">
            <v>0.13964745364810877</v>
          </cell>
          <cell r="BB205">
            <v>0.13752063269215939</v>
          </cell>
          <cell r="BC205">
            <v>0.13752063269215933</v>
          </cell>
          <cell r="BD205">
            <v>0.13572300582342017</v>
          </cell>
          <cell r="BE205">
            <v>0.13362128930649336</v>
          </cell>
          <cell r="BF205">
            <v>0.13362128930649331</v>
          </cell>
          <cell r="BG205">
            <v>0.13177229768662924</v>
          </cell>
          <cell r="BH205">
            <v>0.13001550885103208</v>
          </cell>
          <cell r="BI205">
            <v>0.13001550885103202</v>
          </cell>
          <cell r="BJ205">
            <v>0.12955976855531795</v>
          </cell>
          <cell r="BK205">
            <v>0.12916287676825722</v>
          </cell>
          <cell r="BL205">
            <v>0.12916287676825716</v>
          </cell>
          <cell r="BM205">
            <v>0.12906476649253054</v>
          </cell>
          <cell r="BN205">
            <v>0.12928196454558297</v>
          </cell>
          <cell r="BO205">
            <v>0.12928196454558294</v>
          </cell>
          <cell r="BP205">
            <v>0.12942857627140142</v>
          </cell>
          <cell r="BQ205">
            <v>0.12939581267777137</v>
          </cell>
          <cell r="BR205">
            <v>0.12939581267777134</v>
          </cell>
          <cell r="BS205">
            <v>0.12907577097928594</v>
          </cell>
          <cell r="BT205">
            <v>0.12866522060713759</v>
          </cell>
          <cell r="BU205">
            <v>0.12866522060713756</v>
          </cell>
          <cell r="BV205">
            <v>0.12803716706671978</v>
          </cell>
          <cell r="BW205">
            <v>0.12739500974323115</v>
          </cell>
          <cell r="BX205">
            <v>0.12739500974323109</v>
          </cell>
        </row>
        <row r="206">
          <cell r="B206" t="str">
            <v>Basel 3 CET1 ratio (CRD4 - fully loaded)</v>
          </cell>
          <cell r="C206" t="str">
            <v>B_CA_B3T1RATIO</v>
          </cell>
          <cell r="F206">
            <v>0</v>
          </cell>
          <cell r="G206">
            <v>0</v>
          </cell>
          <cell r="H206">
            <v>0</v>
          </cell>
          <cell r="I206">
            <v>0</v>
          </cell>
          <cell r="J206">
            <v>0</v>
          </cell>
          <cell r="K206">
            <v>0</v>
          </cell>
          <cell r="L206">
            <v>0</v>
          </cell>
          <cell r="M206">
            <v>0.12955147527597516</v>
          </cell>
          <cell r="N206">
            <v>0.10521783001607805</v>
          </cell>
          <cell r="O206">
            <v>0.12689336401782431</v>
          </cell>
          <cell r="P206">
            <v>0.15569219461660663</v>
          </cell>
          <cell r="Q206">
            <v>0.12420399728069108</v>
          </cell>
          <cell r="R206">
            <v>0.13185084229618074</v>
          </cell>
          <cell r="S206">
            <v>0.15728881200248931</v>
          </cell>
          <cell r="T206">
            <v>0.14011631709735153</v>
          </cell>
          <cell r="U206">
            <v>0.14510555531080666</v>
          </cell>
          <cell r="V206">
            <v>0.17747704600077549</v>
          </cell>
          <cell r="W206">
            <v>0.15229206125327421</v>
          </cell>
          <cell r="X206">
            <v>0.15768812593802817</v>
          </cell>
          <cell r="Y206">
            <v>0.19192149705157835</v>
          </cell>
          <cell r="Z206">
            <v>0.16343340062712083</v>
          </cell>
          <cell r="AA206">
            <v>0.16940816744281256</v>
          </cell>
          <cell r="AB206">
            <v>0.20516749984529351</v>
          </cell>
          <cell r="AC206">
            <v>0.16888527370038683</v>
          </cell>
          <cell r="AD206">
            <v>0.16357177289962371</v>
          </cell>
          <cell r="AE206">
            <v>0.16357177289962371</v>
          </cell>
          <cell r="AF206">
            <v>0.15398600482837876</v>
          </cell>
          <cell r="AG206">
            <v>0.16650535651072235</v>
          </cell>
          <cell r="AH206">
            <v>0.16650535651072235</v>
          </cell>
          <cell r="AI206">
            <v>0.18142486635339544</v>
          </cell>
          <cell r="AJ206">
            <v>0.18343361708877493</v>
          </cell>
          <cell r="AK206">
            <v>0.18343361708877493</v>
          </cell>
          <cell r="AL206">
            <v>0.1803456189628006</v>
          </cell>
          <cell r="AM206">
            <v>0.19187175788070848</v>
          </cell>
          <cell r="AN206">
            <v>0.19187175788070848</v>
          </cell>
          <cell r="AO206">
            <v>0.18875466230706706</v>
          </cell>
          <cell r="AP206">
            <v>0.19737271852434768</v>
          </cell>
          <cell r="AQ206">
            <v>0.19737271852434768</v>
          </cell>
          <cell r="AR206">
            <v>0.19676958031697472</v>
          </cell>
          <cell r="AS206">
            <v>0.17606864181718021</v>
          </cell>
          <cell r="AT206">
            <v>0.17606864181718021</v>
          </cell>
          <cell r="AU206">
            <v>0.17015931291964376</v>
          </cell>
          <cell r="AV206">
            <v>0.17274535173057506</v>
          </cell>
          <cell r="AW206">
            <v>0.17274535173057506</v>
          </cell>
          <cell r="AX206">
            <v>0.17488902992131058</v>
          </cell>
          <cell r="AY206">
            <v>0.17869186788790362</v>
          </cell>
          <cell r="AZ206">
            <v>0.17869186788790362</v>
          </cell>
          <cell r="BA206">
            <v>0.17971455852830756</v>
          </cell>
          <cell r="BB206">
            <v>0.17822207690289199</v>
          </cell>
          <cell r="BC206">
            <v>0.17822207690289193</v>
          </cell>
          <cell r="BD206">
            <v>0.17714393522525873</v>
          </cell>
          <cell r="BE206">
            <v>0.17551086564497878</v>
          </cell>
          <cell r="BF206">
            <v>0.1755108656449787</v>
          </cell>
          <cell r="BG206">
            <v>0.17418833131055497</v>
          </cell>
          <cell r="BH206">
            <v>0.17289982278480923</v>
          </cell>
          <cell r="BI206">
            <v>0.17289982278480914</v>
          </cell>
          <cell r="BJ206">
            <v>0.17295548092088553</v>
          </cell>
          <cell r="BK206">
            <v>0.17296909322020781</v>
          </cell>
          <cell r="BL206">
            <v>0.17296909322020773</v>
          </cell>
          <cell r="BM206">
            <v>0.17336358745763536</v>
          </cell>
          <cell r="BN206">
            <v>0.17434092516898336</v>
          </cell>
          <cell r="BO206">
            <v>0.17434092516898334</v>
          </cell>
          <cell r="BP206">
            <v>0.17522015628748527</v>
          </cell>
          <cell r="BQ206">
            <v>0.17584871143996553</v>
          </cell>
          <cell r="BR206">
            <v>0.17584871143996553</v>
          </cell>
          <cell r="BS206">
            <v>0.17597358409804661</v>
          </cell>
          <cell r="BT206">
            <v>0.17596482297544452</v>
          </cell>
          <cell r="BU206">
            <v>0.1759648229754445</v>
          </cell>
          <cell r="BV206">
            <v>0.1755614840276975</v>
          </cell>
          <cell r="BW206">
            <v>0.17512549963111035</v>
          </cell>
          <cell r="BX206">
            <v>0.17512549963111027</v>
          </cell>
        </row>
        <row r="207">
          <cell r="B207" t="str">
            <v>Tier 2 capital</v>
          </cell>
          <cell r="C207" t="str">
            <v>B_CA_T2CAP</v>
          </cell>
          <cell r="D207" t="str">
            <v>AUD</v>
          </cell>
          <cell r="F207">
            <v>9050</v>
          </cell>
          <cell r="G207">
            <v>9285</v>
          </cell>
          <cell r="H207">
            <v>9338</v>
          </cell>
          <cell r="I207">
            <v>7811</v>
          </cell>
          <cell r="J207">
            <v>4816</v>
          </cell>
          <cell r="K207">
            <v>3174</v>
          </cell>
          <cell r="L207">
            <v>4073</v>
          </cell>
          <cell r="M207">
            <v>6190</v>
          </cell>
          <cell r="N207">
            <v>6335</v>
          </cell>
          <cell r="O207">
            <v>7138</v>
          </cell>
          <cell r="P207">
            <v>7138</v>
          </cell>
          <cell r="Q207">
            <v>7716</v>
          </cell>
          <cell r="R207">
            <v>7951</v>
          </cell>
          <cell r="S207">
            <v>7951</v>
          </cell>
          <cell r="T207">
            <v>8076</v>
          </cell>
          <cell r="U207">
            <v>10328</v>
          </cell>
          <cell r="V207">
            <v>10328</v>
          </cell>
          <cell r="W207">
            <v>9648</v>
          </cell>
          <cell r="X207">
            <v>8669</v>
          </cell>
          <cell r="Y207">
            <v>8669</v>
          </cell>
          <cell r="Z207">
            <v>8040</v>
          </cell>
          <cell r="AA207">
            <v>7291</v>
          </cell>
          <cell r="AB207">
            <v>7291</v>
          </cell>
          <cell r="AC207">
            <v>7569</v>
          </cell>
          <cell r="AD207">
            <v>8549</v>
          </cell>
          <cell r="AE207">
            <v>8549</v>
          </cell>
          <cell r="AF207">
            <v>13112</v>
          </cell>
          <cell r="AG207">
            <v>13957</v>
          </cell>
          <cell r="AH207">
            <v>13957</v>
          </cell>
          <cell r="AI207">
            <v>16464</v>
          </cell>
          <cell r="AJ207">
            <v>17125</v>
          </cell>
          <cell r="AK207">
            <v>17125</v>
          </cell>
          <cell r="AL207">
            <v>14780</v>
          </cell>
          <cell r="AM207">
            <v>19277</v>
          </cell>
          <cell r="AN207">
            <v>19277</v>
          </cell>
          <cell r="AO207">
            <v>24068</v>
          </cell>
          <cell r="AP207">
            <v>24959</v>
          </cell>
          <cell r="AQ207">
            <v>24959</v>
          </cell>
          <cell r="AR207">
            <v>28223</v>
          </cell>
          <cell r="AS207">
            <v>29189</v>
          </cell>
          <cell r="AT207">
            <v>29189</v>
          </cell>
          <cell r="AU207">
            <v>32831</v>
          </cell>
          <cell r="AV207">
            <v>33810</v>
          </cell>
          <cell r="AW207">
            <v>33810</v>
          </cell>
          <cell r="AX207">
            <v>33840.258147469722</v>
          </cell>
          <cell r="AY207">
            <v>33869.614842953873</v>
          </cell>
          <cell r="AZ207">
            <v>33869.614842953873</v>
          </cell>
          <cell r="BA207">
            <v>33895.565549842831</v>
          </cell>
          <cell r="BB207">
            <v>33925.0339194595</v>
          </cell>
          <cell r="BC207">
            <v>33925.0339194595</v>
          </cell>
          <cell r="BD207">
            <v>33948.950709061137</v>
          </cell>
          <cell r="BE207">
            <v>33974.880662987154</v>
          </cell>
          <cell r="BF207">
            <v>33974.880662987154</v>
          </cell>
          <cell r="BG207">
            <v>33998.134498139181</v>
          </cell>
          <cell r="BH207">
            <v>34021.32082859442</v>
          </cell>
          <cell r="BI207">
            <v>34021.32082859442</v>
          </cell>
          <cell r="BJ207">
            <v>34058.165120365251</v>
          </cell>
          <cell r="BK207">
            <v>34094.582385504873</v>
          </cell>
          <cell r="BL207">
            <v>34094.582385504873</v>
          </cell>
          <cell r="BM207">
            <v>34133.124223013161</v>
          </cell>
          <cell r="BN207">
            <v>34168.851764282444</v>
          </cell>
          <cell r="BO207">
            <v>34168.851764282444</v>
          </cell>
          <cell r="BP207">
            <v>34205.304202491272</v>
          </cell>
          <cell r="BQ207">
            <v>34242.49586855431</v>
          </cell>
          <cell r="BR207">
            <v>34242.49586855431</v>
          </cell>
          <cell r="BS207">
            <v>34284.347739666729</v>
          </cell>
          <cell r="BT207">
            <v>34327.026963987802</v>
          </cell>
          <cell r="BU207">
            <v>34327.026963987802</v>
          </cell>
          <cell r="BV207">
            <v>34373.801362406841</v>
          </cell>
          <cell r="BW207">
            <v>34421.631485151884</v>
          </cell>
          <cell r="BX207">
            <v>34421.631485151884</v>
          </cell>
        </row>
        <row r="208">
          <cell r="B208" t="str">
            <v>Tier 2 ratio</v>
          </cell>
          <cell r="C208" t="str">
            <v>B_CA_T2RATIO</v>
          </cell>
          <cell r="F208">
            <v>3.7938652569976902E-2</v>
          </cell>
          <cell r="G208">
            <v>3.4002145962039168E-2</v>
          </cell>
          <cell r="H208">
            <v>3.7240279162512463E-2</v>
          </cell>
          <cell r="I208">
            <v>3.3988799491756289E-2</v>
          </cell>
          <cell r="J208">
            <v>2.0623766149787823E-2</v>
          </cell>
          <cell r="K208">
            <v>1.2755799186586717E-2</v>
          </cell>
          <cell r="L208">
            <v>1.5980382540461024E-2</v>
          </cell>
          <cell r="M208">
            <v>2.1519132559942422E-2</v>
          </cell>
          <cell r="N208">
            <v>1.7561124355491481E-2</v>
          </cell>
          <cell r="O208">
            <v>1.9743920957931455E-2</v>
          </cell>
          <cell r="P208">
            <v>2.3108924033216238E-2</v>
          </cell>
          <cell r="Q208">
            <v>1.9945045145180584E-2</v>
          </cell>
          <cell r="R208">
            <v>1.9781707083448397E-2</v>
          </cell>
          <cell r="S208">
            <v>2.2733315987659791E-2</v>
          </cell>
          <cell r="T208">
            <v>2.0796477268337915E-2</v>
          </cell>
          <cell r="U208">
            <v>2.5277667640767346E-2</v>
          </cell>
          <cell r="V208">
            <v>2.9338158638536727E-2</v>
          </cell>
          <cell r="W208">
            <v>2.4299818658069711E-2</v>
          </cell>
          <cell r="X208">
            <v>2.2164949771549397E-2</v>
          </cell>
          <cell r="Y208">
            <v>2.5736713039657522E-2</v>
          </cell>
          <cell r="Z208">
            <v>2.0314470017206654E-2</v>
          </cell>
          <cell r="AA208">
            <v>1.8655647100967204E-2</v>
          </cell>
          <cell r="AB208">
            <v>2.1597843474139455E-2</v>
          </cell>
          <cell r="AC208">
            <v>1.9099601050743015E-2</v>
          </cell>
          <cell r="AD208">
            <v>2.0503116598434845E-2</v>
          </cell>
          <cell r="AE208">
            <v>2.0503116598434845E-2</v>
          </cell>
          <cell r="AF208">
            <v>2.9201892154329945E-2</v>
          </cell>
          <cell r="AG208">
            <v>3.2504704413764823E-2</v>
          </cell>
          <cell r="AH208">
            <v>3.2504704413764823E-2</v>
          </cell>
          <cell r="AI208">
            <v>4.0336529745250704E-2</v>
          </cell>
          <cell r="AJ208">
            <v>4.1157356892565472E-2</v>
          </cell>
          <cell r="AK208">
            <v>4.1157356892565472E-2</v>
          </cell>
          <cell r="AL208">
            <v>3.3751227421159602E-2</v>
          </cell>
          <cell r="AM208">
            <v>4.2393307500472821E-2</v>
          </cell>
          <cell r="AN208">
            <v>4.2393307500472821E-2</v>
          </cell>
          <cell r="AO208">
            <v>5.5263435848216136E-2</v>
          </cell>
          <cell r="AP208">
            <v>5.7598534132421941E-2</v>
          </cell>
          <cell r="AQ208">
            <v>5.7598534132421941E-2</v>
          </cell>
          <cell r="AR208">
            <v>6.5213423017290578E-2</v>
          </cell>
          <cell r="AS208">
            <v>6.5360896766999133E-2</v>
          </cell>
          <cell r="AT208">
            <v>6.5360896766999133E-2</v>
          </cell>
          <cell r="AU208">
            <v>7.0002281454757898E-2</v>
          </cell>
          <cell r="AV208">
            <v>7.3732899789988815E-2</v>
          </cell>
          <cell r="AW208">
            <v>7.3732899789988815E-2</v>
          </cell>
          <cell r="AX208">
            <v>7.1524303188316041E-2</v>
          </cell>
          <cell r="AY208">
            <v>7.0855802317545513E-2</v>
          </cell>
          <cell r="AZ208">
            <v>7.0855802317545513E-2</v>
          </cell>
          <cell r="BA208">
            <v>7.0291392959268756E-2</v>
          </cell>
          <cell r="BB208">
            <v>6.9672313288674986E-2</v>
          </cell>
          <cell r="BC208">
            <v>6.9672313288675014E-2</v>
          </cell>
          <cell r="BD208">
            <v>6.9087778280271711E-2</v>
          </cell>
          <cell r="BE208">
            <v>6.8430702895379336E-2</v>
          </cell>
          <cell r="BF208">
            <v>6.8430702895379336E-2</v>
          </cell>
          <cell r="BG208">
            <v>6.7855767804464673E-2</v>
          </cell>
          <cell r="BH208">
            <v>6.7292807749972011E-2</v>
          </cell>
          <cell r="BI208">
            <v>6.7292807749972011E-2</v>
          </cell>
          <cell r="BJ208">
            <v>6.6402517580248427E-2</v>
          </cell>
          <cell r="BK208">
            <v>6.5547445823788242E-2</v>
          </cell>
          <cell r="BL208">
            <v>6.5547445823788242E-2</v>
          </cell>
          <cell r="BM208">
            <v>6.4605404670288302E-2</v>
          </cell>
          <cell r="BN208">
            <v>6.3759636105765821E-2</v>
          </cell>
          <cell r="BO208">
            <v>6.3759636105765821E-2</v>
          </cell>
          <cell r="BP208">
            <v>6.2920415838957272E-2</v>
          </cell>
          <cell r="BQ208">
            <v>6.2087866595927688E-2</v>
          </cell>
          <cell r="BR208">
            <v>6.2087866595927688E-2</v>
          </cell>
          <cell r="BS208">
            <v>6.1176059806202776E-2</v>
          </cell>
          <cell r="BT208">
            <v>6.0275091684025589E-2</v>
          </cell>
          <cell r="BU208">
            <v>6.0275091684025617E-2</v>
          </cell>
          <cell r="BV208">
            <v>5.9317989150389744E-2</v>
          </cell>
          <cell r="BW208">
            <v>5.8372254031790111E-2</v>
          </cell>
          <cell r="BX208">
            <v>5.8372254031790111E-2</v>
          </cell>
        </row>
        <row r="209">
          <cell r="B209" t="str">
            <v>Total BIS capital</v>
          </cell>
          <cell r="C209" t="str">
            <v>B_CA_CAPBASE</v>
          </cell>
          <cell r="D209" t="str">
            <v>AUD</v>
          </cell>
          <cell r="F209">
            <v>24691</v>
          </cell>
          <cell r="G209">
            <v>26997</v>
          </cell>
          <cell r="H209">
            <v>30567</v>
          </cell>
          <cell r="I209">
            <v>34430</v>
          </cell>
          <cell r="J209">
            <v>31507</v>
          </cell>
          <cell r="K209">
            <v>33790</v>
          </cell>
          <cell r="L209">
            <v>36574</v>
          </cell>
          <cell r="M209">
            <v>41370</v>
          </cell>
          <cell r="N209">
            <v>43634</v>
          </cell>
          <cell r="O209">
            <v>45739</v>
          </cell>
          <cell r="P209">
            <v>45739</v>
          </cell>
          <cell r="Q209">
            <v>48804</v>
          </cell>
          <cell r="R209">
            <v>53435</v>
          </cell>
          <cell r="S209">
            <v>53435</v>
          </cell>
          <cell r="T209">
            <v>53138</v>
          </cell>
          <cell r="U209">
            <v>58613</v>
          </cell>
          <cell r="V209">
            <v>58613</v>
          </cell>
          <cell r="W209">
            <v>57739</v>
          </cell>
          <cell r="X209">
            <v>57993</v>
          </cell>
          <cell r="Y209">
            <v>57993</v>
          </cell>
          <cell r="Z209">
            <v>59165</v>
          </cell>
          <cell r="AA209">
            <v>59531</v>
          </cell>
          <cell r="AB209">
            <v>59531</v>
          </cell>
          <cell r="AC209">
            <v>60644</v>
          </cell>
          <cell r="AD209">
            <v>63770</v>
          </cell>
          <cell r="AE209">
            <v>63770</v>
          </cell>
          <cell r="AF209">
            <v>69114</v>
          </cell>
          <cell r="AG209">
            <v>70044</v>
          </cell>
          <cell r="AH209">
            <v>70044</v>
          </cell>
          <cell r="AI209">
            <v>74895</v>
          </cell>
          <cell r="AJ209">
            <v>76598</v>
          </cell>
          <cell r="AK209">
            <v>76598</v>
          </cell>
          <cell r="AL209">
            <v>72781</v>
          </cell>
          <cell r="AM209">
            <v>82835</v>
          </cell>
          <cell r="AN209">
            <v>82835</v>
          </cell>
          <cell r="AO209">
            <v>89633</v>
          </cell>
          <cell r="AP209">
            <v>90985</v>
          </cell>
          <cell r="AQ209">
            <v>90985</v>
          </cell>
          <cell r="AR209">
            <v>94932</v>
          </cell>
          <cell r="AS209">
            <v>91865</v>
          </cell>
          <cell r="AT209">
            <v>91865</v>
          </cell>
          <cell r="AU209">
            <v>95503</v>
          </cell>
          <cell r="AV209">
            <v>96351</v>
          </cell>
          <cell r="AW209">
            <v>96351</v>
          </cell>
          <cell r="AX209">
            <v>98728.82812769353</v>
          </cell>
          <cell r="AY209">
            <v>100561.51927854375</v>
          </cell>
          <cell r="AZ209">
            <v>100561.51927854375</v>
          </cell>
          <cell r="BA209">
            <v>101235.66537886395</v>
          </cell>
          <cell r="BB209">
            <v>100886.957652016</v>
          </cell>
          <cell r="BC209">
            <v>100886.95765201599</v>
          </cell>
          <cell r="BD209">
            <v>100641.69650981366</v>
          </cell>
          <cell r="BE209">
            <v>100315.9697668539</v>
          </cell>
          <cell r="BF209">
            <v>100315.96976685387</v>
          </cell>
          <cell r="BG209">
            <v>100020.70626814116</v>
          </cell>
          <cell r="BH209">
            <v>99753.447146592458</v>
          </cell>
          <cell r="BI209">
            <v>99753.447146592429</v>
          </cell>
          <cell r="BJ209">
            <v>100509.9827804513</v>
          </cell>
          <cell r="BK209">
            <v>101278.80730500532</v>
          </cell>
          <cell r="BL209">
            <v>101278.80730500529</v>
          </cell>
          <cell r="BM209">
            <v>102322.21351030222</v>
          </cell>
          <cell r="BN209">
            <v>103451.18385014225</v>
          </cell>
          <cell r="BO209">
            <v>103451.18385014223</v>
          </cell>
          <cell r="BP209">
            <v>104566.31127513613</v>
          </cell>
          <cell r="BQ209">
            <v>105606.44866569276</v>
          </cell>
          <cell r="BR209">
            <v>105606.44866569275</v>
          </cell>
          <cell r="BS209">
            <v>106621.11854573185</v>
          </cell>
          <cell r="BT209">
            <v>107602.64337054372</v>
          </cell>
          <cell r="BU209">
            <v>107602.64337054372</v>
          </cell>
          <cell r="BV209">
            <v>108569.23871276094</v>
          </cell>
          <cell r="BW209">
            <v>109545.40649032203</v>
          </cell>
          <cell r="BX209">
            <v>109545.406490322</v>
          </cell>
        </row>
        <row r="210">
          <cell r="B210" t="str">
            <v>Total capital (BIS) ratio</v>
          </cell>
          <cell r="C210" t="str">
            <v>B_CA_BISRATIO</v>
          </cell>
          <cell r="F210">
            <v>0.10350754371329278</v>
          </cell>
          <cell r="G210">
            <v>9.8864397903841855E-2</v>
          </cell>
          <cell r="H210">
            <v>0.12190229312063809</v>
          </cell>
          <cell r="I210">
            <v>0.14981876411485961</v>
          </cell>
          <cell r="J210">
            <v>0.13492379569795776</v>
          </cell>
          <cell r="K210">
            <v>0.13579661452891154</v>
          </cell>
          <cell r="L210">
            <v>0.14349779303580187</v>
          </cell>
          <cell r="M210">
            <v>0.14382011534811281</v>
          </cell>
          <cell r="N210">
            <v>0.12095692188279647</v>
          </cell>
          <cell r="O210">
            <v>0.1265154385955207</v>
          </cell>
          <cell r="P210">
            <v>0.14807776356896579</v>
          </cell>
          <cell r="Q210">
            <v>0.12615318601158548</v>
          </cell>
          <cell r="R210">
            <v>0.13294372003572699</v>
          </cell>
          <cell r="S210">
            <v>0.15278012071445113</v>
          </cell>
          <cell r="T210">
            <v>0.13683546422547543</v>
          </cell>
          <cell r="U210">
            <v>0.14345467984394811</v>
          </cell>
          <cell r="V210">
            <v>0.16649859530214497</v>
          </cell>
          <cell r="W210">
            <v>0.14542363489824703</v>
          </cell>
          <cell r="X210">
            <v>0.14827684070843977</v>
          </cell>
          <cell r="Y210">
            <v>0.17217086161135753</v>
          </cell>
          <cell r="Z210">
            <v>0.14949074857811342</v>
          </cell>
          <cell r="AA210">
            <v>0.15232332019855688</v>
          </cell>
          <cell r="AB210">
            <v>0.17634634753243675</v>
          </cell>
          <cell r="AC210">
            <v>0.15302896104125505</v>
          </cell>
          <cell r="AD210">
            <v>0.15293996320998846</v>
          </cell>
          <cell r="AE210">
            <v>0.15293996320998846</v>
          </cell>
          <cell r="AF210">
            <v>0.1539246167140299</v>
          </cell>
          <cell r="AG210">
            <v>0.16312671175451343</v>
          </cell>
          <cell r="AH210">
            <v>0.16312671175451343</v>
          </cell>
          <cell r="AI210">
            <v>0.18349152060681193</v>
          </cell>
          <cell r="AJ210">
            <v>0.18409175026316674</v>
          </cell>
          <cell r="AK210">
            <v>0.18409175026316674</v>
          </cell>
          <cell r="AL210">
            <v>0.16620081751958166</v>
          </cell>
          <cell r="AM210">
            <v>0.18216784908448752</v>
          </cell>
          <cell r="AN210">
            <v>0.18216784908448752</v>
          </cell>
          <cell r="AO210">
            <v>0.20580968694462176</v>
          </cell>
          <cell r="AP210">
            <v>0.20996845338508793</v>
          </cell>
          <cell r="AQ210">
            <v>0.20996845338508793</v>
          </cell>
          <cell r="AR210">
            <v>0.21935445111708285</v>
          </cell>
          <cell r="AS210">
            <v>0.20570690265169667</v>
          </cell>
          <cell r="AT210">
            <v>0.20570690265169667</v>
          </cell>
          <cell r="AU210">
            <v>0.20363156424640563</v>
          </cell>
          <cell r="AV210">
            <v>0.21012240838997964</v>
          </cell>
          <cell r="AW210">
            <v>0.21012240838997964</v>
          </cell>
          <cell r="AX210">
            <v>0.20867189031654276</v>
          </cell>
          <cell r="AY210">
            <v>0.21037638496308075</v>
          </cell>
          <cell r="AZ210">
            <v>0.21037638496308075</v>
          </cell>
          <cell r="BA210">
            <v>0.20993884660737752</v>
          </cell>
          <cell r="BB210">
            <v>0.20719294598083438</v>
          </cell>
          <cell r="BC210">
            <v>0.20719294598083435</v>
          </cell>
          <cell r="BD210">
            <v>0.20481078410369188</v>
          </cell>
          <cell r="BE210">
            <v>0.2020519922018727</v>
          </cell>
          <cell r="BF210">
            <v>0.20205199220187264</v>
          </cell>
          <cell r="BG210">
            <v>0.19962806549109391</v>
          </cell>
          <cell r="BH210">
            <v>0.19730831660100409</v>
          </cell>
          <cell r="BI210">
            <v>0.19730831660100404</v>
          </cell>
          <cell r="BJ210">
            <v>0.19596228613556638</v>
          </cell>
          <cell r="BK210">
            <v>0.19471032259204546</v>
          </cell>
          <cell r="BL210">
            <v>0.1947103225920454</v>
          </cell>
          <cell r="BM210">
            <v>0.19367017116281884</v>
          </cell>
          <cell r="BN210">
            <v>0.19304160065134879</v>
          </cell>
          <cell r="BO210">
            <v>0.19304160065134876</v>
          </cell>
          <cell r="BP210">
            <v>0.19234899211035869</v>
          </cell>
          <cell r="BQ210">
            <v>0.19148367927369905</v>
          </cell>
          <cell r="BR210">
            <v>0.19148367927369903</v>
          </cell>
          <cell r="BS210">
            <v>0.19025183078548871</v>
          </cell>
          <cell r="BT210">
            <v>0.18894031229116318</v>
          </cell>
          <cell r="BU210">
            <v>0.18894031229116318</v>
          </cell>
          <cell r="BV210">
            <v>0.18735515621710952</v>
          </cell>
          <cell r="BW210">
            <v>0.18576726377502126</v>
          </cell>
          <cell r="BX210">
            <v>0.1857672637750212</v>
          </cell>
        </row>
        <row r="211">
          <cell r="B211" t="str">
            <v>Risk weighted assets</v>
          </cell>
          <cell r="C211" t="str">
            <v>B_CA_RWA</v>
          </cell>
          <cell r="D211" t="str">
            <v>AUD</v>
          </cell>
          <cell r="F211">
            <v>238543</v>
          </cell>
          <cell r="G211">
            <v>273071</v>
          </cell>
          <cell r="H211">
            <v>250750</v>
          </cell>
          <cell r="I211">
            <v>229811</v>
          </cell>
          <cell r="J211">
            <v>233517</v>
          </cell>
          <cell r="K211">
            <v>248828</v>
          </cell>
          <cell r="L211">
            <v>254875</v>
          </cell>
          <cell r="M211">
            <v>287651</v>
          </cell>
          <cell r="N211">
            <v>360740</v>
          </cell>
          <cell r="O211">
            <v>361529</v>
          </cell>
          <cell r="P211">
            <v>308885</v>
          </cell>
          <cell r="Q211">
            <v>386863</v>
          </cell>
          <cell r="R211">
            <v>401937</v>
          </cell>
          <cell r="S211">
            <v>349751</v>
          </cell>
          <cell r="T211">
            <v>388335</v>
          </cell>
          <cell r="U211">
            <v>408582</v>
          </cell>
          <cell r="V211">
            <v>352033</v>
          </cell>
          <cell r="W211">
            <v>397040</v>
          </cell>
          <cell r="X211">
            <v>391113</v>
          </cell>
          <cell r="Y211">
            <v>336834</v>
          </cell>
          <cell r="Z211">
            <v>395777</v>
          </cell>
          <cell r="AA211">
            <v>390820</v>
          </cell>
          <cell r="AB211">
            <v>337580</v>
          </cell>
          <cell r="AC211">
            <v>396291</v>
          </cell>
          <cell r="AD211">
            <v>416961</v>
          </cell>
          <cell r="AE211">
            <v>416961</v>
          </cell>
          <cell r="AF211">
            <v>449012</v>
          </cell>
          <cell r="AG211">
            <v>429384</v>
          </cell>
          <cell r="AH211">
            <v>429384</v>
          </cell>
          <cell r="AI211">
            <v>408166</v>
          </cell>
          <cell r="AJ211">
            <v>416086</v>
          </cell>
          <cell r="AK211">
            <v>416086</v>
          </cell>
          <cell r="AL211">
            <v>437910</v>
          </cell>
          <cell r="AM211">
            <v>454718</v>
          </cell>
          <cell r="AN211">
            <v>454718</v>
          </cell>
          <cell r="AO211">
            <v>435514</v>
          </cell>
          <cell r="AP211">
            <v>433327</v>
          </cell>
          <cell r="AQ211">
            <v>433327</v>
          </cell>
          <cell r="AR211">
            <v>432779</v>
          </cell>
          <cell r="AS211">
            <v>446582</v>
          </cell>
          <cell r="AT211">
            <v>446582</v>
          </cell>
          <cell r="AU211">
            <v>468999</v>
          </cell>
          <cell r="AV211">
            <v>458547</v>
          </cell>
          <cell r="AW211">
            <v>458547</v>
          </cell>
          <cell r="AX211">
            <v>473129.50478345604</v>
          </cell>
          <cell r="AY211">
            <v>478007.63995536591</v>
          </cell>
          <cell r="AZ211">
            <v>478007.63995536591</v>
          </cell>
          <cell r="BA211">
            <v>482215.02125422459</v>
          </cell>
          <cell r="BB211">
            <v>486922.74331264244</v>
          </cell>
          <cell r="BC211">
            <v>486922.74331264244</v>
          </cell>
          <cell r="BD211">
            <v>491388.65880646522</v>
          </cell>
          <cell r="BE211">
            <v>496485.92262642452</v>
          </cell>
          <cell r="BF211">
            <v>496485.92262642452</v>
          </cell>
          <cell r="BG211">
            <v>501035.29291878769</v>
          </cell>
          <cell r="BH211">
            <v>505571.42681579606</v>
          </cell>
          <cell r="BI211">
            <v>505571.42681579606</v>
          </cell>
          <cell r="BJ211">
            <v>512904.7265294643</v>
          </cell>
          <cell r="BK211">
            <v>520151.19669440103</v>
          </cell>
          <cell r="BL211">
            <v>520151.19669440103</v>
          </cell>
          <cell r="BM211">
            <v>528332.33376078214</v>
          </cell>
          <cell r="BN211">
            <v>535900.98456023878</v>
          </cell>
          <cell r="BO211">
            <v>535900.98456023878</v>
          </cell>
          <cell r="BP211">
            <v>543628.06962431106</v>
          </cell>
          <cell r="BQ211">
            <v>551516.70923736098</v>
          </cell>
          <cell r="BR211">
            <v>551516.70923736098</v>
          </cell>
          <cell r="BS211">
            <v>560420.98572995327</v>
          </cell>
          <cell r="BT211">
            <v>569506.00994415919</v>
          </cell>
          <cell r="BU211">
            <v>569506.00994415919</v>
          </cell>
          <cell r="BV211">
            <v>579483.59097707213</v>
          </cell>
          <cell r="BW211">
            <v>589691.66183655546</v>
          </cell>
          <cell r="BX211">
            <v>589691.66183655546</v>
          </cell>
        </row>
        <row r="212">
          <cell r="A212" t="str">
            <v>Loan Book (Gross)</v>
          </cell>
          <cell r="B212"/>
          <cell r="C212"/>
          <cell r="D212"/>
        </row>
        <row r="213">
          <cell r="B213" t="str">
            <v>Mortgages</v>
          </cell>
          <cell r="C213" t="str">
            <v>B_LB_MORTG</v>
          </cell>
          <cell r="D213" t="str">
            <v>AUD</v>
          </cell>
          <cell r="F213">
            <v>101945</v>
          </cell>
          <cell r="G213">
            <v>113994</v>
          </cell>
          <cell r="H213">
            <v>128809</v>
          </cell>
          <cell r="I213">
            <v>141652</v>
          </cell>
          <cell r="J213">
            <v>159046</v>
          </cell>
          <cell r="K213">
            <v>169970</v>
          </cell>
          <cell r="L213">
            <v>181971</v>
          </cell>
          <cell r="M213">
            <v>194755</v>
          </cell>
          <cell r="N213">
            <v>201396</v>
          </cell>
          <cell r="O213">
            <v>209122</v>
          </cell>
          <cell r="P213">
            <v>209122</v>
          </cell>
          <cell r="Q213">
            <v>217756</v>
          </cell>
          <cell r="R213">
            <v>230879</v>
          </cell>
          <cell r="S213">
            <v>230879</v>
          </cell>
          <cell r="T213">
            <v>242426</v>
          </cell>
          <cell r="U213">
            <v>246351</v>
          </cell>
          <cell r="V213">
            <v>246351</v>
          </cell>
          <cell r="W213">
            <v>255721</v>
          </cell>
          <cell r="X213">
            <v>264105</v>
          </cell>
          <cell r="Y213">
            <v>264105</v>
          </cell>
          <cell r="Z213">
            <v>270631</v>
          </cell>
          <cell r="AA213">
            <v>271554</v>
          </cell>
          <cell r="AB213">
            <v>271554</v>
          </cell>
          <cell r="AC213">
            <v>268766</v>
          </cell>
          <cell r="AD213">
            <v>264786</v>
          </cell>
          <cell r="AE213">
            <v>264786</v>
          </cell>
          <cell r="AF213">
            <v>263596</v>
          </cell>
          <cell r="AG213">
            <v>274967</v>
          </cell>
          <cell r="AH213">
            <v>274967</v>
          </cell>
          <cell r="AI213">
            <v>280545</v>
          </cell>
          <cell r="AJ213">
            <v>277720</v>
          </cell>
          <cell r="AK213">
            <v>277720</v>
          </cell>
          <cell r="AL213">
            <v>277894</v>
          </cell>
          <cell r="AM213">
            <v>282343</v>
          </cell>
          <cell r="AN213">
            <v>282343</v>
          </cell>
          <cell r="AO213">
            <v>292597</v>
          </cell>
          <cell r="AP213">
            <v>304133</v>
          </cell>
          <cell r="AQ213">
            <v>304133</v>
          </cell>
          <cell r="AR213">
            <v>314103</v>
          </cell>
          <cell r="AS213">
            <v>382030</v>
          </cell>
          <cell r="AT213">
            <v>382030</v>
          </cell>
          <cell r="AU213">
            <v>391719</v>
          </cell>
          <cell r="AV213">
            <v>401534</v>
          </cell>
          <cell r="AW213">
            <v>401534</v>
          </cell>
          <cell r="AX213">
            <v>410872.07470400009</v>
          </cell>
          <cell r="AY213">
            <v>419792.2101638426</v>
          </cell>
          <cell r="AZ213">
            <v>419792.2101638426</v>
          </cell>
          <cell r="BA213">
            <v>429955.48451996181</v>
          </cell>
          <cell r="BB213">
            <v>442514.59171166102</v>
          </cell>
          <cell r="BC213">
            <v>442514.59171166102</v>
          </cell>
          <cell r="BD213">
            <v>455440.55356420658</v>
          </cell>
          <cell r="BE213">
            <v>468744.08599395544</v>
          </cell>
          <cell r="BF213">
            <v>468744.08599395544</v>
          </cell>
          <cell r="BG213">
            <v>481485.13618137862</v>
          </cell>
          <cell r="BH213">
            <v>493597.4966384414</v>
          </cell>
          <cell r="BI213">
            <v>493597.4966384414</v>
          </cell>
          <cell r="BJ213">
            <v>504765.1399998861</v>
          </cell>
          <cell r="BK213">
            <v>514910.91931388382</v>
          </cell>
          <cell r="BL213">
            <v>514910.91931388382</v>
          </cell>
          <cell r="BM213">
            <v>525260.6287920929</v>
          </cell>
          <cell r="BN213">
            <v>535818.36743081396</v>
          </cell>
          <cell r="BO213">
            <v>535818.36743081396</v>
          </cell>
          <cell r="BP213">
            <v>546588.31661617337</v>
          </cell>
          <cell r="BQ213">
            <v>557574.74178015848</v>
          </cell>
          <cell r="BR213">
            <v>557574.74178015848</v>
          </cell>
          <cell r="BS213">
            <v>568781.99408993963</v>
          </cell>
          <cell r="BT213">
            <v>580214.51217114739</v>
          </cell>
          <cell r="BU213">
            <v>580214.51217114739</v>
          </cell>
          <cell r="BV213">
            <v>591876.82386578748</v>
          </cell>
          <cell r="BW213">
            <v>603773.54802548978</v>
          </cell>
          <cell r="BX213">
            <v>603773.54802548978</v>
          </cell>
        </row>
        <row r="214">
          <cell r="B214" t="str">
            <v>Other personal secured loans</v>
          </cell>
          <cell r="C214" t="str">
            <v>B_LB_OTHSECURE</v>
          </cell>
          <cell r="D214" t="str">
            <v>AUD</v>
          </cell>
          <cell r="F214"/>
          <cell r="G214"/>
          <cell r="H214"/>
          <cell r="I214"/>
          <cell r="J214"/>
          <cell r="K214"/>
          <cell r="L214"/>
          <cell r="M214"/>
          <cell r="N214"/>
          <cell r="O214"/>
          <cell r="P214"/>
          <cell r="Q214"/>
          <cell r="R214"/>
          <cell r="S214"/>
          <cell r="T214"/>
          <cell r="U214"/>
          <cell r="V214"/>
          <cell r="W214"/>
          <cell r="X214"/>
          <cell r="Y214"/>
          <cell r="Z214"/>
          <cell r="AA214"/>
          <cell r="AB214"/>
          <cell r="AC214"/>
          <cell r="AD214"/>
          <cell r="AE214"/>
          <cell r="AF214"/>
          <cell r="AG214"/>
          <cell r="AH214"/>
          <cell r="AI214"/>
          <cell r="AJ214"/>
          <cell r="AK214"/>
          <cell r="AL214"/>
          <cell r="AM214"/>
          <cell r="AN214"/>
          <cell r="AO214"/>
          <cell r="AP214"/>
          <cell r="AQ214"/>
          <cell r="AR214"/>
          <cell r="AS214"/>
          <cell r="AT214"/>
          <cell r="AU214"/>
          <cell r="AV214"/>
          <cell r="AW214"/>
          <cell r="AX214"/>
          <cell r="AY214"/>
          <cell r="AZ214"/>
          <cell r="BA214"/>
          <cell r="BB214"/>
          <cell r="BC214"/>
          <cell r="BD214"/>
          <cell r="BE214"/>
          <cell r="BF214"/>
          <cell r="BG214"/>
          <cell r="BH214"/>
          <cell r="BI214"/>
          <cell r="BJ214"/>
          <cell r="BK214"/>
          <cell r="BL214"/>
          <cell r="BM214"/>
          <cell r="BN214"/>
          <cell r="BO214"/>
          <cell r="BP214"/>
          <cell r="BQ214"/>
          <cell r="BR214"/>
          <cell r="BS214"/>
          <cell r="BT214"/>
          <cell r="BU214"/>
          <cell r="BV214"/>
          <cell r="BW214"/>
          <cell r="BX214"/>
        </row>
        <row r="215">
          <cell r="B215" t="str">
            <v>Personal unsecured loans and other</v>
          </cell>
          <cell r="C215" t="str">
            <v>B_LB_PERSON</v>
          </cell>
          <cell r="D215" t="str">
            <v>AUD</v>
          </cell>
          <cell r="F215"/>
          <cell r="G215"/>
          <cell r="H215"/>
          <cell r="I215"/>
          <cell r="J215"/>
          <cell r="K215"/>
          <cell r="L215"/>
          <cell r="M215"/>
          <cell r="N215"/>
          <cell r="O215"/>
          <cell r="P215"/>
          <cell r="Q215"/>
          <cell r="R215"/>
          <cell r="S215"/>
          <cell r="T215"/>
          <cell r="U215"/>
          <cell r="V215"/>
          <cell r="W215"/>
          <cell r="X215"/>
          <cell r="Y215"/>
          <cell r="Z215"/>
          <cell r="AA215"/>
          <cell r="AB215"/>
          <cell r="AC215"/>
          <cell r="AD215"/>
          <cell r="AE215"/>
          <cell r="AF215"/>
          <cell r="AG215"/>
          <cell r="AH215"/>
          <cell r="AI215"/>
          <cell r="AJ215"/>
          <cell r="AK215"/>
          <cell r="AL215"/>
          <cell r="AM215"/>
          <cell r="AN215"/>
          <cell r="AO215"/>
          <cell r="AP215"/>
          <cell r="AQ215"/>
          <cell r="AR215"/>
          <cell r="AS215"/>
          <cell r="AT215"/>
          <cell r="AU215"/>
          <cell r="AV215"/>
          <cell r="AW215"/>
          <cell r="AX215"/>
          <cell r="AY215"/>
          <cell r="AZ215"/>
          <cell r="BA215"/>
          <cell r="BB215"/>
          <cell r="BC215"/>
          <cell r="BD215"/>
          <cell r="BE215"/>
          <cell r="BF215"/>
          <cell r="BG215"/>
          <cell r="BH215"/>
          <cell r="BI215"/>
          <cell r="BJ215"/>
          <cell r="BK215"/>
          <cell r="BL215"/>
          <cell r="BM215"/>
          <cell r="BN215"/>
          <cell r="BO215"/>
          <cell r="BP215"/>
          <cell r="BQ215"/>
          <cell r="BR215"/>
          <cell r="BS215"/>
          <cell r="BT215"/>
          <cell r="BU215"/>
          <cell r="BV215"/>
          <cell r="BW215"/>
          <cell r="BX215"/>
        </row>
        <row r="216">
          <cell r="B216" t="str">
            <v>Total personal lending</v>
          </cell>
          <cell r="C216" t="str">
            <v>B_LB_TOTPERSNL</v>
          </cell>
          <cell r="D216" t="str">
            <v>AUD</v>
          </cell>
          <cell r="F216">
            <v>110837</v>
          </cell>
          <cell r="G216">
            <v>124219</v>
          </cell>
          <cell r="H216">
            <v>137890</v>
          </cell>
          <cell r="I216">
            <v>151413</v>
          </cell>
          <cell r="J216">
            <v>169395</v>
          </cell>
          <cell r="K216">
            <v>180757</v>
          </cell>
          <cell r="L216">
            <v>192596</v>
          </cell>
          <cell r="M216">
            <v>206033</v>
          </cell>
          <cell r="N216">
            <v>212212</v>
          </cell>
          <cell r="O216">
            <v>219895</v>
          </cell>
          <cell r="P216">
            <v>219895</v>
          </cell>
          <cell r="Q216">
            <v>228990</v>
          </cell>
          <cell r="R216">
            <v>242006</v>
          </cell>
          <cell r="S216">
            <v>242006</v>
          </cell>
          <cell r="T216">
            <v>253680</v>
          </cell>
          <cell r="U216">
            <v>257467</v>
          </cell>
          <cell r="V216">
            <v>257467</v>
          </cell>
          <cell r="W216">
            <v>266713</v>
          </cell>
          <cell r="X216">
            <v>274722</v>
          </cell>
          <cell r="Y216">
            <v>274722</v>
          </cell>
          <cell r="Z216">
            <v>281227</v>
          </cell>
          <cell r="AA216">
            <v>281685</v>
          </cell>
          <cell r="AB216">
            <v>281685</v>
          </cell>
          <cell r="AC216">
            <v>278382</v>
          </cell>
          <cell r="AD216">
            <v>273813</v>
          </cell>
          <cell r="AE216">
            <v>273813</v>
          </cell>
          <cell r="AF216">
            <v>272027</v>
          </cell>
          <cell r="AG216">
            <v>281712</v>
          </cell>
          <cell r="AH216">
            <v>281712</v>
          </cell>
          <cell r="AI216">
            <v>287273</v>
          </cell>
          <cell r="AJ216">
            <v>283749</v>
          </cell>
          <cell r="AK216">
            <v>283749</v>
          </cell>
          <cell r="AL216">
            <v>283999</v>
          </cell>
          <cell r="AM216">
            <v>288303</v>
          </cell>
          <cell r="AN216">
            <v>288303</v>
          </cell>
          <cell r="AO216">
            <v>298497</v>
          </cell>
          <cell r="AP216">
            <v>309937</v>
          </cell>
          <cell r="AQ216">
            <v>309937</v>
          </cell>
          <cell r="AR216">
            <v>319950</v>
          </cell>
          <cell r="AS216">
            <v>387761</v>
          </cell>
          <cell r="AT216">
            <v>387761</v>
          </cell>
          <cell r="AU216">
            <v>397141</v>
          </cell>
          <cell r="AV216">
            <v>406828</v>
          </cell>
          <cell r="AW216">
            <v>406828</v>
          </cell>
          <cell r="AX216">
            <v>416283.17798400007</v>
          </cell>
          <cell r="AY216">
            <v>425298.41358398861</v>
          </cell>
          <cell r="AZ216">
            <v>425298.41358398861</v>
          </cell>
          <cell r="BA216">
            <v>435516.88762939477</v>
          </cell>
          <cell r="BB216">
            <v>448131.74788726604</v>
          </cell>
          <cell r="BC216">
            <v>448131.74788726604</v>
          </cell>
          <cell r="BD216">
            <v>461114.02173047204</v>
          </cell>
          <cell r="BE216">
            <v>474474.4306785877</v>
          </cell>
          <cell r="BF216">
            <v>474474.4306785877</v>
          </cell>
          <cell r="BG216">
            <v>487272.92757147434</v>
          </cell>
          <cell r="BH216">
            <v>499443.31063722284</v>
          </cell>
          <cell r="BI216">
            <v>499443.31063722284</v>
          </cell>
          <cell r="BJ216">
            <v>510669.55828400532</v>
          </cell>
          <cell r="BK216">
            <v>520874.52939130133</v>
          </cell>
          <cell r="BL216">
            <v>520874.52939130133</v>
          </cell>
          <cell r="BM216">
            <v>531284.02406053653</v>
          </cell>
          <cell r="BN216">
            <v>541902.14723682369</v>
          </cell>
          <cell r="BO216">
            <v>541902.14723682369</v>
          </cell>
          <cell r="BP216">
            <v>552733.08631473838</v>
          </cell>
          <cell r="BQ216">
            <v>563781.11279495154</v>
          </cell>
          <cell r="BR216">
            <v>563781.11279495154</v>
          </cell>
          <cell r="BS216">
            <v>575050.58397415606</v>
          </cell>
          <cell r="BT216">
            <v>586545.94466895307</v>
          </cell>
          <cell r="BU216">
            <v>586545.94466895307</v>
          </cell>
          <cell r="BV216">
            <v>598271.72897438367</v>
          </cell>
          <cell r="BW216">
            <v>610232.56205779966</v>
          </cell>
          <cell r="BX216">
            <v>610232.56205779966</v>
          </cell>
        </row>
        <row r="217">
          <cell r="B217" t="str">
            <v>Commercial &amp; industrial loans</v>
          </cell>
          <cell r="C217" t="str">
            <v>B_LB_FINANCL</v>
          </cell>
          <cell r="D217" t="str">
            <v>AUD</v>
          </cell>
          <cell r="F217"/>
          <cell r="G217"/>
          <cell r="H217"/>
          <cell r="I217"/>
          <cell r="J217"/>
          <cell r="K217"/>
          <cell r="L217"/>
          <cell r="M217"/>
          <cell r="N217"/>
          <cell r="O217"/>
          <cell r="P217"/>
          <cell r="Q217"/>
          <cell r="R217"/>
          <cell r="S217"/>
          <cell r="T217"/>
          <cell r="U217"/>
          <cell r="V217"/>
          <cell r="W217"/>
          <cell r="X217"/>
          <cell r="Y217"/>
          <cell r="Z217"/>
          <cell r="AA217"/>
          <cell r="AB217"/>
          <cell r="AC217"/>
          <cell r="AD217"/>
          <cell r="AE217"/>
          <cell r="AF217"/>
          <cell r="AG217"/>
          <cell r="AH217"/>
          <cell r="AI217"/>
          <cell r="AJ217"/>
          <cell r="AK217"/>
          <cell r="AL217"/>
          <cell r="AM217"/>
          <cell r="AN217"/>
          <cell r="AO217"/>
          <cell r="AP217"/>
          <cell r="AQ217"/>
          <cell r="AR217"/>
          <cell r="AS217"/>
          <cell r="AT217"/>
          <cell r="AU217"/>
          <cell r="AV217"/>
          <cell r="AW217"/>
          <cell r="AX217"/>
          <cell r="AY217"/>
          <cell r="AZ217"/>
          <cell r="BA217"/>
          <cell r="BB217"/>
          <cell r="BC217"/>
          <cell r="BD217"/>
          <cell r="BE217"/>
          <cell r="BF217"/>
          <cell r="BG217"/>
          <cell r="BH217"/>
          <cell r="BI217"/>
          <cell r="BJ217"/>
          <cell r="BK217"/>
          <cell r="BL217"/>
          <cell r="BM217"/>
          <cell r="BN217"/>
          <cell r="BO217"/>
          <cell r="BP217"/>
          <cell r="BQ217"/>
          <cell r="BR217"/>
          <cell r="BS217"/>
          <cell r="BT217"/>
          <cell r="BU217"/>
          <cell r="BV217"/>
          <cell r="BW217"/>
          <cell r="BX217"/>
        </row>
        <row r="218">
          <cell r="B218" t="str">
            <v>Construction &amp; real estate loans</v>
          </cell>
          <cell r="C218" t="str">
            <v>B_LB_CONSTRUCT</v>
          </cell>
          <cell r="D218" t="str">
            <v>AUD</v>
          </cell>
          <cell r="F218"/>
          <cell r="G218"/>
          <cell r="H218"/>
          <cell r="I218"/>
          <cell r="J218"/>
          <cell r="K218"/>
          <cell r="L218"/>
          <cell r="M218"/>
          <cell r="N218"/>
          <cell r="O218"/>
          <cell r="P218"/>
          <cell r="Q218"/>
          <cell r="R218"/>
          <cell r="S218"/>
          <cell r="T218"/>
          <cell r="U218"/>
          <cell r="V218"/>
          <cell r="W218"/>
          <cell r="X218"/>
          <cell r="Y218"/>
          <cell r="Z218"/>
          <cell r="AA218"/>
          <cell r="AB218"/>
          <cell r="AC218"/>
          <cell r="AD218"/>
          <cell r="AE218"/>
          <cell r="AF218"/>
          <cell r="AG218"/>
          <cell r="AH218"/>
          <cell r="AI218"/>
          <cell r="AJ218"/>
          <cell r="AK218"/>
          <cell r="AL218"/>
          <cell r="AM218"/>
          <cell r="AN218"/>
          <cell r="AO218"/>
          <cell r="AP218"/>
          <cell r="AQ218"/>
          <cell r="AR218"/>
          <cell r="AS218"/>
          <cell r="AT218"/>
          <cell r="AU218"/>
          <cell r="AV218"/>
          <cell r="AW218"/>
          <cell r="AX218"/>
          <cell r="AY218"/>
          <cell r="AZ218"/>
          <cell r="BA218"/>
          <cell r="BB218"/>
          <cell r="BC218"/>
          <cell r="BD218"/>
          <cell r="BE218"/>
          <cell r="BF218"/>
          <cell r="BG218"/>
          <cell r="BH218"/>
          <cell r="BI218"/>
          <cell r="BJ218"/>
          <cell r="BK218"/>
          <cell r="BL218"/>
          <cell r="BM218"/>
          <cell r="BN218"/>
          <cell r="BO218"/>
          <cell r="BP218"/>
          <cell r="BQ218"/>
          <cell r="BR218"/>
          <cell r="BS218"/>
          <cell r="BT218"/>
          <cell r="BU218"/>
          <cell r="BV218"/>
          <cell r="BW218"/>
          <cell r="BX218"/>
        </row>
        <row r="219">
          <cell r="B219" t="str">
            <v>Other commercial loans</v>
          </cell>
          <cell r="C219" t="str">
            <v>B_LB_COMMCL</v>
          </cell>
          <cell r="D219" t="str">
            <v>AUD</v>
          </cell>
          <cell r="F219"/>
          <cell r="G219"/>
          <cell r="H219"/>
          <cell r="I219"/>
          <cell r="J219"/>
          <cell r="K219"/>
          <cell r="L219"/>
          <cell r="M219"/>
          <cell r="N219"/>
          <cell r="O219"/>
          <cell r="P219"/>
          <cell r="Q219"/>
          <cell r="R219"/>
          <cell r="S219"/>
          <cell r="T219"/>
          <cell r="U219"/>
          <cell r="V219"/>
          <cell r="W219"/>
          <cell r="X219"/>
          <cell r="Y219"/>
          <cell r="Z219"/>
          <cell r="AA219"/>
          <cell r="AB219"/>
          <cell r="AC219"/>
          <cell r="AD219"/>
          <cell r="AE219"/>
          <cell r="AF219"/>
          <cell r="AG219"/>
          <cell r="AH219"/>
          <cell r="AI219"/>
          <cell r="AJ219"/>
          <cell r="AK219"/>
          <cell r="AL219"/>
          <cell r="AM219"/>
          <cell r="AN219"/>
          <cell r="AO219"/>
          <cell r="AP219"/>
          <cell r="AQ219"/>
          <cell r="AR219"/>
          <cell r="AS219"/>
          <cell r="AT219"/>
          <cell r="AU219"/>
          <cell r="AV219"/>
          <cell r="AW219"/>
          <cell r="AX219"/>
          <cell r="AY219"/>
          <cell r="AZ219"/>
          <cell r="BA219"/>
          <cell r="BB219"/>
          <cell r="BC219"/>
          <cell r="BD219"/>
          <cell r="BE219"/>
          <cell r="BF219"/>
          <cell r="BG219"/>
          <cell r="BH219"/>
          <cell r="BI219"/>
          <cell r="BJ219"/>
          <cell r="BK219"/>
          <cell r="BL219"/>
          <cell r="BM219"/>
          <cell r="BN219"/>
          <cell r="BO219"/>
          <cell r="BP219"/>
          <cell r="BQ219"/>
          <cell r="BR219"/>
          <cell r="BS219"/>
          <cell r="BT219"/>
          <cell r="BU219"/>
          <cell r="BV219"/>
          <cell r="BW219"/>
          <cell r="BX219"/>
        </row>
        <row r="220">
          <cell r="B220" t="str">
            <v>Total commercial lending</v>
          </cell>
          <cell r="C220" t="str">
            <v>B_LB_TOTCORP</v>
          </cell>
          <cell r="D220" t="str">
            <v>AUD</v>
          </cell>
          <cell r="F220">
            <v>83198</v>
          </cell>
          <cell r="G220">
            <v>95165</v>
          </cell>
          <cell r="H220">
            <v>113671</v>
          </cell>
          <cell r="I220">
            <v>100730</v>
          </cell>
          <cell r="J220">
            <v>98572</v>
          </cell>
          <cell r="K220">
            <v>109312</v>
          </cell>
          <cell r="L220">
            <v>117391</v>
          </cell>
          <cell r="M220">
            <v>121592</v>
          </cell>
          <cell r="N220">
            <v>127985</v>
          </cell>
          <cell r="O220">
            <v>131983</v>
          </cell>
          <cell r="P220">
            <v>131983</v>
          </cell>
          <cell r="Q220">
            <v>137333</v>
          </cell>
          <cell r="R220">
            <v>142520</v>
          </cell>
          <cell r="S220">
            <v>142520</v>
          </cell>
          <cell r="T220">
            <v>135915</v>
          </cell>
          <cell r="U220">
            <v>139509</v>
          </cell>
          <cell r="V220">
            <v>139509</v>
          </cell>
          <cell r="W220">
            <v>139041</v>
          </cell>
          <cell r="X220">
            <v>138534</v>
          </cell>
          <cell r="Y220">
            <v>138534</v>
          </cell>
          <cell r="Z220">
            <v>139217</v>
          </cell>
          <cell r="AA220">
            <v>146953</v>
          </cell>
          <cell r="AB220">
            <v>146953</v>
          </cell>
          <cell r="AC220">
            <v>145085</v>
          </cell>
          <cell r="AD220">
            <v>157782</v>
          </cell>
          <cell r="AE220">
            <v>157782</v>
          </cell>
          <cell r="AF220">
            <v>176227</v>
          </cell>
          <cell r="AG220">
            <v>161438</v>
          </cell>
          <cell r="AH220">
            <v>161438</v>
          </cell>
          <cell r="AI220">
            <v>149681</v>
          </cell>
          <cell r="AJ220">
            <v>150853</v>
          </cell>
          <cell r="AK220">
            <v>150853</v>
          </cell>
          <cell r="AL220">
            <v>161556</v>
          </cell>
          <cell r="AM220">
            <v>173303</v>
          </cell>
          <cell r="AN220">
            <v>173303</v>
          </cell>
          <cell r="AO220">
            <v>175469</v>
          </cell>
          <cell r="AP220">
            <v>178700</v>
          </cell>
          <cell r="AQ220">
            <v>178700</v>
          </cell>
          <cell r="AR220">
            <v>182389</v>
          </cell>
          <cell r="AS220">
            <v>200455</v>
          </cell>
          <cell r="AT220">
            <v>200455</v>
          </cell>
          <cell r="AU220">
            <v>202527</v>
          </cell>
          <cell r="AV220">
            <v>213158</v>
          </cell>
          <cell r="AW220">
            <v>213158</v>
          </cell>
          <cell r="AX220">
            <v>222856.68899999995</v>
          </cell>
          <cell r="AY220">
            <v>231280.67184419988</v>
          </cell>
          <cell r="AZ220">
            <v>231280.67184419988</v>
          </cell>
          <cell r="BA220">
            <v>238849.33183030123</v>
          </cell>
          <cell r="BB220">
            <v>245453.51585540903</v>
          </cell>
          <cell r="BC220">
            <v>245453.51585540903</v>
          </cell>
          <cell r="BD220">
            <v>251000.76531374123</v>
          </cell>
          <cell r="BE220">
            <v>256673.38260983178</v>
          </cell>
          <cell r="BF220">
            <v>256673.38260983178</v>
          </cell>
          <cell r="BG220">
            <v>261832.5176002894</v>
          </cell>
          <cell r="BH220">
            <v>267095.35120405525</v>
          </cell>
          <cell r="BI220">
            <v>267095.35120405525</v>
          </cell>
          <cell r="BJ220">
            <v>272463.96776325675</v>
          </cell>
          <cell r="BK220">
            <v>277940.49351529824</v>
          </cell>
          <cell r="BL220">
            <v>277940.49351529824</v>
          </cell>
          <cell r="BM220">
            <v>283527.09743495571</v>
          </cell>
          <cell r="BN220">
            <v>289225.99209339829</v>
          </cell>
          <cell r="BO220">
            <v>289225.99209339829</v>
          </cell>
          <cell r="BP220">
            <v>295039.43453447561</v>
          </cell>
          <cell r="BQ220">
            <v>300969.72716861858</v>
          </cell>
          <cell r="BR220">
            <v>300969.72716861858</v>
          </cell>
          <cell r="BS220">
            <v>307019.21868470783</v>
          </cell>
          <cell r="BT220">
            <v>313190.30498027045</v>
          </cell>
          <cell r="BU220">
            <v>313190.30498027045</v>
          </cell>
          <cell r="BV220">
            <v>319485.43011037388</v>
          </cell>
          <cell r="BW220">
            <v>325907.0872555924</v>
          </cell>
          <cell r="BX220">
            <v>325907.0872555924</v>
          </cell>
        </row>
        <row r="221">
          <cell r="B221" t="str">
            <v>Finance leases</v>
          </cell>
          <cell r="C221" t="str">
            <v>B_LB_FINLEASE</v>
          </cell>
          <cell r="D221" t="str">
            <v>AUD</v>
          </cell>
          <cell r="F221"/>
          <cell r="G221"/>
          <cell r="H221"/>
          <cell r="I221"/>
          <cell r="J221"/>
          <cell r="K221"/>
          <cell r="L221"/>
          <cell r="M221"/>
          <cell r="N221"/>
          <cell r="O221"/>
          <cell r="P221"/>
          <cell r="Q221"/>
          <cell r="R221"/>
          <cell r="S221"/>
          <cell r="T221"/>
          <cell r="U221"/>
          <cell r="V221"/>
          <cell r="W221"/>
          <cell r="X221"/>
          <cell r="Y221"/>
          <cell r="Z221"/>
          <cell r="AA221"/>
          <cell r="AB221"/>
          <cell r="AC221"/>
          <cell r="AD221"/>
          <cell r="AE221"/>
          <cell r="AF221"/>
          <cell r="AG221"/>
          <cell r="AH221"/>
          <cell r="AI221"/>
          <cell r="AJ221"/>
          <cell r="AK221"/>
          <cell r="AL221"/>
          <cell r="AM221"/>
          <cell r="AN221"/>
          <cell r="AO221"/>
          <cell r="AP221"/>
          <cell r="AQ221"/>
          <cell r="AR221"/>
          <cell r="AS221"/>
          <cell r="AT221"/>
          <cell r="AU221"/>
          <cell r="AV221"/>
          <cell r="AW221"/>
          <cell r="AX221"/>
          <cell r="AY221"/>
          <cell r="AZ221"/>
          <cell r="BA221"/>
          <cell r="BB221"/>
          <cell r="BC221"/>
          <cell r="BD221"/>
          <cell r="BE221"/>
          <cell r="BF221"/>
          <cell r="BG221"/>
          <cell r="BH221"/>
          <cell r="BI221"/>
          <cell r="BJ221"/>
          <cell r="BK221"/>
          <cell r="BL221"/>
          <cell r="BM221"/>
          <cell r="BN221"/>
          <cell r="BO221"/>
          <cell r="BP221"/>
          <cell r="BQ221"/>
          <cell r="BR221"/>
          <cell r="BS221"/>
          <cell r="BT221"/>
          <cell r="BU221"/>
          <cell r="BV221"/>
          <cell r="BW221"/>
          <cell r="BX221"/>
        </row>
        <row r="222">
          <cell r="B222" t="str">
            <v>Government &amp; public authorities loans</v>
          </cell>
          <cell r="C222" t="str">
            <v>B_LB_GOVERNMT</v>
          </cell>
          <cell r="D222" t="str">
            <v>AUD</v>
          </cell>
          <cell r="F222"/>
          <cell r="G222"/>
          <cell r="H222"/>
          <cell r="I222"/>
          <cell r="J222"/>
          <cell r="K222"/>
          <cell r="L222"/>
          <cell r="M222"/>
          <cell r="N222"/>
          <cell r="O222"/>
          <cell r="P222"/>
          <cell r="Q222"/>
          <cell r="R222"/>
          <cell r="S222"/>
          <cell r="T222"/>
          <cell r="U222"/>
          <cell r="V222"/>
          <cell r="W222"/>
          <cell r="X222"/>
          <cell r="Y222"/>
          <cell r="Z222"/>
          <cell r="AA222"/>
          <cell r="AB222"/>
          <cell r="AC222"/>
          <cell r="AD222"/>
          <cell r="AE222"/>
          <cell r="AF222"/>
          <cell r="AG222"/>
          <cell r="AH222"/>
          <cell r="AI222"/>
          <cell r="AJ222"/>
          <cell r="AK222"/>
          <cell r="AL222"/>
          <cell r="AM222"/>
          <cell r="AN222"/>
          <cell r="AO222"/>
          <cell r="AP222"/>
          <cell r="AQ222"/>
          <cell r="AR222"/>
          <cell r="AS222"/>
          <cell r="AT222"/>
          <cell r="AU222"/>
          <cell r="AV222"/>
          <cell r="AW222"/>
          <cell r="AX222"/>
          <cell r="AY222"/>
          <cell r="AZ222"/>
          <cell r="BA222"/>
          <cell r="BB222"/>
          <cell r="BC222"/>
          <cell r="BD222"/>
          <cell r="BE222"/>
          <cell r="BF222"/>
          <cell r="BG222"/>
          <cell r="BH222"/>
          <cell r="BI222"/>
          <cell r="BJ222"/>
          <cell r="BK222"/>
          <cell r="BL222"/>
          <cell r="BM222"/>
          <cell r="BN222"/>
          <cell r="BO222"/>
          <cell r="BP222"/>
          <cell r="BQ222"/>
          <cell r="BR222"/>
          <cell r="BS222"/>
          <cell r="BT222"/>
          <cell r="BU222"/>
          <cell r="BV222"/>
          <cell r="BW222"/>
          <cell r="BX222"/>
        </row>
        <row r="223">
          <cell r="B223" t="str">
            <v>Other loans</v>
          </cell>
          <cell r="C223" t="str">
            <v>B_LB_OTHER</v>
          </cell>
          <cell r="D223" t="str">
            <v>AUD</v>
          </cell>
          <cell r="F223"/>
          <cell r="G223"/>
          <cell r="H223"/>
          <cell r="I223"/>
          <cell r="J223"/>
          <cell r="K223"/>
          <cell r="L223"/>
          <cell r="M223"/>
          <cell r="N223"/>
          <cell r="O223"/>
          <cell r="P223"/>
          <cell r="Q223"/>
          <cell r="R223"/>
          <cell r="S223"/>
          <cell r="T223"/>
          <cell r="U223"/>
          <cell r="V223"/>
          <cell r="W223"/>
          <cell r="X223"/>
          <cell r="Y223"/>
          <cell r="Z223"/>
          <cell r="AA223"/>
          <cell r="AB223"/>
          <cell r="AC223"/>
          <cell r="AD223"/>
          <cell r="AE223"/>
          <cell r="AF223"/>
          <cell r="AG223"/>
          <cell r="AH223"/>
          <cell r="AI223"/>
          <cell r="AJ223"/>
          <cell r="AK223"/>
          <cell r="AL223"/>
          <cell r="AM223"/>
          <cell r="AN223"/>
          <cell r="AO223"/>
          <cell r="AP223"/>
          <cell r="AQ223"/>
          <cell r="AR223"/>
          <cell r="AS223"/>
          <cell r="AT223"/>
          <cell r="AU223"/>
          <cell r="AV223"/>
          <cell r="AW223"/>
          <cell r="AX223"/>
          <cell r="AY223"/>
          <cell r="AZ223"/>
          <cell r="BA223"/>
          <cell r="BB223"/>
          <cell r="BC223"/>
          <cell r="BD223"/>
          <cell r="BE223"/>
          <cell r="BF223"/>
          <cell r="BG223"/>
          <cell r="BH223"/>
          <cell r="BI223"/>
          <cell r="BJ223"/>
          <cell r="BK223"/>
          <cell r="BL223"/>
          <cell r="BM223"/>
          <cell r="BN223"/>
          <cell r="BO223"/>
          <cell r="BP223"/>
          <cell r="BQ223"/>
          <cell r="BR223"/>
          <cell r="BS223"/>
          <cell r="BT223"/>
          <cell r="BU223"/>
          <cell r="BV223"/>
          <cell r="BW223"/>
          <cell r="BX223"/>
        </row>
        <row r="224">
          <cell r="B224" t="str">
            <v>Total other lending</v>
          </cell>
          <cell r="C224" t="str">
            <v>B_LB_OTHLEND</v>
          </cell>
          <cell r="D224" t="str">
            <v>AUD</v>
          </cell>
          <cell r="F224">
            <v>119175</v>
          </cell>
          <cell r="G224">
            <v>135464</v>
          </cell>
          <cell r="H224">
            <v>164224</v>
          </cell>
          <cell r="I224">
            <v>150255</v>
          </cell>
          <cell r="J224">
            <v>155929</v>
          </cell>
          <cell r="K224">
            <v>187415</v>
          </cell>
          <cell r="L224">
            <v>200860</v>
          </cell>
          <cell r="M224">
            <v>233540</v>
          </cell>
          <cell r="N224">
            <v>247587</v>
          </cell>
          <cell r="O224">
            <v>252995</v>
          </cell>
          <cell r="P224">
            <v>252995</v>
          </cell>
          <cell r="Q224">
            <v>271988</v>
          </cell>
          <cell r="R224">
            <v>271902</v>
          </cell>
          <cell r="S224">
            <v>271902</v>
          </cell>
          <cell r="T224">
            <v>251390</v>
          </cell>
          <cell r="U224">
            <v>255800</v>
          </cell>
          <cell r="V224">
            <v>255800</v>
          </cell>
          <cell r="W224">
            <v>248397</v>
          </cell>
          <cell r="X224">
            <v>246135</v>
          </cell>
          <cell r="Y224">
            <v>246135</v>
          </cell>
          <cell r="Z224">
            <v>249828</v>
          </cell>
          <cell r="AA224">
            <v>261659</v>
          </cell>
          <cell r="AB224">
            <v>261659</v>
          </cell>
          <cell r="AC224">
            <v>264323</v>
          </cell>
          <cell r="AD224">
            <v>274487</v>
          </cell>
          <cell r="AE224">
            <v>274487</v>
          </cell>
          <cell r="AF224">
            <v>311353</v>
          </cell>
          <cell r="AG224">
            <v>262922</v>
          </cell>
          <cell r="AH224">
            <v>262922</v>
          </cell>
          <cell r="AI224">
            <v>249090</v>
          </cell>
          <cell r="AJ224">
            <v>260192</v>
          </cell>
          <cell r="AK224">
            <v>260192</v>
          </cell>
          <cell r="AL224">
            <v>279821</v>
          </cell>
          <cell r="AM224">
            <v>299000</v>
          </cell>
          <cell r="AN224">
            <v>299000</v>
          </cell>
          <cell r="AO224">
            <v>300095</v>
          </cell>
          <cell r="AP224">
            <v>303139</v>
          </cell>
          <cell r="AQ224">
            <v>303139</v>
          </cell>
          <cell r="AR224">
            <v>300571</v>
          </cell>
          <cell r="AS224">
            <v>318781</v>
          </cell>
          <cell r="AT224">
            <v>318781</v>
          </cell>
          <cell r="AU224">
            <v>324949</v>
          </cell>
          <cell r="AV224">
            <v>325474</v>
          </cell>
          <cell r="AW224">
            <v>325474</v>
          </cell>
          <cell r="AX224">
            <v>327361.24211088027</v>
          </cell>
          <cell r="AY224">
            <v>331370.79647035245</v>
          </cell>
          <cell r="AZ224">
            <v>331370.79647035245</v>
          </cell>
          <cell r="BA224">
            <v>334330.26892412396</v>
          </cell>
          <cell r="BB224">
            <v>336693.28190129006</v>
          </cell>
          <cell r="BC224">
            <v>336693.28190129006</v>
          </cell>
          <cell r="BD224">
            <v>338767.57988765836</v>
          </cell>
          <cell r="BE224">
            <v>341364.59512987616</v>
          </cell>
          <cell r="BF224">
            <v>341364.59512987616</v>
          </cell>
          <cell r="BG224">
            <v>343395.97610791866</v>
          </cell>
          <cell r="BH224">
            <v>345540.08190499002</v>
          </cell>
          <cell r="BI224">
            <v>345540.08190499002</v>
          </cell>
          <cell r="BJ224">
            <v>351350.63200488244</v>
          </cell>
          <cell r="BK224">
            <v>357328.71135543066</v>
          </cell>
          <cell r="BL224">
            <v>357328.71135543066</v>
          </cell>
          <cell r="BM224">
            <v>364241.10263902543</v>
          </cell>
          <cell r="BN224">
            <v>370167.5350251015</v>
          </cell>
          <cell r="BO224">
            <v>370167.5350251015</v>
          </cell>
          <cell r="BP224">
            <v>376214.79151955282</v>
          </cell>
          <cell r="BQ224">
            <v>382385.23056172312</v>
          </cell>
          <cell r="BR224">
            <v>382385.23056172312</v>
          </cell>
          <cell r="BS224">
            <v>389739.16505656287</v>
          </cell>
          <cell r="BT224">
            <v>397237.00962426234</v>
          </cell>
          <cell r="BU224">
            <v>397237.00962426234</v>
          </cell>
          <cell r="BV224">
            <v>405762.12797027419</v>
          </cell>
          <cell r="BW224">
            <v>414489.73646991025</v>
          </cell>
          <cell r="BX224">
            <v>414489.73646991025</v>
          </cell>
        </row>
        <row r="225">
          <cell r="B225" t="str">
            <v>Gross loans to customers</v>
          </cell>
          <cell r="C225" t="str">
            <v>B_LB_GROSSLOANS</v>
          </cell>
          <cell r="D225" t="str">
            <v>AUD</v>
          </cell>
          <cell r="F225">
            <v>259731</v>
          </cell>
          <cell r="G225">
            <v>292848</v>
          </cell>
          <cell r="H225">
            <v>340050</v>
          </cell>
          <cell r="I225">
            <v>338345</v>
          </cell>
          <cell r="J225">
            <v>358587</v>
          </cell>
          <cell r="K225">
            <v>402797</v>
          </cell>
          <cell r="L225">
            <v>431566</v>
          </cell>
          <cell r="M225">
            <v>486817</v>
          </cell>
          <cell r="N225">
            <v>512300</v>
          </cell>
          <cell r="O225">
            <v>524383</v>
          </cell>
          <cell r="P225">
            <v>524383</v>
          </cell>
          <cell r="Q225">
            <v>560485</v>
          </cell>
          <cell r="R225">
            <v>572370</v>
          </cell>
          <cell r="S225">
            <v>572370</v>
          </cell>
          <cell r="T225">
            <v>564691</v>
          </cell>
          <cell r="U225">
            <v>578944</v>
          </cell>
          <cell r="V225">
            <v>578944</v>
          </cell>
          <cell r="W225">
            <v>579211</v>
          </cell>
          <cell r="X225">
            <v>583444</v>
          </cell>
          <cell r="Y225">
            <v>583444</v>
          </cell>
          <cell r="Z225">
            <v>594939</v>
          </cell>
          <cell r="AA225">
            <v>607813</v>
          </cell>
          <cell r="AB225">
            <v>607813</v>
          </cell>
          <cell r="AC225">
            <v>613269</v>
          </cell>
          <cell r="AD225">
            <v>618295</v>
          </cell>
          <cell r="AE225">
            <v>618295</v>
          </cell>
          <cell r="AF225">
            <v>660781</v>
          </cell>
          <cell r="AG225">
            <v>621272</v>
          </cell>
          <cell r="AH225">
            <v>621272</v>
          </cell>
          <cell r="AI225">
            <v>617668</v>
          </cell>
          <cell r="AJ225">
            <v>632764</v>
          </cell>
          <cell r="AK225">
            <v>632764</v>
          </cell>
          <cell r="AL225">
            <v>653973</v>
          </cell>
          <cell r="AM225">
            <v>673625</v>
          </cell>
          <cell r="AN225">
            <v>673625</v>
          </cell>
          <cell r="AO225">
            <v>691106</v>
          </cell>
          <cell r="AP225">
            <v>707630</v>
          </cell>
          <cell r="AQ225">
            <v>707630</v>
          </cell>
          <cell r="AR225">
            <v>715512</v>
          </cell>
          <cell r="AS225">
            <v>803335</v>
          </cell>
          <cell r="AT225">
            <v>803335</v>
          </cell>
          <cell r="AU225">
            <v>820212</v>
          </cell>
          <cell r="AV225">
            <v>829471</v>
          </cell>
          <cell r="AW225">
            <v>829471</v>
          </cell>
          <cell r="AX225">
            <v>847296.4450366674</v>
          </cell>
          <cell r="AY225">
            <v>860288.69780860271</v>
          </cell>
          <cell r="AZ225">
            <v>860288.69780860271</v>
          </cell>
          <cell r="BA225">
            <v>872966.53493052314</v>
          </cell>
          <cell r="BB225">
            <v>889239.26673662791</v>
          </cell>
          <cell r="BC225">
            <v>889239.26673662791</v>
          </cell>
          <cell r="BD225">
            <v>905172.8042767467</v>
          </cell>
          <cell r="BE225">
            <v>921594.04007353773</v>
          </cell>
          <cell r="BF225">
            <v>921594.04007353773</v>
          </cell>
          <cell r="BG225">
            <v>937048.95990749577</v>
          </cell>
          <cell r="BH225">
            <v>952168.94065761648</v>
          </cell>
          <cell r="BI225">
            <v>952168.94065761648</v>
          </cell>
          <cell r="BJ225">
            <v>970302.24451350747</v>
          </cell>
          <cell r="BK225">
            <v>987651.05940351321</v>
          </cell>
          <cell r="BL225">
            <v>987651.05940351321</v>
          </cell>
          <cell r="BM225">
            <v>1006717.0129491105</v>
          </cell>
          <cell r="BN225">
            <v>1025568.5464975209</v>
          </cell>
          <cell r="BO225">
            <v>1025568.5464975209</v>
          </cell>
          <cell r="BP225">
            <v>1044801.1521022737</v>
          </cell>
          <cell r="BQ225">
            <v>1064422.4373230506</v>
          </cell>
          <cell r="BR225">
            <v>1064422.4373230506</v>
          </cell>
          <cell r="BS225">
            <v>1085498.0704179227</v>
          </cell>
          <cell r="BT225">
            <v>1106993.9297572803</v>
          </cell>
          <cell r="BU225">
            <v>1106993.9297572803</v>
          </cell>
          <cell r="BV225">
            <v>1129798.9534028166</v>
          </cell>
          <cell r="BW225">
            <v>1153094.0449466913</v>
          </cell>
          <cell r="BX225">
            <v>1153094.0449466913</v>
          </cell>
        </row>
        <row r="226">
          <cell r="B226" t="str">
            <v>Total overseas lending, gross</v>
          </cell>
          <cell r="C226" t="str">
            <v>B_LB_OVSEASLEND</v>
          </cell>
          <cell r="D226" t="str">
            <v>AUD</v>
          </cell>
          <cell r="F226">
            <v>79131</v>
          </cell>
          <cell r="G226">
            <v>88000</v>
          </cell>
          <cell r="H226">
            <v>103786</v>
          </cell>
          <cell r="I226">
            <v>99964</v>
          </cell>
          <cell r="J226">
            <v>102115</v>
          </cell>
          <cell r="K226">
            <v>113698</v>
          </cell>
          <cell r="L226">
            <v>122818</v>
          </cell>
          <cell r="M226">
            <v>160004</v>
          </cell>
          <cell r="N226">
            <v>173288</v>
          </cell>
          <cell r="O226">
            <v>173656</v>
          </cell>
          <cell r="P226">
            <v>173656</v>
          </cell>
          <cell r="Q226">
            <v>195584</v>
          </cell>
          <cell r="R226">
            <v>189215</v>
          </cell>
          <cell r="S226">
            <v>189215</v>
          </cell>
          <cell r="T226">
            <v>175856</v>
          </cell>
          <cell r="U226">
            <v>182539</v>
          </cell>
          <cell r="V226">
            <v>182539</v>
          </cell>
          <cell r="W226">
            <v>174022</v>
          </cell>
          <cell r="X226">
            <v>170188</v>
          </cell>
          <cell r="Y226">
            <v>170188</v>
          </cell>
          <cell r="Z226">
            <v>174495</v>
          </cell>
          <cell r="AA226">
            <v>179175</v>
          </cell>
          <cell r="AB226">
            <v>179175</v>
          </cell>
          <cell r="AC226">
            <v>189802</v>
          </cell>
          <cell r="AD226">
            <v>186700</v>
          </cell>
          <cell r="AE226">
            <v>186700</v>
          </cell>
          <cell r="AF226">
            <v>212527</v>
          </cell>
          <cell r="AG226">
            <v>178122</v>
          </cell>
          <cell r="AH226">
            <v>178122</v>
          </cell>
          <cell r="AI226">
            <v>180714</v>
          </cell>
          <cell r="AJ226">
            <v>198162</v>
          </cell>
          <cell r="AK226">
            <v>198162</v>
          </cell>
          <cell r="AL226">
            <v>208418</v>
          </cell>
          <cell r="AM226">
            <v>212019</v>
          </cell>
          <cell r="AN226">
            <v>212019</v>
          </cell>
          <cell r="AO226">
            <v>217140</v>
          </cell>
          <cell r="AP226">
            <v>218993</v>
          </cell>
          <cell r="AQ226">
            <v>218993</v>
          </cell>
          <cell r="AR226">
            <v>213173</v>
          </cell>
          <cell r="AS226">
            <v>215119</v>
          </cell>
          <cell r="AT226">
            <v>215119</v>
          </cell>
          <cell r="AU226">
            <v>220544</v>
          </cell>
          <cell r="AV226">
            <v>209485</v>
          </cell>
          <cell r="AW226">
            <v>209485</v>
          </cell>
          <cell r="AX226">
            <v>208156.57805266738</v>
          </cell>
          <cell r="AY226">
            <v>203709.61238041439</v>
          </cell>
          <cell r="AZ226">
            <v>203709.61238041439</v>
          </cell>
          <cell r="BA226">
            <v>198600.31547082693</v>
          </cell>
          <cell r="BB226">
            <v>195654.00299395289</v>
          </cell>
          <cell r="BC226">
            <v>195654.00299395289</v>
          </cell>
          <cell r="BD226">
            <v>193058.01723253346</v>
          </cell>
          <cell r="BE226">
            <v>190446.22678511817</v>
          </cell>
          <cell r="BF226">
            <v>190446.22678511817</v>
          </cell>
          <cell r="BG226">
            <v>187943.51473573199</v>
          </cell>
          <cell r="BH226">
            <v>185630.27881633837</v>
          </cell>
          <cell r="BI226">
            <v>185630.27881633837</v>
          </cell>
          <cell r="BJ226">
            <v>187168.71846624551</v>
          </cell>
          <cell r="BK226">
            <v>188836.0364969137</v>
          </cell>
          <cell r="BL226">
            <v>188836.0364969137</v>
          </cell>
          <cell r="BM226">
            <v>191905.89145361815</v>
          </cell>
          <cell r="BN226">
            <v>194440.40716729895</v>
          </cell>
          <cell r="BO226">
            <v>194440.40716729895</v>
          </cell>
          <cell r="BP226">
            <v>197028.63125305966</v>
          </cell>
          <cell r="BQ226">
            <v>199671.59735948039</v>
          </cell>
          <cell r="BR226">
            <v>199671.59735948039</v>
          </cell>
          <cell r="BS226">
            <v>203428.26775905883</v>
          </cell>
          <cell r="BT226">
            <v>207257.68010805681</v>
          </cell>
          <cell r="BU226">
            <v>207257.68010805681</v>
          </cell>
          <cell r="BV226">
            <v>212041.79431805894</v>
          </cell>
          <cell r="BW226">
            <v>216954.39563329911</v>
          </cell>
          <cell r="BX226">
            <v>216954.39563329911</v>
          </cell>
        </row>
        <row r="227">
          <cell r="B227" t="str">
            <v>Commitments</v>
          </cell>
          <cell r="C227" t="str">
            <v>COMMITMENTS</v>
          </cell>
          <cell r="D227" t="str">
            <v>AUD</v>
          </cell>
          <cell r="F227"/>
          <cell r="G227"/>
          <cell r="H227"/>
          <cell r="I227"/>
          <cell r="J227"/>
          <cell r="K227"/>
          <cell r="L227"/>
          <cell r="M227"/>
          <cell r="N227"/>
          <cell r="O227"/>
          <cell r="P227"/>
          <cell r="Q227"/>
          <cell r="R227"/>
          <cell r="S227"/>
          <cell r="T227"/>
          <cell r="U227"/>
          <cell r="V227"/>
          <cell r="W227"/>
          <cell r="X227"/>
          <cell r="Y227"/>
          <cell r="Z227"/>
          <cell r="AA227"/>
          <cell r="AB227"/>
          <cell r="AC227"/>
          <cell r="AD227"/>
          <cell r="AE227"/>
          <cell r="AF227"/>
          <cell r="AG227"/>
          <cell r="AH227"/>
          <cell r="AI227"/>
          <cell r="AJ227"/>
          <cell r="AK227"/>
          <cell r="AL227"/>
          <cell r="AM227"/>
          <cell r="AN227"/>
          <cell r="AO227"/>
          <cell r="AP227"/>
          <cell r="AQ227"/>
          <cell r="AR227"/>
          <cell r="AS227"/>
          <cell r="AT227"/>
          <cell r="AU227"/>
          <cell r="AV227"/>
          <cell r="AW227"/>
          <cell r="AX227"/>
          <cell r="AY227"/>
          <cell r="AZ227"/>
          <cell r="BA227"/>
          <cell r="BB227"/>
          <cell r="BC227"/>
          <cell r="BD227"/>
          <cell r="BE227"/>
          <cell r="BF227"/>
          <cell r="BG227"/>
          <cell r="BH227"/>
          <cell r="BI227"/>
          <cell r="BJ227"/>
          <cell r="BK227"/>
          <cell r="BL227"/>
          <cell r="BM227"/>
          <cell r="BN227"/>
          <cell r="BO227"/>
          <cell r="BP227"/>
          <cell r="BQ227"/>
          <cell r="BR227"/>
          <cell r="BS227"/>
          <cell r="BT227"/>
          <cell r="BU227"/>
          <cell r="BV227"/>
          <cell r="BW227"/>
          <cell r="BX227"/>
        </row>
        <row r="228">
          <cell r="B228" t="str">
            <v>Contingent liabilities</v>
          </cell>
          <cell r="C228" t="str">
            <v>CONTINGENCIES</v>
          </cell>
          <cell r="D228" t="str">
            <v>AUD</v>
          </cell>
          <cell r="F228"/>
          <cell r="G228"/>
          <cell r="H228"/>
          <cell r="I228"/>
          <cell r="J228"/>
          <cell r="K228"/>
          <cell r="L228"/>
          <cell r="M228"/>
          <cell r="N228"/>
          <cell r="O228"/>
          <cell r="P228"/>
          <cell r="Q228"/>
          <cell r="R228"/>
          <cell r="S228"/>
          <cell r="T228"/>
          <cell r="U228"/>
          <cell r="V228"/>
          <cell r="W228"/>
          <cell r="X228"/>
          <cell r="Y228"/>
          <cell r="Z228"/>
          <cell r="AA228"/>
          <cell r="AB228"/>
          <cell r="AC228"/>
          <cell r="AD228"/>
          <cell r="AE228"/>
          <cell r="AF228"/>
          <cell r="AG228"/>
          <cell r="AH228"/>
          <cell r="AI228"/>
          <cell r="AJ228"/>
          <cell r="AK228"/>
          <cell r="AL228"/>
          <cell r="AM228"/>
          <cell r="AN228"/>
          <cell r="AO228"/>
          <cell r="AP228"/>
          <cell r="AQ228"/>
          <cell r="AR228"/>
          <cell r="AS228"/>
          <cell r="AT228"/>
          <cell r="AU228"/>
          <cell r="AV228"/>
          <cell r="AW228"/>
          <cell r="AX228"/>
          <cell r="AY228"/>
          <cell r="AZ228"/>
          <cell r="BA228"/>
          <cell r="BB228"/>
          <cell r="BC228"/>
          <cell r="BD228"/>
          <cell r="BE228"/>
          <cell r="BF228"/>
          <cell r="BG228"/>
          <cell r="BH228"/>
          <cell r="BI228"/>
          <cell r="BJ228"/>
          <cell r="BK228"/>
          <cell r="BL228"/>
          <cell r="BM228"/>
          <cell r="BN228"/>
          <cell r="BO228"/>
          <cell r="BP228"/>
          <cell r="BQ228"/>
          <cell r="BR228"/>
          <cell r="BS228"/>
          <cell r="BT228"/>
          <cell r="BU228"/>
          <cell r="BV228"/>
          <cell r="BW228"/>
          <cell r="BX228"/>
        </row>
        <row r="229">
          <cell r="A229" t="str">
            <v>Provisions &amp; Reserves</v>
          </cell>
          <cell r="B229"/>
          <cell r="C229"/>
          <cell r="D229"/>
        </row>
        <row r="230">
          <cell r="B230" t="str">
            <v>Specific loan loss reserve against customers</v>
          </cell>
          <cell r="C230" t="str">
            <v>B_PV_SLLRCUST</v>
          </cell>
          <cell r="D230" t="str">
            <v>AUD</v>
          </cell>
          <cell r="F230">
            <v>286</v>
          </cell>
          <cell r="G230">
            <v>270</v>
          </cell>
          <cell r="H230">
            <v>675</v>
          </cell>
          <cell r="I230">
            <v>1526</v>
          </cell>
          <cell r="J230">
            <v>1875</v>
          </cell>
          <cell r="K230">
            <v>1697</v>
          </cell>
          <cell r="L230">
            <v>1773</v>
          </cell>
          <cell r="M230">
            <v>1467</v>
          </cell>
          <cell r="N230">
            <v>1470</v>
          </cell>
          <cell r="O230">
            <v>1176</v>
          </cell>
          <cell r="P230">
            <v>1176</v>
          </cell>
          <cell r="Q230">
            <v>1114</v>
          </cell>
          <cell r="R230">
            <v>1061</v>
          </cell>
          <cell r="S230">
            <v>1061</v>
          </cell>
          <cell r="T230">
            <v>1238</v>
          </cell>
          <cell r="U230">
            <v>1307</v>
          </cell>
          <cell r="V230">
            <v>1307</v>
          </cell>
          <cell r="W230">
            <v>1269</v>
          </cell>
          <cell r="X230">
            <v>1136</v>
          </cell>
          <cell r="Y230">
            <v>1136</v>
          </cell>
          <cell r="Z230">
            <v>1016</v>
          </cell>
          <cell r="AA230">
            <v>920</v>
          </cell>
          <cell r="AB230">
            <v>920</v>
          </cell>
          <cell r="AC230">
            <v>891</v>
          </cell>
          <cell r="AD230">
            <v>814</v>
          </cell>
          <cell r="AE230">
            <v>814</v>
          </cell>
          <cell r="AF230">
            <v>1093</v>
          </cell>
          <cell r="AG230">
            <v>891</v>
          </cell>
          <cell r="AH230">
            <v>891</v>
          </cell>
          <cell r="AI230">
            <v>809</v>
          </cell>
          <cell r="AJ230">
            <v>687</v>
          </cell>
          <cell r="AK230">
            <v>687</v>
          </cell>
          <cell r="AL230">
            <v>636</v>
          </cell>
          <cell r="AM230">
            <v>542</v>
          </cell>
          <cell r="AN230">
            <v>542</v>
          </cell>
          <cell r="AO230">
            <v>421</v>
          </cell>
          <cell r="AP230">
            <v>376</v>
          </cell>
          <cell r="AQ230">
            <v>376</v>
          </cell>
          <cell r="AR230">
            <v>325</v>
          </cell>
          <cell r="AS230">
            <v>308</v>
          </cell>
          <cell r="AT230">
            <v>308</v>
          </cell>
          <cell r="AU230">
            <v>364</v>
          </cell>
          <cell r="AV230">
            <v>399</v>
          </cell>
          <cell r="AW230">
            <v>399</v>
          </cell>
          <cell r="AX230">
            <v>471.42684111836809</v>
          </cell>
          <cell r="AY230">
            <v>516.80253009898047</v>
          </cell>
          <cell r="AZ230">
            <v>516.80253009898047</v>
          </cell>
          <cell r="BA230">
            <v>568.79553123825337</v>
          </cell>
          <cell r="BB230">
            <v>641.30425394208316</v>
          </cell>
          <cell r="BC230">
            <v>641.30425394208316</v>
          </cell>
          <cell r="BD230">
            <v>765.18857532141726</v>
          </cell>
          <cell r="BE230">
            <v>897.10178914351832</v>
          </cell>
          <cell r="BF230">
            <v>897.10178914351832</v>
          </cell>
          <cell r="BG230">
            <v>1060.738411427832</v>
          </cell>
          <cell r="BH230">
            <v>1253.4104486469741</v>
          </cell>
          <cell r="BI230">
            <v>1253.4104486469741</v>
          </cell>
          <cell r="BJ230">
            <v>1444.2507365588035</v>
          </cell>
          <cell r="BK230">
            <v>1637.0042163202156</v>
          </cell>
          <cell r="BL230">
            <v>1637.0042163202156</v>
          </cell>
          <cell r="BM230">
            <v>1633.2062638584659</v>
          </cell>
          <cell r="BN230">
            <v>1623.7373270653136</v>
          </cell>
          <cell r="BO230">
            <v>1623.7373270653136</v>
          </cell>
          <cell r="BP230">
            <v>1613.6325380151256</v>
          </cell>
          <cell r="BQ230">
            <v>1602.8664897455524</v>
          </cell>
          <cell r="BR230">
            <v>1602.8664897455524</v>
          </cell>
          <cell r="BS230">
            <v>1595.7445360136558</v>
          </cell>
          <cell r="BT230">
            <v>1587.7657280023971</v>
          </cell>
          <cell r="BU230">
            <v>1587.7657280023971</v>
          </cell>
          <cell r="BV230">
            <v>1582.3328441350561</v>
          </cell>
          <cell r="BW230">
            <v>1576.0097499587753</v>
          </cell>
          <cell r="BX230">
            <v>1576.0097499587753</v>
          </cell>
        </row>
        <row r="231">
          <cell r="B231" t="str">
            <v>General loan loss reserve against customers</v>
          </cell>
          <cell r="C231" t="str">
            <v>B_PV_GLLRCUST</v>
          </cell>
          <cell r="D231" t="str">
            <v>AUD</v>
          </cell>
          <cell r="F231">
            <v>1940</v>
          </cell>
          <cell r="G231">
            <v>1992</v>
          </cell>
          <cell r="H231">
            <v>2821</v>
          </cell>
          <cell r="I231">
            <v>3000</v>
          </cell>
          <cell r="J231">
            <v>3153</v>
          </cell>
          <cell r="K231">
            <v>3176</v>
          </cell>
          <cell r="L231">
            <v>2765</v>
          </cell>
          <cell r="M231">
            <v>2887</v>
          </cell>
          <cell r="N231">
            <v>2843</v>
          </cell>
          <cell r="O231">
            <v>2757</v>
          </cell>
          <cell r="P231">
            <v>2757</v>
          </cell>
          <cell r="Q231">
            <v>2914</v>
          </cell>
          <cell r="R231">
            <v>2956</v>
          </cell>
          <cell r="S231">
            <v>2956</v>
          </cell>
          <cell r="T231">
            <v>2862</v>
          </cell>
          <cell r="U231">
            <v>2876</v>
          </cell>
          <cell r="V231">
            <v>2876</v>
          </cell>
          <cell r="W231">
            <v>2785</v>
          </cell>
          <cell r="X231">
            <v>2662</v>
          </cell>
          <cell r="Y231">
            <v>2662</v>
          </cell>
          <cell r="Z231">
            <v>2579</v>
          </cell>
          <cell r="AA231">
            <v>2523</v>
          </cell>
          <cell r="AB231">
            <v>2523</v>
          </cell>
          <cell r="AC231">
            <v>3378</v>
          </cell>
          <cell r="AD231">
            <v>3376</v>
          </cell>
          <cell r="AE231">
            <v>3376</v>
          </cell>
          <cell r="AF231">
            <v>4501</v>
          </cell>
          <cell r="AG231">
            <v>5008</v>
          </cell>
          <cell r="AH231">
            <v>5008</v>
          </cell>
          <cell r="AI231">
            <v>4285</v>
          </cell>
          <cell r="AJ231">
            <v>4195</v>
          </cell>
          <cell r="AK231">
            <v>4195</v>
          </cell>
          <cell r="AL231">
            <v>3757</v>
          </cell>
          <cell r="AM231">
            <v>3853</v>
          </cell>
          <cell r="AN231">
            <v>3853</v>
          </cell>
          <cell r="AO231">
            <v>4040</v>
          </cell>
          <cell r="AP231">
            <v>4032</v>
          </cell>
          <cell r="AQ231">
            <v>4032</v>
          </cell>
          <cell r="AR231">
            <v>4046</v>
          </cell>
          <cell r="AS231">
            <v>4247</v>
          </cell>
          <cell r="AT231">
            <v>4247</v>
          </cell>
          <cell r="AU231">
            <v>4280</v>
          </cell>
          <cell r="AV231">
            <v>4379</v>
          </cell>
          <cell r="AW231">
            <v>4379</v>
          </cell>
          <cell r="AX231">
            <v>4456.4856302748012</v>
          </cell>
          <cell r="AY231">
            <v>4531.6628054356815</v>
          </cell>
          <cell r="AZ231">
            <v>4531.6628054356815</v>
          </cell>
          <cell r="BA231">
            <v>4598.1178612641943</v>
          </cell>
          <cell r="BB231">
            <v>4673.581013633413</v>
          </cell>
          <cell r="BC231">
            <v>4673.581013633413</v>
          </cell>
          <cell r="BD231">
            <v>4734.8275760109536</v>
          </cell>
          <cell r="BE231">
            <v>4801.2294872635957</v>
          </cell>
          <cell r="BF231">
            <v>4801.2294872635957</v>
          </cell>
          <cell r="BG231">
            <v>4860.7783434803923</v>
          </cell>
          <cell r="BH231">
            <v>4920.1543324064132</v>
          </cell>
          <cell r="BI231">
            <v>4920.1543324064132</v>
          </cell>
          <cell r="BJ231">
            <v>5014.5058842569779</v>
          </cell>
          <cell r="BK231">
            <v>5107.7638983192028</v>
          </cell>
          <cell r="BL231">
            <v>5107.7638983192028</v>
          </cell>
          <cell r="BM231">
            <v>5206.4625570611943</v>
          </cell>
          <cell r="BN231">
            <v>5297.9543133291445</v>
          </cell>
          <cell r="BO231">
            <v>5297.9543133291445</v>
          </cell>
          <cell r="BP231">
            <v>5391.3023992451954</v>
          </cell>
          <cell r="BQ231">
            <v>5486.5435136838114</v>
          </cell>
          <cell r="BR231">
            <v>5486.5435136838114</v>
          </cell>
          <cell r="BS231">
            <v>5593.7185684214082</v>
          </cell>
          <cell r="BT231">
            <v>5703.0123247383526</v>
          </cell>
          <cell r="BU231">
            <v>5703.0123247383526</v>
          </cell>
          <cell r="BV231">
            <v>5822.7930795202055</v>
          </cell>
          <cell r="BW231">
            <v>5945.2773529123479</v>
          </cell>
          <cell r="BX231">
            <v>5945.2773529123479</v>
          </cell>
        </row>
        <row r="232">
          <cell r="B232" t="str">
            <v>Total loan loss reserve against customers</v>
          </cell>
          <cell r="C232" t="str">
            <v>B_PV_TOTLLRCUST</v>
          </cell>
          <cell r="D232" t="str">
            <v>AUD</v>
          </cell>
          <cell r="F232">
            <v>2226</v>
          </cell>
          <cell r="G232">
            <v>2262</v>
          </cell>
          <cell r="H232">
            <v>3496</v>
          </cell>
          <cell r="I232">
            <v>4526</v>
          </cell>
          <cell r="J232">
            <v>5028</v>
          </cell>
          <cell r="K232">
            <v>4873</v>
          </cell>
          <cell r="L232">
            <v>4538</v>
          </cell>
          <cell r="M232">
            <v>4354</v>
          </cell>
          <cell r="N232">
            <v>4313</v>
          </cell>
          <cell r="O232">
            <v>3933</v>
          </cell>
          <cell r="P232">
            <v>3933</v>
          </cell>
          <cell r="Q232">
            <v>4028</v>
          </cell>
          <cell r="R232">
            <v>4017</v>
          </cell>
          <cell r="S232">
            <v>4017</v>
          </cell>
          <cell r="T232">
            <v>4100</v>
          </cell>
          <cell r="U232">
            <v>4183</v>
          </cell>
          <cell r="V232">
            <v>4183</v>
          </cell>
          <cell r="W232">
            <v>4054</v>
          </cell>
          <cell r="X232">
            <v>3798</v>
          </cell>
          <cell r="Y232">
            <v>3798</v>
          </cell>
          <cell r="Z232">
            <v>3595</v>
          </cell>
          <cell r="AA232">
            <v>3443</v>
          </cell>
          <cell r="AB232">
            <v>3443</v>
          </cell>
          <cell r="AC232">
            <v>4269</v>
          </cell>
          <cell r="AD232">
            <v>4190</v>
          </cell>
          <cell r="AE232">
            <v>4190</v>
          </cell>
          <cell r="AF232">
            <v>5594</v>
          </cell>
          <cell r="AG232">
            <v>5899</v>
          </cell>
          <cell r="AH232">
            <v>5899</v>
          </cell>
          <cell r="AI232">
            <v>5094</v>
          </cell>
          <cell r="AJ232">
            <v>4882</v>
          </cell>
          <cell r="AK232">
            <v>4882</v>
          </cell>
          <cell r="AL232">
            <v>4393</v>
          </cell>
          <cell r="AM232">
            <v>4395</v>
          </cell>
          <cell r="AN232">
            <v>4395</v>
          </cell>
          <cell r="AO232">
            <v>4461</v>
          </cell>
          <cell r="AP232">
            <v>4408</v>
          </cell>
          <cell r="AQ232">
            <v>4408</v>
          </cell>
          <cell r="AR232">
            <v>4371</v>
          </cell>
          <cell r="AS232">
            <v>4555</v>
          </cell>
          <cell r="AT232">
            <v>4555</v>
          </cell>
          <cell r="AU232">
            <v>4644</v>
          </cell>
          <cell r="AV232">
            <v>4778</v>
          </cell>
          <cell r="AW232">
            <v>4778</v>
          </cell>
          <cell r="AX232">
            <v>4927.9124713931697</v>
          </cell>
          <cell r="AY232">
            <v>5048.4653355346618</v>
          </cell>
          <cell r="AZ232">
            <v>5048.4653355346618</v>
          </cell>
          <cell r="BA232">
            <v>5166.913392502448</v>
          </cell>
          <cell r="BB232">
            <v>5314.8852675754961</v>
          </cell>
          <cell r="BC232">
            <v>5314.8852675754961</v>
          </cell>
          <cell r="BD232">
            <v>5500.016151332371</v>
          </cell>
          <cell r="BE232">
            <v>5698.3312764071143</v>
          </cell>
          <cell r="BF232">
            <v>5698.3312764071143</v>
          </cell>
          <cell r="BG232">
            <v>5921.5167549082244</v>
          </cell>
          <cell r="BH232">
            <v>6173.5647810533874</v>
          </cell>
          <cell r="BI232">
            <v>6173.5647810533874</v>
          </cell>
          <cell r="BJ232">
            <v>6458.7566208157814</v>
          </cell>
          <cell r="BK232">
            <v>6744.7681146394189</v>
          </cell>
          <cell r="BL232">
            <v>6744.7681146394189</v>
          </cell>
          <cell r="BM232">
            <v>6839.66882091966</v>
          </cell>
          <cell r="BN232">
            <v>6921.6916403944579</v>
          </cell>
          <cell r="BO232">
            <v>6921.6916403944579</v>
          </cell>
          <cell r="BP232">
            <v>7004.934937260321</v>
          </cell>
          <cell r="BQ232">
            <v>7089.4100034293642</v>
          </cell>
          <cell r="BR232">
            <v>7089.4100034293642</v>
          </cell>
          <cell r="BS232">
            <v>7189.4631044350645</v>
          </cell>
          <cell r="BT232">
            <v>7290.7780527407494</v>
          </cell>
          <cell r="BU232">
            <v>7290.7780527407494</v>
          </cell>
          <cell r="BV232">
            <v>7405.1259236552614</v>
          </cell>
          <cell r="BW232">
            <v>7521.2871028711234</v>
          </cell>
          <cell r="BX232">
            <v>7521.2871028711234</v>
          </cell>
        </row>
        <row r="233">
          <cell r="B233" t="str">
            <v>Write-offs</v>
          </cell>
          <cell r="C233" t="str">
            <v>WRITE_OFFS_BS</v>
          </cell>
          <cell r="D233" t="str">
            <v>AUD</v>
          </cell>
          <cell r="F233">
            <v>-294</v>
          </cell>
          <cell r="G233">
            <v>-433</v>
          </cell>
          <cell r="H233">
            <v>-599</v>
          </cell>
          <cell r="I233">
            <v>-1886</v>
          </cell>
          <cell r="J233">
            <v>-1584</v>
          </cell>
          <cell r="K233">
            <v>-1194</v>
          </cell>
          <cell r="L233">
            <v>-1289</v>
          </cell>
          <cell r="M233">
            <v>-1410</v>
          </cell>
          <cell r="N233">
            <v>-580</v>
          </cell>
          <cell r="O233">
            <v>-795</v>
          </cell>
          <cell r="P233">
            <v>-1375</v>
          </cell>
          <cell r="Q233">
            <v>-502</v>
          </cell>
          <cell r="R233">
            <v>-683</v>
          </cell>
          <cell r="S233">
            <v>-1185</v>
          </cell>
          <cell r="T233">
            <v>-557</v>
          </cell>
          <cell r="U233">
            <v>-943</v>
          </cell>
          <cell r="V233">
            <v>-1500</v>
          </cell>
          <cell r="W233">
            <v>-788</v>
          </cell>
          <cell r="X233">
            <v>-677</v>
          </cell>
          <cell r="Y233">
            <v>-1465</v>
          </cell>
          <cell r="Z233">
            <v>-544</v>
          </cell>
          <cell r="AA233">
            <v>-434</v>
          </cell>
          <cell r="AB233">
            <v>-978</v>
          </cell>
          <cell r="AC233">
            <v>-405</v>
          </cell>
          <cell r="AD233">
            <v>-459</v>
          </cell>
          <cell r="AE233">
            <v>-864</v>
          </cell>
          <cell r="AF233">
            <v>-365</v>
          </cell>
          <cell r="AG233">
            <v>-525</v>
          </cell>
          <cell r="AH233">
            <v>-890</v>
          </cell>
          <cell r="AI233">
            <v>-252</v>
          </cell>
          <cell r="AJ233">
            <v>-192</v>
          </cell>
          <cell r="AK233">
            <v>-444</v>
          </cell>
          <cell r="AL233">
            <v>-123</v>
          </cell>
          <cell r="AM233">
            <v>-97</v>
          </cell>
          <cell r="AN233">
            <v>-220</v>
          </cell>
          <cell r="AO233">
            <v>-84</v>
          </cell>
          <cell r="AP233">
            <v>-158</v>
          </cell>
          <cell r="AQ233">
            <v>-242</v>
          </cell>
          <cell r="AR233">
            <v>-68</v>
          </cell>
          <cell r="AS233">
            <v>-111</v>
          </cell>
          <cell r="AT233">
            <v>-179</v>
          </cell>
          <cell r="AU233">
            <v>-111</v>
          </cell>
          <cell r="AV233">
            <v>-118</v>
          </cell>
          <cell r="AW233">
            <v>-229</v>
          </cell>
          <cell r="AX233">
            <v>-164.0463194662432</v>
          </cell>
          <cell r="AY233">
            <v>-214.20443717959219</v>
          </cell>
          <cell r="AZ233">
            <v>-378.25075664583539</v>
          </cell>
          <cell r="BA233">
            <v>-293.03017187180922</v>
          </cell>
          <cell r="BB233">
            <v>-375.82348681563388</v>
          </cell>
          <cell r="BC233">
            <v>-668.85365868744316</v>
          </cell>
          <cell r="BD233">
            <v>-341.78185819832237</v>
          </cell>
          <cell r="BE233">
            <v>-308.94705480661605</v>
          </cell>
          <cell r="BF233">
            <v>-650.72891300493848</v>
          </cell>
          <cell r="BG233">
            <v>-259.52566328300213</v>
          </cell>
          <cell r="BH233">
            <v>-211.71843953919236</v>
          </cell>
          <cell r="BI233">
            <v>-471.24410282219446</v>
          </cell>
          <cell r="BJ233">
            <v>-212.53834908679181</v>
          </cell>
          <cell r="BK233">
            <v>-208.985288091722</v>
          </cell>
          <cell r="BL233">
            <v>-421.52363717851381</v>
          </cell>
          <cell r="BM233">
            <v>-244.74443199897433</v>
          </cell>
          <cell r="BN233">
            <v>-286.30333245542784</v>
          </cell>
          <cell r="BO233">
            <v>-531.04776445440211</v>
          </cell>
          <cell r="BP233">
            <v>-326.71893748454534</v>
          </cell>
          <cell r="BQ233">
            <v>-386.5659725309942</v>
          </cell>
          <cell r="BR233">
            <v>-713.28491001553948</v>
          </cell>
          <cell r="BS233">
            <v>-446.7462753613579</v>
          </cell>
          <cell r="BT233">
            <v>-511.69854710430059</v>
          </cell>
          <cell r="BU233">
            <v>-958.44482246565849</v>
          </cell>
          <cell r="BV233">
            <v>-561.58020220685819</v>
          </cell>
          <cell r="BW233">
            <v>-576.04824659025167</v>
          </cell>
          <cell r="BX233">
            <v>-1137.6284487971097</v>
          </cell>
        </row>
        <row r="234">
          <cell r="B234" t="str">
            <v>Recoveries</v>
          </cell>
          <cell r="C234" t="str">
            <v>RECOVERIES_BS</v>
          </cell>
          <cell r="D234" t="str">
            <v>AUD</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cell r="BM234">
            <v>0</v>
          </cell>
          <cell r="BN234">
            <v>0</v>
          </cell>
          <cell r="BO234">
            <v>0</v>
          </cell>
          <cell r="BP234">
            <v>0</v>
          </cell>
          <cell r="BQ234">
            <v>0</v>
          </cell>
          <cell r="BR234">
            <v>0</v>
          </cell>
          <cell r="BS234">
            <v>0</v>
          </cell>
          <cell r="BT234">
            <v>0</v>
          </cell>
          <cell r="BU234">
            <v>0</v>
          </cell>
          <cell r="BV234">
            <v>0</v>
          </cell>
          <cell r="BW234">
            <v>0</v>
          </cell>
          <cell r="BX234">
            <v>0</v>
          </cell>
        </row>
        <row r="235">
          <cell r="B235" t="str">
            <v>Net write-offs/(net charge-offs)</v>
          </cell>
          <cell r="C235" t="str">
            <v>NETCHGOFF_BS</v>
          </cell>
          <cell r="D235" t="str">
            <v>AUD</v>
          </cell>
          <cell r="F235">
            <v>-294</v>
          </cell>
          <cell r="G235">
            <v>-433</v>
          </cell>
          <cell r="H235">
            <v>-599</v>
          </cell>
          <cell r="I235">
            <v>-1886</v>
          </cell>
          <cell r="J235">
            <v>-1584</v>
          </cell>
          <cell r="K235">
            <v>-1194</v>
          </cell>
          <cell r="L235">
            <v>-1289</v>
          </cell>
          <cell r="M235">
            <v>-1410</v>
          </cell>
          <cell r="N235">
            <v>-580</v>
          </cell>
          <cell r="O235">
            <v>-795</v>
          </cell>
          <cell r="P235">
            <v>-1375</v>
          </cell>
          <cell r="Q235">
            <v>-502</v>
          </cell>
          <cell r="R235">
            <v>-683</v>
          </cell>
          <cell r="S235">
            <v>-1185</v>
          </cell>
          <cell r="T235">
            <v>-557</v>
          </cell>
          <cell r="U235">
            <v>-943</v>
          </cell>
          <cell r="V235">
            <v>-1500</v>
          </cell>
          <cell r="W235">
            <v>-788</v>
          </cell>
          <cell r="X235">
            <v>-677</v>
          </cell>
          <cell r="Y235">
            <v>-1465</v>
          </cell>
          <cell r="Z235">
            <v>-544</v>
          </cell>
          <cell r="AA235">
            <v>-434</v>
          </cell>
          <cell r="AB235">
            <v>-978</v>
          </cell>
          <cell r="AC235">
            <v>-405</v>
          </cell>
          <cell r="AD235">
            <v>-459</v>
          </cell>
          <cell r="AE235">
            <v>-864</v>
          </cell>
          <cell r="AF235">
            <v>-365</v>
          </cell>
          <cell r="AG235">
            <v>-525</v>
          </cell>
          <cell r="AH235">
            <v>-890</v>
          </cell>
          <cell r="AI235">
            <v>-252</v>
          </cell>
          <cell r="AJ235">
            <v>-192</v>
          </cell>
          <cell r="AK235">
            <v>-444</v>
          </cell>
          <cell r="AL235">
            <v>-123</v>
          </cell>
          <cell r="AM235">
            <v>-97</v>
          </cell>
          <cell r="AN235">
            <v>-220</v>
          </cell>
          <cell r="AO235">
            <v>-84</v>
          </cell>
          <cell r="AP235">
            <v>-158</v>
          </cell>
          <cell r="AQ235">
            <v>-242</v>
          </cell>
          <cell r="AR235">
            <v>-68</v>
          </cell>
          <cell r="AS235">
            <v>-111</v>
          </cell>
          <cell r="AT235">
            <v>-179</v>
          </cell>
          <cell r="AU235">
            <v>-111</v>
          </cell>
          <cell r="AV235">
            <v>-118</v>
          </cell>
          <cell r="AW235">
            <v>-229</v>
          </cell>
          <cell r="AX235">
            <v>-164.0463194662432</v>
          </cell>
          <cell r="AY235">
            <v>-214.20443717959219</v>
          </cell>
          <cell r="AZ235">
            <v>-378.25075664583539</v>
          </cell>
          <cell r="BA235">
            <v>-293.03017187180922</v>
          </cell>
          <cell r="BB235">
            <v>-375.82348681563394</v>
          </cell>
          <cell r="BC235">
            <v>-668.85365868744316</v>
          </cell>
          <cell r="BD235">
            <v>-341.78185819832242</v>
          </cell>
          <cell r="BE235">
            <v>-308.94705480661611</v>
          </cell>
          <cell r="BF235">
            <v>-650.72891300493848</v>
          </cell>
          <cell r="BG235">
            <v>-259.52566328300219</v>
          </cell>
          <cell r="BH235">
            <v>-211.71843953919239</v>
          </cell>
          <cell r="BI235">
            <v>-471.24410282219458</v>
          </cell>
          <cell r="BJ235">
            <v>-212.53834908679181</v>
          </cell>
          <cell r="BK235">
            <v>-208.985288091722</v>
          </cell>
          <cell r="BL235">
            <v>-421.52363717851381</v>
          </cell>
          <cell r="BM235">
            <v>-244.74443199897433</v>
          </cell>
          <cell r="BN235">
            <v>-286.30333245542784</v>
          </cell>
          <cell r="BO235">
            <v>-531.04776445440211</v>
          </cell>
          <cell r="BP235">
            <v>-326.71893748454534</v>
          </cell>
          <cell r="BQ235">
            <v>-386.5659725309942</v>
          </cell>
          <cell r="BR235">
            <v>-713.28491001553948</v>
          </cell>
          <cell r="BS235">
            <v>-446.7462753613579</v>
          </cell>
          <cell r="BT235">
            <v>-511.69854710430059</v>
          </cell>
          <cell r="BU235">
            <v>-958.44482246565849</v>
          </cell>
          <cell r="BV235">
            <v>-561.58020220685819</v>
          </cell>
          <cell r="BW235">
            <v>-576.04824659025167</v>
          </cell>
          <cell r="BX235">
            <v>-1137.6284487971097</v>
          </cell>
        </row>
        <row r="236">
          <cell r="A236" t="str">
            <v>Margin Analysis</v>
          </cell>
          <cell r="B236"/>
          <cell r="C236"/>
          <cell r="D236"/>
        </row>
        <row r="237">
          <cell r="B237" t="str">
            <v>Average interest-earning assets</v>
          </cell>
          <cell r="C237" t="str">
            <v>B_MA_REPINTAST</v>
          </cell>
          <cell r="D237" t="str">
            <v>AUD</v>
          </cell>
          <cell r="F237">
            <v>300706</v>
          </cell>
          <cell r="G237">
            <v>333361</v>
          </cell>
          <cell r="H237">
            <v>390775</v>
          </cell>
          <cell r="I237">
            <v>427464</v>
          </cell>
          <cell r="J237">
            <v>439277</v>
          </cell>
          <cell r="K237">
            <v>474302</v>
          </cell>
          <cell r="L237">
            <v>523461</v>
          </cell>
          <cell r="M237">
            <v>575339</v>
          </cell>
          <cell r="N237">
            <v>632400</v>
          </cell>
          <cell r="O237">
            <v>661515</v>
          </cell>
          <cell r="P237">
            <v>646997</v>
          </cell>
          <cell r="Q237">
            <v>702203</v>
          </cell>
          <cell r="R237">
            <v>731739</v>
          </cell>
          <cell r="S237">
            <v>717012</v>
          </cell>
          <cell r="T237">
            <v>731395</v>
          </cell>
          <cell r="U237">
            <v>730275</v>
          </cell>
          <cell r="V237">
            <v>730835</v>
          </cell>
          <cell r="W237">
            <v>743906</v>
          </cell>
          <cell r="X237">
            <v>752073</v>
          </cell>
          <cell r="Y237">
            <v>748000</v>
          </cell>
          <cell r="Z237">
            <v>765186</v>
          </cell>
          <cell r="AA237">
            <v>784501</v>
          </cell>
          <cell r="AB237">
            <v>774884</v>
          </cell>
          <cell r="AC237">
            <v>811528</v>
          </cell>
          <cell r="AD237">
            <v>814832</v>
          </cell>
          <cell r="AE237">
            <v>813219</v>
          </cell>
          <cell r="AF237">
            <v>856651</v>
          </cell>
          <cell r="AG237">
            <v>869110</v>
          </cell>
          <cell r="AH237">
            <v>862882</v>
          </cell>
          <cell r="AI237">
            <v>857524</v>
          </cell>
          <cell r="AJ237">
            <v>869825</v>
          </cell>
          <cell r="AK237">
            <v>863691</v>
          </cell>
          <cell r="AL237">
            <v>899678</v>
          </cell>
          <cell r="AM237">
            <v>920340</v>
          </cell>
          <cell r="AN237">
            <v>910037</v>
          </cell>
          <cell r="AO237">
            <v>972972</v>
          </cell>
          <cell r="AP237">
            <v>977175</v>
          </cell>
          <cell r="AQ237">
            <v>975079</v>
          </cell>
          <cell r="AR237">
            <v>1015621</v>
          </cell>
          <cell r="AS237">
            <v>1031611</v>
          </cell>
          <cell r="AT237">
            <v>1023616</v>
          </cell>
          <cell r="AU237">
            <v>1142128</v>
          </cell>
          <cell r="AV237">
            <v>1177153</v>
          </cell>
          <cell r="AW237">
            <v>1159688</v>
          </cell>
          <cell r="AX237">
            <v>1194478.0150682197</v>
          </cell>
          <cell r="AY237">
            <v>1215071.6996325632</v>
          </cell>
          <cell r="AZ237">
            <v>1204803.0678771921</v>
          </cell>
          <cell r="BA237">
            <v>1231868.5662064806</v>
          </cell>
          <cell r="BB237">
            <v>1251050.9785379118</v>
          </cell>
          <cell r="BC237">
            <v>1241486.0496493625</v>
          </cell>
          <cell r="BD237">
            <v>1272692.9701384008</v>
          </cell>
          <cell r="BE237">
            <v>1294472.3873890273</v>
          </cell>
          <cell r="BF237">
            <v>1283582.6787637139</v>
          </cell>
          <cell r="BG237">
            <v>1315930.9898995701</v>
          </cell>
          <cell r="BH237">
            <v>1336515.0791230013</v>
          </cell>
          <cell r="BI237">
            <v>1326251.2318937837</v>
          </cell>
          <cell r="BJ237">
            <v>1359344.0982686745</v>
          </cell>
          <cell r="BK237">
            <v>1384104.2496626351</v>
          </cell>
          <cell r="BL237">
            <v>1371758.0919812631</v>
          </cell>
          <cell r="BM237">
            <v>1409650.5212211758</v>
          </cell>
          <cell r="BN237">
            <v>1436298.5900203506</v>
          </cell>
          <cell r="BO237">
            <v>1423011.0598245976</v>
          </cell>
          <cell r="BP237">
            <v>1463000.432867642</v>
          </cell>
          <cell r="BQ237">
            <v>1490242.5801123679</v>
          </cell>
          <cell r="BR237">
            <v>1476621.5064900052</v>
          </cell>
          <cell r="BS237">
            <v>1518873.2150012397</v>
          </cell>
          <cell r="BT237">
            <v>1548915.8964169128</v>
          </cell>
          <cell r="BU237">
            <v>1533935.7100671798</v>
          </cell>
          <cell r="BV237">
            <v>1580254.2614103532</v>
          </cell>
          <cell r="BW237">
            <v>1612942.1245825132</v>
          </cell>
          <cell r="BX237">
            <v>1596642.9708911895</v>
          </cell>
        </row>
        <row r="238">
          <cell r="B238" t="str">
            <v>Gross yield on interest-earning assets</v>
          </cell>
          <cell r="C238" t="str">
            <v>B_MA_REPGYLD</v>
          </cell>
          <cell r="F238">
            <v>7.4162138434218136E-2</v>
          </cell>
          <cell r="G238">
            <v>7.8623474251637113E-2</v>
          </cell>
          <cell r="H238">
            <v>8.3434201266713581E-2</v>
          </cell>
          <cell r="I238">
            <v>6.1305747384575074E-2</v>
          </cell>
          <cell r="J238">
            <v>6.0572258506591516E-2</v>
          </cell>
          <cell r="K238">
            <v>6.4026717154892873E-2</v>
          </cell>
          <cell r="L238">
            <v>5.8338634587868053E-2</v>
          </cell>
          <cell r="M238">
            <v>4.975675210614959E-2</v>
          </cell>
          <cell r="N238">
            <v>2.2817836812144214E-2</v>
          </cell>
          <cell r="O238">
            <v>2.2817320846843986E-2</v>
          </cell>
          <cell r="P238">
            <v>4.5632359964574799E-2</v>
          </cell>
          <cell r="Q238">
            <v>2.1922435535023349E-2</v>
          </cell>
          <cell r="R238">
            <v>2.0679504577451796E-2</v>
          </cell>
          <cell r="S238">
            <v>4.2573903923504769E-2</v>
          </cell>
          <cell r="T238">
            <v>2.063180634267393E-2</v>
          </cell>
          <cell r="U238">
            <v>2.0349868200335491E-2</v>
          </cell>
          <cell r="V238">
            <v>4.0981890577216469E-2</v>
          </cell>
          <cell r="W238">
            <v>1.9392235040448659E-2</v>
          </cell>
          <cell r="X238">
            <v>1.9537996976357348E-2</v>
          </cell>
          <cell r="Y238">
            <v>3.8930481283422462E-2</v>
          </cell>
          <cell r="Z238">
            <v>1.9405739258167295E-2</v>
          </cell>
          <cell r="AA238">
            <v>1.9729739031562742E-2</v>
          </cell>
          <cell r="AB238">
            <v>3.9137470898870028E-2</v>
          </cell>
          <cell r="AC238">
            <v>1.9680158910105383E-2</v>
          </cell>
          <cell r="AD238">
            <v>1.8540018065073535E-2</v>
          </cell>
          <cell r="AE238">
            <v>3.8216027908841287E-2</v>
          </cell>
          <cell r="AF238">
            <v>1.6109244021194163E-2</v>
          </cell>
          <cell r="AG238">
            <v>1.2226300468295153E-2</v>
          </cell>
          <cell r="AH238">
            <v>2.830746266581062E-2</v>
          </cell>
          <cell r="AI238">
            <v>1.1520377272239611E-2</v>
          </cell>
          <cell r="AJ238">
            <v>1.1094185612048401E-2</v>
          </cell>
          <cell r="AK238">
            <v>2.2611095866461501E-2</v>
          </cell>
          <cell r="AL238">
            <v>1.078941576875282E-2</v>
          </cell>
          <cell r="AM238">
            <v>1.5105287176478258E-2</v>
          </cell>
          <cell r="AN238">
            <v>2.5942901222697538E-2</v>
          </cell>
          <cell r="AO238">
            <v>2.3464190130856797E-2</v>
          </cell>
          <cell r="AP238">
            <v>2.7704351830531892E-2</v>
          </cell>
          <cell r="AQ238">
            <v>5.1177391780563422E-2</v>
          </cell>
          <cell r="AR238">
            <v>2.935248483440181E-2</v>
          </cell>
          <cell r="AS238">
            <v>2.9883357195687132E-2</v>
          </cell>
          <cell r="AT238">
            <v>5.9239988433162437E-2</v>
          </cell>
          <cell r="AU238">
            <v>2.8660535421598979E-2</v>
          </cell>
          <cell r="AV238">
            <v>2.6495281412016961E-2</v>
          </cell>
          <cell r="AW238">
            <v>5.5120860093404431E-2</v>
          </cell>
          <cell r="AX238">
            <v>2.6333769175931727E-2</v>
          </cell>
          <cell r="AY238">
            <v>2.6949255127312659E-2</v>
          </cell>
          <cell r="AZ238">
            <v>5.3287036925482846E-2</v>
          </cell>
          <cell r="BA238">
            <v>2.7145269607670101E-2</v>
          </cell>
          <cell r="BB238">
            <v>2.7271051536972415E-2</v>
          </cell>
          <cell r="BC238">
            <v>5.4416141108517835E-2</v>
          </cell>
          <cell r="BD238">
            <v>2.7172955192830882E-2</v>
          </cell>
          <cell r="BE238">
            <v>2.71490888212177E-2</v>
          </cell>
          <cell r="BF238">
            <v>5.4321841535597361E-2</v>
          </cell>
          <cell r="BG238">
            <v>2.7050610484776465E-2</v>
          </cell>
          <cell r="BH238">
            <v>2.7174734770842039E-2</v>
          </cell>
          <cell r="BI238">
            <v>5.4225155608208106E-2</v>
          </cell>
          <cell r="BJ238">
            <v>2.7001673587311002E-2</v>
          </cell>
          <cell r="BK238">
            <v>2.7125226896650867E-2</v>
          </cell>
          <cell r="BL238">
            <v>5.4126677210095293E-2</v>
          </cell>
          <cell r="BM238">
            <v>2.6927138599363982E-2</v>
          </cell>
          <cell r="BN238">
            <v>2.7024952924048124E-2</v>
          </cell>
          <cell r="BO238">
            <v>5.3951623363509345E-2</v>
          </cell>
          <cell r="BP238">
            <v>2.690111425485674E-2</v>
          </cell>
          <cell r="BQ238">
            <v>2.6851114254856739E-2</v>
          </cell>
          <cell r="BR238">
            <v>5.3751767285440274E-2</v>
          </cell>
          <cell r="BS238">
            <v>2.6727686544569459E-2</v>
          </cell>
          <cell r="BT238">
            <v>2.6824404978842649E-2</v>
          </cell>
          <cell r="BU238">
            <v>5.3551601893114788E-2</v>
          </cell>
          <cell r="BV238">
            <v>2.6627960517172203E-2</v>
          </cell>
          <cell r="BW238">
            <v>2.672413100623991E-2</v>
          </cell>
          <cell r="BX238">
            <v>5.3351579705516537E-2</v>
          </cell>
        </row>
        <row r="239">
          <cell r="B239" t="str">
            <v>Avg yield on loans</v>
          </cell>
          <cell r="C239" t="str">
            <v>AVG_YIELD_LOANS</v>
          </cell>
          <cell r="F239">
            <v>7.4348757327927784E-2</v>
          </cell>
          <cell r="G239">
            <v>8.0558518496124623E-2</v>
          </cell>
          <cell r="H239">
            <v>8.6899432744253186E-2</v>
          </cell>
          <cell r="I239">
            <v>6.6384690253376163E-2</v>
          </cell>
          <cell r="J239">
            <v>6.6874194746785992E-2</v>
          </cell>
          <cell r="K239">
            <v>6.2531978818713571E-2</v>
          </cell>
          <cell r="L239">
            <v>6.6054365561365694E-2</v>
          </cell>
          <cell r="M239">
            <v>5.7137534500525278E-2</v>
          </cell>
          <cell r="N239">
            <v>5.206822429228139E-2</v>
          </cell>
          <cell r="O239">
            <v>5.1813435266301208E-2</v>
          </cell>
          <cell r="P239">
            <v>5.19373910985063E-2</v>
          </cell>
          <cell r="Q239">
            <v>5.0968965414085646E-2</v>
          </cell>
          <cell r="R239">
            <v>4.7940480308507602E-2</v>
          </cell>
          <cell r="S239">
            <v>4.9273929106850967E-2</v>
          </cell>
          <cell r="T239">
            <v>4.9269238308902008E-2</v>
          </cell>
          <cell r="U239">
            <v>4.8161287688385221E-2</v>
          </cell>
          <cell r="V239">
            <v>4.8915079558433217E-2</v>
          </cell>
          <cell r="W239">
            <v>4.6328578983527602E-2</v>
          </cell>
          <cell r="X239">
            <v>4.6791689826969393E-2</v>
          </cell>
          <cell r="Y239">
            <v>4.6546642331644641E-2</v>
          </cell>
          <cell r="Z239">
            <v>4.6361287725090058E-2</v>
          </cell>
          <cell r="AA239">
            <v>4.6610755732059139E-2</v>
          </cell>
          <cell r="AB239">
            <v>4.6522324474498951E-2</v>
          </cell>
          <cell r="AC239">
            <v>4.7416954767217863E-2</v>
          </cell>
          <cell r="AD239">
            <v>4.4706639560691049E-2</v>
          </cell>
          <cell r="AE239">
            <v>4.4706639560691049E-2</v>
          </cell>
          <cell r="AF239">
            <v>4.0357965662155437E-2</v>
          </cell>
          <cell r="AG239">
            <v>3.4086606058011767E-2</v>
          </cell>
          <cell r="AH239">
            <v>3.4086606058011767E-2</v>
          </cell>
          <cell r="AI239">
            <v>3.1245764027022234E-2</v>
          </cell>
          <cell r="AJ239">
            <v>3.0122625523601072E-2</v>
          </cell>
          <cell r="AK239">
            <v>3.0122625523601072E-2</v>
          </cell>
          <cell r="AL239">
            <v>2.9509909481808077E-2</v>
          </cell>
          <cell r="AM239">
            <v>3.7792148256626037E-2</v>
          </cell>
          <cell r="AN239">
            <v>3.7792148256626037E-2</v>
          </cell>
          <cell r="AO239">
            <v>5.5835427300788262E-2</v>
          </cell>
          <cell r="AP239">
            <v>6.2811537852617338E-2</v>
          </cell>
          <cell r="AQ239">
            <v>6.2811537852617338E-2</v>
          </cell>
          <cell r="AR239">
            <v>6.6296977930124609E-2</v>
          </cell>
          <cell r="AS239">
            <v>6.7122500278819178E-2</v>
          </cell>
          <cell r="AT239">
            <v>6.6728491000370913E-2</v>
          </cell>
          <cell r="AU239">
            <v>6.5722703604199684E-2</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row>
        <row r="240">
          <cell r="B240" t="str">
            <v>Average interest-bearing liabilities</v>
          </cell>
          <cell r="C240" t="str">
            <v>B_MA_REPINTLIB</v>
          </cell>
          <cell r="D240" t="str">
            <v>AUD</v>
          </cell>
          <cell r="F240">
            <v>285170</v>
          </cell>
          <cell r="G240">
            <v>317642</v>
          </cell>
          <cell r="H240">
            <v>376027</v>
          </cell>
          <cell r="I240">
            <v>405445</v>
          </cell>
          <cell r="J240">
            <v>419766</v>
          </cell>
          <cell r="K240">
            <v>451646</v>
          </cell>
          <cell r="L240">
            <v>494947</v>
          </cell>
          <cell r="M240">
            <v>541197</v>
          </cell>
          <cell r="N240">
            <v>592846</v>
          </cell>
          <cell r="O240">
            <v>620259</v>
          </cell>
          <cell r="P240">
            <v>606591</v>
          </cell>
          <cell r="Q240">
            <v>662699</v>
          </cell>
          <cell r="R240">
            <v>682310</v>
          </cell>
          <cell r="S240">
            <v>672533</v>
          </cell>
          <cell r="T240">
            <v>704135</v>
          </cell>
          <cell r="U240">
            <v>709030</v>
          </cell>
          <cell r="V240">
            <v>706582.5</v>
          </cell>
          <cell r="W240">
            <v>722904</v>
          </cell>
          <cell r="X240">
            <v>728193.32412694267</v>
          </cell>
          <cell r="Y240">
            <v>725555.90771296027</v>
          </cell>
          <cell r="Z240">
            <v>723488.71612450655</v>
          </cell>
          <cell r="AA240">
            <v>738554.12281531747</v>
          </cell>
          <cell r="AB240">
            <v>731042.05701332411</v>
          </cell>
          <cell r="AC240">
            <v>754880.67394803523</v>
          </cell>
          <cell r="AD240">
            <v>776740.60550643306</v>
          </cell>
          <cell r="AE240">
            <v>765840.58483895799</v>
          </cell>
          <cell r="AF240">
            <v>809248.8467921738</v>
          </cell>
          <cell r="AG240">
            <v>834944.05838689674</v>
          </cell>
          <cell r="AH240">
            <v>792994.72614930349</v>
          </cell>
          <cell r="AI240">
            <v>810446.09619672201</v>
          </cell>
          <cell r="AJ240">
            <v>817720.42871980602</v>
          </cell>
          <cell r="AK240">
            <v>814093.22729733679</v>
          </cell>
          <cell r="AL240">
            <v>832095.22875134589</v>
          </cell>
          <cell r="AM240">
            <v>862106.63561073225</v>
          </cell>
          <cell r="AN240">
            <v>847142.04369728488</v>
          </cell>
          <cell r="AO240">
            <v>907584.87313887349</v>
          </cell>
          <cell r="AP240">
            <v>915884.24927403824</v>
          </cell>
          <cell r="AQ240">
            <v>911745.93021486024</v>
          </cell>
          <cell r="AR240">
            <v>965802.8918996813</v>
          </cell>
          <cell r="AS240">
            <v>976993.97201648774</v>
          </cell>
          <cell r="AT240">
            <v>971398.43195808458</v>
          </cell>
          <cell r="AU240">
            <v>1089051.1549316454</v>
          </cell>
          <cell r="AV240">
            <v>1061360</v>
          </cell>
          <cell r="AW240">
            <v>1075167.6443768754</v>
          </cell>
          <cell r="AX240">
            <v>1077658.2655340114</v>
          </cell>
          <cell r="AY240">
            <v>1096645.228762653</v>
          </cell>
          <cell r="AZ240">
            <v>1087177.7566870016</v>
          </cell>
          <cell r="BA240">
            <v>1112637.4604142385</v>
          </cell>
          <cell r="BB240">
            <v>1132176.417301463</v>
          </cell>
          <cell r="BC240">
            <v>1122433.7045522167</v>
          </cell>
          <cell r="BD240">
            <v>1154238.1216994345</v>
          </cell>
          <cell r="BE240">
            <v>1176367.4365479788</v>
          </cell>
          <cell r="BF240">
            <v>1165302.7791237067</v>
          </cell>
          <cell r="BG240">
            <v>1198207.4309230687</v>
          </cell>
          <cell r="BH240">
            <v>1219146.2163157079</v>
          </cell>
          <cell r="BI240">
            <v>1208705.5068870494</v>
          </cell>
          <cell r="BJ240">
            <v>1241278.3796979131</v>
          </cell>
          <cell r="BK240">
            <v>1265376.851448006</v>
          </cell>
          <cell r="BL240">
            <v>1253360.6271780967</v>
          </cell>
          <cell r="BM240">
            <v>1290141.9029781083</v>
          </cell>
          <cell r="BN240">
            <v>1315749.7960619035</v>
          </cell>
          <cell r="BO240">
            <v>1302980.9288256001</v>
          </cell>
          <cell r="BP240">
            <v>1341414.2411021083</v>
          </cell>
          <cell r="BQ240">
            <v>1367640.6637946621</v>
          </cell>
          <cell r="BR240">
            <v>1354527.4524483851</v>
          </cell>
          <cell r="BS240">
            <v>1395323.1828330343</v>
          </cell>
          <cell r="BT240">
            <v>1424454.8505408412</v>
          </cell>
          <cell r="BU240">
            <v>1409928.9230810581</v>
          </cell>
          <cell r="BV240">
            <v>1454910.8427987383</v>
          </cell>
          <cell r="BW240">
            <v>1486739.9052962775</v>
          </cell>
          <cell r="BX240">
            <v>1470868.9755029841</v>
          </cell>
        </row>
        <row r="241">
          <cell r="B241" t="str">
            <v>Cost of interest-bearing liabilities</v>
          </cell>
          <cell r="C241" t="str">
            <v>B_MA_REPCOSTLIB</v>
          </cell>
          <cell r="F241">
            <v>5.385559490830031E-2</v>
          </cell>
          <cell r="G241">
            <v>5.9526133193973089E-2</v>
          </cell>
          <cell r="H241">
            <v>6.5830379201493511E-2</v>
          </cell>
          <cell r="I241">
            <v>4.024220301150587E-2</v>
          </cell>
          <cell r="J241">
            <v>3.7487552588823289E-2</v>
          </cell>
          <cell r="K241">
            <v>4.1776081267187133E-2</v>
          </cell>
          <cell r="L241">
            <v>3.7232269313684091E-2</v>
          </cell>
          <cell r="M241">
            <v>2.9296171264807453E-2</v>
          </cell>
          <cell r="N241">
            <v>1.2930845447215634E-2</v>
          </cell>
          <cell r="O241">
            <v>1.2996183852229471E-2</v>
          </cell>
          <cell r="P241">
            <v>2.5926860108376155E-2</v>
          </cell>
          <cell r="Q241">
            <v>1.2458144647871809E-2</v>
          </cell>
          <cell r="R241">
            <v>1.121777491169703E-2</v>
          </cell>
          <cell r="S241">
            <v>2.3656831709373369E-2</v>
          </cell>
          <cell r="T241">
            <v>1.0682610578937275E-2</v>
          </cell>
          <cell r="U241">
            <v>1.0343709010902221E-2</v>
          </cell>
          <cell r="V241">
            <v>2.1025145683625054E-2</v>
          </cell>
          <cell r="W241">
            <v>9.6928499496475324E-3</v>
          </cell>
          <cell r="X241">
            <v>9.9396681625417271E-3</v>
          </cell>
          <cell r="Y241">
            <v>1.9633221711200667E-2</v>
          </cell>
          <cell r="Z241">
            <v>1.0365054537643243E-2</v>
          </cell>
          <cell r="AA241">
            <v>1.1257130307942235E-2</v>
          </cell>
          <cell r="AB241">
            <v>2.1630766449476369E-2</v>
          </cell>
          <cell r="AC241">
            <v>1.148790835331011E-2</v>
          </cell>
          <cell r="AD241">
            <v>1.0385706557390977E-2</v>
          </cell>
          <cell r="AE241">
            <v>2.1857029166872762E-2</v>
          </cell>
          <cell r="AF241">
            <v>8.1285256396408812E-3</v>
          </cell>
          <cell r="AG241">
            <v>4.5500054307106852E-3</v>
          </cell>
          <cell r="AH241">
            <v>1.3085837342689009E-2</v>
          </cell>
          <cell r="AI241">
            <v>3.5696390094002921E-3</v>
          </cell>
          <cell r="AJ241">
            <v>3.0267068218838207E-3</v>
          </cell>
          <cell r="AK241">
            <v>6.5938394031613886E-3</v>
          </cell>
          <cell r="AL241">
            <v>3.133054859492587E-3</v>
          </cell>
          <cell r="AM241">
            <v>7.1081693921295607E-3</v>
          </cell>
          <cell r="AN241">
            <v>1.0311139749217001E-2</v>
          </cell>
          <cell r="AO241">
            <v>1.5789156941807363E-2</v>
          </cell>
          <cell r="AP241">
            <v>2.0742795844626079E-2</v>
          </cell>
          <cell r="AQ241">
            <v>3.6554043067837966E-2</v>
          </cell>
          <cell r="AR241">
            <v>2.2687859172693402E-2</v>
          </cell>
          <cell r="AS241">
            <v>2.3191545341098199E-2</v>
          </cell>
          <cell r="AT241">
            <v>4.5882305893945666E-2</v>
          </cell>
          <cell r="AU241">
            <v>2.1913571177928633E-2</v>
          </cell>
          <cell r="AV241">
            <v>2.0819514585060678E-2</v>
          </cell>
          <cell r="AW241">
            <v>4.2748682254698758E-2</v>
          </cell>
          <cell r="AX241">
            <v>2.0739046850589655E-2</v>
          </cell>
          <cell r="AY241">
            <v>2.1415224170098439E-2</v>
          </cell>
          <cell r="AZ241">
            <v>4.2159167058871225E-2</v>
          </cell>
          <cell r="BA241">
            <v>2.17679840209552E-2</v>
          </cell>
          <cell r="BB241">
            <v>2.1847949685495621E-2</v>
          </cell>
          <cell r="BC241">
            <v>4.3615589643444204E-2</v>
          </cell>
          <cell r="BD241">
            <v>2.1709536747328936E-2</v>
          </cell>
          <cell r="BE241">
            <v>2.1687862723821644E-2</v>
          </cell>
          <cell r="BF241">
            <v>4.3397193674297251E-2</v>
          </cell>
          <cell r="BG241">
            <v>2.1616991469077758E-2</v>
          </cell>
          <cell r="BH241">
            <v>2.1716879546994125E-2</v>
          </cell>
          <cell r="BI241">
            <v>4.3333707875003499E-2</v>
          </cell>
          <cell r="BJ241">
            <v>2.1581777381879805E-2</v>
          </cell>
          <cell r="BK241">
            <v>2.1672674516342475E-2</v>
          </cell>
          <cell r="BL241">
            <v>4.3254186485486498E-2</v>
          </cell>
          <cell r="BM241">
            <v>2.1530685905131811E-2</v>
          </cell>
          <cell r="BN241">
            <v>2.1628928985911566E-2</v>
          </cell>
          <cell r="BO241">
            <v>4.3159418333933434E-2</v>
          </cell>
          <cell r="BP241">
            <v>2.1550478271378831E-2</v>
          </cell>
          <cell r="BQ241">
            <v>2.1530808292768922E-2</v>
          </cell>
          <cell r="BR241">
            <v>4.3081096138633514E-2</v>
          </cell>
          <cell r="BS241">
            <v>2.1450163346050127E-2</v>
          </cell>
          <cell r="BT241">
            <v>2.1544813571584876E-2</v>
          </cell>
          <cell r="BU241">
            <v>4.2994737816905049E-2</v>
          </cell>
          <cell r="BV241">
            <v>2.1402991542211043E-2</v>
          </cell>
          <cell r="BW241">
            <v>2.1495491405841081E-2</v>
          </cell>
          <cell r="BX241">
            <v>4.2898212125612706E-2</v>
          </cell>
        </row>
        <row r="242">
          <cell r="B242" t="str">
            <v>Spread (gross yield less % cost of liabilites)</v>
          </cell>
          <cell r="C242" t="str">
            <v>B_MA_REPIMPSPD</v>
          </cell>
          <cell r="F242">
            <v>2.0306543525917826E-2</v>
          </cell>
          <cell r="G242">
            <v>1.9097341057664023E-2</v>
          </cell>
          <cell r="H242">
            <v>1.7603822065220071E-2</v>
          </cell>
          <cell r="I242">
            <v>2.1063544373069204E-2</v>
          </cell>
          <cell r="J242">
            <v>2.3084705917768227E-2</v>
          </cell>
          <cell r="K242">
            <v>2.225063588770574E-2</v>
          </cell>
          <cell r="L242">
            <v>2.1106365274183962E-2</v>
          </cell>
          <cell r="M242">
            <v>2.0460580841342137E-2</v>
          </cell>
          <cell r="N242">
            <v>9.8869913649285799E-3</v>
          </cell>
          <cell r="O242">
            <v>9.8211369946145152E-3</v>
          </cell>
          <cell r="P242">
            <v>1.9705499856198645E-2</v>
          </cell>
          <cell r="Q242">
            <v>9.4642908871515399E-3</v>
          </cell>
          <cell r="R242">
            <v>9.4617296657547659E-3</v>
          </cell>
          <cell r="S242">
            <v>1.89170722141314E-2</v>
          </cell>
          <cell r="T242">
            <v>9.9491957637366547E-3</v>
          </cell>
          <cell r="U242">
            <v>1.000615918943327E-2</v>
          </cell>
          <cell r="V242">
            <v>1.9956744893591415E-2</v>
          </cell>
          <cell r="W242">
            <v>9.6993850908011266E-3</v>
          </cell>
          <cell r="X242">
            <v>9.5983288138156205E-3</v>
          </cell>
          <cell r="Y242">
            <v>1.9297259572221795E-2</v>
          </cell>
          <cell r="Z242">
            <v>9.0406847205240521E-3</v>
          </cell>
          <cell r="AA242">
            <v>8.4726087236205068E-3</v>
          </cell>
          <cell r="AB242">
            <v>1.7506704449393659E-2</v>
          </cell>
          <cell r="AC242">
            <v>8.192250556795273E-3</v>
          </cell>
          <cell r="AD242">
            <v>8.1543115076825583E-3</v>
          </cell>
          <cell r="AE242">
            <v>1.6358998741968524E-2</v>
          </cell>
          <cell r="AF242">
            <v>7.9807183815532815E-3</v>
          </cell>
          <cell r="AG242">
            <v>7.6762950375844682E-3</v>
          </cell>
          <cell r="AH242">
            <v>1.5221625323121612E-2</v>
          </cell>
          <cell r="AI242">
            <v>7.9507382628393186E-3</v>
          </cell>
          <cell r="AJ242">
            <v>8.0674787901645808E-3</v>
          </cell>
          <cell r="AK242">
            <v>1.6017256463300114E-2</v>
          </cell>
          <cell r="AL242">
            <v>7.6563609092602332E-3</v>
          </cell>
          <cell r="AM242">
            <v>7.9971177843486969E-3</v>
          </cell>
          <cell r="AN242">
            <v>1.5631761473480537E-2</v>
          </cell>
          <cell r="AO242">
            <v>7.6750331890494336E-3</v>
          </cell>
          <cell r="AP242">
            <v>6.9615559859058131E-3</v>
          </cell>
          <cell r="AQ242">
            <v>1.4623348712725456E-2</v>
          </cell>
          <cell r="AR242">
            <v>6.6646256617084072E-3</v>
          </cell>
          <cell r="AS242">
            <v>6.6918118545889332E-3</v>
          </cell>
          <cell r="AT242">
            <v>1.3357682539216771E-2</v>
          </cell>
          <cell r="AU242">
            <v>6.7469642436703454E-3</v>
          </cell>
          <cell r="AV242">
            <v>5.6757668269562835E-3</v>
          </cell>
          <cell r="AW242">
            <v>1.2372177838705672E-2</v>
          </cell>
          <cell r="AX242">
            <v>5.5947223253420726E-3</v>
          </cell>
          <cell r="AY242">
            <v>5.5340309572142199E-3</v>
          </cell>
          <cell r="AZ242">
            <v>1.1127869866611621E-2</v>
          </cell>
          <cell r="BA242">
            <v>5.3772855867149014E-3</v>
          </cell>
          <cell r="BB242">
            <v>5.4231018514767949E-3</v>
          </cell>
          <cell r="BC242">
            <v>1.0800551465073631E-2</v>
          </cell>
          <cell r="BD242">
            <v>5.4634184455019455E-3</v>
          </cell>
          <cell r="BE242">
            <v>5.4612260973960561E-3</v>
          </cell>
          <cell r="BF242">
            <v>1.092464786130011E-2</v>
          </cell>
          <cell r="BG242">
            <v>5.4336190156987069E-3</v>
          </cell>
          <cell r="BH242">
            <v>5.4578552238479135E-3</v>
          </cell>
          <cell r="BI242">
            <v>1.0891447733204607E-2</v>
          </cell>
          <cell r="BJ242">
            <v>5.4198962054311968E-3</v>
          </cell>
          <cell r="BK242">
            <v>5.4525523803083918E-3</v>
          </cell>
          <cell r="BL242">
            <v>1.0872490724608795E-2</v>
          </cell>
          <cell r="BM242">
            <v>5.3964526942321712E-3</v>
          </cell>
          <cell r="BN242">
            <v>5.3960239381365578E-3</v>
          </cell>
          <cell r="BO242">
            <v>1.079220502957591E-2</v>
          </cell>
          <cell r="BP242">
            <v>5.3506359834779096E-3</v>
          </cell>
          <cell r="BQ242">
            <v>5.3203059620878165E-3</v>
          </cell>
          <cell r="BR242">
            <v>1.0670671146806761E-2</v>
          </cell>
          <cell r="BS242">
            <v>5.2775231985193322E-3</v>
          </cell>
          <cell r="BT242">
            <v>5.2795914072577728E-3</v>
          </cell>
          <cell r="BU242">
            <v>1.0556864076209739E-2</v>
          </cell>
          <cell r="BV242">
            <v>5.2249689749611604E-3</v>
          </cell>
          <cell r="BW242">
            <v>5.2286396003988281E-3</v>
          </cell>
          <cell r="BX242">
            <v>1.0453367579903831E-2</v>
          </cell>
        </row>
        <row r="243">
          <cell r="B243" t="str">
            <v>Net interest margin</v>
          </cell>
          <cell r="C243" t="str">
            <v>B_MA_REPNIM</v>
          </cell>
          <cell r="F243">
            <v>2.3088997226526894E-2</v>
          </cell>
          <cell r="G243">
            <v>2.1904181952897908E-2</v>
          </cell>
          <cell r="H243">
            <v>2.00882860981383E-2</v>
          </cell>
          <cell r="I243">
            <v>2.313645125671402E-2</v>
          </cell>
          <cell r="J243">
            <v>2.47497592635171E-2</v>
          </cell>
          <cell r="K243">
            <v>2.4246155403097595E-2</v>
          </cell>
          <cell r="L243">
            <v>2.3134483753326419E-2</v>
          </cell>
          <cell r="M243">
            <v>2.2199086104018679E-2</v>
          </cell>
          <cell r="N243">
            <v>2.1450292275719221E-2</v>
          </cell>
          <cell r="O243">
            <v>2.12052157638314E-2</v>
          </cell>
          <cell r="P243">
            <v>2.1324673839291371E-2</v>
          </cell>
          <cell r="Q243">
            <v>2.0386155827046854E-2</v>
          </cell>
          <cell r="R243">
            <v>2.0383137446578433E-2</v>
          </cell>
          <cell r="S243">
            <v>2.038459607370588E-2</v>
          </cell>
          <cell r="T243">
            <v>2.0694699854387849E-2</v>
          </cell>
          <cell r="U243">
            <v>2.0614152202937247E-2</v>
          </cell>
          <cell r="V243">
            <v>2.0654456888353736E-2</v>
          </cell>
          <cell r="W243">
            <v>2.0000865346245005E-2</v>
          </cell>
          <cell r="X243">
            <v>1.9773687967259951E-2</v>
          </cell>
          <cell r="Y243">
            <v>1.9886363636363633E-2</v>
          </cell>
          <cell r="Z243">
            <v>1.9263792875698998E-2</v>
          </cell>
          <cell r="AA243">
            <v>1.8213937852235233E-2</v>
          </cell>
          <cell r="AB243">
            <v>1.8730545475193702E-2</v>
          </cell>
          <cell r="AC243">
            <v>1.8037707134694544E-2</v>
          </cell>
          <cell r="AD243">
            <v>1.7232423437769762E-2</v>
          </cell>
          <cell r="AE243">
            <v>1.7632396685271744E-2</v>
          </cell>
          <cell r="AF243">
            <v>1.6861008742183225E-2</v>
          </cell>
          <cell r="AG243">
            <v>1.5710324354799739E-2</v>
          </cell>
          <cell r="AH243">
            <v>1.6281484606238163E-2</v>
          </cell>
          <cell r="AI243">
            <v>1.6338183672275776E-2</v>
          </cell>
          <cell r="AJ243">
            <v>1.6452496019000118E-2</v>
          </cell>
          <cell r="AK243">
            <v>1.6395910111370846E-2</v>
          </cell>
          <cell r="AL243">
            <v>1.5826785793373838E-2</v>
          </cell>
          <cell r="AM243">
            <v>1.6847598850080477E-2</v>
          </cell>
          <cell r="AN243">
            <v>1.6344390392918094E-2</v>
          </cell>
          <cell r="AO243">
            <v>1.7520240352963186E-2</v>
          </cell>
          <cell r="AP243">
            <v>1.6480036617208552E-2</v>
          </cell>
          <cell r="AQ243">
            <v>1.6997597117771997E-2</v>
          </cell>
          <cell r="AR243">
            <v>1.5555015108982585E-2</v>
          </cell>
          <cell r="AS243">
            <v>1.5839303768571678E-2</v>
          </cell>
          <cell r="AT243">
            <v>1.5698269663623858E-2</v>
          </cell>
          <cell r="AU243">
            <v>1.5573325204557439E-2</v>
          </cell>
          <cell r="AV243">
            <v>1.5354854808742975E-2</v>
          </cell>
          <cell r="AW243">
            <v>1.54884207648836E-2</v>
          </cell>
          <cell r="AX243">
            <v>1.5287879860254523E-2</v>
          </cell>
          <cell r="AY243">
            <v>1.5200867993759214E-2</v>
          </cell>
          <cell r="AZ243">
            <v>1.5244240917784016E-2</v>
          </cell>
          <cell r="BA243">
            <v>1.5009488063759485E-2</v>
          </cell>
          <cell r="BB243">
            <v>1.4957198860116743E-2</v>
          </cell>
          <cell r="BC243">
            <v>1.4983379428119522E-2</v>
          </cell>
          <cell r="BD243">
            <v>1.4968031343119652E-2</v>
          </cell>
          <cell r="BE243">
            <v>1.487996258404165E-2</v>
          </cell>
          <cell r="BF243">
            <v>1.4923623915713309E-2</v>
          </cell>
          <cell r="BG243">
            <v>1.47754430531134E-2</v>
          </cell>
          <cell r="BH243">
            <v>1.4689690979456667E-2</v>
          </cell>
          <cell r="BI243">
            <v>1.4732430071990503E-2</v>
          </cell>
          <cell r="BJ243">
            <v>1.4628838378331529E-2</v>
          </cell>
          <cell r="BK243">
            <v>1.4583281274508617E-2</v>
          </cell>
          <cell r="BL243">
            <v>1.4606152923332377E-2</v>
          </cell>
          <cell r="BM243">
            <v>1.4483281274508618E-2</v>
          </cell>
          <cell r="BN243">
            <v>1.4383281274508618E-2</v>
          </cell>
          <cell r="BO243">
            <v>1.4433281274508618E-2</v>
          </cell>
          <cell r="BP243">
            <v>1.4283281274508619E-2</v>
          </cell>
          <cell r="BQ243">
            <v>1.418328127450862E-2</v>
          </cell>
          <cell r="BR243">
            <v>1.4333281274508619E-2</v>
          </cell>
          <cell r="BS243">
            <v>1.408328127450862E-2</v>
          </cell>
          <cell r="BT243">
            <v>1.3983281274508621E-2</v>
          </cell>
          <cell r="BU243">
            <v>1.4233281274508619E-2</v>
          </cell>
          <cell r="BV243">
            <v>1.3883281274508621E-2</v>
          </cell>
          <cell r="BW243">
            <v>1.3783281274508622E-2</v>
          </cell>
          <cell r="BX243">
            <v>1.413328127450862E-2</v>
          </cell>
        </row>
        <row r="244">
          <cell r="A244" t="str">
            <v>Deposits</v>
          </cell>
          <cell r="B244"/>
          <cell r="C244"/>
          <cell r="D244"/>
        </row>
        <row r="245">
          <cell r="B245" t="str">
            <v>Demand deposits</v>
          </cell>
          <cell r="C245" t="str">
            <v>B_DE_DEMAND</v>
          </cell>
          <cell r="D245" t="str">
            <v>AUD</v>
          </cell>
          <cell r="F245">
            <v>89786</v>
          </cell>
          <cell r="G245">
            <v>104231</v>
          </cell>
          <cell r="H245">
            <v>107933</v>
          </cell>
          <cell r="I245">
            <v>121473</v>
          </cell>
          <cell r="J245">
            <v>121989</v>
          </cell>
          <cell r="K245">
            <v>144146</v>
          </cell>
          <cell r="L245">
            <v>154535</v>
          </cell>
          <cell r="M245">
            <v>181105</v>
          </cell>
          <cell r="N245">
            <v>196864</v>
          </cell>
          <cell r="O245">
            <v>209863</v>
          </cell>
          <cell r="P245">
            <v>209863</v>
          </cell>
          <cell r="Q245">
            <v>230828</v>
          </cell>
          <cell r="R245">
            <v>249123</v>
          </cell>
          <cell r="S245">
            <v>249123</v>
          </cell>
          <cell r="T245">
            <v>253956</v>
          </cell>
          <cell r="U245">
            <v>256474</v>
          </cell>
          <cell r="V245">
            <v>256474</v>
          </cell>
          <cell r="W245">
            <v>267516</v>
          </cell>
          <cell r="X245">
            <v>273305</v>
          </cell>
          <cell r="Y245">
            <v>273305</v>
          </cell>
          <cell r="Z245">
            <v>274609</v>
          </cell>
          <cell r="AA245">
            <v>271738</v>
          </cell>
          <cell r="AB245">
            <v>271738</v>
          </cell>
          <cell r="AC245">
            <v>269623</v>
          </cell>
          <cell r="AD245">
            <v>284606</v>
          </cell>
          <cell r="AE245">
            <v>284606</v>
          </cell>
          <cell r="AF245">
            <v>325885</v>
          </cell>
          <cell r="AG245">
            <v>355090</v>
          </cell>
          <cell r="AH245">
            <v>355090</v>
          </cell>
          <cell r="AI245">
            <v>375357</v>
          </cell>
          <cell r="AJ245">
            <v>416501</v>
          </cell>
          <cell r="AK245">
            <v>416501</v>
          </cell>
          <cell r="AL245">
            <v>430433</v>
          </cell>
          <cell r="AM245">
            <v>420366</v>
          </cell>
          <cell r="AN245">
            <v>420366</v>
          </cell>
          <cell r="AO245">
            <v>397221</v>
          </cell>
          <cell r="AP245">
            <v>399226</v>
          </cell>
          <cell r="AQ245">
            <v>399226</v>
          </cell>
          <cell r="AR245">
            <v>400552</v>
          </cell>
          <cell r="AS245">
            <v>441695</v>
          </cell>
          <cell r="AT245">
            <v>441695</v>
          </cell>
          <cell r="AU245">
            <v>458303</v>
          </cell>
          <cell r="AV245">
            <v>479239</v>
          </cell>
          <cell r="AW245">
            <v>479239</v>
          </cell>
          <cell r="AX245">
            <v>502434.96981509624</v>
          </cell>
          <cell r="AY245">
            <v>523849.61436832545</v>
          </cell>
          <cell r="AZ245">
            <v>523849.61436832545</v>
          </cell>
          <cell r="BA245">
            <v>539059.2882177406</v>
          </cell>
          <cell r="BB245">
            <v>554712.60691809736</v>
          </cell>
          <cell r="BC245">
            <v>554712.60691809736</v>
          </cell>
          <cell r="BD245">
            <v>570822.56368081027</v>
          </cell>
          <cell r="BE245">
            <v>587402.53361028386</v>
          </cell>
          <cell r="BF245">
            <v>587402.53361028386</v>
          </cell>
          <cell r="BG245">
            <v>604466.28496311791</v>
          </cell>
          <cell r="BH245">
            <v>622027.99074015021</v>
          </cell>
          <cell r="BI245">
            <v>622027.99074015021</v>
          </cell>
          <cell r="BJ245">
            <v>639612.36993555655</v>
          </cell>
          <cell r="BK245">
            <v>654114.97743021604</v>
          </cell>
          <cell r="BL245">
            <v>654114.97743021604</v>
          </cell>
          <cell r="BM245">
            <v>671437.80387498636</v>
          </cell>
          <cell r="BN245">
            <v>686110.9917579703</v>
          </cell>
          <cell r="BO245">
            <v>686110.9917579703</v>
          </cell>
          <cell r="BP245">
            <v>696659.83396195632</v>
          </cell>
          <cell r="BQ245">
            <v>707434.87029428815</v>
          </cell>
          <cell r="BR245">
            <v>707434.87029428815</v>
          </cell>
          <cell r="BS245">
            <v>721460.54067463218</v>
          </cell>
          <cell r="BT245">
            <v>735766.78572108294</v>
          </cell>
          <cell r="BU245">
            <v>735766.78572108294</v>
          </cell>
          <cell r="BV245">
            <v>752872.82936842483</v>
          </cell>
          <cell r="BW245">
            <v>770421.70282918238</v>
          </cell>
          <cell r="BX245">
            <v>770421.70282918238</v>
          </cell>
        </row>
        <row r="246">
          <cell r="B246" t="str">
            <v>Time deposits</v>
          </cell>
          <cell r="C246" t="str">
            <v>B_DE_TIME</v>
          </cell>
          <cell r="D246" t="str">
            <v>AUD</v>
          </cell>
          <cell r="F246">
            <v>82608</v>
          </cell>
          <cell r="G246">
            <v>101503</v>
          </cell>
          <cell r="H246">
            <v>141571</v>
          </cell>
          <cell r="I246">
            <v>153078</v>
          </cell>
          <cell r="J246">
            <v>174997</v>
          </cell>
          <cell r="K246">
            <v>208754</v>
          </cell>
          <cell r="L246">
            <v>229151</v>
          </cell>
          <cell r="M246">
            <v>244966</v>
          </cell>
          <cell r="N246">
            <v>247879</v>
          </cell>
          <cell r="O246">
            <v>245471</v>
          </cell>
          <cell r="P246">
            <v>245471</v>
          </cell>
          <cell r="Q246">
            <v>264539</v>
          </cell>
          <cell r="R246">
            <v>258122</v>
          </cell>
          <cell r="S246">
            <v>258122</v>
          </cell>
          <cell r="T246">
            <v>257486</v>
          </cell>
          <cell r="U246">
            <v>253576</v>
          </cell>
          <cell r="V246">
            <v>253576</v>
          </cell>
          <cell r="W246">
            <v>260584</v>
          </cell>
          <cell r="X246">
            <v>248593</v>
          </cell>
          <cell r="Y246">
            <v>248593</v>
          </cell>
          <cell r="Z246">
            <v>247549</v>
          </cell>
          <cell r="AA246">
            <v>257428</v>
          </cell>
          <cell r="AB246">
            <v>257428</v>
          </cell>
          <cell r="AC246">
            <v>266570</v>
          </cell>
          <cell r="AD246">
            <v>263733</v>
          </cell>
          <cell r="AE246">
            <v>263733</v>
          </cell>
          <cell r="AF246">
            <v>278489</v>
          </cell>
          <cell r="AG246">
            <v>229764</v>
          </cell>
          <cell r="AH246">
            <v>229764</v>
          </cell>
          <cell r="AI246">
            <v>226168</v>
          </cell>
          <cell r="AJ246">
            <v>214789</v>
          </cell>
          <cell r="AK246">
            <v>214789</v>
          </cell>
          <cell r="AL246">
            <v>217566</v>
          </cell>
          <cell r="AM246">
            <v>234113</v>
          </cell>
          <cell r="AN246">
            <v>234113</v>
          </cell>
          <cell r="AO246">
            <v>295951</v>
          </cell>
          <cell r="AP246">
            <v>289812</v>
          </cell>
          <cell r="AQ246">
            <v>289812</v>
          </cell>
          <cell r="AR246">
            <v>279633</v>
          </cell>
          <cell r="AS246">
            <v>315722</v>
          </cell>
          <cell r="AT246">
            <v>315722</v>
          </cell>
          <cell r="AU246">
            <v>337843</v>
          </cell>
          <cell r="AV246">
            <v>314579</v>
          </cell>
          <cell r="AW246">
            <v>314579</v>
          </cell>
          <cell r="AX246">
            <v>329805.15018490388</v>
          </cell>
          <cell r="AY246">
            <v>343862.01423167449</v>
          </cell>
          <cell r="AZ246">
            <v>343862.01423167449</v>
          </cell>
          <cell r="BA246">
            <v>353845.85108525935</v>
          </cell>
          <cell r="BB246">
            <v>364120.90245511761</v>
          </cell>
          <cell r="BC246">
            <v>364120.90245511761</v>
          </cell>
          <cell r="BD246">
            <v>374695.69726200413</v>
          </cell>
          <cell r="BE246">
            <v>385579.01510642807</v>
          </cell>
          <cell r="BF246">
            <v>385579.01510642807</v>
          </cell>
          <cell r="BG246">
            <v>396779.89365934883</v>
          </cell>
          <cell r="BH246">
            <v>408307.63627135043</v>
          </cell>
          <cell r="BI246">
            <v>408307.63627135043</v>
          </cell>
          <cell r="BJ246">
            <v>419850.2620236614</v>
          </cell>
          <cell r="BK246">
            <v>429369.97090182552</v>
          </cell>
          <cell r="BL246">
            <v>429369.97090182552</v>
          </cell>
          <cell r="BM246">
            <v>440740.90987000091</v>
          </cell>
          <cell r="BN246">
            <v>450372.59003593313</v>
          </cell>
          <cell r="BO246">
            <v>450372.59003593313</v>
          </cell>
          <cell r="BP246">
            <v>457296.99358340673</v>
          </cell>
          <cell r="BQ246">
            <v>464369.87403426447</v>
          </cell>
          <cell r="BR246">
            <v>464369.87403426447</v>
          </cell>
          <cell r="BS246">
            <v>473576.51490151085</v>
          </cell>
          <cell r="BT246">
            <v>482967.32879701484</v>
          </cell>
          <cell r="BU246">
            <v>482967.32879701484</v>
          </cell>
          <cell r="BV246">
            <v>494195.96858746838</v>
          </cell>
          <cell r="BW246">
            <v>505715.28789247415</v>
          </cell>
          <cell r="BX246">
            <v>505715.28789247415</v>
          </cell>
        </row>
        <row r="247">
          <cell r="B247" t="str">
            <v>Other deposits</v>
          </cell>
          <cell r="C247" t="str">
            <v>B_DE_OTHERS</v>
          </cell>
          <cell r="D247" t="str">
            <v>AUD</v>
          </cell>
          <cell r="F247"/>
          <cell r="G247"/>
          <cell r="H247"/>
          <cell r="I247"/>
          <cell r="J247"/>
          <cell r="K247"/>
          <cell r="L247"/>
          <cell r="M247"/>
          <cell r="N247"/>
          <cell r="O247"/>
          <cell r="P247"/>
          <cell r="Q247"/>
          <cell r="R247"/>
          <cell r="S247"/>
          <cell r="T247"/>
          <cell r="U247"/>
          <cell r="V247"/>
          <cell r="W247"/>
          <cell r="X247"/>
          <cell r="Y247"/>
          <cell r="Z247"/>
          <cell r="AA247"/>
          <cell r="AB247"/>
          <cell r="AC247"/>
          <cell r="AD247"/>
          <cell r="AE247"/>
          <cell r="AF247"/>
          <cell r="AG247"/>
          <cell r="AH247"/>
          <cell r="AI247"/>
          <cell r="AJ247"/>
          <cell r="AK247"/>
          <cell r="AL247"/>
          <cell r="AM247"/>
          <cell r="AN247"/>
          <cell r="AO247"/>
          <cell r="AP247"/>
          <cell r="AQ247"/>
          <cell r="AR247"/>
          <cell r="AS247"/>
          <cell r="AT247"/>
          <cell r="AU247"/>
          <cell r="AV247"/>
          <cell r="AW247"/>
          <cell r="AX247"/>
          <cell r="AY247"/>
          <cell r="AZ247"/>
          <cell r="BA247"/>
          <cell r="BB247"/>
          <cell r="BC247"/>
          <cell r="BD247"/>
          <cell r="BE247"/>
          <cell r="BF247"/>
          <cell r="BG247"/>
          <cell r="BH247"/>
          <cell r="BI247"/>
          <cell r="BJ247"/>
          <cell r="BK247"/>
          <cell r="BL247"/>
          <cell r="BM247"/>
          <cell r="BN247"/>
          <cell r="BO247"/>
          <cell r="BP247"/>
          <cell r="BQ247"/>
          <cell r="BR247"/>
          <cell r="BS247"/>
          <cell r="BT247"/>
          <cell r="BU247"/>
          <cell r="BV247"/>
          <cell r="BW247"/>
          <cell r="BX247"/>
        </row>
        <row r="248">
          <cell r="B248" t="str">
            <v>Total deposits</v>
          </cell>
          <cell r="C248" t="str">
            <v>B_DE_TOTDEPOSIT</v>
          </cell>
          <cell r="D248" t="str">
            <v>AUD</v>
          </cell>
          <cell r="F248">
            <v>172394</v>
          </cell>
          <cell r="G248">
            <v>205734</v>
          </cell>
          <cell r="H248">
            <v>249504</v>
          </cell>
          <cell r="I248">
            <v>274551</v>
          </cell>
          <cell r="J248">
            <v>296986</v>
          </cell>
          <cell r="K248">
            <v>352900</v>
          </cell>
          <cell r="L248">
            <v>383686</v>
          </cell>
          <cell r="M248">
            <v>426071</v>
          </cell>
          <cell r="N248">
            <v>444743</v>
          </cell>
          <cell r="O248">
            <v>455334</v>
          </cell>
          <cell r="P248">
            <v>455334</v>
          </cell>
          <cell r="Q248">
            <v>495367</v>
          </cell>
          <cell r="R248">
            <v>507245</v>
          </cell>
          <cell r="S248">
            <v>507245</v>
          </cell>
          <cell r="T248">
            <v>511442</v>
          </cell>
          <cell r="U248">
            <v>510050</v>
          </cell>
          <cell r="V248">
            <v>510050</v>
          </cell>
          <cell r="W248">
            <v>528100</v>
          </cell>
          <cell r="X248">
            <v>521898</v>
          </cell>
          <cell r="Y248">
            <v>521898</v>
          </cell>
          <cell r="Z248">
            <v>522158</v>
          </cell>
          <cell r="AA248">
            <v>529166</v>
          </cell>
          <cell r="AB248">
            <v>529166</v>
          </cell>
          <cell r="AC248">
            <v>536193</v>
          </cell>
          <cell r="AD248">
            <v>548339</v>
          </cell>
          <cell r="AE248">
            <v>548339</v>
          </cell>
          <cell r="AF248">
            <v>604374</v>
          </cell>
          <cell r="AG248">
            <v>584854</v>
          </cell>
          <cell r="AH248">
            <v>584854</v>
          </cell>
          <cell r="AI248">
            <v>601525</v>
          </cell>
          <cell r="AJ248">
            <v>631290</v>
          </cell>
          <cell r="AK248">
            <v>631290</v>
          </cell>
          <cell r="AL248">
            <v>647999</v>
          </cell>
          <cell r="AM248">
            <v>654479</v>
          </cell>
          <cell r="AN248">
            <v>654479</v>
          </cell>
          <cell r="AO248">
            <v>693172</v>
          </cell>
          <cell r="AP248">
            <v>689038</v>
          </cell>
          <cell r="AQ248">
            <v>689038</v>
          </cell>
          <cell r="AR248">
            <v>680185</v>
          </cell>
          <cell r="AS248">
            <v>757417</v>
          </cell>
          <cell r="AT248">
            <v>757417</v>
          </cell>
          <cell r="AU248">
            <v>796146</v>
          </cell>
          <cell r="AV248">
            <v>793818</v>
          </cell>
          <cell r="AW248">
            <v>793818</v>
          </cell>
          <cell r="AX248">
            <v>832240.12000000011</v>
          </cell>
          <cell r="AY248">
            <v>867711.62859999994</v>
          </cell>
          <cell r="AZ248">
            <v>867711.62859999994</v>
          </cell>
          <cell r="BA248">
            <v>892905.13930299995</v>
          </cell>
          <cell r="BB248">
            <v>918833.50937321503</v>
          </cell>
          <cell r="BC248">
            <v>918833.50937321503</v>
          </cell>
          <cell r="BD248">
            <v>945518.26094281452</v>
          </cell>
          <cell r="BE248">
            <v>972981.54871671204</v>
          </cell>
          <cell r="BF248">
            <v>972981.54871671204</v>
          </cell>
          <cell r="BG248">
            <v>1001246.178622467</v>
          </cell>
          <cell r="BH248">
            <v>1030335.6270115009</v>
          </cell>
          <cell r="BI248">
            <v>1030335.6270115009</v>
          </cell>
          <cell r="BJ248">
            <v>1059462.6319592183</v>
          </cell>
          <cell r="BK248">
            <v>1083484.948332042</v>
          </cell>
          <cell r="BL248">
            <v>1083484.948332042</v>
          </cell>
          <cell r="BM248">
            <v>1112178.7137449877</v>
          </cell>
          <cell r="BN248">
            <v>1136483.5817939038</v>
          </cell>
          <cell r="BO248">
            <v>1136483.5817939038</v>
          </cell>
          <cell r="BP248">
            <v>1153956.8275453635</v>
          </cell>
          <cell r="BQ248">
            <v>1171804.7443285531</v>
          </cell>
          <cell r="BR248">
            <v>1171804.7443285531</v>
          </cell>
          <cell r="BS248">
            <v>1195037.0555761436</v>
          </cell>
          <cell r="BT248">
            <v>1218734.1145180983</v>
          </cell>
          <cell r="BU248">
            <v>1218734.1145180983</v>
          </cell>
          <cell r="BV248">
            <v>1247068.7979558937</v>
          </cell>
          <cell r="BW248">
            <v>1276136.9907216569</v>
          </cell>
          <cell r="BX248">
            <v>1276136.9907216569</v>
          </cell>
        </row>
        <row r="249">
          <cell r="A249" t="str">
            <v>Industrial Holdings</v>
          </cell>
          <cell r="B249"/>
          <cell r="C249"/>
          <cell r="D249"/>
        </row>
        <row r="250">
          <cell r="B250" t="str">
            <v>Market value of holding portfolio</v>
          </cell>
          <cell r="C250" t="str">
            <v>B_IH_MKTVALUE</v>
          </cell>
          <cell r="D250" t="str">
            <v>AUD</v>
          </cell>
          <cell r="F250"/>
          <cell r="G250"/>
          <cell r="H250"/>
          <cell r="I250"/>
          <cell r="J250"/>
          <cell r="K250"/>
          <cell r="L250"/>
          <cell r="M250"/>
          <cell r="N250"/>
          <cell r="O250"/>
          <cell r="P250"/>
          <cell r="Q250"/>
          <cell r="R250"/>
          <cell r="S250"/>
          <cell r="T250"/>
          <cell r="U250"/>
          <cell r="V250"/>
          <cell r="W250"/>
          <cell r="X250"/>
          <cell r="Y250"/>
          <cell r="Z250"/>
          <cell r="AA250"/>
          <cell r="AB250"/>
          <cell r="AC250"/>
          <cell r="AD250"/>
          <cell r="AE250"/>
          <cell r="AF250"/>
          <cell r="AG250"/>
          <cell r="AH250"/>
          <cell r="AI250"/>
          <cell r="AJ250"/>
          <cell r="AK250"/>
          <cell r="AL250"/>
          <cell r="AM250"/>
          <cell r="AN250"/>
          <cell r="AO250"/>
          <cell r="AP250"/>
          <cell r="AQ250"/>
          <cell r="AR250"/>
          <cell r="AS250"/>
          <cell r="AT250"/>
          <cell r="AU250"/>
          <cell r="AV250"/>
          <cell r="AW250"/>
          <cell r="AX250"/>
          <cell r="AY250"/>
          <cell r="AZ250"/>
          <cell r="BA250"/>
          <cell r="BB250"/>
          <cell r="BC250"/>
          <cell r="BD250"/>
          <cell r="BE250"/>
          <cell r="BF250"/>
          <cell r="BG250"/>
          <cell r="BH250"/>
          <cell r="BI250"/>
          <cell r="BJ250"/>
          <cell r="BK250"/>
          <cell r="BL250"/>
          <cell r="BM250"/>
          <cell r="BN250"/>
          <cell r="BO250"/>
          <cell r="BP250"/>
          <cell r="BQ250"/>
          <cell r="BR250"/>
          <cell r="BS250"/>
          <cell r="BT250"/>
          <cell r="BU250"/>
          <cell r="BV250"/>
          <cell r="BW250"/>
          <cell r="BX250"/>
        </row>
        <row r="251">
          <cell r="B251" t="str">
            <v>Book value of holding portfolio</v>
          </cell>
          <cell r="C251" t="str">
            <v>B_IH_BKVALUE</v>
          </cell>
          <cell r="D251" t="str">
            <v>AUD</v>
          </cell>
          <cell r="F251"/>
          <cell r="G251"/>
          <cell r="H251"/>
          <cell r="I251"/>
          <cell r="J251"/>
          <cell r="K251"/>
          <cell r="L251"/>
          <cell r="M251"/>
          <cell r="N251"/>
          <cell r="O251"/>
          <cell r="P251"/>
          <cell r="Q251"/>
          <cell r="R251"/>
          <cell r="S251"/>
          <cell r="T251"/>
          <cell r="U251"/>
          <cell r="V251"/>
          <cell r="W251"/>
          <cell r="X251"/>
          <cell r="Y251"/>
          <cell r="Z251"/>
          <cell r="AA251"/>
          <cell r="AB251"/>
          <cell r="AC251"/>
          <cell r="AD251"/>
          <cell r="AE251"/>
          <cell r="AF251"/>
          <cell r="AG251"/>
          <cell r="AH251"/>
          <cell r="AI251"/>
          <cell r="AJ251"/>
          <cell r="AK251"/>
          <cell r="AL251"/>
          <cell r="AM251"/>
          <cell r="AN251"/>
          <cell r="AO251"/>
          <cell r="AP251"/>
          <cell r="AQ251"/>
          <cell r="AR251"/>
          <cell r="AS251"/>
          <cell r="AT251"/>
          <cell r="AU251"/>
          <cell r="AV251"/>
          <cell r="AW251"/>
          <cell r="AX251"/>
          <cell r="AY251"/>
          <cell r="AZ251"/>
          <cell r="BA251"/>
          <cell r="BB251"/>
          <cell r="BC251"/>
          <cell r="BD251"/>
          <cell r="BE251"/>
          <cell r="BF251"/>
          <cell r="BG251"/>
          <cell r="BH251"/>
          <cell r="BI251"/>
          <cell r="BJ251"/>
          <cell r="BK251"/>
          <cell r="BL251"/>
          <cell r="BM251"/>
          <cell r="BN251"/>
          <cell r="BO251"/>
          <cell r="BP251"/>
          <cell r="BQ251"/>
          <cell r="BR251"/>
          <cell r="BS251"/>
          <cell r="BT251"/>
          <cell r="BU251"/>
          <cell r="BV251"/>
          <cell r="BW251"/>
          <cell r="BX251"/>
        </row>
        <row r="252">
          <cell r="B252" t="str">
            <v>Gross unrealized gains on holding portfolio</v>
          </cell>
          <cell r="C252" t="str">
            <v>B_IH_UNREALISE</v>
          </cell>
          <cell r="D252" t="str">
            <v>AUD</v>
          </cell>
          <cell r="F252"/>
          <cell r="G252"/>
          <cell r="H252"/>
          <cell r="I252"/>
          <cell r="J252"/>
          <cell r="K252"/>
          <cell r="L252"/>
          <cell r="M252"/>
          <cell r="N252"/>
          <cell r="O252"/>
          <cell r="P252"/>
          <cell r="Q252"/>
          <cell r="R252"/>
          <cell r="S252"/>
          <cell r="T252"/>
          <cell r="U252"/>
          <cell r="V252"/>
          <cell r="W252"/>
          <cell r="X252"/>
          <cell r="Y252"/>
          <cell r="Z252"/>
          <cell r="AA252"/>
          <cell r="AB252"/>
          <cell r="AC252"/>
          <cell r="AD252"/>
          <cell r="AE252"/>
          <cell r="AF252"/>
          <cell r="AG252"/>
          <cell r="AH252"/>
          <cell r="AI252"/>
          <cell r="AJ252"/>
          <cell r="AK252"/>
          <cell r="AL252"/>
          <cell r="AM252"/>
          <cell r="AN252"/>
          <cell r="AO252"/>
          <cell r="AP252"/>
          <cell r="AQ252"/>
          <cell r="AR252"/>
          <cell r="AS252"/>
          <cell r="AT252"/>
          <cell r="AU252"/>
          <cell r="AV252"/>
          <cell r="AW252"/>
          <cell r="AX252"/>
          <cell r="AY252"/>
          <cell r="AZ252"/>
          <cell r="BA252"/>
          <cell r="BB252"/>
          <cell r="BC252"/>
          <cell r="BD252"/>
          <cell r="BE252"/>
          <cell r="BF252"/>
          <cell r="BG252"/>
          <cell r="BH252"/>
          <cell r="BI252"/>
          <cell r="BJ252"/>
          <cell r="BK252"/>
          <cell r="BL252"/>
          <cell r="BM252"/>
          <cell r="BN252"/>
          <cell r="BO252"/>
          <cell r="BP252"/>
          <cell r="BQ252"/>
          <cell r="BR252"/>
          <cell r="BS252"/>
          <cell r="BT252"/>
          <cell r="BU252"/>
          <cell r="BV252"/>
          <cell r="BW252"/>
          <cell r="BX252"/>
        </row>
        <row r="253">
          <cell r="B253" t="str">
            <v>% Tax on unrealized gains</v>
          </cell>
          <cell r="C253" t="str">
            <v>B_IH_TAX</v>
          </cell>
          <cell r="F253"/>
          <cell r="G253"/>
          <cell r="H253"/>
          <cell r="I253"/>
          <cell r="J253"/>
          <cell r="K253"/>
          <cell r="L253"/>
          <cell r="M253"/>
          <cell r="N253"/>
          <cell r="O253"/>
          <cell r="P253"/>
          <cell r="Q253"/>
          <cell r="R253"/>
          <cell r="S253"/>
          <cell r="T253"/>
          <cell r="U253"/>
          <cell r="V253"/>
          <cell r="W253"/>
          <cell r="X253"/>
          <cell r="Y253"/>
          <cell r="Z253"/>
          <cell r="AA253"/>
          <cell r="AB253"/>
          <cell r="AC253"/>
          <cell r="AD253"/>
          <cell r="AE253"/>
          <cell r="AF253"/>
          <cell r="AG253"/>
          <cell r="AH253"/>
          <cell r="AI253"/>
          <cell r="AJ253"/>
          <cell r="AK253"/>
          <cell r="AL253"/>
          <cell r="AM253"/>
          <cell r="AN253"/>
          <cell r="AO253"/>
          <cell r="AP253"/>
          <cell r="AQ253"/>
          <cell r="AR253"/>
          <cell r="AS253"/>
          <cell r="AT253"/>
          <cell r="AU253"/>
          <cell r="AV253"/>
          <cell r="AW253"/>
          <cell r="AX253"/>
          <cell r="AY253"/>
          <cell r="AZ253"/>
          <cell r="BA253"/>
          <cell r="BB253"/>
          <cell r="BC253"/>
          <cell r="BD253"/>
          <cell r="BE253"/>
          <cell r="BF253"/>
          <cell r="BG253"/>
          <cell r="BH253"/>
          <cell r="BI253"/>
          <cell r="BJ253"/>
          <cell r="BK253"/>
          <cell r="BL253"/>
          <cell r="BM253"/>
          <cell r="BN253"/>
          <cell r="BO253"/>
          <cell r="BP253"/>
          <cell r="BQ253"/>
          <cell r="BR253"/>
          <cell r="BS253"/>
          <cell r="BT253"/>
          <cell r="BU253"/>
          <cell r="BV253"/>
          <cell r="BW253"/>
          <cell r="BX253"/>
        </row>
        <row r="254">
          <cell r="B254" t="str">
            <v>Post-tax value of unrealized gains</v>
          </cell>
          <cell r="C254" t="str">
            <v>B_IH_PTAXVALUE</v>
          </cell>
          <cell r="D254" t="str">
            <v>AUD</v>
          </cell>
          <cell r="F254"/>
          <cell r="G254"/>
          <cell r="H254"/>
          <cell r="I254"/>
          <cell r="J254"/>
          <cell r="K254"/>
          <cell r="L254"/>
          <cell r="M254"/>
          <cell r="N254"/>
          <cell r="O254"/>
          <cell r="P254"/>
          <cell r="Q254"/>
          <cell r="R254"/>
          <cell r="S254"/>
          <cell r="T254"/>
          <cell r="U254"/>
          <cell r="V254"/>
          <cell r="W254"/>
          <cell r="X254"/>
          <cell r="Y254"/>
          <cell r="Z254"/>
          <cell r="AA254"/>
          <cell r="AB254"/>
          <cell r="AC254"/>
          <cell r="AD254"/>
          <cell r="AE254"/>
          <cell r="AF254"/>
          <cell r="AG254"/>
          <cell r="AH254"/>
          <cell r="AI254"/>
          <cell r="AJ254"/>
          <cell r="AK254"/>
          <cell r="AL254"/>
          <cell r="AM254"/>
          <cell r="AN254"/>
          <cell r="AO254"/>
          <cell r="AP254"/>
          <cell r="AQ254"/>
          <cell r="AR254"/>
          <cell r="AS254"/>
          <cell r="AT254"/>
          <cell r="AU254"/>
          <cell r="AV254"/>
          <cell r="AW254"/>
          <cell r="AX254"/>
          <cell r="AY254"/>
          <cell r="AZ254"/>
          <cell r="BA254"/>
          <cell r="BB254"/>
          <cell r="BC254"/>
          <cell r="BD254"/>
          <cell r="BE254"/>
          <cell r="BF254"/>
          <cell r="BG254"/>
          <cell r="BH254"/>
          <cell r="BI254"/>
          <cell r="BJ254"/>
          <cell r="BK254"/>
          <cell r="BL254"/>
          <cell r="BM254"/>
          <cell r="BN254"/>
          <cell r="BO254"/>
          <cell r="BP254"/>
          <cell r="BQ254"/>
          <cell r="BR254"/>
          <cell r="BS254"/>
          <cell r="BT254"/>
          <cell r="BU254"/>
          <cell r="BV254"/>
          <cell r="BW254"/>
          <cell r="BX254"/>
        </row>
        <row r="255">
          <cell r="A255" t="str">
            <v>Revenue Breakdown Data</v>
          </cell>
          <cell r="B255"/>
          <cell r="C255"/>
          <cell r="D255"/>
        </row>
        <row r="256">
          <cell r="B256" t="str">
            <v>Revenue from Domestic Market</v>
          </cell>
          <cell r="C256" t="str">
            <v>DOM_SALES</v>
          </cell>
          <cell r="D256" t="str">
            <v>AUD</v>
          </cell>
          <cell r="F256"/>
          <cell r="G256"/>
          <cell r="H256"/>
          <cell r="I256"/>
          <cell r="J256"/>
          <cell r="K256"/>
          <cell r="L256"/>
          <cell r="M256"/>
          <cell r="N256"/>
          <cell r="O256"/>
          <cell r="P256"/>
          <cell r="Q256"/>
          <cell r="R256"/>
          <cell r="S256"/>
          <cell r="T256"/>
          <cell r="U256"/>
          <cell r="V256"/>
          <cell r="W256"/>
          <cell r="X256"/>
          <cell r="Y256"/>
          <cell r="Z256"/>
          <cell r="AA256"/>
          <cell r="AB256"/>
          <cell r="AC256"/>
          <cell r="AD256"/>
          <cell r="AE256"/>
          <cell r="AF256"/>
          <cell r="AG256"/>
          <cell r="AH256"/>
          <cell r="AI256"/>
          <cell r="AJ256"/>
          <cell r="AK256"/>
          <cell r="AL256"/>
          <cell r="AM256"/>
          <cell r="AN256"/>
          <cell r="AO256"/>
          <cell r="AP256"/>
          <cell r="AQ256"/>
          <cell r="AR256"/>
          <cell r="AS256"/>
          <cell r="AT256"/>
          <cell r="AU256"/>
          <cell r="AV256"/>
          <cell r="AW256"/>
          <cell r="AX256"/>
          <cell r="AY256"/>
          <cell r="AZ256"/>
          <cell r="BA256"/>
          <cell r="BB256"/>
          <cell r="BC256"/>
          <cell r="BD256"/>
          <cell r="BE256"/>
          <cell r="BF256"/>
          <cell r="BG256"/>
          <cell r="BH256"/>
          <cell r="BI256"/>
          <cell r="BJ256"/>
          <cell r="BK256"/>
          <cell r="BL256"/>
          <cell r="BM256"/>
          <cell r="BN256"/>
          <cell r="BO256"/>
          <cell r="BP256"/>
          <cell r="BQ256"/>
          <cell r="BR256"/>
          <cell r="BS256"/>
          <cell r="BT256"/>
          <cell r="BU256"/>
          <cell r="BV256"/>
          <cell r="BW256"/>
          <cell r="BX256"/>
        </row>
        <row r="257">
          <cell r="B257" t="str">
            <v>Revenue from emerging markets</v>
          </cell>
          <cell r="C257" t="str">
            <v>EMER_SALES</v>
          </cell>
          <cell r="D257" t="str">
            <v>AUD</v>
          </cell>
          <cell r="F257"/>
          <cell r="G257"/>
          <cell r="H257"/>
          <cell r="I257"/>
          <cell r="J257"/>
          <cell r="K257"/>
          <cell r="L257"/>
          <cell r="M257"/>
          <cell r="N257"/>
          <cell r="O257"/>
          <cell r="P257"/>
          <cell r="Q257"/>
          <cell r="R257"/>
          <cell r="S257"/>
          <cell r="T257"/>
          <cell r="U257"/>
          <cell r="V257"/>
          <cell r="W257"/>
          <cell r="X257"/>
          <cell r="Y257"/>
          <cell r="Z257"/>
          <cell r="AA257"/>
          <cell r="AB257"/>
          <cell r="AC257"/>
          <cell r="AD257"/>
          <cell r="AE257"/>
          <cell r="AF257"/>
          <cell r="AG257"/>
          <cell r="AH257"/>
          <cell r="AI257"/>
          <cell r="AJ257"/>
          <cell r="AK257"/>
          <cell r="AL257"/>
          <cell r="AM257"/>
          <cell r="AN257"/>
          <cell r="AO257"/>
          <cell r="AP257"/>
          <cell r="AQ257"/>
          <cell r="AR257"/>
          <cell r="AS257"/>
          <cell r="AT257"/>
          <cell r="AU257"/>
          <cell r="AV257"/>
          <cell r="AW257"/>
          <cell r="AX257"/>
          <cell r="AY257"/>
          <cell r="AZ257"/>
          <cell r="BA257"/>
          <cell r="BB257"/>
          <cell r="BC257"/>
          <cell r="BD257"/>
          <cell r="BE257"/>
          <cell r="BF257"/>
          <cell r="BG257"/>
          <cell r="BH257"/>
          <cell r="BI257"/>
          <cell r="BJ257"/>
          <cell r="BK257"/>
          <cell r="BL257"/>
          <cell r="BM257"/>
          <cell r="BN257"/>
          <cell r="BO257"/>
          <cell r="BP257"/>
          <cell r="BQ257"/>
          <cell r="BR257"/>
          <cell r="BS257"/>
          <cell r="BT257"/>
          <cell r="BU257"/>
          <cell r="BV257"/>
          <cell r="BW257"/>
          <cell r="BX257"/>
        </row>
        <row r="258">
          <cell r="B258" t="str">
            <v>Revenue from Europe</v>
          </cell>
          <cell r="C258" t="str">
            <v>EURO_SALES</v>
          </cell>
          <cell r="D258" t="str">
            <v>AUD</v>
          </cell>
          <cell r="F258"/>
          <cell r="G258"/>
          <cell r="H258"/>
          <cell r="I258"/>
          <cell r="J258"/>
          <cell r="K258"/>
          <cell r="L258"/>
          <cell r="M258"/>
          <cell r="N258"/>
          <cell r="O258"/>
          <cell r="P258"/>
          <cell r="Q258"/>
          <cell r="R258"/>
          <cell r="S258"/>
          <cell r="T258"/>
          <cell r="U258"/>
          <cell r="V258"/>
          <cell r="W258"/>
          <cell r="X258"/>
          <cell r="Y258"/>
          <cell r="Z258"/>
          <cell r="AA258"/>
          <cell r="AB258"/>
          <cell r="AC258"/>
          <cell r="AD258"/>
          <cell r="AE258"/>
          <cell r="AF258"/>
          <cell r="AG258"/>
          <cell r="AH258"/>
          <cell r="AI258"/>
          <cell r="AJ258"/>
          <cell r="AK258"/>
          <cell r="AL258"/>
          <cell r="AM258"/>
          <cell r="AN258"/>
          <cell r="AO258"/>
          <cell r="AP258"/>
          <cell r="AQ258"/>
          <cell r="AR258"/>
          <cell r="AS258"/>
          <cell r="AT258"/>
          <cell r="AU258"/>
          <cell r="AV258"/>
          <cell r="AW258"/>
          <cell r="AX258"/>
          <cell r="AY258"/>
          <cell r="AZ258"/>
          <cell r="BA258"/>
          <cell r="BB258"/>
          <cell r="BC258"/>
          <cell r="BD258"/>
          <cell r="BE258"/>
          <cell r="BF258"/>
          <cell r="BG258"/>
          <cell r="BH258"/>
          <cell r="BI258"/>
          <cell r="BJ258"/>
          <cell r="BK258"/>
          <cell r="BL258"/>
          <cell r="BM258"/>
          <cell r="BN258"/>
          <cell r="BO258"/>
          <cell r="BP258"/>
          <cell r="BQ258"/>
          <cell r="BR258"/>
          <cell r="BS258"/>
          <cell r="BT258"/>
          <cell r="BU258"/>
          <cell r="BV258"/>
          <cell r="BW258"/>
          <cell r="BX258"/>
        </row>
        <row r="259">
          <cell r="B259" t="str">
            <v>Revenue from North America</v>
          </cell>
          <cell r="C259" t="str">
            <v>NAM_SALES</v>
          </cell>
          <cell r="D259" t="str">
            <v>AUD</v>
          </cell>
          <cell r="F259"/>
          <cell r="G259"/>
          <cell r="H259"/>
          <cell r="I259"/>
          <cell r="J259"/>
          <cell r="K259"/>
          <cell r="L259"/>
          <cell r="M259"/>
          <cell r="N259"/>
          <cell r="O259"/>
          <cell r="P259"/>
          <cell r="Q259"/>
          <cell r="R259"/>
          <cell r="S259"/>
          <cell r="T259"/>
          <cell r="U259"/>
          <cell r="V259"/>
          <cell r="W259"/>
          <cell r="X259"/>
          <cell r="Y259"/>
          <cell r="Z259"/>
          <cell r="AA259"/>
          <cell r="AB259"/>
          <cell r="AC259"/>
          <cell r="AD259"/>
          <cell r="AE259"/>
          <cell r="AF259"/>
          <cell r="AG259"/>
          <cell r="AH259"/>
          <cell r="AI259"/>
          <cell r="AJ259"/>
          <cell r="AK259"/>
          <cell r="AL259"/>
          <cell r="AM259"/>
          <cell r="AN259"/>
          <cell r="AO259"/>
          <cell r="AP259"/>
          <cell r="AQ259"/>
          <cell r="AR259"/>
          <cell r="AS259"/>
          <cell r="AT259"/>
          <cell r="AU259"/>
          <cell r="AV259"/>
          <cell r="AW259"/>
          <cell r="AX259"/>
          <cell r="AY259"/>
          <cell r="AZ259"/>
          <cell r="BA259"/>
          <cell r="BB259"/>
          <cell r="BC259"/>
          <cell r="BD259"/>
          <cell r="BE259"/>
          <cell r="BF259"/>
          <cell r="BG259"/>
          <cell r="BH259"/>
          <cell r="BI259"/>
          <cell r="BJ259"/>
          <cell r="BK259"/>
          <cell r="BL259"/>
          <cell r="BM259"/>
          <cell r="BN259"/>
          <cell r="BO259"/>
          <cell r="BP259"/>
          <cell r="BQ259"/>
          <cell r="BR259"/>
          <cell r="BS259"/>
          <cell r="BT259"/>
          <cell r="BU259"/>
          <cell r="BV259"/>
          <cell r="BW259"/>
          <cell r="BX259"/>
        </row>
        <row r="260">
          <cell r="B260" t="str">
            <v>Revenue from Latin America</v>
          </cell>
          <cell r="C260" t="str">
            <v>LATAM_SALES</v>
          </cell>
          <cell r="D260" t="str">
            <v>AUD</v>
          </cell>
          <cell r="F260"/>
          <cell r="G260"/>
          <cell r="H260"/>
          <cell r="I260"/>
          <cell r="J260"/>
          <cell r="K260"/>
          <cell r="L260"/>
          <cell r="M260"/>
          <cell r="N260"/>
          <cell r="O260"/>
          <cell r="P260"/>
          <cell r="Q260"/>
          <cell r="R260"/>
          <cell r="S260"/>
          <cell r="T260"/>
          <cell r="U260"/>
          <cell r="V260"/>
          <cell r="W260"/>
          <cell r="X260"/>
          <cell r="Y260"/>
          <cell r="Z260"/>
          <cell r="AA260"/>
          <cell r="AB260"/>
          <cell r="AC260"/>
          <cell r="AD260"/>
          <cell r="AE260"/>
          <cell r="AF260"/>
          <cell r="AG260"/>
          <cell r="AH260"/>
          <cell r="AI260"/>
          <cell r="AJ260"/>
          <cell r="AK260"/>
          <cell r="AL260"/>
          <cell r="AM260"/>
          <cell r="AN260"/>
          <cell r="AO260"/>
          <cell r="AP260"/>
          <cell r="AQ260"/>
          <cell r="AR260"/>
          <cell r="AS260"/>
          <cell r="AT260"/>
          <cell r="AU260"/>
          <cell r="AV260"/>
          <cell r="AW260"/>
          <cell r="AX260"/>
          <cell r="AY260"/>
          <cell r="AZ260"/>
          <cell r="BA260"/>
          <cell r="BB260"/>
          <cell r="BC260"/>
          <cell r="BD260"/>
          <cell r="BE260"/>
          <cell r="BF260"/>
          <cell r="BG260"/>
          <cell r="BH260"/>
          <cell r="BI260"/>
          <cell r="BJ260"/>
          <cell r="BK260"/>
          <cell r="BL260"/>
          <cell r="BM260"/>
          <cell r="BN260"/>
          <cell r="BO260"/>
          <cell r="BP260"/>
          <cell r="BQ260"/>
          <cell r="BR260"/>
          <cell r="BS260"/>
          <cell r="BT260"/>
          <cell r="BU260"/>
          <cell r="BV260"/>
          <cell r="BW260"/>
          <cell r="BX260"/>
        </row>
        <row r="261">
          <cell r="B261" t="str">
            <v>Revenue from Asia</v>
          </cell>
          <cell r="C261" t="str">
            <v>ASIA_SALES</v>
          </cell>
          <cell r="D261" t="str">
            <v>AUD</v>
          </cell>
          <cell r="F261"/>
          <cell r="G261"/>
          <cell r="H261"/>
          <cell r="I261"/>
          <cell r="J261"/>
          <cell r="K261"/>
          <cell r="L261"/>
          <cell r="M261"/>
          <cell r="N261"/>
          <cell r="O261"/>
          <cell r="P261"/>
          <cell r="Q261"/>
          <cell r="R261"/>
          <cell r="S261"/>
          <cell r="T261"/>
          <cell r="U261"/>
          <cell r="V261"/>
          <cell r="W261"/>
          <cell r="X261"/>
          <cell r="Y261"/>
          <cell r="Z261"/>
          <cell r="AA261"/>
          <cell r="AB261"/>
          <cell r="AC261"/>
          <cell r="AD261"/>
          <cell r="AE261"/>
          <cell r="AF261"/>
          <cell r="AG261"/>
          <cell r="AH261"/>
          <cell r="AI261"/>
          <cell r="AJ261"/>
          <cell r="AK261"/>
          <cell r="AL261"/>
          <cell r="AM261"/>
          <cell r="AN261"/>
          <cell r="AO261"/>
          <cell r="AP261"/>
          <cell r="AQ261"/>
          <cell r="AR261"/>
          <cell r="AS261"/>
          <cell r="AT261"/>
          <cell r="AU261"/>
          <cell r="AV261"/>
          <cell r="AW261"/>
          <cell r="AX261"/>
          <cell r="AY261"/>
          <cell r="AZ261"/>
          <cell r="BA261"/>
          <cell r="BB261"/>
          <cell r="BC261"/>
          <cell r="BD261"/>
          <cell r="BE261"/>
          <cell r="BF261"/>
          <cell r="BG261"/>
          <cell r="BH261"/>
          <cell r="BI261"/>
          <cell r="BJ261"/>
          <cell r="BK261"/>
          <cell r="BL261"/>
          <cell r="BM261"/>
          <cell r="BN261"/>
          <cell r="BO261"/>
          <cell r="BP261"/>
          <cell r="BQ261"/>
          <cell r="BR261"/>
          <cell r="BS261"/>
          <cell r="BT261"/>
          <cell r="BU261"/>
          <cell r="BV261"/>
          <cell r="BW261"/>
          <cell r="BX261"/>
        </row>
        <row r="262">
          <cell r="B262" t="str">
            <v>Other revenue</v>
          </cell>
          <cell r="C262" t="str">
            <v>OTH_SALES</v>
          </cell>
          <cell r="D262" t="str">
            <v>AUD</v>
          </cell>
          <cell r="F262"/>
          <cell r="G262"/>
          <cell r="H262"/>
          <cell r="I262"/>
          <cell r="J262"/>
          <cell r="K262"/>
          <cell r="L262"/>
          <cell r="M262"/>
          <cell r="N262"/>
          <cell r="O262"/>
          <cell r="P262"/>
          <cell r="Q262"/>
          <cell r="R262"/>
          <cell r="S262"/>
          <cell r="T262"/>
          <cell r="U262"/>
          <cell r="V262"/>
          <cell r="W262"/>
          <cell r="X262"/>
          <cell r="Y262"/>
          <cell r="Z262"/>
          <cell r="AA262"/>
          <cell r="AB262"/>
          <cell r="AC262"/>
          <cell r="AD262"/>
          <cell r="AE262"/>
          <cell r="AF262"/>
          <cell r="AG262"/>
          <cell r="AH262"/>
          <cell r="AI262"/>
          <cell r="AJ262"/>
          <cell r="AK262"/>
          <cell r="AL262"/>
          <cell r="AM262"/>
          <cell r="AN262"/>
          <cell r="AO262"/>
          <cell r="AP262"/>
          <cell r="AQ262"/>
          <cell r="AR262"/>
          <cell r="AS262"/>
          <cell r="AT262"/>
          <cell r="AU262"/>
          <cell r="AV262"/>
          <cell r="AW262"/>
          <cell r="AX262"/>
          <cell r="AY262"/>
          <cell r="AZ262"/>
          <cell r="BA262"/>
          <cell r="BB262"/>
          <cell r="BC262"/>
          <cell r="BD262"/>
          <cell r="BE262"/>
          <cell r="BF262"/>
          <cell r="BG262"/>
          <cell r="BH262"/>
          <cell r="BI262"/>
          <cell r="BJ262"/>
          <cell r="BK262"/>
          <cell r="BL262"/>
          <cell r="BM262"/>
          <cell r="BN262"/>
          <cell r="BO262"/>
          <cell r="BP262"/>
          <cell r="BQ262"/>
          <cell r="BR262"/>
          <cell r="BS262"/>
          <cell r="BT262"/>
          <cell r="BU262"/>
          <cell r="BV262"/>
          <cell r="BW262"/>
          <cell r="BX262"/>
        </row>
        <row r="263">
          <cell r="B263" t="str">
            <v>Total revenue</v>
          </cell>
          <cell r="C263" t="str">
            <v>TOT_SALES</v>
          </cell>
          <cell r="D263" t="str">
            <v>AUD</v>
          </cell>
          <cell r="F263">
            <v>10330.57</v>
          </cell>
          <cell r="G263">
            <v>11288.07</v>
          </cell>
          <cell r="H263">
            <v>12275.46</v>
          </cell>
          <cell r="I263">
            <v>14292.48</v>
          </cell>
          <cell r="J263">
            <v>15934</v>
          </cell>
          <cell r="K263">
            <v>16885</v>
          </cell>
          <cell r="L263">
            <v>17848</v>
          </cell>
          <cell r="M263">
            <v>18391</v>
          </cell>
          <cell r="N263">
            <v>9668</v>
          </cell>
          <cell r="O263">
            <v>9910</v>
          </cell>
          <cell r="P263">
            <v>19578</v>
          </cell>
          <cell r="Q263">
            <v>10195</v>
          </cell>
          <cell r="R263">
            <v>10342</v>
          </cell>
          <cell r="S263">
            <v>20537</v>
          </cell>
          <cell r="T263">
            <v>10325</v>
          </cell>
          <cell r="U263">
            <v>10269</v>
          </cell>
          <cell r="V263">
            <v>20594</v>
          </cell>
          <cell r="W263">
            <v>9976</v>
          </cell>
          <cell r="X263">
            <v>9840</v>
          </cell>
          <cell r="Y263">
            <v>19816</v>
          </cell>
          <cell r="Z263">
            <v>9870</v>
          </cell>
          <cell r="AA263">
            <v>9497</v>
          </cell>
          <cell r="AB263">
            <v>19367</v>
          </cell>
          <cell r="AC263">
            <v>9746</v>
          </cell>
          <cell r="AD263">
            <v>9283</v>
          </cell>
          <cell r="AE263">
            <v>19029</v>
          </cell>
          <cell r="AF263">
            <v>8579</v>
          </cell>
          <cell r="AG263">
            <v>9173</v>
          </cell>
          <cell r="AH263">
            <v>17752</v>
          </cell>
          <cell r="AI263">
            <v>8423</v>
          </cell>
          <cell r="AJ263">
            <v>9024</v>
          </cell>
          <cell r="AK263">
            <v>17447</v>
          </cell>
          <cell r="AL263">
            <v>8948</v>
          </cell>
          <cell r="AM263">
            <v>9599</v>
          </cell>
          <cell r="AN263">
            <v>18547</v>
          </cell>
          <cell r="AO263">
            <v>10540</v>
          </cell>
          <cell r="AP263">
            <v>10365</v>
          </cell>
          <cell r="AQ263">
            <v>20905</v>
          </cell>
          <cell r="AR263">
            <v>10347</v>
          </cell>
          <cell r="AS263">
            <v>10462</v>
          </cell>
          <cell r="AT263">
            <v>20809</v>
          </cell>
          <cell r="AU263">
            <v>10995</v>
          </cell>
          <cell r="AV263">
            <v>10904</v>
          </cell>
          <cell r="AW263">
            <v>21899</v>
          </cell>
          <cell r="AX263">
            <v>11249.510746960432</v>
          </cell>
          <cell r="AY263">
            <v>11332.002997323854</v>
          </cell>
          <cell r="AZ263">
            <v>22581.513744284286</v>
          </cell>
          <cell r="BA263">
            <v>11343.461513773264</v>
          </cell>
          <cell r="BB263">
            <v>11443.643760173392</v>
          </cell>
          <cell r="BC263">
            <v>22787.105273946654</v>
          </cell>
          <cell r="BD263">
            <v>11690.580245243535</v>
          </cell>
          <cell r="BE263">
            <v>11729.341082030733</v>
          </cell>
          <cell r="BF263">
            <v>23419.921327274267</v>
          </cell>
          <cell r="BG263">
            <v>11880.676314648093</v>
          </cell>
          <cell r="BH263">
            <v>11964.47179235255</v>
          </cell>
          <cell r="BI263">
            <v>23845.148107000641</v>
          </cell>
          <cell r="BJ263">
            <v>12121.88740616995</v>
          </cell>
          <cell r="BK263">
            <v>12262.789149912631</v>
          </cell>
          <cell r="BL263">
            <v>24384.676556082581</v>
          </cell>
          <cell r="BM263">
            <v>12446.092710426634</v>
          </cell>
          <cell r="BN263">
            <v>12676.77067183154</v>
          </cell>
          <cell r="BO263">
            <v>25122.863382258176</v>
          </cell>
          <cell r="BP263">
            <v>12795.047375595237</v>
          </cell>
          <cell r="BQ263">
            <v>12946.91248285881</v>
          </cell>
          <cell r="BR263">
            <v>25741.959858454044</v>
          </cell>
          <cell r="BS263">
            <v>13074.898691390732</v>
          </cell>
          <cell r="BT263">
            <v>13323.167572742786</v>
          </cell>
          <cell r="BU263">
            <v>26398.066264133522</v>
          </cell>
          <cell r="BV263">
            <v>13436.139744195392</v>
          </cell>
          <cell r="BW263">
            <v>13707.509423447313</v>
          </cell>
          <cell r="BX263">
            <v>27143.649167642707</v>
          </cell>
        </row>
        <row r="264">
          <cell r="B264" t="str">
            <v>% Revenue from Domestic Market</v>
          </cell>
          <cell r="C264" t="str">
            <v>PCT_DOM_SALES</v>
          </cell>
          <cell r="F264"/>
          <cell r="G264"/>
          <cell r="H264"/>
          <cell r="I264"/>
          <cell r="J264"/>
          <cell r="K264"/>
          <cell r="L264"/>
          <cell r="M264"/>
          <cell r="N264"/>
          <cell r="O264"/>
          <cell r="P264"/>
          <cell r="Q264"/>
          <cell r="R264"/>
          <cell r="S264"/>
          <cell r="T264"/>
          <cell r="U264"/>
          <cell r="V264"/>
          <cell r="W264"/>
          <cell r="X264"/>
          <cell r="Y264"/>
          <cell r="Z264"/>
          <cell r="AA264"/>
          <cell r="AB264"/>
          <cell r="AC264"/>
          <cell r="AD264"/>
          <cell r="AE264"/>
          <cell r="AF264"/>
          <cell r="AG264"/>
          <cell r="AH264"/>
          <cell r="AI264"/>
          <cell r="AJ264"/>
          <cell r="AK264"/>
          <cell r="AL264"/>
          <cell r="AM264"/>
          <cell r="AN264"/>
          <cell r="AO264"/>
          <cell r="AP264"/>
          <cell r="AQ264"/>
          <cell r="AR264"/>
          <cell r="AS264"/>
          <cell r="AT264"/>
          <cell r="AU264"/>
          <cell r="AV264"/>
          <cell r="AW264"/>
          <cell r="AX264"/>
          <cell r="AY264"/>
          <cell r="AZ264"/>
          <cell r="BA264"/>
          <cell r="BB264"/>
          <cell r="BC264"/>
          <cell r="BD264"/>
          <cell r="BE264"/>
          <cell r="BF264"/>
          <cell r="BG264"/>
          <cell r="BH264"/>
          <cell r="BI264"/>
          <cell r="BJ264"/>
          <cell r="BK264"/>
          <cell r="BL264"/>
          <cell r="BM264"/>
          <cell r="BN264"/>
          <cell r="BO264"/>
          <cell r="BP264"/>
          <cell r="BQ264"/>
          <cell r="BR264"/>
          <cell r="BS264"/>
          <cell r="BT264"/>
          <cell r="BU264"/>
          <cell r="BV264"/>
          <cell r="BW264"/>
          <cell r="BX264"/>
        </row>
        <row r="265">
          <cell r="B265" t="str">
            <v>% Revenue from Emerging Markets</v>
          </cell>
          <cell r="C265" t="str">
            <v>PCT_EMER_SALES</v>
          </cell>
          <cell r="F265"/>
          <cell r="G265"/>
          <cell r="H265"/>
          <cell r="I265"/>
          <cell r="J265"/>
          <cell r="K265"/>
          <cell r="L265"/>
          <cell r="M265"/>
          <cell r="N265"/>
          <cell r="O265"/>
          <cell r="P265"/>
          <cell r="Q265"/>
          <cell r="R265"/>
          <cell r="S265"/>
          <cell r="T265"/>
          <cell r="U265"/>
          <cell r="V265"/>
          <cell r="W265"/>
          <cell r="X265"/>
          <cell r="Y265"/>
          <cell r="Z265"/>
          <cell r="AA265"/>
          <cell r="AB265"/>
          <cell r="AC265"/>
          <cell r="AD265"/>
          <cell r="AE265"/>
          <cell r="AF265"/>
          <cell r="AG265"/>
          <cell r="AH265"/>
          <cell r="AI265"/>
          <cell r="AJ265"/>
          <cell r="AK265"/>
          <cell r="AL265"/>
          <cell r="AM265"/>
          <cell r="AN265"/>
          <cell r="AO265"/>
          <cell r="AP265"/>
          <cell r="AQ265"/>
          <cell r="AR265"/>
          <cell r="AS265"/>
          <cell r="AT265"/>
          <cell r="AU265"/>
          <cell r="AV265"/>
          <cell r="AW265"/>
          <cell r="AX265"/>
          <cell r="AY265"/>
          <cell r="AZ265"/>
          <cell r="BA265"/>
          <cell r="BB265"/>
          <cell r="BC265"/>
          <cell r="BD265"/>
          <cell r="BE265"/>
          <cell r="BF265"/>
          <cell r="BG265"/>
          <cell r="BH265"/>
          <cell r="BI265"/>
          <cell r="BJ265"/>
          <cell r="BK265"/>
          <cell r="BL265"/>
          <cell r="BM265"/>
          <cell r="BN265"/>
          <cell r="BO265"/>
          <cell r="BP265"/>
          <cell r="BQ265"/>
          <cell r="BR265"/>
          <cell r="BS265"/>
          <cell r="BT265"/>
          <cell r="BU265"/>
          <cell r="BV265"/>
          <cell r="BW265"/>
          <cell r="BX265"/>
        </row>
        <row r="266">
          <cell r="B266" t="str">
            <v>% Revenue from Europe</v>
          </cell>
          <cell r="C266" t="str">
            <v>PCT_EURO_SALES</v>
          </cell>
          <cell r="F266"/>
          <cell r="G266"/>
          <cell r="H266"/>
          <cell r="I266"/>
          <cell r="J266"/>
          <cell r="K266"/>
          <cell r="L266"/>
          <cell r="M266"/>
          <cell r="N266"/>
          <cell r="O266"/>
          <cell r="P266"/>
          <cell r="Q266"/>
          <cell r="R266"/>
          <cell r="S266"/>
          <cell r="T266"/>
          <cell r="U266"/>
          <cell r="V266"/>
          <cell r="W266"/>
          <cell r="X266"/>
          <cell r="Y266"/>
          <cell r="Z266"/>
          <cell r="AA266"/>
          <cell r="AB266"/>
          <cell r="AC266"/>
          <cell r="AD266"/>
          <cell r="AE266"/>
          <cell r="AF266"/>
          <cell r="AG266"/>
          <cell r="AH266"/>
          <cell r="AI266"/>
          <cell r="AJ266"/>
          <cell r="AK266"/>
          <cell r="AL266"/>
          <cell r="AM266"/>
          <cell r="AN266"/>
          <cell r="AO266"/>
          <cell r="AP266"/>
          <cell r="AQ266"/>
          <cell r="AR266"/>
          <cell r="AS266"/>
          <cell r="AT266"/>
          <cell r="AU266"/>
          <cell r="AV266"/>
          <cell r="AW266"/>
          <cell r="AX266"/>
          <cell r="AY266"/>
          <cell r="AZ266"/>
          <cell r="BA266"/>
          <cell r="BB266"/>
          <cell r="BC266"/>
          <cell r="BD266"/>
          <cell r="BE266"/>
          <cell r="BF266"/>
          <cell r="BG266"/>
          <cell r="BH266"/>
          <cell r="BI266"/>
          <cell r="BJ266"/>
          <cell r="BK266"/>
          <cell r="BL266"/>
          <cell r="BM266"/>
          <cell r="BN266"/>
          <cell r="BO266"/>
          <cell r="BP266"/>
          <cell r="BQ266"/>
          <cell r="BR266"/>
          <cell r="BS266"/>
          <cell r="BT266"/>
          <cell r="BU266"/>
          <cell r="BV266"/>
          <cell r="BW266"/>
          <cell r="BX266"/>
        </row>
        <row r="267">
          <cell r="B267" t="str">
            <v>% Revenue from North America</v>
          </cell>
          <cell r="C267" t="str">
            <v>PCT_NAM_SALES</v>
          </cell>
          <cell r="F267"/>
          <cell r="G267"/>
          <cell r="H267"/>
          <cell r="I267"/>
          <cell r="J267"/>
          <cell r="K267"/>
          <cell r="L267"/>
          <cell r="M267"/>
          <cell r="N267"/>
          <cell r="O267"/>
          <cell r="P267"/>
          <cell r="Q267"/>
          <cell r="R267"/>
          <cell r="S267"/>
          <cell r="T267"/>
          <cell r="U267"/>
          <cell r="V267"/>
          <cell r="W267"/>
          <cell r="X267"/>
          <cell r="Y267"/>
          <cell r="Z267"/>
          <cell r="AA267"/>
          <cell r="AB267"/>
          <cell r="AC267"/>
          <cell r="AD267"/>
          <cell r="AE267"/>
          <cell r="AF267"/>
          <cell r="AG267"/>
          <cell r="AH267"/>
          <cell r="AI267"/>
          <cell r="AJ267"/>
          <cell r="AK267"/>
          <cell r="AL267"/>
          <cell r="AM267"/>
          <cell r="AN267"/>
          <cell r="AO267"/>
          <cell r="AP267"/>
          <cell r="AQ267"/>
          <cell r="AR267"/>
          <cell r="AS267"/>
          <cell r="AT267"/>
          <cell r="AU267"/>
          <cell r="AV267"/>
          <cell r="AW267"/>
          <cell r="AX267"/>
          <cell r="AY267"/>
          <cell r="AZ267"/>
          <cell r="BA267"/>
          <cell r="BB267"/>
          <cell r="BC267"/>
          <cell r="BD267"/>
          <cell r="BE267"/>
          <cell r="BF267"/>
          <cell r="BG267"/>
          <cell r="BH267"/>
          <cell r="BI267"/>
          <cell r="BJ267"/>
          <cell r="BK267"/>
          <cell r="BL267"/>
          <cell r="BM267"/>
          <cell r="BN267"/>
          <cell r="BO267"/>
          <cell r="BP267"/>
          <cell r="BQ267"/>
          <cell r="BR267"/>
          <cell r="BS267"/>
          <cell r="BT267"/>
          <cell r="BU267"/>
          <cell r="BV267"/>
          <cell r="BW267"/>
          <cell r="BX267"/>
        </row>
        <row r="268">
          <cell r="B268" t="str">
            <v>% Revenue from Latin America</v>
          </cell>
          <cell r="C268" t="str">
            <v>PCT_LATAM_SALES</v>
          </cell>
          <cell r="F268"/>
          <cell r="G268"/>
          <cell r="H268"/>
          <cell r="I268"/>
          <cell r="J268"/>
          <cell r="K268"/>
          <cell r="L268"/>
          <cell r="M268"/>
          <cell r="N268"/>
          <cell r="O268"/>
          <cell r="P268"/>
          <cell r="Q268"/>
          <cell r="R268"/>
          <cell r="S268"/>
          <cell r="T268"/>
          <cell r="U268"/>
          <cell r="V268"/>
          <cell r="W268"/>
          <cell r="X268"/>
          <cell r="Y268"/>
          <cell r="Z268"/>
          <cell r="AA268"/>
          <cell r="AB268"/>
          <cell r="AC268"/>
          <cell r="AD268"/>
          <cell r="AE268"/>
          <cell r="AF268"/>
          <cell r="AG268"/>
          <cell r="AH268"/>
          <cell r="AI268"/>
          <cell r="AJ268"/>
          <cell r="AK268"/>
          <cell r="AL268"/>
          <cell r="AM268"/>
          <cell r="AN268"/>
          <cell r="AO268"/>
          <cell r="AP268"/>
          <cell r="AQ268"/>
          <cell r="AR268"/>
          <cell r="AS268"/>
          <cell r="AT268"/>
          <cell r="AU268"/>
          <cell r="AV268"/>
          <cell r="AW268"/>
          <cell r="AX268"/>
          <cell r="AY268"/>
          <cell r="AZ268"/>
          <cell r="BA268"/>
          <cell r="BB268"/>
          <cell r="BC268"/>
          <cell r="BD268"/>
          <cell r="BE268"/>
          <cell r="BF268"/>
          <cell r="BG268"/>
          <cell r="BH268"/>
          <cell r="BI268"/>
          <cell r="BJ268"/>
          <cell r="BK268"/>
          <cell r="BL268"/>
          <cell r="BM268"/>
          <cell r="BN268"/>
          <cell r="BO268"/>
          <cell r="BP268"/>
          <cell r="BQ268"/>
          <cell r="BR268"/>
          <cell r="BS268"/>
          <cell r="BT268"/>
          <cell r="BU268"/>
          <cell r="BV268"/>
          <cell r="BW268"/>
          <cell r="BX268"/>
        </row>
        <row r="269">
          <cell r="B269" t="str">
            <v>% Revenue from Asia</v>
          </cell>
          <cell r="C269" t="str">
            <v>PCT_ASIA_SALES</v>
          </cell>
          <cell r="F269"/>
          <cell r="G269"/>
          <cell r="H269"/>
          <cell r="I269"/>
          <cell r="J269"/>
          <cell r="K269"/>
          <cell r="L269"/>
          <cell r="M269"/>
          <cell r="N269"/>
          <cell r="O269"/>
          <cell r="P269"/>
          <cell r="Q269"/>
          <cell r="R269"/>
          <cell r="S269"/>
          <cell r="T269"/>
          <cell r="U269"/>
          <cell r="V269"/>
          <cell r="W269"/>
          <cell r="X269"/>
          <cell r="Y269"/>
          <cell r="Z269"/>
          <cell r="AA269"/>
          <cell r="AB269"/>
          <cell r="AC269"/>
          <cell r="AD269"/>
          <cell r="AE269"/>
          <cell r="AF269"/>
          <cell r="AG269"/>
          <cell r="AH269"/>
          <cell r="AI269"/>
          <cell r="AJ269"/>
          <cell r="AK269"/>
          <cell r="AL269"/>
          <cell r="AM269"/>
          <cell r="AN269"/>
          <cell r="AO269"/>
          <cell r="AP269"/>
          <cell r="AQ269"/>
          <cell r="AR269"/>
          <cell r="AS269"/>
          <cell r="AT269"/>
          <cell r="AU269"/>
          <cell r="AV269"/>
          <cell r="AW269"/>
          <cell r="AX269"/>
          <cell r="AY269"/>
          <cell r="AZ269"/>
          <cell r="BA269"/>
          <cell r="BB269"/>
          <cell r="BC269"/>
          <cell r="BD269"/>
          <cell r="BE269"/>
          <cell r="BF269"/>
          <cell r="BG269"/>
          <cell r="BH269"/>
          <cell r="BI269"/>
          <cell r="BJ269"/>
          <cell r="BK269"/>
          <cell r="BL269"/>
          <cell r="BM269"/>
          <cell r="BN269"/>
          <cell r="BO269"/>
          <cell r="BP269"/>
          <cell r="BQ269"/>
          <cell r="BR269"/>
          <cell r="BS269"/>
          <cell r="BT269"/>
          <cell r="BU269"/>
          <cell r="BV269"/>
          <cell r="BW269"/>
          <cell r="BX269"/>
        </row>
        <row r="270">
          <cell r="B270" t="str">
            <v>% Revenue from other Markets</v>
          </cell>
          <cell r="C270" t="str">
            <v>PCT_OTH_SALES</v>
          </cell>
          <cell r="F270"/>
          <cell r="G270"/>
          <cell r="H270"/>
          <cell r="I270"/>
          <cell r="J270"/>
          <cell r="K270"/>
          <cell r="L270"/>
          <cell r="M270"/>
          <cell r="N270"/>
          <cell r="O270"/>
          <cell r="P270"/>
          <cell r="Q270"/>
          <cell r="R270"/>
          <cell r="S270"/>
          <cell r="T270"/>
          <cell r="U270"/>
          <cell r="V270"/>
          <cell r="W270"/>
          <cell r="X270"/>
          <cell r="Y270"/>
          <cell r="Z270"/>
          <cell r="AA270"/>
          <cell r="AB270"/>
          <cell r="AC270"/>
          <cell r="AD270"/>
          <cell r="AE270"/>
          <cell r="AF270"/>
          <cell r="AG270"/>
          <cell r="AH270"/>
          <cell r="AI270"/>
          <cell r="AJ270"/>
          <cell r="AK270"/>
          <cell r="AL270"/>
          <cell r="AM270"/>
          <cell r="AN270"/>
          <cell r="AO270"/>
          <cell r="AP270"/>
          <cell r="AQ270"/>
          <cell r="AR270"/>
          <cell r="AS270"/>
          <cell r="AT270"/>
          <cell r="AU270"/>
          <cell r="AV270"/>
          <cell r="AW270"/>
          <cell r="AX270"/>
          <cell r="AY270"/>
          <cell r="AZ270"/>
          <cell r="BA270"/>
          <cell r="BB270"/>
          <cell r="BC270"/>
          <cell r="BD270"/>
          <cell r="BE270"/>
          <cell r="BF270"/>
          <cell r="BG270"/>
          <cell r="BH270"/>
          <cell r="BI270"/>
          <cell r="BJ270"/>
          <cell r="BK270"/>
          <cell r="BL270"/>
          <cell r="BM270"/>
          <cell r="BN270"/>
          <cell r="BO270"/>
          <cell r="BP270"/>
          <cell r="BQ270"/>
          <cell r="BR270"/>
          <cell r="BS270"/>
          <cell r="BT270"/>
          <cell r="BU270"/>
          <cell r="BV270"/>
          <cell r="BW270"/>
          <cell r="BX270"/>
        </row>
        <row r="271">
          <cell r="A271" t="str">
            <v>Operating Profits Breakdown Data</v>
          </cell>
          <cell r="B271"/>
          <cell r="C271"/>
          <cell r="D271"/>
        </row>
        <row r="272">
          <cell r="B272" t="str">
            <v>Operating profits from domestic markets</v>
          </cell>
          <cell r="C272" t="str">
            <v>DOM_OP</v>
          </cell>
          <cell r="D272" t="str">
            <v>AUD</v>
          </cell>
          <cell r="F272"/>
          <cell r="G272"/>
          <cell r="H272"/>
          <cell r="I272"/>
          <cell r="J272"/>
          <cell r="K272"/>
          <cell r="L272"/>
          <cell r="M272"/>
          <cell r="N272"/>
          <cell r="O272"/>
          <cell r="P272"/>
          <cell r="Q272"/>
          <cell r="R272"/>
          <cell r="S272"/>
          <cell r="T272"/>
          <cell r="U272"/>
          <cell r="V272"/>
          <cell r="W272"/>
          <cell r="X272"/>
          <cell r="Y272"/>
          <cell r="Z272"/>
          <cell r="AA272"/>
          <cell r="AB272"/>
          <cell r="AC272"/>
          <cell r="AD272"/>
          <cell r="AE272"/>
          <cell r="AF272"/>
          <cell r="AG272"/>
          <cell r="AH272"/>
          <cell r="AI272"/>
          <cell r="AJ272"/>
          <cell r="AK272"/>
          <cell r="AL272"/>
          <cell r="AM272"/>
          <cell r="AN272"/>
          <cell r="AO272"/>
          <cell r="AP272"/>
          <cell r="AQ272"/>
          <cell r="AR272"/>
          <cell r="AS272"/>
          <cell r="AT272"/>
          <cell r="AU272"/>
          <cell r="AV272"/>
          <cell r="AW272"/>
          <cell r="AX272"/>
          <cell r="AY272"/>
          <cell r="AZ272"/>
          <cell r="BA272"/>
          <cell r="BB272"/>
          <cell r="BC272"/>
          <cell r="BD272"/>
          <cell r="BE272"/>
          <cell r="BF272"/>
          <cell r="BG272"/>
          <cell r="BH272"/>
          <cell r="BI272"/>
          <cell r="BJ272"/>
          <cell r="BK272"/>
          <cell r="BL272"/>
          <cell r="BM272"/>
          <cell r="BN272"/>
          <cell r="BO272"/>
          <cell r="BP272"/>
          <cell r="BQ272"/>
          <cell r="BR272"/>
          <cell r="BS272"/>
          <cell r="BT272"/>
          <cell r="BU272"/>
          <cell r="BV272"/>
          <cell r="BW272"/>
          <cell r="BX272"/>
        </row>
        <row r="273">
          <cell r="B273" t="str">
            <v>Operating profits from emerging markets</v>
          </cell>
          <cell r="C273" t="str">
            <v>EMER_OP</v>
          </cell>
          <cell r="D273" t="str">
            <v>AUD</v>
          </cell>
          <cell r="F273"/>
          <cell r="G273"/>
          <cell r="H273"/>
          <cell r="I273"/>
          <cell r="J273"/>
          <cell r="K273"/>
          <cell r="L273"/>
          <cell r="M273"/>
          <cell r="N273"/>
          <cell r="O273"/>
          <cell r="P273"/>
          <cell r="Q273"/>
          <cell r="R273"/>
          <cell r="S273"/>
          <cell r="T273"/>
          <cell r="U273"/>
          <cell r="V273"/>
          <cell r="W273"/>
          <cell r="X273"/>
          <cell r="Y273"/>
          <cell r="Z273"/>
          <cell r="AA273"/>
          <cell r="AB273"/>
          <cell r="AC273"/>
          <cell r="AD273"/>
          <cell r="AE273"/>
          <cell r="AF273"/>
          <cell r="AG273"/>
          <cell r="AH273"/>
          <cell r="AI273"/>
          <cell r="AJ273"/>
          <cell r="AK273"/>
          <cell r="AL273"/>
          <cell r="AM273"/>
          <cell r="AN273"/>
          <cell r="AO273"/>
          <cell r="AP273"/>
          <cell r="AQ273"/>
          <cell r="AR273"/>
          <cell r="AS273"/>
          <cell r="AT273"/>
          <cell r="AU273"/>
          <cell r="AV273"/>
          <cell r="AW273"/>
          <cell r="AX273"/>
          <cell r="AY273"/>
          <cell r="AZ273"/>
          <cell r="BA273"/>
          <cell r="BB273"/>
          <cell r="BC273"/>
          <cell r="BD273"/>
          <cell r="BE273"/>
          <cell r="BF273"/>
          <cell r="BG273"/>
          <cell r="BH273"/>
          <cell r="BI273"/>
          <cell r="BJ273"/>
          <cell r="BK273"/>
          <cell r="BL273"/>
          <cell r="BM273"/>
          <cell r="BN273"/>
          <cell r="BO273"/>
          <cell r="BP273"/>
          <cell r="BQ273"/>
          <cell r="BR273"/>
          <cell r="BS273"/>
          <cell r="BT273"/>
          <cell r="BU273"/>
          <cell r="BV273"/>
          <cell r="BW273"/>
          <cell r="BX273"/>
        </row>
        <row r="274">
          <cell r="B274" t="str">
            <v>Operating profits from Europe</v>
          </cell>
          <cell r="C274" t="str">
            <v>EURO_OP</v>
          </cell>
          <cell r="D274" t="str">
            <v>AUD</v>
          </cell>
          <cell r="F274"/>
          <cell r="G274"/>
          <cell r="H274"/>
          <cell r="I274"/>
          <cell r="J274"/>
          <cell r="K274"/>
          <cell r="L274"/>
          <cell r="M274"/>
          <cell r="N274"/>
          <cell r="O274"/>
          <cell r="P274"/>
          <cell r="Q274"/>
          <cell r="R274"/>
          <cell r="S274"/>
          <cell r="T274"/>
          <cell r="U274"/>
          <cell r="V274"/>
          <cell r="W274"/>
          <cell r="X274"/>
          <cell r="Y274"/>
          <cell r="Z274"/>
          <cell r="AA274"/>
          <cell r="AB274"/>
          <cell r="AC274"/>
          <cell r="AD274"/>
          <cell r="AE274"/>
          <cell r="AF274"/>
          <cell r="AG274"/>
          <cell r="AH274"/>
          <cell r="AI274"/>
          <cell r="AJ274"/>
          <cell r="AK274"/>
          <cell r="AL274"/>
          <cell r="AM274"/>
          <cell r="AN274"/>
          <cell r="AO274"/>
          <cell r="AP274"/>
          <cell r="AQ274"/>
          <cell r="AR274"/>
          <cell r="AS274"/>
          <cell r="AT274"/>
          <cell r="AU274"/>
          <cell r="AV274"/>
          <cell r="AW274"/>
          <cell r="AX274"/>
          <cell r="AY274"/>
          <cell r="AZ274"/>
          <cell r="BA274"/>
          <cell r="BB274"/>
          <cell r="BC274"/>
          <cell r="BD274"/>
          <cell r="BE274"/>
          <cell r="BF274"/>
          <cell r="BG274"/>
          <cell r="BH274"/>
          <cell r="BI274"/>
          <cell r="BJ274"/>
          <cell r="BK274"/>
          <cell r="BL274"/>
          <cell r="BM274"/>
          <cell r="BN274"/>
          <cell r="BO274"/>
          <cell r="BP274"/>
          <cell r="BQ274"/>
          <cell r="BR274"/>
          <cell r="BS274"/>
          <cell r="BT274"/>
          <cell r="BU274"/>
          <cell r="BV274"/>
          <cell r="BW274"/>
          <cell r="BX274"/>
        </row>
        <row r="275">
          <cell r="B275" t="str">
            <v>Operating profits from North America</v>
          </cell>
          <cell r="C275" t="str">
            <v>NAM_OP</v>
          </cell>
          <cell r="D275" t="str">
            <v>AUD</v>
          </cell>
          <cell r="F275"/>
          <cell r="G275"/>
          <cell r="H275"/>
          <cell r="I275"/>
          <cell r="J275"/>
          <cell r="K275"/>
          <cell r="L275"/>
          <cell r="M275"/>
          <cell r="N275"/>
          <cell r="O275"/>
          <cell r="P275"/>
          <cell r="Q275"/>
          <cell r="R275"/>
          <cell r="S275"/>
          <cell r="T275"/>
          <cell r="U275"/>
          <cell r="V275"/>
          <cell r="W275"/>
          <cell r="X275"/>
          <cell r="Y275"/>
          <cell r="Z275"/>
          <cell r="AA275"/>
          <cell r="AB275"/>
          <cell r="AC275"/>
          <cell r="AD275"/>
          <cell r="AE275"/>
          <cell r="AF275"/>
          <cell r="AG275"/>
          <cell r="AH275"/>
          <cell r="AI275"/>
          <cell r="AJ275"/>
          <cell r="AK275"/>
          <cell r="AL275"/>
          <cell r="AM275"/>
          <cell r="AN275"/>
          <cell r="AO275"/>
          <cell r="AP275"/>
          <cell r="AQ275"/>
          <cell r="AR275"/>
          <cell r="AS275"/>
          <cell r="AT275"/>
          <cell r="AU275"/>
          <cell r="AV275"/>
          <cell r="AW275"/>
          <cell r="AX275"/>
          <cell r="AY275"/>
          <cell r="AZ275"/>
          <cell r="BA275"/>
          <cell r="BB275"/>
          <cell r="BC275"/>
          <cell r="BD275"/>
          <cell r="BE275"/>
          <cell r="BF275"/>
          <cell r="BG275"/>
          <cell r="BH275"/>
          <cell r="BI275"/>
          <cell r="BJ275"/>
          <cell r="BK275"/>
          <cell r="BL275"/>
          <cell r="BM275"/>
          <cell r="BN275"/>
          <cell r="BO275"/>
          <cell r="BP275"/>
          <cell r="BQ275"/>
          <cell r="BR275"/>
          <cell r="BS275"/>
          <cell r="BT275"/>
          <cell r="BU275"/>
          <cell r="BV275"/>
          <cell r="BW275"/>
          <cell r="BX275"/>
        </row>
        <row r="276">
          <cell r="B276" t="str">
            <v>Operating profit from Latin America</v>
          </cell>
          <cell r="C276" t="str">
            <v>LATAM_OP</v>
          </cell>
          <cell r="D276" t="str">
            <v>AUD</v>
          </cell>
          <cell r="F276"/>
          <cell r="G276"/>
          <cell r="H276"/>
          <cell r="I276"/>
          <cell r="J276"/>
          <cell r="K276"/>
          <cell r="L276"/>
          <cell r="M276"/>
          <cell r="N276"/>
          <cell r="O276"/>
          <cell r="P276"/>
          <cell r="Q276"/>
          <cell r="R276"/>
          <cell r="S276"/>
          <cell r="T276"/>
          <cell r="U276"/>
          <cell r="V276"/>
          <cell r="W276"/>
          <cell r="X276"/>
          <cell r="Y276"/>
          <cell r="Z276"/>
          <cell r="AA276"/>
          <cell r="AB276"/>
          <cell r="AC276"/>
          <cell r="AD276"/>
          <cell r="AE276"/>
          <cell r="AF276"/>
          <cell r="AG276"/>
          <cell r="AH276"/>
          <cell r="AI276"/>
          <cell r="AJ276"/>
          <cell r="AK276"/>
          <cell r="AL276"/>
          <cell r="AM276"/>
          <cell r="AN276"/>
          <cell r="AO276"/>
          <cell r="AP276"/>
          <cell r="AQ276"/>
          <cell r="AR276"/>
          <cell r="AS276"/>
          <cell r="AT276"/>
          <cell r="AU276"/>
          <cell r="AV276"/>
          <cell r="AW276"/>
          <cell r="AX276"/>
          <cell r="AY276"/>
          <cell r="AZ276"/>
          <cell r="BA276"/>
          <cell r="BB276"/>
          <cell r="BC276"/>
          <cell r="BD276"/>
          <cell r="BE276"/>
          <cell r="BF276"/>
          <cell r="BG276"/>
          <cell r="BH276"/>
          <cell r="BI276"/>
          <cell r="BJ276"/>
          <cell r="BK276"/>
          <cell r="BL276"/>
          <cell r="BM276"/>
          <cell r="BN276"/>
          <cell r="BO276"/>
          <cell r="BP276"/>
          <cell r="BQ276"/>
          <cell r="BR276"/>
          <cell r="BS276"/>
          <cell r="BT276"/>
          <cell r="BU276"/>
          <cell r="BV276"/>
          <cell r="BW276"/>
          <cell r="BX276"/>
        </row>
        <row r="277">
          <cell r="B277" t="str">
            <v>Operating profits from Asia</v>
          </cell>
          <cell r="C277" t="str">
            <v>ASIA_OP</v>
          </cell>
          <cell r="D277" t="str">
            <v>AUD</v>
          </cell>
          <cell r="F277"/>
          <cell r="G277"/>
          <cell r="H277"/>
          <cell r="I277"/>
          <cell r="J277"/>
          <cell r="K277"/>
          <cell r="L277"/>
          <cell r="M277"/>
          <cell r="N277"/>
          <cell r="O277"/>
          <cell r="P277"/>
          <cell r="Q277"/>
          <cell r="R277"/>
          <cell r="S277"/>
          <cell r="T277"/>
          <cell r="U277"/>
          <cell r="V277"/>
          <cell r="W277"/>
          <cell r="X277"/>
          <cell r="Y277"/>
          <cell r="Z277"/>
          <cell r="AA277"/>
          <cell r="AB277"/>
          <cell r="AC277"/>
          <cell r="AD277"/>
          <cell r="AE277"/>
          <cell r="AF277"/>
          <cell r="AG277"/>
          <cell r="AH277"/>
          <cell r="AI277"/>
          <cell r="AJ277"/>
          <cell r="AK277"/>
          <cell r="AL277"/>
          <cell r="AM277"/>
          <cell r="AN277"/>
          <cell r="AO277"/>
          <cell r="AP277"/>
          <cell r="AQ277"/>
          <cell r="AR277"/>
          <cell r="AS277"/>
          <cell r="AT277"/>
          <cell r="AU277"/>
          <cell r="AV277"/>
          <cell r="AW277"/>
          <cell r="AX277"/>
          <cell r="AY277"/>
          <cell r="AZ277"/>
          <cell r="BA277"/>
          <cell r="BB277"/>
          <cell r="BC277"/>
          <cell r="BD277"/>
          <cell r="BE277"/>
          <cell r="BF277"/>
          <cell r="BG277"/>
          <cell r="BH277"/>
          <cell r="BI277"/>
          <cell r="BJ277"/>
          <cell r="BK277"/>
          <cell r="BL277"/>
          <cell r="BM277"/>
          <cell r="BN277"/>
          <cell r="BO277"/>
          <cell r="BP277"/>
          <cell r="BQ277"/>
          <cell r="BR277"/>
          <cell r="BS277"/>
          <cell r="BT277"/>
          <cell r="BU277"/>
          <cell r="BV277"/>
          <cell r="BW277"/>
          <cell r="BX277"/>
        </row>
        <row r="278">
          <cell r="B278" t="str">
            <v>Operating profits from other markets</v>
          </cell>
          <cell r="C278" t="str">
            <v>OTH_OP</v>
          </cell>
          <cell r="D278" t="str">
            <v>AUD</v>
          </cell>
          <cell r="F278"/>
          <cell r="G278"/>
          <cell r="H278"/>
          <cell r="I278"/>
          <cell r="J278"/>
          <cell r="K278"/>
          <cell r="L278"/>
          <cell r="M278"/>
          <cell r="N278"/>
          <cell r="O278"/>
          <cell r="P278"/>
          <cell r="Q278"/>
          <cell r="R278"/>
          <cell r="S278"/>
          <cell r="T278"/>
          <cell r="U278"/>
          <cell r="V278"/>
          <cell r="W278"/>
          <cell r="X278"/>
          <cell r="Y278"/>
          <cell r="Z278"/>
          <cell r="AA278"/>
          <cell r="AB278"/>
          <cell r="AC278"/>
          <cell r="AD278"/>
          <cell r="AE278"/>
          <cell r="AF278"/>
          <cell r="AG278"/>
          <cell r="AH278"/>
          <cell r="AI278"/>
          <cell r="AJ278"/>
          <cell r="AK278"/>
          <cell r="AL278"/>
          <cell r="AM278"/>
          <cell r="AN278"/>
          <cell r="AO278"/>
          <cell r="AP278"/>
          <cell r="AQ278"/>
          <cell r="AR278"/>
          <cell r="AS278"/>
          <cell r="AT278"/>
          <cell r="AU278"/>
          <cell r="AV278"/>
          <cell r="AW278"/>
          <cell r="AX278"/>
          <cell r="AY278"/>
          <cell r="AZ278"/>
          <cell r="BA278"/>
          <cell r="BB278"/>
          <cell r="BC278"/>
          <cell r="BD278"/>
          <cell r="BE278"/>
          <cell r="BF278"/>
          <cell r="BG278"/>
          <cell r="BH278"/>
          <cell r="BI278"/>
          <cell r="BJ278"/>
          <cell r="BK278"/>
          <cell r="BL278"/>
          <cell r="BM278"/>
          <cell r="BN278"/>
          <cell r="BO278"/>
          <cell r="BP278"/>
          <cell r="BQ278"/>
          <cell r="BR278"/>
          <cell r="BS278"/>
          <cell r="BT278"/>
          <cell r="BU278"/>
          <cell r="BV278"/>
          <cell r="BW278"/>
          <cell r="BX278"/>
        </row>
        <row r="279">
          <cell r="B279" t="str">
            <v>Total operating profit</v>
          </cell>
          <cell r="C279" t="str">
            <v>TOT_OP</v>
          </cell>
          <cell r="D279" t="str">
            <v>AUD</v>
          </cell>
          <cell r="F279">
            <v>5102.4799999999996</v>
          </cell>
          <cell r="G279">
            <v>5580.8099999999995</v>
          </cell>
          <cell r="H279">
            <v>4498.1399999999994</v>
          </cell>
          <cell r="I279">
            <v>4774.67</v>
          </cell>
          <cell r="J279">
            <v>7128</v>
          </cell>
          <cell r="K279">
            <v>7642</v>
          </cell>
          <cell r="L279">
            <v>8344</v>
          </cell>
          <cell r="M279">
            <v>8937</v>
          </cell>
          <cell r="N279">
            <v>4854</v>
          </cell>
          <cell r="O279">
            <v>4975</v>
          </cell>
          <cell r="P279">
            <v>9829</v>
          </cell>
          <cell r="Q279">
            <v>5082</v>
          </cell>
          <cell r="R279">
            <v>4872</v>
          </cell>
          <cell r="S279">
            <v>9954</v>
          </cell>
          <cell r="T279">
            <v>3919</v>
          </cell>
          <cell r="U279">
            <v>4280</v>
          </cell>
          <cell r="V279">
            <v>8199</v>
          </cell>
          <cell r="W279">
            <v>4769</v>
          </cell>
          <cell r="X279">
            <v>4881</v>
          </cell>
          <cell r="Y279">
            <v>9650</v>
          </cell>
          <cell r="Z279">
            <v>4989</v>
          </cell>
          <cell r="AA279">
            <v>4289</v>
          </cell>
          <cell r="AB279">
            <v>9278</v>
          </cell>
          <cell r="AC279">
            <v>4988</v>
          </cell>
          <cell r="AD279">
            <v>4175</v>
          </cell>
          <cell r="AE279">
            <v>9163</v>
          </cell>
          <cell r="AF279">
            <v>2300</v>
          </cell>
          <cell r="AG279">
            <v>3331</v>
          </cell>
          <cell r="AH279">
            <v>5631</v>
          </cell>
          <cell r="AI279">
            <v>4432</v>
          </cell>
          <cell r="AJ279">
            <v>4531</v>
          </cell>
          <cell r="AK279">
            <v>8963</v>
          </cell>
          <cell r="AL279">
            <v>4441</v>
          </cell>
          <cell r="AM279">
            <v>4759</v>
          </cell>
          <cell r="AN279">
            <v>9200</v>
          </cell>
          <cell r="AO279">
            <v>5410</v>
          </cell>
          <cell r="AP279">
            <v>5111</v>
          </cell>
          <cell r="AQ279">
            <v>10521</v>
          </cell>
          <cell r="AR279">
            <v>5062</v>
          </cell>
          <cell r="AS279">
            <v>4600</v>
          </cell>
          <cell r="AT279">
            <v>9662</v>
          </cell>
          <cell r="AU279">
            <v>5108</v>
          </cell>
          <cell r="AV279">
            <v>3470</v>
          </cell>
          <cell r="AW279">
            <v>8578</v>
          </cell>
          <cell r="AX279">
            <v>5066.4705595561963</v>
          </cell>
          <cell r="AY279">
            <v>5346.2977580082143</v>
          </cell>
          <cell r="AZ279">
            <v>10412.768317564411</v>
          </cell>
          <cell r="BA279">
            <v>5123.6471272965318</v>
          </cell>
          <cell r="BB279">
            <v>5092.860303738792</v>
          </cell>
          <cell r="BC279">
            <v>10216.507431035323</v>
          </cell>
          <cell r="BD279">
            <v>5307.1071953201435</v>
          </cell>
          <cell r="BE279">
            <v>5304.6035794024901</v>
          </cell>
          <cell r="BF279">
            <v>10611.710774722633</v>
          </cell>
          <cell r="BG279">
            <v>5394.0889799945753</v>
          </cell>
          <cell r="BH279">
            <v>5485.5330210865377</v>
          </cell>
          <cell r="BI279">
            <v>10879.62200108111</v>
          </cell>
          <cell r="BJ279">
            <v>5518.033476809801</v>
          </cell>
          <cell r="BK279">
            <v>5618.6956836117979</v>
          </cell>
          <cell r="BL279">
            <v>11136.729160421599</v>
          </cell>
          <cell r="BM279">
            <v>5936.9947322048583</v>
          </cell>
          <cell r="BN279">
            <v>6012.5218040746367</v>
          </cell>
          <cell r="BO279">
            <v>11949.516536279498</v>
          </cell>
          <cell r="BP279">
            <v>6071.2690411599906</v>
          </cell>
          <cell r="BQ279">
            <v>6053.0817322211842</v>
          </cell>
          <cell r="BR279">
            <v>12124.350773381171</v>
          </cell>
          <cell r="BS279">
            <v>6088.2387746413751</v>
          </cell>
          <cell r="BT279">
            <v>6127.8501726704017</v>
          </cell>
          <cell r="BU279">
            <v>12216.08894731178</v>
          </cell>
          <cell r="BV279">
            <v>6181.1478733572731</v>
          </cell>
          <cell r="BW279">
            <v>6280.1155230751501</v>
          </cell>
          <cell r="BX279">
            <v>12461.263396432425</v>
          </cell>
        </row>
        <row r="280">
          <cell r="B280" t="str">
            <v>% Operating profits from Domestic Markets</v>
          </cell>
          <cell r="C280" t="str">
            <v>PCT_DOM_OP</v>
          </cell>
          <cell r="F280"/>
          <cell r="G280"/>
          <cell r="H280"/>
          <cell r="I280"/>
          <cell r="J280"/>
          <cell r="K280"/>
          <cell r="L280"/>
          <cell r="M280"/>
          <cell r="N280"/>
          <cell r="O280"/>
          <cell r="P280"/>
          <cell r="Q280"/>
          <cell r="R280"/>
          <cell r="S280"/>
          <cell r="T280"/>
          <cell r="U280"/>
          <cell r="V280"/>
          <cell r="W280"/>
          <cell r="X280"/>
          <cell r="Y280"/>
          <cell r="Z280"/>
          <cell r="AA280"/>
          <cell r="AB280"/>
          <cell r="AC280"/>
          <cell r="AD280"/>
          <cell r="AE280"/>
          <cell r="AF280"/>
          <cell r="AG280"/>
          <cell r="AH280"/>
          <cell r="AI280"/>
          <cell r="AJ280"/>
          <cell r="AK280"/>
          <cell r="AL280"/>
          <cell r="AM280"/>
          <cell r="AN280"/>
          <cell r="AO280"/>
          <cell r="AP280"/>
          <cell r="AQ280"/>
          <cell r="AR280"/>
          <cell r="AS280"/>
          <cell r="AT280"/>
          <cell r="AU280"/>
          <cell r="AV280"/>
          <cell r="AW280"/>
          <cell r="AX280"/>
          <cell r="AY280"/>
          <cell r="AZ280"/>
          <cell r="BA280"/>
          <cell r="BB280"/>
          <cell r="BC280"/>
          <cell r="BD280"/>
          <cell r="BE280"/>
          <cell r="BF280"/>
          <cell r="BG280"/>
          <cell r="BH280"/>
          <cell r="BI280"/>
          <cell r="BJ280"/>
          <cell r="BK280"/>
          <cell r="BL280"/>
          <cell r="BM280"/>
          <cell r="BN280"/>
          <cell r="BO280"/>
          <cell r="BP280"/>
          <cell r="BQ280"/>
          <cell r="BR280"/>
          <cell r="BS280"/>
          <cell r="BT280"/>
          <cell r="BU280"/>
          <cell r="BV280"/>
          <cell r="BW280"/>
          <cell r="BX280"/>
        </row>
        <row r="281">
          <cell r="B281" t="str">
            <v>% Operating profits from Emerging Markets</v>
          </cell>
          <cell r="C281" t="str">
            <v>PCT_EMER_OP</v>
          </cell>
          <cell r="F281"/>
          <cell r="G281"/>
          <cell r="H281"/>
          <cell r="I281"/>
          <cell r="J281"/>
          <cell r="K281"/>
          <cell r="L281"/>
          <cell r="M281"/>
          <cell r="N281"/>
          <cell r="O281"/>
          <cell r="P281"/>
          <cell r="Q281"/>
          <cell r="R281"/>
          <cell r="S281"/>
          <cell r="T281"/>
          <cell r="U281"/>
          <cell r="V281"/>
          <cell r="W281"/>
          <cell r="X281"/>
          <cell r="Y281"/>
          <cell r="Z281"/>
          <cell r="AA281"/>
          <cell r="AB281"/>
          <cell r="AC281"/>
          <cell r="AD281"/>
          <cell r="AE281"/>
          <cell r="AF281"/>
          <cell r="AG281"/>
          <cell r="AH281"/>
          <cell r="AI281"/>
          <cell r="AJ281"/>
          <cell r="AK281"/>
          <cell r="AL281"/>
          <cell r="AM281"/>
          <cell r="AN281"/>
          <cell r="AO281"/>
          <cell r="AP281"/>
          <cell r="AQ281"/>
          <cell r="AR281"/>
          <cell r="AS281"/>
          <cell r="AT281"/>
          <cell r="AU281"/>
          <cell r="AV281"/>
          <cell r="AW281"/>
          <cell r="AX281"/>
          <cell r="AY281"/>
          <cell r="AZ281"/>
          <cell r="BA281"/>
          <cell r="BB281"/>
          <cell r="BC281"/>
          <cell r="BD281"/>
          <cell r="BE281"/>
          <cell r="BF281"/>
          <cell r="BG281"/>
          <cell r="BH281"/>
          <cell r="BI281"/>
          <cell r="BJ281"/>
          <cell r="BK281"/>
          <cell r="BL281"/>
          <cell r="BM281"/>
          <cell r="BN281"/>
          <cell r="BO281"/>
          <cell r="BP281"/>
          <cell r="BQ281"/>
          <cell r="BR281"/>
          <cell r="BS281"/>
          <cell r="BT281"/>
          <cell r="BU281"/>
          <cell r="BV281"/>
          <cell r="BW281"/>
          <cell r="BX281"/>
        </row>
        <row r="282">
          <cell r="B282" t="str">
            <v>% Operating profits from Europe</v>
          </cell>
          <cell r="C282" t="str">
            <v>PCT_EURO_OP</v>
          </cell>
          <cell r="F282"/>
          <cell r="G282"/>
          <cell r="H282"/>
          <cell r="I282"/>
          <cell r="J282"/>
          <cell r="K282"/>
          <cell r="L282"/>
          <cell r="M282"/>
          <cell r="N282"/>
          <cell r="O282"/>
          <cell r="P282"/>
          <cell r="Q282"/>
          <cell r="R282"/>
          <cell r="S282"/>
          <cell r="T282"/>
          <cell r="U282"/>
          <cell r="V282"/>
          <cell r="W282"/>
          <cell r="X282"/>
          <cell r="Y282"/>
          <cell r="Z282"/>
          <cell r="AA282"/>
          <cell r="AB282"/>
          <cell r="AC282"/>
          <cell r="AD282"/>
          <cell r="AE282"/>
          <cell r="AF282"/>
          <cell r="AG282"/>
          <cell r="AH282"/>
          <cell r="AI282"/>
          <cell r="AJ282"/>
          <cell r="AK282"/>
          <cell r="AL282"/>
          <cell r="AM282"/>
          <cell r="AN282"/>
          <cell r="AO282"/>
          <cell r="AP282"/>
          <cell r="AQ282"/>
          <cell r="AR282"/>
          <cell r="AS282"/>
          <cell r="AT282"/>
          <cell r="AU282"/>
          <cell r="AV282"/>
          <cell r="AW282"/>
          <cell r="AX282"/>
          <cell r="AY282"/>
          <cell r="AZ282"/>
          <cell r="BA282"/>
          <cell r="BB282"/>
          <cell r="BC282"/>
          <cell r="BD282"/>
          <cell r="BE282"/>
          <cell r="BF282"/>
          <cell r="BG282"/>
          <cell r="BH282"/>
          <cell r="BI282"/>
          <cell r="BJ282"/>
          <cell r="BK282"/>
          <cell r="BL282"/>
          <cell r="BM282"/>
          <cell r="BN282"/>
          <cell r="BO282"/>
          <cell r="BP282"/>
          <cell r="BQ282"/>
          <cell r="BR282"/>
          <cell r="BS282"/>
          <cell r="BT282"/>
          <cell r="BU282"/>
          <cell r="BV282"/>
          <cell r="BW282"/>
          <cell r="BX282"/>
        </row>
        <row r="283">
          <cell r="B283" t="str">
            <v>% Operating profits from North America</v>
          </cell>
          <cell r="C283" t="str">
            <v>PCT_NAM_OP</v>
          </cell>
          <cell r="F283"/>
          <cell r="G283"/>
          <cell r="H283"/>
          <cell r="I283"/>
          <cell r="J283"/>
          <cell r="K283"/>
          <cell r="L283"/>
          <cell r="M283"/>
          <cell r="N283"/>
          <cell r="O283"/>
          <cell r="P283"/>
          <cell r="Q283"/>
          <cell r="R283"/>
          <cell r="S283"/>
          <cell r="T283"/>
          <cell r="U283"/>
          <cell r="V283"/>
          <cell r="W283"/>
          <cell r="X283"/>
          <cell r="Y283"/>
          <cell r="Z283"/>
          <cell r="AA283"/>
          <cell r="AB283"/>
          <cell r="AC283"/>
          <cell r="AD283"/>
          <cell r="AE283"/>
          <cell r="AF283"/>
          <cell r="AG283"/>
          <cell r="AH283"/>
          <cell r="AI283"/>
          <cell r="AJ283"/>
          <cell r="AK283"/>
          <cell r="AL283"/>
          <cell r="AM283"/>
          <cell r="AN283"/>
          <cell r="AO283"/>
          <cell r="AP283"/>
          <cell r="AQ283"/>
          <cell r="AR283"/>
          <cell r="AS283"/>
          <cell r="AT283"/>
          <cell r="AU283"/>
          <cell r="AV283"/>
          <cell r="AW283"/>
          <cell r="AX283"/>
          <cell r="AY283"/>
          <cell r="AZ283"/>
          <cell r="BA283"/>
          <cell r="BB283"/>
          <cell r="BC283"/>
          <cell r="BD283"/>
          <cell r="BE283"/>
          <cell r="BF283"/>
          <cell r="BG283"/>
          <cell r="BH283"/>
          <cell r="BI283"/>
          <cell r="BJ283"/>
          <cell r="BK283"/>
          <cell r="BL283"/>
          <cell r="BM283"/>
          <cell r="BN283"/>
          <cell r="BO283"/>
          <cell r="BP283"/>
          <cell r="BQ283"/>
          <cell r="BR283"/>
          <cell r="BS283"/>
          <cell r="BT283"/>
          <cell r="BU283"/>
          <cell r="BV283"/>
          <cell r="BW283"/>
          <cell r="BX283"/>
        </row>
        <row r="284">
          <cell r="B284" t="str">
            <v>% Operating profits from Latin America</v>
          </cell>
          <cell r="C284" t="str">
            <v>PCT_LATAM_OP</v>
          </cell>
          <cell r="F284"/>
          <cell r="G284"/>
          <cell r="H284"/>
          <cell r="I284"/>
          <cell r="J284"/>
          <cell r="K284"/>
          <cell r="L284"/>
          <cell r="M284"/>
          <cell r="N284"/>
          <cell r="O284"/>
          <cell r="P284"/>
          <cell r="Q284"/>
          <cell r="R284"/>
          <cell r="S284"/>
          <cell r="T284"/>
          <cell r="U284"/>
          <cell r="V284"/>
          <cell r="W284"/>
          <cell r="X284"/>
          <cell r="Y284"/>
          <cell r="Z284"/>
          <cell r="AA284"/>
          <cell r="AB284"/>
          <cell r="AC284"/>
          <cell r="AD284"/>
          <cell r="AE284"/>
          <cell r="AF284"/>
          <cell r="AG284"/>
          <cell r="AH284"/>
          <cell r="AI284"/>
          <cell r="AJ284"/>
          <cell r="AK284"/>
          <cell r="AL284"/>
          <cell r="AM284"/>
          <cell r="AN284"/>
          <cell r="AO284"/>
          <cell r="AP284"/>
          <cell r="AQ284"/>
          <cell r="AR284"/>
          <cell r="AS284"/>
          <cell r="AT284"/>
          <cell r="AU284"/>
          <cell r="AV284"/>
          <cell r="AW284"/>
          <cell r="AX284"/>
          <cell r="AY284"/>
          <cell r="AZ284"/>
          <cell r="BA284"/>
          <cell r="BB284"/>
          <cell r="BC284"/>
          <cell r="BD284"/>
          <cell r="BE284"/>
          <cell r="BF284"/>
          <cell r="BG284"/>
          <cell r="BH284"/>
          <cell r="BI284"/>
          <cell r="BJ284"/>
          <cell r="BK284"/>
          <cell r="BL284"/>
          <cell r="BM284"/>
          <cell r="BN284"/>
          <cell r="BO284"/>
          <cell r="BP284"/>
          <cell r="BQ284"/>
          <cell r="BR284"/>
          <cell r="BS284"/>
          <cell r="BT284"/>
          <cell r="BU284"/>
          <cell r="BV284"/>
          <cell r="BW284"/>
          <cell r="BX284"/>
        </row>
        <row r="285">
          <cell r="B285" t="str">
            <v>% Operating profits from Asia</v>
          </cell>
          <cell r="C285" t="str">
            <v>PCT_ASIA_OP</v>
          </cell>
          <cell r="F285"/>
          <cell r="G285"/>
          <cell r="H285"/>
          <cell r="I285"/>
          <cell r="J285"/>
          <cell r="K285"/>
          <cell r="L285"/>
          <cell r="M285"/>
          <cell r="N285"/>
          <cell r="O285"/>
          <cell r="P285"/>
          <cell r="Q285"/>
          <cell r="R285"/>
          <cell r="S285"/>
          <cell r="T285"/>
          <cell r="U285"/>
          <cell r="V285"/>
          <cell r="W285"/>
          <cell r="X285"/>
          <cell r="Y285"/>
          <cell r="Z285"/>
          <cell r="AA285"/>
          <cell r="AB285"/>
          <cell r="AC285"/>
          <cell r="AD285"/>
          <cell r="AE285"/>
          <cell r="AF285"/>
          <cell r="AG285"/>
          <cell r="AH285"/>
          <cell r="AI285"/>
          <cell r="AJ285"/>
          <cell r="AK285"/>
          <cell r="AL285"/>
          <cell r="AM285"/>
          <cell r="AN285"/>
          <cell r="AO285"/>
          <cell r="AP285"/>
          <cell r="AQ285"/>
          <cell r="AR285"/>
          <cell r="AS285"/>
          <cell r="AT285"/>
          <cell r="AU285"/>
          <cell r="AV285"/>
          <cell r="AW285"/>
          <cell r="AX285"/>
          <cell r="AY285"/>
          <cell r="AZ285"/>
          <cell r="BA285"/>
          <cell r="BB285"/>
          <cell r="BC285"/>
          <cell r="BD285"/>
          <cell r="BE285"/>
          <cell r="BF285"/>
          <cell r="BG285"/>
          <cell r="BH285"/>
          <cell r="BI285"/>
          <cell r="BJ285"/>
          <cell r="BK285"/>
          <cell r="BL285"/>
          <cell r="BM285"/>
          <cell r="BN285"/>
          <cell r="BO285"/>
          <cell r="BP285"/>
          <cell r="BQ285"/>
          <cell r="BR285"/>
          <cell r="BS285"/>
          <cell r="BT285"/>
          <cell r="BU285"/>
          <cell r="BV285"/>
          <cell r="BW285"/>
          <cell r="BX285"/>
        </row>
        <row r="286">
          <cell r="B286" t="str">
            <v>% Operating profits from other Markets</v>
          </cell>
          <cell r="C286" t="str">
            <v>PCT_OTH_OP</v>
          </cell>
          <cell r="F286"/>
          <cell r="G286"/>
          <cell r="H286"/>
          <cell r="I286"/>
          <cell r="J286"/>
          <cell r="K286"/>
          <cell r="L286"/>
          <cell r="M286"/>
          <cell r="N286"/>
          <cell r="O286"/>
          <cell r="P286"/>
          <cell r="Q286"/>
          <cell r="R286"/>
          <cell r="S286"/>
          <cell r="T286"/>
          <cell r="U286"/>
          <cell r="V286"/>
          <cell r="W286"/>
          <cell r="X286"/>
          <cell r="Y286"/>
          <cell r="Z286"/>
          <cell r="AA286"/>
          <cell r="AB286"/>
          <cell r="AC286"/>
          <cell r="AD286"/>
          <cell r="AE286"/>
          <cell r="AF286"/>
          <cell r="AG286"/>
          <cell r="AH286"/>
          <cell r="AI286"/>
          <cell r="AJ286"/>
          <cell r="AK286"/>
          <cell r="AL286"/>
          <cell r="AM286"/>
          <cell r="AN286"/>
          <cell r="AO286"/>
          <cell r="AP286"/>
          <cell r="AQ286"/>
          <cell r="AR286"/>
          <cell r="AS286"/>
          <cell r="AT286"/>
          <cell r="AU286"/>
          <cell r="AV286"/>
          <cell r="AW286"/>
          <cell r="AX286"/>
          <cell r="AY286"/>
          <cell r="AZ286"/>
          <cell r="BA286"/>
          <cell r="BB286"/>
          <cell r="BC286"/>
          <cell r="BD286"/>
          <cell r="BE286"/>
          <cell r="BF286"/>
          <cell r="BG286"/>
          <cell r="BH286"/>
          <cell r="BI286"/>
          <cell r="BJ286"/>
          <cell r="BK286"/>
          <cell r="BL286"/>
          <cell r="BM286"/>
          <cell r="BN286"/>
          <cell r="BO286"/>
          <cell r="BP286"/>
          <cell r="BQ286"/>
          <cell r="BR286"/>
          <cell r="BS286"/>
          <cell r="BT286"/>
          <cell r="BU286"/>
          <cell r="BV286"/>
          <cell r="BW286"/>
          <cell r="BX286"/>
        </row>
        <row r="287">
          <cell r="A287" t="str">
            <v>Assets Breakdown Data</v>
          </cell>
          <cell r="B287"/>
          <cell r="C287"/>
          <cell r="D287"/>
        </row>
        <row r="288">
          <cell r="B288" t="str">
            <v>Assets from domestic market</v>
          </cell>
          <cell r="C288" t="str">
            <v>DOM_ASS</v>
          </cell>
          <cell r="D288" t="str">
            <v>AUD</v>
          </cell>
          <cell r="F288">
            <v>321495.64187563286</v>
          </cell>
          <cell r="G288">
            <v>376667.65461946127</v>
          </cell>
          <cell r="H288">
            <v>441249.76224084693</v>
          </cell>
          <cell r="I288">
            <v>450044.97763525398</v>
          </cell>
          <cell r="J288">
            <v>490616.85235103336</v>
          </cell>
          <cell r="K288">
            <v>545705.3054243204</v>
          </cell>
          <cell r="L288">
            <v>575042.05806991283</v>
          </cell>
          <cell r="M288">
            <v>601712.66944252152</v>
          </cell>
          <cell r="N288">
            <v>737815</v>
          </cell>
          <cell r="O288">
            <v>772092</v>
          </cell>
          <cell r="P288">
            <v>655653.1002950134</v>
          </cell>
          <cell r="Q288">
            <v>860087</v>
          </cell>
          <cell r="R288">
            <v>889900</v>
          </cell>
          <cell r="S288">
            <v>758001.63617939444</v>
          </cell>
          <cell r="T288">
            <v>895278</v>
          </cell>
          <cell r="U288">
            <v>914869</v>
          </cell>
          <cell r="V288">
            <v>808901.43594890006</v>
          </cell>
          <cell r="W288">
            <v>896511</v>
          </cell>
          <cell r="X288">
            <v>897326</v>
          </cell>
          <cell r="Y288">
            <v>812984.63987974857</v>
          </cell>
          <cell r="Z288">
            <v>935670</v>
          </cell>
          <cell r="AA288">
            <v>943156</v>
          </cell>
          <cell r="AB288">
            <v>848640.69354883826</v>
          </cell>
          <cell r="AC288">
            <v>980270</v>
          </cell>
          <cell r="AD288">
            <v>981137</v>
          </cell>
          <cell r="AE288">
            <v>881426.14267137856</v>
          </cell>
          <cell r="AF288">
            <v>1149955</v>
          </cell>
          <cell r="AG288">
            <v>1042286</v>
          </cell>
          <cell r="AH288">
            <v>950613.37690093869</v>
          </cell>
          <cell r="AI288">
            <v>1018339</v>
          </cell>
          <cell r="AJ288">
            <v>978857</v>
          </cell>
          <cell r="AK288">
            <v>881007.49873096449</v>
          </cell>
          <cell r="AL288">
            <v>1017361</v>
          </cell>
          <cell r="AM288">
            <v>1085729</v>
          </cell>
          <cell r="AN288">
            <v>953642.78396140283</v>
          </cell>
          <cell r="AO288">
            <v>1111237</v>
          </cell>
          <cell r="AP288">
            <v>1105643</v>
          </cell>
          <cell r="AQ288">
            <v>981539.9910772579</v>
          </cell>
          <cell r="AR288">
            <v>1089699</v>
          </cell>
          <cell r="AS288">
            <v>1229115</v>
          </cell>
          <cell r="AT288">
            <v>1113962.9735975652</v>
          </cell>
          <cell r="AU288">
            <v>1302609</v>
          </cell>
          <cell r="AV288">
            <v>1297108</v>
          </cell>
          <cell r="AW288">
            <v>1187982.92201174</v>
          </cell>
          <cell r="AX288">
            <v>1324983.0280125786</v>
          </cell>
          <cell r="AY288">
            <v>1345300.0192135966</v>
          </cell>
          <cell r="AZ288">
            <v>1252525.713788368</v>
          </cell>
          <cell r="BA288">
            <v>1365125.3343283383</v>
          </cell>
          <cell r="BB288">
            <v>1390572.264489312</v>
          </cell>
          <cell r="BC288">
            <v>1307224.3433267863</v>
          </cell>
          <cell r="BD288">
            <v>1415488.7703244628</v>
          </cell>
          <cell r="BE288">
            <v>1441167.9276692092</v>
          </cell>
          <cell r="BF288">
            <v>1366750.0225348829</v>
          </cell>
          <cell r="BG288">
            <v>1465335.981954393</v>
          </cell>
          <cell r="BH288">
            <v>1488980.2660714118</v>
          </cell>
          <cell r="BI288">
            <v>1423602.443768535</v>
          </cell>
          <cell r="BJ288">
            <v>1517336.7167464891</v>
          </cell>
          <cell r="BK288">
            <v>1544466.4013097174</v>
          </cell>
          <cell r="BL288">
            <v>1478028.569015407</v>
          </cell>
          <cell r="BM288">
            <v>1574281.3084874519</v>
          </cell>
          <cell r="BN288">
            <v>1603760.9105204483</v>
          </cell>
          <cell r="BO288">
            <v>1535994.5290189858</v>
          </cell>
          <cell r="BP288">
            <v>1633836.4244211994</v>
          </cell>
          <cell r="BQ288">
            <v>1664519.7467195697</v>
          </cell>
          <cell r="BR288">
            <v>1597344.5013249391</v>
          </cell>
          <cell r="BS288">
            <v>1697477.3453486036</v>
          </cell>
          <cell r="BT288">
            <v>1731092.0842797484</v>
          </cell>
          <cell r="BU288">
            <v>1661161.6775536695</v>
          </cell>
          <cell r="BV288">
            <v>1766754.0647598547</v>
          </cell>
          <cell r="BW288">
            <v>1803182.4023416294</v>
          </cell>
          <cell r="BX288">
            <v>1727545.6744267025</v>
          </cell>
        </row>
        <row r="289">
          <cell r="B289" t="str">
            <v>Assets from emerging markets</v>
          </cell>
          <cell r="C289" t="str">
            <v>EMER_ASS</v>
          </cell>
          <cell r="D289" t="str">
            <v>AUD</v>
          </cell>
          <cell r="F289"/>
          <cell r="G289"/>
          <cell r="H289"/>
          <cell r="I289"/>
          <cell r="J289"/>
          <cell r="K289"/>
          <cell r="L289"/>
          <cell r="M289"/>
          <cell r="N289"/>
          <cell r="O289"/>
          <cell r="P289"/>
          <cell r="Q289"/>
          <cell r="R289"/>
          <cell r="S289"/>
          <cell r="T289"/>
          <cell r="U289"/>
          <cell r="V289"/>
          <cell r="W289"/>
          <cell r="X289"/>
          <cell r="Y289"/>
          <cell r="Z289"/>
          <cell r="AA289"/>
          <cell r="AB289"/>
          <cell r="AC289"/>
          <cell r="AD289"/>
          <cell r="AE289"/>
          <cell r="AF289"/>
          <cell r="AG289"/>
          <cell r="AH289"/>
          <cell r="AI289"/>
          <cell r="AJ289"/>
          <cell r="AK289"/>
          <cell r="AL289"/>
          <cell r="AM289"/>
          <cell r="AN289"/>
          <cell r="AO289"/>
          <cell r="AP289"/>
          <cell r="AQ289"/>
          <cell r="AR289"/>
          <cell r="AS289"/>
          <cell r="AT289"/>
          <cell r="AU289"/>
          <cell r="AV289"/>
          <cell r="AW289"/>
          <cell r="AX289"/>
          <cell r="AY289"/>
          <cell r="AZ289"/>
          <cell r="BA289"/>
          <cell r="BB289"/>
          <cell r="BC289"/>
          <cell r="BD289"/>
          <cell r="BE289"/>
          <cell r="BF289"/>
          <cell r="BG289"/>
          <cell r="BH289"/>
          <cell r="BI289"/>
          <cell r="BJ289"/>
          <cell r="BK289"/>
          <cell r="BL289"/>
          <cell r="BM289"/>
          <cell r="BN289"/>
          <cell r="BO289"/>
          <cell r="BP289"/>
          <cell r="BQ289"/>
          <cell r="BR289"/>
          <cell r="BS289"/>
          <cell r="BT289"/>
          <cell r="BU289"/>
          <cell r="BV289"/>
          <cell r="BW289"/>
          <cell r="BX289"/>
        </row>
        <row r="290">
          <cell r="B290" t="str">
            <v>Assets from Europe</v>
          </cell>
          <cell r="C290" t="str">
            <v>EUR_ASS</v>
          </cell>
          <cell r="D290" t="str">
            <v>AUD</v>
          </cell>
          <cell r="F290"/>
          <cell r="G290"/>
          <cell r="H290"/>
          <cell r="I290"/>
          <cell r="J290"/>
          <cell r="K290"/>
          <cell r="L290"/>
          <cell r="M290"/>
          <cell r="N290"/>
          <cell r="O290"/>
          <cell r="P290"/>
          <cell r="Q290"/>
          <cell r="R290"/>
          <cell r="S290"/>
          <cell r="T290"/>
          <cell r="U290"/>
          <cell r="V290"/>
          <cell r="W290"/>
          <cell r="X290"/>
          <cell r="Y290"/>
          <cell r="Z290"/>
          <cell r="AA290"/>
          <cell r="AB290"/>
          <cell r="AC290"/>
          <cell r="AD290"/>
          <cell r="AE290"/>
          <cell r="AF290"/>
          <cell r="AG290"/>
          <cell r="AH290"/>
          <cell r="AI290"/>
          <cell r="AJ290"/>
          <cell r="AK290"/>
          <cell r="AL290"/>
          <cell r="AM290"/>
          <cell r="AN290"/>
          <cell r="AO290"/>
          <cell r="AP290"/>
          <cell r="AQ290"/>
          <cell r="AR290"/>
          <cell r="AS290"/>
          <cell r="AT290"/>
          <cell r="AU290"/>
          <cell r="AV290"/>
          <cell r="AW290"/>
          <cell r="AX290"/>
          <cell r="AY290"/>
          <cell r="AZ290"/>
          <cell r="BA290"/>
          <cell r="BB290"/>
          <cell r="BC290"/>
          <cell r="BD290"/>
          <cell r="BE290"/>
          <cell r="BF290"/>
          <cell r="BG290"/>
          <cell r="BH290"/>
          <cell r="BI290"/>
          <cell r="BJ290"/>
          <cell r="BK290"/>
          <cell r="BL290"/>
          <cell r="BM290"/>
          <cell r="BN290"/>
          <cell r="BO290"/>
          <cell r="BP290"/>
          <cell r="BQ290"/>
          <cell r="BR290"/>
          <cell r="BS290"/>
          <cell r="BT290"/>
          <cell r="BU290"/>
          <cell r="BV290"/>
          <cell r="BW290"/>
          <cell r="BX290"/>
        </row>
        <row r="291">
          <cell r="B291" t="str">
            <v>Assets from North America</v>
          </cell>
          <cell r="C291" t="str">
            <v>NAM_ASS</v>
          </cell>
          <cell r="D291" t="str">
            <v>AUD</v>
          </cell>
          <cell r="F291"/>
          <cell r="G291"/>
          <cell r="H291"/>
          <cell r="I291"/>
          <cell r="J291"/>
          <cell r="K291"/>
          <cell r="L291"/>
          <cell r="M291"/>
          <cell r="N291"/>
          <cell r="O291"/>
          <cell r="P291"/>
          <cell r="Q291"/>
          <cell r="R291"/>
          <cell r="S291"/>
          <cell r="T291"/>
          <cell r="U291"/>
          <cell r="V291"/>
          <cell r="W291"/>
          <cell r="X291"/>
          <cell r="Y291"/>
          <cell r="Z291"/>
          <cell r="AA291"/>
          <cell r="AB291"/>
          <cell r="AC291"/>
          <cell r="AD291"/>
          <cell r="AE291"/>
          <cell r="AF291"/>
          <cell r="AG291"/>
          <cell r="AH291"/>
          <cell r="AI291"/>
          <cell r="AJ291"/>
          <cell r="AK291"/>
          <cell r="AL291"/>
          <cell r="AM291"/>
          <cell r="AN291"/>
          <cell r="AO291"/>
          <cell r="AP291"/>
          <cell r="AQ291"/>
          <cell r="AR291"/>
          <cell r="AS291"/>
          <cell r="AT291"/>
          <cell r="AU291"/>
          <cell r="AV291"/>
          <cell r="AW291"/>
          <cell r="AX291"/>
          <cell r="AY291"/>
          <cell r="AZ291"/>
          <cell r="BA291"/>
          <cell r="BB291"/>
          <cell r="BC291"/>
          <cell r="BD291"/>
          <cell r="BE291"/>
          <cell r="BF291"/>
          <cell r="BG291"/>
          <cell r="BH291"/>
          <cell r="BI291"/>
          <cell r="BJ291"/>
          <cell r="BK291"/>
          <cell r="BL291"/>
          <cell r="BM291"/>
          <cell r="BN291"/>
          <cell r="BO291"/>
          <cell r="BP291"/>
          <cell r="BQ291"/>
          <cell r="BR291"/>
          <cell r="BS291"/>
          <cell r="BT291"/>
          <cell r="BU291"/>
          <cell r="BV291"/>
          <cell r="BW291"/>
          <cell r="BX291"/>
        </row>
        <row r="292">
          <cell r="B292" t="str">
            <v>Assets from Latin America</v>
          </cell>
          <cell r="C292" t="str">
            <v>LATAM_ASS</v>
          </cell>
          <cell r="D292" t="str">
            <v>AUD</v>
          </cell>
          <cell r="F292"/>
          <cell r="G292"/>
          <cell r="H292"/>
          <cell r="I292"/>
          <cell r="J292"/>
          <cell r="K292"/>
          <cell r="L292"/>
          <cell r="M292"/>
          <cell r="N292"/>
          <cell r="O292"/>
          <cell r="P292"/>
          <cell r="Q292"/>
          <cell r="R292"/>
          <cell r="S292"/>
          <cell r="T292"/>
          <cell r="U292"/>
          <cell r="V292"/>
          <cell r="W292"/>
          <cell r="X292"/>
          <cell r="Y292"/>
          <cell r="Z292"/>
          <cell r="AA292"/>
          <cell r="AB292"/>
          <cell r="AC292"/>
          <cell r="AD292"/>
          <cell r="AE292"/>
          <cell r="AF292"/>
          <cell r="AG292"/>
          <cell r="AH292"/>
          <cell r="AI292"/>
          <cell r="AJ292"/>
          <cell r="AK292"/>
          <cell r="AL292"/>
          <cell r="AM292"/>
          <cell r="AN292"/>
          <cell r="AO292"/>
          <cell r="AP292"/>
          <cell r="AQ292"/>
          <cell r="AR292"/>
          <cell r="AS292"/>
          <cell r="AT292"/>
          <cell r="AU292"/>
          <cell r="AV292"/>
          <cell r="AW292"/>
          <cell r="AX292"/>
          <cell r="AY292"/>
          <cell r="AZ292"/>
          <cell r="BA292"/>
          <cell r="BB292"/>
          <cell r="BC292"/>
          <cell r="BD292"/>
          <cell r="BE292"/>
          <cell r="BF292"/>
          <cell r="BG292"/>
          <cell r="BH292"/>
          <cell r="BI292"/>
          <cell r="BJ292"/>
          <cell r="BK292"/>
          <cell r="BL292"/>
          <cell r="BM292"/>
          <cell r="BN292"/>
          <cell r="BO292"/>
          <cell r="BP292"/>
          <cell r="BQ292"/>
          <cell r="BR292"/>
          <cell r="BS292"/>
          <cell r="BT292"/>
          <cell r="BU292"/>
          <cell r="BV292"/>
          <cell r="BW292"/>
          <cell r="BX292"/>
        </row>
        <row r="293">
          <cell r="B293" t="str">
            <v>Assets from Asia</v>
          </cell>
          <cell r="C293" t="str">
            <v>ASIA_ASS</v>
          </cell>
          <cell r="D293" t="str">
            <v>AUD</v>
          </cell>
          <cell r="F293">
            <v>13144.358124367134</v>
          </cell>
          <cell r="G293">
            <v>16105.345380538711</v>
          </cell>
          <cell r="H293">
            <v>29043.237759153064</v>
          </cell>
          <cell r="I293">
            <v>26942.022364746044</v>
          </cell>
          <cell r="J293">
            <v>41086.147648966638</v>
          </cell>
          <cell r="K293">
            <v>58507.694575679561</v>
          </cell>
          <cell r="L293">
            <v>67084.941930087167</v>
          </cell>
          <cell r="M293">
            <v>101282.33055747848</v>
          </cell>
          <cell r="N293">
            <v>110119.21279523715</v>
          </cell>
          <cell r="O293">
            <v>116438.89970498662</v>
          </cell>
          <cell r="P293">
            <v>116438.89970498662</v>
          </cell>
          <cell r="Q293">
            <v>135074.86908837882</v>
          </cell>
          <cell r="R293">
            <v>131898.36382060553</v>
          </cell>
          <cell r="S293">
            <v>131898.36382060553</v>
          </cell>
          <cell r="T293">
            <v>110287.26066822385</v>
          </cell>
          <cell r="U293">
            <v>105967.56405109994</v>
          </cell>
          <cell r="V293">
            <v>105967.56405109994</v>
          </cell>
          <cell r="W293">
            <v>94740.158248030508</v>
          </cell>
          <cell r="X293">
            <v>84341.360120251469</v>
          </cell>
          <cell r="Y293">
            <v>84341.360120251469</v>
          </cell>
          <cell r="Z293">
            <v>87251.130384795746</v>
          </cell>
          <cell r="AA293">
            <v>94515.306451161785</v>
          </cell>
          <cell r="AB293">
            <v>94515.306451161785</v>
          </cell>
          <cell r="AC293">
            <v>100886.75820887735</v>
          </cell>
          <cell r="AD293">
            <v>99710.857328621452</v>
          </cell>
          <cell r="AE293">
            <v>99710.857328621452</v>
          </cell>
          <cell r="AF293">
            <v>139004.45937458856</v>
          </cell>
          <cell r="AG293">
            <v>91672.623099061282</v>
          </cell>
          <cell r="AH293">
            <v>91672.623099061282</v>
          </cell>
          <cell r="AI293">
            <v>89000.877877759573</v>
          </cell>
          <cell r="AJ293">
            <v>97849.501269035536</v>
          </cell>
          <cell r="AK293">
            <v>97849.501269035536</v>
          </cell>
          <cell r="AL293">
            <v>112320.35812028937</v>
          </cell>
          <cell r="AM293">
            <v>132086.21603859714</v>
          </cell>
          <cell r="AN293">
            <v>132086.21603859714</v>
          </cell>
          <cell r="AO293">
            <v>126634.25351393274</v>
          </cell>
          <cell r="AP293">
            <v>124103.00892274211</v>
          </cell>
          <cell r="AQ293">
            <v>124103.00892274211</v>
          </cell>
          <cell r="AR293">
            <v>113104.44260054339</v>
          </cell>
          <cell r="AS293">
            <v>115152.02640243484</v>
          </cell>
          <cell r="AT293">
            <v>115152.02640243484</v>
          </cell>
          <cell r="AU293">
            <v>127789.44124811635</v>
          </cell>
          <cell r="AV293">
            <v>109125.07798825999</v>
          </cell>
          <cell r="AW293">
            <v>109125.07798825999</v>
          </cell>
          <cell r="AX293">
            <v>97157.4644259013</v>
          </cell>
          <cell r="AY293">
            <v>92774.305425228609</v>
          </cell>
          <cell r="AZ293">
            <v>92774.305425228609</v>
          </cell>
          <cell r="BA293">
            <v>88279.331297391283</v>
          </cell>
          <cell r="BB293">
            <v>83347.921162525745</v>
          </cell>
          <cell r="BC293">
            <v>83347.921162525745</v>
          </cell>
          <cell r="BD293">
            <v>78735.409226604199</v>
          </cell>
          <cell r="BE293">
            <v>74417.905134326327</v>
          </cell>
          <cell r="BF293">
            <v>74417.905134326327</v>
          </cell>
          <cell r="BG293">
            <v>69935.021640424544</v>
          </cell>
          <cell r="BH293">
            <v>65377.822302876724</v>
          </cell>
          <cell r="BI293">
            <v>65377.822302876724</v>
          </cell>
          <cell r="BJ293">
            <v>65873.674877225814</v>
          </cell>
          <cell r="BK293">
            <v>66437.832294310385</v>
          </cell>
          <cell r="BL293">
            <v>66437.832294310385</v>
          </cell>
          <cell r="BM293">
            <v>68066.630763461202</v>
          </cell>
          <cell r="BN293">
            <v>67766.381501462587</v>
          </cell>
          <cell r="BO293">
            <v>67766.381501462587</v>
          </cell>
          <cell r="BP293">
            <v>67469.236841446691</v>
          </cell>
          <cell r="BQ293">
            <v>67175.245394630561</v>
          </cell>
          <cell r="BR293">
            <v>67175.245394630561</v>
          </cell>
          <cell r="BS293">
            <v>68538.789825583939</v>
          </cell>
          <cell r="BT293">
            <v>69930.406726078843</v>
          </cell>
          <cell r="BU293">
            <v>69930.406726078843</v>
          </cell>
          <cell r="BV293">
            <v>72727.622995121987</v>
          </cell>
          <cell r="BW293">
            <v>75636.727914926887</v>
          </cell>
          <cell r="BX293">
            <v>75636.727914926887</v>
          </cell>
        </row>
        <row r="294">
          <cell r="B294" t="str">
            <v>Assets from other markets</v>
          </cell>
          <cell r="C294" t="str">
            <v>OTH_ASS</v>
          </cell>
          <cell r="D294" t="str">
            <v>AUD</v>
          </cell>
          <cell r="F294"/>
          <cell r="G294"/>
          <cell r="H294"/>
          <cell r="I294"/>
          <cell r="J294"/>
          <cell r="K294"/>
          <cell r="L294"/>
          <cell r="M294"/>
          <cell r="N294"/>
          <cell r="O294"/>
          <cell r="P294"/>
          <cell r="Q294"/>
          <cell r="R294"/>
          <cell r="S294"/>
          <cell r="T294"/>
          <cell r="U294"/>
          <cell r="V294"/>
          <cell r="W294"/>
          <cell r="X294"/>
          <cell r="Y294"/>
          <cell r="Z294"/>
          <cell r="AA294"/>
          <cell r="AB294"/>
          <cell r="AC294"/>
          <cell r="AD294"/>
          <cell r="AE294"/>
          <cell r="AF294"/>
          <cell r="AG294"/>
          <cell r="AH294"/>
          <cell r="AI294"/>
          <cell r="AJ294"/>
          <cell r="AK294"/>
          <cell r="AL294"/>
          <cell r="AM294"/>
          <cell r="AN294"/>
          <cell r="AO294"/>
          <cell r="AP294"/>
          <cell r="AQ294"/>
          <cell r="AR294"/>
          <cell r="AS294"/>
          <cell r="AT294"/>
          <cell r="AU294"/>
          <cell r="AV294"/>
          <cell r="AW294"/>
          <cell r="AX294"/>
          <cell r="AY294"/>
          <cell r="AZ294"/>
          <cell r="BA294"/>
          <cell r="BB294"/>
          <cell r="BC294"/>
          <cell r="BD294"/>
          <cell r="BE294"/>
          <cell r="BF294"/>
          <cell r="BG294"/>
          <cell r="BH294"/>
          <cell r="BI294"/>
          <cell r="BJ294"/>
          <cell r="BK294"/>
          <cell r="BL294"/>
          <cell r="BM294"/>
          <cell r="BN294"/>
          <cell r="BO294"/>
          <cell r="BP294"/>
          <cell r="BQ294"/>
          <cell r="BR294"/>
          <cell r="BS294"/>
          <cell r="BT294"/>
          <cell r="BU294"/>
          <cell r="BV294"/>
          <cell r="BW294"/>
          <cell r="BX294"/>
        </row>
        <row r="295">
          <cell r="B295" t="str">
            <v>Total assets</v>
          </cell>
          <cell r="C295" t="str">
            <v>TOT_ASS</v>
          </cell>
          <cell r="D295" t="str">
            <v>AUD</v>
          </cell>
          <cell r="F295">
            <v>334640</v>
          </cell>
          <cell r="G295">
            <v>392773</v>
          </cell>
          <cell r="H295">
            <v>470293</v>
          </cell>
          <cell r="I295">
            <v>476987</v>
          </cell>
          <cell r="J295">
            <v>531703</v>
          </cell>
          <cell r="K295">
            <v>604213</v>
          </cell>
          <cell r="L295">
            <v>642127</v>
          </cell>
          <cell r="M295">
            <v>702995</v>
          </cell>
          <cell r="N295">
            <v>737815</v>
          </cell>
          <cell r="O295">
            <v>772092</v>
          </cell>
          <cell r="P295">
            <v>772092</v>
          </cell>
          <cell r="Q295">
            <v>860087</v>
          </cell>
          <cell r="R295">
            <v>889900</v>
          </cell>
          <cell r="S295">
            <v>889900</v>
          </cell>
          <cell r="T295">
            <v>895278</v>
          </cell>
          <cell r="U295">
            <v>914869</v>
          </cell>
          <cell r="V295">
            <v>914869</v>
          </cell>
          <cell r="W295">
            <v>896511</v>
          </cell>
          <cell r="X295">
            <v>897326</v>
          </cell>
          <cell r="Y295">
            <v>897326</v>
          </cell>
          <cell r="Z295">
            <v>935670</v>
          </cell>
          <cell r="AA295">
            <v>943156</v>
          </cell>
          <cell r="AB295">
            <v>943156</v>
          </cell>
          <cell r="AC295">
            <v>980270</v>
          </cell>
          <cell r="AD295">
            <v>981137</v>
          </cell>
          <cell r="AE295">
            <v>981137</v>
          </cell>
          <cell r="AF295">
            <v>1149955</v>
          </cell>
          <cell r="AG295">
            <v>1042286</v>
          </cell>
          <cell r="AH295">
            <v>1042286</v>
          </cell>
          <cell r="AI295">
            <v>1018339</v>
          </cell>
          <cell r="AJ295">
            <v>978857</v>
          </cell>
          <cell r="AK295">
            <v>978857</v>
          </cell>
          <cell r="AL295">
            <v>1017361</v>
          </cell>
          <cell r="AM295">
            <v>1085729</v>
          </cell>
          <cell r="AN295">
            <v>1085729</v>
          </cell>
          <cell r="AO295">
            <v>1111237</v>
          </cell>
          <cell r="AP295">
            <v>1105643</v>
          </cell>
          <cell r="AQ295">
            <v>1105643</v>
          </cell>
          <cell r="AR295">
            <v>1089699</v>
          </cell>
          <cell r="AS295">
            <v>1229115</v>
          </cell>
          <cell r="AT295">
            <v>1229115</v>
          </cell>
          <cell r="AU295">
            <v>1302609</v>
          </cell>
          <cell r="AV295">
            <v>1297108</v>
          </cell>
          <cell r="AW295">
            <v>1297108</v>
          </cell>
          <cell r="AX295">
            <v>1324983.0280125786</v>
          </cell>
          <cell r="AY295">
            <v>1345300.0192135966</v>
          </cell>
          <cell r="AZ295">
            <v>1345300.0192135966</v>
          </cell>
          <cell r="BA295">
            <v>1365125.3343283383</v>
          </cell>
          <cell r="BB295">
            <v>1390572.264489312</v>
          </cell>
          <cell r="BC295">
            <v>1390572.264489312</v>
          </cell>
          <cell r="BD295">
            <v>1415488.7703244628</v>
          </cell>
          <cell r="BE295">
            <v>1441167.9276692092</v>
          </cell>
          <cell r="BF295">
            <v>1441167.9276692092</v>
          </cell>
          <cell r="BG295">
            <v>1465335.981954393</v>
          </cell>
          <cell r="BH295">
            <v>1488980.2660714118</v>
          </cell>
          <cell r="BI295">
            <v>1488980.2660714118</v>
          </cell>
          <cell r="BJ295">
            <v>1517336.7167464891</v>
          </cell>
          <cell r="BK295">
            <v>1544466.4013097174</v>
          </cell>
          <cell r="BL295">
            <v>1544466.4013097174</v>
          </cell>
          <cell r="BM295">
            <v>1574281.3084874519</v>
          </cell>
          <cell r="BN295">
            <v>1603760.9105204483</v>
          </cell>
          <cell r="BO295">
            <v>1603760.9105204483</v>
          </cell>
          <cell r="BP295">
            <v>1633836.4244211994</v>
          </cell>
          <cell r="BQ295">
            <v>1664519.7467195697</v>
          </cell>
          <cell r="BR295">
            <v>1664519.7467195697</v>
          </cell>
          <cell r="BS295">
            <v>1697477.3453486036</v>
          </cell>
          <cell r="BT295">
            <v>1731092.0842797484</v>
          </cell>
          <cell r="BU295">
            <v>1731092.0842797484</v>
          </cell>
          <cell r="BV295">
            <v>1766754.0647598547</v>
          </cell>
          <cell r="BW295">
            <v>1803182.4023416294</v>
          </cell>
          <cell r="BX295">
            <v>1803182.4023416294</v>
          </cell>
        </row>
        <row r="296">
          <cell r="B296" t="str">
            <v>% Assets from Domestic markets</v>
          </cell>
          <cell r="C296" t="str">
            <v>PCT_DOM_ASS</v>
          </cell>
          <cell r="F296"/>
          <cell r="G296"/>
          <cell r="H296"/>
          <cell r="I296"/>
          <cell r="J296"/>
          <cell r="K296"/>
          <cell r="L296"/>
          <cell r="M296"/>
          <cell r="N296"/>
          <cell r="O296"/>
          <cell r="P296"/>
          <cell r="Q296"/>
          <cell r="R296"/>
          <cell r="S296"/>
          <cell r="T296"/>
          <cell r="U296"/>
          <cell r="V296"/>
          <cell r="W296"/>
          <cell r="X296"/>
          <cell r="Y296"/>
          <cell r="Z296"/>
          <cell r="AA296"/>
          <cell r="AB296"/>
          <cell r="AC296"/>
          <cell r="AD296"/>
          <cell r="AE296"/>
          <cell r="AF296"/>
          <cell r="AG296"/>
          <cell r="AH296"/>
          <cell r="AI296"/>
          <cell r="AJ296"/>
          <cell r="AK296"/>
          <cell r="AL296"/>
          <cell r="AM296"/>
          <cell r="AN296"/>
          <cell r="AO296"/>
          <cell r="AP296"/>
          <cell r="AQ296"/>
          <cell r="AR296"/>
          <cell r="AS296"/>
          <cell r="AT296"/>
          <cell r="AU296"/>
          <cell r="AV296"/>
          <cell r="AW296"/>
          <cell r="AX296"/>
          <cell r="AY296"/>
          <cell r="AZ296"/>
          <cell r="BA296"/>
          <cell r="BB296"/>
          <cell r="BC296"/>
          <cell r="BD296"/>
          <cell r="BE296"/>
          <cell r="BF296"/>
          <cell r="BG296"/>
          <cell r="BH296"/>
          <cell r="BI296"/>
          <cell r="BJ296"/>
          <cell r="BK296"/>
          <cell r="BL296"/>
          <cell r="BM296"/>
          <cell r="BN296"/>
          <cell r="BO296"/>
          <cell r="BP296"/>
          <cell r="BQ296"/>
          <cell r="BR296"/>
          <cell r="BS296"/>
          <cell r="BT296"/>
          <cell r="BU296"/>
          <cell r="BV296"/>
          <cell r="BW296"/>
          <cell r="BX296"/>
        </row>
        <row r="297">
          <cell r="B297" t="str">
            <v>% Assets from Emerging markets</v>
          </cell>
          <cell r="C297" t="str">
            <v>PCT_EMER_ASS</v>
          </cell>
          <cell r="F297"/>
          <cell r="G297"/>
          <cell r="H297"/>
          <cell r="I297"/>
          <cell r="J297"/>
          <cell r="K297"/>
          <cell r="L297"/>
          <cell r="M297"/>
          <cell r="N297"/>
          <cell r="O297"/>
          <cell r="P297"/>
          <cell r="Q297"/>
          <cell r="R297"/>
          <cell r="S297"/>
          <cell r="T297"/>
          <cell r="U297"/>
          <cell r="V297"/>
          <cell r="W297"/>
          <cell r="X297"/>
          <cell r="Y297"/>
          <cell r="Z297"/>
          <cell r="AA297"/>
          <cell r="AB297"/>
          <cell r="AC297"/>
          <cell r="AD297"/>
          <cell r="AE297"/>
          <cell r="AF297"/>
          <cell r="AG297"/>
          <cell r="AH297"/>
          <cell r="AI297"/>
          <cell r="AJ297"/>
          <cell r="AK297"/>
          <cell r="AL297"/>
          <cell r="AM297"/>
          <cell r="AN297"/>
          <cell r="AO297"/>
          <cell r="AP297"/>
          <cell r="AQ297"/>
          <cell r="AR297"/>
          <cell r="AS297"/>
          <cell r="AT297"/>
          <cell r="AU297"/>
          <cell r="AV297"/>
          <cell r="AW297"/>
          <cell r="AX297"/>
          <cell r="AY297"/>
          <cell r="AZ297"/>
          <cell r="BA297"/>
          <cell r="BB297"/>
          <cell r="BC297"/>
          <cell r="BD297"/>
          <cell r="BE297"/>
          <cell r="BF297"/>
          <cell r="BG297"/>
          <cell r="BH297"/>
          <cell r="BI297"/>
          <cell r="BJ297"/>
          <cell r="BK297"/>
          <cell r="BL297"/>
          <cell r="BM297"/>
          <cell r="BN297"/>
          <cell r="BO297"/>
          <cell r="BP297"/>
          <cell r="BQ297"/>
          <cell r="BR297"/>
          <cell r="BS297"/>
          <cell r="BT297"/>
          <cell r="BU297"/>
          <cell r="BV297"/>
          <cell r="BW297"/>
          <cell r="BX297"/>
        </row>
        <row r="298">
          <cell r="B298" t="str">
            <v>% Assets from Europe</v>
          </cell>
          <cell r="C298" t="str">
            <v>PCT_EURO_ASS</v>
          </cell>
          <cell r="F298"/>
          <cell r="G298"/>
          <cell r="H298"/>
          <cell r="I298"/>
          <cell r="J298"/>
          <cell r="K298"/>
          <cell r="L298"/>
          <cell r="M298"/>
          <cell r="N298"/>
          <cell r="O298"/>
          <cell r="P298"/>
          <cell r="Q298"/>
          <cell r="R298"/>
          <cell r="S298"/>
          <cell r="T298"/>
          <cell r="U298"/>
          <cell r="V298"/>
          <cell r="W298"/>
          <cell r="X298"/>
          <cell r="Y298"/>
          <cell r="Z298"/>
          <cell r="AA298"/>
          <cell r="AB298"/>
          <cell r="AC298"/>
          <cell r="AD298"/>
          <cell r="AE298"/>
          <cell r="AF298"/>
          <cell r="AG298"/>
          <cell r="AH298"/>
          <cell r="AI298"/>
          <cell r="AJ298"/>
          <cell r="AK298"/>
          <cell r="AL298"/>
          <cell r="AM298"/>
          <cell r="AN298"/>
          <cell r="AO298"/>
          <cell r="AP298"/>
          <cell r="AQ298"/>
          <cell r="AR298"/>
          <cell r="AS298"/>
          <cell r="AT298"/>
          <cell r="AU298"/>
          <cell r="AV298"/>
          <cell r="AW298"/>
          <cell r="AX298"/>
          <cell r="AY298"/>
          <cell r="AZ298"/>
          <cell r="BA298"/>
          <cell r="BB298"/>
          <cell r="BC298"/>
          <cell r="BD298"/>
          <cell r="BE298"/>
          <cell r="BF298"/>
          <cell r="BG298"/>
          <cell r="BH298"/>
          <cell r="BI298"/>
          <cell r="BJ298"/>
          <cell r="BK298"/>
          <cell r="BL298"/>
          <cell r="BM298"/>
          <cell r="BN298"/>
          <cell r="BO298"/>
          <cell r="BP298"/>
          <cell r="BQ298"/>
          <cell r="BR298"/>
          <cell r="BS298"/>
          <cell r="BT298"/>
          <cell r="BU298"/>
          <cell r="BV298"/>
          <cell r="BW298"/>
          <cell r="BX298"/>
        </row>
        <row r="299">
          <cell r="B299" t="str">
            <v>% Assets from North America</v>
          </cell>
          <cell r="C299" t="str">
            <v>PCT_NAM_ASS</v>
          </cell>
          <cell r="F299"/>
          <cell r="G299"/>
          <cell r="H299"/>
          <cell r="I299"/>
          <cell r="J299"/>
          <cell r="K299"/>
          <cell r="L299"/>
          <cell r="M299"/>
          <cell r="N299"/>
          <cell r="O299"/>
          <cell r="P299"/>
          <cell r="Q299"/>
          <cell r="R299"/>
          <cell r="S299"/>
          <cell r="T299"/>
          <cell r="U299"/>
          <cell r="V299"/>
          <cell r="W299"/>
          <cell r="X299"/>
          <cell r="Y299"/>
          <cell r="Z299"/>
          <cell r="AA299"/>
          <cell r="AB299"/>
          <cell r="AC299"/>
          <cell r="AD299"/>
          <cell r="AE299"/>
          <cell r="AF299"/>
          <cell r="AG299"/>
          <cell r="AH299"/>
          <cell r="AI299"/>
          <cell r="AJ299"/>
          <cell r="AK299"/>
          <cell r="AL299"/>
          <cell r="AM299"/>
          <cell r="AN299"/>
          <cell r="AO299"/>
          <cell r="AP299"/>
          <cell r="AQ299"/>
          <cell r="AR299"/>
          <cell r="AS299"/>
          <cell r="AT299"/>
          <cell r="AU299"/>
          <cell r="AV299"/>
          <cell r="AW299"/>
          <cell r="AX299"/>
          <cell r="AY299"/>
          <cell r="AZ299"/>
          <cell r="BA299"/>
          <cell r="BB299"/>
          <cell r="BC299"/>
          <cell r="BD299"/>
          <cell r="BE299"/>
          <cell r="BF299"/>
          <cell r="BG299"/>
          <cell r="BH299"/>
          <cell r="BI299"/>
          <cell r="BJ299"/>
          <cell r="BK299"/>
          <cell r="BL299"/>
          <cell r="BM299"/>
          <cell r="BN299"/>
          <cell r="BO299"/>
          <cell r="BP299"/>
          <cell r="BQ299"/>
          <cell r="BR299"/>
          <cell r="BS299"/>
          <cell r="BT299"/>
          <cell r="BU299"/>
          <cell r="BV299"/>
          <cell r="BW299"/>
          <cell r="BX299"/>
        </row>
        <row r="300">
          <cell r="B300" t="str">
            <v>% Assets from Latin America</v>
          </cell>
          <cell r="C300" t="str">
            <v>PCT_LATAM_ASS</v>
          </cell>
          <cell r="F300"/>
          <cell r="G300"/>
          <cell r="H300"/>
          <cell r="I300"/>
          <cell r="J300"/>
          <cell r="K300"/>
          <cell r="L300"/>
          <cell r="M300"/>
          <cell r="N300"/>
          <cell r="O300"/>
          <cell r="P300"/>
          <cell r="Q300"/>
          <cell r="R300"/>
          <cell r="S300"/>
          <cell r="T300"/>
          <cell r="U300"/>
          <cell r="V300"/>
          <cell r="W300"/>
          <cell r="X300"/>
          <cell r="Y300"/>
          <cell r="Z300"/>
          <cell r="AA300"/>
          <cell r="AB300"/>
          <cell r="AC300"/>
          <cell r="AD300"/>
          <cell r="AE300"/>
          <cell r="AF300"/>
          <cell r="AG300"/>
          <cell r="AH300"/>
          <cell r="AI300"/>
          <cell r="AJ300"/>
          <cell r="AK300"/>
          <cell r="AL300"/>
          <cell r="AM300"/>
          <cell r="AN300"/>
          <cell r="AO300"/>
          <cell r="AP300"/>
          <cell r="AQ300"/>
          <cell r="AR300"/>
          <cell r="AS300"/>
          <cell r="AT300"/>
          <cell r="AU300"/>
          <cell r="AV300"/>
          <cell r="AW300"/>
          <cell r="AX300"/>
          <cell r="AY300"/>
          <cell r="AZ300"/>
          <cell r="BA300"/>
          <cell r="BB300"/>
          <cell r="BC300"/>
          <cell r="BD300"/>
          <cell r="BE300"/>
          <cell r="BF300"/>
          <cell r="BG300"/>
          <cell r="BH300"/>
          <cell r="BI300"/>
          <cell r="BJ300"/>
          <cell r="BK300"/>
          <cell r="BL300"/>
          <cell r="BM300"/>
          <cell r="BN300"/>
          <cell r="BO300"/>
          <cell r="BP300"/>
          <cell r="BQ300"/>
          <cell r="BR300"/>
          <cell r="BS300"/>
          <cell r="BT300"/>
          <cell r="BU300"/>
          <cell r="BV300"/>
          <cell r="BW300"/>
          <cell r="BX300"/>
        </row>
        <row r="301">
          <cell r="B301" t="str">
            <v>% Assets from Asia</v>
          </cell>
          <cell r="C301" t="str">
            <v>PCT_ASIA_ASS</v>
          </cell>
          <cell r="F301"/>
          <cell r="G301"/>
          <cell r="H301"/>
          <cell r="I301"/>
          <cell r="J301"/>
          <cell r="K301"/>
          <cell r="L301"/>
          <cell r="M301"/>
          <cell r="N301"/>
          <cell r="O301"/>
          <cell r="P301"/>
          <cell r="Q301"/>
          <cell r="R301"/>
          <cell r="S301"/>
          <cell r="T301"/>
          <cell r="U301"/>
          <cell r="V301"/>
          <cell r="W301"/>
          <cell r="X301"/>
          <cell r="Y301"/>
          <cell r="Z301"/>
          <cell r="AA301"/>
          <cell r="AB301"/>
          <cell r="AC301"/>
          <cell r="AD301"/>
          <cell r="AE301"/>
          <cell r="AF301"/>
          <cell r="AG301"/>
          <cell r="AH301"/>
          <cell r="AI301"/>
          <cell r="AJ301"/>
          <cell r="AK301"/>
          <cell r="AL301"/>
          <cell r="AM301"/>
          <cell r="AN301"/>
          <cell r="AO301"/>
          <cell r="AP301"/>
          <cell r="AQ301"/>
          <cell r="AR301"/>
          <cell r="AS301"/>
          <cell r="AT301"/>
          <cell r="AU301"/>
          <cell r="AV301"/>
          <cell r="AW301"/>
          <cell r="AX301"/>
          <cell r="AY301"/>
          <cell r="AZ301"/>
          <cell r="BA301"/>
          <cell r="BB301"/>
          <cell r="BC301"/>
          <cell r="BD301"/>
          <cell r="BE301"/>
          <cell r="BF301"/>
          <cell r="BG301"/>
          <cell r="BH301"/>
          <cell r="BI301"/>
          <cell r="BJ301"/>
          <cell r="BK301"/>
          <cell r="BL301"/>
          <cell r="BM301"/>
          <cell r="BN301"/>
          <cell r="BO301"/>
          <cell r="BP301"/>
          <cell r="BQ301"/>
          <cell r="BR301"/>
          <cell r="BS301"/>
          <cell r="BT301"/>
          <cell r="BU301"/>
          <cell r="BV301"/>
          <cell r="BW301"/>
          <cell r="BX301"/>
        </row>
        <row r="302">
          <cell r="B302" t="str">
            <v>% Assets from other markets</v>
          </cell>
          <cell r="C302" t="str">
            <v>PCT_OTH_ASS</v>
          </cell>
          <cell r="F302"/>
          <cell r="G302"/>
          <cell r="H302"/>
          <cell r="I302"/>
          <cell r="J302"/>
          <cell r="K302"/>
          <cell r="L302"/>
          <cell r="M302"/>
          <cell r="N302"/>
          <cell r="O302"/>
          <cell r="P302"/>
          <cell r="Q302"/>
          <cell r="R302"/>
          <cell r="S302"/>
          <cell r="T302"/>
          <cell r="U302"/>
          <cell r="V302"/>
          <cell r="W302"/>
          <cell r="X302"/>
          <cell r="Y302"/>
          <cell r="Z302"/>
          <cell r="AA302"/>
          <cell r="AB302"/>
          <cell r="AC302"/>
          <cell r="AD302"/>
          <cell r="AE302"/>
          <cell r="AF302"/>
          <cell r="AG302"/>
          <cell r="AH302"/>
          <cell r="AI302"/>
          <cell r="AJ302"/>
          <cell r="AK302"/>
          <cell r="AL302"/>
          <cell r="AM302"/>
          <cell r="AN302"/>
          <cell r="AO302"/>
          <cell r="AP302"/>
          <cell r="AQ302"/>
          <cell r="AR302"/>
          <cell r="AS302"/>
          <cell r="AT302"/>
          <cell r="AU302"/>
          <cell r="AV302"/>
          <cell r="AW302"/>
          <cell r="AX302"/>
          <cell r="AY302"/>
          <cell r="AZ302"/>
          <cell r="BA302"/>
          <cell r="BB302"/>
          <cell r="BC302"/>
          <cell r="BD302"/>
          <cell r="BE302"/>
          <cell r="BF302"/>
          <cell r="BG302"/>
          <cell r="BH302"/>
          <cell r="BI302"/>
          <cell r="BJ302"/>
          <cell r="BK302"/>
          <cell r="BL302"/>
          <cell r="BM302"/>
          <cell r="BN302"/>
          <cell r="BO302"/>
          <cell r="BP302"/>
          <cell r="BQ302"/>
          <cell r="BR302"/>
          <cell r="BS302"/>
          <cell r="BT302"/>
          <cell r="BU302"/>
          <cell r="BV302"/>
          <cell r="BW302"/>
          <cell r="BX302"/>
        </row>
        <row r="303">
          <cell r="A303" t="str">
            <v>Geographical Breakdown</v>
          </cell>
          <cell r="B303"/>
          <cell r="C303"/>
          <cell r="D303"/>
        </row>
        <row r="304">
          <cell r="B304" t="str">
            <v>Sales - % Canada</v>
          </cell>
          <cell r="C304" t="str">
            <v>SALES_CANADA</v>
          </cell>
          <cell r="F304"/>
          <cell r="G304"/>
          <cell r="H304"/>
          <cell r="I304"/>
          <cell r="J304"/>
          <cell r="K304"/>
          <cell r="L304"/>
          <cell r="M304"/>
          <cell r="N304"/>
          <cell r="O304"/>
          <cell r="P304"/>
          <cell r="Q304"/>
          <cell r="R304"/>
          <cell r="S304"/>
          <cell r="T304"/>
          <cell r="U304"/>
          <cell r="V304"/>
          <cell r="W304"/>
          <cell r="X304"/>
          <cell r="Y304"/>
          <cell r="Z304"/>
          <cell r="AA304"/>
          <cell r="AB304"/>
          <cell r="AC304"/>
          <cell r="AD304"/>
          <cell r="AE304"/>
          <cell r="AF304"/>
          <cell r="AG304"/>
          <cell r="AH304"/>
          <cell r="AI304"/>
          <cell r="AJ304"/>
          <cell r="AK304"/>
          <cell r="AL304"/>
          <cell r="AM304"/>
          <cell r="AN304"/>
          <cell r="AO304"/>
          <cell r="AP304"/>
          <cell r="AQ304"/>
          <cell r="AR304"/>
          <cell r="AS304"/>
          <cell r="AT304"/>
          <cell r="AU304"/>
          <cell r="AV304"/>
          <cell r="AW304"/>
          <cell r="AX304"/>
          <cell r="AY304"/>
          <cell r="AZ304"/>
          <cell r="BA304"/>
          <cell r="BB304"/>
          <cell r="BC304"/>
          <cell r="BD304"/>
          <cell r="BE304"/>
          <cell r="BF304"/>
          <cell r="BG304"/>
          <cell r="BH304"/>
          <cell r="BI304"/>
          <cell r="BJ304"/>
          <cell r="BK304"/>
          <cell r="BL304"/>
          <cell r="BM304"/>
          <cell r="BN304"/>
          <cell r="BO304"/>
          <cell r="BP304"/>
          <cell r="BQ304"/>
          <cell r="BR304"/>
          <cell r="BS304"/>
          <cell r="BT304"/>
          <cell r="BU304"/>
          <cell r="BV304"/>
          <cell r="BW304"/>
          <cell r="BX304"/>
        </row>
        <row r="305">
          <cell r="B305" t="str">
            <v>Sales - % United States</v>
          </cell>
          <cell r="C305" t="str">
            <v>SALES_US</v>
          </cell>
          <cell r="F305"/>
          <cell r="G305"/>
          <cell r="H305"/>
          <cell r="I305"/>
          <cell r="J305"/>
          <cell r="K305"/>
          <cell r="L305"/>
          <cell r="M305"/>
          <cell r="N305"/>
          <cell r="O305"/>
          <cell r="P305"/>
          <cell r="Q305"/>
          <cell r="R305"/>
          <cell r="S305"/>
          <cell r="T305"/>
          <cell r="U305"/>
          <cell r="V305"/>
          <cell r="W305"/>
          <cell r="X305"/>
          <cell r="Y305"/>
          <cell r="Z305"/>
          <cell r="AA305"/>
          <cell r="AB305"/>
          <cell r="AC305"/>
          <cell r="AD305"/>
          <cell r="AE305"/>
          <cell r="AF305"/>
          <cell r="AG305"/>
          <cell r="AH305"/>
          <cell r="AI305"/>
          <cell r="AJ305"/>
          <cell r="AK305"/>
          <cell r="AL305"/>
          <cell r="AM305"/>
          <cell r="AN305"/>
          <cell r="AO305"/>
          <cell r="AP305"/>
          <cell r="AQ305"/>
          <cell r="AR305"/>
          <cell r="AS305"/>
          <cell r="AT305"/>
          <cell r="AU305"/>
          <cell r="AV305"/>
          <cell r="AW305"/>
          <cell r="AX305"/>
          <cell r="AY305"/>
          <cell r="AZ305"/>
          <cell r="BA305"/>
          <cell r="BB305"/>
          <cell r="BC305"/>
          <cell r="BD305"/>
          <cell r="BE305"/>
          <cell r="BF305"/>
          <cell r="BG305"/>
          <cell r="BH305"/>
          <cell r="BI305"/>
          <cell r="BJ305"/>
          <cell r="BK305"/>
          <cell r="BL305"/>
          <cell r="BM305"/>
          <cell r="BN305"/>
          <cell r="BO305"/>
          <cell r="BP305"/>
          <cell r="BQ305"/>
          <cell r="BR305"/>
          <cell r="BS305"/>
          <cell r="BT305"/>
          <cell r="BU305"/>
          <cell r="BV305"/>
          <cell r="BW305"/>
          <cell r="BX305"/>
        </row>
        <row r="306">
          <cell r="B306" t="str">
            <v>Sales - % Other North Americas</v>
          </cell>
          <cell r="C306" t="str">
            <v>SALES_OTH_NO_AMER</v>
          </cell>
          <cell r="F306"/>
          <cell r="G306"/>
          <cell r="H306"/>
          <cell r="I306"/>
          <cell r="J306"/>
          <cell r="K306"/>
          <cell r="L306"/>
          <cell r="M306"/>
          <cell r="N306"/>
          <cell r="O306"/>
          <cell r="P306"/>
          <cell r="Q306"/>
          <cell r="R306"/>
          <cell r="S306"/>
          <cell r="T306"/>
          <cell r="U306"/>
          <cell r="V306"/>
          <cell r="W306"/>
          <cell r="X306"/>
          <cell r="Y306"/>
          <cell r="Z306"/>
          <cell r="AA306"/>
          <cell r="AB306"/>
          <cell r="AC306"/>
          <cell r="AD306"/>
          <cell r="AE306"/>
          <cell r="AF306"/>
          <cell r="AG306"/>
          <cell r="AH306"/>
          <cell r="AI306"/>
          <cell r="AJ306"/>
          <cell r="AK306"/>
          <cell r="AL306"/>
          <cell r="AM306"/>
          <cell r="AN306"/>
          <cell r="AO306"/>
          <cell r="AP306"/>
          <cell r="AQ306"/>
          <cell r="AR306"/>
          <cell r="AS306"/>
          <cell r="AT306"/>
          <cell r="AU306"/>
          <cell r="AV306"/>
          <cell r="AW306"/>
          <cell r="AX306"/>
          <cell r="AY306"/>
          <cell r="AZ306"/>
          <cell r="BA306"/>
          <cell r="BB306"/>
          <cell r="BC306"/>
          <cell r="BD306"/>
          <cell r="BE306"/>
          <cell r="BF306"/>
          <cell r="BG306"/>
          <cell r="BH306"/>
          <cell r="BI306"/>
          <cell r="BJ306"/>
          <cell r="BK306"/>
          <cell r="BL306"/>
          <cell r="BM306"/>
          <cell r="BN306"/>
          <cell r="BO306"/>
          <cell r="BP306"/>
          <cell r="BQ306"/>
          <cell r="BR306"/>
          <cell r="BS306"/>
          <cell r="BT306"/>
          <cell r="BU306"/>
          <cell r="BV306"/>
          <cell r="BW306"/>
          <cell r="BX306"/>
        </row>
        <row r="307">
          <cell r="B307" t="str">
            <v>Sales - % Argentina</v>
          </cell>
          <cell r="C307" t="str">
            <v>SALES_ARGENTINA</v>
          </cell>
          <cell r="F307"/>
          <cell r="G307"/>
          <cell r="H307"/>
          <cell r="I307"/>
          <cell r="J307"/>
          <cell r="K307"/>
          <cell r="L307"/>
          <cell r="M307"/>
          <cell r="N307"/>
          <cell r="O307"/>
          <cell r="P307"/>
          <cell r="Q307"/>
          <cell r="R307"/>
          <cell r="S307"/>
          <cell r="T307"/>
          <cell r="U307"/>
          <cell r="V307"/>
          <cell r="W307"/>
          <cell r="X307"/>
          <cell r="Y307"/>
          <cell r="Z307"/>
          <cell r="AA307"/>
          <cell r="AB307"/>
          <cell r="AC307"/>
          <cell r="AD307"/>
          <cell r="AE307"/>
          <cell r="AF307"/>
          <cell r="AG307"/>
          <cell r="AH307"/>
          <cell r="AI307"/>
          <cell r="AJ307"/>
          <cell r="AK307"/>
          <cell r="AL307"/>
          <cell r="AM307"/>
          <cell r="AN307"/>
          <cell r="AO307"/>
          <cell r="AP307"/>
          <cell r="AQ307"/>
          <cell r="AR307"/>
          <cell r="AS307"/>
          <cell r="AT307"/>
          <cell r="AU307"/>
          <cell r="AV307"/>
          <cell r="AW307"/>
          <cell r="AX307"/>
          <cell r="AY307"/>
          <cell r="AZ307"/>
          <cell r="BA307"/>
          <cell r="BB307"/>
          <cell r="BC307"/>
          <cell r="BD307"/>
          <cell r="BE307"/>
          <cell r="BF307"/>
          <cell r="BG307"/>
          <cell r="BH307"/>
          <cell r="BI307"/>
          <cell r="BJ307"/>
          <cell r="BK307"/>
          <cell r="BL307"/>
          <cell r="BM307"/>
          <cell r="BN307"/>
          <cell r="BO307"/>
          <cell r="BP307"/>
          <cell r="BQ307"/>
          <cell r="BR307"/>
          <cell r="BS307"/>
          <cell r="BT307"/>
          <cell r="BU307"/>
          <cell r="BV307"/>
          <cell r="BW307"/>
          <cell r="BX307"/>
        </row>
        <row r="308">
          <cell r="B308" t="str">
            <v>Sales - % Brazil</v>
          </cell>
          <cell r="C308" t="str">
            <v>SALES_BRAZIL</v>
          </cell>
          <cell r="F308"/>
          <cell r="G308"/>
          <cell r="H308"/>
          <cell r="I308"/>
          <cell r="J308"/>
          <cell r="K308"/>
          <cell r="L308"/>
          <cell r="M308"/>
          <cell r="N308"/>
          <cell r="O308"/>
          <cell r="P308"/>
          <cell r="Q308"/>
          <cell r="R308"/>
          <cell r="S308"/>
          <cell r="T308"/>
          <cell r="U308"/>
          <cell r="V308"/>
          <cell r="W308"/>
          <cell r="X308"/>
          <cell r="Y308"/>
          <cell r="Z308"/>
          <cell r="AA308"/>
          <cell r="AB308"/>
          <cell r="AC308"/>
          <cell r="AD308"/>
          <cell r="AE308"/>
          <cell r="AF308"/>
          <cell r="AG308"/>
          <cell r="AH308"/>
          <cell r="AI308"/>
          <cell r="AJ308"/>
          <cell r="AK308"/>
          <cell r="AL308"/>
          <cell r="AM308"/>
          <cell r="AN308"/>
          <cell r="AO308"/>
          <cell r="AP308"/>
          <cell r="AQ308"/>
          <cell r="AR308"/>
          <cell r="AS308"/>
          <cell r="AT308"/>
          <cell r="AU308"/>
          <cell r="AV308"/>
          <cell r="AW308"/>
          <cell r="AX308"/>
          <cell r="AY308"/>
          <cell r="AZ308"/>
          <cell r="BA308"/>
          <cell r="BB308"/>
          <cell r="BC308"/>
          <cell r="BD308"/>
          <cell r="BE308"/>
          <cell r="BF308"/>
          <cell r="BG308"/>
          <cell r="BH308"/>
          <cell r="BI308"/>
          <cell r="BJ308"/>
          <cell r="BK308"/>
          <cell r="BL308"/>
          <cell r="BM308"/>
          <cell r="BN308"/>
          <cell r="BO308"/>
          <cell r="BP308"/>
          <cell r="BQ308"/>
          <cell r="BR308"/>
          <cell r="BS308"/>
          <cell r="BT308"/>
          <cell r="BU308"/>
          <cell r="BV308"/>
          <cell r="BW308"/>
          <cell r="BX308"/>
        </row>
        <row r="309">
          <cell r="B309" t="str">
            <v>Sales - % Chile</v>
          </cell>
          <cell r="C309" t="str">
            <v>SALES_CHILE</v>
          </cell>
          <cell r="F309"/>
          <cell r="G309"/>
          <cell r="H309"/>
          <cell r="I309"/>
          <cell r="J309"/>
          <cell r="K309"/>
          <cell r="L309"/>
          <cell r="M309"/>
          <cell r="N309"/>
          <cell r="O309"/>
          <cell r="P309"/>
          <cell r="Q309"/>
          <cell r="R309"/>
          <cell r="S309"/>
          <cell r="T309"/>
          <cell r="U309"/>
          <cell r="V309"/>
          <cell r="W309"/>
          <cell r="X309"/>
          <cell r="Y309"/>
          <cell r="Z309"/>
          <cell r="AA309"/>
          <cell r="AB309"/>
          <cell r="AC309"/>
          <cell r="AD309"/>
          <cell r="AE309"/>
          <cell r="AF309"/>
          <cell r="AG309"/>
          <cell r="AH309"/>
          <cell r="AI309"/>
          <cell r="AJ309"/>
          <cell r="AK309"/>
          <cell r="AL309"/>
          <cell r="AM309"/>
          <cell r="AN309"/>
          <cell r="AO309"/>
          <cell r="AP309"/>
          <cell r="AQ309"/>
          <cell r="AR309"/>
          <cell r="AS309"/>
          <cell r="AT309"/>
          <cell r="AU309"/>
          <cell r="AV309"/>
          <cell r="AW309"/>
          <cell r="AX309"/>
          <cell r="AY309"/>
          <cell r="AZ309"/>
          <cell r="BA309"/>
          <cell r="BB309"/>
          <cell r="BC309"/>
          <cell r="BD309"/>
          <cell r="BE309"/>
          <cell r="BF309"/>
          <cell r="BG309"/>
          <cell r="BH309"/>
          <cell r="BI309"/>
          <cell r="BJ309"/>
          <cell r="BK309"/>
          <cell r="BL309"/>
          <cell r="BM309"/>
          <cell r="BN309"/>
          <cell r="BO309"/>
          <cell r="BP309"/>
          <cell r="BQ309"/>
          <cell r="BR309"/>
          <cell r="BS309"/>
          <cell r="BT309"/>
          <cell r="BU309"/>
          <cell r="BV309"/>
          <cell r="BW309"/>
          <cell r="BX309"/>
        </row>
        <row r="310">
          <cell r="B310" t="str">
            <v>Sales - % Colombia</v>
          </cell>
          <cell r="C310" t="str">
            <v>SALES_COLOMBIA</v>
          </cell>
          <cell r="F310"/>
          <cell r="G310"/>
          <cell r="H310"/>
          <cell r="I310"/>
          <cell r="J310"/>
          <cell r="K310"/>
          <cell r="L310"/>
          <cell r="M310"/>
          <cell r="N310"/>
          <cell r="O310"/>
          <cell r="P310"/>
          <cell r="Q310"/>
          <cell r="R310"/>
          <cell r="S310"/>
          <cell r="T310"/>
          <cell r="U310"/>
          <cell r="V310"/>
          <cell r="W310"/>
          <cell r="X310"/>
          <cell r="Y310"/>
          <cell r="Z310"/>
          <cell r="AA310"/>
          <cell r="AB310"/>
          <cell r="AC310"/>
          <cell r="AD310"/>
          <cell r="AE310"/>
          <cell r="AF310"/>
          <cell r="AG310"/>
          <cell r="AH310"/>
          <cell r="AI310"/>
          <cell r="AJ310"/>
          <cell r="AK310"/>
          <cell r="AL310"/>
          <cell r="AM310"/>
          <cell r="AN310"/>
          <cell r="AO310"/>
          <cell r="AP310"/>
          <cell r="AQ310"/>
          <cell r="AR310"/>
          <cell r="AS310"/>
          <cell r="AT310"/>
          <cell r="AU310"/>
          <cell r="AV310"/>
          <cell r="AW310"/>
          <cell r="AX310"/>
          <cell r="AY310"/>
          <cell r="AZ310"/>
          <cell r="BA310"/>
          <cell r="BB310"/>
          <cell r="BC310"/>
          <cell r="BD310"/>
          <cell r="BE310"/>
          <cell r="BF310"/>
          <cell r="BG310"/>
          <cell r="BH310"/>
          <cell r="BI310"/>
          <cell r="BJ310"/>
          <cell r="BK310"/>
          <cell r="BL310"/>
          <cell r="BM310"/>
          <cell r="BN310"/>
          <cell r="BO310"/>
          <cell r="BP310"/>
          <cell r="BQ310"/>
          <cell r="BR310"/>
          <cell r="BS310"/>
          <cell r="BT310"/>
          <cell r="BU310"/>
          <cell r="BV310"/>
          <cell r="BW310"/>
          <cell r="BX310"/>
        </row>
        <row r="311">
          <cell r="B311" t="str">
            <v>Sales - % Mexico</v>
          </cell>
          <cell r="C311" t="str">
            <v>SALES_MEXICO</v>
          </cell>
          <cell r="F311"/>
          <cell r="G311"/>
          <cell r="H311"/>
          <cell r="I311"/>
          <cell r="J311"/>
          <cell r="K311"/>
          <cell r="L311"/>
          <cell r="M311"/>
          <cell r="N311"/>
          <cell r="O311"/>
          <cell r="P311"/>
          <cell r="Q311"/>
          <cell r="R311"/>
          <cell r="S311"/>
          <cell r="T311"/>
          <cell r="U311"/>
          <cell r="V311"/>
          <cell r="W311"/>
          <cell r="X311"/>
          <cell r="Y311"/>
          <cell r="Z311"/>
          <cell r="AA311"/>
          <cell r="AB311"/>
          <cell r="AC311"/>
          <cell r="AD311"/>
          <cell r="AE311"/>
          <cell r="AF311"/>
          <cell r="AG311"/>
          <cell r="AH311"/>
          <cell r="AI311"/>
          <cell r="AJ311"/>
          <cell r="AK311"/>
          <cell r="AL311"/>
          <cell r="AM311"/>
          <cell r="AN311"/>
          <cell r="AO311"/>
          <cell r="AP311"/>
          <cell r="AQ311"/>
          <cell r="AR311"/>
          <cell r="AS311"/>
          <cell r="AT311"/>
          <cell r="AU311"/>
          <cell r="AV311"/>
          <cell r="AW311"/>
          <cell r="AX311"/>
          <cell r="AY311"/>
          <cell r="AZ311"/>
          <cell r="BA311"/>
          <cell r="BB311"/>
          <cell r="BC311"/>
          <cell r="BD311"/>
          <cell r="BE311"/>
          <cell r="BF311"/>
          <cell r="BG311"/>
          <cell r="BH311"/>
          <cell r="BI311"/>
          <cell r="BJ311"/>
          <cell r="BK311"/>
          <cell r="BL311"/>
          <cell r="BM311"/>
          <cell r="BN311"/>
          <cell r="BO311"/>
          <cell r="BP311"/>
          <cell r="BQ311"/>
          <cell r="BR311"/>
          <cell r="BS311"/>
          <cell r="BT311"/>
          <cell r="BU311"/>
          <cell r="BV311"/>
          <cell r="BW311"/>
          <cell r="BX311"/>
        </row>
        <row r="312">
          <cell r="B312" t="str">
            <v>Sales - % Venezuela</v>
          </cell>
          <cell r="C312" t="str">
            <v>SALES_VENEZUELA</v>
          </cell>
          <cell r="F312"/>
          <cell r="G312"/>
          <cell r="H312"/>
          <cell r="I312"/>
          <cell r="J312"/>
          <cell r="K312"/>
          <cell r="L312"/>
          <cell r="M312"/>
          <cell r="N312"/>
          <cell r="O312"/>
          <cell r="P312"/>
          <cell r="Q312"/>
          <cell r="R312"/>
          <cell r="S312"/>
          <cell r="T312"/>
          <cell r="U312"/>
          <cell r="V312"/>
          <cell r="W312"/>
          <cell r="X312"/>
          <cell r="Y312"/>
          <cell r="Z312"/>
          <cell r="AA312"/>
          <cell r="AB312"/>
          <cell r="AC312"/>
          <cell r="AD312"/>
          <cell r="AE312"/>
          <cell r="AF312"/>
          <cell r="AG312"/>
          <cell r="AH312"/>
          <cell r="AI312"/>
          <cell r="AJ312"/>
          <cell r="AK312"/>
          <cell r="AL312"/>
          <cell r="AM312"/>
          <cell r="AN312"/>
          <cell r="AO312"/>
          <cell r="AP312"/>
          <cell r="AQ312"/>
          <cell r="AR312"/>
          <cell r="AS312"/>
          <cell r="AT312"/>
          <cell r="AU312"/>
          <cell r="AV312"/>
          <cell r="AW312"/>
          <cell r="AX312"/>
          <cell r="AY312"/>
          <cell r="AZ312"/>
          <cell r="BA312"/>
          <cell r="BB312"/>
          <cell r="BC312"/>
          <cell r="BD312"/>
          <cell r="BE312"/>
          <cell r="BF312"/>
          <cell r="BG312"/>
          <cell r="BH312"/>
          <cell r="BI312"/>
          <cell r="BJ312"/>
          <cell r="BK312"/>
          <cell r="BL312"/>
          <cell r="BM312"/>
          <cell r="BN312"/>
          <cell r="BO312"/>
          <cell r="BP312"/>
          <cell r="BQ312"/>
          <cell r="BR312"/>
          <cell r="BS312"/>
          <cell r="BT312"/>
          <cell r="BU312"/>
          <cell r="BV312"/>
          <cell r="BW312"/>
          <cell r="BX312"/>
        </row>
        <row r="313">
          <cell r="B313" t="str">
            <v>Sales - % Other Latin Americas</v>
          </cell>
          <cell r="C313" t="str">
            <v>SALES_OTH_LATAM</v>
          </cell>
          <cell r="F313"/>
          <cell r="G313"/>
          <cell r="H313"/>
          <cell r="I313"/>
          <cell r="J313"/>
          <cell r="K313"/>
          <cell r="L313"/>
          <cell r="M313"/>
          <cell r="N313"/>
          <cell r="O313"/>
          <cell r="P313"/>
          <cell r="Q313"/>
          <cell r="R313"/>
          <cell r="S313"/>
          <cell r="T313"/>
          <cell r="U313"/>
          <cell r="V313"/>
          <cell r="W313"/>
          <cell r="X313"/>
          <cell r="Y313"/>
          <cell r="Z313"/>
          <cell r="AA313"/>
          <cell r="AB313"/>
          <cell r="AC313"/>
          <cell r="AD313"/>
          <cell r="AE313"/>
          <cell r="AF313"/>
          <cell r="AG313"/>
          <cell r="AH313"/>
          <cell r="AI313"/>
          <cell r="AJ313"/>
          <cell r="AK313"/>
          <cell r="AL313"/>
          <cell r="AM313"/>
          <cell r="AN313"/>
          <cell r="AO313"/>
          <cell r="AP313"/>
          <cell r="AQ313"/>
          <cell r="AR313"/>
          <cell r="AS313"/>
          <cell r="AT313"/>
          <cell r="AU313"/>
          <cell r="AV313"/>
          <cell r="AW313"/>
          <cell r="AX313"/>
          <cell r="AY313"/>
          <cell r="AZ313"/>
          <cell r="BA313"/>
          <cell r="BB313"/>
          <cell r="BC313"/>
          <cell r="BD313"/>
          <cell r="BE313"/>
          <cell r="BF313"/>
          <cell r="BG313"/>
          <cell r="BH313"/>
          <cell r="BI313"/>
          <cell r="BJ313"/>
          <cell r="BK313"/>
          <cell r="BL313"/>
          <cell r="BM313"/>
          <cell r="BN313"/>
          <cell r="BO313"/>
          <cell r="BP313"/>
          <cell r="BQ313"/>
          <cell r="BR313"/>
          <cell r="BS313"/>
          <cell r="BT313"/>
          <cell r="BU313"/>
          <cell r="BV313"/>
          <cell r="BW313"/>
          <cell r="BX313"/>
        </row>
        <row r="314">
          <cell r="B314" t="str">
            <v>Sales - % Austria</v>
          </cell>
          <cell r="C314" t="str">
            <v>SALES_AUSTRIA</v>
          </cell>
          <cell r="F314"/>
          <cell r="G314"/>
          <cell r="H314"/>
          <cell r="I314"/>
          <cell r="J314"/>
          <cell r="K314"/>
          <cell r="L314"/>
          <cell r="M314"/>
          <cell r="N314"/>
          <cell r="O314"/>
          <cell r="P314"/>
          <cell r="Q314"/>
          <cell r="R314"/>
          <cell r="S314"/>
          <cell r="T314"/>
          <cell r="U314"/>
          <cell r="V314"/>
          <cell r="W314"/>
          <cell r="X314"/>
          <cell r="Y314"/>
          <cell r="Z314"/>
          <cell r="AA314"/>
          <cell r="AB314"/>
          <cell r="AC314"/>
          <cell r="AD314"/>
          <cell r="AE314"/>
          <cell r="AF314"/>
          <cell r="AG314"/>
          <cell r="AH314"/>
          <cell r="AI314"/>
          <cell r="AJ314"/>
          <cell r="AK314"/>
          <cell r="AL314"/>
          <cell r="AM314"/>
          <cell r="AN314"/>
          <cell r="AO314"/>
          <cell r="AP314"/>
          <cell r="AQ314"/>
          <cell r="AR314"/>
          <cell r="AS314"/>
          <cell r="AT314"/>
          <cell r="AU314"/>
          <cell r="AV314"/>
          <cell r="AW314"/>
          <cell r="AX314"/>
          <cell r="AY314"/>
          <cell r="AZ314"/>
          <cell r="BA314"/>
          <cell r="BB314"/>
          <cell r="BC314"/>
          <cell r="BD314"/>
          <cell r="BE314"/>
          <cell r="BF314"/>
          <cell r="BG314"/>
          <cell r="BH314"/>
          <cell r="BI314"/>
          <cell r="BJ314"/>
          <cell r="BK314"/>
          <cell r="BL314"/>
          <cell r="BM314"/>
          <cell r="BN314"/>
          <cell r="BO314"/>
          <cell r="BP314"/>
          <cell r="BQ314"/>
          <cell r="BR314"/>
          <cell r="BS314"/>
          <cell r="BT314"/>
          <cell r="BU314"/>
          <cell r="BV314"/>
          <cell r="BW314"/>
          <cell r="BX314"/>
        </row>
        <row r="315">
          <cell r="B315" t="str">
            <v>Sales - % Belgium</v>
          </cell>
          <cell r="C315" t="str">
            <v>SALES_BEL</v>
          </cell>
          <cell r="F315"/>
          <cell r="G315"/>
          <cell r="H315"/>
          <cell r="I315"/>
          <cell r="J315"/>
          <cell r="K315"/>
          <cell r="L315"/>
          <cell r="M315"/>
          <cell r="N315"/>
          <cell r="O315"/>
          <cell r="P315"/>
          <cell r="Q315"/>
          <cell r="R315"/>
          <cell r="S315"/>
          <cell r="T315"/>
          <cell r="U315"/>
          <cell r="V315"/>
          <cell r="W315"/>
          <cell r="X315"/>
          <cell r="Y315"/>
          <cell r="Z315"/>
          <cell r="AA315"/>
          <cell r="AB315"/>
          <cell r="AC315"/>
          <cell r="AD315"/>
          <cell r="AE315"/>
          <cell r="AF315"/>
          <cell r="AG315"/>
          <cell r="AH315"/>
          <cell r="AI315"/>
          <cell r="AJ315"/>
          <cell r="AK315"/>
          <cell r="AL315"/>
          <cell r="AM315"/>
          <cell r="AN315"/>
          <cell r="AO315"/>
          <cell r="AP315"/>
          <cell r="AQ315"/>
          <cell r="AR315"/>
          <cell r="AS315"/>
          <cell r="AT315"/>
          <cell r="AU315"/>
          <cell r="AV315"/>
          <cell r="AW315"/>
          <cell r="AX315"/>
          <cell r="AY315"/>
          <cell r="AZ315"/>
          <cell r="BA315"/>
          <cell r="BB315"/>
          <cell r="BC315"/>
          <cell r="BD315"/>
          <cell r="BE315"/>
          <cell r="BF315"/>
          <cell r="BG315"/>
          <cell r="BH315"/>
          <cell r="BI315"/>
          <cell r="BJ315"/>
          <cell r="BK315"/>
          <cell r="BL315"/>
          <cell r="BM315"/>
          <cell r="BN315"/>
          <cell r="BO315"/>
          <cell r="BP315"/>
          <cell r="BQ315"/>
          <cell r="BR315"/>
          <cell r="BS315"/>
          <cell r="BT315"/>
          <cell r="BU315"/>
          <cell r="BV315"/>
          <cell r="BW315"/>
          <cell r="BX315"/>
        </row>
        <row r="316">
          <cell r="B316" t="str">
            <v>Sales - % France</v>
          </cell>
          <cell r="C316" t="str">
            <v>SALES_FRA</v>
          </cell>
          <cell r="F316"/>
          <cell r="G316"/>
          <cell r="H316"/>
          <cell r="I316"/>
          <cell r="J316"/>
          <cell r="K316"/>
          <cell r="L316"/>
          <cell r="M316"/>
          <cell r="N316"/>
          <cell r="O316"/>
          <cell r="P316"/>
          <cell r="Q316"/>
          <cell r="R316"/>
          <cell r="S316"/>
          <cell r="T316"/>
          <cell r="U316"/>
          <cell r="V316"/>
          <cell r="W316"/>
          <cell r="X316"/>
          <cell r="Y316"/>
          <cell r="Z316"/>
          <cell r="AA316"/>
          <cell r="AB316"/>
          <cell r="AC316"/>
          <cell r="AD316"/>
          <cell r="AE316"/>
          <cell r="AF316"/>
          <cell r="AG316"/>
          <cell r="AH316"/>
          <cell r="AI316"/>
          <cell r="AJ316"/>
          <cell r="AK316"/>
          <cell r="AL316"/>
          <cell r="AM316"/>
          <cell r="AN316"/>
          <cell r="AO316"/>
          <cell r="AP316"/>
          <cell r="AQ316"/>
          <cell r="AR316"/>
          <cell r="AS316"/>
          <cell r="AT316"/>
          <cell r="AU316"/>
          <cell r="AV316"/>
          <cell r="AW316"/>
          <cell r="AX316"/>
          <cell r="AY316"/>
          <cell r="AZ316"/>
          <cell r="BA316"/>
          <cell r="BB316"/>
          <cell r="BC316"/>
          <cell r="BD316"/>
          <cell r="BE316"/>
          <cell r="BF316"/>
          <cell r="BG316"/>
          <cell r="BH316"/>
          <cell r="BI316"/>
          <cell r="BJ316"/>
          <cell r="BK316"/>
          <cell r="BL316"/>
          <cell r="BM316"/>
          <cell r="BN316"/>
          <cell r="BO316"/>
          <cell r="BP316"/>
          <cell r="BQ316"/>
          <cell r="BR316"/>
          <cell r="BS316"/>
          <cell r="BT316"/>
          <cell r="BU316"/>
          <cell r="BV316"/>
          <cell r="BW316"/>
          <cell r="BX316"/>
        </row>
        <row r="317">
          <cell r="B317" t="str">
            <v>Sales - % Germany</v>
          </cell>
          <cell r="C317" t="str">
            <v>SALES_GER</v>
          </cell>
          <cell r="F317"/>
          <cell r="G317"/>
          <cell r="H317"/>
          <cell r="I317"/>
          <cell r="J317"/>
          <cell r="K317"/>
          <cell r="L317"/>
          <cell r="M317"/>
          <cell r="N317"/>
          <cell r="O317"/>
          <cell r="P317"/>
          <cell r="Q317"/>
          <cell r="R317"/>
          <cell r="S317"/>
          <cell r="T317"/>
          <cell r="U317"/>
          <cell r="V317"/>
          <cell r="W317"/>
          <cell r="X317"/>
          <cell r="Y317"/>
          <cell r="Z317"/>
          <cell r="AA317"/>
          <cell r="AB317"/>
          <cell r="AC317"/>
          <cell r="AD317"/>
          <cell r="AE317"/>
          <cell r="AF317"/>
          <cell r="AG317"/>
          <cell r="AH317"/>
          <cell r="AI317"/>
          <cell r="AJ317"/>
          <cell r="AK317"/>
          <cell r="AL317"/>
          <cell r="AM317"/>
          <cell r="AN317"/>
          <cell r="AO317"/>
          <cell r="AP317"/>
          <cell r="AQ317"/>
          <cell r="AR317"/>
          <cell r="AS317"/>
          <cell r="AT317"/>
          <cell r="AU317"/>
          <cell r="AV317"/>
          <cell r="AW317"/>
          <cell r="AX317"/>
          <cell r="AY317"/>
          <cell r="AZ317"/>
          <cell r="BA317"/>
          <cell r="BB317"/>
          <cell r="BC317"/>
          <cell r="BD317"/>
          <cell r="BE317"/>
          <cell r="BF317"/>
          <cell r="BG317"/>
          <cell r="BH317"/>
          <cell r="BI317"/>
          <cell r="BJ317"/>
          <cell r="BK317"/>
          <cell r="BL317"/>
          <cell r="BM317"/>
          <cell r="BN317"/>
          <cell r="BO317"/>
          <cell r="BP317"/>
          <cell r="BQ317"/>
          <cell r="BR317"/>
          <cell r="BS317"/>
          <cell r="BT317"/>
          <cell r="BU317"/>
          <cell r="BV317"/>
          <cell r="BW317"/>
          <cell r="BX317"/>
        </row>
        <row r="318">
          <cell r="B318" t="str">
            <v>Sales - % Greece</v>
          </cell>
          <cell r="C318" t="str">
            <v>SALES_GRE</v>
          </cell>
          <cell r="F318"/>
          <cell r="G318"/>
          <cell r="H318"/>
          <cell r="I318"/>
          <cell r="J318"/>
          <cell r="K318"/>
          <cell r="L318"/>
          <cell r="M318"/>
          <cell r="N318"/>
          <cell r="O318"/>
          <cell r="P318"/>
          <cell r="Q318"/>
          <cell r="R318"/>
          <cell r="S318"/>
          <cell r="T318"/>
          <cell r="U318"/>
          <cell r="V318"/>
          <cell r="W318"/>
          <cell r="X318"/>
          <cell r="Y318"/>
          <cell r="Z318"/>
          <cell r="AA318"/>
          <cell r="AB318"/>
          <cell r="AC318"/>
          <cell r="AD318"/>
          <cell r="AE318"/>
          <cell r="AF318"/>
          <cell r="AG318"/>
          <cell r="AH318"/>
          <cell r="AI318"/>
          <cell r="AJ318"/>
          <cell r="AK318"/>
          <cell r="AL318"/>
          <cell r="AM318"/>
          <cell r="AN318"/>
          <cell r="AO318"/>
          <cell r="AP318"/>
          <cell r="AQ318"/>
          <cell r="AR318"/>
          <cell r="AS318"/>
          <cell r="AT318"/>
          <cell r="AU318"/>
          <cell r="AV318"/>
          <cell r="AW318"/>
          <cell r="AX318"/>
          <cell r="AY318"/>
          <cell r="AZ318"/>
          <cell r="BA318"/>
          <cell r="BB318"/>
          <cell r="BC318"/>
          <cell r="BD318"/>
          <cell r="BE318"/>
          <cell r="BF318"/>
          <cell r="BG318"/>
          <cell r="BH318"/>
          <cell r="BI318"/>
          <cell r="BJ318"/>
          <cell r="BK318"/>
          <cell r="BL318"/>
          <cell r="BM318"/>
          <cell r="BN318"/>
          <cell r="BO318"/>
          <cell r="BP318"/>
          <cell r="BQ318"/>
          <cell r="BR318"/>
          <cell r="BS318"/>
          <cell r="BT318"/>
          <cell r="BU318"/>
          <cell r="BV318"/>
          <cell r="BW318"/>
          <cell r="BX318"/>
        </row>
        <row r="319">
          <cell r="B319" t="str">
            <v>Sales - % Ireland</v>
          </cell>
          <cell r="C319" t="str">
            <v>SALES_IRE</v>
          </cell>
          <cell r="F319"/>
          <cell r="G319"/>
          <cell r="H319"/>
          <cell r="I319"/>
          <cell r="J319"/>
          <cell r="K319"/>
          <cell r="L319"/>
          <cell r="M319"/>
          <cell r="N319"/>
          <cell r="O319"/>
          <cell r="P319"/>
          <cell r="Q319"/>
          <cell r="R319"/>
          <cell r="S319"/>
          <cell r="T319"/>
          <cell r="U319"/>
          <cell r="V319"/>
          <cell r="W319"/>
          <cell r="X319"/>
          <cell r="Y319"/>
          <cell r="Z319"/>
          <cell r="AA319"/>
          <cell r="AB319"/>
          <cell r="AC319"/>
          <cell r="AD319"/>
          <cell r="AE319"/>
          <cell r="AF319"/>
          <cell r="AG319"/>
          <cell r="AH319"/>
          <cell r="AI319"/>
          <cell r="AJ319"/>
          <cell r="AK319"/>
          <cell r="AL319"/>
          <cell r="AM319"/>
          <cell r="AN319"/>
          <cell r="AO319"/>
          <cell r="AP319"/>
          <cell r="AQ319"/>
          <cell r="AR319"/>
          <cell r="AS319"/>
          <cell r="AT319"/>
          <cell r="AU319"/>
          <cell r="AV319"/>
          <cell r="AW319"/>
          <cell r="AX319"/>
          <cell r="AY319"/>
          <cell r="AZ319"/>
          <cell r="BA319"/>
          <cell r="BB319"/>
          <cell r="BC319"/>
          <cell r="BD319"/>
          <cell r="BE319"/>
          <cell r="BF319"/>
          <cell r="BG319"/>
          <cell r="BH319"/>
          <cell r="BI319"/>
          <cell r="BJ319"/>
          <cell r="BK319"/>
          <cell r="BL319"/>
          <cell r="BM319"/>
          <cell r="BN319"/>
          <cell r="BO319"/>
          <cell r="BP319"/>
          <cell r="BQ319"/>
          <cell r="BR319"/>
          <cell r="BS319"/>
          <cell r="BT319"/>
          <cell r="BU319"/>
          <cell r="BV319"/>
          <cell r="BW319"/>
          <cell r="BX319"/>
        </row>
        <row r="320">
          <cell r="B320" t="str">
            <v>Sales - % Italy</v>
          </cell>
          <cell r="C320" t="str">
            <v>SALES_ITA</v>
          </cell>
          <cell r="F320"/>
          <cell r="G320"/>
          <cell r="H320"/>
          <cell r="I320"/>
          <cell r="J320"/>
          <cell r="K320"/>
          <cell r="L320"/>
          <cell r="M320"/>
          <cell r="N320"/>
          <cell r="O320"/>
          <cell r="P320"/>
          <cell r="Q320"/>
          <cell r="R320"/>
          <cell r="S320"/>
          <cell r="T320"/>
          <cell r="U320"/>
          <cell r="V320"/>
          <cell r="W320"/>
          <cell r="X320"/>
          <cell r="Y320"/>
          <cell r="Z320"/>
          <cell r="AA320"/>
          <cell r="AB320"/>
          <cell r="AC320"/>
          <cell r="AD320"/>
          <cell r="AE320"/>
          <cell r="AF320"/>
          <cell r="AG320"/>
          <cell r="AH320"/>
          <cell r="AI320"/>
          <cell r="AJ320"/>
          <cell r="AK320"/>
          <cell r="AL320"/>
          <cell r="AM320"/>
          <cell r="AN320"/>
          <cell r="AO320"/>
          <cell r="AP320"/>
          <cell r="AQ320"/>
          <cell r="AR320"/>
          <cell r="AS320"/>
          <cell r="AT320"/>
          <cell r="AU320"/>
          <cell r="AV320"/>
          <cell r="AW320"/>
          <cell r="AX320"/>
          <cell r="AY320"/>
          <cell r="AZ320"/>
          <cell r="BA320"/>
          <cell r="BB320"/>
          <cell r="BC320"/>
          <cell r="BD320"/>
          <cell r="BE320"/>
          <cell r="BF320"/>
          <cell r="BG320"/>
          <cell r="BH320"/>
          <cell r="BI320"/>
          <cell r="BJ320"/>
          <cell r="BK320"/>
          <cell r="BL320"/>
          <cell r="BM320"/>
          <cell r="BN320"/>
          <cell r="BO320"/>
          <cell r="BP320"/>
          <cell r="BQ320"/>
          <cell r="BR320"/>
          <cell r="BS320"/>
          <cell r="BT320"/>
          <cell r="BU320"/>
          <cell r="BV320"/>
          <cell r="BW320"/>
          <cell r="BX320"/>
        </row>
        <row r="321">
          <cell r="B321" t="str">
            <v>Sales - % Netherlands</v>
          </cell>
          <cell r="C321" t="str">
            <v>SALES_NETH</v>
          </cell>
          <cell r="F321"/>
          <cell r="G321"/>
          <cell r="H321"/>
          <cell r="I321"/>
          <cell r="J321"/>
          <cell r="K321"/>
          <cell r="L321"/>
          <cell r="M321"/>
          <cell r="N321"/>
          <cell r="O321"/>
          <cell r="P321"/>
          <cell r="Q321"/>
          <cell r="R321"/>
          <cell r="S321"/>
          <cell r="T321"/>
          <cell r="U321"/>
          <cell r="V321"/>
          <cell r="W321"/>
          <cell r="X321"/>
          <cell r="Y321"/>
          <cell r="Z321"/>
          <cell r="AA321"/>
          <cell r="AB321"/>
          <cell r="AC321"/>
          <cell r="AD321"/>
          <cell r="AE321"/>
          <cell r="AF321"/>
          <cell r="AG321"/>
          <cell r="AH321"/>
          <cell r="AI321"/>
          <cell r="AJ321"/>
          <cell r="AK321"/>
          <cell r="AL321"/>
          <cell r="AM321"/>
          <cell r="AN321"/>
          <cell r="AO321"/>
          <cell r="AP321"/>
          <cell r="AQ321"/>
          <cell r="AR321"/>
          <cell r="AS321"/>
          <cell r="AT321"/>
          <cell r="AU321"/>
          <cell r="AV321"/>
          <cell r="AW321"/>
          <cell r="AX321"/>
          <cell r="AY321"/>
          <cell r="AZ321"/>
          <cell r="BA321"/>
          <cell r="BB321"/>
          <cell r="BC321"/>
          <cell r="BD321"/>
          <cell r="BE321"/>
          <cell r="BF321"/>
          <cell r="BG321"/>
          <cell r="BH321"/>
          <cell r="BI321"/>
          <cell r="BJ321"/>
          <cell r="BK321"/>
          <cell r="BL321"/>
          <cell r="BM321"/>
          <cell r="BN321"/>
          <cell r="BO321"/>
          <cell r="BP321"/>
          <cell r="BQ321"/>
          <cell r="BR321"/>
          <cell r="BS321"/>
          <cell r="BT321"/>
          <cell r="BU321"/>
          <cell r="BV321"/>
          <cell r="BW321"/>
          <cell r="BX321"/>
        </row>
        <row r="322">
          <cell r="B322" t="str">
            <v>Sales - % Norway</v>
          </cell>
          <cell r="C322" t="str">
            <v>SALES_NOR</v>
          </cell>
          <cell r="F322"/>
          <cell r="G322"/>
          <cell r="H322"/>
          <cell r="I322"/>
          <cell r="J322"/>
          <cell r="K322"/>
          <cell r="L322"/>
          <cell r="M322"/>
          <cell r="N322"/>
          <cell r="O322"/>
          <cell r="P322"/>
          <cell r="Q322"/>
          <cell r="R322"/>
          <cell r="S322"/>
          <cell r="T322"/>
          <cell r="U322"/>
          <cell r="V322"/>
          <cell r="W322"/>
          <cell r="X322"/>
          <cell r="Y322"/>
          <cell r="Z322"/>
          <cell r="AA322"/>
          <cell r="AB322"/>
          <cell r="AC322"/>
          <cell r="AD322"/>
          <cell r="AE322"/>
          <cell r="AF322"/>
          <cell r="AG322"/>
          <cell r="AH322"/>
          <cell r="AI322"/>
          <cell r="AJ322"/>
          <cell r="AK322"/>
          <cell r="AL322"/>
          <cell r="AM322"/>
          <cell r="AN322"/>
          <cell r="AO322"/>
          <cell r="AP322"/>
          <cell r="AQ322"/>
          <cell r="AR322"/>
          <cell r="AS322"/>
          <cell r="AT322"/>
          <cell r="AU322"/>
          <cell r="AV322"/>
          <cell r="AW322"/>
          <cell r="AX322"/>
          <cell r="AY322"/>
          <cell r="AZ322"/>
          <cell r="BA322"/>
          <cell r="BB322"/>
          <cell r="BC322"/>
          <cell r="BD322"/>
          <cell r="BE322"/>
          <cell r="BF322"/>
          <cell r="BG322"/>
          <cell r="BH322"/>
          <cell r="BI322"/>
          <cell r="BJ322"/>
          <cell r="BK322"/>
          <cell r="BL322"/>
          <cell r="BM322"/>
          <cell r="BN322"/>
          <cell r="BO322"/>
          <cell r="BP322"/>
          <cell r="BQ322"/>
          <cell r="BR322"/>
          <cell r="BS322"/>
          <cell r="BT322"/>
          <cell r="BU322"/>
          <cell r="BV322"/>
          <cell r="BW322"/>
          <cell r="BX322"/>
        </row>
        <row r="323">
          <cell r="B323" t="str">
            <v>Sales - % Portugal</v>
          </cell>
          <cell r="C323" t="str">
            <v>SALES_POR</v>
          </cell>
          <cell r="F323"/>
          <cell r="G323"/>
          <cell r="H323"/>
          <cell r="I323"/>
          <cell r="J323"/>
          <cell r="K323"/>
          <cell r="L323"/>
          <cell r="M323"/>
          <cell r="N323"/>
          <cell r="O323"/>
          <cell r="P323"/>
          <cell r="Q323"/>
          <cell r="R323"/>
          <cell r="S323"/>
          <cell r="T323"/>
          <cell r="U323"/>
          <cell r="V323"/>
          <cell r="W323"/>
          <cell r="X323"/>
          <cell r="Y323"/>
          <cell r="Z323"/>
          <cell r="AA323"/>
          <cell r="AB323"/>
          <cell r="AC323"/>
          <cell r="AD323"/>
          <cell r="AE323"/>
          <cell r="AF323"/>
          <cell r="AG323"/>
          <cell r="AH323"/>
          <cell r="AI323"/>
          <cell r="AJ323"/>
          <cell r="AK323"/>
          <cell r="AL323"/>
          <cell r="AM323"/>
          <cell r="AN323"/>
          <cell r="AO323"/>
          <cell r="AP323"/>
          <cell r="AQ323"/>
          <cell r="AR323"/>
          <cell r="AS323"/>
          <cell r="AT323"/>
          <cell r="AU323"/>
          <cell r="AV323"/>
          <cell r="AW323"/>
          <cell r="AX323"/>
          <cell r="AY323"/>
          <cell r="AZ323"/>
          <cell r="BA323"/>
          <cell r="BB323"/>
          <cell r="BC323"/>
          <cell r="BD323"/>
          <cell r="BE323"/>
          <cell r="BF323"/>
          <cell r="BG323"/>
          <cell r="BH323"/>
          <cell r="BI323"/>
          <cell r="BJ323"/>
          <cell r="BK323"/>
          <cell r="BL323"/>
          <cell r="BM323"/>
          <cell r="BN323"/>
          <cell r="BO323"/>
          <cell r="BP323"/>
          <cell r="BQ323"/>
          <cell r="BR323"/>
          <cell r="BS323"/>
          <cell r="BT323"/>
          <cell r="BU323"/>
          <cell r="BV323"/>
          <cell r="BW323"/>
          <cell r="BX323"/>
        </row>
        <row r="324">
          <cell r="B324" t="str">
            <v>Sales - % Spain</v>
          </cell>
          <cell r="C324" t="str">
            <v>SALES_SPA</v>
          </cell>
          <cell r="F324"/>
          <cell r="G324"/>
          <cell r="H324"/>
          <cell r="I324"/>
          <cell r="J324"/>
          <cell r="K324"/>
          <cell r="L324"/>
          <cell r="M324"/>
          <cell r="N324"/>
          <cell r="O324"/>
          <cell r="P324"/>
          <cell r="Q324"/>
          <cell r="R324"/>
          <cell r="S324"/>
          <cell r="T324"/>
          <cell r="U324"/>
          <cell r="V324"/>
          <cell r="W324"/>
          <cell r="X324"/>
          <cell r="Y324"/>
          <cell r="Z324"/>
          <cell r="AA324"/>
          <cell r="AB324"/>
          <cell r="AC324"/>
          <cell r="AD324"/>
          <cell r="AE324"/>
          <cell r="AF324"/>
          <cell r="AG324"/>
          <cell r="AH324"/>
          <cell r="AI324"/>
          <cell r="AJ324"/>
          <cell r="AK324"/>
          <cell r="AL324"/>
          <cell r="AM324"/>
          <cell r="AN324"/>
          <cell r="AO324"/>
          <cell r="AP324"/>
          <cell r="AQ324"/>
          <cell r="AR324"/>
          <cell r="AS324"/>
          <cell r="AT324"/>
          <cell r="AU324"/>
          <cell r="AV324"/>
          <cell r="AW324"/>
          <cell r="AX324"/>
          <cell r="AY324"/>
          <cell r="AZ324"/>
          <cell r="BA324"/>
          <cell r="BB324"/>
          <cell r="BC324"/>
          <cell r="BD324"/>
          <cell r="BE324"/>
          <cell r="BF324"/>
          <cell r="BG324"/>
          <cell r="BH324"/>
          <cell r="BI324"/>
          <cell r="BJ324"/>
          <cell r="BK324"/>
          <cell r="BL324"/>
          <cell r="BM324"/>
          <cell r="BN324"/>
          <cell r="BO324"/>
          <cell r="BP324"/>
          <cell r="BQ324"/>
          <cell r="BR324"/>
          <cell r="BS324"/>
          <cell r="BT324"/>
          <cell r="BU324"/>
          <cell r="BV324"/>
          <cell r="BW324"/>
          <cell r="BX324"/>
        </row>
        <row r="325">
          <cell r="B325" t="str">
            <v>Sales - % Sweden</v>
          </cell>
          <cell r="C325" t="str">
            <v>SALES_SWE</v>
          </cell>
          <cell r="F325"/>
          <cell r="G325"/>
          <cell r="H325"/>
          <cell r="I325"/>
          <cell r="J325"/>
          <cell r="K325"/>
          <cell r="L325"/>
          <cell r="M325"/>
          <cell r="N325"/>
          <cell r="O325"/>
          <cell r="P325"/>
          <cell r="Q325"/>
          <cell r="R325"/>
          <cell r="S325"/>
          <cell r="T325"/>
          <cell r="U325"/>
          <cell r="V325"/>
          <cell r="W325"/>
          <cell r="X325"/>
          <cell r="Y325"/>
          <cell r="Z325"/>
          <cell r="AA325"/>
          <cell r="AB325"/>
          <cell r="AC325"/>
          <cell r="AD325"/>
          <cell r="AE325"/>
          <cell r="AF325"/>
          <cell r="AG325"/>
          <cell r="AH325"/>
          <cell r="AI325"/>
          <cell r="AJ325"/>
          <cell r="AK325"/>
          <cell r="AL325"/>
          <cell r="AM325"/>
          <cell r="AN325"/>
          <cell r="AO325"/>
          <cell r="AP325"/>
          <cell r="AQ325"/>
          <cell r="AR325"/>
          <cell r="AS325"/>
          <cell r="AT325"/>
          <cell r="AU325"/>
          <cell r="AV325"/>
          <cell r="AW325"/>
          <cell r="AX325"/>
          <cell r="AY325"/>
          <cell r="AZ325"/>
          <cell r="BA325"/>
          <cell r="BB325"/>
          <cell r="BC325"/>
          <cell r="BD325"/>
          <cell r="BE325"/>
          <cell r="BF325"/>
          <cell r="BG325"/>
          <cell r="BH325"/>
          <cell r="BI325"/>
          <cell r="BJ325"/>
          <cell r="BK325"/>
          <cell r="BL325"/>
          <cell r="BM325"/>
          <cell r="BN325"/>
          <cell r="BO325"/>
          <cell r="BP325"/>
          <cell r="BQ325"/>
          <cell r="BR325"/>
          <cell r="BS325"/>
          <cell r="BT325"/>
          <cell r="BU325"/>
          <cell r="BV325"/>
          <cell r="BW325"/>
          <cell r="BX325"/>
        </row>
        <row r="326">
          <cell r="B326" t="str">
            <v>Sales - % Switzerland</v>
          </cell>
          <cell r="C326" t="str">
            <v>SALES_SWIT</v>
          </cell>
          <cell r="F326"/>
          <cell r="G326"/>
          <cell r="H326"/>
          <cell r="I326"/>
          <cell r="J326"/>
          <cell r="K326"/>
          <cell r="L326"/>
          <cell r="M326"/>
          <cell r="N326"/>
          <cell r="O326"/>
          <cell r="P326"/>
          <cell r="Q326"/>
          <cell r="R326"/>
          <cell r="S326"/>
          <cell r="T326"/>
          <cell r="U326"/>
          <cell r="V326"/>
          <cell r="W326"/>
          <cell r="X326"/>
          <cell r="Y326"/>
          <cell r="Z326"/>
          <cell r="AA326"/>
          <cell r="AB326"/>
          <cell r="AC326"/>
          <cell r="AD326"/>
          <cell r="AE326"/>
          <cell r="AF326"/>
          <cell r="AG326"/>
          <cell r="AH326"/>
          <cell r="AI326"/>
          <cell r="AJ326"/>
          <cell r="AK326"/>
          <cell r="AL326"/>
          <cell r="AM326"/>
          <cell r="AN326"/>
          <cell r="AO326"/>
          <cell r="AP326"/>
          <cell r="AQ326"/>
          <cell r="AR326"/>
          <cell r="AS326"/>
          <cell r="AT326"/>
          <cell r="AU326"/>
          <cell r="AV326"/>
          <cell r="AW326"/>
          <cell r="AX326"/>
          <cell r="AY326"/>
          <cell r="AZ326"/>
          <cell r="BA326"/>
          <cell r="BB326"/>
          <cell r="BC326"/>
          <cell r="BD326"/>
          <cell r="BE326"/>
          <cell r="BF326"/>
          <cell r="BG326"/>
          <cell r="BH326"/>
          <cell r="BI326"/>
          <cell r="BJ326"/>
          <cell r="BK326"/>
          <cell r="BL326"/>
          <cell r="BM326"/>
          <cell r="BN326"/>
          <cell r="BO326"/>
          <cell r="BP326"/>
          <cell r="BQ326"/>
          <cell r="BR326"/>
          <cell r="BS326"/>
          <cell r="BT326"/>
          <cell r="BU326"/>
          <cell r="BV326"/>
          <cell r="BW326"/>
          <cell r="BX326"/>
        </row>
        <row r="327">
          <cell r="B327" t="str">
            <v>Sales - % UK</v>
          </cell>
          <cell r="C327" t="str">
            <v>SALES_UK</v>
          </cell>
          <cell r="F327"/>
          <cell r="G327"/>
          <cell r="H327"/>
          <cell r="I327"/>
          <cell r="J327"/>
          <cell r="K327"/>
          <cell r="L327"/>
          <cell r="M327"/>
          <cell r="N327"/>
          <cell r="O327"/>
          <cell r="P327"/>
          <cell r="Q327"/>
          <cell r="R327"/>
          <cell r="S327"/>
          <cell r="T327"/>
          <cell r="U327"/>
          <cell r="V327"/>
          <cell r="W327"/>
          <cell r="X327"/>
          <cell r="Y327"/>
          <cell r="Z327"/>
          <cell r="AA327"/>
          <cell r="AB327"/>
          <cell r="AC327"/>
          <cell r="AD327"/>
          <cell r="AE327"/>
          <cell r="AF327"/>
          <cell r="AG327"/>
          <cell r="AH327"/>
          <cell r="AI327"/>
          <cell r="AJ327"/>
          <cell r="AK327"/>
          <cell r="AL327"/>
          <cell r="AM327"/>
          <cell r="AN327"/>
          <cell r="AO327"/>
          <cell r="AP327"/>
          <cell r="AQ327"/>
          <cell r="AR327"/>
          <cell r="AS327"/>
          <cell r="AT327"/>
          <cell r="AU327"/>
          <cell r="AV327"/>
          <cell r="AW327"/>
          <cell r="AX327"/>
          <cell r="AY327"/>
          <cell r="AZ327"/>
          <cell r="BA327"/>
          <cell r="BB327"/>
          <cell r="BC327"/>
          <cell r="BD327"/>
          <cell r="BE327"/>
          <cell r="BF327"/>
          <cell r="BG327"/>
          <cell r="BH327"/>
          <cell r="BI327"/>
          <cell r="BJ327"/>
          <cell r="BK327"/>
          <cell r="BL327"/>
          <cell r="BM327"/>
          <cell r="BN327"/>
          <cell r="BO327"/>
          <cell r="BP327"/>
          <cell r="BQ327"/>
          <cell r="BR327"/>
          <cell r="BS327"/>
          <cell r="BT327"/>
          <cell r="BU327"/>
          <cell r="BV327"/>
          <cell r="BW327"/>
          <cell r="BX327"/>
        </row>
        <row r="328">
          <cell r="B328" t="str">
            <v>Sales - % Other Western Europe</v>
          </cell>
          <cell r="C328" t="str">
            <v>SALES_OTH_WEST_EURO</v>
          </cell>
          <cell r="F328"/>
          <cell r="G328"/>
          <cell r="H328"/>
          <cell r="I328"/>
          <cell r="J328"/>
          <cell r="K328"/>
          <cell r="L328"/>
          <cell r="M328"/>
          <cell r="N328"/>
          <cell r="O328"/>
          <cell r="P328"/>
          <cell r="Q328"/>
          <cell r="R328"/>
          <cell r="S328"/>
          <cell r="T328"/>
          <cell r="U328"/>
          <cell r="V328"/>
          <cell r="W328"/>
          <cell r="X328"/>
          <cell r="Y328"/>
          <cell r="Z328"/>
          <cell r="AA328"/>
          <cell r="AB328"/>
          <cell r="AC328"/>
          <cell r="AD328"/>
          <cell r="AE328"/>
          <cell r="AF328"/>
          <cell r="AG328"/>
          <cell r="AH328"/>
          <cell r="AI328"/>
          <cell r="AJ328"/>
          <cell r="AK328"/>
          <cell r="AL328"/>
          <cell r="AM328"/>
          <cell r="AN328"/>
          <cell r="AO328"/>
          <cell r="AP328"/>
          <cell r="AQ328"/>
          <cell r="AR328"/>
          <cell r="AS328"/>
          <cell r="AT328"/>
          <cell r="AU328"/>
          <cell r="AV328"/>
          <cell r="AW328"/>
          <cell r="AX328"/>
          <cell r="AY328"/>
          <cell r="AZ328"/>
          <cell r="BA328"/>
          <cell r="BB328"/>
          <cell r="BC328"/>
          <cell r="BD328"/>
          <cell r="BE328"/>
          <cell r="BF328"/>
          <cell r="BG328"/>
          <cell r="BH328"/>
          <cell r="BI328"/>
          <cell r="BJ328"/>
          <cell r="BK328"/>
          <cell r="BL328"/>
          <cell r="BM328"/>
          <cell r="BN328"/>
          <cell r="BO328"/>
          <cell r="BP328"/>
          <cell r="BQ328"/>
          <cell r="BR328"/>
          <cell r="BS328"/>
          <cell r="BT328"/>
          <cell r="BU328"/>
          <cell r="BV328"/>
          <cell r="BW328"/>
          <cell r="BX328"/>
        </row>
        <row r="329">
          <cell r="B329" t="str">
            <v>Sales - % Poland</v>
          </cell>
          <cell r="C329" t="str">
            <v>SALES_POLAND</v>
          </cell>
          <cell r="F329"/>
          <cell r="G329"/>
          <cell r="H329"/>
          <cell r="I329"/>
          <cell r="J329"/>
          <cell r="K329"/>
          <cell r="L329"/>
          <cell r="M329"/>
          <cell r="N329"/>
          <cell r="O329"/>
          <cell r="P329"/>
          <cell r="Q329"/>
          <cell r="R329"/>
          <cell r="S329"/>
          <cell r="T329"/>
          <cell r="U329"/>
          <cell r="V329"/>
          <cell r="W329"/>
          <cell r="X329"/>
          <cell r="Y329"/>
          <cell r="Z329"/>
          <cell r="AA329"/>
          <cell r="AB329"/>
          <cell r="AC329"/>
          <cell r="AD329"/>
          <cell r="AE329"/>
          <cell r="AF329"/>
          <cell r="AG329"/>
          <cell r="AH329"/>
          <cell r="AI329"/>
          <cell r="AJ329"/>
          <cell r="AK329"/>
          <cell r="AL329"/>
          <cell r="AM329"/>
          <cell r="AN329"/>
          <cell r="AO329"/>
          <cell r="AP329"/>
          <cell r="AQ329"/>
          <cell r="AR329"/>
          <cell r="AS329"/>
          <cell r="AT329"/>
          <cell r="AU329"/>
          <cell r="AV329"/>
          <cell r="AW329"/>
          <cell r="AX329"/>
          <cell r="AY329"/>
          <cell r="AZ329"/>
          <cell r="BA329"/>
          <cell r="BB329"/>
          <cell r="BC329"/>
          <cell r="BD329"/>
          <cell r="BE329"/>
          <cell r="BF329"/>
          <cell r="BG329"/>
          <cell r="BH329"/>
          <cell r="BI329"/>
          <cell r="BJ329"/>
          <cell r="BK329"/>
          <cell r="BL329"/>
          <cell r="BM329"/>
          <cell r="BN329"/>
          <cell r="BO329"/>
          <cell r="BP329"/>
          <cell r="BQ329"/>
          <cell r="BR329"/>
          <cell r="BS329"/>
          <cell r="BT329"/>
          <cell r="BU329"/>
          <cell r="BV329"/>
          <cell r="BW329"/>
          <cell r="BX329"/>
        </row>
        <row r="330">
          <cell r="B330" t="str">
            <v>Sales - % Russia</v>
          </cell>
          <cell r="C330" t="str">
            <v>SALES_RUSSIA</v>
          </cell>
          <cell r="F330"/>
          <cell r="G330"/>
          <cell r="H330"/>
          <cell r="I330"/>
          <cell r="J330"/>
          <cell r="K330"/>
          <cell r="L330"/>
          <cell r="M330"/>
          <cell r="N330"/>
          <cell r="O330"/>
          <cell r="P330"/>
          <cell r="Q330"/>
          <cell r="R330"/>
          <cell r="S330"/>
          <cell r="T330"/>
          <cell r="U330"/>
          <cell r="V330"/>
          <cell r="W330"/>
          <cell r="X330"/>
          <cell r="Y330"/>
          <cell r="Z330"/>
          <cell r="AA330"/>
          <cell r="AB330"/>
          <cell r="AC330"/>
          <cell r="AD330"/>
          <cell r="AE330"/>
          <cell r="AF330"/>
          <cell r="AG330"/>
          <cell r="AH330"/>
          <cell r="AI330"/>
          <cell r="AJ330"/>
          <cell r="AK330"/>
          <cell r="AL330"/>
          <cell r="AM330"/>
          <cell r="AN330"/>
          <cell r="AO330"/>
          <cell r="AP330"/>
          <cell r="AQ330"/>
          <cell r="AR330"/>
          <cell r="AS330"/>
          <cell r="AT330"/>
          <cell r="AU330"/>
          <cell r="AV330"/>
          <cell r="AW330"/>
          <cell r="AX330"/>
          <cell r="AY330"/>
          <cell r="AZ330"/>
          <cell r="BA330"/>
          <cell r="BB330"/>
          <cell r="BC330"/>
          <cell r="BD330"/>
          <cell r="BE330"/>
          <cell r="BF330"/>
          <cell r="BG330"/>
          <cell r="BH330"/>
          <cell r="BI330"/>
          <cell r="BJ330"/>
          <cell r="BK330"/>
          <cell r="BL330"/>
          <cell r="BM330"/>
          <cell r="BN330"/>
          <cell r="BO330"/>
          <cell r="BP330"/>
          <cell r="BQ330"/>
          <cell r="BR330"/>
          <cell r="BS330"/>
          <cell r="BT330"/>
          <cell r="BU330"/>
          <cell r="BV330"/>
          <cell r="BW330"/>
          <cell r="BX330"/>
        </row>
        <row r="331">
          <cell r="B331" t="str">
            <v>Sales - % Turkey</v>
          </cell>
          <cell r="C331" t="str">
            <v>SALES_TURKEY</v>
          </cell>
          <cell r="F331"/>
          <cell r="G331"/>
          <cell r="H331"/>
          <cell r="I331"/>
          <cell r="J331"/>
          <cell r="K331"/>
          <cell r="L331"/>
          <cell r="M331"/>
          <cell r="N331"/>
          <cell r="O331"/>
          <cell r="P331"/>
          <cell r="Q331"/>
          <cell r="R331"/>
          <cell r="S331"/>
          <cell r="T331"/>
          <cell r="U331"/>
          <cell r="V331"/>
          <cell r="W331"/>
          <cell r="X331"/>
          <cell r="Y331"/>
          <cell r="Z331"/>
          <cell r="AA331"/>
          <cell r="AB331"/>
          <cell r="AC331"/>
          <cell r="AD331"/>
          <cell r="AE331"/>
          <cell r="AF331"/>
          <cell r="AG331"/>
          <cell r="AH331"/>
          <cell r="AI331"/>
          <cell r="AJ331"/>
          <cell r="AK331"/>
          <cell r="AL331"/>
          <cell r="AM331"/>
          <cell r="AN331"/>
          <cell r="AO331"/>
          <cell r="AP331"/>
          <cell r="AQ331"/>
          <cell r="AR331"/>
          <cell r="AS331"/>
          <cell r="AT331"/>
          <cell r="AU331"/>
          <cell r="AV331"/>
          <cell r="AW331"/>
          <cell r="AX331"/>
          <cell r="AY331"/>
          <cell r="AZ331"/>
          <cell r="BA331"/>
          <cell r="BB331"/>
          <cell r="BC331"/>
          <cell r="BD331"/>
          <cell r="BE331"/>
          <cell r="BF331"/>
          <cell r="BG331"/>
          <cell r="BH331"/>
          <cell r="BI331"/>
          <cell r="BJ331"/>
          <cell r="BK331"/>
          <cell r="BL331"/>
          <cell r="BM331"/>
          <cell r="BN331"/>
          <cell r="BO331"/>
          <cell r="BP331"/>
          <cell r="BQ331"/>
          <cell r="BR331"/>
          <cell r="BS331"/>
          <cell r="BT331"/>
          <cell r="BU331"/>
          <cell r="BV331"/>
          <cell r="BW331"/>
          <cell r="BX331"/>
        </row>
        <row r="332">
          <cell r="B332" t="str">
            <v>Sales - % Other CEE</v>
          </cell>
          <cell r="C332" t="str">
            <v>SALES_OTH_CEE</v>
          </cell>
          <cell r="F332"/>
          <cell r="G332"/>
          <cell r="H332"/>
          <cell r="I332"/>
          <cell r="J332"/>
          <cell r="K332"/>
          <cell r="L332"/>
          <cell r="M332"/>
          <cell r="N332"/>
          <cell r="O332"/>
          <cell r="P332"/>
          <cell r="Q332"/>
          <cell r="R332"/>
          <cell r="S332"/>
          <cell r="T332"/>
          <cell r="U332"/>
          <cell r="V332"/>
          <cell r="W332"/>
          <cell r="X332"/>
          <cell r="Y332"/>
          <cell r="Z332"/>
          <cell r="AA332"/>
          <cell r="AB332"/>
          <cell r="AC332"/>
          <cell r="AD332"/>
          <cell r="AE332"/>
          <cell r="AF332"/>
          <cell r="AG332"/>
          <cell r="AH332"/>
          <cell r="AI332"/>
          <cell r="AJ332"/>
          <cell r="AK332"/>
          <cell r="AL332"/>
          <cell r="AM332"/>
          <cell r="AN332"/>
          <cell r="AO332"/>
          <cell r="AP332"/>
          <cell r="AQ332"/>
          <cell r="AR332"/>
          <cell r="AS332"/>
          <cell r="AT332"/>
          <cell r="AU332"/>
          <cell r="AV332"/>
          <cell r="AW332"/>
          <cell r="AX332"/>
          <cell r="AY332"/>
          <cell r="AZ332"/>
          <cell r="BA332"/>
          <cell r="BB332"/>
          <cell r="BC332"/>
          <cell r="BD332"/>
          <cell r="BE332"/>
          <cell r="BF332"/>
          <cell r="BG332"/>
          <cell r="BH332"/>
          <cell r="BI332"/>
          <cell r="BJ332"/>
          <cell r="BK332"/>
          <cell r="BL332"/>
          <cell r="BM332"/>
          <cell r="BN332"/>
          <cell r="BO332"/>
          <cell r="BP332"/>
          <cell r="BQ332"/>
          <cell r="BR332"/>
          <cell r="BS332"/>
          <cell r="BT332"/>
          <cell r="BU332"/>
          <cell r="BV332"/>
          <cell r="BW332"/>
          <cell r="BX332"/>
        </row>
        <row r="333">
          <cell r="B333" t="str">
            <v>Sales - % Saudi Arabia</v>
          </cell>
          <cell r="C333" t="str">
            <v>SALES_SAUDI_ARABIA</v>
          </cell>
          <cell r="F333"/>
          <cell r="G333"/>
          <cell r="H333"/>
          <cell r="I333"/>
          <cell r="J333"/>
          <cell r="K333"/>
          <cell r="L333"/>
          <cell r="M333"/>
          <cell r="N333"/>
          <cell r="O333"/>
          <cell r="P333"/>
          <cell r="Q333"/>
          <cell r="R333"/>
          <cell r="S333"/>
          <cell r="T333"/>
          <cell r="U333"/>
          <cell r="V333"/>
          <cell r="W333"/>
          <cell r="X333"/>
          <cell r="Y333"/>
          <cell r="Z333"/>
          <cell r="AA333"/>
          <cell r="AB333"/>
          <cell r="AC333"/>
          <cell r="AD333"/>
          <cell r="AE333"/>
          <cell r="AF333"/>
          <cell r="AG333"/>
          <cell r="AH333"/>
          <cell r="AI333"/>
          <cell r="AJ333"/>
          <cell r="AK333"/>
          <cell r="AL333"/>
          <cell r="AM333"/>
          <cell r="AN333"/>
          <cell r="AO333"/>
          <cell r="AP333"/>
          <cell r="AQ333"/>
          <cell r="AR333"/>
          <cell r="AS333"/>
          <cell r="AT333"/>
          <cell r="AU333"/>
          <cell r="AV333"/>
          <cell r="AW333"/>
          <cell r="AX333"/>
          <cell r="AY333"/>
          <cell r="AZ333"/>
          <cell r="BA333"/>
          <cell r="BB333"/>
          <cell r="BC333"/>
          <cell r="BD333"/>
          <cell r="BE333"/>
          <cell r="BF333"/>
          <cell r="BG333"/>
          <cell r="BH333"/>
          <cell r="BI333"/>
          <cell r="BJ333"/>
          <cell r="BK333"/>
          <cell r="BL333"/>
          <cell r="BM333"/>
          <cell r="BN333"/>
          <cell r="BO333"/>
          <cell r="BP333"/>
          <cell r="BQ333"/>
          <cell r="BR333"/>
          <cell r="BS333"/>
          <cell r="BT333"/>
          <cell r="BU333"/>
          <cell r="BV333"/>
          <cell r="BW333"/>
          <cell r="BX333"/>
        </row>
        <row r="334">
          <cell r="B334" t="str">
            <v>Sales - % United Arab Emirates</v>
          </cell>
          <cell r="C334" t="str">
            <v>SALES_UAE</v>
          </cell>
          <cell r="F334"/>
          <cell r="G334"/>
          <cell r="H334"/>
          <cell r="I334"/>
          <cell r="J334"/>
          <cell r="K334"/>
          <cell r="L334"/>
          <cell r="M334"/>
          <cell r="N334"/>
          <cell r="O334"/>
          <cell r="P334"/>
          <cell r="Q334"/>
          <cell r="R334"/>
          <cell r="S334"/>
          <cell r="T334"/>
          <cell r="U334"/>
          <cell r="V334"/>
          <cell r="W334"/>
          <cell r="X334"/>
          <cell r="Y334"/>
          <cell r="Z334"/>
          <cell r="AA334"/>
          <cell r="AB334"/>
          <cell r="AC334"/>
          <cell r="AD334"/>
          <cell r="AE334"/>
          <cell r="AF334"/>
          <cell r="AG334"/>
          <cell r="AH334"/>
          <cell r="AI334"/>
          <cell r="AJ334"/>
          <cell r="AK334"/>
          <cell r="AL334"/>
          <cell r="AM334"/>
          <cell r="AN334"/>
          <cell r="AO334"/>
          <cell r="AP334"/>
          <cell r="AQ334"/>
          <cell r="AR334"/>
          <cell r="AS334"/>
          <cell r="AT334"/>
          <cell r="AU334"/>
          <cell r="AV334"/>
          <cell r="AW334"/>
          <cell r="AX334"/>
          <cell r="AY334"/>
          <cell r="AZ334"/>
          <cell r="BA334"/>
          <cell r="BB334"/>
          <cell r="BC334"/>
          <cell r="BD334"/>
          <cell r="BE334"/>
          <cell r="BF334"/>
          <cell r="BG334"/>
          <cell r="BH334"/>
          <cell r="BI334"/>
          <cell r="BJ334"/>
          <cell r="BK334"/>
          <cell r="BL334"/>
          <cell r="BM334"/>
          <cell r="BN334"/>
          <cell r="BO334"/>
          <cell r="BP334"/>
          <cell r="BQ334"/>
          <cell r="BR334"/>
          <cell r="BS334"/>
          <cell r="BT334"/>
          <cell r="BU334"/>
          <cell r="BV334"/>
          <cell r="BW334"/>
          <cell r="BX334"/>
        </row>
        <row r="335">
          <cell r="B335" t="str">
            <v>Sales - % Other Middle East</v>
          </cell>
          <cell r="C335" t="str">
            <v>SALES_OTH_ME</v>
          </cell>
          <cell r="F335"/>
          <cell r="G335"/>
          <cell r="H335"/>
          <cell r="I335"/>
          <cell r="J335"/>
          <cell r="K335"/>
          <cell r="L335"/>
          <cell r="M335"/>
          <cell r="N335"/>
          <cell r="O335"/>
          <cell r="P335"/>
          <cell r="Q335"/>
          <cell r="R335"/>
          <cell r="S335"/>
          <cell r="T335"/>
          <cell r="U335"/>
          <cell r="V335"/>
          <cell r="W335"/>
          <cell r="X335"/>
          <cell r="Y335"/>
          <cell r="Z335"/>
          <cell r="AA335"/>
          <cell r="AB335"/>
          <cell r="AC335"/>
          <cell r="AD335"/>
          <cell r="AE335"/>
          <cell r="AF335"/>
          <cell r="AG335"/>
          <cell r="AH335"/>
          <cell r="AI335"/>
          <cell r="AJ335"/>
          <cell r="AK335"/>
          <cell r="AL335"/>
          <cell r="AM335"/>
          <cell r="AN335"/>
          <cell r="AO335"/>
          <cell r="AP335"/>
          <cell r="AQ335"/>
          <cell r="AR335"/>
          <cell r="AS335"/>
          <cell r="AT335"/>
          <cell r="AU335"/>
          <cell r="AV335"/>
          <cell r="AW335"/>
          <cell r="AX335"/>
          <cell r="AY335"/>
          <cell r="AZ335"/>
          <cell r="BA335"/>
          <cell r="BB335"/>
          <cell r="BC335"/>
          <cell r="BD335"/>
          <cell r="BE335"/>
          <cell r="BF335"/>
          <cell r="BG335"/>
          <cell r="BH335"/>
          <cell r="BI335"/>
          <cell r="BJ335"/>
          <cell r="BK335"/>
          <cell r="BL335"/>
          <cell r="BM335"/>
          <cell r="BN335"/>
          <cell r="BO335"/>
          <cell r="BP335"/>
          <cell r="BQ335"/>
          <cell r="BR335"/>
          <cell r="BS335"/>
          <cell r="BT335"/>
          <cell r="BU335"/>
          <cell r="BV335"/>
          <cell r="BW335"/>
          <cell r="BX335"/>
        </row>
        <row r="336">
          <cell r="B336" t="str">
            <v>Sales - % Nigeria</v>
          </cell>
          <cell r="C336" t="str">
            <v>SALES_NIGERIA</v>
          </cell>
          <cell r="F336"/>
          <cell r="G336"/>
          <cell r="H336"/>
          <cell r="I336"/>
          <cell r="J336"/>
          <cell r="K336"/>
          <cell r="L336"/>
          <cell r="M336"/>
          <cell r="N336"/>
          <cell r="O336"/>
          <cell r="P336"/>
          <cell r="Q336"/>
          <cell r="R336"/>
          <cell r="S336"/>
          <cell r="T336"/>
          <cell r="U336"/>
          <cell r="V336"/>
          <cell r="W336"/>
          <cell r="X336"/>
          <cell r="Y336"/>
          <cell r="Z336"/>
          <cell r="AA336"/>
          <cell r="AB336"/>
          <cell r="AC336"/>
          <cell r="AD336"/>
          <cell r="AE336"/>
          <cell r="AF336"/>
          <cell r="AG336"/>
          <cell r="AH336"/>
          <cell r="AI336"/>
          <cell r="AJ336"/>
          <cell r="AK336"/>
          <cell r="AL336"/>
          <cell r="AM336"/>
          <cell r="AN336"/>
          <cell r="AO336"/>
          <cell r="AP336"/>
          <cell r="AQ336"/>
          <cell r="AR336"/>
          <cell r="AS336"/>
          <cell r="AT336"/>
          <cell r="AU336"/>
          <cell r="AV336"/>
          <cell r="AW336"/>
          <cell r="AX336"/>
          <cell r="AY336"/>
          <cell r="AZ336"/>
          <cell r="BA336"/>
          <cell r="BB336"/>
          <cell r="BC336"/>
          <cell r="BD336"/>
          <cell r="BE336"/>
          <cell r="BF336"/>
          <cell r="BG336"/>
          <cell r="BH336"/>
          <cell r="BI336"/>
          <cell r="BJ336"/>
          <cell r="BK336"/>
          <cell r="BL336"/>
          <cell r="BM336"/>
          <cell r="BN336"/>
          <cell r="BO336"/>
          <cell r="BP336"/>
          <cell r="BQ336"/>
          <cell r="BR336"/>
          <cell r="BS336"/>
          <cell r="BT336"/>
          <cell r="BU336"/>
          <cell r="BV336"/>
          <cell r="BW336"/>
          <cell r="BX336"/>
        </row>
        <row r="337">
          <cell r="B337" t="str">
            <v>Sales - % South Africa</v>
          </cell>
          <cell r="C337" t="str">
            <v>SALES_SO_AFRICA</v>
          </cell>
          <cell r="F337"/>
          <cell r="G337"/>
          <cell r="H337"/>
          <cell r="I337"/>
          <cell r="J337"/>
          <cell r="K337"/>
          <cell r="L337"/>
          <cell r="M337"/>
          <cell r="N337"/>
          <cell r="O337"/>
          <cell r="P337"/>
          <cell r="Q337"/>
          <cell r="R337"/>
          <cell r="S337"/>
          <cell r="T337"/>
          <cell r="U337"/>
          <cell r="V337"/>
          <cell r="W337"/>
          <cell r="X337"/>
          <cell r="Y337"/>
          <cell r="Z337"/>
          <cell r="AA337"/>
          <cell r="AB337"/>
          <cell r="AC337"/>
          <cell r="AD337"/>
          <cell r="AE337"/>
          <cell r="AF337"/>
          <cell r="AG337"/>
          <cell r="AH337"/>
          <cell r="AI337"/>
          <cell r="AJ337"/>
          <cell r="AK337"/>
          <cell r="AL337"/>
          <cell r="AM337"/>
          <cell r="AN337"/>
          <cell r="AO337"/>
          <cell r="AP337"/>
          <cell r="AQ337"/>
          <cell r="AR337"/>
          <cell r="AS337"/>
          <cell r="AT337"/>
          <cell r="AU337"/>
          <cell r="AV337"/>
          <cell r="AW337"/>
          <cell r="AX337"/>
          <cell r="AY337"/>
          <cell r="AZ337"/>
          <cell r="BA337"/>
          <cell r="BB337"/>
          <cell r="BC337"/>
          <cell r="BD337"/>
          <cell r="BE337"/>
          <cell r="BF337"/>
          <cell r="BG337"/>
          <cell r="BH337"/>
          <cell r="BI337"/>
          <cell r="BJ337"/>
          <cell r="BK337"/>
          <cell r="BL337"/>
          <cell r="BM337"/>
          <cell r="BN337"/>
          <cell r="BO337"/>
          <cell r="BP337"/>
          <cell r="BQ337"/>
          <cell r="BR337"/>
          <cell r="BS337"/>
          <cell r="BT337"/>
          <cell r="BU337"/>
          <cell r="BV337"/>
          <cell r="BW337"/>
          <cell r="BX337"/>
        </row>
        <row r="338">
          <cell r="B338" t="str">
            <v>Sales - % Other Africa</v>
          </cell>
          <cell r="C338" t="str">
            <v>SALES_OTH_AFRICA</v>
          </cell>
          <cell r="F338"/>
          <cell r="G338"/>
          <cell r="H338"/>
          <cell r="I338"/>
          <cell r="J338"/>
          <cell r="K338"/>
          <cell r="L338"/>
          <cell r="M338"/>
          <cell r="N338"/>
          <cell r="O338"/>
          <cell r="P338"/>
          <cell r="Q338"/>
          <cell r="R338"/>
          <cell r="S338"/>
          <cell r="T338"/>
          <cell r="U338"/>
          <cell r="V338"/>
          <cell r="W338"/>
          <cell r="X338"/>
          <cell r="Y338"/>
          <cell r="Z338"/>
          <cell r="AA338"/>
          <cell r="AB338"/>
          <cell r="AC338"/>
          <cell r="AD338"/>
          <cell r="AE338"/>
          <cell r="AF338"/>
          <cell r="AG338"/>
          <cell r="AH338"/>
          <cell r="AI338"/>
          <cell r="AJ338"/>
          <cell r="AK338"/>
          <cell r="AL338"/>
          <cell r="AM338"/>
          <cell r="AN338"/>
          <cell r="AO338"/>
          <cell r="AP338"/>
          <cell r="AQ338"/>
          <cell r="AR338"/>
          <cell r="AS338"/>
          <cell r="AT338"/>
          <cell r="AU338"/>
          <cell r="AV338"/>
          <cell r="AW338"/>
          <cell r="AX338"/>
          <cell r="AY338"/>
          <cell r="AZ338"/>
          <cell r="BA338"/>
          <cell r="BB338"/>
          <cell r="BC338"/>
          <cell r="BD338"/>
          <cell r="BE338"/>
          <cell r="BF338"/>
          <cell r="BG338"/>
          <cell r="BH338"/>
          <cell r="BI338"/>
          <cell r="BJ338"/>
          <cell r="BK338"/>
          <cell r="BL338"/>
          <cell r="BM338"/>
          <cell r="BN338"/>
          <cell r="BO338"/>
          <cell r="BP338"/>
          <cell r="BQ338"/>
          <cell r="BR338"/>
          <cell r="BS338"/>
          <cell r="BT338"/>
          <cell r="BU338"/>
          <cell r="BV338"/>
          <cell r="BW338"/>
          <cell r="BX338"/>
        </row>
        <row r="339">
          <cell r="B339" t="str">
            <v>Sales - % Hong Kong</v>
          </cell>
          <cell r="C339" t="str">
            <v>SALES_HONG_KONG</v>
          </cell>
          <cell r="F339"/>
          <cell r="G339"/>
          <cell r="H339"/>
          <cell r="I339"/>
          <cell r="J339"/>
          <cell r="K339"/>
          <cell r="L339"/>
          <cell r="M339"/>
          <cell r="N339"/>
          <cell r="O339"/>
          <cell r="P339"/>
          <cell r="Q339"/>
          <cell r="R339"/>
          <cell r="S339"/>
          <cell r="T339"/>
          <cell r="U339"/>
          <cell r="V339"/>
          <cell r="W339"/>
          <cell r="X339"/>
          <cell r="Y339"/>
          <cell r="Z339"/>
          <cell r="AA339"/>
          <cell r="AB339"/>
          <cell r="AC339"/>
          <cell r="AD339"/>
          <cell r="AE339"/>
          <cell r="AF339"/>
          <cell r="AG339"/>
          <cell r="AH339"/>
          <cell r="AI339"/>
          <cell r="AJ339"/>
          <cell r="AK339"/>
          <cell r="AL339"/>
          <cell r="AM339"/>
          <cell r="AN339"/>
          <cell r="AO339"/>
          <cell r="AP339"/>
          <cell r="AQ339"/>
          <cell r="AR339"/>
          <cell r="AS339"/>
          <cell r="AT339"/>
          <cell r="AU339"/>
          <cell r="AV339"/>
          <cell r="AW339"/>
          <cell r="AX339"/>
          <cell r="AY339"/>
          <cell r="AZ339"/>
          <cell r="BA339"/>
          <cell r="BB339"/>
          <cell r="BC339"/>
          <cell r="BD339"/>
          <cell r="BE339"/>
          <cell r="BF339"/>
          <cell r="BG339"/>
          <cell r="BH339"/>
          <cell r="BI339"/>
          <cell r="BJ339"/>
          <cell r="BK339"/>
          <cell r="BL339"/>
          <cell r="BM339"/>
          <cell r="BN339"/>
          <cell r="BO339"/>
          <cell r="BP339"/>
          <cell r="BQ339"/>
          <cell r="BR339"/>
          <cell r="BS339"/>
          <cell r="BT339"/>
          <cell r="BU339"/>
          <cell r="BV339"/>
          <cell r="BW339"/>
          <cell r="BX339"/>
        </row>
        <row r="340">
          <cell r="B340" t="str">
            <v>Sales - % Japan</v>
          </cell>
          <cell r="C340" t="str">
            <v>SALES_JAPAN</v>
          </cell>
          <cell r="F340"/>
          <cell r="G340"/>
          <cell r="H340"/>
          <cell r="I340"/>
          <cell r="J340"/>
          <cell r="K340"/>
          <cell r="L340"/>
          <cell r="M340"/>
          <cell r="N340"/>
          <cell r="O340"/>
          <cell r="P340"/>
          <cell r="Q340"/>
          <cell r="R340"/>
          <cell r="S340"/>
          <cell r="T340"/>
          <cell r="U340"/>
          <cell r="V340"/>
          <cell r="W340"/>
          <cell r="X340"/>
          <cell r="Y340"/>
          <cell r="Z340"/>
          <cell r="AA340"/>
          <cell r="AB340"/>
          <cell r="AC340"/>
          <cell r="AD340"/>
          <cell r="AE340"/>
          <cell r="AF340"/>
          <cell r="AG340"/>
          <cell r="AH340"/>
          <cell r="AI340"/>
          <cell r="AJ340"/>
          <cell r="AK340"/>
          <cell r="AL340"/>
          <cell r="AM340"/>
          <cell r="AN340"/>
          <cell r="AO340"/>
          <cell r="AP340"/>
          <cell r="AQ340"/>
          <cell r="AR340"/>
          <cell r="AS340"/>
          <cell r="AT340"/>
          <cell r="AU340"/>
          <cell r="AV340"/>
          <cell r="AW340"/>
          <cell r="AX340"/>
          <cell r="AY340"/>
          <cell r="AZ340"/>
          <cell r="BA340"/>
          <cell r="BB340"/>
          <cell r="BC340"/>
          <cell r="BD340"/>
          <cell r="BE340"/>
          <cell r="BF340"/>
          <cell r="BG340"/>
          <cell r="BH340"/>
          <cell r="BI340"/>
          <cell r="BJ340"/>
          <cell r="BK340"/>
          <cell r="BL340"/>
          <cell r="BM340"/>
          <cell r="BN340"/>
          <cell r="BO340"/>
          <cell r="BP340"/>
          <cell r="BQ340"/>
          <cell r="BR340"/>
          <cell r="BS340"/>
          <cell r="BT340"/>
          <cell r="BU340"/>
          <cell r="BV340"/>
          <cell r="BW340"/>
          <cell r="BX340"/>
        </row>
        <row r="341">
          <cell r="B341" t="str">
            <v>Sales - % Singapore</v>
          </cell>
          <cell r="C341" t="str">
            <v>SALES_SINGAPORE</v>
          </cell>
          <cell r="F341"/>
          <cell r="G341"/>
          <cell r="H341"/>
          <cell r="I341"/>
          <cell r="J341"/>
          <cell r="K341"/>
          <cell r="L341"/>
          <cell r="M341"/>
          <cell r="N341"/>
          <cell r="O341"/>
          <cell r="P341"/>
          <cell r="Q341"/>
          <cell r="R341"/>
          <cell r="S341"/>
          <cell r="T341"/>
          <cell r="U341"/>
          <cell r="V341"/>
          <cell r="W341"/>
          <cell r="X341"/>
          <cell r="Y341"/>
          <cell r="Z341"/>
          <cell r="AA341"/>
          <cell r="AB341"/>
          <cell r="AC341"/>
          <cell r="AD341"/>
          <cell r="AE341"/>
          <cell r="AF341"/>
          <cell r="AG341"/>
          <cell r="AH341"/>
          <cell r="AI341"/>
          <cell r="AJ341"/>
          <cell r="AK341"/>
          <cell r="AL341"/>
          <cell r="AM341"/>
          <cell r="AN341"/>
          <cell r="AO341"/>
          <cell r="AP341"/>
          <cell r="AQ341"/>
          <cell r="AR341"/>
          <cell r="AS341"/>
          <cell r="AT341"/>
          <cell r="AU341"/>
          <cell r="AV341"/>
          <cell r="AW341"/>
          <cell r="AX341"/>
          <cell r="AY341"/>
          <cell r="AZ341"/>
          <cell r="BA341"/>
          <cell r="BB341"/>
          <cell r="BC341"/>
          <cell r="BD341"/>
          <cell r="BE341"/>
          <cell r="BF341"/>
          <cell r="BG341"/>
          <cell r="BH341"/>
          <cell r="BI341"/>
          <cell r="BJ341"/>
          <cell r="BK341"/>
          <cell r="BL341"/>
          <cell r="BM341"/>
          <cell r="BN341"/>
          <cell r="BO341"/>
          <cell r="BP341"/>
          <cell r="BQ341"/>
          <cell r="BR341"/>
          <cell r="BS341"/>
          <cell r="BT341"/>
          <cell r="BU341"/>
          <cell r="BV341"/>
          <cell r="BW341"/>
          <cell r="BX341"/>
        </row>
        <row r="342">
          <cell r="B342" t="str">
            <v>Sales - % South Korea</v>
          </cell>
          <cell r="C342" t="str">
            <v>SALES_SK</v>
          </cell>
          <cell r="F342"/>
          <cell r="G342"/>
          <cell r="H342"/>
          <cell r="I342"/>
          <cell r="J342"/>
          <cell r="K342"/>
          <cell r="L342"/>
          <cell r="M342"/>
          <cell r="N342"/>
          <cell r="O342"/>
          <cell r="P342"/>
          <cell r="Q342"/>
          <cell r="R342"/>
          <cell r="S342"/>
          <cell r="T342"/>
          <cell r="U342"/>
          <cell r="V342"/>
          <cell r="W342"/>
          <cell r="X342"/>
          <cell r="Y342"/>
          <cell r="Z342"/>
          <cell r="AA342"/>
          <cell r="AB342"/>
          <cell r="AC342"/>
          <cell r="AD342"/>
          <cell r="AE342"/>
          <cell r="AF342"/>
          <cell r="AG342"/>
          <cell r="AH342"/>
          <cell r="AI342"/>
          <cell r="AJ342"/>
          <cell r="AK342"/>
          <cell r="AL342"/>
          <cell r="AM342"/>
          <cell r="AN342"/>
          <cell r="AO342"/>
          <cell r="AP342"/>
          <cell r="AQ342"/>
          <cell r="AR342"/>
          <cell r="AS342"/>
          <cell r="AT342"/>
          <cell r="AU342"/>
          <cell r="AV342"/>
          <cell r="AW342"/>
          <cell r="AX342"/>
          <cell r="AY342"/>
          <cell r="AZ342"/>
          <cell r="BA342"/>
          <cell r="BB342"/>
          <cell r="BC342"/>
          <cell r="BD342"/>
          <cell r="BE342"/>
          <cell r="BF342"/>
          <cell r="BG342"/>
          <cell r="BH342"/>
          <cell r="BI342"/>
          <cell r="BJ342"/>
          <cell r="BK342"/>
          <cell r="BL342"/>
          <cell r="BM342"/>
          <cell r="BN342"/>
          <cell r="BO342"/>
          <cell r="BP342"/>
          <cell r="BQ342"/>
          <cell r="BR342"/>
          <cell r="BS342"/>
          <cell r="BT342"/>
          <cell r="BU342"/>
          <cell r="BV342"/>
          <cell r="BW342"/>
          <cell r="BX342"/>
        </row>
        <row r="343">
          <cell r="B343" t="str">
            <v>Sales - % Taiwan</v>
          </cell>
          <cell r="C343" t="str">
            <v>SALES_TAIWAN</v>
          </cell>
          <cell r="F343"/>
          <cell r="G343"/>
          <cell r="H343"/>
          <cell r="I343"/>
          <cell r="J343"/>
          <cell r="K343"/>
          <cell r="L343"/>
          <cell r="M343"/>
          <cell r="N343"/>
          <cell r="O343"/>
          <cell r="P343"/>
          <cell r="Q343"/>
          <cell r="R343"/>
          <cell r="S343"/>
          <cell r="T343"/>
          <cell r="U343"/>
          <cell r="V343"/>
          <cell r="W343"/>
          <cell r="X343"/>
          <cell r="Y343"/>
          <cell r="Z343"/>
          <cell r="AA343"/>
          <cell r="AB343"/>
          <cell r="AC343"/>
          <cell r="AD343"/>
          <cell r="AE343"/>
          <cell r="AF343"/>
          <cell r="AG343"/>
          <cell r="AH343"/>
          <cell r="AI343"/>
          <cell r="AJ343"/>
          <cell r="AK343"/>
          <cell r="AL343"/>
          <cell r="AM343"/>
          <cell r="AN343"/>
          <cell r="AO343"/>
          <cell r="AP343"/>
          <cell r="AQ343"/>
          <cell r="AR343"/>
          <cell r="AS343"/>
          <cell r="AT343"/>
          <cell r="AU343"/>
          <cell r="AV343"/>
          <cell r="AW343"/>
          <cell r="AX343"/>
          <cell r="AY343"/>
          <cell r="AZ343"/>
          <cell r="BA343"/>
          <cell r="BB343"/>
          <cell r="BC343"/>
          <cell r="BD343"/>
          <cell r="BE343"/>
          <cell r="BF343"/>
          <cell r="BG343"/>
          <cell r="BH343"/>
          <cell r="BI343"/>
          <cell r="BJ343"/>
          <cell r="BK343"/>
          <cell r="BL343"/>
          <cell r="BM343"/>
          <cell r="BN343"/>
          <cell r="BO343"/>
          <cell r="BP343"/>
          <cell r="BQ343"/>
          <cell r="BR343"/>
          <cell r="BS343"/>
          <cell r="BT343"/>
          <cell r="BU343"/>
          <cell r="BV343"/>
          <cell r="BW343"/>
          <cell r="BX343"/>
        </row>
        <row r="344">
          <cell r="B344" t="str">
            <v>Sales - % Other Developed Asia</v>
          </cell>
          <cell r="C344" t="str">
            <v>SALES_OTH_DEV_ASIA</v>
          </cell>
          <cell r="F344"/>
          <cell r="G344"/>
          <cell r="H344"/>
          <cell r="I344"/>
          <cell r="J344"/>
          <cell r="K344"/>
          <cell r="L344"/>
          <cell r="M344"/>
          <cell r="N344"/>
          <cell r="O344"/>
          <cell r="P344"/>
          <cell r="Q344"/>
          <cell r="R344"/>
          <cell r="S344"/>
          <cell r="T344"/>
          <cell r="U344"/>
          <cell r="V344"/>
          <cell r="W344"/>
          <cell r="X344"/>
          <cell r="Y344"/>
          <cell r="Z344"/>
          <cell r="AA344"/>
          <cell r="AB344"/>
          <cell r="AC344"/>
          <cell r="AD344"/>
          <cell r="AE344"/>
          <cell r="AF344"/>
          <cell r="AG344"/>
          <cell r="AH344"/>
          <cell r="AI344"/>
          <cell r="AJ344"/>
          <cell r="AK344"/>
          <cell r="AL344"/>
          <cell r="AM344"/>
          <cell r="AN344"/>
          <cell r="AO344"/>
          <cell r="AP344"/>
          <cell r="AQ344"/>
          <cell r="AR344"/>
          <cell r="AS344"/>
          <cell r="AT344"/>
          <cell r="AU344"/>
          <cell r="AV344"/>
          <cell r="AW344"/>
          <cell r="AX344"/>
          <cell r="AY344"/>
          <cell r="AZ344"/>
          <cell r="BA344"/>
          <cell r="BB344"/>
          <cell r="BC344"/>
          <cell r="BD344"/>
          <cell r="BE344"/>
          <cell r="BF344"/>
          <cell r="BG344"/>
          <cell r="BH344"/>
          <cell r="BI344"/>
          <cell r="BJ344"/>
          <cell r="BK344"/>
          <cell r="BL344"/>
          <cell r="BM344"/>
          <cell r="BN344"/>
          <cell r="BO344"/>
          <cell r="BP344"/>
          <cell r="BQ344"/>
          <cell r="BR344"/>
          <cell r="BS344"/>
          <cell r="BT344"/>
          <cell r="BU344"/>
          <cell r="BV344"/>
          <cell r="BW344"/>
          <cell r="BX344"/>
        </row>
        <row r="345">
          <cell r="B345" t="str">
            <v>Sales - % China</v>
          </cell>
          <cell r="C345" t="str">
            <v>SALES_CHINA</v>
          </cell>
          <cell r="F345"/>
          <cell r="G345"/>
          <cell r="H345"/>
          <cell r="I345"/>
          <cell r="J345"/>
          <cell r="K345"/>
          <cell r="L345"/>
          <cell r="M345"/>
          <cell r="N345"/>
          <cell r="O345"/>
          <cell r="P345"/>
          <cell r="Q345"/>
          <cell r="R345"/>
          <cell r="S345"/>
          <cell r="T345"/>
          <cell r="U345"/>
          <cell r="V345"/>
          <cell r="W345"/>
          <cell r="X345"/>
          <cell r="Y345"/>
          <cell r="Z345"/>
          <cell r="AA345"/>
          <cell r="AB345"/>
          <cell r="AC345"/>
          <cell r="AD345"/>
          <cell r="AE345"/>
          <cell r="AF345"/>
          <cell r="AG345"/>
          <cell r="AH345"/>
          <cell r="AI345"/>
          <cell r="AJ345"/>
          <cell r="AK345"/>
          <cell r="AL345"/>
          <cell r="AM345"/>
          <cell r="AN345"/>
          <cell r="AO345"/>
          <cell r="AP345"/>
          <cell r="AQ345"/>
          <cell r="AR345"/>
          <cell r="AS345"/>
          <cell r="AT345"/>
          <cell r="AU345"/>
          <cell r="AV345"/>
          <cell r="AW345"/>
          <cell r="AX345"/>
          <cell r="AY345"/>
          <cell r="AZ345"/>
          <cell r="BA345"/>
          <cell r="BB345"/>
          <cell r="BC345"/>
          <cell r="BD345"/>
          <cell r="BE345"/>
          <cell r="BF345"/>
          <cell r="BG345"/>
          <cell r="BH345"/>
          <cell r="BI345"/>
          <cell r="BJ345"/>
          <cell r="BK345"/>
          <cell r="BL345"/>
          <cell r="BM345"/>
          <cell r="BN345"/>
          <cell r="BO345"/>
          <cell r="BP345"/>
          <cell r="BQ345"/>
          <cell r="BR345"/>
          <cell r="BS345"/>
          <cell r="BT345"/>
          <cell r="BU345"/>
          <cell r="BV345"/>
          <cell r="BW345"/>
          <cell r="BX345"/>
        </row>
        <row r="346">
          <cell r="B346" t="str">
            <v>Sales - % India</v>
          </cell>
          <cell r="C346" t="str">
            <v>SALES_INDIA</v>
          </cell>
          <cell r="F346"/>
          <cell r="G346"/>
          <cell r="H346"/>
          <cell r="I346"/>
          <cell r="J346"/>
          <cell r="K346"/>
          <cell r="L346"/>
          <cell r="M346"/>
          <cell r="N346"/>
          <cell r="O346"/>
          <cell r="P346"/>
          <cell r="Q346"/>
          <cell r="R346"/>
          <cell r="S346"/>
          <cell r="T346"/>
          <cell r="U346"/>
          <cell r="V346"/>
          <cell r="W346"/>
          <cell r="X346"/>
          <cell r="Y346"/>
          <cell r="Z346"/>
          <cell r="AA346"/>
          <cell r="AB346"/>
          <cell r="AC346"/>
          <cell r="AD346"/>
          <cell r="AE346"/>
          <cell r="AF346"/>
          <cell r="AG346"/>
          <cell r="AH346"/>
          <cell r="AI346"/>
          <cell r="AJ346"/>
          <cell r="AK346"/>
          <cell r="AL346"/>
          <cell r="AM346"/>
          <cell r="AN346"/>
          <cell r="AO346"/>
          <cell r="AP346"/>
          <cell r="AQ346"/>
          <cell r="AR346"/>
          <cell r="AS346"/>
          <cell r="AT346"/>
          <cell r="AU346"/>
          <cell r="AV346"/>
          <cell r="AW346"/>
          <cell r="AX346"/>
          <cell r="AY346"/>
          <cell r="AZ346"/>
          <cell r="BA346"/>
          <cell r="BB346"/>
          <cell r="BC346"/>
          <cell r="BD346"/>
          <cell r="BE346"/>
          <cell r="BF346"/>
          <cell r="BG346"/>
          <cell r="BH346"/>
          <cell r="BI346"/>
          <cell r="BJ346"/>
          <cell r="BK346"/>
          <cell r="BL346"/>
          <cell r="BM346"/>
          <cell r="BN346"/>
          <cell r="BO346"/>
          <cell r="BP346"/>
          <cell r="BQ346"/>
          <cell r="BR346"/>
          <cell r="BS346"/>
          <cell r="BT346"/>
          <cell r="BU346"/>
          <cell r="BV346"/>
          <cell r="BW346"/>
          <cell r="BX346"/>
        </row>
        <row r="347">
          <cell r="B347" t="str">
            <v>Sales - % Indonesia</v>
          </cell>
          <cell r="C347" t="str">
            <v>SALES_INDONESIA</v>
          </cell>
          <cell r="F347"/>
          <cell r="G347"/>
          <cell r="H347"/>
          <cell r="I347"/>
          <cell r="J347"/>
          <cell r="K347"/>
          <cell r="L347"/>
          <cell r="M347"/>
          <cell r="N347"/>
          <cell r="O347"/>
          <cell r="P347"/>
          <cell r="Q347"/>
          <cell r="R347"/>
          <cell r="S347"/>
          <cell r="T347"/>
          <cell r="U347"/>
          <cell r="V347"/>
          <cell r="W347"/>
          <cell r="X347"/>
          <cell r="Y347"/>
          <cell r="Z347"/>
          <cell r="AA347"/>
          <cell r="AB347"/>
          <cell r="AC347"/>
          <cell r="AD347"/>
          <cell r="AE347"/>
          <cell r="AF347"/>
          <cell r="AG347"/>
          <cell r="AH347"/>
          <cell r="AI347"/>
          <cell r="AJ347"/>
          <cell r="AK347"/>
          <cell r="AL347"/>
          <cell r="AM347"/>
          <cell r="AN347"/>
          <cell r="AO347"/>
          <cell r="AP347"/>
          <cell r="AQ347"/>
          <cell r="AR347"/>
          <cell r="AS347"/>
          <cell r="AT347"/>
          <cell r="AU347"/>
          <cell r="AV347"/>
          <cell r="AW347"/>
          <cell r="AX347"/>
          <cell r="AY347"/>
          <cell r="AZ347"/>
          <cell r="BA347"/>
          <cell r="BB347"/>
          <cell r="BC347"/>
          <cell r="BD347"/>
          <cell r="BE347"/>
          <cell r="BF347"/>
          <cell r="BG347"/>
          <cell r="BH347"/>
          <cell r="BI347"/>
          <cell r="BJ347"/>
          <cell r="BK347"/>
          <cell r="BL347"/>
          <cell r="BM347"/>
          <cell r="BN347"/>
          <cell r="BO347"/>
          <cell r="BP347"/>
          <cell r="BQ347"/>
          <cell r="BR347"/>
          <cell r="BS347"/>
          <cell r="BT347"/>
          <cell r="BU347"/>
          <cell r="BV347"/>
          <cell r="BW347"/>
          <cell r="BX347"/>
        </row>
        <row r="348">
          <cell r="B348" t="str">
            <v>Sales - % Thailand</v>
          </cell>
          <cell r="C348" t="str">
            <v>SALES_THAILAND</v>
          </cell>
          <cell r="F348"/>
          <cell r="G348"/>
          <cell r="H348"/>
          <cell r="I348"/>
          <cell r="J348"/>
          <cell r="K348"/>
          <cell r="L348"/>
          <cell r="M348"/>
          <cell r="N348"/>
          <cell r="O348"/>
          <cell r="P348"/>
          <cell r="Q348"/>
          <cell r="R348"/>
          <cell r="S348"/>
          <cell r="T348"/>
          <cell r="U348"/>
          <cell r="V348"/>
          <cell r="W348"/>
          <cell r="X348"/>
          <cell r="Y348"/>
          <cell r="Z348"/>
          <cell r="AA348"/>
          <cell r="AB348"/>
          <cell r="AC348"/>
          <cell r="AD348"/>
          <cell r="AE348"/>
          <cell r="AF348"/>
          <cell r="AG348"/>
          <cell r="AH348"/>
          <cell r="AI348"/>
          <cell r="AJ348"/>
          <cell r="AK348"/>
          <cell r="AL348"/>
          <cell r="AM348"/>
          <cell r="AN348"/>
          <cell r="AO348"/>
          <cell r="AP348"/>
          <cell r="AQ348"/>
          <cell r="AR348"/>
          <cell r="AS348"/>
          <cell r="AT348"/>
          <cell r="AU348"/>
          <cell r="AV348"/>
          <cell r="AW348"/>
          <cell r="AX348"/>
          <cell r="AY348"/>
          <cell r="AZ348"/>
          <cell r="BA348"/>
          <cell r="BB348"/>
          <cell r="BC348"/>
          <cell r="BD348"/>
          <cell r="BE348"/>
          <cell r="BF348"/>
          <cell r="BG348"/>
          <cell r="BH348"/>
          <cell r="BI348"/>
          <cell r="BJ348"/>
          <cell r="BK348"/>
          <cell r="BL348"/>
          <cell r="BM348"/>
          <cell r="BN348"/>
          <cell r="BO348"/>
          <cell r="BP348"/>
          <cell r="BQ348"/>
          <cell r="BR348"/>
          <cell r="BS348"/>
          <cell r="BT348"/>
          <cell r="BU348"/>
          <cell r="BV348"/>
          <cell r="BW348"/>
          <cell r="BX348"/>
        </row>
        <row r="349">
          <cell r="B349" t="str">
            <v>Sales - % Other Emerging Asia</v>
          </cell>
          <cell r="C349" t="str">
            <v>SALES_OTH_EMERG_ASIA</v>
          </cell>
          <cell r="F349"/>
          <cell r="G349"/>
          <cell r="H349"/>
          <cell r="I349"/>
          <cell r="J349"/>
          <cell r="K349"/>
          <cell r="L349"/>
          <cell r="M349"/>
          <cell r="N349"/>
          <cell r="O349"/>
          <cell r="P349"/>
          <cell r="Q349"/>
          <cell r="R349"/>
          <cell r="S349"/>
          <cell r="T349"/>
          <cell r="U349"/>
          <cell r="V349"/>
          <cell r="W349"/>
          <cell r="X349"/>
          <cell r="Y349"/>
          <cell r="Z349"/>
          <cell r="AA349"/>
          <cell r="AB349"/>
          <cell r="AC349"/>
          <cell r="AD349"/>
          <cell r="AE349"/>
          <cell r="AF349"/>
          <cell r="AG349"/>
          <cell r="AH349"/>
          <cell r="AI349"/>
          <cell r="AJ349"/>
          <cell r="AK349"/>
          <cell r="AL349"/>
          <cell r="AM349"/>
          <cell r="AN349"/>
          <cell r="AO349"/>
          <cell r="AP349"/>
          <cell r="AQ349"/>
          <cell r="AR349"/>
          <cell r="AS349"/>
          <cell r="AT349"/>
          <cell r="AU349"/>
          <cell r="AV349"/>
          <cell r="AW349"/>
          <cell r="AX349"/>
          <cell r="AY349"/>
          <cell r="AZ349"/>
          <cell r="BA349"/>
          <cell r="BB349"/>
          <cell r="BC349"/>
          <cell r="BD349"/>
          <cell r="BE349"/>
          <cell r="BF349"/>
          <cell r="BG349"/>
          <cell r="BH349"/>
          <cell r="BI349"/>
          <cell r="BJ349"/>
          <cell r="BK349"/>
          <cell r="BL349"/>
          <cell r="BM349"/>
          <cell r="BN349"/>
          <cell r="BO349"/>
          <cell r="BP349"/>
          <cell r="BQ349"/>
          <cell r="BR349"/>
          <cell r="BS349"/>
          <cell r="BT349"/>
          <cell r="BU349"/>
          <cell r="BV349"/>
          <cell r="BW349"/>
          <cell r="BX349"/>
        </row>
        <row r="350">
          <cell r="B350" t="str">
            <v>Sales - % Australia</v>
          </cell>
          <cell r="C350" t="str">
            <v>SALES_AUSTRA</v>
          </cell>
          <cell r="F350"/>
          <cell r="G350"/>
          <cell r="H350"/>
          <cell r="I350"/>
          <cell r="J350"/>
          <cell r="K350"/>
          <cell r="L350"/>
          <cell r="M350"/>
          <cell r="N350"/>
          <cell r="O350"/>
          <cell r="P350"/>
          <cell r="Q350"/>
          <cell r="R350"/>
          <cell r="S350"/>
          <cell r="T350"/>
          <cell r="U350"/>
          <cell r="V350"/>
          <cell r="W350"/>
          <cell r="X350"/>
          <cell r="Y350"/>
          <cell r="Z350"/>
          <cell r="AA350"/>
          <cell r="AB350"/>
          <cell r="AC350"/>
          <cell r="AD350"/>
          <cell r="AE350"/>
          <cell r="AF350"/>
          <cell r="AG350"/>
          <cell r="AH350"/>
          <cell r="AI350"/>
          <cell r="AJ350"/>
          <cell r="AK350"/>
          <cell r="AL350"/>
          <cell r="AM350"/>
          <cell r="AN350"/>
          <cell r="AO350"/>
          <cell r="AP350"/>
          <cell r="AQ350"/>
          <cell r="AR350"/>
          <cell r="AS350"/>
          <cell r="AT350"/>
          <cell r="AU350"/>
          <cell r="AV350"/>
          <cell r="AW350"/>
          <cell r="AX350"/>
          <cell r="AY350"/>
          <cell r="AZ350"/>
          <cell r="BA350"/>
          <cell r="BB350"/>
          <cell r="BC350"/>
          <cell r="BD350"/>
          <cell r="BE350"/>
          <cell r="BF350"/>
          <cell r="BG350"/>
          <cell r="BH350"/>
          <cell r="BI350"/>
          <cell r="BJ350"/>
          <cell r="BK350"/>
          <cell r="BL350"/>
          <cell r="BM350"/>
          <cell r="BN350"/>
          <cell r="BO350"/>
          <cell r="BP350"/>
          <cell r="BQ350"/>
          <cell r="BR350"/>
          <cell r="BS350"/>
          <cell r="BT350"/>
          <cell r="BU350"/>
          <cell r="BV350"/>
          <cell r="BW350"/>
          <cell r="BX350"/>
        </row>
        <row r="351">
          <cell r="B351" t="str">
            <v>Sales - % New Zealand</v>
          </cell>
          <cell r="C351" t="str">
            <v>SALES_NZ</v>
          </cell>
          <cell r="F351"/>
          <cell r="G351"/>
          <cell r="H351"/>
          <cell r="I351"/>
          <cell r="J351"/>
          <cell r="K351"/>
          <cell r="L351"/>
          <cell r="M351"/>
          <cell r="N351"/>
          <cell r="O351"/>
          <cell r="P351"/>
          <cell r="Q351"/>
          <cell r="R351"/>
          <cell r="S351"/>
          <cell r="T351"/>
          <cell r="U351"/>
          <cell r="V351"/>
          <cell r="W351"/>
          <cell r="X351"/>
          <cell r="Y351"/>
          <cell r="Z351"/>
          <cell r="AA351"/>
          <cell r="AB351"/>
          <cell r="AC351"/>
          <cell r="AD351"/>
          <cell r="AE351"/>
          <cell r="AF351"/>
          <cell r="AG351"/>
          <cell r="AH351"/>
          <cell r="AI351"/>
          <cell r="AJ351"/>
          <cell r="AK351"/>
          <cell r="AL351"/>
          <cell r="AM351"/>
          <cell r="AN351"/>
          <cell r="AO351"/>
          <cell r="AP351"/>
          <cell r="AQ351"/>
          <cell r="AR351"/>
          <cell r="AS351"/>
          <cell r="AT351"/>
          <cell r="AU351"/>
          <cell r="AV351"/>
          <cell r="AW351"/>
          <cell r="AX351"/>
          <cell r="AY351"/>
          <cell r="AZ351"/>
          <cell r="BA351"/>
          <cell r="BB351"/>
          <cell r="BC351"/>
          <cell r="BD351"/>
          <cell r="BE351"/>
          <cell r="BF351"/>
          <cell r="BG351"/>
          <cell r="BH351"/>
          <cell r="BI351"/>
          <cell r="BJ351"/>
          <cell r="BK351"/>
          <cell r="BL351"/>
          <cell r="BM351"/>
          <cell r="BN351"/>
          <cell r="BO351"/>
          <cell r="BP351"/>
          <cell r="BQ351"/>
          <cell r="BR351"/>
          <cell r="BS351"/>
          <cell r="BT351"/>
          <cell r="BU351"/>
          <cell r="BV351"/>
          <cell r="BW351"/>
          <cell r="BX351"/>
        </row>
        <row r="352">
          <cell r="B352" t="str">
            <v>Sales - % Others</v>
          </cell>
          <cell r="C352" t="str">
            <v>SALES_OTHER</v>
          </cell>
          <cell r="F352"/>
          <cell r="G352"/>
          <cell r="H352"/>
          <cell r="I352"/>
          <cell r="J352"/>
          <cell r="K352"/>
          <cell r="L352"/>
          <cell r="M352"/>
          <cell r="N352"/>
          <cell r="O352"/>
          <cell r="P352"/>
          <cell r="Q352"/>
          <cell r="R352"/>
          <cell r="S352"/>
          <cell r="T352"/>
          <cell r="U352"/>
          <cell r="V352"/>
          <cell r="W352"/>
          <cell r="X352"/>
          <cell r="Y352"/>
          <cell r="Z352"/>
          <cell r="AA352"/>
          <cell r="AB352"/>
          <cell r="AC352"/>
          <cell r="AD352"/>
          <cell r="AE352"/>
          <cell r="AF352"/>
          <cell r="AG352"/>
          <cell r="AH352"/>
          <cell r="AI352"/>
          <cell r="AJ352"/>
          <cell r="AK352"/>
          <cell r="AL352"/>
          <cell r="AM352"/>
          <cell r="AN352"/>
          <cell r="AO352"/>
          <cell r="AP352"/>
          <cell r="AQ352"/>
          <cell r="AR352"/>
          <cell r="AS352"/>
          <cell r="AT352"/>
          <cell r="AU352"/>
          <cell r="AV352"/>
          <cell r="AW352"/>
          <cell r="AX352"/>
          <cell r="AY352"/>
          <cell r="AZ352"/>
          <cell r="BA352"/>
          <cell r="BB352"/>
          <cell r="BC352"/>
          <cell r="BD352"/>
          <cell r="BE352"/>
          <cell r="BF352"/>
          <cell r="BG352"/>
          <cell r="BH352"/>
          <cell r="BI352"/>
          <cell r="BJ352"/>
          <cell r="BK352"/>
          <cell r="BL352"/>
          <cell r="BM352"/>
          <cell r="BN352"/>
          <cell r="BO352"/>
          <cell r="BP352"/>
          <cell r="BQ352"/>
          <cell r="BR352"/>
          <cell r="BS352"/>
          <cell r="BT352"/>
          <cell r="BU352"/>
          <cell r="BV352"/>
          <cell r="BW352"/>
          <cell r="BX352"/>
        </row>
        <row r="353">
          <cell r="B353" t="str">
            <v>% of CoGS from U.S. (GS estimate)</v>
          </cell>
          <cell r="C353" t="str">
            <v>COGS_PCT_US</v>
          </cell>
          <cell r="F353"/>
          <cell r="G353"/>
          <cell r="H353"/>
          <cell r="I353"/>
          <cell r="J353"/>
          <cell r="K353"/>
          <cell r="L353"/>
          <cell r="M353"/>
          <cell r="N353"/>
          <cell r="O353"/>
          <cell r="P353"/>
          <cell r="Q353"/>
          <cell r="R353"/>
          <cell r="S353"/>
          <cell r="T353"/>
          <cell r="U353"/>
          <cell r="V353"/>
          <cell r="W353"/>
          <cell r="X353"/>
          <cell r="Y353"/>
          <cell r="Z353"/>
          <cell r="AA353"/>
          <cell r="AB353"/>
          <cell r="AC353"/>
          <cell r="AD353"/>
          <cell r="AE353"/>
          <cell r="AF353"/>
          <cell r="AG353"/>
          <cell r="AH353"/>
          <cell r="AI353"/>
          <cell r="AJ353"/>
          <cell r="AK353"/>
          <cell r="AL353"/>
          <cell r="AM353"/>
          <cell r="AN353"/>
          <cell r="AO353"/>
          <cell r="AP353"/>
          <cell r="AQ353"/>
          <cell r="AR353"/>
          <cell r="AS353"/>
          <cell r="AT353"/>
          <cell r="AU353"/>
          <cell r="AV353"/>
          <cell r="AW353"/>
          <cell r="AX353"/>
          <cell r="AY353"/>
          <cell r="AZ353"/>
          <cell r="BA353"/>
          <cell r="BB353"/>
          <cell r="BC353"/>
          <cell r="BD353"/>
          <cell r="BE353"/>
          <cell r="BF353"/>
          <cell r="BG353"/>
          <cell r="BH353"/>
          <cell r="BI353"/>
          <cell r="BJ353"/>
          <cell r="BK353"/>
          <cell r="BL353"/>
          <cell r="BM353"/>
          <cell r="BN353"/>
          <cell r="BO353"/>
          <cell r="BP353"/>
          <cell r="BQ353"/>
          <cell r="BR353"/>
          <cell r="BS353"/>
          <cell r="BT353"/>
          <cell r="BU353"/>
          <cell r="BV353"/>
          <cell r="BW353"/>
          <cell r="BX353"/>
        </row>
        <row r="354">
          <cell r="B354" t="str">
            <v>% of CoGS from non-U.S. (GS estimate)</v>
          </cell>
          <cell r="C354" t="str">
            <v>COGS_PCT_ROW</v>
          </cell>
          <cell r="F354"/>
          <cell r="G354"/>
          <cell r="H354"/>
          <cell r="I354"/>
          <cell r="J354"/>
          <cell r="K354"/>
          <cell r="L354"/>
          <cell r="M354"/>
          <cell r="N354"/>
          <cell r="O354"/>
          <cell r="P354"/>
          <cell r="Q354"/>
          <cell r="R354"/>
          <cell r="S354"/>
          <cell r="T354"/>
          <cell r="U354"/>
          <cell r="V354"/>
          <cell r="W354"/>
          <cell r="X354"/>
          <cell r="Y354"/>
          <cell r="Z354"/>
          <cell r="AA354"/>
          <cell r="AB354"/>
          <cell r="AC354"/>
          <cell r="AD354"/>
          <cell r="AE354"/>
          <cell r="AF354"/>
          <cell r="AG354"/>
          <cell r="AH354"/>
          <cell r="AI354"/>
          <cell r="AJ354"/>
          <cell r="AK354"/>
          <cell r="AL354"/>
          <cell r="AM354"/>
          <cell r="AN354"/>
          <cell r="AO354"/>
          <cell r="AP354"/>
          <cell r="AQ354"/>
          <cell r="AR354"/>
          <cell r="AS354"/>
          <cell r="AT354"/>
          <cell r="AU354"/>
          <cell r="AV354"/>
          <cell r="AW354"/>
          <cell r="AX354"/>
          <cell r="AY354"/>
          <cell r="AZ354"/>
          <cell r="BA354"/>
          <cell r="BB354"/>
          <cell r="BC354"/>
          <cell r="BD354"/>
          <cell r="BE354"/>
          <cell r="BF354"/>
          <cell r="BG354"/>
          <cell r="BH354"/>
          <cell r="BI354"/>
          <cell r="BJ354"/>
          <cell r="BK354"/>
          <cell r="BL354"/>
          <cell r="BM354"/>
          <cell r="BN354"/>
          <cell r="BO354"/>
          <cell r="BP354"/>
          <cell r="BQ354"/>
          <cell r="BR354"/>
          <cell r="BS354"/>
          <cell r="BT354"/>
          <cell r="BU354"/>
          <cell r="BV354"/>
          <cell r="BW354"/>
          <cell r="BX354"/>
        </row>
        <row r="355">
          <cell r="B355" t="str">
            <v>% of SG&amp;A from U.S. (GS estimate)</v>
          </cell>
          <cell r="C355" t="str">
            <v>SGA_PCT_US</v>
          </cell>
          <cell r="F355"/>
          <cell r="G355"/>
          <cell r="H355"/>
          <cell r="I355"/>
          <cell r="J355"/>
          <cell r="K355"/>
          <cell r="L355"/>
          <cell r="M355"/>
          <cell r="N355"/>
          <cell r="O355"/>
          <cell r="P355"/>
          <cell r="Q355"/>
          <cell r="R355"/>
          <cell r="S355"/>
          <cell r="T355"/>
          <cell r="U355"/>
          <cell r="V355"/>
          <cell r="W355"/>
          <cell r="X355"/>
          <cell r="Y355"/>
          <cell r="Z355"/>
          <cell r="AA355"/>
          <cell r="AB355"/>
          <cell r="AC355"/>
          <cell r="AD355"/>
          <cell r="AE355"/>
          <cell r="AF355"/>
          <cell r="AG355"/>
          <cell r="AH355"/>
          <cell r="AI355"/>
          <cell r="AJ355"/>
          <cell r="AK355"/>
          <cell r="AL355"/>
          <cell r="AM355"/>
          <cell r="AN355"/>
          <cell r="AO355"/>
          <cell r="AP355"/>
          <cell r="AQ355"/>
          <cell r="AR355"/>
          <cell r="AS355"/>
          <cell r="AT355"/>
          <cell r="AU355"/>
          <cell r="AV355"/>
          <cell r="AW355"/>
          <cell r="AX355"/>
          <cell r="AY355"/>
          <cell r="AZ355"/>
          <cell r="BA355"/>
          <cell r="BB355"/>
          <cell r="BC355"/>
          <cell r="BD355"/>
          <cell r="BE355"/>
          <cell r="BF355"/>
          <cell r="BG355"/>
          <cell r="BH355"/>
          <cell r="BI355"/>
          <cell r="BJ355"/>
          <cell r="BK355"/>
          <cell r="BL355"/>
          <cell r="BM355"/>
          <cell r="BN355"/>
          <cell r="BO355"/>
          <cell r="BP355"/>
          <cell r="BQ355"/>
          <cell r="BR355"/>
          <cell r="BS355"/>
          <cell r="BT355"/>
          <cell r="BU355"/>
          <cell r="BV355"/>
          <cell r="BW355"/>
          <cell r="BX355"/>
        </row>
        <row r="356">
          <cell r="B356" t="str">
            <v>% of SG&amp;A from non-U.S. (GS estimate)</v>
          </cell>
          <cell r="C356" t="str">
            <v>SGA_PCT_ROW</v>
          </cell>
          <cell r="F356"/>
          <cell r="G356"/>
          <cell r="H356"/>
          <cell r="I356"/>
          <cell r="J356"/>
          <cell r="K356"/>
          <cell r="L356"/>
          <cell r="M356"/>
          <cell r="N356"/>
          <cell r="O356"/>
          <cell r="P356"/>
          <cell r="Q356"/>
          <cell r="R356"/>
          <cell r="S356"/>
          <cell r="T356"/>
          <cell r="U356"/>
          <cell r="V356"/>
          <cell r="W356"/>
          <cell r="X356"/>
          <cell r="Y356"/>
          <cell r="Z356"/>
          <cell r="AA356"/>
          <cell r="AB356"/>
          <cell r="AC356"/>
          <cell r="AD356"/>
          <cell r="AE356"/>
          <cell r="AF356"/>
          <cell r="AG356"/>
          <cell r="AH356"/>
          <cell r="AI356"/>
          <cell r="AJ356"/>
          <cell r="AK356"/>
          <cell r="AL356"/>
          <cell r="AM356"/>
          <cell r="AN356"/>
          <cell r="AO356"/>
          <cell r="AP356"/>
          <cell r="AQ356"/>
          <cell r="AR356"/>
          <cell r="AS356"/>
          <cell r="AT356"/>
          <cell r="AU356"/>
          <cell r="AV356"/>
          <cell r="AW356"/>
          <cell r="AX356"/>
          <cell r="AY356"/>
          <cell r="AZ356"/>
          <cell r="BA356"/>
          <cell r="BB356"/>
          <cell r="BC356"/>
          <cell r="BD356"/>
          <cell r="BE356"/>
          <cell r="BF356"/>
          <cell r="BG356"/>
          <cell r="BH356"/>
          <cell r="BI356"/>
          <cell r="BJ356"/>
          <cell r="BK356"/>
          <cell r="BL356"/>
          <cell r="BM356"/>
          <cell r="BN356"/>
          <cell r="BO356"/>
          <cell r="BP356"/>
          <cell r="BQ356"/>
          <cell r="BR356"/>
          <cell r="BS356"/>
          <cell r="BT356"/>
          <cell r="BU356"/>
          <cell r="BV356"/>
          <cell r="BW356"/>
          <cell r="BX356"/>
        </row>
        <row r="357">
          <cell r="B357" t="str">
            <v>Sales -% Consumer (C)</v>
          </cell>
          <cell r="C357" t="str">
            <v>SALES_CONS</v>
          </cell>
          <cell r="F357"/>
          <cell r="G357"/>
          <cell r="H357"/>
          <cell r="I357"/>
          <cell r="J357"/>
          <cell r="K357"/>
          <cell r="L357"/>
          <cell r="M357">
            <v>1</v>
          </cell>
          <cell r="N357"/>
          <cell r="O357"/>
          <cell r="P357">
            <v>1</v>
          </cell>
          <cell r="Q357"/>
          <cell r="R357"/>
          <cell r="S357">
            <v>1</v>
          </cell>
          <cell r="T357"/>
          <cell r="U357"/>
          <cell r="V357">
            <v>1</v>
          </cell>
          <cell r="W357"/>
          <cell r="X357"/>
          <cell r="Y357">
            <v>1</v>
          </cell>
          <cell r="Z357"/>
          <cell r="AA357"/>
          <cell r="AB357">
            <v>1</v>
          </cell>
          <cell r="AC357"/>
          <cell r="AD357"/>
          <cell r="AE357"/>
          <cell r="AF357"/>
          <cell r="AG357"/>
          <cell r="AH357"/>
          <cell r="AI357"/>
          <cell r="AJ357"/>
          <cell r="AK357"/>
          <cell r="AL357"/>
          <cell r="AM357"/>
          <cell r="AN357"/>
          <cell r="AO357"/>
          <cell r="AP357"/>
          <cell r="AQ357"/>
          <cell r="AR357"/>
          <cell r="AS357"/>
          <cell r="AT357"/>
          <cell r="AU357"/>
          <cell r="AV357"/>
          <cell r="AW357"/>
          <cell r="AX357"/>
          <cell r="AY357"/>
          <cell r="AZ357"/>
          <cell r="BA357"/>
          <cell r="BB357"/>
          <cell r="BC357"/>
          <cell r="BD357"/>
          <cell r="BE357"/>
          <cell r="BF357"/>
          <cell r="BG357"/>
          <cell r="BH357"/>
          <cell r="BI357"/>
          <cell r="BJ357"/>
          <cell r="BK357"/>
          <cell r="BL357"/>
          <cell r="BM357"/>
          <cell r="BN357"/>
          <cell r="BO357"/>
          <cell r="BP357"/>
          <cell r="BQ357"/>
          <cell r="BR357"/>
          <cell r="BS357"/>
          <cell r="BT357"/>
          <cell r="BU357"/>
          <cell r="BV357"/>
          <cell r="BW357"/>
          <cell r="BX357"/>
        </row>
        <row r="358">
          <cell r="B358" t="str">
            <v>Sales -% Industry (I)</v>
          </cell>
          <cell r="C358" t="str">
            <v>SALES_IND</v>
          </cell>
          <cell r="F358"/>
          <cell r="G358"/>
          <cell r="H358"/>
          <cell r="I358"/>
          <cell r="J358"/>
          <cell r="K358"/>
          <cell r="L358"/>
          <cell r="M358"/>
          <cell r="N358"/>
          <cell r="O358"/>
          <cell r="P358"/>
          <cell r="Q358"/>
          <cell r="R358"/>
          <cell r="S358"/>
          <cell r="T358"/>
          <cell r="U358"/>
          <cell r="V358"/>
          <cell r="W358"/>
          <cell r="X358"/>
          <cell r="Y358"/>
          <cell r="Z358"/>
          <cell r="AA358"/>
          <cell r="AB358"/>
          <cell r="AC358"/>
          <cell r="AD358"/>
          <cell r="AE358"/>
          <cell r="AF358"/>
          <cell r="AG358"/>
          <cell r="AH358"/>
          <cell r="AI358"/>
          <cell r="AJ358"/>
          <cell r="AK358"/>
          <cell r="AL358"/>
          <cell r="AM358"/>
          <cell r="AN358"/>
          <cell r="AO358"/>
          <cell r="AP358"/>
          <cell r="AQ358"/>
          <cell r="AR358"/>
          <cell r="AS358"/>
          <cell r="AT358"/>
          <cell r="AU358"/>
          <cell r="AV358"/>
          <cell r="AW358"/>
          <cell r="AX358"/>
          <cell r="AY358"/>
          <cell r="AZ358"/>
          <cell r="BA358"/>
          <cell r="BB358"/>
          <cell r="BC358"/>
          <cell r="BD358"/>
          <cell r="BE358"/>
          <cell r="BF358"/>
          <cell r="BG358"/>
          <cell r="BH358"/>
          <cell r="BI358"/>
          <cell r="BJ358"/>
          <cell r="BK358"/>
          <cell r="BL358"/>
          <cell r="BM358"/>
          <cell r="BN358"/>
          <cell r="BO358"/>
          <cell r="BP358"/>
          <cell r="BQ358"/>
          <cell r="BR358"/>
          <cell r="BS358"/>
          <cell r="BT358"/>
          <cell r="BU358"/>
          <cell r="BV358"/>
          <cell r="BW358"/>
          <cell r="BX358"/>
        </row>
        <row r="359">
          <cell r="B359" t="str">
            <v>Sales -% Government (G)</v>
          </cell>
          <cell r="C359" t="str">
            <v>SALES_GOV</v>
          </cell>
          <cell r="F359"/>
          <cell r="G359"/>
          <cell r="H359"/>
          <cell r="I359"/>
          <cell r="J359"/>
          <cell r="K359"/>
          <cell r="L359"/>
          <cell r="M359"/>
          <cell r="N359"/>
          <cell r="O359"/>
          <cell r="P359"/>
          <cell r="Q359"/>
          <cell r="R359"/>
          <cell r="S359"/>
          <cell r="T359"/>
          <cell r="U359"/>
          <cell r="V359"/>
          <cell r="W359"/>
          <cell r="X359"/>
          <cell r="Y359"/>
          <cell r="Z359"/>
          <cell r="AA359"/>
          <cell r="AB359"/>
          <cell r="AC359"/>
          <cell r="AD359"/>
          <cell r="AE359"/>
          <cell r="AF359"/>
          <cell r="AG359"/>
          <cell r="AH359"/>
          <cell r="AI359"/>
          <cell r="AJ359"/>
          <cell r="AK359"/>
          <cell r="AL359"/>
          <cell r="AM359"/>
          <cell r="AN359"/>
          <cell r="AO359"/>
          <cell r="AP359"/>
          <cell r="AQ359"/>
          <cell r="AR359"/>
          <cell r="AS359"/>
          <cell r="AT359"/>
          <cell r="AU359"/>
          <cell r="AV359"/>
          <cell r="AW359"/>
          <cell r="AX359"/>
          <cell r="AY359"/>
          <cell r="AZ359"/>
          <cell r="BA359"/>
          <cell r="BB359"/>
          <cell r="BC359"/>
          <cell r="BD359"/>
          <cell r="BE359"/>
          <cell r="BF359"/>
          <cell r="BG359"/>
          <cell r="BH359"/>
          <cell r="BI359"/>
          <cell r="BJ359"/>
          <cell r="BK359"/>
          <cell r="BL359"/>
          <cell r="BM359"/>
          <cell r="BN359"/>
          <cell r="BO359"/>
          <cell r="BP359"/>
          <cell r="BQ359"/>
          <cell r="BR359"/>
          <cell r="BS359"/>
          <cell r="BT359"/>
          <cell r="BU359"/>
          <cell r="BV359"/>
          <cell r="BW359"/>
          <cell r="BX359"/>
        </row>
        <row r="360">
          <cell r="B360" t="str">
            <v>Sales - % Industry Sub-Segment: Financial Services</v>
          </cell>
          <cell r="C360" t="str">
            <v>SALES_FINAN</v>
          </cell>
          <cell r="F360"/>
          <cell r="G360"/>
          <cell r="H360"/>
          <cell r="I360"/>
          <cell r="J360"/>
          <cell r="K360"/>
          <cell r="L360"/>
          <cell r="M360"/>
          <cell r="N360"/>
          <cell r="O360"/>
          <cell r="P360"/>
          <cell r="Q360"/>
          <cell r="R360"/>
          <cell r="S360"/>
          <cell r="T360"/>
          <cell r="U360"/>
          <cell r="V360"/>
          <cell r="W360"/>
          <cell r="X360"/>
          <cell r="Y360"/>
          <cell r="Z360"/>
          <cell r="AA360"/>
          <cell r="AB360"/>
          <cell r="AC360"/>
          <cell r="AD360"/>
          <cell r="AE360"/>
          <cell r="AF360"/>
          <cell r="AG360"/>
          <cell r="AH360"/>
          <cell r="AI360"/>
          <cell r="AJ360"/>
          <cell r="AK360"/>
          <cell r="AL360"/>
          <cell r="AM360"/>
          <cell r="AN360"/>
          <cell r="AO360"/>
          <cell r="AP360"/>
          <cell r="AQ360"/>
          <cell r="AR360"/>
          <cell r="AS360"/>
          <cell r="AT360"/>
          <cell r="AU360"/>
          <cell r="AV360"/>
          <cell r="AW360"/>
          <cell r="AX360"/>
          <cell r="AY360"/>
          <cell r="AZ360"/>
          <cell r="BA360"/>
          <cell r="BB360"/>
          <cell r="BC360"/>
          <cell r="BD360"/>
          <cell r="BE360"/>
          <cell r="BF360"/>
          <cell r="BG360"/>
          <cell r="BH360"/>
          <cell r="BI360"/>
          <cell r="BJ360"/>
          <cell r="BK360"/>
          <cell r="BL360"/>
          <cell r="BM360"/>
          <cell r="BN360"/>
          <cell r="BO360"/>
          <cell r="BP360"/>
          <cell r="BQ360"/>
          <cell r="BR360"/>
          <cell r="BS360"/>
          <cell r="BT360"/>
          <cell r="BU360"/>
          <cell r="BV360"/>
          <cell r="BW360"/>
          <cell r="BX360"/>
        </row>
        <row r="361">
          <cell r="B361" t="str">
            <v>Sales - % Industry Sub-Segment: Oil &amp; Gas</v>
          </cell>
          <cell r="C361" t="str">
            <v>SALES_OIL_GAS</v>
          </cell>
          <cell r="F361"/>
          <cell r="G361"/>
          <cell r="H361"/>
          <cell r="I361"/>
          <cell r="J361"/>
          <cell r="K361"/>
          <cell r="L361"/>
          <cell r="M361"/>
          <cell r="N361"/>
          <cell r="O361"/>
          <cell r="P361"/>
          <cell r="Q361"/>
          <cell r="R361"/>
          <cell r="S361"/>
          <cell r="T361"/>
          <cell r="U361"/>
          <cell r="V361"/>
          <cell r="W361"/>
          <cell r="X361"/>
          <cell r="Y361"/>
          <cell r="Z361"/>
          <cell r="AA361"/>
          <cell r="AB361"/>
          <cell r="AC361"/>
          <cell r="AD361"/>
          <cell r="AE361"/>
          <cell r="AF361"/>
          <cell r="AG361"/>
          <cell r="AH361"/>
          <cell r="AI361"/>
          <cell r="AJ361"/>
          <cell r="AK361"/>
          <cell r="AL361"/>
          <cell r="AM361"/>
          <cell r="AN361"/>
          <cell r="AO361"/>
          <cell r="AP361"/>
          <cell r="AQ361"/>
          <cell r="AR361"/>
          <cell r="AS361"/>
          <cell r="AT361"/>
          <cell r="AU361"/>
          <cell r="AV361"/>
          <cell r="AW361"/>
          <cell r="AX361"/>
          <cell r="AY361"/>
          <cell r="AZ361"/>
          <cell r="BA361"/>
          <cell r="BB361"/>
          <cell r="BC361"/>
          <cell r="BD361"/>
          <cell r="BE361"/>
          <cell r="BF361"/>
          <cell r="BG361"/>
          <cell r="BH361"/>
          <cell r="BI361"/>
          <cell r="BJ361"/>
          <cell r="BK361"/>
          <cell r="BL361"/>
          <cell r="BM361"/>
          <cell r="BN361"/>
          <cell r="BO361"/>
          <cell r="BP361"/>
          <cell r="BQ361"/>
          <cell r="BR361"/>
          <cell r="BS361"/>
          <cell r="BT361"/>
          <cell r="BU361"/>
          <cell r="BV361"/>
          <cell r="BW361"/>
          <cell r="BX361"/>
        </row>
        <row r="362">
          <cell r="A362" t="str">
            <v>Commodities Exposure - Expense</v>
          </cell>
          <cell r="B362"/>
          <cell r="C362"/>
          <cell r="D362"/>
        </row>
        <row r="363">
          <cell r="B363" t="str">
            <v>Expense - % Oil/Petrol/Fuel</v>
          </cell>
          <cell r="C363" t="str">
            <v>EXP_OIL_PETRO_FUEL</v>
          </cell>
          <cell r="F363"/>
          <cell r="G363"/>
          <cell r="H363"/>
          <cell r="I363"/>
          <cell r="J363"/>
          <cell r="K363"/>
          <cell r="L363"/>
          <cell r="M363">
            <v>0</v>
          </cell>
          <cell r="N363"/>
          <cell r="O363"/>
          <cell r="P363">
            <v>0</v>
          </cell>
          <cell r="Q363"/>
          <cell r="R363"/>
          <cell r="S363">
            <v>0</v>
          </cell>
          <cell r="T363"/>
          <cell r="U363"/>
          <cell r="V363">
            <v>0</v>
          </cell>
          <cell r="W363"/>
          <cell r="X363"/>
          <cell r="Y363">
            <v>0</v>
          </cell>
          <cell r="Z363"/>
          <cell r="AA363"/>
          <cell r="AB363">
            <v>0</v>
          </cell>
          <cell r="AC363"/>
          <cell r="AD363"/>
          <cell r="AE363"/>
          <cell r="AF363"/>
          <cell r="AG363"/>
          <cell r="AH363"/>
          <cell r="AI363"/>
          <cell r="AJ363"/>
          <cell r="AK363"/>
          <cell r="AL363"/>
          <cell r="AM363"/>
          <cell r="AN363"/>
          <cell r="AO363"/>
          <cell r="AP363"/>
          <cell r="AQ363"/>
          <cell r="AR363"/>
          <cell r="AS363"/>
          <cell r="AT363"/>
          <cell r="AU363"/>
          <cell r="AV363"/>
          <cell r="AW363"/>
          <cell r="AX363"/>
          <cell r="AY363"/>
          <cell r="AZ363"/>
          <cell r="BA363"/>
          <cell r="BB363"/>
          <cell r="BC363"/>
          <cell r="BD363"/>
          <cell r="BE363"/>
          <cell r="BF363"/>
          <cell r="BG363"/>
          <cell r="BH363"/>
          <cell r="BI363"/>
          <cell r="BJ363"/>
          <cell r="BK363"/>
          <cell r="BL363"/>
          <cell r="BM363"/>
          <cell r="BN363"/>
          <cell r="BO363"/>
          <cell r="BP363"/>
          <cell r="BQ363"/>
          <cell r="BR363"/>
          <cell r="BS363"/>
          <cell r="BT363"/>
          <cell r="BU363"/>
          <cell r="BV363"/>
          <cell r="BW363"/>
          <cell r="BX363"/>
        </row>
        <row r="364">
          <cell r="B364" t="str">
            <v>Expense - % Oil derivatives/NGLs/plastics</v>
          </cell>
          <cell r="C364" t="str">
            <v>EXP_OIL_DERIV_NGLS_PLASTICS</v>
          </cell>
          <cell r="F364"/>
          <cell r="G364"/>
          <cell r="H364"/>
          <cell r="I364"/>
          <cell r="J364"/>
          <cell r="K364"/>
          <cell r="L364"/>
          <cell r="M364">
            <v>0</v>
          </cell>
          <cell r="N364"/>
          <cell r="O364"/>
          <cell r="P364">
            <v>0</v>
          </cell>
          <cell r="Q364"/>
          <cell r="R364"/>
          <cell r="S364">
            <v>0</v>
          </cell>
          <cell r="T364"/>
          <cell r="U364"/>
          <cell r="V364">
            <v>0</v>
          </cell>
          <cell r="W364"/>
          <cell r="X364"/>
          <cell r="Y364">
            <v>0</v>
          </cell>
          <cell r="Z364"/>
          <cell r="AA364"/>
          <cell r="AB364">
            <v>0</v>
          </cell>
          <cell r="AC364"/>
          <cell r="AD364"/>
          <cell r="AE364"/>
          <cell r="AF364"/>
          <cell r="AG364"/>
          <cell r="AH364"/>
          <cell r="AI364"/>
          <cell r="AJ364"/>
          <cell r="AK364"/>
          <cell r="AL364"/>
          <cell r="AM364"/>
          <cell r="AN364"/>
          <cell r="AO364"/>
          <cell r="AP364"/>
          <cell r="AQ364"/>
          <cell r="AR364"/>
          <cell r="AS364"/>
          <cell r="AT364"/>
          <cell r="AU364"/>
          <cell r="AV364"/>
          <cell r="AW364"/>
          <cell r="AX364"/>
          <cell r="AY364"/>
          <cell r="AZ364"/>
          <cell r="BA364"/>
          <cell r="BB364"/>
          <cell r="BC364"/>
          <cell r="BD364"/>
          <cell r="BE364"/>
          <cell r="BF364"/>
          <cell r="BG364"/>
          <cell r="BH364"/>
          <cell r="BI364"/>
          <cell r="BJ364"/>
          <cell r="BK364"/>
          <cell r="BL364"/>
          <cell r="BM364"/>
          <cell r="BN364"/>
          <cell r="BO364"/>
          <cell r="BP364"/>
          <cell r="BQ364"/>
          <cell r="BR364"/>
          <cell r="BS364"/>
          <cell r="BT364"/>
          <cell r="BU364"/>
          <cell r="BV364"/>
          <cell r="BW364"/>
          <cell r="BX364"/>
        </row>
        <row r="365">
          <cell r="A365" t="str">
            <v>FX Exposure - Sales</v>
          </cell>
          <cell r="B365"/>
          <cell r="C365"/>
          <cell r="D365"/>
        </row>
        <row r="366">
          <cell r="B366" t="str">
            <v>Sales - % FX: British Pounds/Pence</v>
          </cell>
          <cell r="C366" t="str">
            <v>SALES_FX_GPB</v>
          </cell>
          <cell r="F366"/>
          <cell r="G366"/>
          <cell r="H366"/>
          <cell r="I366"/>
          <cell r="J366"/>
          <cell r="K366"/>
          <cell r="L366"/>
          <cell r="M366"/>
          <cell r="N366"/>
          <cell r="O366"/>
          <cell r="P366"/>
          <cell r="Q366"/>
          <cell r="R366"/>
          <cell r="S366"/>
          <cell r="T366"/>
          <cell r="U366"/>
          <cell r="V366"/>
          <cell r="W366"/>
          <cell r="X366"/>
          <cell r="Y366"/>
          <cell r="Z366"/>
          <cell r="AA366"/>
          <cell r="AB366"/>
          <cell r="AC366"/>
          <cell r="AD366"/>
          <cell r="AE366"/>
          <cell r="AF366"/>
          <cell r="AG366"/>
          <cell r="AH366"/>
          <cell r="AI366"/>
          <cell r="AJ366"/>
          <cell r="AK366"/>
          <cell r="AL366"/>
          <cell r="AM366"/>
          <cell r="AN366"/>
          <cell r="AO366"/>
          <cell r="AP366"/>
          <cell r="AQ366"/>
          <cell r="AR366"/>
          <cell r="AS366"/>
          <cell r="AT366"/>
          <cell r="AU366"/>
          <cell r="AV366"/>
          <cell r="AW366"/>
          <cell r="AX366"/>
          <cell r="AY366"/>
          <cell r="AZ366"/>
          <cell r="BA366"/>
          <cell r="BB366"/>
          <cell r="BC366"/>
          <cell r="BD366"/>
          <cell r="BE366"/>
          <cell r="BF366"/>
          <cell r="BG366"/>
          <cell r="BH366"/>
          <cell r="BI366"/>
          <cell r="BJ366"/>
          <cell r="BK366"/>
          <cell r="BL366"/>
          <cell r="BM366"/>
          <cell r="BN366"/>
          <cell r="BO366"/>
          <cell r="BP366"/>
          <cell r="BQ366"/>
          <cell r="BR366"/>
          <cell r="BS366"/>
          <cell r="BT366"/>
          <cell r="BU366"/>
          <cell r="BV366"/>
          <cell r="BW366"/>
          <cell r="BX366"/>
        </row>
        <row r="367">
          <cell r="B367" t="str">
            <v>Sales - % FX: Euro</v>
          </cell>
          <cell r="C367" t="str">
            <v>SALES_FX_EUR</v>
          </cell>
          <cell r="F367"/>
          <cell r="G367"/>
          <cell r="H367"/>
          <cell r="I367"/>
          <cell r="J367"/>
          <cell r="K367"/>
          <cell r="L367"/>
          <cell r="M367"/>
          <cell r="N367"/>
          <cell r="O367"/>
          <cell r="P367"/>
          <cell r="Q367"/>
          <cell r="R367"/>
          <cell r="S367"/>
          <cell r="T367"/>
          <cell r="U367"/>
          <cell r="V367"/>
          <cell r="W367"/>
          <cell r="X367"/>
          <cell r="Y367"/>
          <cell r="Z367"/>
          <cell r="AA367"/>
          <cell r="AB367"/>
          <cell r="AC367"/>
          <cell r="AD367"/>
          <cell r="AE367"/>
          <cell r="AF367"/>
          <cell r="AG367"/>
          <cell r="AH367"/>
          <cell r="AI367"/>
          <cell r="AJ367"/>
          <cell r="AK367"/>
          <cell r="AL367"/>
          <cell r="AM367"/>
          <cell r="AN367"/>
          <cell r="AO367"/>
          <cell r="AP367"/>
          <cell r="AQ367"/>
          <cell r="AR367"/>
          <cell r="AS367"/>
          <cell r="AT367"/>
          <cell r="AU367"/>
          <cell r="AV367"/>
          <cell r="AW367"/>
          <cell r="AX367"/>
          <cell r="AY367"/>
          <cell r="AZ367"/>
          <cell r="BA367"/>
          <cell r="BB367"/>
          <cell r="BC367"/>
          <cell r="BD367"/>
          <cell r="BE367"/>
          <cell r="BF367"/>
          <cell r="BG367"/>
          <cell r="BH367"/>
          <cell r="BI367"/>
          <cell r="BJ367"/>
          <cell r="BK367"/>
          <cell r="BL367"/>
          <cell r="BM367"/>
          <cell r="BN367"/>
          <cell r="BO367"/>
          <cell r="BP367"/>
          <cell r="BQ367"/>
          <cell r="BR367"/>
          <cell r="BS367"/>
          <cell r="BT367"/>
          <cell r="BU367"/>
          <cell r="BV367"/>
          <cell r="BW367"/>
          <cell r="BX367"/>
        </row>
        <row r="368">
          <cell r="B368" t="str">
            <v>Sales - % FX: New Russian Ruble</v>
          </cell>
          <cell r="C368" t="str">
            <v>SALES_FX_RUB</v>
          </cell>
          <cell r="F368"/>
          <cell r="G368"/>
          <cell r="H368"/>
          <cell r="I368"/>
          <cell r="J368"/>
          <cell r="K368"/>
          <cell r="L368"/>
          <cell r="M368"/>
          <cell r="N368"/>
          <cell r="O368"/>
          <cell r="P368"/>
          <cell r="Q368"/>
          <cell r="R368"/>
          <cell r="S368"/>
          <cell r="T368"/>
          <cell r="U368"/>
          <cell r="V368"/>
          <cell r="W368"/>
          <cell r="X368"/>
          <cell r="Y368"/>
          <cell r="Z368"/>
          <cell r="AA368"/>
          <cell r="AB368"/>
          <cell r="AC368"/>
          <cell r="AD368"/>
          <cell r="AE368"/>
          <cell r="AF368"/>
          <cell r="AG368"/>
          <cell r="AH368"/>
          <cell r="AI368"/>
          <cell r="AJ368"/>
          <cell r="AK368"/>
          <cell r="AL368"/>
          <cell r="AM368"/>
          <cell r="AN368"/>
          <cell r="AO368"/>
          <cell r="AP368"/>
          <cell r="AQ368"/>
          <cell r="AR368"/>
          <cell r="AS368"/>
          <cell r="AT368"/>
          <cell r="AU368"/>
          <cell r="AV368"/>
          <cell r="AW368"/>
          <cell r="AX368"/>
          <cell r="AY368"/>
          <cell r="AZ368"/>
          <cell r="BA368"/>
          <cell r="BB368"/>
          <cell r="BC368"/>
          <cell r="BD368"/>
          <cell r="BE368"/>
          <cell r="BF368"/>
          <cell r="BG368"/>
          <cell r="BH368"/>
          <cell r="BI368"/>
          <cell r="BJ368"/>
          <cell r="BK368"/>
          <cell r="BL368"/>
          <cell r="BM368"/>
          <cell r="BN368"/>
          <cell r="BO368"/>
          <cell r="BP368"/>
          <cell r="BQ368"/>
          <cell r="BR368"/>
          <cell r="BS368"/>
          <cell r="BT368"/>
          <cell r="BU368"/>
          <cell r="BV368"/>
          <cell r="BW368"/>
          <cell r="BX368"/>
        </row>
        <row r="369">
          <cell r="B369" t="str">
            <v>Sales - % FX: U.S. Dollar</v>
          </cell>
          <cell r="C369" t="str">
            <v>SALES_FX_USD</v>
          </cell>
          <cell r="F369"/>
          <cell r="G369"/>
          <cell r="H369"/>
          <cell r="I369"/>
          <cell r="J369"/>
          <cell r="K369"/>
          <cell r="L369"/>
          <cell r="M369"/>
          <cell r="N369"/>
          <cell r="O369"/>
          <cell r="P369"/>
          <cell r="Q369"/>
          <cell r="R369"/>
          <cell r="S369"/>
          <cell r="T369"/>
          <cell r="U369"/>
          <cell r="V369"/>
          <cell r="W369"/>
          <cell r="X369"/>
          <cell r="Y369"/>
          <cell r="Z369"/>
          <cell r="AA369"/>
          <cell r="AB369"/>
          <cell r="AC369"/>
          <cell r="AD369"/>
          <cell r="AE369"/>
          <cell r="AF369"/>
          <cell r="AG369"/>
          <cell r="AH369"/>
          <cell r="AI369"/>
          <cell r="AJ369"/>
          <cell r="AK369"/>
          <cell r="AL369"/>
          <cell r="AM369"/>
          <cell r="AN369"/>
          <cell r="AO369"/>
          <cell r="AP369"/>
          <cell r="AQ369"/>
          <cell r="AR369"/>
          <cell r="AS369"/>
          <cell r="AT369"/>
          <cell r="AU369"/>
          <cell r="AV369"/>
          <cell r="AW369"/>
          <cell r="AX369"/>
          <cell r="AY369"/>
          <cell r="AZ369"/>
          <cell r="BA369"/>
          <cell r="BB369"/>
          <cell r="BC369"/>
          <cell r="BD369"/>
          <cell r="BE369"/>
          <cell r="BF369"/>
          <cell r="BG369"/>
          <cell r="BH369"/>
          <cell r="BI369"/>
          <cell r="BJ369"/>
          <cell r="BK369"/>
          <cell r="BL369"/>
          <cell r="BM369"/>
          <cell r="BN369"/>
          <cell r="BO369"/>
          <cell r="BP369"/>
          <cell r="BQ369"/>
          <cell r="BR369"/>
          <cell r="BS369"/>
          <cell r="BT369"/>
          <cell r="BU369"/>
          <cell r="BV369"/>
          <cell r="BW369"/>
          <cell r="BX369"/>
        </row>
        <row r="370">
          <cell r="B370" t="str">
            <v>Sales - % FX: Brazilian Real</v>
          </cell>
          <cell r="C370" t="str">
            <v>SALES_FX_BRL</v>
          </cell>
          <cell r="F370"/>
          <cell r="G370"/>
          <cell r="H370"/>
          <cell r="I370"/>
          <cell r="J370"/>
          <cell r="K370"/>
          <cell r="L370"/>
          <cell r="M370"/>
          <cell r="N370"/>
          <cell r="O370"/>
          <cell r="P370"/>
          <cell r="Q370"/>
          <cell r="R370"/>
          <cell r="S370"/>
          <cell r="T370"/>
          <cell r="U370"/>
          <cell r="V370"/>
          <cell r="W370"/>
          <cell r="X370"/>
          <cell r="Y370"/>
          <cell r="Z370"/>
          <cell r="AA370"/>
          <cell r="AB370"/>
          <cell r="AC370"/>
          <cell r="AD370"/>
          <cell r="AE370"/>
          <cell r="AF370"/>
          <cell r="AG370"/>
          <cell r="AH370"/>
          <cell r="AI370"/>
          <cell r="AJ370"/>
          <cell r="AK370"/>
          <cell r="AL370"/>
          <cell r="AM370"/>
          <cell r="AN370"/>
          <cell r="AO370"/>
          <cell r="AP370"/>
          <cell r="AQ370"/>
          <cell r="AR370"/>
          <cell r="AS370"/>
          <cell r="AT370"/>
          <cell r="AU370"/>
          <cell r="AV370"/>
          <cell r="AW370"/>
          <cell r="AX370"/>
          <cell r="AY370"/>
          <cell r="AZ370"/>
          <cell r="BA370"/>
          <cell r="BB370"/>
          <cell r="BC370"/>
          <cell r="BD370"/>
          <cell r="BE370"/>
          <cell r="BF370"/>
          <cell r="BG370"/>
          <cell r="BH370"/>
          <cell r="BI370"/>
          <cell r="BJ370"/>
          <cell r="BK370"/>
          <cell r="BL370"/>
          <cell r="BM370"/>
          <cell r="BN370"/>
          <cell r="BO370"/>
          <cell r="BP370"/>
          <cell r="BQ370"/>
          <cell r="BR370"/>
          <cell r="BS370"/>
          <cell r="BT370"/>
          <cell r="BU370"/>
          <cell r="BV370"/>
          <cell r="BW370"/>
          <cell r="BX370"/>
        </row>
        <row r="371">
          <cell r="B371" t="str">
            <v>Sales - % FX: Japanese Yen</v>
          </cell>
          <cell r="C371" t="str">
            <v>SALES_FX_YEN</v>
          </cell>
          <cell r="F371"/>
          <cell r="G371"/>
          <cell r="H371"/>
          <cell r="I371"/>
          <cell r="J371"/>
          <cell r="K371"/>
          <cell r="L371"/>
          <cell r="M371"/>
          <cell r="N371"/>
          <cell r="O371"/>
          <cell r="P371"/>
          <cell r="Q371"/>
          <cell r="R371"/>
          <cell r="S371"/>
          <cell r="T371"/>
          <cell r="U371"/>
          <cell r="V371"/>
          <cell r="W371"/>
          <cell r="X371"/>
          <cell r="Y371"/>
          <cell r="Z371"/>
          <cell r="AA371"/>
          <cell r="AB371"/>
          <cell r="AC371"/>
          <cell r="AD371"/>
          <cell r="AE371"/>
          <cell r="AF371"/>
          <cell r="AG371"/>
          <cell r="AH371"/>
          <cell r="AI371"/>
          <cell r="AJ371"/>
          <cell r="AK371"/>
          <cell r="AL371"/>
          <cell r="AM371"/>
          <cell r="AN371"/>
          <cell r="AO371"/>
          <cell r="AP371"/>
          <cell r="AQ371"/>
          <cell r="AR371"/>
          <cell r="AS371"/>
          <cell r="AT371"/>
          <cell r="AU371"/>
          <cell r="AV371"/>
          <cell r="AW371"/>
          <cell r="AX371"/>
          <cell r="AY371"/>
          <cell r="AZ371"/>
          <cell r="BA371"/>
          <cell r="BB371"/>
          <cell r="BC371"/>
          <cell r="BD371"/>
          <cell r="BE371"/>
          <cell r="BF371"/>
          <cell r="BG371"/>
          <cell r="BH371"/>
          <cell r="BI371"/>
          <cell r="BJ371"/>
          <cell r="BK371"/>
          <cell r="BL371"/>
          <cell r="BM371"/>
          <cell r="BN371"/>
          <cell r="BO371"/>
          <cell r="BP371"/>
          <cell r="BQ371"/>
          <cell r="BR371"/>
          <cell r="BS371"/>
          <cell r="BT371"/>
          <cell r="BU371"/>
          <cell r="BV371"/>
          <cell r="BW371"/>
          <cell r="BX371"/>
        </row>
        <row r="372">
          <cell r="B372" t="str">
            <v>Sales - % FX: Chinese Renminbi</v>
          </cell>
          <cell r="C372" t="str">
            <v>SALES_FX_CNY</v>
          </cell>
          <cell r="F372"/>
          <cell r="G372"/>
          <cell r="H372"/>
          <cell r="I372"/>
          <cell r="J372"/>
          <cell r="K372"/>
          <cell r="L372"/>
          <cell r="M372"/>
          <cell r="N372"/>
          <cell r="O372"/>
          <cell r="P372"/>
          <cell r="Q372"/>
          <cell r="R372"/>
          <cell r="S372"/>
          <cell r="T372"/>
          <cell r="U372"/>
          <cell r="V372"/>
          <cell r="W372"/>
          <cell r="X372"/>
          <cell r="Y372"/>
          <cell r="Z372"/>
          <cell r="AA372"/>
          <cell r="AB372"/>
          <cell r="AC372"/>
          <cell r="AD372"/>
          <cell r="AE372"/>
          <cell r="AF372"/>
          <cell r="AG372"/>
          <cell r="AH372"/>
          <cell r="AI372"/>
          <cell r="AJ372"/>
          <cell r="AK372"/>
          <cell r="AL372"/>
          <cell r="AM372"/>
          <cell r="AN372"/>
          <cell r="AO372"/>
          <cell r="AP372"/>
          <cell r="AQ372"/>
          <cell r="AR372"/>
          <cell r="AS372"/>
          <cell r="AT372"/>
          <cell r="AU372"/>
          <cell r="AV372"/>
          <cell r="AW372"/>
          <cell r="AX372"/>
          <cell r="AY372"/>
          <cell r="AZ372"/>
          <cell r="BA372"/>
          <cell r="BB372"/>
          <cell r="BC372"/>
          <cell r="BD372"/>
          <cell r="BE372"/>
          <cell r="BF372"/>
          <cell r="BG372"/>
          <cell r="BH372"/>
          <cell r="BI372"/>
          <cell r="BJ372"/>
          <cell r="BK372"/>
          <cell r="BL372"/>
          <cell r="BM372"/>
          <cell r="BN372"/>
          <cell r="BO372"/>
          <cell r="BP372"/>
          <cell r="BQ372"/>
          <cell r="BR372"/>
          <cell r="BS372"/>
          <cell r="BT372"/>
          <cell r="BU372"/>
          <cell r="BV372"/>
          <cell r="BW372"/>
          <cell r="BX372"/>
        </row>
        <row r="373">
          <cell r="B373" t="str">
            <v>Sales - % FX: Indian Rupee</v>
          </cell>
          <cell r="C373" t="str">
            <v>SALES_FX_INR</v>
          </cell>
          <cell r="F373"/>
          <cell r="G373"/>
          <cell r="H373"/>
          <cell r="I373"/>
          <cell r="J373"/>
          <cell r="K373"/>
          <cell r="L373"/>
          <cell r="M373"/>
          <cell r="N373"/>
          <cell r="O373"/>
          <cell r="P373"/>
          <cell r="Q373"/>
          <cell r="R373"/>
          <cell r="S373"/>
          <cell r="T373"/>
          <cell r="U373"/>
          <cell r="V373"/>
          <cell r="W373"/>
          <cell r="X373"/>
          <cell r="Y373"/>
          <cell r="Z373"/>
          <cell r="AA373"/>
          <cell r="AB373"/>
          <cell r="AC373"/>
          <cell r="AD373"/>
          <cell r="AE373"/>
          <cell r="AF373"/>
          <cell r="AG373"/>
          <cell r="AH373"/>
          <cell r="AI373"/>
          <cell r="AJ373"/>
          <cell r="AK373"/>
          <cell r="AL373"/>
          <cell r="AM373"/>
          <cell r="AN373"/>
          <cell r="AO373"/>
          <cell r="AP373"/>
          <cell r="AQ373"/>
          <cell r="AR373"/>
          <cell r="AS373"/>
          <cell r="AT373"/>
          <cell r="AU373"/>
          <cell r="AV373"/>
          <cell r="AW373"/>
          <cell r="AX373"/>
          <cell r="AY373"/>
          <cell r="AZ373"/>
          <cell r="BA373"/>
          <cell r="BB373"/>
          <cell r="BC373"/>
          <cell r="BD373"/>
          <cell r="BE373"/>
          <cell r="BF373"/>
          <cell r="BG373"/>
          <cell r="BH373"/>
          <cell r="BI373"/>
          <cell r="BJ373"/>
          <cell r="BK373"/>
          <cell r="BL373"/>
          <cell r="BM373"/>
          <cell r="BN373"/>
          <cell r="BO373"/>
          <cell r="BP373"/>
          <cell r="BQ373"/>
          <cell r="BR373"/>
          <cell r="BS373"/>
          <cell r="BT373"/>
          <cell r="BU373"/>
          <cell r="BV373"/>
          <cell r="BW373"/>
          <cell r="BX373"/>
        </row>
        <row r="374">
          <cell r="B374" t="str">
            <v>Sales - % FX: Australian Dollar</v>
          </cell>
          <cell r="C374" t="str">
            <v>SALES_FX_AUD</v>
          </cell>
          <cell r="F374"/>
          <cell r="G374"/>
          <cell r="H374"/>
          <cell r="I374"/>
          <cell r="J374"/>
          <cell r="K374"/>
          <cell r="L374"/>
          <cell r="M374"/>
          <cell r="N374"/>
          <cell r="O374"/>
          <cell r="P374"/>
          <cell r="Q374"/>
          <cell r="R374"/>
          <cell r="S374"/>
          <cell r="T374"/>
          <cell r="U374"/>
          <cell r="V374"/>
          <cell r="W374"/>
          <cell r="X374"/>
          <cell r="Y374"/>
          <cell r="Z374"/>
          <cell r="AA374"/>
          <cell r="AB374"/>
          <cell r="AC374"/>
          <cell r="AD374"/>
          <cell r="AE374"/>
          <cell r="AF374"/>
          <cell r="AG374"/>
          <cell r="AH374"/>
          <cell r="AI374"/>
          <cell r="AJ374"/>
          <cell r="AK374"/>
          <cell r="AL374"/>
          <cell r="AM374"/>
          <cell r="AN374"/>
          <cell r="AO374"/>
          <cell r="AP374"/>
          <cell r="AQ374"/>
          <cell r="AR374"/>
          <cell r="AS374"/>
          <cell r="AT374"/>
          <cell r="AU374"/>
          <cell r="AV374"/>
          <cell r="AW374"/>
          <cell r="AX374"/>
          <cell r="AY374"/>
          <cell r="AZ374"/>
          <cell r="BA374"/>
          <cell r="BB374"/>
          <cell r="BC374"/>
          <cell r="BD374"/>
          <cell r="BE374"/>
          <cell r="BF374"/>
          <cell r="BG374"/>
          <cell r="BH374"/>
          <cell r="BI374"/>
          <cell r="BJ374"/>
          <cell r="BK374"/>
          <cell r="BL374"/>
          <cell r="BM374"/>
          <cell r="BN374"/>
          <cell r="BO374"/>
          <cell r="BP374"/>
          <cell r="BQ374"/>
          <cell r="BR374"/>
          <cell r="BS374"/>
          <cell r="BT374"/>
          <cell r="BU374"/>
          <cell r="BV374"/>
          <cell r="BW374"/>
          <cell r="BX374"/>
        </row>
        <row r="375">
          <cell r="B375" t="str">
            <v>Sales - % FX: New Zealand Dollar</v>
          </cell>
          <cell r="C375" t="str">
            <v>SALES_FX_NZD</v>
          </cell>
          <cell r="F375"/>
          <cell r="G375"/>
          <cell r="H375"/>
          <cell r="I375"/>
          <cell r="J375"/>
          <cell r="K375"/>
          <cell r="L375"/>
          <cell r="M375"/>
          <cell r="N375"/>
          <cell r="O375"/>
          <cell r="P375"/>
          <cell r="Q375"/>
          <cell r="R375"/>
          <cell r="S375"/>
          <cell r="T375"/>
          <cell r="U375"/>
          <cell r="V375"/>
          <cell r="W375"/>
          <cell r="X375"/>
          <cell r="Y375"/>
          <cell r="Z375"/>
          <cell r="AA375"/>
          <cell r="AB375"/>
          <cell r="AC375"/>
          <cell r="AD375"/>
          <cell r="AE375"/>
          <cell r="AF375"/>
          <cell r="AG375"/>
          <cell r="AH375"/>
          <cell r="AI375"/>
          <cell r="AJ375"/>
          <cell r="AK375"/>
          <cell r="AL375"/>
          <cell r="AM375"/>
          <cell r="AN375"/>
          <cell r="AO375"/>
          <cell r="AP375"/>
          <cell r="AQ375"/>
          <cell r="AR375"/>
          <cell r="AS375"/>
          <cell r="AT375"/>
          <cell r="AU375"/>
          <cell r="AV375"/>
          <cell r="AW375"/>
          <cell r="AX375"/>
          <cell r="AY375"/>
          <cell r="AZ375"/>
          <cell r="BA375"/>
          <cell r="BB375"/>
          <cell r="BC375"/>
          <cell r="BD375"/>
          <cell r="BE375"/>
          <cell r="BF375"/>
          <cell r="BG375"/>
          <cell r="BH375"/>
          <cell r="BI375"/>
          <cell r="BJ375"/>
          <cell r="BK375"/>
          <cell r="BL375"/>
          <cell r="BM375"/>
          <cell r="BN375"/>
          <cell r="BO375"/>
          <cell r="BP375"/>
          <cell r="BQ375"/>
          <cell r="BR375"/>
          <cell r="BS375"/>
          <cell r="BT375"/>
          <cell r="BU375"/>
          <cell r="BV375"/>
          <cell r="BW375"/>
          <cell r="BX375"/>
        </row>
        <row r="376">
          <cell r="B376" t="str">
            <v>Sales - % FX: Other Currency</v>
          </cell>
          <cell r="C376" t="str">
            <v>SALES_FX_OTH</v>
          </cell>
          <cell r="F376"/>
          <cell r="G376"/>
          <cell r="H376"/>
          <cell r="I376"/>
          <cell r="J376"/>
          <cell r="K376"/>
          <cell r="L376"/>
          <cell r="M376"/>
          <cell r="N376"/>
          <cell r="O376"/>
          <cell r="P376"/>
          <cell r="Q376"/>
          <cell r="R376"/>
          <cell r="S376"/>
          <cell r="T376"/>
          <cell r="U376"/>
          <cell r="V376"/>
          <cell r="W376"/>
          <cell r="X376"/>
          <cell r="Y376"/>
          <cell r="Z376"/>
          <cell r="AA376"/>
          <cell r="AB376"/>
          <cell r="AC376"/>
          <cell r="AD376"/>
          <cell r="AE376"/>
          <cell r="AF376"/>
          <cell r="AG376"/>
          <cell r="AH376"/>
          <cell r="AI376"/>
          <cell r="AJ376"/>
          <cell r="AK376"/>
          <cell r="AL376"/>
          <cell r="AM376"/>
          <cell r="AN376"/>
          <cell r="AO376"/>
          <cell r="AP376"/>
          <cell r="AQ376"/>
          <cell r="AR376"/>
          <cell r="AS376"/>
          <cell r="AT376"/>
          <cell r="AU376"/>
          <cell r="AV376"/>
          <cell r="AW376"/>
          <cell r="AX376"/>
          <cell r="AY376"/>
          <cell r="AZ376"/>
          <cell r="BA376"/>
          <cell r="BB376"/>
          <cell r="BC376"/>
          <cell r="BD376"/>
          <cell r="BE376"/>
          <cell r="BF376"/>
          <cell r="BG376"/>
          <cell r="BH376"/>
          <cell r="BI376"/>
          <cell r="BJ376"/>
          <cell r="BK376"/>
          <cell r="BL376"/>
          <cell r="BM376"/>
          <cell r="BN376"/>
          <cell r="BO376"/>
          <cell r="BP376"/>
          <cell r="BQ376"/>
          <cell r="BR376"/>
          <cell r="BS376"/>
          <cell r="BT376"/>
          <cell r="BU376"/>
          <cell r="BV376"/>
          <cell r="BW376"/>
          <cell r="BX376"/>
        </row>
        <row r="377">
          <cell r="A377" t="str">
            <v>Items to be removed</v>
          </cell>
          <cell r="B377"/>
          <cell r="C377"/>
          <cell r="D377"/>
        </row>
        <row r="378">
          <cell r="B378" t="str">
            <v>Sales - Total % Americas</v>
          </cell>
          <cell r="C378" t="str">
            <v>SALES_TOT_AM</v>
          </cell>
          <cell r="F378"/>
          <cell r="G378"/>
          <cell r="H378"/>
          <cell r="I378"/>
          <cell r="J378"/>
          <cell r="K378"/>
          <cell r="L378"/>
          <cell r="M378"/>
          <cell r="N378"/>
          <cell r="O378"/>
          <cell r="P378"/>
          <cell r="Q378"/>
          <cell r="R378"/>
          <cell r="S378"/>
          <cell r="T378"/>
          <cell r="U378"/>
          <cell r="V378"/>
          <cell r="W378"/>
          <cell r="X378"/>
          <cell r="Y378"/>
          <cell r="Z378"/>
          <cell r="AA378"/>
          <cell r="AB378"/>
          <cell r="AC378"/>
          <cell r="AD378"/>
          <cell r="AE378"/>
          <cell r="AF378"/>
          <cell r="AG378"/>
          <cell r="AH378"/>
          <cell r="AI378"/>
          <cell r="AJ378"/>
          <cell r="AK378"/>
          <cell r="AL378"/>
          <cell r="AM378"/>
          <cell r="AN378"/>
          <cell r="AO378"/>
          <cell r="AP378"/>
          <cell r="AQ378"/>
          <cell r="AR378"/>
          <cell r="AS378"/>
          <cell r="AT378"/>
          <cell r="AU378"/>
          <cell r="AV378"/>
          <cell r="AW378"/>
          <cell r="AX378"/>
          <cell r="AY378"/>
          <cell r="AZ378"/>
          <cell r="BA378"/>
          <cell r="BB378"/>
          <cell r="BC378"/>
          <cell r="BD378"/>
          <cell r="BE378"/>
          <cell r="BF378"/>
          <cell r="BG378"/>
          <cell r="BH378"/>
          <cell r="BI378"/>
          <cell r="BJ378"/>
          <cell r="BK378"/>
          <cell r="BL378"/>
          <cell r="BM378"/>
          <cell r="BN378"/>
          <cell r="BO378"/>
          <cell r="BP378"/>
          <cell r="BQ378"/>
          <cell r="BR378"/>
          <cell r="BS378"/>
          <cell r="BT378"/>
          <cell r="BU378"/>
          <cell r="BV378"/>
          <cell r="BW378"/>
          <cell r="BX378"/>
        </row>
        <row r="379">
          <cell r="B379" t="str">
            <v>Sales - % Other Americas</v>
          </cell>
          <cell r="C379" t="str">
            <v>SALES_OTH_AM</v>
          </cell>
          <cell r="F379"/>
          <cell r="G379"/>
          <cell r="H379"/>
          <cell r="I379"/>
          <cell r="J379"/>
          <cell r="K379"/>
          <cell r="L379"/>
          <cell r="M379"/>
          <cell r="N379"/>
          <cell r="O379"/>
          <cell r="P379"/>
          <cell r="Q379"/>
          <cell r="R379"/>
          <cell r="S379"/>
          <cell r="T379"/>
          <cell r="U379"/>
          <cell r="V379"/>
          <cell r="W379"/>
          <cell r="X379"/>
          <cell r="Y379"/>
          <cell r="Z379"/>
          <cell r="AA379"/>
          <cell r="AB379"/>
          <cell r="AC379"/>
          <cell r="AD379"/>
          <cell r="AE379"/>
          <cell r="AF379"/>
          <cell r="AG379"/>
          <cell r="AH379"/>
          <cell r="AI379"/>
          <cell r="AJ379"/>
          <cell r="AK379"/>
          <cell r="AL379"/>
          <cell r="AM379"/>
          <cell r="AN379"/>
          <cell r="AO379"/>
          <cell r="AP379"/>
          <cell r="AQ379"/>
          <cell r="AR379"/>
          <cell r="AS379"/>
          <cell r="AT379"/>
          <cell r="AU379"/>
          <cell r="AV379"/>
          <cell r="AW379"/>
          <cell r="AX379"/>
          <cell r="AY379"/>
          <cell r="AZ379"/>
          <cell r="BA379"/>
          <cell r="BB379"/>
          <cell r="BC379"/>
          <cell r="BD379"/>
          <cell r="BE379"/>
          <cell r="BF379"/>
          <cell r="BG379"/>
          <cell r="BH379"/>
          <cell r="BI379"/>
          <cell r="BJ379"/>
          <cell r="BK379"/>
          <cell r="BL379"/>
          <cell r="BM379"/>
          <cell r="BN379"/>
          <cell r="BO379"/>
          <cell r="BP379"/>
          <cell r="BQ379"/>
          <cell r="BR379"/>
          <cell r="BS379"/>
          <cell r="BT379"/>
          <cell r="BU379"/>
          <cell r="BV379"/>
          <cell r="BW379"/>
          <cell r="BX379"/>
        </row>
        <row r="380">
          <cell r="B380" t="str">
            <v>Sales - Total % EMEA</v>
          </cell>
          <cell r="C380" t="str">
            <v>SALES_TOT_EMEA</v>
          </cell>
          <cell r="F380"/>
          <cell r="G380"/>
          <cell r="H380"/>
          <cell r="I380"/>
          <cell r="J380"/>
          <cell r="K380"/>
          <cell r="L380"/>
          <cell r="M380"/>
          <cell r="N380"/>
          <cell r="O380"/>
          <cell r="P380"/>
          <cell r="Q380"/>
          <cell r="R380"/>
          <cell r="S380"/>
          <cell r="T380"/>
          <cell r="U380"/>
          <cell r="V380"/>
          <cell r="W380"/>
          <cell r="X380"/>
          <cell r="Y380"/>
          <cell r="Z380"/>
          <cell r="AA380"/>
          <cell r="AB380"/>
          <cell r="AC380"/>
          <cell r="AD380"/>
          <cell r="AE380"/>
          <cell r="AF380"/>
          <cell r="AG380"/>
          <cell r="AH380"/>
          <cell r="AI380"/>
          <cell r="AJ380"/>
          <cell r="AK380"/>
          <cell r="AL380"/>
          <cell r="AM380"/>
          <cell r="AN380"/>
          <cell r="AO380"/>
          <cell r="AP380"/>
          <cell r="AQ380"/>
          <cell r="AR380"/>
          <cell r="AS380"/>
          <cell r="AT380"/>
          <cell r="AU380"/>
          <cell r="AV380"/>
          <cell r="AW380"/>
          <cell r="AX380"/>
          <cell r="AY380"/>
          <cell r="AZ380"/>
          <cell r="BA380"/>
          <cell r="BB380"/>
          <cell r="BC380"/>
          <cell r="BD380"/>
          <cell r="BE380"/>
          <cell r="BF380"/>
          <cell r="BG380"/>
          <cell r="BH380"/>
          <cell r="BI380"/>
          <cell r="BJ380"/>
          <cell r="BK380"/>
          <cell r="BL380"/>
          <cell r="BM380"/>
          <cell r="BN380"/>
          <cell r="BO380"/>
          <cell r="BP380"/>
          <cell r="BQ380"/>
          <cell r="BR380"/>
          <cell r="BS380"/>
          <cell r="BT380"/>
          <cell r="BU380"/>
          <cell r="BV380"/>
          <cell r="BW380"/>
          <cell r="BX380"/>
        </row>
        <row r="381">
          <cell r="B381" t="str">
            <v>Sales - % Western Europe-Ex UK</v>
          </cell>
          <cell r="C381" t="str">
            <v>SALES_EU_EX_UK</v>
          </cell>
          <cell r="F381"/>
          <cell r="G381"/>
          <cell r="H381"/>
          <cell r="I381"/>
          <cell r="J381"/>
          <cell r="K381"/>
          <cell r="L381"/>
          <cell r="M381"/>
          <cell r="N381"/>
          <cell r="O381"/>
          <cell r="P381"/>
          <cell r="Q381"/>
          <cell r="R381"/>
          <cell r="S381"/>
          <cell r="T381"/>
          <cell r="U381"/>
          <cell r="V381"/>
          <cell r="W381"/>
          <cell r="X381"/>
          <cell r="Y381"/>
          <cell r="Z381"/>
          <cell r="AA381"/>
          <cell r="AB381"/>
          <cell r="AC381"/>
          <cell r="AD381"/>
          <cell r="AE381"/>
          <cell r="AF381"/>
          <cell r="AG381"/>
          <cell r="AH381"/>
          <cell r="AI381"/>
          <cell r="AJ381"/>
          <cell r="AK381"/>
          <cell r="AL381"/>
          <cell r="AM381"/>
          <cell r="AN381"/>
          <cell r="AO381"/>
          <cell r="AP381"/>
          <cell r="AQ381"/>
          <cell r="AR381"/>
          <cell r="AS381"/>
          <cell r="AT381"/>
          <cell r="AU381"/>
          <cell r="AV381"/>
          <cell r="AW381"/>
          <cell r="AX381"/>
          <cell r="AY381"/>
          <cell r="AZ381"/>
          <cell r="BA381"/>
          <cell r="BB381"/>
          <cell r="BC381"/>
          <cell r="BD381"/>
          <cell r="BE381"/>
          <cell r="BF381"/>
          <cell r="BG381"/>
          <cell r="BH381"/>
          <cell r="BI381"/>
          <cell r="BJ381"/>
          <cell r="BK381"/>
          <cell r="BL381"/>
          <cell r="BM381"/>
          <cell r="BN381"/>
          <cell r="BO381"/>
          <cell r="BP381"/>
          <cell r="BQ381"/>
          <cell r="BR381"/>
          <cell r="BS381"/>
          <cell r="BT381"/>
          <cell r="BU381"/>
          <cell r="BV381"/>
          <cell r="BW381"/>
          <cell r="BX381"/>
        </row>
        <row r="382">
          <cell r="B382" t="str">
            <v>Sales - % Central &amp; Eastern Europe</v>
          </cell>
          <cell r="C382" t="str">
            <v>SALES_CEE</v>
          </cell>
          <cell r="F382"/>
          <cell r="G382"/>
          <cell r="H382"/>
          <cell r="I382"/>
          <cell r="J382"/>
          <cell r="K382"/>
          <cell r="L382"/>
          <cell r="M382"/>
          <cell r="N382"/>
          <cell r="O382"/>
          <cell r="P382"/>
          <cell r="Q382"/>
          <cell r="R382"/>
          <cell r="S382"/>
          <cell r="T382"/>
          <cell r="U382"/>
          <cell r="V382"/>
          <cell r="W382"/>
          <cell r="X382"/>
          <cell r="Y382"/>
          <cell r="Z382"/>
          <cell r="AA382"/>
          <cell r="AB382"/>
          <cell r="AC382"/>
          <cell r="AD382"/>
          <cell r="AE382"/>
          <cell r="AF382"/>
          <cell r="AG382"/>
          <cell r="AH382"/>
          <cell r="AI382"/>
          <cell r="AJ382"/>
          <cell r="AK382"/>
          <cell r="AL382"/>
          <cell r="AM382"/>
          <cell r="AN382"/>
          <cell r="AO382"/>
          <cell r="AP382"/>
          <cell r="AQ382"/>
          <cell r="AR382"/>
          <cell r="AS382"/>
          <cell r="AT382"/>
          <cell r="AU382"/>
          <cell r="AV382"/>
          <cell r="AW382"/>
          <cell r="AX382"/>
          <cell r="AY382"/>
          <cell r="AZ382"/>
          <cell r="BA382"/>
          <cell r="BB382"/>
          <cell r="BC382"/>
          <cell r="BD382"/>
          <cell r="BE382"/>
          <cell r="BF382"/>
          <cell r="BG382"/>
          <cell r="BH382"/>
          <cell r="BI382"/>
          <cell r="BJ382"/>
          <cell r="BK382"/>
          <cell r="BL382"/>
          <cell r="BM382"/>
          <cell r="BN382"/>
          <cell r="BO382"/>
          <cell r="BP382"/>
          <cell r="BQ382"/>
          <cell r="BR382"/>
          <cell r="BS382"/>
          <cell r="BT382"/>
          <cell r="BU382"/>
          <cell r="BV382"/>
          <cell r="BW382"/>
          <cell r="BX382"/>
        </row>
        <row r="383">
          <cell r="B383" t="str">
            <v>Sales - % Middle East</v>
          </cell>
          <cell r="C383" t="str">
            <v>SALES_ME</v>
          </cell>
          <cell r="F383"/>
          <cell r="G383"/>
          <cell r="H383"/>
          <cell r="I383"/>
          <cell r="J383"/>
          <cell r="K383"/>
          <cell r="L383"/>
          <cell r="M383"/>
          <cell r="N383"/>
          <cell r="O383"/>
          <cell r="P383"/>
          <cell r="Q383"/>
          <cell r="R383"/>
          <cell r="S383"/>
          <cell r="T383"/>
          <cell r="U383"/>
          <cell r="V383"/>
          <cell r="W383"/>
          <cell r="X383"/>
          <cell r="Y383"/>
          <cell r="Z383"/>
          <cell r="AA383"/>
          <cell r="AB383"/>
          <cell r="AC383"/>
          <cell r="AD383"/>
          <cell r="AE383"/>
          <cell r="AF383"/>
          <cell r="AG383"/>
          <cell r="AH383"/>
          <cell r="AI383"/>
          <cell r="AJ383"/>
          <cell r="AK383"/>
          <cell r="AL383"/>
          <cell r="AM383"/>
          <cell r="AN383"/>
          <cell r="AO383"/>
          <cell r="AP383"/>
          <cell r="AQ383"/>
          <cell r="AR383"/>
          <cell r="AS383"/>
          <cell r="AT383"/>
          <cell r="AU383"/>
          <cell r="AV383"/>
          <cell r="AW383"/>
          <cell r="AX383"/>
          <cell r="AY383"/>
          <cell r="AZ383"/>
          <cell r="BA383"/>
          <cell r="BB383"/>
          <cell r="BC383"/>
          <cell r="BD383"/>
          <cell r="BE383"/>
          <cell r="BF383"/>
          <cell r="BG383"/>
          <cell r="BH383"/>
          <cell r="BI383"/>
          <cell r="BJ383"/>
          <cell r="BK383"/>
          <cell r="BL383"/>
          <cell r="BM383"/>
          <cell r="BN383"/>
          <cell r="BO383"/>
          <cell r="BP383"/>
          <cell r="BQ383"/>
          <cell r="BR383"/>
          <cell r="BS383"/>
          <cell r="BT383"/>
          <cell r="BU383"/>
          <cell r="BV383"/>
          <cell r="BW383"/>
          <cell r="BX383"/>
        </row>
        <row r="384">
          <cell r="B384" t="str">
            <v>Sales - % Total Africa</v>
          </cell>
          <cell r="C384" t="str">
            <v>SALES_TOT_AFRICA</v>
          </cell>
          <cell r="F384"/>
          <cell r="G384"/>
          <cell r="H384"/>
          <cell r="I384"/>
          <cell r="J384"/>
          <cell r="K384"/>
          <cell r="L384"/>
          <cell r="M384"/>
          <cell r="N384"/>
          <cell r="O384"/>
          <cell r="P384"/>
          <cell r="Q384"/>
          <cell r="R384"/>
          <cell r="S384"/>
          <cell r="T384"/>
          <cell r="U384"/>
          <cell r="V384"/>
          <cell r="W384"/>
          <cell r="X384"/>
          <cell r="Y384"/>
          <cell r="Z384"/>
          <cell r="AA384"/>
          <cell r="AB384"/>
          <cell r="AC384"/>
          <cell r="AD384"/>
          <cell r="AE384"/>
          <cell r="AF384"/>
          <cell r="AG384"/>
          <cell r="AH384"/>
          <cell r="AI384"/>
          <cell r="AJ384"/>
          <cell r="AK384"/>
          <cell r="AL384"/>
          <cell r="AM384"/>
          <cell r="AN384"/>
          <cell r="AO384"/>
          <cell r="AP384"/>
          <cell r="AQ384"/>
          <cell r="AR384"/>
          <cell r="AS384"/>
          <cell r="AT384"/>
          <cell r="AU384"/>
          <cell r="AV384"/>
          <cell r="AW384"/>
          <cell r="AX384"/>
          <cell r="AY384"/>
          <cell r="AZ384"/>
          <cell r="BA384"/>
          <cell r="BB384"/>
          <cell r="BC384"/>
          <cell r="BD384"/>
          <cell r="BE384"/>
          <cell r="BF384"/>
          <cell r="BG384"/>
          <cell r="BH384"/>
          <cell r="BI384"/>
          <cell r="BJ384"/>
          <cell r="BK384"/>
          <cell r="BL384"/>
          <cell r="BM384"/>
          <cell r="BN384"/>
          <cell r="BO384"/>
          <cell r="BP384"/>
          <cell r="BQ384"/>
          <cell r="BR384"/>
          <cell r="BS384"/>
          <cell r="BT384"/>
          <cell r="BU384"/>
          <cell r="BV384"/>
          <cell r="BW384"/>
          <cell r="BX384"/>
        </row>
        <row r="385">
          <cell r="B385" t="str">
            <v>Sales - % Other EMEA</v>
          </cell>
          <cell r="C385" t="str">
            <v>SALES_OTH_EMEA</v>
          </cell>
          <cell r="F385"/>
          <cell r="G385"/>
          <cell r="H385"/>
          <cell r="I385"/>
          <cell r="J385"/>
          <cell r="K385"/>
          <cell r="L385"/>
          <cell r="M385"/>
          <cell r="N385"/>
          <cell r="O385"/>
          <cell r="P385"/>
          <cell r="Q385"/>
          <cell r="R385"/>
          <cell r="S385"/>
          <cell r="T385"/>
          <cell r="U385"/>
          <cell r="V385"/>
          <cell r="W385"/>
          <cell r="X385"/>
          <cell r="Y385"/>
          <cell r="Z385"/>
          <cell r="AA385"/>
          <cell r="AB385"/>
          <cell r="AC385"/>
          <cell r="AD385"/>
          <cell r="AE385"/>
          <cell r="AF385"/>
          <cell r="AG385"/>
          <cell r="AH385"/>
          <cell r="AI385"/>
          <cell r="AJ385"/>
          <cell r="AK385"/>
          <cell r="AL385"/>
          <cell r="AM385"/>
          <cell r="AN385"/>
          <cell r="AO385"/>
          <cell r="AP385"/>
          <cell r="AQ385"/>
          <cell r="AR385"/>
          <cell r="AS385"/>
          <cell r="AT385"/>
          <cell r="AU385"/>
          <cell r="AV385"/>
          <cell r="AW385"/>
          <cell r="AX385"/>
          <cell r="AY385"/>
          <cell r="AZ385"/>
          <cell r="BA385"/>
          <cell r="BB385"/>
          <cell r="BC385"/>
          <cell r="BD385"/>
          <cell r="BE385"/>
          <cell r="BF385"/>
          <cell r="BG385"/>
          <cell r="BH385"/>
          <cell r="BI385"/>
          <cell r="BJ385"/>
          <cell r="BK385"/>
          <cell r="BL385"/>
          <cell r="BM385"/>
          <cell r="BN385"/>
          <cell r="BO385"/>
          <cell r="BP385"/>
          <cell r="BQ385"/>
          <cell r="BR385"/>
          <cell r="BS385"/>
          <cell r="BT385"/>
          <cell r="BU385"/>
          <cell r="BV385"/>
          <cell r="BW385"/>
          <cell r="BX385"/>
        </row>
        <row r="386">
          <cell r="B386" t="str">
            <v>Sales - Total % Asia (incl Australia &amp; New Zealand)</v>
          </cell>
          <cell r="C386" t="str">
            <v>SALES_TOT_ASIA</v>
          </cell>
          <cell r="F386">
            <v>1</v>
          </cell>
          <cell r="G386">
            <v>1</v>
          </cell>
          <cell r="H386">
            <v>1</v>
          </cell>
          <cell r="I386">
            <v>1</v>
          </cell>
          <cell r="J386">
            <v>1</v>
          </cell>
          <cell r="K386">
            <v>1</v>
          </cell>
          <cell r="L386">
            <v>1</v>
          </cell>
          <cell r="M386">
            <v>1</v>
          </cell>
          <cell r="N386"/>
          <cell r="O386"/>
          <cell r="P386">
            <v>1</v>
          </cell>
          <cell r="Q386"/>
          <cell r="R386"/>
          <cell r="S386">
            <v>1</v>
          </cell>
          <cell r="T386"/>
          <cell r="U386"/>
          <cell r="V386">
            <v>1</v>
          </cell>
          <cell r="W386"/>
          <cell r="X386"/>
          <cell r="Y386">
            <v>1</v>
          </cell>
          <cell r="Z386"/>
          <cell r="AA386"/>
          <cell r="AB386">
            <v>1</v>
          </cell>
          <cell r="AC386"/>
          <cell r="AD386"/>
          <cell r="AE386">
            <v>1</v>
          </cell>
          <cell r="AF386"/>
          <cell r="AG386"/>
          <cell r="AH386">
            <v>1</v>
          </cell>
          <cell r="AI386"/>
          <cell r="AJ386"/>
          <cell r="AK386">
            <v>1</v>
          </cell>
          <cell r="AL386"/>
          <cell r="AM386"/>
          <cell r="AN386">
            <v>1</v>
          </cell>
          <cell r="AO386"/>
          <cell r="AP386"/>
          <cell r="AQ386">
            <v>1</v>
          </cell>
          <cell r="AR386"/>
          <cell r="AS386"/>
          <cell r="AT386">
            <v>1</v>
          </cell>
          <cell r="AU386"/>
          <cell r="AV386"/>
          <cell r="AW386">
            <v>1</v>
          </cell>
          <cell r="AX386"/>
          <cell r="AY386"/>
          <cell r="AZ386">
            <v>1</v>
          </cell>
          <cell r="BA386"/>
          <cell r="BB386"/>
          <cell r="BC386">
            <v>1</v>
          </cell>
          <cell r="BD386"/>
          <cell r="BE386"/>
          <cell r="BF386">
            <v>1</v>
          </cell>
          <cell r="BG386"/>
          <cell r="BH386"/>
          <cell r="BI386">
            <v>1</v>
          </cell>
          <cell r="BJ386"/>
          <cell r="BK386"/>
          <cell r="BL386">
            <v>1</v>
          </cell>
          <cell r="BM386"/>
          <cell r="BN386"/>
          <cell r="BO386">
            <v>1</v>
          </cell>
          <cell r="BP386"/>
          <cell r="BQ386"/>
          <cell r="BR386">
            <v>1</v>
          </cell>
          <cell r="BS386"/>
          <cell r="BT386"/>
          <cell r="BU386">
            <v>1</v>
          </cell>
          <cell r="BV386"/>
          <cell r="BW386"/>
          <cell r="BX386">
            <v>1</v>
          </cell>
        </row>
        <row r="387">
          <cell r="B387" t="str">
            <v>Sales - % Other Asia</v>
          </cell>
          <cell r="C387" t="str">
            <v>SALES_OTH_AEJ</v>
          </cell>
          <cell r="F387">
            <v>1</v>
          </cell>
          <cell r="G387">
            <v>1</v>
          </cell>
          <cell r="H387">
            <v>1</v>
          </cell>
          <cell r="I387">
            <v>1</v>
          </cell>
          <cell r="J387">
            <v>1</v>
          </cell>
          <cell r="K387">
            <v>1</v>
          </cell>
          <cell r="L387">
            <v>1</v>
          </cell>
          <cell r="M387">
            <v>1</v>
          </cell>
          <cell r="N387"/>
          <cell r="O387"/>
          <cell r="P387">
            <v>1</v>
          </cell>
          <cell r="Q387"/>
          <cell r="R387"/>
          <cell r="S387">
            <v>1</v>
          </cell>
          <cell r="T387"/>
          <cell r="U387"/>
          <cell r="V387">
            <v>1</v>
          </cell>
          <cell r="W387"/>
          <cell r="X387"/>
          <cell r="Y387">
            <v>1</v>
          </cell>
          <cell r="Z387"/>
          <cell r="AA387"/>
          <cell r="AB387">
            <v>1</v>
          </cell>
          <cell r="AC387"/>
          <cell r="AD387"/>
          <cell r="AE387">
            <v>1</v>
          </cell>
          <cell r="AF387"/>
          <cell r="AG387"/>
          <cell r="AH387">
            <v>1</v>
          </cell>
          <cell r="AI387"/>
          <cell r="AJ387"/>
          <cell r="AK387">
            <v>1</v>
          </cell>
          <cell r="AL387"/>
          <cell r="AM387"/>
          <cell r="AN387">
            <v>1</v>
          </cell>
          <cell r="AO387"/>
          <cell r="AP387"/>
          <cell r="AQ387">
            <v>1</v>
          </cell>
          <cell r="AR387"/>
          <cell r="AS387"/>
          <cell r="AT387">
            <v>1</v>
          </cell>
          <cell r="AU387"/>
          <cell r="AV387"/>
          <cell r="AW387">
            <v>1</v>
          </cell>
          <cell r="AX387"/>
          <cell r="AY387"/>
          <cell r="AZ387">
            <v>1</v>
          </cell>
          <cell r="BA387"/>
          <cell r="BB387"/>
          <cell r="BC387">
            <v>1</v>
          </cell>
          <cell r="BD387"/>
          <cell r="BE387"/>
          <cell r="BF387">
            <v>1</v>
          </cell>
          <cell r="BG387"/>
          <cell r="BH387"/>
          <cell r="BI387">
            <v>1</v>
          </cell>
          <cell r="BJ387"/>
          <cell r="BK387"/>
          <cell r="BL387">
            <v>1</v>
          </cell>
          <cell r="BM387"/>
          <cell r="BN387"/>
          <cell r="BO387">
            <v>1</v>
          </cell>
          <cell r="BP387"/>
          <cell r="BQ387"/>
          <cell r="BR387">
            <v>1</v>
          </cell>
          <cell r="BS387"/>
          <cell r="BT387"/>
          <cell r="BU387">
            <v>1</v>
          </cell>
          <cell r="BV387"/>
          <cell r="BW387"/>
          <cell r="BX387">
            <v>1</v>
          </cell>
        </row>
        <row r="388">
          <cell r="A388" t="str">
            <v>Security: ANZ Group | SecID: 200004992</v>
          </cell>
          <cell r="B388"/>
          <cell r="C388"/>
          <cell r="D388"/>
        </row>
        <row r="389">
          <cell r="A389" t="str">
            <v>Reference Data</v>
          </cell>
          <cell r="B389"/>
          <cell r="C389"/>
          <cell r="D389"/>
        </row>
        <row r="390">
          <cell r="B390" t="str">
            <v>Ticker</v>
          </cell>
          <cell r="C390" t="str">
            <v>Ticker</v>
          </cell>
          <cell r="E390" t="str">
            <v>ANZ.AX</v>
          </cell>
        </row>
        <row r="391">
          <cell r="B391" t="str">
            <v>Security Name</v>
          </cell>
          <cell r="C391" t="str">
            <v>Security Name</v>
          </cell>
          <cell r="E391" t="str">
            <v>ANZ Group</v>
          </cell>
        </row>
        <row r="392">
          <cell r="B392" t="str">
            <v>Interim Type</v>
          </cell>
          <cell r="C392" t="str">
            <v>Interim Type</v>
          </cell>
          <cell r="E392" t="str">
            <v>H</v>
          </cell>
        </row>
        <row r="393">
          <cell r="B393" t="str">
            <v>Publishing Currency</v>
          </cell>
          <cell r="C393" t="str">
            <v>PUB_CURRENCY_ISO</v>
          </cell>
          <cell r="E393" t="str">
            <v>AUD</v>
          </cell>
        </row>
        <row r="394">
          <cell r="B394" t="str">
            <v>Pricing Currency</v>
          </cell>
          <cell r="C394" t="str">
            <v>PRICE_CURRENCY_ISO</v>
          </cell>
          <cell r="E394" t="str">
            <v>AUD</v>
          </cell>
        </row>
        <row r="395">
          <cell r="B395" t="str">
            <v>Reporting Currency</v>
          </cell>
          <cell r="C395" t="str">
            <v>CURRENCY_ISO</v>
          </cell>
          <cell r="E395" t="str">
            <v>AUD</v>
          </cell>
        </row>
        <row r="396">
          <cell r="A396" t="str">
            <v>General Information</v>
          </cell>
          <cell r="B396"/>
          <cell r="C396"/>
          <cell r="D396"/>
        </row>
        <row r="397">
          <cell r="B397" t="str">
            <v>Australia/NZ Investment List</v>
          </cell>
          <cell r="C397" t="str">
            <v>ANZ_LIST</v>
          </cell>
          <cell r="E397" t="str">
            <v>Buy</v>
          </cell>
        </row>
        <row r="398">
          <cell r="B398" t="str">
            <v>Australia/NZ Conviction List</v>
          </cell>
          <cell r="C398" t="str">
            <v>NOT IN USE</v>
          </cell>
          <cell r="E398"/>
        </row>
        <row r="399">
          <cell r="B399" t="str">
            <v>Legal rating</v>
          </cell>
          <cell r="C399" t="str">
            <v>LEGAL_RATING</v>
          </cell>
          <cell r="E399"/>
        </row>
        <row r="400">
          <cell r="B400" t="str">
            <v>Target price</v>
          </cell>
          <cell r="C400" t="str">
            <v>TARGET_PRICE</v>
          </cell>
          <cell r="D400" t="str">
            <v>AUD</v>
          </cell>
          <cell r="E400">
            <v>39.53</v>
          </cell>
        </row>
        <row r="401">
          <cell r="B401" t="str">
            <v>Target price period</v>
          </cell>
          <cell r="C401" t="str">
            <v>TP_PERIOD</v>
          </cell>
          <cell r="E401" t="str">
            <v>12 months</v>
          </cell>
        </row>
        <row r="402">
          <cell r="B402" t="str">
            <v>Fundamental value</v>
          </cell>
          <cell r="C402" t="str">
            <v>TARGET_PRICE_FUNDAMENTAL</v>
          </cell>
          <cell r="D402" t="str">
            <v>AUD</v>
          </cell>
          <cell r="E402"/>
        </row>
        <row r="403">
          <cell r="B403" t="str">
            <v>M&amp;A value</v>
          </cell>
          <cell r="C403" t="str">
            <v>TARGET_PRICE_MA</v>
          </cell>
          <cell r="D403" t="str">
            <v>AUD</v>
          </cell>
          <cell r="E403"/>
        </row>
        <row r="404">
          <cell r="B404" t="str">
            <v>Current shares outstanding (mn)</v>
          </cell>
          <cell r="C404" t="str">
            <v>NUM_SH</v>
          </cell>
          <cell r="E404">
            <v>2971.3656219999998</v>
          </cell>
        </row>
        <row r="405">
          <cell r="B405" t="str">
            <v>Free float</v>
          </cell>
          <cell r="C405" t="str">
            <v>FREE_FLOAT</v>
          </cell>
          <cell r="E405"/>
        </row>
        <row r="406">
          <cell r="B406" t="str">
            <v>Foreign ownership</v>
          </cell>
          <cell r="C406" t="str">
            <v>FOREIGN_HOLDNG</v>
          </cell>
          <cell r="E406"/>
        </row>
        <row r="407">
          <cell r="B407" t="str">
            <v>Catalyst 1 date</v>
          </cell>
          <cell r="C407" t="str">
            <v>CATALYST1_DATE</v>
          </cell>
          <cell r="E407"/>
        </row>
        <row r="408">
          <cell r="B408" t="str">
            <v>Catalyst 1 description</v>
          </cell>
          <cell r="C408" t="str">
            <v>CATALYST1_EVENT</v>
          </cell>
          <cell r="E408"/>
        </row>
        <row r="409">
          <cell r="B409" t="str">
            <v>Catalyst 2 date</v>
          </cell>
          <cell r="C409" t="str">
            <v>CATALYST2_DATE</v>
          </cell>
          <cell r="E409"/>
        </row>
        <row r="410">
          <cell r="B410" t="str">
            <v>Catalyst 2 description</v>
          </cell>
          <cell r="C410" t="str">
            <v>CATALYST2_EVENT</v>
          </cell>
          <cell r="E410"/>
        </row>
        <row r="411">
          <cell r="B411" t="str">
            <v>Catalyst 3 date</v>
          </cell>
          <cell r="C411" t="str">
            <v>CATALYST3_DATE</v>
          </cell>
          <cell r="E411"/>
        </row>
        <row r="412">
          <cell r="B412" t="str">
            <v>Catalyst 3 description</v>
          </cell>
          <cell r="C412" t="str">
            <v>CATALYST3_EVENT</v>
          </cell>
          <cell r="E412"/>
        </row>
        <row r="413">
          <cell r="B413" t="str">
            <v>Catalyst 4 date</v>
          </cell>
          <cell r="C413" t="str">
            <v>CATALYST4_DATE</v>
          </cell>
          <cell r="E413"/>
        </row>
        <row r="414">
          <cell r="B414" t="str">
            <v>Catalyst 4 description</v>
          </cell>
          <cell r="C414" t="str">
            <v>CATALYST4_EVENT</v>
          </cell>
          <cell r="E414"/>
        </row>
        <row r="415">
          <cell r="B415" t="str">
            <v>Catalyst 5 date</v>
          </cell>
          <cell r="C415" t="str">
            <v>CATALYST5_DATE</v>
          </cell>
          <cell r="E415"/>
        </row>
        <row r="416">
          <cell r="B416" t="str">
            <v>Catalyst 5 description</v>
          </cell>
          <cell r="C416" t="str">
            <v>CATALYST5_EVENT</v>
          </cell>
          <cell r="E416"/>
        </row>
        <row r="417">
          <cell r="B417" t="str">
            <v>Target price multiple</v>
          </cell>
          <cell r="C417" t="str">
            <v>PRI_TARG_MULT</v>
          </cell>
          <cell r="E417"/>
        </row>
        <row r="418">
          <cell r="B418" t="str">
            <v>Target price methodology</v>
          </cell>
          <cell r="C418" t="str">
            <v>PRI_TARG_METH</v>
          </cell>
          <cell r="E418"/>
        </row>
        <row r="419">
          <cell r="A419" t="str">
            <v>Publishing Items</v>
          </cell>
          <cell r="B419"/>
          <cell r="C419"/>
          <cell r="D419"/>
        </row>
        <row r="420">
          <cell r="B420" t="str">
            <v>Book value per share, BVPS (Pub)</v>
          </cell>
          <cell r="C420" t="str">
            <v>BVPS_PUB</v>
          </cell>
          <cell r="D420" t="str">
            <v>AUD</v>
          </cell>
          <cell r="F420">
            <v>10.263871330719809</v>
          </cell>
          <cell r="G420">
            <v>11.246691668364884</v>
          </cell>
          <cell r="H420">
            <v>12.454673021022197</v>
          </cell>
          <cell r="I420">
            <v>12.475050667997605</v>
          </cell>
          <cell r="J420">
            <v>12.875374817361411</v>
          </cell>
          <cell r="K420">
            <v>13.975620011411182</v>
          </cell>
          <cell r="L420">
            <v>14.712985132847574</v>
          </cell>
          <cell r="M420">
            <v>16.152087188832599</v>
          </cell>
          <cell r="N420">
            <v>16.666726649903431</v>
          </cell>
          <cell r="O420">
            <v>17.395874953203222</v>
          </cell>
          <cell r="P420">
            <v>17.395874953203222</v>
          </cell>
          <cell r="Q420">
            <v>18.6351483065799</v>
          </cell>
          <cell r="R420">
            <v>19.565903208047683</v>
          </cell>
          <cell r="S420">
            <v>19.565903208047683</v>
          </cell>
          <cell r="T420">
            <v>19.165390464080069</v>
          </cell>
          <cell r="U420">
            <v>19.593656139368061</v>
          </cell>
          <cell r="V420">
            <v>19.593656139368061</v>
          </cell>
          <cell r="W420">
            <v>19.527561079867844</v>
          </cell>
          <cell r="X420">
            <v>19.912879849285268</v>
          </cell>
          <cell r="Y420">
            <v>19.912879849285268</v>
          </cell>
          <cell r="Z420">
            <v>20.320459414201078</v>
          </cell>
          <cell r="AA420">
            <v>20.460609021675165</v>
          </cell>
          <cell r="AB420">
            <v>20.460609021675165</v>
          </cell>
          <cell r="AC420">
            <v>20.947369815656593</v>
          </cell>
          <cell r="AD420">
            <v>21.273648515063382</v>
          </cell>
          <cell r="AE420">
            <v>21.273648515063382</v>
          </cell>
          <cell r="AF420">
            <v>21.464935455649361</v>
          </cell>
          <cell r="AG420">
            <v>21.406355462693249</v>
          </cell>
          <cell r="AH420">
            <v>21.406355462693249</v>
          </cell>
          <cell r="AI420">
            <v>21.813368784812791</v>
          </cell>
          <cell r="AJ420">
            <v>22.369304529494631</v>
          </cell>
          <cell r="AK420">
            <v>22.369304529494631</v>
          </cell>
          <cell r="AL420">
            <v>21.924141129750158</v>
          </cell>
          <cell r="AM420">
            <v>22.043037043321579</v>
          </cell>
          <cell r="AN420">
            <v>22.043037043321579</v>
          </cell>
          <cell r="AO420">
            <v>22.992529721599617</v>
          </cell>
          <cell r="AP420">
            <v>23.124248245230589</v>
          </cell>
          <cell r="AQ420">
            <v>23.124248245230589</v>
          </cell>
          <cell r="AR420">
            <v>23.121447417850199</v>
          </cell>
          <cell r="AS420">
            <v>23.187763632598287</v>
          </cell>
          <cell r="AT420">
            <v>23.187763632598287</v>
          </cell>
          <cell r="AU420">
            <v>23.82843749546484</v>
          </cell>
          <cell r="AV420">
            <v>23.592600603760623</v>
          </cell>
          <cell r="AW420">
            <v>23.592600603760623</v>
          </cell>
          <cell r="AX420">
            <v>24.190550396804454</v>
          </cell>
          <cell r="AY420">
            <v>24.607056067786598</v>
          </cell>
          <cell r="AZ420">
            <v>24.607056067786598</v>
          </cell>
          <cell r="BA420">
            <v>24.81804505669108</v>
          </cell>
          <cell r="BB420">
            <v>24.90648454160408</v>
          </cell>
          <cell r="BC420">
            <v>24.906484541604073</v>
          </cell>
          <cell r="BD420">
            <v>25.023732457707528</v>
          </cell>
          <cell r="BE420">
            <v>25.109639413353552</v>
          </cell>
          <cell r="BF420">
            <v>25.109639413353541</v>
          </cell>
          <cell r="BG420">
            <v>25.198568329706841</v>
          </cell>
          <cell r="BH420">
            <v>25.293208681373123</v>
          </cell>
          <cell r="BI420">
            <v>25.293208681373113</v>
          </cell>
          <cell r="BJ420">
            <v>25.54739749661934</v>
          </cell>
          <cell r="BK420">
            <v>25.808896377513634</v>
          </cell>
          <cell r="BL420">
            <v>25.808896377513623</v>
          </cell>
          <cell r="BM420">
            <v>26.162389087819786</v>
          </cell>
          <cell r="BN420">
            <v>26.547571513682833</v>
          </cell>
          <cell r="BO420">
            <v>26.547571513682826</v>
          </cell>
          <cell r="BP420">
            <v>26.92694171781821</v>
          </cell>
          <cell r="BQ420">
            <v>27.281919587617601</v>
          </cell>
          <cell r="BR420">
            <v>27.281919587617598</v>
          </cell>
          <cell r="BS420">
            <v>27.625388074973085</v>
          </cell>
          <cell r="BT420">
            <v>27.958422931066494</v>
          </cell>
          <cell r="BU420">
            <v>27.95842293106649</v>
          </cell>
          <cell r="BV420">
            <v>28.28432947266014</v>
          </cell>
          <cell r="BW420">
            <v>28.614137241613481</v>
          </cell>
          <cell r="BX420">
            <v>28.61413724161347</v>
          </cell>
        </row>
        <row r="421">
          <cell r="B421" t="str">
            <v>DPS, dividend per share (Pub)</v>
          </cell>
          <cell r="C421" t="str">
            <v>DPS_PUB</v>
          </cell>
          <cell r="D421" t="str">
            <v>AUD</v>
          </cell>
          <cell r="F421">
            <v>1.2401075000000001</v>
          </cell>
          <cell r="G421">
            <v>1.34923696</v>
          </cell>
          <cell r="H421">
            <v>1.34923696</v>
          </cell>
          <cell r="I421">
            <v>1.0119277200000001</v>
          </cell>
          <cell r="J421">
            <v>1.2500283599999999</v>
          </cell>
          <cell r="K421">
            <v>1.3889203999999999</v>
          </cell>
          <cell r="L421">
            <v>1.4385247000000001</v>
          </cell>
          <cell r="M421">
            <v>1.62702104</v>
          </cell>
          <cell r="N421">
            <v>0.82343137999999994</v>
          </cell>
          <cell r="O421">
            <v>0.94248169999999998</v>
          </cell>
          <cell r="P421">
            <v>1.7659130799999998</v>
          </cell>
          <cell r="Q421">
            <v>0.85319396000000003</v>
          </cell>
          <cell r="R421">
            <v>0.94248169999999998</v>
          </cell>
          <cell r="S421">
            <v>1.7956756600000001</v>
          </cell>
          <cell r="T421">
            <v>0.79366880000000006</v>
          </cell>
          <cell r="U421">
            <v>0.79366880000000006</v>
          </cell>
          <cell r="V421">
            <v>1.5873376000000001</v>
          </cell>
          <cell r="W421">
            <v>0.79366880000000006</v>
          </cell>
          <cell r="X421">
            <v>0.79366880000000006</v>
          </cell>
          <cell r="Y421">
            <v>1.5873376000000001</v>
          </cell>
          <cell r="Z421">
            <v>0.79366880000000006</v>
          </cell>
          <cell r="AA421">
            <v>0.79366880000000006</v>
          </cell>
          <cell r="AB421">
            <v>1.5873376000000001</v>
          </cell>
          <cell r="AC421">
            <v>0.79366880000000006</v>
          </cell>
          <cell r="AD421">
            <v>0.79366880000000006</v>
          </cell>
          <cell r="AE421">
            <v>1.5873376000000001</v>
          </cell>
          <cell r="AF421">
            <v>0.24802150000000001</v>
          </cell>
          <cell r="AG421">
            <v>0.34723009999999999</v>
          </cell>
          <cell r="AH421">
            <v>0.59525159999999999</v>
          </cell>
          <cell r="AI421">
            <v>0.69446019999999997</v>
          </cell>
          <cell r="AJ421">
            <v>0.71430192000000003</v>
          </cell>
          <cell r="AK421">
            <v>1.40876212</v>
          </cell>
          <cell r="AL421">
            <v>0.71430192000000003</v>
          </cell>
          <cell r="AM421">
            <v>0.74</v>
          </cell>
          <cell r="AN421">
            <v>1.45430192</v>
          </cell>
          <cell r="AO421">
            <v>0.81</v>
          </cell>
          <cell r="AP421">
            <v>0.94000000000000006</v>
          </cell>
          <cell r="AQ421">
            <v>1.75</v>
          </cell>
          <cell r="AR421">
            <v>0.83</v>
          </cell>
          <cell r="AS421">
            <v>0.83</v>
          </cell>
          <cell r="AT421">
            <v>1.66</v>
          </cell>
          <cell r="AU421">
            <v>0.83</v>
          </cell>
          <cell r="AV421">
            <v>0.83</v>
          </cell>
          <cell r="AW421">
            <v>1.66</v>
          </cell>
          <cell r="AX421">
            <v>0.86</v>
          </cell>
          <cell r="AY421">
            <v>0.9</v>
          </cell>
          <cell r="AZ421">
            <v>1.76</v>
          </cell>
          <cell r="BA421">
            <v>0.91</v>
          </cell>
          <cell r="BB421">
            <v>0.92</v>
          </cell>
          <cell r="BC421">
            <v>1.83</v>
          </cell>
          <cell r="BD421">
            <v>0.94000000000000006</v>
          </cell>
          <cell r="BE421">
            <v>0.96000000000000008</v>
          </cell>
          <cell r="BF421">
            <v>1.9000000000000001</v>
          </cell>
          <cell r="BG421">
            <v>0.98000000000000009</v>
          </cell>
          <cell r="BH421">
            <v>1</v>
          </cell>
          <cell r="BI421">
            <v>1.98</v>
          </cell>
          <cell r="BJ421">
            <v>1.02</v>
          </cell>
          <cell r="BK421">
            <v>1.04</v>
          </cell>
          <cell r="BL421">
            <v>2.06</v>
          </cell>
          <cell r="BM421">
            <v>1.06</v>
          </cell>
          <cell r="BN421">
            <v>1.08</v>
          </cell>
          <cell r="BO421">
            <v>2.14</v>
          </cell>
          <cell r="BP421">
            <v>1.1000000000000001</v>
          </cell>
          <cell r="BQ421">
            <v>1.1200000000000001</v>
          </cell>
          <cell r="BR421">
            <v>2.2200000000000002</v>
          </cell>
          <cell r="BS421">
            <v>1.1400000000000001</v>
          </cell>
          <cell r="BT421">
            <v>1.1600000000000001</v>
          </cell>
          <cell r="BU421">
            <v>2.3000000000000003</v>
          </cell>
          <cell r="BV421">
            <v>1.1800000000000002</v>
          </cell>
          <cell r="BW421">
            <v>1.2000000000000002</v>
          </cell>
          <cell r="BX421">
            <v>2.3800000000000003</v>
          </cell>
        </row>
        <row r="422">
          <cell r="B422" t="str">
            <v>Special dividend per share</v>
          </cell>
          <cell r="C422" t="str">
            <v>DPS_SPECIAL_PUB</v>
          </cell>
          <cell r="D422" t="str">
            <v>AUD</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0.13</v>
          </cell>
          <cell r="AQ422">
            <v>0.13</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0</v>
          </cell>
          <cell r="BK422">
            <v>0</v>
          </cell>
          <cell r="BL422">
            <v>0</v>
          </cell>
          <cell r="BM422">
            <v>0</v>
          </cell>
          <cell r="BN422">
            <v>0</v>
          </cell>
          <cell r="BO422">
            <v>0</v>
          </cell>
          <cell r="BP422">
            <v>0</v>
          </cell>
          <cell r="BQ422">
            <v>0</v>
          </cell>
          <cell r="BR422">
            <v>0</v>
          </cell>
          <cell r="BS422">
            <v>0</v>
          </cell>
          <cell r="BT422">
            <v>0</v>
          </cell>
          <cell r="BU422">
            <v>0</v>
          </cell>
          <cell r="BV422">
            <v>0</v>
          </cell>
          <cell r="BW422">
            <v>0</v>
          </cell>
          <cell r="BX422">
            <v>0</v>
          </cell>
        </row>
        <row r="423">
          <cell r="B423" t="str">
            <v>EBITDA (Pub)</v>
          </cell>
          <cell r="C423" t="str">
            <v>EBITDA_PUB</v>
          </cell>
          <cell r="D423" t="str">
            <v>AUD</v>
          </cell>
          <cell r="F423"/>
          <cell r="G423"/>
          <cell r="H423"/>
          <cell r="I423"/>
          <cell r="J423"/>
          <cell r="K423"/>
          <cell r="L423"/>
          <cell r="M423"/>
          <cell r="N423"/>
          <cell r="O423"/>
          <cell r="P423"/>
          <cell r="Q423"/>
          <cell r="R423"/>
          <cell r="S423"/>
          <cell r="T423"/>
          <cell r="U423"/>
          <cell r="V423"/>
          <cell r="W423"/>
          <cell r="X423"/>
          <cell r="Y423"/>
          <cell r="Z423"/>
          <cell r="AA423"/>
          <cell r="AB423"/>
          <cell r="AC423"/>
          <cell r="AD423"/>
          <cell r="AE423"/>
          <cell r="AF423"/>
          <cell r="AG423"/>
          <cell r="AH423"/>
          <cell r="AI423"/>
          <cell r="AJ423"/>
          <cell r="AK423"/>
          <cell r="AL423"/>
          <cell r="AM423"/>
          <cell r="AN423"/>
          <cell r="AO423"/>
          <cell r="AP423"/>
          <cell r="AQ423"/>
          <cell r="AR423"/>
          <cell r="AS423"/>
          <cell r="AT423"/>
          <cell r="AU423"/>
          <cell r="AV423"/>
          <cell r="AW423"/>
          <cell r="AX423"/>
          <cell r="AY423"/>
          <cell r="AZ423"/>
          <cell r="BA423"/>
          <cell r="BB423"/>
          <cell r="BC423"/>
          <cell r="BD423"/>
          <cell r="BE423"/>
          <cell r="BF423"/>
          <cell r="BG423"/>
          <cell r="BH423"/>
          <cell r="BI423"/>
          <cell r="BJ423"/>
          <cell r="BK423"/>
          <cell r="BL423"/>
          <cell r="BM423"/>
          <cell r="BN423"/>
          <cell r="BO423"/>
          <cell r="BP423"/>
          <cell r="BQ423"/>
          <cell r="BR423"/>
          <cell r="BS423"/>
          <cell r="BT423"/>
          <cell r="BU423"/>
          <cell r="BV423"/>
          <cell r="BW423"/>
          <cell r="BX423"/>
        </row>
        <row r="424">
          <cell r="B424" t="str">
            <v>EPS (Pub)</v>
          </cell>
          <cell r="C424" t="str">
            <v>EPS_PUB</v>
          </cell>
          <cell r="D424" t="str">
            <v>AUD</v>
          </cell>
          <cell r="F424">
            <v>1.8733484348544287</v>
          </cell>
          <cell r="G424">
            <v>2.0351264401045666</v>
          </cell>
          <cell r="H424">
            <v>1.5894187026363034</v>
          </cell>
          <cell r="I424">
            <v>1.471494893689548</v>
          </cell>
          <cell r="J424">
            <v>1.9554798576195773</v>
          </cell>
          <cell r="K424">
            <v>2.0116436296981779</v>
          </cell>
          <cell r="L424">
            <v>2.1613143491888538</v>
          </cell>
          <cell r="M424">
            <v>2.2917675009467415</v>
          </cell>
          <cell r="N424">
            <v>1.2331396491708921</v>
          </cell>
          <cell r="O424">
            <v>1.2550972551948936</v>
          </cell>
          <cell r="P424">
            <v>2.486300587513631</v>
          </cell>
          <cell r="Q424">
            <v>1.2887491362580292</v>
          </cell>
          <cell r="R424">
            <v>1.1886076174692923</v>
          </cell>
          <cell r="S424">
            <v>2.45027770397731</v>
          </cell>
          <cell r="T424">
            <v>0.89977392599473605</v>
          </cell>
          <cell r="U424">
            <v>1.0120980085197018</v>
          </cell>
          <cell r="V424">
            <v>1.9256491986193911</v>
          </cell>
          <cell r="W424">
            <v>1.0925796208501006</v>
          </cell>
          <cell r="X424">
            <v>1.1199412896943808</v>
          </cell>
          <cell r="Y424">
            <v>2.2059824989817343</v>
          </cell>
          <cell r="Z424">
            <v>1.1251257759885154</v>
          </cell>
          <cell r="AA424">
            <v>0.99199098170673305</v>
          </cell>
          <cell r="AB424">
            <v>2.1217099838796347</v>
          </cell>
          <cell r="AC424">
            <v>1.1746465819950092</v>
          </cell>
          <cell r="AD424">
            <v>0.97966678003576657</v>
          </cell>
          <cell r="AE424">
            <v>2.1634654242993072</v>
          </cell>
          <cell r="AF424">
            <v>0.47083189711603785</v>
          </cell>
          <cell r="AG424">
            <v>0.75475033898834631</v>
          </cell>
          <cell r="AH424">
            <v>1.2310035900159322</v>
          </cell>
          <cell r="AI424">
            <v>0.99131404876150953</v>
          </cell>
          <cell r="AJ424">
            <v>1.0551795388826275</v>
          </cell>
          <cell r="AK424">
            <v>2.0441684232606168</v>
          </cell>
          <cell r="AL424">
            <v>1.0244331561311941</v>
          </cell>
          <cell r="AM424">
            <v>1.1155619138451756</v>
          </cell>
          <cell r="AN424">
            <v>2.1395111691788027</v>
          </cell>
          <cell r="AO424">
            <v>1.2137388280511241</v>
          </cell>
          <cell r="AP424">
            <v>1.1476109215017065</v>
          </cell>
          <cell r="AQ424">
            <v>2.3681394282219843</v>
          </cell>
          <cell r="AR424">
            <v>1.1599064442666338</v>
          </cell>
          <cell r="AS424">
            <v>1.0451365240542383</v>
          </cell>
          <cell r="AT424">
            <v>2.2093382807668522</v>
          </cell>
          <cell r="AU424">
            <v>1.1704012182614911</v>
          </cell>
          <cell r="AV424">
            <v>0.74420632525069597</v>
          </cell>
          <cell r="AW424">
            <v>1.8821346583225886</v>
          </cell>
          <cell r="AX424">
            <v>1.1804564880347455</v>
          </cell>
          <cell r="AY424">
            <v>1.2370233492586529</v>
          </cell>
          <cell r="AZ424">
            <v>2.4177088650244967</v>
          </cell>
          <cell r="BA424">
            <v>1.1809702866764515</v>
          </cell>
          <cell r="BB424">
            <v>1.1788308274569026</v>
          </cell>
          <cell r="BC424">
            <v>2.3597919275758144</v>
          </cell>
          <cell r="BD424">
            <v>1.2390171398392946</v>
          </cell>
          <cell r="BE424">
            <v>1.2484522145682972</v>
          </cell>
          <cell r="BF424">
            <v>2.4874313287916858</v>
          </cell>
          <cell r="BG424">
            <v>1.2795278333145705</v>
          </cell>
          <cell r="BH424">
            <v>1.3111109290173402</v>
          </cell>
          <cell r="BI424">
            <v>2.5904940074780467</v>
          </cell>
          <cell r="BJ424">
            <v>1.3237806647245656</v>
          </cell>
          <cell r="BK424">
            <v>1.348054827185645</v>
          </cell>
          <cell r="BL424">
            <v>2.6718354919102101</v>
          </cell>
          <cell r="BM424">
            <v>1.4248109709482479</v>
          </cell>
          <cell r="BN424">
            <v>1.4430239276379704</v>
          </cell>
          <cell r="BO424">
            <v>2.8678348985862185</v>
          </cell>
          <cell r="BP424">
            <v>1.4571905153023401</v>
          </cell>
          <cell r="BQ424">
            <v>1.4528047412771508</v>
          </cell>
          <cell r="BR424">
            <v>2.9099952565794895</v>
          </cell>
          <cell r="BS424">
            <v>1.4612826774010572</v>
          </cell>
          <cell r="BT424">
            <v>1.4708347579843728</v>
          </cell>
          <cell r="BU424">
            <v>2.9321174353854307</v>
          </cell>
          <cell r="BV424">
            <v>1.4836872185689089</v>
          </cell>
          <cell r="BW424">
            <v>1.5075527474894941</v>
          </cell>
          <cell r="BX424">
            <v>2.9912399660584033</v>
          </cell>
        </row>
        <row r="425">
          <cell r="B425" t="str">
            <v>EV adjustment (Pub)</v>
          </cell>
          <cell r="C425" t="str">
            <v>EV_ADJ_PUB</v>
          </cell>
          <cell r="D425" t="str">
            <v>AUD</v>
          </cell>
          <cell r="F425"/>
          <cell r="G425"/>
          <cell r="H425"/>
          <cell r="I425"/>
          <cell r="J425"/>
          <cell r="K425"/>
          <cell r="L425"/>
          <cell r="M425"/>
          <cell r="N425"/>
          <cell r="O425"/>
          <cell r="P425"/>
          <cell r="Q425"/>
          <cell r="R425"/>
          <cell r="S425"/>
          <cell r="T425"/>
          <cell r="U425"/>
          <cell r="V425"/>
          <cell r="W425"/>
          <cell r="X425"/>
          <cell r="Y425"/>
          <cell r="Z425"/>
          <cell r="AA425"/>
          <cell r="AB425"/>
          <cell r="AC425"/>
          <cell r="AD425"/>
          <cell r="AE425"/>
          <cell r="AF425"/>
          <cell r="AG425"/>
          <cell r="AH425"/>
          <cell r="AI425"/>
          <cell r="AJ425"/>
          <cell r="AK425"/>
          <cell r="AL425"/>
          <cell r="AM425"/>
          <cell r="AN425"/>
          <cell r="AO425"/>
          <cell r="AP425"/>
          <cell r="AQ425"/>
          <cell r="AR425"/>
          <cell r="AS425"/>
          <cell r="AT425"/>
          <cell r="AU425"/>
          <cell r="AV425"/>
          <cell r="AW425"/>
          <cell r="AX425"/>
          <cell r="AY425"/>
          <cell r="AZ425"/>
          <cell r="BA425"/>
          <cell r="BB425"/>
          <cell r="BC425"/>
          <cell r="BD425"/>
          <cell r="BE425"/>
          <cell r="BF425"/>
          <cell r="BG425"/>
          <cell r="BH425"/>
          <cell r="BI425"/>
          <cell r="BJ425"/>
          <cell r="BK425"/>
          <cell r="BL425"/>
          <cell r="BM425"/>
          <cell r="BN425"/>
          <cell r="BO425"/>
          <cell r="BP425"/>
          <cell r="BQ425"/>
          <cell r="BR425"/>
          <cell r="BS425"/>
          <cell r="BT425"/>
          <cell r="BU425"/>
          <cell r="BV425"/>
          <cell r="BW425"/>
          <cell r="BX425"/>
        </row>
        <row r="426">
          <cell r="B426" t="str">
            <v>Net debt (Pub)</v>
          </cell>
          <cell r="C426" t="str">
            <v>NET_DEBT_PUB</v>
          </cell>
          <cell r="D426" t="str">
            <v>AUD</v>
          </cell>
          <cell r="F426"/>
          <cell r="G426"/>
          <cell r="H426"/>
          <cell r="I426"/>
          <cell r="J426"/>
          <cell r="K426"/>
          <cell r="L426"/>
          <cell r="M426"/>
          <cell r="N426"/>
          <cell r="O426"/>
          <cell r="P426"/>
          <cell r="Q426"/>
          <cell r="R426"/>
          <cell r="S426"/>
          <cell r="T426"/>
          <cell r="U426"/>
          <cell r="V426"/>
          <cell r="W426"/>
          <cell r="X426"/>
          <cell r="Y426"/>
          <cell r="Z426"/>
          <cell r="AA426"/>
          <cell r="AB426"/>
          <cell r="AC426"/>
          <cell r="AD426"/>
          <cell r="AE426"/>
          <cell r="AF426"/>
          <cell r="AG426"/>
          <cell r="AH426"/>
          <cell r="AI426"/>
          <cell r="AJ426"/>
          <cell r="AK426"/>
          <cell r="AL426"/>
          <cell r="AM426"/>
          <cell r="AN426"/>
          <cell r="AO426"/>
          <cell r="AP426"/>
          <cell r="AQ426"/>
          <cell r="AR426"/>
          <cell r="AS426"/>
          <cell r="AT426"/>
          <cell r="AU426"/>
          <cell r="AV426"/>
          <cell r="AW426"/>
          <cell r="AX426"/>
          <cell r="AY426"/>
          <cell r="AZ426"/>
          <cell r="BA426"/>
          <cell r="BB426"/>
          <cell r="BC426"/>
          <cell r="BD426"/>
          <cell r="BE426"/>
          <cell r="BF426"/>
          <cell r="BG426"/>
          <cell r="BH426"/>
          <cell r="BI426"/>
          <cell r="BJ426"/>
          <cell r="BK426"/>
          <cell r="BL426"/>
          <cell r="BM426"/>
          <cell r="BN426"/>
          <cell r="BO426"/>
          <cell r="BP426"/>
          <cell r="BQ426"/>
          <cell r="BR426"/>
          <cell r="BS426"/>
          <cell r="BT426"/>
          <cell r="BU426"/>
          <cell r="BV426"/>
          <cell r="BW426"/>
          <cell r="BX426"/>
        </row>
        <row r="427">
          <cell r="B427" t="str">
            <v>Net Debt (ex leases) (Pub)</v>
          </cell>
          <cell r="C427" t="str">
            <v>NET_DEBT_EX_LEASES_PUB</v>
          </cell>
          <cell r="D427" t="str">
            <v>AUD</v>
          </cell>
          <cell r="F427"/>
          <cell r="G427"/>
          <cell r="H427"/>
          <cell r="I427"/>
          <cell r="J427"/>
          <cell r="K427"/>
          <cell r="L427"/>
          <cell r="M427"/>
          <cell r="N427"/>
          <cell r="O427"/>
          <cell r="P427"/>
          <cell r="Q427"/>
          <cell r="R427"/>
          <cell r="S427"/>
          <cell r="T427"/>
          <cell r="U427"/>
          <cell r="V427"/>
          <cell r="W427"/>
          <cell r="X427"/>
          <cell r="Y427"/>
          <cell r="Z427"/>
          <cell r="AA427"/>
          <cell r="AB427"/>
          <cell r="AC427"/>
          <cell r="AD427"/>
          <cell r="AE427"/>
          <cell r="AF427"/>
          <cell r="AG427"/>
          <cell r="AH427"/>
          <cell r="AI427"/>
          <cell r="AJ427"/>
          <cell r="AK427"/>
          <cell r="AL427"/>
          <cell r="AM427"/>
          <cell r="AN427"/>
          <cell r="AO427"/>
          <cell r="AP427"/>
          <cell r="AQ427"/>
          <cell r="AR427"/>
          <cell r="AS427"/>
          <cell r="AT427"/>
          <cell r="AU427"/>
          <cell r="AV427"/>
          <cell r="AW427"/>
          <cell r="AX427"/>
          <cell r="AY427"/>
          <cell r="AZ427"/>
          <cell r="BA427"/>
          <cell r="BB427"/>
          <cell r="BC427"/>
          <cell r="BD427"/>
          <cell r="BE427"/>
          <cell r="BF427"/>
          <cell r="BG427"/>
          <cell r="BH427"/>
          <cell r="BI427"/>
          <cell r="BJ427"/>
          <cell r="BK427"/>
          <cell r="BL427"/>
          <cell r="BM427"/>
          <cell r="BN427"/>
          <cell r="BO427"/>
          <cell r="BP427"/>
          <cell r="BQ427"/>
          <cell r="BR427"/>
          <cell r="BS427"/>
          <cell r="BT427"/>
          <cell r="BU427"/>
          <cell r="BV427"/>
          <cell r="BW427"/>
          <cell r="BX427"/>
        </row>
        <row r="428">
          <cell r="B428" t="str">
            <v>Consensus equivalent net debt</v>
          </cell>
          <cell r="C428" t="str">
            <v>CEEE_NDEBT</v>
          </cell>
          <cell r="D428" t="str">
            <v>AUD</v>
          </cell>
          <cell r="F428"/>
          <cell r="G428"/>
          <cell r="H428"/>
          <cell r="I428"/>
          <cell r="J428"/>
          <cell r="K428"/>
          <cell r="L428"/>
          <cell r="M428"/>
          <cell r="N428"/>
          <cell r="O428"/>
          <cell r="P428"/>
          <cell r="Q428"/>
          <cell r="R428"/>
          <cell r="S428"/>
          <cell r="T428"/>
          <cell r="U428"/>
          <cell r="V428"/>
          <cell r="W428"/>
          <cell r="X428"/>
          <cell r="Y428"/>
          <cell r="Z428"/>
          <cell r="AA428"/>
          <cell r="AB428"/>
          <cell r="AC428"/>
          <cell r="AD428"/>
          <cell r="AE428"/>
          <cell r="AF428"/>
          <cell r="AG428"/>
          <cell r="AH428"/>
          <cell r="AI428"/>
          <cell r="AJ428"/>
          <cell r="AK428"/>
          <cell r="AL428"/>
          <cell r="AM428"/>
          <cell r="AN428"/>
          <cell r="AO428"/>
          <cell r="AP428"/>
          <cell r="AQ428"/>
          <cell r="AR428"/>
          <cell r="AS428"/>
          <cell r="AT428"/>
          <cell r="AU428"/>
          <cell r="AV428"/>
          <cell r="AW428"/>
          <cell r="AX428"/>
          <cell r="AY428"/>
          <cell r="AZ428"/>
          <cell r="BA428"/>
          <cell r="BB428"/>
          <cell r="BC428"/>
          <cell r="BD428"/>
          <cell r="BE428"/>
          <cell r="BF428"/>
          <cell r="BG428"/>
          <cell r="BH428"/>
          <cell r="BI428"/>
          <cell r="BJ428"/>
          <cell r="BK428"/>
          <cell r="BL428"/>
          <cell r="BM428"/>
          <cell r="BN428"/>
          <cell r="BO428"/>
          <cell r="BP428"/>
          <cell r="BQ428"/>
          <cell r="BR428"/>
          <cell r="BS428"/>
          <cell r="BT428"/>
          <cell r="BU428"/>
          <cell r="BV428"/>
          <cell r="BW428"/>
          <cell r="BX428"/>
        </row>
        <row r="429">
          <cell r="B429" t="str">
            <v>Net income (Pub)</v>
          </cell>
          <cell r="C429" t="str">
            <v>NI_PUB</v>
          </cell>
          <cell r="D429" t="str">
            <v>AUD</v>
          </cell>
          <cell r="F429">
            <v>3559.9999999999995</v>
          </cell>
          <cell r="G429">
            <v>3886.9999999999995</v>
          </cell>
          <cell r="H429">
            <v>3230.9999999999995</v>
          </cell>
          <cell r="I429">
            <v>3350</v>
          </cell>
          <cell r="J429">
            <v>5122</v>
          </cell>
          <cell r="K429">
            <v>5455</v>
          </cell>
          <cell r="L429">
            <v>6039</v>
          </cell>
          <cell r="M429">
            <v>6486</v>
          </cell>
          <cell r="N429">
            <v>3512</v>
          </cell>
          <cell r="O429">
            <v>3599</v>
          </cell>
          <cell r="P429">
            <v>7111</v>
          </cell>
          <cell r="Q429">
            <v>3675</v>
          </cell>
          <cell r="R429">
            <v>3540</v>
          </cell>
          <cell r="S429">
            <v>7215</v>
          </cell>
          <cell r="T429">
            <v>2782</v>
          </cell>
          <cell r="U429">
            <v>3107</v>
          </cell>
          <cell r="V429">
            <v>5889</v>
          </cell>
          <cell r="W429">
            <v>3355</v>
          </cell>
          <cell r="X429">
            <v>3454</v>
          </cell>
          <cell r="Y429">
            <v>6809</v>
          </cell>
          <cell r="Z429">
            <v>3493</v>
          </cell>
          <cell r="AA429">
            <v>2994</v>
          </cell>
          <cell r="AB429">
            <v>6487</v>
          </cell>
          <cell r="AC429">
            <v>3564</v>
          </cell>
          <cell r="AD429">
            <v>2906</v>
          </cell>
          <cell r="AE429">
            <v>6470</v>
          </cell>
          <cell r="AF429">
            <v>1413</v>
          </cell>
          <cell r="AG429">
            <v>2345</v>
          </cell>
          <cell r="AH429">
            <v>3758</v>
          </cell>
          <cell r="AI429">
            <v>2990</v>
          </cell>
          <cell r="AJ429">
            <v>3208</v>
          </cell>
          <cell r="AK429">
            <v>6198</v>
          </cell>
          <cell r="AL429">
            <v>3113</v>
          </cell>
          <cell r="AM429">
            <v>3402</v>
          </cell>
          <cell r="AN429">
            <v>6515</v>
          </cell>
          <cell r="AO429">
            <v>3829</v>
          </cell>
          <cell r="AP429">
            <v>3584</v>
          </cell>
          <cell r="AQ429">
            <v>7413</v>
          </cell>
          <cell r="AR429">
            <v>3552</v>
          </cell>
          <cell r="AS429">
            <v>3173</v>
          </cell>
          <cell r="AT429">
            <v>6725</v>
          </cell>
          <cell r="AU429">
            <v>3568</v>
          </cell>
          <cell r="AV429">
            <v>2219</v>
          </cell>
          <cell r="AW429">
            <v>5787</v>
          </cell>
          <cell r="AX429">
            <v>3539.820446015503</v>
          </cell>
          <cell r="AY429">
            <v>3736.4335656796165</v>
          </cell>
          <cell r="AZ429">
            <v>7276.2540116951195</v>
          </cell>
          <cell r="BA429">
            <v>3579.9940367790236</v>
          </cell>
          <cell r="BB429">
            <v>3558.3624961077767</v>
          </cell>
          <cell r="BC429">
            <v>7138.3565328867999</v>
          </cell>
          <cell r="BD429">
            <v>3708.8973617862166</v>
          </cell>
          <cell r="BE429">
            <v>3707.1382628182337</v>
          </cell>
          <cell r="BF429">
            <v>7416.0356246044494</v>
          </cell>
          <cell r="BG429">
            <v>3770.0127935004957</v>
          </cell>
          <cell r="BH429">
            <v>3834.2635107046954</v>
          </cell>
          <cell r="BI429">
            <v>7604.2763042051884</v>
          </cell>
          <cell r="BJ429">
            <v>3857.0990893246626</v>
          </cell>
          <cell r="BK429">
            <v>3927.8267048713278</v>
          </cell>
          <cell r="BL429">
            <v>7784.9257941959904</v>
          </cell>
          <cell r="BM429">
            <v>4151.4710442214637</v>
          </cell>
          <cell r="BN429">
            <v>4204.5381274126612</v>
          </cell>
          <cell r="BO429">
            <v>8356.0091716341267</v>
          </cell>
          <cell r="BP429">
            <v>4245.8153071110428</v>
          </cell>
          <cell r="BQ429">
            <v>4233.0364794326215</v>
          </cell>
          <cell r="BR429">
            <v>8478.8517865436606</v>
          </cell>
          <cell r="BS429">
            <v>4257.7386378598076</v>
          </cell>
          <cell r="BT429">
            <v>4285.5705304843523</v>
          </cell>
          <cell r="BU429">
            <v>8543.3091683441635</v>
          </cell>
          <cell r="BV429">
            <v>4323.0187387390861</v>
          </cell>
          <cell r="BW429">
            <v>4392.5557189343608</v>
          </cell>
          <cell r="BX429">
            <v>8715.5744576734487</v>
          </cell>
        </row>
        <row r="430">
          <cell r="B430" t="str">
            <v>EBIT, operating profit (Pub)</v>
          </cell>
          <cell r="C430" t="str">
            <v>EBIT_PUB</v>
          </cell>
          <cell r="D430" t="str">
            <v>AUD</v>
          </cell>
          <cell r="F430">
            <v>5509.48</v>
          </cell>
          <cell r="G430">
            <v>6102.8099999999995</v>
          </cell>
          <cell r="H430">
            <v>6602.1399999999994</v>
          </cell>
          <cell r="I430">
            <v>7861.67</v>
          </cell>
          <cell r="J430">
            <v>8949</v>
          </cell>
          <cell r="K430">
            <v>8862</v>
          </cell>
          <cell r="L430">
            <v>9602</v>
          </cell>
          <cell r="M430">
            <v>10134</v>
          </cell>
          <cell r="N430">
            <v>5382</v>
          </cell>
          <cell r="O430">
            <v>5436</v>
          </cell>
          <cell r="P430">
            <v>10818</v>
          </cell>
          <cell r="Q430">
            <v>5592</v>
          </cell>
          <cell r="R430">
            <v>5567</v>
          </cell>
          <cell r="S430">
            <v>11159</v>
          </cell>
          <cell r="T430">
            <v>4837</v>
          </cell>
          <cell r="U430">
            <v>5318</v>
          </cell>
          <cell r="V430">
            <v>10155</v>
          </cell>
          <cell r="W430">
            <v>5489</v>
          </cell>
          <cell r="X430">
            <v>5360</v>
          </cell>
          <cell r="Y430">
            <v>10849</v>
          </cell>
          <cell r="Z430">
            <v>5397</v>
          </cell>
          <cell r="AA430">
            <v>4569</v>
          </cell>
          <cell r="AB430">
            <v>9966</v>
          </cell>
          <cell r="AC430">
            <v>5381</v>
          </cell>
          <cell r="AD430">
            <v>4577</v>
          </cell>
          <cell r="AE430">
            <v>9958</v>
          </cell>
          <cell r="AF430">
            <v>3974</v>
          </cell>
          <cell r="AG430">
            <v>4395</v>
          </cell>
          <cell r="AH430">
            <v>8369</v>
          </cell>
          <cell r="AI430">
            <v>3941</v>
          </cell>
          <cell r="AJ430">
            <v>4455</v>
          </cell>
          <cell r="AK430">
            <v>8396</v>
          </cell>
          <cell r="AL430">
            <v>4157</v>
          </cell>
          <cell r="AM430">
            <v>4811</v>
          </cell>
          <cell r="AN430">
            <v>8968</v>
          </cell>
          <cell r="AO430">
            <v>5543</v>
          </cell>
          <cell r="AP430">
            <v>5223</v>
          </cell>
          <cell r="AQ430">
            <v>10766</v>
          </cell>
          <cell r="AR430">
            <v>5132</v>
          </cell>
          <cell r="AS430">
            <v>4936</v>
          </cell>
          <cell r="AT430">
            <v>10068</v>
          </cell>
          <cell r="AU430">
            <v>5253</v>
          </cell>
          <cell r="AV430">
            <v>3766</v>
          </cell>
          <cell r="AW430">
            <v>9019</v>
          </cell>
          <cell r="AX430">
            <v>5380.4293504156085</v>
          </cell>
          <cell r="AY430">
            <v>5681.0550593292992</v>
          </cell>
          <cell r="AZ430">
            <v>11061.484409744908</v>
          </cell>
          <cell r="BA430">
            <v>5535.1253561361264</v>
          </cell>
          <cell r="BB430">
            <v>5616.6556656274743</v>
          </cell>
          <cell r="BC430">
            <v>11151.7810217636</v>
          </cell>
          <cell r="BD430">
            <v>5834.0199372753405</v>
          </cell>
          <cell r="BE430">
            <v>5811.865759283849</v>
          </cell>
          <cell r="BF430">
            <v>11645.885696559189</v>
          </cell>
          <cell r="BG430">
            <v>5876.8001217786878</v>
          </cell>
          <cell r="BH430">
            <v>5949.2994867708931</v>
          </cell>
          <cell r="BI430">
            <v>11826.099608549579</v>
          </cell>
          <cell r="BJ430">
            <v>6015.7636656589866</v>
          </cell>
          <cell r="BK430">
            <v>6113.6924655271569</v>
          </cell>
          <cell r="BL430">
            <v>12129.456131186143</v>
          </cell>
          <cell r="BM430">
            <v>6276.6398704840749</v>
          </cell>
          <cell r="BN430">
            <v>6380.8479560048627</v>
          </cell>
          <cell r="BO430">
            <v>12657.487826488939</v>
          </cell>
          <cell r="BP430">
            <v>6481.2312755103985</v>
          </cell>
          <cell r="BQ430">
            <v>6524.1227709212208</v>
          </cell>
          <cell r="BR430">
            <v>13005.354046431616</v>
          </cell>
          <cell r="BS430">
            <v>6635.0381510084335</v>
          </cell>
          <cell r="BT430">
            <v>6740.8636680803884</v>
          </cell>
          <cell r="BU430">
            <v>13375.901819088826</v>
          </cell>
          <cell r="BV430">
            <v>6857.0759464786433</v>
          </cell>
          <cell r="BW430">
            <v>6972.3249488812635</v>
          </cell>
          <cell r="BX430">
            <v>13829.400895359908</v>
          </cell>
        </row>
        <row r="431">
          <cell r="B431" t="str">
            <v>Pre-tax profit (Pub)</v>
          </cell>
          <cell r="C431" t="str">
            <v>PTP_PUB</v>
          </cell>
          <cell r="D431" t="str">
            <v>AUD</v>
          </cell>
          <cell r="F431">
            <v>5102.4799999999996</v>
          </cell>
          <cell r="G431">
            <v>5580.8099999999995</v>
          </cell>
          <cell r="H431">
            <v>4498.1399999999994</v>
          </cell>
          <cell r="I431">
            <v>4774.67</v>
          </cell>
          <cell r="J431">
            <v>7128</v>
          </cell>
          <cell r="K431">
            <v>7642</v>
          </cell>
          <cell r="L431">
            <v>8344</v>
          </cell>
          <cell r="M431">
            <v>8937</v>
          </cell>
          <cell r="N431">
            <v>4854</v>
          </cell>
          <cell r="O431">
            <v>4975</v>
          </cell>
          <cell r="P431">
            <v>9829</v>
          </cell>
          <cell r="Q431">
            <v>5082</v>
          </cell>
          <cell r="R431">
            <v>4872</v>
          </cell>
          <cell r="S431">
            <v>9954</v>
          </cell>
          <cell r="T431">
            <v>3919</v>
          </cell>
          <cell r="U431">
            <v>4280</v>
          </cell>
          <cell r="V431">
            <v>8199</v>
          </cell>
          <cell r="W431">
            <v>4769</v>
          </cell>
          <cell r="X431">
            <v>4881</v>
          </cell>
          <cell r="Y431">
            <v>9650</v>
          </cell>
          <cell r="Z431">
            <v>4989</v>
          </cell>
          <cell r="AA431">
            <v>4289</v>
          </cell>
          <cell r="AB431">
            <v>9278</v>
          </cell>
          <cell r="AC431">
            <v>4988</v>
          </cell>
          <cell r="AD431">
            <v>4175</v>
          </cell>
          <cell r="AE431">
            <v>9163</v>
          </cell>
          <cell r="AF431">
            <v>2300</v>
          </cell>
          <cell r="AG431">
            <v>3331</v>
          </cell>
          <cell r="AH431">
            <v>5631</v>
          </cell>
          <cell r="AI431">
            <v>4432</v>
          </cell>
          <cell r="AJ431">
            <v>4531</v>
          </cell>
          <cell r="AK431">
            <v>8963</v>
          </cell>
          <cell r="AL431">
            <v>4441</v>
          </cell>
          <cell r="AM431">
            <v>4759</v>
          </cell>
          <cell r="AN431">
            <v>9200</v>
          </cell>
          <cell r="AO431">
            <v>5410</v>
          </cell>
          <cell r="AP431">
            <v>5111</v>
          </cell>
          <cell r="AQ431">
            <v>10521</v>
          </cell>
          <cell r="AR431">
            <v>5062</v>
          </cell>
          <cell r="AS431">
            <v>4600</v>
          </cell>
          <cell r="AT431">
            <v>9662</v>
          </cell>
          <cell r="AU431">
            <v>5108</v>
          </cell>
          <cell r="AV431">
            <v>3470</v>
          </cell>
          <cell r="AW431">
            <v>8578</v>
          </cell>
          <cell r="AX431">
            <v>5066.4705595561963</v>
          </cell>
          <cell r="AY431">
            <v>5346.2977580082143</v>
          </cell>
          <cell r="AZ431">
            <v>10412.768317564411</v>
          </cell>
          <cell r="BA431">
            <v>5123.6471272965318</v>
          </cell>
          <cell r="BB431">
            <v>5092.860303738792</v>
          </cell>
          <cell r="BC431">
            <v>10216.507431035323</v>
          </cell>
          <cell r="BD431">
            <v>5307.1071953201435</v>
          </cell>
          <cell r="BE431">
            <v>5304.6035794024901</v>
          </cell>
          <cell r="BF431">
            <v>10611.710774722633</v>
          </cell>
          <cell r="BG431">
            <v>5394.0889799945753</v>
          </cell>
          <cell r="BH431">
            <v>5485.5330210865377</v>
          </cell>
          <cell r="BI431">
            <v>10879.62200108111</v>
          </cell>
          <cell r="BJ431">
            <v>5518.033476809801</v>
          </cell>
          <cell r="BK431">
            <v>5618.6956836117979</v>
          </cell>
          <cell r="BL431">
            <v>11136.729160421599</v>
          </cell>
          <cell r="BM431">
            <v>5936.9947322048583</v>
          </cell>
          <cell r="BN431">
            <v>6012.5218040746367</v>
          </cell>
          <cell r="BO431">
            <v>11949.516536279498</v>
          </cell>
          <cell r="BP431">
            <v>6071.2690411599906</v>
          </cell>
          <cell r="BQ431">
            <v>6053.0817322211842</v>
          </cell>
          <cell r="BR431">
            <v>12124.350773381171</v>
          </cell>
          <cell r="BS431">
            <v>6088.2387746413751</v>
          </cell>
          <cell r="BT431">
            <v>6127.8501726704017</v>
          </cell>
          <cell r="BU431">
            <v>12216.08894731178</v>
          </cell>
          <cell r="BV431">
            <v>6181.1478733572731</v>
          </cell>
          <cell r="BW431">
            <v>6280.1155230751501</v>
          </cell>
          <cell r="BX431">
            <v>12461.263396432425</v>
          </cell>
        </row>
        <row r="432">
          <cell r="B432" t="str">
            <v>Sales, revenue (Pub)</v>
          </cell>
          <cell r="C432" t="str">
            <v>REVS_PUB</v>
          </cell>
          <cell r="D432" t="str">
            <v>AUD</v>
          </cell>
          <cell r="F432">
            <v>10330.57</v>
          </cell>
          <cell r="G432">
            <v>11288.07</v>
          </cell>
          <cell r="H432">
            <v>12275.46</v>
          </cell>
          <cell r="I432">
            <v>14292.48</v>
          </cell>
          <cell r="J432">
            <v>15934</v>
          </cell>
          <cell r="K432">
            <v>16885</v>
          </cell>
          <cell r="L432">
            <v>17848</v>
          </cell>
          <cell r="M432">
            <v>18391</v>
          </cell>
          <cell r="N432">
            <v>9668</v>
          </cell>
          <cell r="O432">
            <v>9910</v>
          </cell>
          <cell r="P432">
            <v>19578</v>
          </cell>
          <cell r="Q432">
            <v>10195</v>
          </cell>
          <cell r="R432">
            <v>10342</v>
          </cell>
          <cell r="S432">
            <v>20537</v>
          </cell>
          <cell r="T432">
            <v>10325</v>
          </cell>
          <cell r="U432">
            <v>10269</v>
          </cell>
          <cell r="V432">
            <v>20594</v>
          </cell>
          <cell r="W432">
            <v>9976</v>
          </cell>
          <cell r="X432">
            <v>9840</v>
          </cell>
          <cell r="Y432">
            <v>19816</v>
          </cell>
          <cell r="Z432">
            <v>9870</v>
          </cell>
          <cell r="AA432">
            <v>9497</v>
          </cell>
          <cell r="AB432">
            <v>19367</v>
          </cell>
          <cell r="AC432">
            <v>9746</v>
          </cell>
          <cell r="AD432">
            <v>9283</v>
          </cell>
          <cell r="AE432">
            <v>19029</v>
          </cell>
          <cell r="AF432">
            <v>8579</v>
          </cell>
          <cell r="AG432">
            <v>9173</v>
          </cell>
          <cell r="AH432">
            <v>17752</v>
          </cell>
          <cell r="AI432">
            <v>8423</v>
          </cell>
          <cell r="AJ432">
            <v>9024</v>
          </cell>
          <cell r="AK432">
            <v>17447</v>
          </cell>
          <cell r="AL432">
            <v>8948</v>
          </cell>
          <cell r="AM432">
            <v>9599</v>
          </cell>
          <cell r="AN432">
            <v>18547</v>
          </cell>
          <cell r="AO432">
            <v>10540</v>
          </cell>
          <cell r="AP432">
            <v>10365</v>
          </cell>
          <cell r="AQ432">
            <v>20905</v>
          </cell>
          <cell r="AR432">
            <v>10347</v>
          </cell>
          <cell r="AS432">
            <v>10462</v>
          </cell>
          <cell r="AT432">
            <v>20809</v>
          </cell>
          <cell r="AU432">
            <v>10995</v>
          </cell>
          <cell r="AV432">
            <v>10904</v>
          </cell>
          <cell r="AW432">
            <v>21899</v>
          </cell>
          <cell r="AX432">
            <v>11249.510746960432</v>
          </cell>
          <cell r="AY432">
            <v>11332.002997323854</v>
          </cell>
          <cell r="AZ432">
            <v>22581.513744284286</v>
          </cell>
          <cell r="BA432">
            <v>11343.461513773264</v>
          </cell>
          <cell r="BB432">
            <v>11443.643760173392</v>
          </cell>
          <cell r="BC432">
            <v>22787.105273946654</v>
          </cell>
          <cell r="BD432">
            <v>11690.580245243535</v>
          </cell>
          <cell r="BE432">
            <v>11729.341082030733</v>
          </cell>
          <cell r="BF432">
            <v>23419.921327274267</v>
          </cell>
          <cell r="BG432">
            <v>11880.676314648093</v>
          </cell>
          <cell r="BH432">
            <v>11964.47179235255</v>
          </cell>
          <cell r="BI432">
            <v>23845.148107000641</v>
          </cell>
          <cell r="BJ432">
            <v>12121.88740616995</v>
          </cell>
          <cell r="BK432">
            <v>12262.789149912631</v>
          </cell>
          <cell r="BL432">
            <v>24384.676556082581</v>
          </cell>
          <cell r="BM432">
            <v>12446.092710426634</v>
          </cell>
          <cell r="BN432">
            <v>12676.77067183154</v>
          </cell>
          <cell r="BO432">
            <v>25122.863382258176</v>
          </cell>
          <cell r="BP432">
            <v>12795.047375595237</v>
          </cell>
          <cell r="BQ432">
            <v>12946.91248285881</v>
          </cell>
          <cell r="BR432">
            <v>25741.959858454044</v>
          </cell>
          <cell r="BS432">
            <v>13074.898691390732</v>
          </cell>
          <cell r="BT432">
            <v>13323.167572742786</v>
          </cell>
          <cell r="BU432">
            <v>26398.066264133522</v>
          </cell>
          <cell r="BV432">
            <v>13436.139744195392</v>
          </cell>
          <cell r="BW432">
            <v>13707.509423447313</v>
          </cell>
          <cell r="BX432">
            <v>27143.649167642707</v>
          </cell>
        </row>
        <row r="433">
          <cell r="B433" t="str">
            <v>Total shareholders' equity (Pub)</v>
          </cell>
          <cell r="C433" t="str">
            <v>EQ_PUB</v>
          </cell>
          <cell r="D433" t="str">
            <v>AUD</v>
          </cell>
          <cell r="F433">
            <v>19906</v>
          </cell>
          <cell r="G433">
            <v>22048</v>
          </cell>
          <cell r="H433">
            <v>26552</v>
          </cell>
          <cell r="I433">
            <v>32429</v>
          </cell>
          <cell r="J433">
            <v>34155</v>
          </cell>
          <cell r="K433">
            <v>37954</v>
          </cell>
          <cell r="L433">
            <v>41220</v>
          </cell>
          <cell r="M433">
            <v>45603</v>
          </cell>
          <cell r="N433">
            <v>47038</v>
          </cell>
          <cell r="O433">
            <v>49284</v>
          </cell>
          <cell r="P433">
            <v>49284</v>
          </cell>
          <cell r="Q433">
            <v>52051</v>
          </cell>
          <cell r="R433">
            <v>57353</v>
          </cell>
          <cell r="S433">
            <v>57353</v>
          </cell>
          <cell r="T433">
            <v>56464</v>
          </cell>
          <cell r="U433">
            <v>57927</v>
          </cell>
          <cell r="V433">
            <v>57927</v>
          </cell>
          <cell r="W433">
            <v>57908</v>
          </cell>
          <cell r="X433">
            <v>59075</v>
          </cell>
          <cell r="Y433">
            <v>59075</v>
          </cell>
          <cell r="Z433">
            <v>59500</v>
          </cell>
          <cell r="AA433">
            <v>59405</v>
          </cell>
          <cell r="AB433">
            <v>59405</v>
          </cell>
          <cell r="AC433">
            <v>59971</v>
          </cell>
          <cell r="AD433">
            <v>60794</v>
          </cell>
          <cell r="AE433">
            <v>60794</v>
          </cell>
          <cell r="AF433">
            <v>61375</v>
          </cell>
          <cell r="AG433">
            <v>61297</v>
          </cell>
          <cell r="AH433">
            <v>61297</v>
          </cell>
          <cell r="AI433">
            <v>62576</v>
          </cell>
          <cell r="AJ433">
            <v>63676</v>
          </cell>
          <cell r="AK433">
            <v>63676</v>
          </cell>
          <cell r="AL433">
            <v>61756</v>
          </cell>
          <cell r="AM433">
            <v>66401</v>
          </cell>
          <cell r="AN433">
            <v>66401</v>
          </cell>
          <cell r="AO433">
            <v>69580</v>
          </cell>
          <cell r="AP433">
            <v>70017</v>
          </cell>
          <cell r="AQ433">
            <v>70017</v>
          </cell>
          <cell r="AR433">
            <v>70306</v>
          </cell>
          <cell r="AS433">
            <v>69857</v>
          </cell>
          <cell r="AT433">
            <v>69857</v>
          </cell>
          <cell r="AU433">
            <v>71567</v>
          </cell>
          <cell r="AV433">
            <v>71128</v>
          </cell>
          <cell r="AW433">
            <v>71128</v>
          </cell>
          <cell r="AX433">
            <v>73441.002535985375</v>
          </cell>
          <cell r="AY433">
            <v>75229.793947429847</v>
          </cell>
          <cell r="AZ433">
            <v>75229.793947429847</v>
          </cell>
          <cell r="BA433">
            <v>75868.502505429002</v>
          </cell>
          <cell r="BB433">
            <v>75495.323451203672</v>
          </cell>
          <cell r="BC433">
            <v>75495.323451203658</v>
          </cell>
          <cell r="BD433">
            <v>75231.548344663897</v>
          </cell>
          <cell r="BE433">
            <v>74896.560575558949</v>
          </cell>
          <cell r="BF433">
            <v>74896.56057555892</v>
          </cell>
          <cell r="BG433">
            <v>74592.372940820758</v>
          </cell>
          <cell r="BH433">
            <v>74325.737814037158</v>
          </cell>
          <cell r="BI433">
            <v>74325.737814037129</v>
          </cell>
          <cell r="BJ433">
            <v>75065.261452117891</v>
          </cell>
          <cell r="BK433">
            <v>75826.052612679647</v>
          </cell>
          <cell r="BL433">
            <v>75826.052612679618</v>
          </cell>
          <cell r="BM433">
            <v>76854.485806749988</v>
          </cell>
          <cell r="BN433">
            <v>77975.115401026516</v>
          </cell>
          <cell r="BO433">
            <v>77975.115401026502</v>
          </cell>
          <cell r="BP433">
            <v>79078.835221546033</v>
          </cell>
          <cell r="BQ433">
            <v>80111.589260931723</v>
          </cell>
          <cell r="BR433">
            <v>80111.589260931709</v>
          </cell>
          <cell r="BS433">
            <v>81110.858505289201</v>
          </cell>
          <cell r="BT433">
            <v>82079.772688815836</v>
          </cell>
          <cell r="BU433">
            <v>82079.772688815821</v>
          </cell>
          <cell r="BV433">
            <v>83027.948127141804</v>
          </cell>
          <cell r="BW433">
            <v>83987.473592207651</v>
          </cell>
          <cell r="BX433">
            <v>83987.473592207622</v>
          </cell>
        </row>
        <row r="434">
          <cell r="B434" t="str">
            <v>EPS (consensus)</v>
          </cell>
          <cell r="C434" t="str">
            <v>EPS_CONS_PUB</v>
          </cell>
          <cell r="D434" t="str">
            <v>AUD</v>
          </cell>
          <cell r="F434"/>
          <cell r="G434"/>
          <cell r="H434"/>
          <cell r="I434"/>
          <cell r="J434"/>
          <cell r="K434"/>
          <cell r="L434"/>
          <cell r="M434"/>
          <cell r="N434"/>
          <cell r="O434"/>
          <cell r="P434"/>
          <cell r="Q434"/>
          <cell r="R434"/>
          <cell r="S434"/>
          <cell r="T434"/>
          <cell r="U434"/>
          <cell r="V434"/>
          <cell r="W434"/>
          <cell r="X434"/>
          <cell r="Y434"/>
          <cell r="Z434"/>
          <cell r="AA434"/>
          <cell r="AB434"/>
          <cell r="AC434"/>
          <cell r="AD434"/>
          <cell r="AE434"/>
          <cell r="AF434"/>
          <cell r="AG434"/>
          <cell r="AH434"/>
          <cell r="AI434"/>
          <cell r="AJ434"/>
          <cell r="AK434"/>
          <cell r="AL434"/>
          <cell r="AM434"/>
          <cell r="AN434"/>
          <cell r="AO434"/>
          <cell r="AP434"/>
          <cell r="AQ434"/>
          <cell r="AR434"/>
          <cell r="AS434"/>
          <cell r="AT434"/>
          <cell r="AU434"/>
          <cell r="AV434"/>
          <cell r="AW434"/>
          <cell r="AX434"/>
          <cell r="AY434"/>
          <cell r="AZ434"/>
          <cell r="BA434"/>
          <cell r="BB434"/>
          <cell r="BC434"/>
          <cell r="BD434"/>
          <cell r="BE434"/>
          <cell r="BF434"/>
          <cell r="BG434"/>
          <cell r="BH434"/>
          <cell r="BI434"/>
          <cell r="BJ434"/>
          <cell r="BK434"/>
          <cell r="BL434"/>
          <cell r="BM434"/>
          <cell r="BN434"/>
          <cell r="BO434"/>
          <cell r="BP434"/>
          <cell r="BQ434"/>
          <cell r="BR434"/>
          <cell r="BS434"/>
          <cell r="BT434"/>
          <cell r="BU434"/>
          <cell r="BV434"/>
          <cell r="BW434"/>
          <cell r="BX434"/>
        </row>
        <row r="435">
          <cell r="B435" t="str">
            <v>NTA Per Share</v>
          </cell>
          <cell r="C435" t="str">
            <v>NTA_PER_SHARE</v>
          </cell>
          <cell r="D435" t="str">
            <v>AUD</v>
          </cell>
          <cell r="F435">
            <v>8.6757558782532946</v>
          </cell>
          <cell r="G435">
            <v>9.5361985649166083</v>
          </cell>
          <cell r="H435">
            <v>10.939830086734942</v>
          </cell>
          <cell r="I435">
            <v>11.268068818526652</v>
          </cell>
          <cell r="J435">
            <v>10.777409619095989</v>
          </cell>
          <cell r="K435">
            <v>11.940881437048306</v>
          </cell>
          <cell r="L435">
            <v>12.770725060719805</v>
          </cell>
          <cell r="M435">
            <v>14.156127455625617</v>
          </cell>
          <cell r="N435">
            <v>14.628758360846909</v>
          </cell>
          <cell r="O435">
            <v>15.446324832765001</v>
          </cell>
          <cell r="P435">
            <v>15.446324832765001</v>
          </cell>
          <cell r="Q435">
            <v>16.592512814895155</v>
          </cell>
          <cell r="R435">
            <v>17.713795158989907</v>
          </cell>
          <cell r="S435">
            <v>17.713795158989907</v>
          </cell>
          <cell r="T435">
            <v>17.350963916232523</v>
          </cell>
          <cell r="U435">
            <v>17.739954885738687</v>
          </cell>
          <cell r="V435">
            <v>17.739954885738687</v>
          </cell>
          <cell r="W435">
            <v>17.79210826357809</v>
          </cell>
          <cell r="X435">
            <v>18.185671661404793</v>
          </cell>
          <cell r="Y435">
            <v>18.185671661404793</v>
          </cell>
          <cell r="Z435">
            <v>19.101040192103891</v>
          </cell>
          <cell r="AA435">
            <v>19.249164205053919</v>
          </cell>
          <cell r="AB435">
            <v>19.249164205053919</v>
          </cell>
          <cell r="AC435">
            <v>19.669608620468768</v>
          </cell>
          <cell r="AD435">
            <v>20.035371884322974</v>
          </cell>
          <cell r="AE435">
            <v>20.035371884322974</v>
          </cell>
          <cell r="AF435">
            <v>20.172785798306801</v>
          </cell>
          <cell r="AG435">
            <v>20.239758513170585</v>
          </cell>
          <cell r="AH435">
            <v>20.239758513170585</v>
          </cell>
          <cell r="AI435">
            <v>20.745466911784604</v>
          </cell>
          <cell r="AJ435">
            <v>21.257602973988138</v>
          </cell>
          <cell r="AK435">
            <v>21.257602973988138</v>
          </cell>
          <cell r="AL435">
            <v>20.807819693697645</v>
          </cell>
          <cell r="AM435">
            <v>21.046021651540105</v>
          </cell>
          <cell r="AN435">
            <v>21.046021651540105</v>
          </cell>
          <cell r="AO435">
            <v>21.940377177681658</v>
          </cell>
          <cell r="AP435">
            <v>22.079755616382776</v>
          </cell>
          <cell r="AQ435">
            <v>22.079755616382776</v>
          </cell>
          <cell r="AR435">
            <v>22.093022141549316</v>
          </cell>
          <cell r="AS435">
            <v>21.680421385630755</v>
          </cell>
          <cell r="AT435">
            <v>21.680421385630755</v>
          </cell>
          <cell r="AU435">
            <v>22.191479739749106</v>
          </cell>
          <cell r="AV435">
            <v>21.994823577831472</v>
          </cell>
          <cell r="AW435">
            <v>21.994823577831472</v>
          </cell>
          <cell r="AX435">
            <v>22.604399400695531</v>
          </cell>
          <cell r="AY435">
            <v>23.032340186010366</v>
          </cell>
          <cell r="AZ435">
            <v>23.032340186010366</v>
          </cell>
          <cell r="BA435">
            <v>23.243329174914848</v>
          </cell>
          <cell r="BB435">
            <v>23.318268236567011</v>
          </cell>
          <cell r="BC435">
            <v>23.318268236567004</v>
          </cell>
          <cell r="BD435">
            <v>23.422389299544022</v>
          </cell>
          <cell r="BE435">
            <v>23.495540322789527</v>
          </cell>
          <cell r="BF435">
            <v>23.495540322789516</v>
          </cell>
          <cell r="BG435">
            <v>23.572081001579434</v>
          </cell>
          <cell r="BH435">
            <v>23.654697050529968</v>
          </cell>
          <cell r="BI435">
            <v>23.654697050529958</v>
          </cell>
          <cell r="BJ435">
            <v>23.908885865776185</v>
          </cell>
          <cell r="BK435">
            <v>24.170384746670479</v>
          </cell>
          <cell r="BL435">
            <v>24.170384746670468</v>
          </cell>
          <cell r="BM435">
            <v>24.523877456976631</v>
          </cell>
          <cell r="BN435">
            <v>24.909059882839678</v>
          </cell>
          <cell r="BO435">
            <v>24.909059882839671</v>
          </cell>
          <cell r="BP435">
            <v>25.288430086975055</v>
          </cell>
          <cell r="BQ435">
            <v>25.643407956774446</v>
          </cell>
          <cell r="BR435">
            <v>25.643407956774443</v>
          </cell>
          <cell r="BS435">
            <v>25.98687644412993</v>
          </cell>
          <cell r="BT435">
            <v>26.319911300223339</v>
          </cell>
          <cell r="BU435">
            <v>26.319911300223335</v>
          </cell>
          <cell r="BV435">
            <v>26.645817841816985</v>
          </cell>
          <cell r="BW435">
            <v>26.975625610770326</v>
          </cell>
          <cell r="BX435">
            <v>26.975625610770315</v>
          </cell>
        </row>
        <row r="436">
          <cell r="A436" t="str">
            <v>ANZ Publishing Items</v>
          </cell>
          <cell r="B436"/>
          <cell r="C436"/>
          <cell r="D436"/>
        </row>
        <row r="437">
          <cell r="B437" t="str">
            <v>Risk to Earnings (+,0,-)</v>
          </cell>
          <cell r="C437" t="str">
            <v>RISK_TO_EARNINGS</v>
          </cell>
          <cell r="E437"/>
        </row>
        <row r="438">
          <cell r="B438" t="str">
            <v>Cost of equity</v>
          </cell>
          <cell r="C438" t="str">
            <v>COST_OF_EQUITY_DCF</v>
          </cell>
          <cell r="E438"/>
        </row>
        <row r="439">
          <cell r="B439" t="str">
            <v>Risk Margin of Debt</v>
          </cell>
          <cell r="C439" t="str">
            <v>DEBT_RISK_MARGIN_DCF</v>
          </cell>
          <cell r="E439"/>
        </row>
        <row r="440">
          <cell r="B440" t="str">
            <v>Perpetuity Growth Rate</v>
          </cell>
          <cell r="C440" t="str">
            <v>PERPETUITY_GROWTH_RATE_DCF</v>
          </cell>
          <cell r="E440"/>
        </row>
        <row r="441">
          <cell r="B441" t="str">
            <v>Discount Factor</v>
          </cell>
          <cell r="C441" t="str">
            <v>DISCOUNT_FACTOR_DCF</v>
          </cell>
          <cell r="F441"/>
          <cell r="G441"/>
          <cell r="H441"/>
          <cell r="I441"/>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0</v>
          </cell>
          <cell r="BK441">
            <v>0</v>
          </cell>
          <cell r="BL441">
            <v>0</v>
          </cell>
          <cell r="BM441">
            <v>0</v>
          </cell>
          <cell r="BN441">
            <v>0</v>
          </cell>
          <cell r="BO441">
            <v>0</v>
          </cell>
          <cell r="BP441">
            <v>0</v>
          </cell>
          <cell r="BQ441">
            <v>0</v>
          </cell>
          <cell r="BR441">
            <v>0</v>
          </cell>
          <cell r="BS441">
            <v>0</v>
          </cell>
          <cell r="BT441">
            <v>0</v>
          </cell>
          <cell r="BU441">
            <v>0</v>
          </cell>
          <cell r="BV441">
            <v>0</v>
          </cell>
          <cell r="BW441">
            <v>0</v>
          </cell>
          <cell r="BX441">
            <v>0</v>
          </cell>
        </row>
        <row r="442">
          <cell r="B442" t="str">
            <v>Present Value of Cash Flow</v>
          </cell>
          <cell r="C442" t="str">
            <v>PRESENT_VALUE_OF_CASH_FLOW_DCF</v>
          </cell>
          <cell r="D442" t="str">
            <v>AUD</v>
          </cell>
          <cell r="F442"/>
          <cell r="G442"/>
          <cell r="H442"/>
          <cell r="I442"/>
          <cell r="J442">
            <v>2424</v>
          </cell>
          <cell r="K442">
            <v>2138</v>
          </cell>
          <cell r="L442">
            <v>2114</v>
          </cell>
          <cell r="M442">
            <v>1310</v>
          </cell>
          <cell r="N442">
            <v>2567</v>
          </cell>
          <cell r="O442">
            <v>1737</v>
          </cell>
          <cell r="P442">
            <v>4304</v>
          </cell>
          <cell r="Q442">
            <v>2457</v>
          </cell>
          <cell r="R442">
            <v>1321</v>
          </cell>
          <cell r="S442">
            <v>3778</v>
          </cell>
          <cell r="T442">
            <v>2453</v>
          </cell>
          <cell r="U442">
            <v>2150</v>
          </cell>
          <cell r="V442">
            <v>4603</v>
          </cell>
          <cell r="W442">
            <v>2029</v>
          </cell>
          <cell r="X442">
            <v>2257</v>
          </cell>
          <cell r="Y442">
            <v>4286</v>
          </cell>
          <cell r="Z442">
            <v>3463</v>
          </cell>
          <cell r="AA442">
            <v>3091</v>
          </cell>
          <cell r="AB442">
            <v>6554</v>
          </cell>
          <cell r="AC442">
            <v>3411</v>
          </cell>
          <cell r="AD442">
            <v>2190</v>
          </cell>
          <cell r="AE442">
            <v>5601</v>
          </cell>
          <cell r="AF442">
            <v>2278</v>
          </cell>
          <cell r="AG442">
            <v>604</v>
          </cell>
          <cell r="AH442">
            <v>2882</v>
          </cell>
          <cell r="AI442">
            <v>889</v>
          </cell>
          <cell r="AJ442">
            <v>2586</v>
          </cell>
          <cell r="AK442">
            <v>3475</v>
          </cell>
          <cell r="AL442">
            <v>2887</v>
          </cell>
          <cell r="AM442">
            <v>1764</v>
          </cell>
          <cell r="AN442">
            <v>4651</v>
          </cell>
          <cell r="AO442">
            <v>1926</v>
          </cell>
          <cell r="AP442">
            <v>2375</v>
          </cell>
          <cell r="AQ442">
            <v>4301</v>
          </cell>
          <cell r="AR442">
            <v>2833</v>
          </cell>
          <cell r="AS442">
            <v>3038</v>
          </cell>
          <cell r="AT442">
            <v>5871</v>
          </cell>
          <cell r="AU442">
            <v>2507</v>
          </cell>
          <cell r="AV442">
            <v>2367</v>
          </cell>
          <cell r="AW442">
            <v>4874</v>
          </cell>
          <cell r="AX442">
            <v>1733.4252245800039</v>
          </cell>
          <cell r="AY442">
            <v>1809.2438910544374</v>
          </cell>
          <cell r="AZ442">
            <v>3542.6691156344414</v>
          </cell>
          <cell r="BA442">
            <v>2724.4914778916541</v>
          </cell>
          <cell r="BB442">
            <v>3754.7636054237992</v>
          </cell>
          <cell r="BC442">
            <v>6479.2550833154519</v>
          </cell>
          <cell r="BD442">
            <v>3761.3619039741648</v>
          </cell>
          <cell r="BE442">
            <v>3798.2634310181138</v>
          </cell>
          <cell r="BF442">
            <v>7559.6253349922772</v>
          </cell>
          <cell r="BG442">
            <v>3835.2162681665873</v>
          </cell>
          <cell r="BH442">
            <v>3872.238792895188</v>
          </cell>
          <cell r="BI442">
            <v>7707.4550610617716</v>
          </cell>
          <cell r="BJ442">
            <v>2909.3476727699185</v>
          </cell>
          <cell r="BK442">
            <v>2967.5346262253383</v>
          </cell>
          <cell r="BL442">
            <v>5876.8822989952569</v>
          </cell>
          <cell r="BM442">
            <v>3025.7215796807341</v>
          </cell>
          <cell r="BN442">
            <v>3083.9085331361384</v>
          </cell>
          <cell r="BO442">
            <v>6109.6301128168743</v>
          </cell>
          <cell r="BP442">
            <v>3142.0954865915173</v>
          </cell>
          <cell r="BQ442">
            <v>3200.2824400469449</v>
          </cell>
          <cell r="BR442">
            <v>6342.3779266384581</v>
          </cell>
          <cell r="BS442">
            <v>3258.4693935023197</v>
          </cell>
          <cell r="BT442">
            <v>3316.6563469577118</v>
          </cell>
          <cell r="BU442">
            <v>6575.1257404600356</v>
          </cell>
          <cell r="BV442">
            <v>3374.8433004131207</v>
          </cell>
          <cell r="BW442">
            <v>3433.0302538685214</v>
          </cell>
          <cell r="BX442">
            <v>6807.8735542816439</v>
          </cell>
        </row>
        <row r="443">
          <cell r="B443" t="str">
            <v>Cumulative Present Value of Cash Flows</v>
          </cell>
          <cell r="C443" t="str">
            <v>CUM_PRESENT_VAL_CASH_FLOWS_DCF</v>
          </cell>
          <cell r="D443" t="str">
            <v>AUD</v>
          </cell>
          <cell r="E443"/>
        </row>
        <row r="444">
          <cell r="B444" t="str">
            <v>Terminal Year</v>
          </cell>
          <cell r="C444" t="str">
            <v>TERMINAL_YEAR_DCF</v>
          </cell>
          <cell r="D444" t="str">
            <v>AUD</v>
          </cell>
          <cell r="E444"/>
        </row>
        <row r="445">
          <cell r="B445" t="str">
            <v>Market Value of Investments</v>
          </cell>
          <cell r="C445" t="str">
            <v>MARKET_VALUE_OF_INVESTMENTS_DCF</v>
          </cell>
          <cell r="D445" t="str">
            <v>AUD</v>
          </cell>
          <cell r="E445"/>
        </row>
        <row r="446">
          <cell r="B446" t="str">
            <v>Net debt/(net cash) including options in the money</v>
          </cell>
          <cell r="C446" t="str">
            <v>NET_DEBT_NET_CASH_DCF</v>
          </cell>
          <cell r="D446" t="str">
            <v>AUD</v>
          </cell>
          <cell r="E446"/>
        </row>
        <row r="447">
          <cell r="B447" t="str">
            <v>Equity Value</v>
          </cell>
          <cell r="C447" t="str">
            <v>EQUITY_VALUE_DCF</v>
          </cell>
          <cell r="D447" t="str">
            <v>AUD</v>
          </cell>
          <cell r="E447"/>
        </row>
        <row r="448">
          <cell r="B448" t="str">
            <v>Value of Imputation Credits per Share</v>
          </cell>
          <cell r="C448" t="str">
            <v>IMP_CREDITS_PER_SHARE_DCF</v>
          </cell>
          <cell r="D448" t="str">
            <v>AUD</v>
          </cell>
          <cell r="E448"/>
        </row>
        <row r="449">
          <cell r="B449" t="str">
            <v>Base case valuation</v>
          </cell>
          <cell r="C449" t="str">
            <v>BASE_CASE_VAL_DCF</v>
          </cell>
          <cell r="D449" t="str">
            <v>AUD</v>
          </cell>
          <cell r="E449"/>
        </row>
        <row r="450">
          <cell r="B450" t="str">
            <v>Risk adjusted option value</v>
          </cell>
          <cell r="C450" t="str">
            <v>RISK_ADJ_OPTION_VALUE_DCF</v>
          </cell>
          <cell r="D450" t="str">
            <v>AUD</v>
          </cell>
          <cell r="E450"/>
        </row>
        <row r="451">
          <cell r="B451" t="str">
            <v>Intrinsic per Share Value (pre Imputation Credits)</v>
          </cell>
          <cell r="C451" t="str">
            <v>INTRINSIC_PER_SHARE_VALUE_DCF</v>
          </cell>
          <cell r="D451" t="str">
            <v>AUD</v>
          </cell>
          <cell r="E451"/>
        </row>
        <row r="452">
          <cell r="B452" t="str">
            <v>Capital at End of Year</v>
          </cell>
          <cell r="C452" t="str">
            <v>YEAR_END_CAPITAL_EVA</v>
          </cell>
          <cell r="D452" t="str">
            <v>AUD</v>
          </cell>
          <cell r="F452"/>
          <cell r="G452"/>
          <cell r="H452"/>
          <cell r="I452"/>
          <cell r="J452"/>
          <cell r="K452"/>
          <cell r="L452"/>
          <cell r="M452"/>
          <cell r="N452"/>
          <cell r="O452"/>
          <cell r="P452"/>
          <cell r="Q452"/>
          <cell r="R452"/>
          <cell r="S452"/>
          <cell r="T452"/>
          <cell r="U452"/>
          <cell r="V452"/>
          <cell r="W452"/>
          <cell r="X452"/>
          <cell r="Y452"/>
          <cell r="Z452"/>
          <cell r="AA452"/>
          <cell r="AB452"/>
          <cell r="AC452"/>
          <cell r="AD452"/>
          <cell r="AE452"/>
          <cell r="AF452"/>
          <cell r="AG452"/>
          <cell r="AH452"/>
          <cell r="AI452"/>
          <cell r="AJ452"/>
          <cell r="AK452"/>
          <cell r="AL452"/>
          <cell r="AM452"/>
          <cell r="AN452"/>
          <cell r="AO452"/>
          <cell r="AP452"/>
          <cell r="AQ452"/>
          <cell r="AR452"/>
          <cell r="AS452"/>
          <cell r="AT452"/>
          <cell r="AU452"/>
          <cell r="AV452"/>
          <cell r="AW452"/>
          <cell r="AX452"/>
          <cell r="AY452"/>
          <cell r="AZ452"/>
          <cell r="BA452"/>
          <cell r="BB452"/>
          <cell r="BC452"/>
          <cell r="BD452"/>
          <cell r="BE452"/>
          <cell r="BF452"/>
          <cell r="BG452"/>
          <cell r="BH452"/>
          <cell r="BI452"/>
          <cell r="BJ452"/>
          <cell r="BK452"/>
          <cell r="BL452"/>
          <cell r="BM452"/>
          <cell r="BN452"/>
          <cell r="BO452"/>
          <cell r="BP452"/>
          <cell r="BQ452"/>
          <cell r="BR452"/>
          <cell r="BS452"/>
          <cell r="BT452"/>
          <cell r="BU452"/>
          <cell r="BV452"/>
          <cell r="BW452"/>
          <cell r="BX452"/>
        </row>
        <row r="453">
          <cell r="B453" t="str">
            <v>Net Profit - Reported</v>
          </cell>
          <cell r="C453" t="str">
            <v>NI_REPT_PUB</v>
          </cell>
          <cell r="D453" t="str">
            <v>AUD</v>
          </cell>
          <cell r="F453">
            <v>3687.9999999999995</v>
          </cell>
          <cell r="G453">
            <v>4180</v>
          </cell>
          <cell r="H453">
            <v>3319.0000000000009</v>
          </cell>
          <cell r="I453">
            <v>2943</v>
          </cell>
          <cell r="J453">
            <v>4501</v>
          </cell>
          <cell r="K453">
            <v>5355</v>
          </cell>
          <cell r="L453">
            <v>5661</v>
          </cell>
          <cell r="M453">
            <v>6266</v>
          </cell>
          <cell r="N453">
            <v>3392</v>
          </cell>
          <cell r="O453">
            <v>3879</v>
          </cell>
          <cell r="P453">
            <v>7271</v>
          </cell>
          <cell r="Q453">
            <v>3506</v>
          </cell>
          <cell r="R453">
            <v>3987</v>
          </cell>
          <cell r="S453">
            <v>7493</v>
          </cell>
          <cell r="T453">
            <v>2738</v>
          </cell>
          <cell r="U453">
            <v>2971</v>
          </cell>
          <cell r="V453">
            <v>5709</v>
          </cell>
          <cell r="W453">
            <v>2911</v>
          </cell>
          <cell r="X453">
            <v>3495</v>
          </cell>
          <cell r="Y453">
            <v>6406</v>
          </cell>
          <cell r="Z453">
            <v>3323</v>
          </cell>
          <cell r="AA453">
            <v>3077</v>
          </cell>
          <cell r="AB453">
            <v>6400</v>
          </cell>
          <cell r="AC453">
            <v>3173</v>
          </cell>
          <cell r="AD453">
            <v>2780</v>
          </cell>
          <cell r="AE453">
            <v>5953</v>
          </cell>
          <cell r="AF453">
            <v>1545</v>
          </cell>
          <cell r="AG453">
            <v>2032</v>
          </cell>
          <cell r="AH453">
            <v>3577</v>
          </cell>
          <cell r="AI453">
            <v>2943</v>
          </cell>
          <cell r="AJ453">
            <v>3219</v>
          </cell>
          <cell r="AK453">
            <v>6162</v>
          </cell>
          <cell r="AL453">
            <v>3530</v>
          </cell>
          <cell r="AM453">
            <v>3589</v>
          </cell>
          <cell r="AN453">
            <v>7119</v>
          </cell>
          <cell r="AO453">
            <v>3555</v>
          </cell>
          <cell r="AP453">
            <v>3551</v>
          </cell>
          <cell r="AQ453">
            <v>7106</v>
          </cell>
          <cell r="AR453">
            <v>3407</v>
          </cell>
          <cell r="AS453">
            <v>3128</v>
          </cell>
          <cell r="AT453">
            <v>6535</v>
          </cell>
          <cell r="AU453">
            <v>3642</v>
          </cell>
          <cell r="AV453">
            <v>2249</v>
          </cell>
          <cell r="AW453">
            <v>5891</v>
          </cell>
          <cell r="AX453">
            <v>3539.820446015503</v>
          </cell>
          <cell r="AY453">
            <v>3736.4335656796165</v>
          </cell>
          <cell r="AZ453">
            <v>7276.2540116951195</v>
          </cell>
          <cell r="BA453">
            <v>3579.9940367790236</v>
          </cell>
          <cell r="BB453">
            <v>3558.3624961077767</v>
          </cell>
          <cell r="BC453">
            <v>7138.3565328868008</v>
          </cell>
          <cell r="BD453">
            <v>3708.8973617862166</v>
          </cell>
          <cell r="BE453">
            <v>3707.1382628182337</v>
          </cell>
          <cell r="BF453">
            <v>7416.0356246044503</v>
          </cell>
          <cell r="BG453">
            <v>3770.0127935004957</v>
          </cell>
          <cell r="BH453">
            <v>3834.2635107046954</v>
          </cell>
          <cell r="BI453">
            <v>7604.2763042051911</v>
          </cell>
          <cell r="BJ453">
            <v>3857.0990893246626</v>
          </cell>
          <cell r="BK453">
            <v>3927.8267048713278</v>
          </cell>
          <cell r="BL453">
            <v>7784.9257941959904</v>
          </cell>
          <cell r="BM453">
            <v>4151.4710442214637</v>
          </cell>
          <cell r="BN453">
            <v>4204.5381274126612</v>
          </cell>
          <cell r="BO453">
            <v>8356.0091716341249</v>
          </cell>
          <cell r="BP453">
            <v>4245.8153071110428</v>
          </cell>
          <cell r="BQ453">
            <v>4233.0364794326215</v>
          </cell>
          <cell r="BR453">
            <v>8478.8517865436643</v>
          </cell>
          <cell r="BS453">
            <v>4257.7386378598076</v>
          </cell>
          <cell r="BT453">
            <v>4285.5705304843523</v>
          </cell>
          <cell r="BU453">
            <v>8543.3091683441598</v>
          </cell>
          <cell r="BV453">
            <v>4323.0187387390861</v>
          </cell>
          <cell r="BW453">
            <v>4392.5557189343608</v>
          </cell>
          <cell r="BX453">
            <v>8715.5744576734469</v>
          </cell>
        </row>
        <row r="454">
          <cell r="B454" t="str">
            <v>Franking (Pub)</v>
          </cell>
          <cell r="C454" t="str">
            <v>FRANKING_ANZPUB</v>
          </cell>
          <cell r="F454">
            <v>1</v>
          </cell>
          <cell r="G454">
            <v>1</v>
          </cell>
          <cell r="H454">
            <v>1</v>
          </cell>
          <cell r="I454">
            <v>1</v>
          </cell>
          <cell r="J454">
            <v>1</v>
          </cell>
          <cell r="K454">
            <v>1</v>
          </cell>
          <cell r="L454">
            <v>1</v>
          </cell>
          <cell r="M454">
            <v>1</v>
          </cell>
          <cell r="N454">
            <v>1</v>
          </cell>
          <cell r="O454">
            <v>1</v>
          </cell>
          <cell r="P454">
            <v>1</v>
          </cell>
          <cell r="Q454">
            <v>1</v>
          </cell>
          <cell r="R454">
            <v>1</v>
          </cell>
          <cell r="S454">
            <v>1</v>
          </cell>
          <cell r="T454">
            <v>1</v>
          </cell>
          <cell r="U454">
            <v>1</v>
          </cell>
          <cell r="V454">
            <v>1</v>
          </cell>
          <cell r="W454">
            <v>1</v>
          </cell>
          <cell r="X454">
            <v>1</v>
          </cell>
          <cell r="Y454">
            <v>1</v>
          </cell>
          <cell r="Z454">
            <v>1</v>
          </cell>
          <cell r="AA454">
            <v>1</v>
          </cell>
          <cell r="AB454">
            <v>1</v>
          </cell>
          <cell r="AC454">
            <v>1</v>
          </cell>
          <cell r="AD454">
            <v>0.7</v>
          </cell>
          <cell r="AE454">
            <v>0.85</v>
          </cell>
          <cell r="AF454">
            <v>1</v>
          </cell>
          <cell r="AG454">
            <v>1</v>
          </cell>
          <cell r="AH454">
            <v>1</v>
          </cell>
          <cell r="AI454">
            <v>1</v>
          </cell>
          <cell r="AJ454">
            <v>1</v>
          </cell>
          <cell r="AK454">
            <v>1</v>
          </cell>
          <cell r="AL454">
            <v>1</v>
          </cell>
          <cell r="AM454">
            <v>1</v>
          </cell>
          <cell r="AN454">
            <v>1</v>
          </cell>
          <cell r="AO454">
            <v>1</v>
          </cell>
          <cell r="AP454">
            <v>0.56010638297872339</v>
          </cell>
          <cell r="AQ454">
            <v>0.76371428571428568</v>
          </cell>
          <cell r="AR454">
            <v>0.65</v>
          </cell>
          <cell r="AS454">
            <v>0.7</v>
          </cell>
          <cell r="AT454">
            <v>0.67499999999999993</v>
          </cell>
          <cell r="AU454">
            <v>0.7</v>
          </cell>
          <cell r="AV454">
            <v>0.7</v>
          </cell>
          <cell r="AW454">
            <v>0.7</v>
          </cell>
          <cell r="AX454">
            <v>0.7</v>
          </cell>
          <cell r="AY454">
            <v>0.7</v>
          </cell>
          <cell r="AZ454">
            <v>0.7</v>
          </cell>
          <cell r="BA454">
            <v>0.7</v>
          </cell>
          <cell r="BB454">
            <v>0.7</v>
          </cell>
          <cell r="BC454">
            <v>0.70000000000000007</v>
          </cell>
          <cell r="BD454">
            <v>0.7</v>
          </cell>
          <cell r="BE454">
            <v>0.7</v>
          </cell>
          <cell r="BF454">
            <v>0.7</v>
          </cell>
          <cell r="BG454">
            <v>0.7</v>
          </cell>
          <cell r="BH454">
            <v>0.7</v>
          </cell>
          <cell r="BI454">
            <v>0.70000000000000007</v>
          </cell>
          <cell r="BJ454">
            <v>0.7</v>
          </cell>
          <cell r="BK454">
            <v>0.7</v>
          </cell>
          <cell r="BL454">
            <v>0.7</v>
          </cell>
          <cell r="BM454">
            <v>0.7</v>
          </cell>
          <cell r="BN454">
            <v>0.7</v>
          </cell>
          <cell r="BO454">
            <v>0.7</v>
          </cell>
          <cell r="BP454">
            <v>0.7</v>
          </cell>
          <cell r="BQ454">
            <v>0.7</v>
          </cell>
          <cell r="BR454">
            <v>0.7</v>
          </cell>
          <cell r="BS454">
            <v>0.7</v>
          </cell>
          <cell r="BT454">
            <v>0.7</v>
          </cell>
          <cell r="BU454">
            <v>0.7</v>
          </cell>
          <cell r="BV454">
            <v>0.7</v>
          </cell>
          <cell r="BW454">
            <v>0.7</v>
          </cell>
          <cell r="BX454">
            <v>0.7</v>
          </cell>
        </row>
        <row r="455">
          <cell r="B455" t="str">
            <v>Franking for special dividends</v>
          </cell>
          <cell r="C455" t="str">
            <v>FRANKING_SPECIAL_ANZPUB</v>
          </cell>
          <cell r="F455"/>
          <cell r="G455"/>
          <cell r="H455"/>
          <cell r="I455"/>
          <cell r="J455"/>
          <cell r="K455"/>
          <cell r="L455"/>
          <cell r="M455"/>
          <cell r="N455"/>
          <cell r="O455"/>
          <cell r="P455"/>
          <cell r="Q455"/>
          <cell r="R455"/>
          <cell r="S455"/>
          <cell r="T455"/>
          <cell r="U455"/>
          <cell r="V455"/>
          <cell r="W455"/>
          <cell r="X455"/>
          <cell r="Y455"/>
          <cell r="Z455"/>
          <cell r="AA455"/>
          <cell r="AB455"/>
          <cell r="AC455"/>
          <cell r="AD455"/>
          <cell r="AE455"/>
          <cell r="AF455"/>
          <cell r="AG455"/>
          <cell r="AH455"/>
          <cell r="AI455"/>
          <cell r="AJ455"/>
          <cell r="AK455"/>
          <cell r="AL455"/>
          <cell r="AM455"/>
          <cell r="AN455"/>
          <cell r="AO455"/>
          <cell r="AP455"/>
          <cell r="AQ455"/>
          <cell r="AR455"/>
          <cell r="AS455"/>
          <cell r="AT455"/>
          <cell r="AU455"/>
          <cell r="AV455"/>
          <cell r="AW455"/>
          <cell r="AX455"/>
          <cell r="AY455"/>
          <cell r="AZ455"/>
          <cell r="BA455"/>
          <cell r="BB455"/>
          <cell r="BC455"/>
          <cell r="BD455"/>
          <cell r="BE455"/>
          <cell r="BF455"/>
          <cell r="BG455"/>
          <cell r="BH455"/>
          <cell r="BI455"/>
          <cell r="BJ455"/>
          <cell r="BK455"/>
          <cell r="BL455"/>
          <cell r="BM455"/>
          <cell r="BN455"/>
          <cell r="BO455"/>
          <cell r="BP455"/>
          <cell r="BQ455"/>
          <cell r="BR455"/>
          <cell r="BS455"/>
          <cell r="BT455"/>
          <cell r="BU455"/>
          <cell r="BV455"/>
          <cell r="BW455"/>
          <cell r="BX455"/>
        </row>
        <row r="456">
          <cell r="B456" t="str">
            <v>Debt to equity</v>
          </cell>
          <cell r="C456" t="str">
            <v>DEBT_EQUITY</v>
          </cell>
          <cell r="F456"/>
          <cell r="G456"/>
          <cell r="H456"/>
          <cell r="I456"/>
          <cell r="J456"/>
          <cell r="K456"/>
          <cell r="L456"/>
          <cell r="M456"/>
          <cell r="N456"/>
          <cell r="O456"/>
          <cell r="P456"/>
          <cell r="Q456"/>
          <cell r="R456"/>
          <cell r="S456"/>
          <cell r="T456"/>
          <cell r="U456"/>
          <cell r="V456"/>
          <cell r="W456"/>
          <cell r="X456"/>
          <cell r="Y456"/>
          <cell r="Z456"/>
          <cell r="AA456"/>
          <cell r="AB456"/>
          <cell r="AC456"/>
          <cell r="AD456"/>
          <cell r="AE456"/>
          <cell r="AF456"/>
          <cell r="AG456"/>
          <cell r="AH456"/>
          <cell r="AI456"/>
          <cell r="AJ456"/>
          <cell r="AK456"/>
          <cell r="AL456"/>
          <cell r="AM456"/>
          <cell r="AN456"/>
          <cell r="AO456"/>
          <cell r="AP456"/>
          <cell r="AQ456"/>
          <cell r="AR456"/>
          <cell r="AS456"/>
          <cell r="AT456"/>
          <cell r="AU456"/>
          <cell r="AV456"/>
          <cell r="AW456"/>
          <cell r="AX456"/>
          <cell r="AY456"/>
          <cell r="AZ456"/>
          <cell r="BA456"/>
          <cell r="BB456"/>
          <cell r="BC456"/>
          <cell r="BD456"/>
          <cell r="BE456"/>
          <cell r="BF456"/>
          <cell r="BG456"/>
          <cell r="BH456"/>
          <cell r="BI456"/>
          <cell r="BJ456"/>
          <cell r="BK456"/>
          <cell r="BL456"/>
          <cell r="BM456"/>
          <cell r="BN456"/>
          <cell r="BO456"/>
          <cell r="BP456"/>
          <cell r="BQ456"/>
          <cell r="BR456"/>
          <cell r="BS456"/>
          <cell r="BT456"/>
          <cell r="BU456"/>
          <cell r="BV456"/>
          <cell r="BW456"/>
          <cell r="BX456"/>
        </row>
        <row r="457">
          <cell r="A457" t="str">
            <v>Income Statement</v>
          </cell>
          <cell r="B457"/>
          <cell r="C457"/>
          <cell r="D457"/>
        </row>
        <row r="458">
          <cell r="B458" t="str">
            <v>Provision for income tax</v>
          </cell>
          <cell r="C458" t="str">
            <v>PROV_INC_TAX</v>
          </cell>
          <cell r="D458" t="str">
            <v>AUD</v>
          </cell>
          <cell r="F458">
            <v>-1486</v>
          </cell>
          <cell r="G458">
            <v>-1616</v>
          </cell>
          <cell r="H458">
            <v>-1171</v>
          </cell>
          <cell r="I458">
            <v>-1349</v>
          </cell>
          <cell r="J458">
            <v>-1989</v>
          </cell>
          <cell r="K458">
            <v>-2167</v>
          </cell>
          <cell r="L458">
            <v>-2288</v>
          </cell>
          <cell r="M458">
            <v>-2435</v>
          </cell>
          <cell r="N458">
            <v>-1333</v>
          </cell>
          <cell r="O458">
            <v>-1367</v>
          </cell>
          <cell r="P458">
            <v>-2700</v>
          </cell>
          <cell r="Q458">
            <v>-1398</v>
          </cell>
          <cell r="R458">
            <v>-1326</v>
          </cell>
          <cell r="S458">
            <v>-2724</v>
          </cell>
          <cell r="T458">
            <v>-1133</v>
          </cell>
          <cell r="U458">
            <v>-1166</v>
          </cell>
          <cell r="V458">
            <v>-2299</v>
          </cell>
          <cell r="W458">
            <v>-1406</v>
          </cell>
          <cell r="X458">
            <v>-1420</v>
          </cell>
          <cell r="Y458">
            <v>-2826</v>
          </cell>
          <cell r="Z458">
            <v>-1489</v>
          </cell>
          <cell r="AA458">
            <v>-1286</v>
          </cell>
          <cell r="AB458">
            <v>-2775</v>
          </cell>
          <cell r="AC458">
            <v>-1415</v>
          </cell>
          <cell r="AD458">
            <v>-1263</v>
          </cell>
          <cell r="AE458">
            <v>-2678</v>
          </cell>
          <cell r="AF458">
            <v>-886</v>
          </cell>
          <cell r="AG458">
            <v>-986</v>
          </cell>
          <cell r="AH458">
            <v>-1872</v>
          </cell>
          <cell r="AI458">
            <v>-1442</v>
          </cell>
          <cell r="AJ458">
            <v>-1322</v>
          </cell>
          <cell r="AK458">
            <v>-2764</v>
          </cell>
          <cell r="AL458">
            <v>-1328</v>
          </cell>
          <cell r="AM458">
            <v>-1356</v>
          </cell>
          <cell r="AN458">
            <v>-2684</v>
          </cell>
          <cell r="AO458">
            <v>-1567</v>
          </cell>
          <cell r="AP458">
            <v>-1513</v>
          </cell>
          <cell r="AQ458">
            <v>-3080</v>
          </cell>
          <cell r="AR458">
            <v>-1496</v>
          </cell>
          <cell r="AS458">
            <v>-1406</v>
          </cell>
          <cell r="AT458">
            <v>-2902</v>
          </cell>
          <cell r="AU458">
            <v>-1519</v>
          </cell>
          <cell r="AV458">
            <v>-1231</v>
          </cell>
          <cell r="AW458">
            <v>-2750</v>
          </cell>
          <cell r="AX458">
            <v>-1506.6501135406934</v>
          </cell>
          <cell r="AY458">
            <v>-1589.8641923285977</v>
          </cell>
          <cell r="AZ458">
            <v>-3096.5143058692911</v>
          </cell>
          <cell r="BA458">
            <v>-1523.6530905175082</v>
          </cell>
          <cell r="BB458">
            <v>-1514.4978076310151</v>
          </cell>
          <cell r="BC458">
            <v>-3038.1508981485231</v>
          </cell>
          <cell r="BD458">
            <v>-1578.2098335339267</v>
          </cell>
          <cell r="BE458">
            <v>-1577.4653165842565</v>
          </cell>
          <cell r="BF458">
            <v>-3155.6751501181834</v>
          </cell>
          <cell r="BG458">
            <v>-1604.0761864940798</v>
          </cell>
          <cell r="BH458">
            <v>-1631.2695103818423</v>
          </cell>
          <cell r="BI458">
            <v>-3235.3456968759219</v>
          </cell>
          <cell r="BJ458">
            <v>-1640.9343874851386</v>
          </cell>
          <cell r="BK458">
            <v>-1670.8689787404701</v>
          </cell>
          <cell r="BL458">
            <v>-3311.8033662256084</v>
          </cell>
          <cell r="BM458">
            <v>-1765.5236879833947</v>
          </cell>
          <cell r="BN458">
            <v>-1787.983676661976</v>
          </cell>
          <cell r="BO458">
            <v>-3553.5073646453707</v>
          </cell>
          <cell r="BP458">
            <v>-1805.4537340489478</v>
          </cell>
          <cell r="BQ458">
            <v>-1800.0452527885627</v>
          </cell>
          <cell r="BR458">
            <v>-3605.4989868375105</v>
          </cell>
          <cell r="BS458">
            <v>-1810.5001367815678</v>
          </cell>
          <cell r="BT458">
            <v>-1822.2796421860494</v>
          </cell>
          <cell r="BU458">
            <v>-3632.7797789676169</v>
          </cell>
          <cell r="BV458">
            <v>-1838.1291346181868</v>
          </cell>
          <cell r="BW458">
            <v>-1867.5598041407895</v>
          </cell>
          <cell r="BX458">
            <v>-3705.6889387589763</v>
          </cell>
        </row>
        <row r="459">
          <cell r="B459" t="str">
            <v>Profit after-tax</v>
          </cell>
          <cell r="C459" t="str">
            <v>PROF_AT</v>
          </cell>
          <cell r="D459" t="str">
            <v>AUD</v>
          </cell>
          <cell r="F459">
            <v>3616.4799999999996</v>
          </cell>
          <cell r="G459">
            <v>3964.8099999999995</v>
          </cell>
          <cell r="H459">
            <v>3327.1399999999994</v>
          </cell>
          <cell r="I459">
            <v>3425.67</v>
          </cell>
          <cell r="J459">
            <v>5139</v>
          </cell>
          <cell r="K459">
            <v>5475</v>
          </cell>
          <cell r="L459">
            <v>6056</v>
          </cell>
          <cell r="M459">
            <v>6502</v>
          </cell>
          <cell r="N459">
            <v>3521</v>
          </cell>
          <cell r="O459">
            <v>3608</v>
          </cell>
          <cell r="P459">
            <v>7129</v>
          </cell>
          <cell r="Q459">
            <v>3684</v>
          </cell>
          <cell r="R459">
            <v>3546</v>
          </cell>
          <cell r="S459">
            <v>7230</v>
          </cell>
          <cell r="T459">
            <v>2786</v>
          </cell>
          <cell r="U459">
            <v>3114</v>
          </cell>
          <cell r="V459">
            <v>5900</v>
          </cell>
          <cell r="W459">
            <v>3363</v>
          </cell>
          <cell r="X459">
            <v>3461</v>
          </cell>
          <cell r="Y459">
            <v>6824</v>
          </cell>
          <cell r="Z459">
            <v>3500</v>
          </cell>
          <cell r="AA459">
            <v>3003</v>
          </cell>
          <cell r="AB459">
            <v>6503</v>
          </cell>
          <cell r="AC459">
            <v>3573</v>
          </cell>
          <cell r="AD459">
            <v>2912</v>
          </cell>
          <cell r="AE459">
            <v>6485</v>
          </cell>
          <cell r="AF459">
            <v>1414</v>
          </cell>
          <cell r="AG459">
            <v>2345</v>
          </cell>
          <cell r="AH459">
            <v>3759</v>
          </cell>
          <cell r="AI459">
            <v>2990</v>
          </cell>
          <cell r="AJ459">
            <v>3209</v>
          </cell>
          <cell r="AK459">
            <v>6199</v>
          </cell>
          <cell r="AL459">
            <v>3113</v>
          </cell>
          <cell r="AM459">
            <v>3403</v>
          </cell>
          <cell r="AN459">
            <v>6516</v>
          </cell>
          <cell r="AO459">
            <v>3843</v>
          </cell>
          <cell r="AP459">
            <v>3598</v>
          </cell>
          <cell r="AQ459">
            <v>7441</v>
          </cell>
          <cell r="AR459">
            <v>3566</v>
          </cell>
          <cell r="AS459">
            <v>3194</v>
          </cell>
          <cell r="AT459">
            <v>6760</v>
          </cell>
          <cell r="AU459">
            <v>3589</v>
          </cell>
          <cell r="AV459">
            <v>2239</v>
          </cell>
          <cell r="AW459">
            <v>5828</v>
          </cell>
          <cell r="AX459">
            <v>3559.820446015503</v>
          </cell>
          <cell r="AY459">
            <v>3756.4335656796165</v>
          </cell>
          <cell r="AZ459">
            <v>7316.2540116951195</v>
          </cell>
          <cell r="BA459">
            <v>3599.9940367790236</v>
          </cell>
          <cell r="BB459">
            <v>3578.3624961077767</v>
          </cell>
          <cell r="BC459">
            <v>7178.3565328867999</v>
          </cell>
          <cell r="BD459">
            <v>3728.8973617862166</v>
          </cell>
          <cell r="BE459">
            <v>3727.1382628182337</v>
          </cell>
          <cell r="BF459">
            <v>7456.0356246044494</v>
          </cell>
          <cell r="BG459">
            <v>3790.0127935004957</v>
          </cell>
          <cell r="BH459">
            <v>3854.2635107046954</v>
          </cell>
          <cell r="BI459">
            <v>7644.2763042051884</v>
          </cell>
          <cell r="BJ459">
            <v>3877.0990893246626</v>
          </cell>
          <cell r="BK459">
            <v>3947.8267048713278</v>
          </cell>
          <cell r="BL459">
            <v>7824.9257941959904</v>
          </cell>
          <cell r="BM459">
            <v>4171.4710442214637</v>
          </cell>
          <cell r="BN459">
            <v>4224.5381274126612</v>
          </cell>
          <cell r="BO459">
            <v>8396.0091716341267</v>
          </cell>
          <cell r="BP459">
            <v>4265.8153071110428</v>
          </cell>
          <cell r="BQ459">
            <v>4253.0364794326215</v>
          </cell>
          <cell r="BR459">
            <v>8518.8517865436606</v>
          </cell>
          <cell r="BS459">
            <v>4277.7386378598076</v>
          </cell>
          <cell r="BT459">
            <v>4305.5705304843523</v>
          </cell>
          <cell r="BU459">
            <v>8583.3091683441635</v>
          </cell>
          <cell r="BV459">
            <v>4343.0187387390861</v>
          </cell>
          <cell r="BW459">
            <v>4412.5557189343608</v>
          </cell>
          <cell r="BX459">
            <v>8755.5744576734487</v>
          </cell>
        </row>
        <row r="460">
          <cell r="B460" t="str">
            <v>Minority interest</v>
          </cell>
          <cell r="C460" t="str">
            <v>INC_MINORITY</v>
          </cell>
          <cell r="D460" t="str">
            <v>AUD</v>
          </cell>
          <cell r="F460"/>
          <cell r="G460"/>
          <cell r="H460"/>
          <cell r="I460"/>
          <cell r="J460"/>
          <cell r="K460"/>
          <cell r="L460"/>
          <cell r="M460"/>
          <cell r="N460"/>
          <cell r="O460"/>
          <cell r="P460"/>
          <cell r="Q460"/>
          <cell r="R460"/>
          <cell r="S460"/>
          <cell r="T460"/>
          <cell r="U460"/>
          <cell r="V460"/>
          <cell r="W460"/>
          <cell r="X460"/>
          <cell r="Y460"/>
          <cell r="Z460"/>
          <cell r="AA460"/>
          <cell r="AB460"/>
          <cell r="AC460"/>
          <cell r="AD460"/>
          <cell r="AE460"/>
          <cell r="AF460"/>
          <cell r="AG460"/>
          <cell r="AH460"/>
          <cell r="AI460"/>
          <cell r="AJ460"/>
          <cell r="AK460"/>
          <cell r="AL460"/>
          <cell r="AM460"/>
          <cell r="AN460"/>
          <cell r="AO460"/>
          <cell r="AP460"/>
          <cell r="AQ460"/>
          <cell r="AR460"/>
          <cell r="AS460"/>
          <cell r="AT460"/>
          <cell r="AU460"/>
          <cell r="AV460"/>
          <cell r="AW460"/>
          <cell r="AX460"/>
          <cell r="AY460"/>
          <cell r="AZ460"/>
          <cell r="BA460"/>
          <cell r="BB460"/>
          <cell r="BC460"/>
          <cell r="BD460"/>
          <cell r="BE460"/>
          <cell r="BF460"/>
          <cell r="BG460"/>
          <cell r="BH460"/>
          <cell r="BI460"/>
          <cell r="BJ460"/>
          <cell r="BK460"/>
          <cell r="BL460"/>
          <cell r="BM460"/>
          <cell r="BN460"/>
          <cell r="BO460"/>
          <cell r="BP460"/>
          <cell r="BQ460"/>
          <cell r="BR460"/>
          <cell r="BS460"/>
          <cell r="BT460"/>
          <cell r="BU460"/>
          <cell r="BV460"/>
          <cell r="BW460"/>
          <cell r="BX460"/>
        </row>
        <row r="461">
          <cell r="B461" t="str">
            <v>Net income (pre-exceptionals)</v>
          </cell>
          <cell r="C461" t="str">
            <v>NET_EARNING</v>
          </cell>
          <cell r="D461" t="str">
            <v>AUD</v>
          </cell>
          <cell r="F461">
            <v>3559.9999999999995</v>
          </cell>
          <cell r="G461">
            <v>3886.9999999999995</v>
          </cell>
          <cell r="H461">
            <v>3230.9999999999995</v>
          </cell>
          <cell r="I461">
            <v>3350</v>
          </cell>
          <cell r="J461">
            <v>5122</v>
          </cell>
          <cell r="K461">
            <v>5455</v>
          </cell>
          <cell r="L461">
            <v>6039</v>
          </cell>
          <cell r="M461">
            <v>6486</v>
          </cell>
          <cell r="N461">
            <v>3512</v>
          </cell>
          <cell r="O461">
            <v>3599</v>
          </cell>
          <cell r="P461">
            <v>7111</v>
          </cell>
          <cell r="Q461">
            <v>3675</v>
          </cell>
          <cell r="R461">
            <v>3540</v>
          </cell>
          <cell r="S461">
            <v>7215</v>
          </cell>
          <cell r="T461">
            <v>2782</v>
          </cell>
          <cell r="U461">
            <v>3107</v>
          </cell>
          <cell r="V461">
            <v>5889</v>
          </cell>
          <cell r="W461">
            <v>3355</v>
          </cell>
          <cell r="X461">
            <v>3454</v>
          </cell>
          <cell r="Y461">
            <v>6809</v>
          </cell>
          <cell r="Z461">
            <v>3493</v>
          </cell>
          <cell r="AA461">
            <v>2994</v>
          </cell>
          <cell r="AB461">
            <v>6487</v>
          </cell>
          <cell r="AC461">
            <v>3564</v>
          </cell>
          <cell r="AD461">
            <v>2906</v>
          </cell>
          <cell r="AE461">
            <v>6470</v>
          </cell>
          <cell r="AF461">
            <v>1413</v>
          </cell>
          <cell r="AG461">
            <v>2345</v>
          </cell>
          <cell r="AH461">
            <v>3758</v>
          </cell>
          <cell r="AI461">
            <v>2990</v>
          </cell>
          <cell r="AJ461">
            <v>3208</v>
          </cell>
          <cell r="AK461">
            <v>6198</v>
          </cell>
          <cell r="AL461">
            <v>3113</v>
          </cell>
          <cell r="AM461">
            <v>3402</v>
          </cell>
          <cell r="AN461">
            <v>6515</v>
          </cell>
          <cell r="AO461">
            <v>3829</v>
          </cell>
          <cell r="AP461">
            <v>3584</v>
          </cell>
          <cell r="AQ461">
            <v>7413</v>
          </cell>
          <cell r="AR461">
            <v>3552</v>
          </cell>
          <cell r="AS461">
            <v>3173</v>
          </cell>
          <cell r="AT461">
            <v>6725</v>
          </cell>
          <cell r="AU461">
            <v>3568</v>
          </cell>
          <cell r="AV461">
            <v>2219</v>
          </cell>
          <cell r="AW461">
            <v>5787</v>
          </cell>
          <cell r="AX461">
            <v>3539.820446015503</v>
          </cell>
          <cell r="AY461">
            <v>3736.4335656796165</v>
          </cell>
          <cell r="AZ461">
            <v>7276.2540116951195</v>
          </cell>
          <cell r="BA461">
            <v>3579.9940367790236</v>
          </cell>
          <cell r="BB461">
            <v>3558.3624961077767</v>
          </cell>
          <cell r="BC461">
            <v>7138.3565328867999</v>
          </cell>
          <cell r="BD461">
            <v>3708.8973617862166</v>
          </cell>
          <cell r="BE461">
            <v>3707.1382628182337</v>
          </cell>
          <cell r="BF461">
            <v>7416.0356246044494</v>
          </cell>
          <cell r="BG461">
            <v>3770.0127935004957</v>
          </cell>
          <cell r="BH461">
            <v>3834.2635107046954</v>
          </cell>
          <cell r="BI461">
            <v>7604.2763042051884</v>
          </cell>
          <cell r="BJ461">
            <v>3857.0990893246626</v>
          </cell>
          <cell r="BK461">
            <v>3927.8267048713278</v>
          </cell>
          <cell r="BL461">
            <v>7784.9257941959904</v>
          </cell>
          <cell r="BM461">
            <v>4151.4710442214637</v>
          </cell>
          <cell r="BN461">
            <v>4204.5381274126612</v>
          </cell>
          <cell r="BO461">
            <v>8356.0091716341267</v>
          </cell>
          <cell r="BP461">
            <v>4245.8153071110428</v>
          </cell>
          <cell r="BQ461">
            <v>4233.0364794326215</v>
          </cell>
          <cell r="BR461">
            <v>8478.8517865436606</v>
          </cell>
          <cell r="BS461">
            <v>4257.7386378598076</v>
          </cell>
          <cell r="BT461">
            <v>4285.5705304843523</v>
          </cell>
          <cell r="BU461">
            <v>8543.3091683441635</v>
          </cell>
          <cell r="BV461">
            <v>4323.0187387390861</v>
          </cell>
          <cell r="BW461">
            <v>4392.5557189343608</v>
          </cell>
          <cell r="BX461">
            <v>8715.5744576734487</v>
          </cell>
        </row>
        <row r="462">
          <cell r="B462" t="str">
            <v>Post-tax exceptionals</v>
          </cell>
          <cell r="C462" t="str">
            <v>TAX_EXC</v>
          </cell>
          <cell r="D462" t="str">
            <v>AUD</v>
          </cell>
          <cell r="F462">
            <v>67</v>
          </cell>
          <cell r="G462">
            <v>171</v>
          </cell>
          <cell r="H462">
            <v>-175</v>
          </cell>
          <cell r="I462">
            <v>-213</v>
          </cell>
          <cell r="J462">
            <v>-474</v>
          </cell>
          <cell r="K462">
            <v>54</v>
          </cell>
          <cell r="L462">
            <v>-213</v>
          </cell>
          <cell r="M462">
            <v>-80</v>
          </cell>
          <cell r="N462">
            <v>-11</v>
          </cell>
          <cell r="O462">
            <v>91</v>
          </cell>
          <cell r="P462">
            <v>80</v>
          </cell>
          <cell r="Q462">
            <v>-172</v>
          </cell>
          <cell r="R462">
            <v>181</v>
          </cell>
          <cell r="S462">
            <v>9</v>
          </cell>
          <cell r="T462">
            <v>41</v>
          </cell>
          <cell r="U462">
            <v>-129</v>
          </cell>
          <cell r="V462">
            <v>-88</v>
          </cell>
          <cell r="W462">
            <v>-154</v>
          </cell>
          <cell r="X462">
            <v>52</v>
          </cell>
          <cell r="Y462">
            <v>-102</v>
          </cell>
          <cell r="Z462">
            <v>-503</v>
          </cell>
          <cell r="AA462">
            <v>83</v>
          </cell>
          <cell r="AB462">
            <v>-420</v>
          </cell>
          <cell r="AC462">
            <v>-391</v>
          </cell>
          <cell r="AD462">
            <v>-126</v>
          </cell>
          <cell r="AE462">
            <v>-517</v>
          </cell>
          <cell r="AF462">
            <v>132</v>
          </cell>
          <cell r="AG462">
            <v>-313</v>
          </cell>
          <cell r="AH462">
            <v>-181</v>
          </cell>
          <cell r="AI462">
            <v>-47</v>
          </cell>
          <cell r="AJ462">
            <v>11</v>
          </cell>
          <cell r="AK462">
            <v>-36</v>
          </cell>
          <cell r="AL462">
            <v>417</v>
          </cell>
          <cell r="AM462">
            <v>187</v>
          </cell>
          <cell r="AN462">
            <v>604</v>
          </cell>
          <cell r="AO462">
            <v>-274</v>
          </cell>
          <cell r="AP462">
            <v>-33</v>
          </cell>
          <cell r="AQ462">
            <v>-307</v>
          </cell>
          <cell r="AR462">
            <v>-145</v>
          </cell>
          <cell r="AS462">
            <v>-45</v>
          </cell>
          <cell r="AT462">
            <v>-190</v>
          </cell>
          <cell r="AU462">
            <v>74</v>
          </cell>
          <cell r="AV462">
            <v>30</v>
          </cell>
          <cell r="AW462">
            <v>104</v>
          </cell>
          <cell r="AX462">
            <v>0</v>
          </cell>
          <cell r="AY462">
            <v>0</v>
          </cell>
          <cell r="AZ462">
            <v>0</v>
          </cell>
          <cell r="BA462">
            <v>0</v>
          </cell>
          <cell r="BB462">
            <v>0</v>
          </cell>
          <cell r="BC462">
            <v>0</v>
          </cell>
          <cell r="BD462">
            <v>0</v>
          </cell>
          <cell r="BE462">
            <v>0</v>
          </cell>
          <cell r="BF462">
            <v>0</v>
          </cell>
          <cell r="BG462">
            <v>0</v>
          </cell>
          <cell r="BH462">
            <v>0</v>
          </cell>
          <cell r="BI462">
            <v>0</v>
          </cell>
          <cell r="BJ462">
            <v>0</v>
          </cell>
          <cell r="BK462">
            <v>0</v>
          </cell>
          <cell r="BL462">
            <v>0</v>
          </cell>
          <cell r="BM462">
            <v>0</v>
          </cell>
          <cell r="BN462">
            <v>0</v>
          </cell>
          <cell r="BO462">
            <v>0</v>
          </cell>
          <cell r="BP462">
            <v>0</v>
          </cell>
          <cell r="BQ462">
            <v>0</v>
          </cell>
          <cell r="BR462">
            <v>0</v>
          </cell>
          <cell r="BS462">
            <v>0</v>
          </cell>
          <cell r="BT462">
            <v>0</v>
          </cell>
          <cell r="BU462">
            <v>0</v>
          </cell>
          <cell r="BV462">
            <v>0</v>
          </cell>
          <cell r="BW462">
            <v>0</v>
          </cell>
          <cell r="BX462">
            <v>0</v>
          </cell>
        </row>
        <row r="463">
          <cell r="B463" t="str">
            <v>Post-tax other</v>
          </cell>
          <cell r="C463" t="str">
            <v>B_PL_PTASSOC</v>
          </cell>
          <cell r="D463" t="str">
            <v>AUD</v>
          </cell>
          <cell r="F463">
            <v>34</v>
          </cell>
          <cell r="G463">
            <v>85</v>
          </cell>
          <cell r="H463">
            <v>217</v>
          </cell>
          <cell r="I463">
            <v>-227</v>
          </cell>
          <cell r="J463">
            <v>-158</v>
          </cell>
          <cell r="K463">
            <v>-166</v>
          </cell>
          <cell r="L463">
            <v>-176</v>
          </cell>
          <cell r="M463">
            <v>-146</v>
          </cell>
          <cell r="N463">
            <v>-112</v>
          </cell>
          <cell r="O463">
            <v>186</v>
          </cell>
          <cell r="P463">
            <v>74</v>
          </cell>
          <cell r="Q463">
            <v>2</v>
          </cell>
          <cell r="R463">
            <v>266</v>
          </cell>
          <cell r="S463">
            <v>268</v>
          </cell>
          <cell r="T463">
            <v>-85</v>
          </cell>
          <cell r="U463">
            <v>-7</v>
          </cell>
          <cell r="V463">
            <v>-92</v>
          </cell>
          <cell r="W463">
            <v>-290</v>
          </cell>
          <cell r="X463">
            <v>-11</v>
          </cell>
          <cell r="Y463">
            <v>-301</v>
          </cell>
          <cell r="Z463">
            <v>333</v>
          </cell>
          <cell r="AA463">
            <v>0</v>
          </cell>
          <cell r="AB463">
            <v>333</v>
          </cell>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cell r="BL463">
            <v>0</v>
          </cell>
          <cell r="BM463">
            <v>0</v>
          </cell>
          <cell r="BN463">
            <v>0</v>
          </cell>
          <cell r="BO463">
            <v>0</v>
          </cell>
          <cell r="BP463">
            <v>0</v>
          </cell>
          <cell r="BQ463">
            <v>0</v>
          </cell>
          <cell r="BR463">
            <v>0</v>
          </cell>
          <cell r="BS463">
            <v>0</v>
          </cell>
          <cell r="BT463">
            <v>0</v>
          </cell>
          <cell r="BU463">
            <v>0</v>
          </cell>
          <cell r="BV463">
            <v>0</v>
          </cell>
          <cell r="BW463">
            <v>0</v>
          </cell>
          <cell r="BX463">
            <v>0</v>
          </cell>
        </row>
        <row r="464">
          <cell r="B464" t="str">
            <v>Minority interest</v>
          </cell>
          <cell r="C464" t="str">
            <v>MINOR_EQUITY</v>
          </cell>
          <cell r="D464" t="str">
            <v>AUD</v>
          </cell>
          <cell r="F464">
            <v>-29.480000000000018</v>
          </cell>
          <cell r="G464">
            <v>-40.810000000000059</v>
          </cell>
          <cell r="H464">
            <v>-50.139999999999986</v>
          </cell>
          <cell r="I464">
            <v>-42.669999999999959</v>
          </cell>
          <cell r="J464">
            <v>-6</v>
          </cell>
          <cell r="K464">
            <v>-8</v>
          </cell>
          <cell r="L464">
            <v>-6</v>
          </cell>
          <cell r="M464">
            <v>-10</v>
          </cell>
          <cell r="N464">
            <v>-6</v>
          </cell>
          <cell r="O464">
            <v>-6</v>
          </cell>
          <cell r="P464">
            <v>-12</v>
          </cell>
          <cell r="Q464">
            <v>-8</v>
          </cell>
          <cell r="R464">
            <v>-6</v>
          </cell>
          <cell r="S464">
            <v>-14</v>
          </cell>
          <cell r="T464">
            <v>-4</v>
          </cell>
          <cell r="U464">
            <v>-7</v>
          </cell>
          <cell r="V464">
            <v>-11</v>
          </cell>
          <cell r="W464">
            <v>-8</v>
          </cell>
          <cell r="X464">
            <v>-7</v>
          </cell>
          <cell r="Y464">
            <v>-15</v>
          </cell>
          <cell r="Z464">
            <v>-7</v>
          </cell>
          <cell r="AA464">
            <v>-9</v>
          </cell>
          <cell r="AB464">
            <v>-16</v>
          </cell>
          <cell r="AC464">
            <v>-9</v>
          </cell>
          <cell r="AD464">
            <v>-6</v>
          </cell>
          <cell r="AE464">
            <v>-15</v>
          </cell>
          <cell r="AF464">
            <v>-1</v>
          </cell>
          <cell r="AG464">
            <v>0</v>
          </cell>
          <cell r="AH464">
            <v>-1</v>
          </cell>
          <cell r="AI464">
            <v>0</v>
          </cell>
          <cell r="AJ464">
            <v>-1</v>
          </cell>
          <cell r="AK464">
            <v>-1</v>
          </cell>
          <cell r="AL464">
            <v>0</v>
          </cell>
          <cell r="AM464">
            <v>-1</v>
          </cell>
          <cell r="AN464">
            <v>-1</v>
          </cell>
          <cell r="AO464">
            <v>-14</v>
          </cell>
          <cell r="AP464">
            <v>-14</v>
          </cell>
          <cell r="AQ464">
            <v>-28</v>
          </cell>
          <cell r="AR464">
            <v>-14</v>
          </cell>
          <cell r="AS464">
            <v>-21</v>
          </cell>
          <cell r="AT464">
            <v>-35</v>
          </cell>
          <cell r="AU464">
            <v>-21</v>
          </cell>
          <cell r="AV464">
            <v>-20</v>
          </cell>
          <cell r="AW464">
            <v>-41</v>
          </cell>
          <cell r="AX464">
            <v>-20</v>
          </cell>
          <cell r="AY464">
            <v>-20</v>
          </cell>
          <cell r="AZ464">
            <v>-40</v>
          </cell>
          <cell r="BA464">
            <v>-20</v>
          </cell>
          <cell r="BB464">
            <v>-20</v>
          </cell>
          <cell r="BC464">
            <v>-40</v>
          </cell>
          <cell r="BD464">
            <v>-20</v>
          </cell>
          <cell r="BE464">
            <v>-20</v>
          </cell>
          <cell r="BF464">
            <v>-40</v>
          </cell>
          <cell r="BG464">
            <v>-20</v>
          </cell>
          <cell r="BH464">
            <v>-20</v>
          </cell>
          <cell r="BI464">
            <v>-40</v>
          </cell>
          <cell r="BJ464">
            <v>-20</v>
          </cell>
          <cell r="BK464">
            <v>-20</v>
          </cell>
          <cell r="BL464">
            <v>-40</v>
          </cell>
          <cell r="BM464">
            <v>-20</v>
          </cell>
          <cell r="BN464">
            <v>-20</v>
          </cell>
          <cell r="BO464">
            <v>-40</v>
          </cell>
          <cell r="BP464">
            <v>-20</v>
          </cell>
          <cell r="BQ464">
            <v>-20</v>
          </cell>
          <cell r="BR464">
            <v>-40</v>
          </cell>
          <cell r="BS464">
            <v>-20</v>
          </cell>
          <cell r="BT464">
            <v>-20</v>
          </cell>
          <cell r="BU464">
            <v>-40</v>
          </cell>
          <cell r="BV464">
            <v>-20</v>
          </cell>
          <cell r="BW464">
            <v>-20</v>
          </cell>
          <cell r="BX464">
            <v>-40</v>
          </cell>
        </row>
        <row r="465">
          <cell r="B465" t="str">
            <v>Preferred dividends (non-equity)</v>
          </cell>
          <cell r="C465" t="str">
            <v>MINOR_NON_EQUITY</v>
          </cell>
          <cell r="D465" t="str">
            <v>AUD</v>
          </cell>
          <cell r="F465"/>
          <cell r="G465"/>
          <cell r="H465"/>
          <cell r="I465"/>
          <cell r="J465"/>
          <cell r="K465"/>
          <cell r="L465"/>
          <cell r="M465"/>
          <cell r="N465"/>
          <cell r="O465"/>
          <cell r="P465"/>
          <cell r="Q465"/>
          <cell r="R465"/>
          <cell r="S465"/>
          <cell r="T465"/>
          <cell r="U465"/>
          <cell r="V465"/>
          <cell r="W465"/>
          <cell r="X465"/>
          <cell r="Y465"/>
          <cell r="Z465"/>
          <cell r="AA465"/>
          <cell r="AB465"/>
          <cell r="AC465"/>
          <cell r="AD465"/>
          <cell r="AE465"/>
          <cell r="AF465"/>
          <cell r="AG465"/>
          <cell r="AH465"/>
          <cell r="AI465"/>
          <cell r="AJ465"/>
          <cell r="AK465"/>
          <cell r="AL465"/>
          <cell r="AM465"/>
          <cell r="AN465"/>
          <cell r="AO465"/>
          <cell r="AP465"/>
          <cell r="AQ465"/>
          <cell r="AR465"/>
          <cell r="AS465"/>
          <cell r="AT465"/>
          <cell r="AU465"/>
          <cell r="AV465"/>
          <cell r="AW465"/>
          <cell r="AX465"/>
          <cell r="AY465"/>
          <cell r="AZ465"/>
          <cell r="BA465"/>
          <cell r="BB465"/>
          <cell r="BC465"/>
          <cell r="BD465"/>
          <cell r="BE465"/>
          <cell r="BF465"/>
          <cell r="BG465"/>
          <cell r="BH465"/>
          <cell r="BI465"/>
          <cell r="BJ465"/>
          <cell r="BK465"/>
          <cell r="BL465"/>
          <cell r="BM465"/>
          <cell r="BN465"/>
          <cell r="BO465"/>
          <cell r="BP465"/>
          <cell r="BQ465"/>
          <cell r="BR465"/>
          <cell r="BS465"/>
          <cell r="BT465"/>
          <cell r="BU465"/>
          <cell r="BV465"/>
          <cell r="BW465"/>
          <cell r="BX465"/>
        </row>
        <row r="466">
          <cell r="B466" t="str">
            <v>Net income (post-exceptionals)</v>
          </cell>
          <cell r="C466" t="str">
            <v>NET_INC</v>
          </cell>
          <cell r="D466" t="str">
            <v>AUD</v>
          </cell>
          <cell r="F466">
            <v>3687.9999999999995</v>
          </cell>
          <cell r="G466">
            <v>4180</v>
          </cell>
          <cell r="H466">
            <v>3319.0000000000009</v>
          </cell>
          <cell r="I466">
            <v>2943</v>
          </cell>
          <cell r="J466">
            <v>4501</v>
          </cell>
          <cell r="K466">
            <v>5355</v>
          </cell>
          <cell r="L466">
            <v>5661</v>
          </cell>
          <cell r="M466">
            <v>6266</v>
          </cell>
          <cell r="N466">
            <v>3392</v>
          </cell>
          <cell r="O466">
            <v>3879</v>
          </cell>
          <cell r="P466">
            <v>7271</v>
          </cell>
          <cell r="Q466">
            <v>3506</v>
          </cell>
          <cell r="R466">
            <v>3987</v>
          </cell>
          <cell r="S466">
            <v>7493</v>
          </cell>
          <cell r="T466">
            <v>2738</v>
          </cell>
          <cell r="U466">
            <v>2971</v>
          </cell>
          <cell r="V466">
            <v>5709</v>
          </cell>
          <cell r="W466">
            <v>2911</v>
          </cell>
          <cell r="X466">
            <v>3495</v>
          </cell>
          <cell r="Y466">
            <v>6406</v>
          </cell>
          <cell r="Z466">
            <v>3323</v>
          </cell>
          <cell r="AA466">
            <v>3077</v>
          </cell>
          <cell r="AB466">
            <v>6400</v>
          </cell>
          <cell r="AC466">
            <v>3173</v>
          </cell>
          <cell r="AD466">
            <v>2780</v>
          </cell>
          <cell r="AE466">
            <v>5953</v>
          </cell>
          <cell r="AF466">
            <v>1545</v>
          </cell>
          <cell r="AG466">
            <v>2032</v>
          </cell>
          <cell r="AH466">
            <v>3577</v>
          </cell>
          <cell r="AI466">
            <v>2943</v>
          </cell>
          <cell r="AJ466">
            <v>3219</v>
          </cell>
          <cell r="AK466">
            <v>6162</v>
          </cell>
          <cell r="AL466">
            <v>3530</v>
          </cell>
          <cell r="AM466">
            <v>3589</v>
          </cell>
          <cell r="AN466">
            <v>7119</v>
          </cell>
          <cell r="AO466">
            <v>3555</v>
          </cell>
          <cell r="AP466">
            <v>3551</v>
          </cell>
          <cell r="AQ466">
            <v>7106</v>
          </cell>
          <cell r="AR466">
            <v>3407</v>
          </cell>
          <cell r="AS466">
            <v>3128</v>
          </cell>
          <cell r="AT466">
            <v>6535</v>
          </cell>
          <cell r="AU466">
            <v>3642</v>
          </cell>
          <cell r="AV466">
            <v>2249</v>
          </cell>
          <cell r="AW466">
            <v>5891</v>
          </cell>
          <cell r="AX466">
            <v>3539.820446015503</v>
          </cell>
          <cell r="AY466">
            <v>3736.4335656796165</v>
          </cell>
          <cell r="AZ466">
            <v>7276.2540116951195</v>
          </cell>
          <cell r="BA466">
            <v>3579.9940367790236</v>
          </cell>
          <cell r="BB466">
            <v>3558.3624961077767</v>
          </cell>
          <cell r="BC466">
            <v>7138.3565328868008</v>
          </cell>
          <cell r="BD466">
            <v>3708.8973617862166</v>
          </cell>
          <cell r="BE466">
            <v>3707.1382628182337</v>
          </cell>
          <cell r="BF466">
            <v>7416.0356246044503</v>
          </cell>
          <cell r="BG466">
            <v>3770.0127935004957</v>
          </cell>
          <cell r="BH466">
            <v>3834.2635107046954</v>
          </cell>
          <cell r="BI466">
            <v>7604.2763042051911</v>
          </cell>
          <cell r="BJ466">
            <v>3857.0990893246626</v>
          </cell>
          <cell r="BK466">
            <v>3927.8267048713278</v>
          </cell>
          <cell r="BL466">
            <v>7784.9257941959904</v>
          </cell>
          <cell r="BM466">
            <v>4151.4710442214637</v>
          </cell>
          <cell r="BN466">
            <v>4204.5381274126612</v>
          </cell>
          <cell r="BO466">
            <v>8356.0091716341249</v>
          </cell>
          <cell r="BP466">
            <v>4245.8153071110428</v>
          </cell>
          <cell r="BQ466">
            <v>4233.0364794326215</v>
          </cell>
          <cell r="BR466">
            <v>8478.8517865436643</v>
          </cell>
          <cell r="BS466">
            <v>4257.7386378598076</v>
          </cell>
          <cell r="BT466">
            <v>4285.5705304843523</v>
          </cell>
          <cell r="BU466">
            <v>8543.3091683441598</v>
          </cell>
          <cell r="BV466">
            <v>4323.0187387390861</v>
          </cell>
          <cell r="BW466">
            <v>4392.5557189343608</v>
          </cell>
          <cell r="BX466">
            <v>8715.5744576734469</v>
          </cell>
        </row>
        <row r="467">
          <cell r="B467" t="str">
            <v>EPS (pre-exceptionals, basic)</v>
          </cell>
          <cell r="C467" t="str">
            <v>EPS</v>
          </cell>
          <cell r="D467" t="str">
            <v>AUD</v>
          </cell>
          <cell r="F467">
            <v>1.929643315303502</v>
          </cell>
          <cell r="G467">
            <v>2.0861445939951309</v>
          </cell>
          <cell r="H467">
            <v>1.6685387881942635</v>
          </cell>
          <cell r="I467">
            <v>1.4959885217861</v>
          </cell>
          <cell r="J467">
            <v>2.0250526011238192</v>
          </cell>
          <cell r="K467">
            <v>2.1091348571651269</v>
          </cell>
          <cell r="L467">
            <v>2.2497117472118959</v>
          </cell>
          <cell r="M467">
            <v>2.3638623841886779</v>
          </cell>
          <cell r="N467">
            <v>1.277201624633431</v>
          </cell>
          <cell r="O467">
            <v>1.3046799115723315</v>
          </cell>
          <cell r="P467">
            <v>2.5820670324280801</v>
          </cell>
          <cell r="Q467">
            <v>1.3257876545454546</v>
          </cell>
          <cell r="R467">
            <v>1.2575587925663338</v>
          </cell>
          <cell r="S467">
            <v>2.5827742260229485</v>
          </cell>
          <cell r="T467">
            <v>0.95125913421107045</v>
          </cell>
          <cell r="U467">
            <v>1.0586657514768512</v>
          </cell>
          <cell r="V467">
            <v>2.0103208499070955</v>
          </cell>
          <cell r="W467">
            <v>1.1384370934090366</v>
          </cell>
          <cell r="X467">
            <v>1.1698296613409804</v>
          </cell>
          <cell r="Y467">
            <v>2.3083356936850734</v>
          </cell>
          <cell r="Z467">
            <v>1.1848992675921495</v>
          </cell>
          <cell r="AA467">
            <v>1.0305688307542851</v>
          </cell>
          <cell r="AB467">
            <v>2.2166713333103707</v>
          </cell>
          <cell r="AC467">
            <v>1.2376332752283943</v>
          </cell>
          <cell r="AD467">
            <v>1.0189806369066552</v>
          </cell>
          <cell r="AE467">
            <v>2.2576752207097885</v>
          </cell>
          <cell r="AF467">
            <v>0.49523688193315907</v>
          </cell>
          <cell r="AG467">
            <v>0.82171576363379484</v>
          </cell>
          <cell r="AH467">
            <v>1.316987243632767</v>
          </cell>
          <cell r="AI467">
            <v>1.0449632366928525</v>
          </cell>
          <cell r="AJ467">
            <v>1.121269689966178</v>
          </cell>
          <cell r="AK467">
            <v>2.1661907376875926</v>
          </cell>
          <cell r="AL467">
            <v>1.0901774570228386</v>
          </cell>
          <cell r="AM467">
            <v>1.188471615720524</v>
          </cell>
          <cell r="AN467">
            <v>2.2879719051799823</v>
          </cell>
          <cell r="AO467">
            <v>1.2788484018569855</v>
          </cell>
          <cell r="AP467">
            <v>1.194587027531498</v>
          </cell>
          <cell r="AQ467">
            <v>2.4733084211931136</v>
          </cell>
          <cell r="AR467">
            <v>1.1834871555659214</v>
          </cell>
          <cell r="AS467">
            <v>1.0592555499916541</v>
          </cell>
          <cell r="AT467">
            <v>2.2428628601921026</v>
          </cell>
          <cell r="AU467">
            <v>1.2005787543322453</v>
          </cell>
          <cell r="AV467">
            <v>0.74630881512124569</v>
          </cell>
          <cell r="AW467">
            <v>1.9467805961111486</v>
          </cell>
          <cell r="AX467">
            <v>1.183772501484802</v>
          </cell>
          <cell r="AY467">
            <v>1.240473096436689</v>
          </cell>
          <cell r="AZ467">
            <v>2.4244758201171681</v>
          </cell>
          <cell r="BA467">
            <v>1.1842518442139665</v>
          </cell>
          <cell r="BB467">
            <v>1.1821204214674561</v>
          </cell>
          <cell r="BC467">
            <v>2.3663629980888898</v>
          </cell>
          <cell r="BD467">
            <v>1.2425037991257091</v>
          </cell>
          <cell r="BE467">
            <v>1.2519939380616776</v>
          </cell>
          <cell r="BF467">
            <v>2.4944593815839267</v>
          </cell>
          <cell r="BG467">
            <v>1.2831861040880819</v>
          </cell>
          <cell r="BH467">
            <v>1.3148877416812019</v>
          </cell>
          <cell r="BI467">
            <v>2.5979281541589709</v>
          </cell>
          <cell r="BJ467">
            <v>1.3276080696105519</v>
          </cell>
          <cell r="BK467">
            <v>1.3519524151846518</v>
          </cell>
          <cell r="BL467">
            <v>2.6795604847952035</v>
          </cell>
          <cell r="BM467">
            <v>1.4289304815417563</v>
          </cell>
          <cell r="BN467">
            <v>1.4471960967732445</v>
          </cell>
          <cell r="BO467">
            <v>2.8761265783150014</v>
          </cell>
          <cell r="BP467">
            <v>1.4614036438414562</v>
          </cell>
          <cell r="BQ467">
            <v>1.4570051893674734</v>
          </cell>
          <cell r="BR467">
            <v>2.9184088332089284</v>
          </cell>
          <cell r="BS467">
            <v>1.4655076374781526</v>
          </cell>
          <cell r="BT467">
            <v>1.4750873356879151</v>
          </cell>
          <cell r="BU467">
            <v>2.9405949731660685</v>
          </cell>
          <cell r="BV467">
            <v>1.4879769561825096</v>
          </cell>
          <cell r="BW467">
            <v>1.5119114867469705</v>
          </cell>
          <cell r="BX467">
            <v>2.9998884429294805</v>
          </cell>
        </row>
        <row r="468">
          <cell r="B468" t="str">
            <v>EPS (pre-exceptionals, diluted)</v>
          </cell>
          <cell r="C468" t="str">
            <v>EPS_FUL_DIL</v>
          </cell>
          <cell r="D468" t="str">
            <v>AUD</v>
          </cell>
          <cell r="F468">
            <v>1.8733484348544287</v>
          </cell>
          <cell r="G468">
            <v>2.0351264401045666</v>
          </cell>
          <cell r="H468">
            <v>1.5894187026363034</v>
          </cell>
          <cell r="I468">
            <v>1.471494893689548</v>
          </cell>
          <cell r="J468">
            <v>1.9554798576195773</v>
          </cell>
          <cell r="K468">
            <v>2.0116436296981779</v>
          </cell>
          <cell r="L468">
            <v>2.1613143491888538</v>
          </cell>
          <cell r="M468">
            <v>2.2917675009467415</v>
          </cell>
          <cell r="N468">
            <v>1.2331396491708921</v>
          </cell>
          <cell r="O468">
            <v>1.2550972551948936</v>
          </cell>
          <cell r="P468">
            <v>2.486300587513631</v>
          </cell>
          <cell r="Q468">
            <v>1.2887491362580292</v>
          </cell>
          <cell r="R468">
            <v>1.1886076174692923</v>
          </cell>
          <cell r="S468">
            <v>2.45027770397731</v>
          </cell>
          <cell r="T468">
            <v>0.89977392599473605</v>
          </cell>
          <cell r="U468">
            <v>1.0120980085197018</v>
          </cell>
          <cell r="V468">
            <v>1.9256491986193911</v>
          </cell>
          <cell r="W468">
            <v>1.0925796208501006</v>
          </cell>
          <cell r="X468">
            <v>1.1199412896943808</v>
          </cell>
          <cell r="Y468">
            <v>2.2059824989817343</v>
          </cell>
          <cell r="Z468">
            <v>1.1251257759885154</v>
          </cell>
          <cell r="AA468">
            <v>0.99199098170673305</v>
          </cell>
          <cell r="AB468">
            <v>2.1217099838796347</v>
          </cell>
          <cell r="AC468">
            <v>1.1746465819950092</v>
          </cell>
          <cell r="AD468">
            <v>0.97966678003576657</v>
          </cell>
          <cell r="AE468">
            <v>2.1634654242993072</v>
          </cell>
          <cell r="AF468">
            <v>0.47083189711603785</v>
          </cell>
          <cell r="AG468">
            <v>0.75475033898834631</v>
          </cell>
          <cell r="AH468">
            <v>1.2310035900159322</v>
          </cell>
          <cell r="AI468">
            <v>0.99131404876150953</v>
          </cell>
          <cell r="AJ468">
            <v>1.0551795388826275</v>
          </cell>
          <cell r="AK468">
            <v>2.0441684232606168</v>
          </cell>
          <cell r="AL468">
            <v>1.0244331561311941</v>
          </cell>
          <cell r="AM468">
            <v>1.1155619138451756</v>
          </cell>
          <cell r="AN468">
            <v>2.1395111691788027</v>
          </cell>
          <cell r="AO468">
            <v>1.2137388280511241</v>
          </cell>
          <cell r="AP468">
            <v>1.1476109215017065</v>
          </cell>
          <cell r="AQ468">
            <v>2.3681394282219843</v>
          </cell>
          <cell r="AR468">
            <v>1.1599064442666338</v>
          </cell>
          <cell r="AS468">
            <v>1.0451365240542383</v>
          </cell>
          <cell r="AT468">
            <v>2.2093382807668522</v>
          </cell>
          <cell r="AU468">
            <v>1.1704012182614911</v>
          </cell>
          <cell r="AV468">
            <v>0.74420632525069597</v>
          </cell>
          <cell r="AW468">
            <v>1.8821346583225886</v>
          </cell>
          <cell r="AX468">
            <v>1.1804564880347455</v>
          </cell>
          <cell r="AY468">
            <v>1.2370233492586529</v>
          </cell>
          <cell r="AZ468">
            <v>2.4177088650244967</v>
          </cell>
          <cell r="BA468">
            <v>1.1809702866764515</v>
          </cell>
          <cell r="BB468">
            <v>1.1788308274569026</v>
          </cell>
          <cell r="BC468">
            <v>2.3597919275758144</v>
          </cell>
          <cell r="BD468">
            <v>1.2390171398392946</v>
          </cell>
          <cell r="BE468">
            <v>1.2484522145682972</v>
          </cell>
          <cell r="BF468">
            <v>2.4874313287916858</v>
          </cell>
          <cell r="BG468">
            <v>1.2795278333145705</v>
          </cell>
          <cell r="BH468">
            <v>1.3111109290173402</v>
          </cell>
          <cell r="BI468">
            <v>2.5904940074780467</v>
          </cell>
          <cell r="BJ468">
            <v>1.3237806647245656</v>
          </cell>
          <cell r="BK468">
            <v>1.348054827185645</v>
          </cell>
          <cell r="BL468">
            <v>2.6718354919102101</v>
          </cell>
          <cell r="BM468">
            <v>1.4248109709482479</v>
          </cell>
          <cell r="BN468">
            <v>1.4430239276379704</v>
          </cell>
          <cell r="BO468">
            <v>2.8678348985862185</v>
          </cell>
          <cell r="BP468">
            <v>1.4571905153023401</v>
          </cell>
          <cell r="BQ468">
            <v>1.4528047412771508</v>
          </cell>
          <cell r="BR468">
            <v>2.9099952565794895</v>
          </cell>
          <cell r="BS468">
            <v>1.4612826774010572</v>
          </cell>
          <cell r="BT468">
            <v>1.4708347579843728</v>
          </cell>
          <cell r="BU468">
            <v>2.9321174353854307</v>
          </cell>
          <cell r="BV468">
            <v>1.4836872185689089</v>
          </cell>
          <cell r="BW468">
            <v>1.5075527474894941</v>
          </cell>
          <cell r="BX468">
            <v>2.9912399660584033</v>
          </cell>
        </row>
        <row r="469">
          <cell r="B469" t="str">
            <v>EPS (post-exceptionals, basic)</v>
          </cell>
          <cell r="C469" t="str">
            <v>EPS_POST_BASIC</v>
          </cell>
          <cell r="D469" t="str">
            <v>AUD</v>
          </cell>
          <cell r="F469">
            <v>1.984388813855652</v>
          </cell>
          <cell r="G469">
            <v>2.2235392469569919</v>
          </cell>
          <cell r="H469">
            <v>1.6902282431940039</v>
          </cell>
          <cell r="I469">
            <v>1.2995004771335974</v>
          </cell>
          <cell r="J469">
            <v>1.7751827760730081</v>
          </cell>
          <cell r="K469">
            <v>2.0658308967613701</v>
          </cell>
          <cell r="L469">
            <v>2.1047973789944052</v>
          </cell>
          <cell r="M469">
            <v>2.2814953014216965</v>
          </cell>
          <cell r="N469">
            <v>1.232470474340176</v>
          </cell>
          <cell r="O469">
            <v>1.4050956758139366</v>
          </cell>
          <cell r="P469">
            <v>2.637985795329771</v>
          </cell>
          <cell r="Q469">
            <v>1.2644587018181819</v>
          </cell>
          <cell r="R469">
            <v>1.4163522333225911</v>
          </cell>
          <cell r="S469">
            <v>2.6819327098217505</v>
          </cell>
          <cell r="T469">
            <v>0.93621405804094571</v>
          </cell>
          <cell r="U469">
            <v>1.0123256992718781</v>
          </cell>
          <cell r="V469">
            <v>1.948874466313399</v>
          </cell>
          <cell r="W469">
            <v>0.98777656599514319</v>
          </cell>
          <cell r="X469">
            <v>1.1837158848832445</v>
          </cell>
          <cell r="Y469">
            <v>2.1717136809732094</v>
          </cell>
          <cell r="Z469">
            <v>1.1272316822813377</v>
          </cell>
          <cell r="AA469">
            <v>1.0591383741586289</v>
          </cell>
          <cell r="AB469">
            <v>2.1869425825784448</v>
          </cell>
          <cell r="AC469">
            <v>1.101854764955021</v>
          </cell>
          <cell r="AD469">
            <v>0.97479909518255381</v>
          </cell>
          <cell r="AE469">
            <v>2.0772705701522987</v>
          </cell>
          <cell r="AF469">
            <v>0.54150104924750941</v>
          </cell>
          <cell r="AG469">
            <v>0.7120368578694547</v>
          </cell>
          <cell r="AH469">
            <v>1.2535559793705182</v>
          </cell>
          <cell r="AI469">
            <v>1.0285373931729314</v>
          </cell>
          <cell r="AJ469">
            <v>1.1251144426437429</v>
          </cell>
          <cell r="AK469">
            <v>2.1536087972944409</v>
          </cell>
          <cell r="AL469">
            <v>1.2362115076423452</v>
          </cell>
          <cell r="AM469">
            <v>1.2537991266375546</v>
          </cell>
          <cell r="AN469">
            <v>2.5000877963125547</v>
          </cell>
          <cell r="AO469">
            <v>1.187335092348285</v>
          </cell>
          <cell r="AP469">
            <v>1.1835877608159457</v>
          </cell>
          <cell r="AQ469">
            <v>2.370879487521687</v>
          </cell>
          <cell r="AR469">
            <v>1.1351747576050377</v>
          </cell>
          <cell r="AS469">
            <v>1.044233016190953</v>
          </cell>
          <cell r="AT469">
            <v>2.1794957310565635</v>
          </cell>
          <cell r="AU469">
            <v>1.2254786500218715</v>
          </cell>
          <cell r="AV469">
            <v>0.75639861433424138</v>
          </cell>
          <cell r="AW469">
            <v>1.9817668034717084</v>
          </cell>
          <cell r="AX469">
            <v>1.183772501484802</v>
          </cell>
          <cell r="AY469">
            <v>1.240473096436689</v>
          </cell>
          <cell r="AZ469">
            <v>2.4244758201171681</v>
          </cell>
          <cell r="BA469">
            <v>1.1842518442139665</v>
          </cell>
          <cell r="BB469">
            <v>1.1821204214674561</v>
          </cell>
          <cell r="BC469">
            <v>2.3663629980888903</v>
          </cell>
          <cell r="BD469">
            <v>1.2425037991257091</v>
          </cell>
          <cell r="BE469">
            <v>1.2519939380616776</v>
          </cell>
          <cell r="BF469">
            <v>2.4944593815839271</v>
          </cell>
          <cell r="BG469">
            <v>1.2831861040880819</v>
          </cell>
          <cell r="BH469">
            <v>1.3148877416812019</v>
          </cell>
          <cell r="BI469">
            <v>2.5979281541589718</v>
          </cell>
          <cell r="BJ469">
            <v>1.3276080696105519</v>
          </cell>
          <cell r="BK469">
            <v>1.3519524151846518</v>
          </cell>
          <cell r="BL469">
            <v>2.6795604847952035</v>
          </cell>
          <cell r="BM469">
            <v>1.4289304815417563</v>
          </cell>
          <cell r="BN469">
            <v>1.4471960967732445</v>
          </cell>
          <cell r="BO469">
            <v>2.876126578315001</v>
          </cell>
          <cell r="BP469">
            <v>1.4614036438414562</v>
          </cell>
          <cell r="BQ469">
            <v>1.4570051893674734</v>
          </cell>
          <cell r="BR469">
            <v>2.9184088332089297</v>
          </cell>
          <cell r="BS469">
            <v>1.4655076374781526</v>
          </cell>
          <cell r="BT469">
            <v>1.4750873356879151</v>
          </cell>
          <cell r="BU469">
            <v>2.9405949731660677</v>
          </cell>
          <cell r="BV469">
            <v>1.4879769561825096</v>
          </cell>
          <cell r="BW469">
            <v>1.5119114867469705</v>
          </cell>
          <cell r="BX469">
            <v>2.9998884429294801</v>
          </cell>
        </row>
        <row r="470">
          <cell r="B470" t="str">
            <v>EPS (post-exceptionals, diluted)</v>
          </cell>
          <cell r="C470" t="str">
            <v>FULLY_DIL_EPS</v>
          </cell>
          <cell r="D470" t="str">
            <v>AUD</v>
          </cell>
          <cell r="F470">
            <v>1.9250729269048108</v>
          </cell>
          <cell r="G470">
            <v>2.1653094407709261</v>
          </cell>
          <cell r="H470">
            <v>1.6091048086553912</v>
          </cell>
          <cell r="I470">
            <v>1.2854972627721677</v>
          </cell>
          <cell r="J470">
            <v>1.7229999347423064</v>
          </cell>
          <cell r="K470">
            <v>1.9720957823177676</v>
          </cell>
          <cell r="L470">
            <v>2.0283892453415078</v>
          </cell>
          <cell r="M470">
            <v>2.2145783123902638</v>
          </cell>
          <cell r="N470">
            <v>1.191332544196245</v>
          </cell>
          <cell r="O470">
            <v>1.3484042706777131</v>
          </cell>
          <cell r="P470">
            <v>2.5383661695747</v>
          </cell>
          <cell r="Q470">
            <v>1.2311248981823151</v>
          </cell>
          <cell r="R470">
            <v>1.3327105751608501</v>
          </cell>
          <cell r="S470">
            <v>2.5409075509531034</v>
          </cell>
          <cell r="T470">
            <v>0.88625734943489698</v>
          </cell>
          <cell r="U470">
            <v>0.96983662406815763</v>
          </cell>
          <cell r="V470">
            <v>1.8696167292124253</v>
          </cell>
          <cell r="W470">
            <v>0.95409679137323944</v>
          </cell>
          <cell r="X470">
            <v>1.1327174702390301</v>
          </cell>
          <cell r="Y470">
            <v>2.0807167603471508</v>
          </cell>
          <cell r="Z470">
            <v>1.0724919339637362</v>
          </cell>
          <cell r="AA470">
            <v>1.01827937617725</v>
          </cell>
          <cell r="AB470">
            <v>2.0944281676518002</v>
          </cell>
          <cell r="AC470">
            <v>1.0505485507710026</v>
          </cell>
          <cell r="AD470">
            <v>0.93902206015282075</v>
          </cell>
          <cell r="AE470">
            <v>1.9974648864004141</v>
          </cell>
          <cell r="AF470">
            <v>0.51126768788982901</v>
          </cell>
          <cell r="AG470">
            <v>0.65773314962351981</v>
          </cell>
          <cell r="AH470">
            <v>1.1749080084970793</v>
          </cell>
          <cell r="AI470">
            <v>0.97619667034107116</v>
          </cell>
          <cell r="AJ470">
            <v>1.0586936094026727</v>
          </cell>
          <cell r="AK470">
            <v>2.0326429630824836</v>
          </cell>
          <cell r="AL470">
            <v>1.1577213390038017</v>
          </cell>
          <cell r="AM470">
            <v>1.1750119217930377</v>
          </cell>
          <cell r="AN470">
            <v>2.3319843217233358</v>
          </cell>
          <cell r="AO470">
            <v>1.1301589238324741</v>
          </cell>
          <cell r="AP470">
            <v>1.1375548512920526</v>
          </cell>
          <cell r="AQ470">
            <v>2.2742699892982725</v>
          </cell>
          <cell r="AR470">
            <v>1.115282821443959</v>
          </cell>
          <cell r="AS470">
            <v>1.0312054981115721</v>
          </cell>
          <cell r="AT470">
            <v>2.1505875077303647</v>
          </cell>
          <cell r="AU470">
            <v>1.1933990117164435</v>
          </cell>
          <cell r="AV470">
            <v>0.75426769963443674</v>
          </cell>
          <cell r="AW470">
            <v>1.9148400893109845</v>
          </cell>
          <cell r="AX470">
            <v>1.1804564880347455</v>
          </cell>
          <cell r="AY470">
            <v>1.2370233492586529</v>
          </cell>
          <cell r="AZ470">
            <v>2.4177088650244967</v>
          </cell>
          <cell r="BA470">
            <v>1.1809702866764515</v>
          </cell>
          <cell r="BB470">
            <v>1.1788308274569026</v>
          </cell>
          <cell r="BC470">
            <v>2.3597919275758144</v>
          </cell>
          <cell r="BD470">
            <v>1.2390171398392946</v>
          </cell>
          <cell r="BE470">
            <v>1.2484522145682972</v>
          </cell>
          <cell r="BF470">
            <v>2.4874313287916858</v>
          </cell>
          <cell r="BG470">
            <v>1.2795278333145705</v>
          </cell>
          <cell r="BH470">
            <v>1.3111109290173402</v>
          </cell>
          <cell r="BI470">
            <v>2.5904940074780476</v>
          </cell>
          <cell r="BJ470">
            <v>1.3237806647245656</v>
          </cell>
          <cell r="BK470">
            <v>1.348054827185645</v>
          </cell>
          <cell r="BL470">
            <v>2.6718354919102101</v>
          </cell>
          <cell r="BM470">
            <v>1.4248109709482479</v>
          </cell>
          <cell r="BN470">
            <v>1.4430239276379704</v>
          </cell>
          <cell r="BO470">
            <v>2.8678348985862177</v>
          </cell>
          <cell r="BP470">
            <v>1.4571905153023401</v>
          </cell>
          <cell r="BQ470">
            <v>1.4528047412771508</v>
          </cell>
          <cell r="BR470">
            <v>2.9099952565794909</v>
          </cell>
          <cell r="BS470">
            <v>1.4612826774010572</v>
          </cell>
          <cell r="BT470">
            <v>1.4708347579843728</v>
          </cell>
          <cell r="BU470">
            <v>2.9321174353854298</v>
          </cell>
          <cell r="BV470">
            <v>1.4836872185689089</v>
          </cell>
          <cell r="BW470">
            <v>1.5075527474894941</v>
          </cell>
          <cell r="BX470">
            <v>2.9912399660584024</v>
          </cell>
        </row>
        <row r="471">
          <cell r="B471" t="str">
            <v>Common dividends paid</v>
          </cell>
          <cell r="C471" t="str">
            <v>COMMON_DIV_PAID</v>
          </cell>
          <cell r="D471" t="str">
            <v>AUD</v>
          </cell>
          <cell r="F471">
            <v>-2291.326</v>
          </cell>
          <cell r="G471">
            <v>-2523.5920000000001</v>
          </cell>
          <cell r="H471">
            <v>-2701.3860000000004</v>
          </cell>
          <cell r="I471">
            <v>-2395.2460000000001</v>
          </cell>
          <cell r="J471">
            <v>-3211.598</v>
          </cell>
          <cell r="K471">
            <v>-3659.7359999999999</v>
          </cell>
          <cell r="L471">
            <v>-3915.2160000000003</v>
          </cell>
          <cell r="M471">
            <v>-4499.6679999999997</v>
          </cell>
          <cell r="N471">
            <v>-2277.6029999999996</v>
          </cell>
          <cell r="O471">
            <v>-2618.77</v>
          </cell>
          <cell r="P471">
            <v>-4896.3729999999996</v>
          </cell>
          <cell r="Q471">
            <v>-2378.7600000000002</v>
          </cell>
          <cell r="R471">
            <v>-2757.5649999999996</v>
          </cell>
          <cell r="S471">
            <v>-5136.3249999999998</v>
          </cell>
          <cell r="T471">
            <v>-2334.08</v>
          </cell>
          <cell r="U471">
            <v>-2342</v>
          </cell>
          <cell r="V471">
            <v>-4676.08</v>
          </cell>
          <cell r="W471">
            <v>-2348.8296072000003</v>
          </cell>
          <cell r="X471">
            <v>-2349.9322616000004</v>
          </cell>
          <cell r="Y471">
            <v>-4698.7618688000002</v>
          </cell>
          <cell r="Z471">
            <v>-2319.0071824000001</v>
          </cell>
          <cell r="AA471">
            <v>-2298.8944944</v>
          </cell>
          <cell r="AB471">
            <v>-4617.9016768000001</v>
          </cell>
          <cell r="AC471">
            <v>-2266.5404632000004</v>
          </cell>
          <cell r="AD471">
            <v>-2267.6679384000004</v>
          </cell>
          <cell r="AE471">
            <v>-4534.2084016000008</v>
          </cell>
          <cell r="AF471">
            <v>-709.04435550000005</v>
          </cell>
          <cell r="AG471">
            <v>-994.12957874999995</v>
          </cell>
          <cell r="AH471">
            <v>-1703.17393425</v>
          </cell>
          <cell r="AI471">
            <v>-1991.8792599999999</v>
          </cell>
          <cell r="AJ471">
            <v>-2032.9658294399999</v>
          </cell>
          <cell r="AK471">
            <v>-4024.8450894399998</v>
          </cell>
          <cell r="AL471">
            <v>-2011.7550052800002</v>
          </cell>
          <cell r="AM471">
            <v>-2212.5435757400001</v>
          </cell>
          <cell r="AN471">
            <v>-4224.2985810200007</v>
          </cell>
          <cell r="AO471">
            <v>-2432.7270934200001</v>
          </cell>
          <cell r="AP471">
            <v>-2824.9696728399999</v>
          </cell>
          <cell r="AQ471">
            <v>-5257.69676626</v>
          </cell>
          <cell r="AR471">
            <v>-2496.2338627399999</v>
          </cell>
          <cell r="AS471">
            <v>-2472.9154957999999</v>
          </cell>
          <cell r="AT471">
            <v>-4969.1493585400003</v>
          </cell>
          <cell r="AU471">
            <v>-2466.2334662599997</v>
          </cell>
          <cell r="AV471">
            <v>-2476.3217494</v>
          </cell>
          <cell r="AW471">
            <v>-4942.5552156599997</v>
          </cell>
          <cell r="AX471">
            <v>-2584.6341300777817</v>
          </cell>
          <cell r="AY471">
            <v>-2724.4914778916605</v>
          </cell>
          <cell r="AZ471">
            <v>-5309.1256079694422</v>
          </cell>
          <cell r="BA471">
            <v>-2754.7636054237901</v>
          </cell>
          <cell r="BB471">
            <v>-2761.3619039741825</v>
          </cell>
          <cell r="BC471">
            <v>-5516.1255093979726</v>
          </cell>
          <cell r="BD471">
            <v>-2798.2634310181161</v>
          </cell>
          <cell r="BE471">
            <v>-2835.2162681665745</v>
          </cell>
          <cell r="BF471">
            <v>-5633.4796991846906</v>
          </cell>
          <cell r="BG471">
            <v>-2872.2387928951985</v>
          </cell>
          <cell r="BH471">
            <v>-2909.3476727699331</v>
          </cell>
          <cell r="BI471">
            <v>-5781.586465665132</v>
          </cell>
          <cell r="BJ471">
            <v>-2967.534626225332</v>
          </cell>
          <cell r="BK471">
            <v>-3025.7215796807304</v>
          </cell>
          <cell r="BL471">
            <v>-5993.256205906062</v>
          </cell>
          <cell r="BM471">
            <v>-3083.9085331361293</v>
          </cell>
          <cell r="BN471">
            <v>-3142.0954865915278</v>
          </cell>
          <cell r="BO471">
            <v>-6226.0040197276576</v>
          </cell>
          <cell r="BP471">
            <v>-3200.2824400469267</v>
          </cell>
          <cell r="BQ471">
            <v>-3258.4693935023251</v>
          </cell>
          <cell r="BR471">
            <v>-6458.7518335492514</v>
          </cell>
          <cell r="BS471">
            <v>-3316.6563469577241</v>
          </cell>
          <cell r="BT471">
            <v>-3374.843300413123</v>
          </cell>
          <cell r="BU471">
            <v>-6691.499647370847</v>
          </cell>
          <cell r="BV471">
            <v>-3433.0302538685214</v>
          </cell>
          <cell r="BW471">
            <v>-3491.2172073239203</v>
          </cell>
          <cell r="BX471">
            <v>-6924.2474611924417</v>
          </cell>
        </row>
        <row r="472">
          <cell r="B472" t="str">
            <v>DPS, dividend per share</v>
          </cell>
          <cell r="C472" t="str">
            <v>DPS</v>
          </cell>
          <cell r="D472" t="str">
            <v>AUD</v>
          </cell>
          <cell r="F472">
            <v>1.2401075000000001</v>
          </cell>
          <cell r="G472">
            <v>1.34923696</v>
          </cell>
          <cell r="H472">
            <v>1.34923696</v>
          </cell>
          <cell r="I472">
            <v>1.0119277200000001</v>
          </cell>
          <cell r="J472">
            <v>1.2500283599999999</v>
          </cell>
          <cell r="K472">
            <v>1.3889203999999999</v>
          </cell>
          <cell r="L472">
            <v>1.4385247000000001</v>
          </cell>
          <cell r="M472">
            <v>1.62702104</v>
          </cell>
          <cell r="N472">
            <v>0.82343137999999994</v>
          </cell>
          <cell r="O472">
            <v>0.94248169999999998</v>
          </cell>
          <cell r="P472">
            <v>1.7659130799999998</v>
          </cell>
          <cell r="Q472">
            <v>0.85319396000000003</v>
          </cell>
          <cell r="R472">
            <v>0.94248169999999998</v>
          </cell>
          <cell r="S472">
            <v>1.7956756600000001</v>
          </cell>
          <cell r="T472">
            <v>0.79366880000000006</v>
          </cell>
          <cell r="U472">
            <v>0.79366880000000006</v>
          </cell>
          <cell r="V472">
            <v>1.5873376000000001</v>
          </cell>
          <cell r="W472">
            <v>0.79366880000000006</v>
          </cell>
          <cell r="X472">
            <v>0.79366880000000006</v>
          </cell>
          <cell r="Y472">
            <v>1.5873376000000001</v>
          </cell>
          <cell r="Z472">
            <v>0.79366880000000006</v>
          </cell>
          <cell r="AA472">
            <v>0.79366880000000006</v>
          </cell>
          <cell r="AB472">
            <v>1.5873376000000001</v>
          </cell>
          <cell r="AC472">
            <v>0.79366880000000006</v>
          </cell>
          <cell r="AD472">
            <v>0.79366880000000006</v>
          </cell>
          <cell r="AE472">
            <v>1.5873376000000001</v>
          </cell>
          <cell r="AF472">
            <v>0.24802150000000001</v>
          </cell>
          <cell r="AG472">
            <v>0.34723009999999999</v>
          </cell>
          <cell r="AH472">
            <v>0.59525159999999999</v>
          </cell>
          <cell r="AI472">
            <v>0.69446019999999997</v>
          </cell>
          <cell r="AJ472">
            <v>0.71430192000000003</v>
          </cell>
          <cell r="AK472">
            <v>1.40876212</v>
          </cell>
          <cell r="AL472">
            <v>0.71430192000000003</v>
          </cell>
          <cell r="AM472">
            <v>0.74</v>
          </cell>
          <cell r="AN472">
            <v>1.45430192</v>
          </cell>
          <cell r="AO472">
            <v>0.81</v>
          </cell>
          <cell r="AP472">
            <v>0.94000000000000006</v>
          </cell>
          <cell r="AQ472">
            <v>1.75</v>
          </cell>
          <cell r="AR472">
            <v>0.83</v>
          </cell>
          <cell r="AS472">
            <v>0.83</v>
          </cell>
          <cell r="AT472">
            <v>1.66</v>
          </cell>
          <cell r="AU472">
            <v>0.83</v>
          </cell>
          <cell r="AV472">
            <v>0.83</v>
          </cell>
          <cell r="AW472">
            <v>1.66</v>
          </cell>
          <cell r="AX472">
            <v>0.86</v>
          </cell>
          <cell r="AY472">
            <v>0.9</v>
          </cell>
          <cell r="AZ472">
            <v>1.76</v>
          </cell>
          <cell r="BA472">
            <v>0.91</v>
          </cell>
          <cell r="BB472">
            <v>0.92</v>
          </cell>
          <cell r="BC472">
            <v>1.83</v>
          </cell>
          <cell r="BD472">
            <v>0.94000000000000006</v>
          </cell>
          <cell r="BE472">
            <v>0.96000000000000008</v>
          </cell>
          <cell r="BF472">
            <v>1.9000000000000001</v>
          </cell>
          <cell r="BG472">
            <v>0.98000000000000009</v>
          </cell>
          <cell r="BH472">
            <v>1</v>
          </cell>
          <cell r="BI472">
            <v>1.98</v>
          </cell>
          <cell r="BJ472">
            <v>1.02</v>
          </cell>
          <cell r="BK472">
            <v>1.04</v>
          </cell>
          <cell r="BL472">
            <v>2.06</v>
          </cell>
          <cell r="BM472">
            <v>1.06</v>
          </cell>
          <cell r="BN472">
            <v>1.08</v>
          </cell>
          <cell r="BO472">
            <v>2.14</v>
          </cell>
          <cell r="BP472">
            <v>1.1000000000000001</v>
          </cell>
          <cell r="BQ472">
            <v>1.1200000000000001</v>
          </cell>
          <cell r="BR472">
            <v>2.2200000000000002</v>
          </cell>
          <cell r="BS472">
            <v>1.1400000000000001</v>
          </cell>
          <cell r="BT472">
            <v>1.1600000000000001</v>
          </cell>
          <cell r="BU472">
            <v>2.3000000000000003</v>
          </cell>
          <cell r="BV472">
            <v>1.1800000000000002</v>
          </cell>
          <cell r="BW472">
            <v>1.2000000000000002</v>
          </cell>
          <cell r="BX472">
            <v>2.3800000000000003</v>
          </cell>
        </row>
        <row r="473">
          <cell r="B473" t="str">
            <v>Weighted average shares outstanding, basic</v>
          </cell>
          <cell r="C473" t="str">
            <v>SH</v>
          </cell>
          <cell r="F473">
            <v>1844.9005428964826</v>
          </cell>
          <cell r="G473">
            <v>1863.2457266809531</v>
          </cell>
          <cell r="H473">
            <v>1936.4248663926312</v>
          </cell>
          <cell r="I473">
            <v>2239.3219942625942</v>
          </cell>
          <cell r="J473">
            <v>2529.3170148555673</v>
          </cell>
          <cell r="K473">
            <v>2586.3685204710077</v>
          </cell>
          <cell r="L473">
            <v>2684.3438976056509</v>
          </cell>
          <cell r="M473">
            <v>2743.8145483355274</v>
          </cell>
          <cell r="N473">
            <v>2749.7616134085151</v>
          </cell>
          <cell r="O473">
            <v>2758.5310144483442</v>
          </cell>
          <cell r="P473">
            <v>2753.9951173587774</v>
          </cell>
          <cell r="Q473">
            <v>2771.9371102908417</v>
          </cell>
          <cell r="R473">
            <v>2814.9777337851756</v>
          </cell>
          <cell r="S473">
            <v>2793.5078208945597</v>
          </cell>
          <cell r="T473">
            <v>2924.5448479264905</v>
          </cell>
          <cell r="U473">
            <v>2934.8262146628417</v>
          </cell>
          <cell r="V473">
            <v>2929.3831381553614</v>
          </cell>
          <cell r="W473">
            <v>2947.0227379481212</v>
          </cell>
          <cell r="X473">
            <v>2952.5666121687032</v>
          </cell>
          <cell r="Y473">
            <v>2949.7442762018618</v>
          </cell>
          <cell r="Z473">
            <v>2947.9299173660347</v>
          </cell>
          <cell r="AA473">
            <v>2905.1916870110049</v>
          </cell>
          <cell r="AB473">
            <v>2926.4600044754188</v>
          </cell>
          <cell r="AC473">
            <v>2879.6898655963296</v>
          </cell>
          <cell r="AD473">
            <v>2851.8696967803198</v>
          </cell>
          <cell r="AE473">
            <v>2865.7797811883243</v>
          </cell>
          <cell r="AF473">
            <v>2853.1800670506386</v>
          </cell>
          <cell r="AG473">
            <v>2853.7848533292477</v>
          </cell>
          <cell r="AH473">
            <v>2853.4824601899431</v>
          </cell>
          <cell r="AI473">
            <v>2861.3446818118587</v>
          </cell>
          <cell r="AJ473">
            <v>2861.0422886725546</v>
          </cell>
          <cell r="AK473">
            <v>2861.2438840987575</v>
          </cell>
          <cell r="AL473">
            <v>2855.4984144519731</v>
          </cell>
          <cell r="AM473">
            <v>2862.5</v>
          </cell>
          <cell r="AN473">
            <v>2847.5</v>
          </cell>
          <cell r="AO473">
            <v>2994.1</v>
          </cell>
          <cell r="AP473">
            <v>3000.2</v>
          </cell>
          <cell r="AQ473">
            <v>2997.2</v>
          </cell>
          <cell r="AR473">
            <v>3001.3</v>
          </cell>
          <cell r="AS473">
            <v>2995.5</v>
          </cell>
          <cell r="AT473">
            <v>2998.4</v>
          </cell>
          <cell r="AU473">
            <v>2971.9</v>
          </cell>
          <cell r="AV473">
            <v>2973.3</v>
          </cell>
          <cell r="AW473">
            <v>2972.6</v>
          </cell>
          <cell r="AX473">
            <v>2990.2877804438926</v>
          </cell>
          <cell r="AY473">
            <v>3012.1036694892287</v>
          </cell>
          <cell r="AZ473">
            <v>3001.1658401870468</v>
          </cell>
          <cell r="BA473">
            <v>3023.0006009872027</v>
          </cell>
          <cell r="BB473">
            <v>3010.1522920063512</v>
          </cell>
          <cell r="BC473">
            <v>3016.5940469200386</v>
          </cell>
          <cell r="BD473">
            <v>2985.0189306431025</v>
          </cell>
          <cell r="BE473">
            <v>2960.9873898891092</v>
          </cell>
          <cell r="BF473">
            <v>2973.0031602661056</v>
          </cell>
          <cell r="BG473">
            <v>2938.009367066611</v>
          </cell>
          <cell r="BH473">
            <v>2916.0386770373611</v>
          </cell>
          <cell r="BI473">
            <v>2927.0541188876432</v>
          </cell>
          <cell r="BJ473">
            <v>2905.2995214590146</v>
          </cell>
          <cell r="BK473">
            <v>2905.2995214590146</v>
          </cell>
          <cell r="BL473">
            <v>2905.2995214590146</v>
          </cell>
          <cell r="BM473">
            <v>2905.2995214590146</v>
          </cell>
          <cell r="BN473">
            <v>2905.2995214590146</v>
          </cell>
          <cell r="BO473">
            <v>2905.2995214590146</v>
          </cell>
          <cell r="BP473">
            <v>2905.2995214590146</v>
          </cell>
          <cell r="BQ473">
            <v>2905.2995214590146</v>
          </cell>
          <cell r="BR473">
            <v>2905.2995214590146</v>
          </cell>
          <cell r="BS473">
            <v>2905.2995214590146</v>
          </cell>
          <cell r="BT473">
            <v>2905.2995214590146</v>
          </cell>
          <cell r="BU473">
            <v>2905.2995214590146</v>
          </cell>
          <cell r="BV473">
            <v>2905.2995214590146</v>
          </cell>
          <cell r="BW473">
            <v>2905.2995214590146</v>
          </cell>
          <cell r="BX473">
            <v>2905.2995214590146</v>
          </cell>
        </row>
        <row r="474">
          <cell r="B474" t="str">
            <v>Diluted average shares outstanding (mn)</v>
          </cell>
          <cell r="C474" t="str">
            <v>DILUTE_SHARES</v>
          </cell>
          <cell r="F474">
            <v>1952.6532982019705</v>
          </cell>
          <cell r="G474">
            <v>1966.462584896874</v>
          </cell>
          <cell r="H474">
            <v>2133.4843955060346</v>
          </cell>
          <cell r="I474">
            <v>2365.621528778755</v>
          </cell>
          <cell r="J474">
            <v>2718.5143223470545</v>
          </cell>
          <cell r="K474">
            <v>2832.0125472993268</v>
          </cell>
          <cell r="L474">
            <v>2926.4600044754188</v>
          </cell>
          <cell r="M474">
            <v>2927.8711724588393</v>
          </cell>
          <cell r="N474">
            <v>2942.0836500061487</v>
          </cell>
          <cell r="O474">
            <v>2968.6942462649404</v>
          </cell>
          <cell r="P474">
            <v>2957.8080932499806</v>
          </cell>
          <cell r="Q474">
            <v>2950.1474670542675</v>
          </cell>
          <cell r="R474">
            <v>3101.948822985104</v>
          </cell>
          <cell r="S474">
            <v>3056.3882566632328</v>
          </cell>
          <cell r="T474">
            <v>3255.2621446124631</v>
          </cell>
          <cell r="U474">
            <v>3218.0677884780148</v>
          </cell>
          <cell r="V474">
            <v>3212.4231165443321</v>
          </cell>
          <cell r="W474">
            <v>3206.1736583320398</v>
          </cell>
          <cell r="X474">
            <v>3209.0967920119829</v>
          </cell>
          <cell r="Y474">
            <v>3217.1606090601013</v>
          </cell>
          <cell r="Z474">
            <v>3229.861120910889</v>
          </cell>
          <cell r="AA474">
            <v>3157.2867674778195</v>
          </cell>
          <cell r="AB474">
            <v>3188.9372493916858</v>
          </cell>
          <cell r="AC474">
            <v>3150.7349161262232</v>
          </cell>
          <cell r="AD474">
            <v>3100.0336664361757</v>
          </cell>
          <cell r="AE474">
            <v>3114.4477394096884</v>
          </cell>
          <cell r="AF474">
            <v>3264.4347365046979</v>
          </cell>
          <cell r="AG474">
            <v>3226.2324032392353</v>
          </cell>
          <cell r="AH474">
            <v>3226.635594091641</v>
          </cell>
          <cell r="AI474">
            <v>3109.0046629022081</v>
          </cell>
          <cell r="AJ474">
            <v>3130.2729803666216</v>
          </cell>
          <cell r="AK474">
            <v>3123.519533588822</v>
          </cell>
          <cell r="AL474">
            <v>3128.5594192438962</v>
          </cell>
          <cell r="AM474">
            <v>3145.5</v>
          </cell>
          <cell r="AN474">
            <v>3138.1</v>
          </cell>
          <cell r="AO474">
            <v>3278.3</v>
          </cell>
          <cell r="AP474">
            <v>3281.6</v>
          </cell>
          <cell r="AQ474">
            <v>3270.5</v>
          </cell>
          <cell r="AR474">
            <v>3249.4</v>
          </cell>
          <cell r="AS474">
            <v>3230.2</v>
          </cell>
          <cell r="AT474">
            <v>3234</v>
          </cell>
          <cell r="AU474">
            <v>3217.7</v>
          </cell>
          <cell r="AV474">
            <v>2981.7</v>
          </cell>
          <cell r="AW474">
            <v>3179.9</v>
          </cell>
          <cell r="AX474">
            <v>2998.6877804438923</v>
          </cell>
          <cell r="AY474">
            <v>3020.5036694892283</v>
          </cell>
          <cell r="AZ474">
            <v>3009.5658401870464</v>
          </cell>
          <cell r="BA474">
            <v>3031.4006009872023</v>
          </cell>
          <cell r="BB474">
            <v>3018.5522920063509</v>
          </cell>
          <cell r="BC474">
            <v>3024.9940469200383</v>
          </cell>
          <cell r="BD474">
            <v>2993.4189306431022</v>
          </cell>
          <cell r="BE474">
            <v>2969.3873898891088</v>
          </cell>
          <cell r="BF474">
            <v>2981.4031602661053</v>
          </cell>
          <cell r="BG474">
            <v>2946.4093670666107</v>
          </cell>
          <cell r="BH474">
            <v>2924.4386770373608</v>
          </cell>
          <cell r="BI474">
            <v>2935.4541188876428</v>
          </cell>
          <cell r="BJ474">
            <v>2913.6995214590142</v>
          </cell>
          <cell r="BK474">
            <v>2913.6995214590142</v>
          </cell>
          <cell r="BL474">
            <v>2913.6995214590147</v>
          </cell>
          <cell r="BM474">
            <v>2913.6995214590142</v>
          </cell>
          <cell r="BN474">
            <v>2913.6995214590142</v>
          </cell>
          <cell r="BO474">
            <v>2913.6995214590147</v>
          </cell>
          <cell r="BP474">
            <v>2913.6995214590142</v>
          </cell>
          <cell r="BQ474">
            <v>2913.6995214590142</v>
          </cell>
          <cell r="BR474">
            <v>2913.6995214590142</v>
          </cell>
          <cell r="BS474">
            <v>2913.6995214590142</v>
          </cell>
          <cell r="BT474">
            <v>2913.6995214590142</v>
          </cell>
          <cell r="BU474">
            <v>2913.6995214590147</v>
          </cell>
          <cell r="BV474">
            <v>2913.6995214590142</v>
          </cell>
          <cell r="BW474">
            <v>2913.6995214590142</v>
          </cell>
          <cell r="BX474">
            <v>2913.6995214590147</v>
          </cell>
        </row>
        <row r="475">
          <cell r="B475" t="str">
            <v>Period-end shares outstanding</v>
          </cell>
          <cell r="C475" t="str">
            <v>NON_OP_ADD</v>
          </cell>
          <cell r="F475">
            <v>1851.2507988218763</v>
          </cell>
          <cell r="G475">
            <v>1879.5749562033936</v>
          </cell>
          <cell r="H475">
            <v>2056.9789312620078</v>
          </cell>
          <cell r="I475">
            <v>2524.4787246266956</v>
          </cell>
          <cell r="J475">
            <v>2580.1190622587151</v>
          </cell>
          <cell r="K475">
            <v>2649.9718774380449</v>
          </cell>
          <cell r="L475">
            <v>2739.0770558197578</v>
          </cell>
          <cell r="M475">
            <v>2765.5868543654478</v>
          </cell>
          <cell r="N475">
            <v>2765.990045217854</v>
          </cell>
          <cell r="O475">
            <v>2778.5897593555396</v>
          </cell>
          <cell r="P475">
            <v>2778.5897593555396</v>
          </cell>
          <cell r="Q475">
            <v>2788.0647443870794</v>
          </cell>
          <cell r="R475">
            <v>2925.8552181968093</v>
          </cell>
          <cell r="S475">
            <v>2925.8552181968093</v>
          </cell>
          <cell r="T475">
            <v>2940.8740774489306</v>
          </cell>
          <cell r="U475">
            <v>2950.8530510459777</v>
          </cell>
          <cell r="V475">
            <v>2950.8530510459777</v>
          </cell>
          <cell r="W475">
            <v>2959.4581608852459</v>
          </cell>
          <cell r="X475">
            <v>2960.8474739085123</v>
          </cell>
          <cell r="Y475">
            <v>2960.8474739085123</v>
          </cell>
          <cell r="Z475">
            <v>2921.8827581479832</v>
          </cell>
          <cell r="AA475">
            <v>2896.5413462139368</v>
          </cell>
          <cell r="AB475">
            <v>2896.5413462139368</v>
          </cell>
          <cell r="AC475">
            <v>2855.7761917817611</v>
          </cell>
          <cell r="AD475">
            <v>2857.1967783034938</v>
          </cell>
          <cell r="AE475">
            <v>2857.1967783034938</v>
          </cell>
          <cell r="AF475">
            <v>2858.801980876658</v>
          </cell>
          <cell r="AG475">
            <v>2863.0282304155085</v>
          </cell>
          <cell r="AH475">
            <v>2863.0282304155085</v>
          </cell>
          <cell r="AI475">
            <v>2868.2410597468365</v>
          </cell>
          <cell r="AJ475">
            <v>2846.0875891807764</v>
          </cell>
          <cell r="AK475">
            <v>2846.0875891807764</v>
          </cell>
          <cell r="AL475">
            <v>2816.3931090651417</v>
          </cell>
          <cell r="AM475">
            <v>2989.9237509999998</v>
          </cell>
          <cell r="AN475">
            <v>2989.9237509999998</v>
          </cell>
          <cell r="AO475">
            <v>3003.3667820000001</v>
          </cell>
          <cell r="AP475">
            <v>3005.2868859999999</v>
          </cell>
          <cell r="AQ475">
            <v>3005.2868859999999</v>
          </cell>
          <cell r="AR475">
            <v>3007.5106780000001</v>
          </cell>
          <cell r="AS475">
            <v>2979.41626</v>
          </cell>
          <cell r="AT475">
            <v>2979.41626</v>
          </cell>
          <cell r="AU475">
            <v>2971.3656219999998</v>
          </cell>
          <cell r="AV475">
            <v>2983.52018</v>
          </cell>
          <cell r="AW475">
            <v>2983.52018</v>
          </cell>
          <cell r="AX475">
            <v>3005.3885233462579</v>
          </cell>
          <cell r="AY475">
            <v>3027.2127532129562</v>
          </cell>
          <cell r="AZ475">
            <v>3027.2127532129562</v>
          </cell>
          <cell r="BA475">
            <v>3027.2127532129562</v>
          </cell>
          <cell r="BB475">
            <v>3001.48033040672</v>
          </cell>
          <cell r="BC475">
            <v>3001.48033040672</v>
          </cell>
          <cell r="BD475">
            <v>2976.8759904448043</v>
          </cell>
          <cell r="BE475">
            <v>2953.3502793401817</v>
          </cell>
          <cell r="BF475">
            <v>2953.3502793401817</v>
          </cell>
          <cell r="BG475">
            <v>2930.8559111175491</v>
          </cell>
          <cell r="BH475">
            <v>2909.3476727699331</v>
          </cell>
          <cell r="BI475">
            <v>2909.3476727699331</v>
          </cell>
          <cell r="BJ475">
            <v>2909.3476727699331</v>
          </cell>
          <cell r="BK475">
            <v>2909.3476727699331</v>
          </cell>
          <cell r="BL475">
            <v>2909.3476727699331</v>
          </cell>
          <cell r="BM475">
            <v>2909.3476727699331</v>
          </cell>
          <cell r="BN475">
            <v>2909.3476727699331</v>
          </cell>
          <cell r="BO475">
            <v>2909.3476727699331</v>
          </cell>
          <cell r="BP475">
            <v>2909.3476727699331</v>
          </cell>
          <cell r="BQ475">
            <v>2909.3476727699331</v>
          </cell>
          <cell r="BR475">
            <v>2909.3476727699331</v>
          </cell>
          <cell r="BS475">
            <v>2909.3476727699331</v>
          </cell>
          <cell r="BT475">
            <v>2909.3476727699331</v>
          </cell>
          <cell r="BU475">
            <v>2909.3476727699331</v>
          </cell>
          <cell r="BV475">
            <v>2909.3476727699331</v>
          </cell>
          <cell r="BW475">
            <v>2909.3476727699331</v>
          </cell>
          <cell r="BX475">
            <v>2909.3476727699331</v>
          </cell>
        </row>
        <row r="476">
          <cell r="B476" t="str">
            <v>Franking</v>
          </cell>
          <cell r="C476" t="str">
            <v>FRANKING</v>
          </cell>
          <cell r="F476">
            <v>1</v>
          </cell>
          <cell r="G476">
            <v>1</v>
          </cell>
          <cell r="H476">
            <v>1</v>
          </cell>
          <cell r="I476">
            <v>1</v>
          </cell>
          <cell r="J476">
            <v>1</v>
          </cell>
          <cell r="K476">
            <v>1</v>
          </cell>
          <cell r="L476">
            <v>1</v>
          </cell>
          <cell r="M476">
            <v>1</v>
          </cell>
          <cell r="N476">
            <v>1</v>
          </cell>
          <cell r="O476">
            <v>1</v>
          </cell>
          <cell r="P476">
            <v>1</v>
          </cell>
          <cell r="Q476">
            <v>1</v>
          </cell>
          <cell r="R476">
            <v>1</v>
          </cell>
          <cell r="S476">
            <v>1</v>
          </cell>
          <cell r="T476">
            <v>1</v>
          </cell>
          <cell r="U476">
            <v>1</v>
          </cell>
          <cell r="V476">
            <v>1</v>
          </cell>
          <cell r="W476">
            <v>1</v>
          </cell>
          <cell r="X476">
            <v>1</v>
          </cell>
          <cell r="Y476">
            <v>1</v>
          </cell>
          <cell r="Z476">
            <v>1</v>
          </cell>
          <cell r="AA476">
            <v>1</v>
          </cell>
          <cell r="AB476">
            <v>1</v>
          </cell>
          <cell r="AC476">
            <v>1</v>
          </cell>
          <cell r="AD476">
            <v>0.7</v>
          </cell>
          <cell r="AE476">
            <v>0.85</v>
          </cell>
          <cell r="AF476">
            <v>1</v>
          </cell>
          <cell r="AG476">
            <v>1</v>
          </cell>
          <cell r="AH476">
            <v>1</v>
          </cell>
          <cell r="AI476">
            <v>1</v>
          </cell>
          <cell r="AJ476">
            <v>1</v>
          </cell>
          <cell r="AK476">
            <v>1</v>
          </cell>
          <cell r="AL476">
            <v>1</v>
          </cell>
          <cell r="AM476">
            <v>1</v>
          </cell>
          <cell r="AN476">
            <v>1</v>
          </cell>
          <cell r="AO476">
            <v>1</v>
          </cell>
          <cell r="AP476">
            <v>0.56010638297872339</v>
          </cell>
          <cell r="AQ476">
            <v>0.76371428571428568</v>
          </cell>
          <cell r="AR476">
            <v>0.65</v>
          </cell>
          <cell r="AS476">
            <v>0.7</v>
          </cell>
          <cell r="AT476">
            <v>0.67499999999999993</v>
          </cell>
          <cell r="AU476">
            <v>0.7</v>
          </cell>
          <cell r="AV476">
            <v>0.7</v>
          </cell>
          <cell r="AW476">
            <v>0.7</v>
          </cell>
          <cell r="AX476">
            <v>0.7</v>
          </cell>
          <cell r="AY476">
            <v>0.7</v>
          </cell>
          <cell r="AZ476">
            <v>0.7</v>
          </cell>
          <cell r="BA476">
            <v>0.7</v>
          </cell>
          <cell r="BB476">
            <v>0.7</v>
          </cell>
          <cell r="BC476">
            <v>0.70000000000000007</v>
          </cell>
          <cell r="BD476">
            <v>0.7</v>
          </cell>
          <cell r="BE476">
            <v>0.7</v>
          </cell>
          <cell r="BF476">
            <v>0.7</v>
          </cell>
          <cell r="BG476">
            <v>0.7</v>
          </cell>
          <cell r="BH476">
            <v>0.7</v>
          </cell>
          <cell r="BI476">
            <v>0.70000000000000007</v>
          </cell>
          <cell r="BJ476">
            <v>0.7</v>
          </cell>
          <cell r="BK476">
            <v>0.7</v>
          </cell>
          <cell r="BL476">
            <v>0.7</v>
          </cell>
          <cell r="BM476">
            <v>0.7</v>
          </cell>
          <cell r="BN476">
            <v>0.7</v>
          </cell>
          <cell r="BO476">
            <v>0.7</v>
          </cell>
          <cell r="BP476">
            <v>0.7</v>
          </cell>
          <cell r="BQ476">
            <v>0.7</v>
          </cell>
          <cell r="BR476">
            <v>0.7</v>
          </cell>
          <cell r="BS476">
            <v>0.7</v>
          </cell>
          <cell r="BT476">
            <v>0.7</v>
          </cell>
          <cell r="BU476">
            <v>0.7</v>
          </cell>
          <cell r="BV476">
            <v>0.7</v>
          </cell>
          <cell r="BW476">
            <v>0.7</v>
          </cell>
          <cell r="BX476">
            <v>0.7</v>
          </cell>
        </row>
        <row r="477">
          <cell r="A477" t="str">
            <v>ANZ Income Statement</v>
          </cell>
          <cell r="B477"/>
          <cell r="C477"/>
          <cell r="D477"/>
          <cell r="BX477">
            <v>0</v>
          </cell>
        </row>
        <row r="478">
          <cell r="B478" t="str">
            <v>Income tax attributable to profit or loss on abnormal items</v>
          </cell>
          <cell r="C478" t="str">
            <v>INCTAX_PL_ON_AB</v>
          </cell>
          <cell r="D478" t="str">
            <v>AUD</v>
          </cell>
          <cell r="F478">
            <v>-28.714285714285715</v>
          </cell>
          <cell r="G478">
            <v>-73.285714285714292</v>
          </cell>
          <cell r="H478">
            <v>75</v>
          </cell>
          <cell r="I478">
            <v>91.285714285714278</v>
          </cell>
          <cell r="J478">
            <v>203.14285714285717</v>
          </cell>
          <cell r="K478">
            <v>-23.142857142857146</v>
          </cell>
          <cell r="L478">
            <v>91.285714285714278</v>
          </cell>
          <cell r="M478">
            <v>34.285714285714285</v>
          </cell>
          <cell r="N478">
            <v>4.7142857142857144</v>
          </cell>
          <cell r="O478">
            <v>-39</v>
          </cell>
          <cell r="P478">
            <v>-34.285714285714285</v>
          </cell>
          <cell r="Q478">
            <v>73.714285714285708</v>
          </cell>
          <cell r="R478">
            <v>-77.571428571428584</v>
          </cell>
          <cell r="S478">
            <v>-3.8571428571428572</v>
          </cell>
          <cell r="T478">
            <v>-17.571428571428573</v>
          </cell>
          <cell r="U478">
            <v>55.285714285714292</v>
          </cell>
          <cell r="V478">
            <v>37.714285714285715</v>
          </cell>
          <cell r="W478">
            <v>66</v>
          </cell>
          <cell r="X478">
            <v>-22.285714285714288</v>
          </cell>
          <cell r="Y478">
            <v>43.714285714285715</v>
          </cell>
          <cell r="Z478">
            <v>215.57142857142858</v>
          </cell>
          <cell r="AA478">
            <v>-35.571428571428577</v>
          </cell>
          <cell r="AB478">
            <v>180</v>
          </cell>
          <cell r="AC478">
            <v>167.57142857142856</v>
          </cell>
          <cell r="AD478">
            <v>54</v>
          </cell>
          <cell r="AE478">
            <v>221.57142857142858</v>
          </cell>
          <cell r="AF478">
            <v>-56.571428571428577</v>
          </cell>
          <cell r="AG478">
            <v>134.14285714285714</v>
          </cell>
          <cell r="AH478">
            <v>77.571428571428584</v>
          </cell>
          <cell r="AI478">
            <v>20.142857142857146</v>
          </cell>
          <cell r="AJ478">
            <v>-4.7142857142857144</v>
          </cell>
          <cell r="AK478">
            <v>15.428571428571429</v>
          </cell>
          <cell r="AL478">
            <v>-178.71428571428572</v>
          </cell>
          <cell r="AM478">
            <v>-80.142857142857153</v>
          </cell>
          <cell r="AN478">
            <v>-258.85714285714283</v>
          </cell>
          <cell r="AO478">
            <v>117.42857142857143</v>
          </cell>
          <cell r="AP478">
            <v>14.142857142857144</v>
          </cell>
          <cell r="AQ478">
            <v>131.57142857142858</v>
          </cell>
          <cell r="AR478">
            <v>62.142857142857146</v>
          </cell>
          <cell r="AS478">
            <v>19.285714285714288</v>
          </cell>
          <cell r="AT478">
            <v>81.428571428571431</v>
          </cell>
          <cell r="AU478">
            <v>-31.714285714285715</v>
          </cell>
          <cell r="AV478">
            <v>-12.857142857142858</v>
          </cell>
          <cell r="AW478">
            <v>-44.571428571428577</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cell r="BL478">
            <v>0</v>
          </cell>
          <cell r="BM478">
            <v>0</v>
          </cell>
          <cell r="BN478">
            <v>0</v>
          </cell>
          <cell r="BO478">
            <v>0</v>
          </cell>
          <cell r="BP478">
            <v>0</v>
          </cell>
          <cell r="BQ478">
            <v>0</v>
          </cell>
          <cell r="BR478">
            <v>0</v>
          </cell>
          <cell r="BS478">
            <v>0</v>
          </cell>
          <cell r="BT478">
            <v>0</v>
          </cell>
          <cell r="BU478">
            <v>0</v>
          </cell>
          <cell r="BV478">
            <v>0</v>
          </cell>
          <cell r="BW478">
            <v>0</v>
          </cell>
          <cell r="BX478">
            <v>0</v>
          </cell>
        </row>
        <row r="479">
          <cell r="B479" t="str">
            <v>Goodwill Asset impairment Charge (Post Tax)</v>
          </cell>
          <cell r="C479" t="str">
            <v>GWILL_ASSET_IMP_CHG_POST_TAX</v>
          </cell>
          <cell r="D479" t="str">
            <v>AUD</v>
          </cell>
          <cell r="F479"/>
          <cell r="G479"/>
          <cell r="H479"/>
          <cell r="I479"/>
          <cell r="J479"/>
          <cell r="K479"/>
          <cell r="L479"/>
          <cell r="M479"/>
          <cell r="N479"/>
          <cell r="O479"/>
          <cell r="P479"/>
          <cell r="Q479"/>
          <cell r="R479"/>
          <cell r="S479"/>
          <cell r="T479"/>
          <cell r="U479"/>
          <cell r="V479"/>
          <cell r="W479"/>
          <cell r="X479"/>
          <cell r="Y479"/>
          <cell r="Z479"/>
          <cell r="AA479"/>
          <cell r="AB479"/>
          <cell r="AC479"/>
          <cell r="AD479"/>
          <cell r="AE479"/>
          <cell r="AF479"/>
          <cell r="AG479"/>
          <cell r="AH479"/>
          <cell r="AI479"/>
          <cell r="AJ479"/>
          <cell r="AK479"/>
          <cell r="AL479"/>
          <cell r="AM479"/>
          <cell r="AN479"/>
          <cell r="AO479"/>
          <cell r="AP479"/>
          <cell r="AQ479"/>
          <cell r="AR479"/>
          <cell r="AS479"/>
          <cell r="AT479"/>
          <cell r="AU479"/>
          <cell r="AV479"/>
          <cell r="AW479"/>
          <cell r="AX479"/>
          <cell r="AY479"/>
          <cell r="AZ479"/>
          <cell r="BA479"/>
          <cell r="BB479"/>
          <cell r="BC479"/>
          <cell r="BD479"/>
          <cell r="BE479"/>
          <cell r="BF479"/>
          <cell r="BG479"/>
          <cell r="BH479"/>
          <cell r="BI479"/>
          <cell r="BJ479"/>
          <cell r="BK479"/>
          <cell r="BL479"/>
          <cell r="BM479"/>
          <cell r="BN479"/>
          <cell r="BO479"/>
          <cell r="BP479"/>
          <cell r="BQ479"/>
          <cell r="BR479"/>
          <cell r="BS479"/>
          <cell r="BT479"/>
          <cell r="BU479"/>
          <cell r="BV479"/>
          <cell r="BW479"/>
          <cell r="BX479"/>
        </row>
        <row r="480">
          <cell r="B480" t="str">
            <v>Other Asset impairment Charge (Post Tax)</v>
          </cell>
          <cell r="C480" t="str">
            <v>OTH_ASSET_IMPAIR_CHG_POST_TAX</v>
          </cell>
          <cell r="D480" t="str">
            <v>AUD</v>
          </cell>
          <cell r="F480"/>
          <cell r="G480"/>
          <cell r="H480"/>
          <cell r="I480"/>
          <cell r="J480"/>
          <cell r="K480"/>
          <cell r="L480"/>
          <cell r="M480"/>
          <cell r="N480"/>
          <cell r="O480"/>
          <cell r="P480"/>
          <cell r="Q480"/>
          <cell r="R480"/>
          <cell r="S480"/>
          <cell r="T480"/>
          <cell r="U480"/>
          <cell r="V480"/>
          <cell r="W480"/>
          <cell r="X480"/>
          <cell r="Y480"/>
          <cell r="Z480"/>
          <cell r="AA480"/>
          <cell r="AB480"/>
          <cell r="AC480"/>
          <cell r="AD480"/>
          <cell r="AE480"/>
          <cell r="AF480"/>
          <cell r="AG480"/>
          <cell r="AH480"/>
          <cell r="AI480"/>
          <cell r="AJ480"/>
          <cell r="AK480"/>
          <cell r="AL480"/>
          <cell r="AM480"/>
          <cell r="AN480"/>
          <cell r="AO480"/>
          <cell r="AP480"/>
          <cell r="AQ480"/>
          <cell r="AR480"/>
          <cell r="AS480"/>
          <cell r="AT480"/>
          <cell r="AU480"/>
          <cell r="AV480"/>
          <cell r="AW480"/>
          <cell r="AX480"/>
          <cell r="AY480"/>
          <cell r="AZ480"/>
          <cell r="BA480"/>
          <cell r="BB480"/>
          <cell r="BC480"/>
          <cell r="BD480"/>
          <cell r="BE480"/>
          <cell r="BF480"/>
          <cell r="BG480"/>
          <cell r="BH480"/>
          <cell r="BI480"/>
          <cell r="BJ480"/>
          <cell r="BK480"/>
          <cell r="BL480"/>
          <cell r="BM480"/>
          <cell r="BN480"/>
          <cell r="BO480"/>
          <cell r="BP480"/>
          <cell r="BQ480"/>
          <cell r="BR480"/>
          <cell r="BS480"/>
          <cell r="BT480"/>
          <cell r="BU480"/>
          <cell r="BV480"/>
          <cell r="BW480"/>
          <cell r="BX480"/>
        </row>
        <row r="481">
          <cell r="B481" t="str">
            <v>Financial instruments/hedging (Post Tax)</v>
          </cell>
          <cell r="C481" t="str">
            <v>FIN_INSTRUMENT_HEDGE_POST_TAX</v>
          </cell>
          <cell r="D481" t="str">
            <v>AUD</v>
          </cell>
          <cell r="F481">
            <v>34</v>
          </cell>
          <cell r="G481">
            <v>85</v>
          </cell>
          <cell r="H481">
            <v>217</v>
          </cell>
          <cell r="I481">
            <v>-227</v>
          </cell>
          <cell r="J481">
            <v>-158</v>
          </cell>
          <cell r="K481">
            <v>-166</v>
          </cell>
          <cell r="L481">
            <v>-176</v>
          </cell>
          <cell r="M481">
            <v>-146</v>
          </cell>
          <cell r="N481">
            <v>-112</v>
          </cell>
          <cell r="O481">
            <v>186</v>
          </cell>
          <cell r="P481">
            <v>74</v>
          </cell>
          <cell r="Q481">
            <v>2</v>
          </cell>
          <cell r="R481">
            <v>266</v>
          </cell>
          <cell r="S481">
            <v>268</v>
          </cell>
          <cell r="T481">
            <v>-85</v>
          </cell>
          <cell r="U481">
            <v>-7</v>
          </cell>
          <cell r="V481">
            <v>-92</v>
          </cell>
          <cell r="W481">
            <v>-290</v>
          </cell>
          <cell r="X481">
            <v>-11</v>
          </cell>
          <cell r="Y481">
            <v>-301</v>
          </cell>
          <cell r="Z481">
            <v>333</v>
          </cell>
          <cell r="AA481">
            <v>0</v>
          </cell>
          <cell r="AB481">
            <v>333</v>
          </cell>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0</v>
          </cell>
          <cell r="BK481">
            <v>0</v>
          </cell>
          <cell r="BL481">
            <v>0</v>
          </cell>
          <cell r="BM481">
            <v>0</v>
          </cell>
          <cell r="BN481">
            <v>0</v>
          </cell>
          <cell r="BO481">
            <v>0</v>
          </cell>
          <cell r="BP481">
            <v>0</v>
          </cell>
          <cell r="BQ481">
            <v>0</v>
          </cell>
          <cell r="BR481">
            <v>0</v>
          </cell>
          <cell r="BS481">
            <v>0</v>
          </cell>
          <cell r="BT481">
            <v>0</v>
          </cell>
          <cell r="BU481">
            <v>0</v>
          </cell>
          <cell r="BV481">
            <v>0</v>
          </cell>
          <cell r="BW481">
            <v>0</v>
          </cell>
          <cell r="BX481">
            <v>0</v>
          </cell>
        </row>
        <row r="482">
          <cell r="B482" t="str">
            <v>Effective Interest Rate Impact (Post Tax)</v>
          </cell>
          <cell r="C482" t="str">
            <v>EFF_INT_RATE_IMPACT_POST_TAX</v>
          </cell>
          <cell r="D482" t="str">
            <v>AUD</v>
          </cell>
          <cell r="F482"/>
          <cell r="G482"/>
          <cell r="H482"/>
          <cell r="I482"/>
          <cell r="J482"/>
          <cell r="K482"/>
          <cell r="L482"/>
          <cell r="M482"/>
          <cell r="N482"/>
          <cell r="O482"/>
          <cell r="P482"/>
          <cell r="Q482"/>
          <cell r="R482"/>
          <cell r="S482"/>
          <cell r="T482"/>
          <cell r="U482"/>
          <cell r="V482"/>
          <cell r="W482"/>
          <cell r="X482"/>
          <cell r="Y482"/>
          <cell r="Z482"/>
          <cell r="AA482"/>
          <cell r="AB482"/>
          <cell r="AC482"/>
          <cell r="AD482"/>
          <cell r="AE482"/>
          <cell r="AF482"/>
          <cell r="AG482"/>
          <cell r="AH482"/>
          <cell r="AI482"/>
          <cell r="AJ482"/>
          <cell r="AK482"/>
          <cell r="AL482"/>
          <cell r="AM482"/>
          <cell r="AN482"/>
          <cell r="AO482"/>
          <cell r="AP482"/>
          <cell r="AQ482"/>
          <cell r="AR482"/>
          <cell r="AS482"/>
          <cell r="AT482"/>
          <cell r="AU482"/>
          <cell r="AV482"/>
          <cell r="AW482"/>
          <cell r="AX482"/>
          <cell r="AY482"/>
          <cell r="AZ482"/>
          <cell r="BA482"/>
          <cell r="BB482"/>
          <cell r="BC482"/>
          <cell r="BD482"/>
          <cell r="BE482"/>
          <cell r="BF482"/>
          <cell r="BG482"/>
          <cell r="BH482"/>
          <cell r="BI482"/>
          <cell r="BJ482"/>
          <cell r="BK482"/>
          <cell r="BL482"/>
          <cell r="BM482"/>
          <cell r="BN482"/>
          <cell r="BO482"/>
          <cell r="BP482"/>
          <cell r="BQ482"/>
          <cell r="BR482"/>
          <cell r="BS482"/>
          <cell r="BT482"/>
          <cell r="BU482"/>
          <cell r="BV482"/>
          <cell r="BW482"/>
          <cell r="BX482"/>
        </row>
        <row r="483">
          <cell r="B483" t="str">
            <v>Other IFRS adjustments (Post Tax)</v>
          </cell>
          <cell r="C483" t="str">
            <v>OTHER_IFRS_ADJUST_POST_TAX</v>
          </cell>
          <cell r="D483" t="str">
            <v>AUD</v>
          </cell>
          <cell r="F483">
            <v>0</v>
          </cell>
          <cell r="G483">
            <v>0</v>
          </cell>
          <cell r="H483">
            <v>0</v>
          </cell>
          <cell r="I483">
            <v>0</v>
          </cell>
          <cell r="J483">
            <v>0</v>
          </cell>
          <cell r="K483">
            <v>0</v>
          </cell>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row>
        <row r="484">
          <cell r="B484" t="str">
            <v>Total IFRS Adjustments (Post Tax)</v>
          </cell>
          <cell r="C484" t="str">
            <v>TOTAL_IFRS_ADJUST_POST_TAX</v>
          </cell>
          <cell r="D484" t="str">
            <v>AUD</v>
          </cell>
          <cell r="F484">
            <v>34</v>
          </cell>
          <cell r="G484">
            <v>85</v>
          </cell>
          <cell r="H484">
            <v>217</v>
          </cell>
          <cell r="I484">
            <v>-227</v>
          </cell>
          <cell r="J484">
            <v>-158</v>
          </cell>
          <cell r="K484">
            <v>-166</v>
          </cell>
          <cell r="L484">
            <v>-176</v>
          </cell>
          <cell r="M484">
            <v>-146</v>
          </cell>
          <cell r="N484">
            <v>-112</v>
          </cell>
          <cell r="O484">
            <v>186</v>
          </cell>
          <cell r="P484">
            <v>74</v>
          </cell>
          <cell r="Q484">
            <v>2</v>
          </cell>
          <cell r="R484">
            <v>266</v>
          </cell>
          <cell r="S484">
            <v>268</v>
          </cell>
          <cell r="T484">
            <v>-85</v>
          </cell>
          <cell r="U484">
            <v>-7</v>
          </cell>
          <cell r="V484">
            <v>-92</v>
          </cell>
          <cell r="W484">
            <v>-290</v>
          </cell>
          <cell r="X484">
            <v>-11</v>
          </cell>
          <cell r="Y484">
            <v>-301</v>
          </cell>
          <cell r="Z484">
            <v>333</v>
          </cell>
          <cell r="AA484">
            <v>0</v>
          </cell>
          <cell r="AB484">
            <v>333</v>
          </cell>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0</v>
          </cell>
          <cell r="BK484">
            <v>0</v>
          </cell>
          <cell r="BL484">
            <v>0</v>
          </cell>
          <cell r="BM484">
            <v>0</v>
          </cell>
          <cell r="BN484">
            <v>0</v>
          </cell>
          <cell r="BO484">
            <v>0</v>
          </cell>
          <cell r="BP484">
            <v>0</v>
          </cell>
          <cell r="BQ484">
            <v>0</v>
          </cell>
          <cell r="BR484">
            <v>0</v>
          </cell>
          <cell r="BS484">
            <v>0</v>
          </cell>
          <cell r="BT484">
            <v>0</v>
          </cell>
          <cell r="BU484">
            <v>0</v>
          </cell>
          <cell r="BV484">
            <v>0</v>
          </cell>
          <cell r="BW484">
            <v>0</v>
          </cell>
          <cell r="BX484">
            <v>0</v>
          </cell>
        </row>
        <row r="485">
          <cell r="B485" t="str">
            <v>Income tax attributable to operating profit or loss (post abnormals)</v>
          </cell>
          <cell r="C485" t="str">
            <v>INCTAX_PL_POST_AB</v>
          </cell>
          <cell r="D485" t="str">
            <v>AUD</v>
          </cell>
          <cell r="F485">
            <v>-1529.2857142857142</v>
          </cell>
          <cell r="G485">
            <v>-1725.7142857142858</v>
          </cell>
          <cell r="H485">
            <v>-1189</v>
          </cell>
          <cell r="I485">
            <v>-1160.4285714285716</v>
          </cell>
          <cell r="J485">
            <v>-1718.1428571428571</v>
          </cell>
          <cell r="K485">
            <v>-2119</v>
          </cell>
          <cell r="L485">
            <v>-2121.2857142857142</v>
          </cell>
          <cell r="M485">
            <v>-2338.1428571428573</v>
          </cell>
          <cell r="N485">
            <v>-1280.2857142857142</v>
          </cell>
          <cell r="O485">
            <v>-1485.7142857142858</v>
          </cell>
          <cell r="P485">
            <v>-2766</v>
          </cell>
          <cell r="Q485">
            <v>-1325.1428571428571</v>
          </cell>
          <cell r="R485">
            <v>-1517.5714285714284</v>
          </cell>
          <cell r="S485">
            <v>-2842.7142857142858</v>
          </cell>
          <cell r="T485">
            <v>-1114.1428571428571</v>
          </cell>
          <cell r="U485">
            <v>-1107.7142857142858</v>
          </cell>
          <cell r="V485">
            <v>-2221.8571428571427</v>
          </cell>
          <cell r="W485">
            <v>-1215.7142857142858</v>
          </cell>
          <cell r="X485">
            <v>-1437.5714285714287</v>
          </cell>
          <cell r="Y485">
            <v>-2653.2857142857142</v>
          </cell>
          <cell r="Z485">
            <v>-1416.1428571428571</v>
          </cell>
          <cell r="AA485">
            <v>-1321.5714285714287</v>
          </cell>
          <cell r="AB485">
            <v>-2737.7142857142858</v>
          </cell>
          <cell r="AC485">
            <v>-1247.4285714285716</v>
          </cell>
          <cell r="AD485">
            <v>-1209</v>
          </cell>
          <cell r="AE485">
            <v>-2456.4285714285716</v>
          </cell>
          <cell r="AF485">
            <v>-942.57142857142856</v>
          </cell>
          <cell r="AG485">
            <v>-851.85714285714289</v>
          </cell>
          <cell r="AH485">
            <v>-1794.4285714285713</v>
          </cell>
          <cell r="AI485">
            <v>-1421.8571428571429</v>
          </cell>
          <cell r="AJ485">
            <v>-1326.7142857142858</v>
          </cell>
          <cell r="AK485">
            <v>-2748.5714285714284</v>
          </cell>
          <cell r="AL485">
            <v>-1506.7142857142858</v>
          </cell>
          <cell r="AM485">
            <v>-1436.1428571428571</v>
          </cell>
          <cell r="AN485">
            <v>-2942.8571428571427</v>
          </cell>
          <cell r="AO485">
            <v>-1449.5714285714287</v>
          </cell>
          <cell r="AP485">
            <v>-1498.8571428571429</v>
          </cell>
          <cell r="AQ485">
            <v>-2948.4285714285716</v>
          </cell>
          <cell r="AR485">
            <v>-1433.8571428571429</v>
          </cell>
          <cell r="AS485">
            <v>-1386.7142857142858</v>
          </cell>
          <cell r="AT485">
            <v>-2820.5714285714284</v>
          </cell>
          <cell r="AU485">
            <v>-1550.7142857142858</v>
          </cell>
          <cell r="AV485">
            <v>-1243.8571428571429</v>
          </cell>
          <cell r="AW485">
            <v>-2794.5714285714284</v>
          </cell>
          <cell r="AX485">
            <v>-1506.6501135406934</v>
          </cell>
          <cell r="AY485">
            <v>-1589.8641923285977</v>
          </cell>
          <cell r="AZ485">
            <v>-3096.5143058692911</v>
          </cell>
          <cell r="BA485">
            <v>-1523.6530905175082</v>
          </cell>
          <cell r="BB485">
            <v>-1514.4978076310151</v>
          </cell>
          <cell r="BC485">
            <v>-3038.1508981485231</v>
          </cell>
          <cell r="BD485">
            <v>-1578.2098335339267</v>
          </cell>
          <cell r="BE485">
            <v>-1577.4653165842565</v>
          </cell>
          <cell r="BF485">
            <v>-3155.6751501181834</v>
          </cell>
          <cell r="BG485">
            <v>-1604.0761864940798</v>
          </cell>
          <cell r="BH485">
            <v>-1631.2695103818423</v>
          </cell>
          <cell r="BI485">
            <v>-3235.3456968759219</v>
          </cell>
          <cell r="BJ485">
            <v>-1640.9343874851386</v>
          </cell>
          <cell r="BK485">
            <v>-1670.8689787404701</v>
          </cell>
          <cell r="BL485">
            <v>-3311.8033662256084</v>
          </cell>
          <cell r="BM485">
            <v>-1765.5236879833947</v>
          </cell>
          <cell r="BN485">
            <v>-1787.983676661976</v>
          </cell>
          <cell r="BO485">
            <v>-3553.5073646453707</v>
          </cell>
          <cell r="BP485">
            <v>-1805.4537340489478</v>
          </cell>
          <cell r="BQ485">
            <v>-1800.0452527885627</v>
          </cell>
          <cell r="BR485">
            <v>-3605.4989868375105</v>
          </cell>
          <cell r="BS485">
            <v>-1810.5001367815678</v>
          </cell>
          <cell r="BT485">
            <v>-1822.2796421860494</v>
          </cell>
          <cell r="BU485">
            <v>-3632.7797789676169</v>
          </cell>
          <cell r="BV485">
            <v>-1838.1291346181868</v>
          </cell>
          <cell r="BW485">
            <v>-1867.5598041407895</v>
          </cell>
          <cell r="BX485">
            <v>-3705.6889387589763</v>
          </cell>
        </row>
        <row r="486">
          <cell r="B486" t="str">
            <v>Operating profit or loss after income tax (post abnormals)</v>
          </cell>
          <cell r="C486" t="str">
            <v>OPPL_ATAX_POST_AB</v>
          </cell>
          <cell r="D486" t="str">
            <v>AUD</v>
          </cell>
          <cell r="F486">
            <v>3717.4799999999996</v>
          </cell>
          <cell r="G486">
            <v>4220.8100000000004</v>
          </cell>
          <cell r="H486">
            <v>3369.1400000000008</v>
          </cell>
          <cell r="I486">
            <v>2985.67</v>
          </cell>
          <cell r="J486">
            <v>4507</v>
          </cell>
          <cell r="K486">
            <v>5363</v>
          </cell>
          <cell r="L486">
            <v>5667</v>
          </cell>
          <cell r="M486">
            <v>6276</v>
          </cell>
          <cell r="N486">
            <v>3398</v>
          </cell>
          <cell r="O486">
            <v>3885</v>
          </cell>
          <cell r="P486">
            <v>7283</v>
          </cell>
          <cell r="Q486">
            <v>3514</v>
          </cell>
          <cell r="R486">
            <v>3993</v>
          </cell>
          <cell r="S486">
            <v>7507</v>
          </cell>
          <cell r="T486">
            <v>2742</v>
          </cell>
          <cell r="U486">
            <v>2978</v>
          </cell>
          <cell r="V486">
            <v>5720</v>
          </cell>
          <cell r="W486">
            <v>2919</v>
          </cell>
          <cell r="X486">
            <v>3502</v>
          </cell>
          <cell r="Y486">
            <v>6421</v>
          </cell>
          <cell r="Z486">
            <v>3330</v>
          </cell>
          <cell r="AA486">
            <v>3086</v>
          </cell>
          <cell r="AB486">
            <v>6416</v>
          </cell>
          <cell r="AC486">
            <v>3182</v>
          </cell>
          <cell r="AD486">
            <v>2786</v>
          </cell>
          <cell r="AE486">
            <v>5968</v>
          </cell>
          <cell r="AF486">
            <v>1546</v>
          </cell>
          <cell r="AG486">
            <v>2032</v>
          </cell>
          <cell r="AH486">
            <v>3578</v>
          </cell>
          <cell r="AI486">
            <v>2943</v>
          </cell>
          <cell r="AJ486">
            <v>3220</v>
          </cell>
          <cell r="AK486">
            <v>6163</v>
          </cell>
          <cell r="AL486">
            <v>3530</v>
          </cell>
          <cell r="AM486">
            <v>3590</v>
          </cell>
          <cell r="AN486">
            <v>7120</v>
          </cell>
          <cell r="AO486">
            <v>3569</v>
          </cell>
          <cell r="AP486">
            <v>3565</v>
          </cell>
          <cell r="AQ486">
            <v>7134</v>
          </cell>
          <cell r="AR486">
            <v>3421</v>
          </cell>
          <cell r="AS486">
            <v>3149</v>
          </cell>
          <cell r="AT486">
            <v>6570</v>
          </cell>
          <cell r="AU486">
            <v>3663</v>
          </cell>
          <cell r="AV486">
            <v>2269</v>
          </cell>
          <cell r="AW486">
            <v>5932</v>
          </cell>
          <cell r="AX486">
            <v>3559.820446015503</v>
          </cell>
          <cell r="AY486">
            <v>3756.4335656796165</v>
          </cell>
          <cell r="AZ486">
            <v>7316.2540116951195</v>
          </cell>
          <cell r="BA486">
            <v>3599.9940367790236</v>
          </cell>
          <cell r="BB486">
            <v>3578.3624961077767</v>
          </cell>
          <cell r="BC486">
            <v>7178.3565328868008</v>
          </cell>
          <cell r="BD486">
            <v>3728.8973617862166</v>
          </cell>
          <cell r="BE486">
            <v>3727.1382628182337</v>
          </cell>
          <cell r="BF486">
            <v>7456.0356246044503</v>
          </cell>
          <cell r="BG486">
            <v>3790.0127935004957</v>
          </cell>
          <cell r="BH486">
            <v>3854.2635107046954</v>
          </cell>
          <cell r="BI486">
            <v>7644.2763042051911</v>
          </cell>
          <cell r="BJ486">
            <v>3877.0990893246626</v>
          </cell>
          <cell r="BK486">
            <v>3947.8267048713278</v>
          </cell>
          <cell r="BL486">
            <v>7824.9257941959904</v>
          </cell>
          <cell r="BM486">
            <v>4171.4710442214637</v>
          </cell>
          <cell r="BN486">
            <v>4224.5381274126612</v>
          </cell>
          <cell r="BO486">
            <v>8396.0091716341249</v>
          </cell>
          <cell r="BP486">
            <v>4265.8153071110428</v>
          </cell>
          <cell r="BQ486">
            <v>4253.0364794326215</v>
          </cell>
          <cell r="BR486">
            <v>8518.8517865436643</v>
          </cell>
          <cell r="BS486">
            <v>4277.7386378598076</v>
          </cell>
          <cell r="BT486">
            <v>4305.5705304843523</v>
          </cell>
          <cell r="BU486">
            <v>8583.3091683441598</v>
          </cell>
          <cell r="BV486">
            <v>4343.0187387390861</v>
          </cell>
          <cell r="BW486">
            <v>4412.5557189343608</v>
          </cell>
          <cell r="BX486">
            <v>8755.5744576734469</v>
          </cell>
        </row>
        <row r="487">
          <cell r="B487" t="str">
            <v>Net Profit - GS&amp;PA (NPAT after pref dividends, but before Abnormals, and Goodwill Amortisation)</v>
          </cell>
          <cell r="C487" t="str">
            <v>NET_PROFIT</v>
          </cell>
          <cell r="D487" t="str">
            <v>AUD</v>
          </cell>
          <cell r="F487">
            <v>3559.9999999999995</v>
          </cell>
          <cell r="G487">
            <v>3886.9999999999995</v>
          </cell>
          <cell r="H487">
            <v>3230.9999999999995</v>
          </cell>
          <cell r="I487">
            <v>3350</v>
          </cell>
          <cell r="J487">
            <v>5122</v>
          </cell>
          <cell r="K487">
            <v>5455</v>
          </cell>
          <cell r="L487">
            <v>6039</v>
          </cell>
          <cell r="M487">
            <v>6486</v>
          </cell>
          <cell r="N487">
            <v>3512</v>
          </cell>
          <cell r="O487">
            <v>3599</v>
          </cell>
          <cell r="P487">
            <v>7111</v>
          </cell>
          <cell r="Q487">
            <v>3675</v>
          </cell>
          <cell r="R487">
            <v>3540</v>
          </cell>
          <cell r="S487">
            <v>7215</v>
          </cell>
          <cell r="T487">
            <v>2782</v>
          </cell>
          <cell r="U487">
            <v>3107</v>
          </cell>
          <cell r="V487">
            <v>5889</v>
          </cell>
          <cell r="W487">
            <v>3355</v>
          </cell>
          <cell r="X487">
            <v>3454</v>
          </cell>
          <cell r="Y487">
            <v>6809</v>
          </cell>
          <cell r="Z487">
            <v>3493</v>
          </cell>
          <cell r="AA487">
            <v>2994</v>
          </cell>
          <cell r="AB487">
            <v>6487</v>
          </cell>
          <cell r="AC487">
            <v>3564</v>
          </cell>
          <cell r="AD487">
            <v>2906</v>
          </cell>
          <cell r="AE487">
            <v>6470</v>
          </cell>
          <cell r="AF487">
            <v>1413</v>
          </cell>
          <cell r="AG487">
            <v>2345</v>
          </cell>
          <cell r="AH487">
            <v>3758</v>
          </cell>
          <cell r="AI487">
            <v>2990</v>
          </cell>
          <cell r="AJ487">
            <v>3208</v>
          </cell>
          <cell r="AK487">
            <v>6198</v>
          </cell>
          <cell r="AL487">
            <v>3113</v>
          </cell>
          <cell r="AM487">
            <v>3402</v>
          </cell>
          <cell r="AN487">
            <v>6515</v>
          </cell>
          <cell r="AO487">
            <v>3829</v>
          </cell>
          <cell r="AP487">
            <v>3584</v>
          </cell>
          <cell r="AQ487">
            <v>7413</v>
          </cell>
          <cell r="AR487">
            <v>3552</v>
          </cell>
          <cell r="AS487">
            <v>3173</v>
          </cell>
          <cell r="AT487">
            <v>6725</v>
          </cell>
          <cell r="AU487">
            <v>3568</v>
          </cell>
          <cell r="AV487">
            <v>2219</v>
          </cell>
          <cell r="AW487">
            <v>5787</v>
          </cell>
          <cell r="AX487">
            <v>3539.820446015503</v>
          </cell>
          <cell r="AY487">
            <v>3736.4335656796165</v>
          </cell>
          <cell r="AZ487">
            <v>7276.2540116951195</v>
          </cell>
          <cell r="BA487">
            <v>3579.9940367790236</v>
          </cell>
          <cell r="BB487">
            <v>3558.3624961077767</v>
          </cell>
          <cell r="BC487">
            <v>7138.3565328867999</v>
          </cell>
          <cell r="BD487">
            <v>3708.8973617862166</v>
          </cell>
          <cell r="BE487">
            <v>3707.1382628182337</v>
          </cell>
          <cell r="BF487">
            <v>7416.0356246044494</v>
          </cell>
          <cell r="BG487">
            <v>3770.0127935004957</v>
          </cell>
          <cell r="BH487">
            <v>3834.2635107046954</v>
          </cell>
          <cell r="BI487">
            <v>7604.2763042051884</v>
          </cell>
          <cell r="BJ487">
            <v>3857.0990893246626</v>
          </cell>
          <cell r="BK487">
            <v>3927.8267048713278</v>
          </cell>
          <cell r="BL487">
            <v>7784.9257941959904</v>
          </cell>
          <cell r="BM487">
            <v>4151.4710442214637</v>
          </cell>
          <cell r="BN487">
            <v>4204.5381274126612</v>
          </cell>
          <cell r="BO487">
            <v>8356.0091716341267</v>
          </cell>
          <cell r="BP487">
            <v>4245.8153071110428</v>
          </cell>
          <cell r="BQ487">
            <v>4233.0364794326215</v>
          </cell>
          <cell r="BR487">
            <v>8478.8517865436606</v>
          </cell>
          <cell r="BS487">
            <v>4257.7386378598076</v>
          </cell>
          <cell r="BT487">
            <v>4285.5705304843523</v>
          </cell>
          <cell r="BU487">
            <v>8543.3091683441635</v>
          </cell>
          <cell r="BV487">
            <v>4323.0187387390861</v>
          </cell>
          <cell r="BW487">
            <v>4392.5557189343608</v>
          </cell>
          <cell r="BX487">
            <v>8715.5744576734487</v>
          </cell>
        </row>
        <row r="488">
          <cell r="B488" t="str">
            <v>Foreign Exchange (gains/losses)</v>
          </cell>
          <cell r="C488" t="str">
            <v>FOREIGN_EXCHANGE_GAIN_LOSS</v>
          </cell>
          <cell r="D488" t="str">
            <v>AUD</v>
          </cell>
          <cell r="F488"/>
          <cell r="G488"/>
          <cell r="H488"/>
          <cell r="I488"/>
          <cell r="J488"/>
          <cell r="K488"/>
          <cell r="L488"/>
          <cell r="M488"/>
          <cell r="N488"/>
          <cell r="O488"/>
          <cell r="P488"/>
          <cell r="Q488"/>
          <cell r="R488"/>
          <cell r="S488"/>
          <cell r="T488"/>
          <cell r="U488"/>
          <cell r="V488"/>
          <cell r="W488"/>
          <cell r="X488"/>
          <cell r="Y488"/>
          <cell r="Z488"/>
          <cell r="AA488"/>
          <cell r="AB488"/>
          <cell r="AC488"/>
          <cell r="AD488"/>
          <cell r="AE488"/>
          <cell r="AF488"/>
          <cell r="AG488"/>
          <cell r="AH488"/>
          <cell r="AI488"/>
          <cell r="AJ488"/>
          <cell r="AK488"/>
          <cell r="AL488"/>
          <cell r="AM488"/>
          <cell r="AN488"/>
          <cell r="AO488"/>
          <cell r="AP488"/>
          <cell r="AQ488"/>
          <cell r="AR488"/>
          <cell r="AS488"/>
          <cell r="AT488"/>
          <cell r="AU488"/>
          <cell r="AV488"/>
          <cell r="AW488"/>
          <cell r="AX488"/>
          <cell r="AY488"/>
          <cell r="AZ488"/>
          <cell r="BA488"/>
          <cell r="BB488"/>
          <cell r="BC488"/>
          <cell r="BD488"/>
          <cell r="BE488"/>
          <cell r="BF488"/>
          <cell r="BG488"/>
          <cell r="BH488"/>
          <cell r="BI488"/>
          <cell r="BJ488"/>
          <cell r="BK488"/>
          <cell r="BL488"/>
          <cell r="BM488"/>
          <cell r="BN488"/>
          <cell r="BO488"/>
          <cell r="BP488"/>
          <cell r="BQ488"/>
          <cell r="BR488"/>
          <cell r="BS488"/>
          <cell r="BT488"/>
          <cell r="BU488"/>
          <cell r="BV488"/>
          <cell r="BW488"/>
          <cell r="BX488"/>
        </row>
        <row r="489">
          <cell r="B489" t="str">
            <v>Asset Sales (gains/losses)</v>
          </cell>
          <cell r="C489" t="str">
            <v>ASSET_SALES_GAIN_LOSS</v>
          </cell>
          <cell r="D489" t="str">
            <v>AUD</v>
          </cell>
          <cell r="F489"/>
          <cell r="G489"/>
          <cell r="H489"/>
          <cell r="I489"/>
          <cell r="J489"/>
          <cell r="K489"/>
          <cell r="L489"/>
          <cell r="M489"/>
          <cell r="N489"/>
          <cell r="O489"/>
          <cell r="P489"/>
          <cell r="Q489"/>
          <cell r="R489"/>
          <cell r="S489"/>
          <cell r="T489"/>
          <cell r="U489"/>
          <cell r="V489"/>
          <cell r="W489"/>
          <cell r="X489"/>
          <cell r="Y489"/>
          <cell r="Z489"/>
          <cell r="AA489"/>
          <cell r="AB489"/>
          <cell r="AC489"/>
          <cell r="AD489"/>
          <cell r="AE489"/>
          <cell r="AF489"/>
          <cell r="AG489"/>
          <cell r="AH489"/>
          <cell r="AI489"/>
          <cell r="AJ489"/>
          <cell r="AK489"/>
          <cell r="AL489"/>
          <cell r="AM489"/>
          <cell r="AN489"/>
          <cell r="AO489"/>
          <cell r="AP489"/>
          <cell r="AQ489"/>
          <cell r="AR489"/>
          <cell r="AS489"/>
          <cell r="AT489"/>
          <cell r="AU489"/>
          <cell r="AV489"/>
          <cell r="AW489"/>
          <cell r="AX489"/>
          <cell r="AY489"/>
          <cell r="AZ489"/>
          <cell r="BA489"/>
          <cell r="BB489"/>
          <cell r="BC489"/>
          <cell r="BD489"/>
          <cell r="BE489"/>
          <cell r="BF489"/>
          <cell r="BG489"/>
          <cell r="BH489"/>
          <cell r="BI489"/>
          <cell r="BJ489"/>
          <cell r="BK489"/>
          <cell r="BL489"/>
          <cell r="BM489"/>
          <cell r="BN489"/>
          <cell r="BO489"/>
          <cell r="BP489"/>
          <cell r="BQ489"/>
          <cell r="BR489"/>
          <cell r="BS489"/>
          <cell r="BT489"/>
          <cell r="BU489"/>
          <cell r="BV489"/>
          <cell r="BW489"/>
          <cell r="BX489"/>
        </row>
        <row r="490">
          <cell r="B490" t="str">
            <v>Restructuring Costs</v>
          </cell>
          <cell r="C490" t="str">
            <v>RESTRUC_COSTS</v>
          </cell>
          <cell r="D490" t="str">
            <v>AUD</v>
          </cell>
          <cell r="F490"/>
          <cell r="G490"/>
          <cell r="H490"/>
          <cell r="I490"/>
          <cell r="J490"/>
          <cell r="K490"/>
          <cell r="L490"/>
          <cell r="M490"/>
          <cell r="N490"/>
          <cell r="O490"/>
          <cell r="P490"/>
          <cell r="Q490"/>
          <cell r="R490"/>
          <cell r="S490"/>
          <cell r="T490"/>
          <cell r="U490"/>
          <cell r="V490"/>
          <cell r="W490"/>
          <cell r="X490"/>
          <cell r="Y490"/>
          <cell r="Z490"/>
          <cell r="AA490"/>
          <cell r="AB490"/>
          <cell r="AC490"/>
          <cell r="AD490"/>
          <cell r="AE490"/>
          <cell r="AF490"/>
          <cell r="AG490"/>
          <cell r="AH490"/>
          <cell r="AI490"/>
          <cell r="AJ490"/>
          <cell r="AK490"/>
          <cell r="AL490"/>
          <cell r="AM490"/>
          <cell r="AN490"/>
          <cell r="AO490"/>
          <cell r="AP490"/>
          <cell r="AQ490"/>
          <cell r="AR490"/>
          <cell r="AS490"/>
          <cell r="AT490"/>
          <cell r="AU490"/>
          <cell r="AV490"/>
          <cell r="AW490"/>
          <cell r="AX490"/>
          <cell r="AY490"/>
          <cell r="AZ490"/>
          <cell r="BA490"/>
          <cell r="BB490"/>
          <cell r="BC490"/>
          <cell r="BD490"/>
          <cell r="BE490"/>
          <cell r="BF490"/>
          <cell r="BG490"/>
          <cell r="BH490"/>
          <cell r="BI490"/>
          <cell r="BJ490"/>
          <cell r="BK490"/>
          <cell r="BL490"/>
          <cell r="BM490"/>
          <cell r="BN490"/>
          <cell r="BO490"/>
          <cell r="BP490"/>
          <cell r="BQ490"/>
          <cell r="BR490"/>
          <cell r="BS490"/>
          <cell r="BT490"/>
          <cell r="BU490"/>
          <cell r="BV490"/>
          <cell r="BW490"/>
          <cell r="BX490"/>
        </row>
        <row r="491">
          <cell r="B491" t="str">
            <v>Other Abnormal Items</v>
          </cell>
          <cell r="C491" t="str">
            <v>OTHER_ABNORMAL_ITEMS</v>
          </cell>
          <cell r="D491" t="str">
            <v>AUD</v>
          </cell>
          <cell r="F491"/>
          <cell r="G491"/>
          <cell r="H491"/>
          <cell r="I491"/>
          <cell r="J491"/>
          <cell r="K491"/>
          <cell r="L491"/>
          <cell r="M491"/>
          <cell r="N491"/>
          <cell r="O491"/>
          <cell r="P491"/>
          <cell r="Q491"/>
          <cell r="R491"/>
          <cell r="S491"/>
          <cell r="T491"/>
          <cell r="U491"/>
          <cell r="V491"/>
          <cell r="W491"/>
          <cell r="X491"/>
          <cell r="Y491"/>
          <cell r="Z491"/>
          <cell r="AA491"/>
          <cell r="AB491"/>
          <cell r="AC491"/>
          <cell r="AD491"/>
          <cell r="AE491"/>
          <cell r="AF491"/>
          <cell r="AG491"/>
          <cell r="AH491"/>
          <cell r="AI491"/>
          <cell r="AJ491"/>
          <cell r="AK491"/>
          <cell r="AL491"/>
          <cell r="AM491"/>
          <cell r="AN491"/>
          <cell r="AO491"/>
          <cell r="AP491"/>
          <cell r="AQ491"/>
          <cell r="AR491"/>
          <cell r="AS491"/>
          <cell r="AT491"/>
          <cell r="AU491"/>
          <cell r="AV491"/>
          <cell r="AW491"/>
          <cell r="AX491"/>
          <cell r="AY491"/>
          <cell r="AZ491"/>
          <cell r="BA491"/>
          <cell r="BB491"/>
          <cell r="BC491"/>
          <cell r="BD491"/>
          <cell r="BE491"/>
          <cell r="BF491"/>
          <cell r="BG491"/>
          <cell r="BH491"/>
          <cell r="BI491"/>
          <cell r="BJ491"/>
          <cell r="BK491"/>
          <cell r="BL491"/>
          <cell r="BM491"/>
          <cell r="BN491"/>
          <cell r="BO491"/>
          <cell r="BP491"/>
          <cell r="BQ491"/>
          <cell r="BR491"/>
          <cell r="BS491"/>
          <cell r="BT491"/>
          <cell r="BU491"/>
          <cell r="BV491"/>
          <cell r="BW491"/>
          <cell r="BX491"/>
        </row>
        <row r="492">
          <cell r="B492" t="str">
            <v>Profit Adjustment for EPS</v>
          </cell>
          <cell r="C492" t="str">
            <v>PROF_ADJUST_EPS</v>
          </cell>
          <cell r="D492" t="str">
            <v>AUD</v>
          </cell>
          <cell r="F492">
            <v>98</v>
          </cell>
          <cell r="G492">
            <v>115</v>
          </cell>
          <cell r="H492">
            <v>160</v>
          </cell>
          <cell r="I492">
            <v>131</v>
          </cell>
          <cell r="J492">
            <v>194</v>
          </cell>
          <cell r="K492">
            <v>242</v>
          </cell>
          <cell r="L492">
            <v>286</v>
          </cell>
          <cell r="M492">
            <v>224</v>
          </cell>
          <cell r="N492">
            <v>116</v>
          </cell>
          <cell r="O492">
            <v>127</v>
          </cell>
          <cell r="P492">
            <v>243</v>
          </cell>
          <cell r="Q492">
            <v>127</v>
          </cell>
          <cell r="R492">
            <v>147</v>
          </cell>
          <cell r="S492">
            <v>274</v>
          </cell>
          <cell r="T492">
            <v>147</v>
          </cell>
          <cell r="U492">
            <v>150</v>
          </cell>
          <cell r="V492">
            <v>297</v>
          </cell>
          <cell r="W492">
            <v>148</v>
          </cell>
          <cell r="X492">
            <v>140</v>
          </cell>
          <cell r="Y492">
            <v>288</v>
          </cell>
          <cell r="Z492">
            <v>141</v>
          </cell>
          <cell r="AA492">
            <v>138</v>
          </cell>
          <cell r="AB492">
            <v>279</v>
          </cell>
          <cell r="AC492">
            <v>137</v>
          </cell>
          <cell r="AD492">
            <v>131</v>
          </cell>
          <cell r="AE492">
            <v>268</v>
          </cell>
          <cell r="AF492">
            <v>124</v>
          </cell>
          <cell r="AG492">
            <v>90</v>
          </cell>
          <cell r="AH492">
            <v>214</v>
          </cell>
          <cell r="AI492">
            <v>92</v>
          </cell>
          <cell r="AJ492">
            <v>95</v>
          </cell>
          <cell r="AK492">
            <v>187</v>
          </cell>
          <cell r="AL492">
            <v>92</v>
          </cell>
          <cell r="AM492">
            <v>107</v>
          </cell>
          <cell r="AN492">
            <v>199</v>
          </cell>
          <cell r="AO492">
            <v>150</v>
          </cell>
          <cell r="AP492">
            <v>182</v>
          </cell>
          <cell r="AQ492">
            <v>332</v>
          </cell>
          <cell r="AR492">
            <v>217</v>
          </cell>
          <cell r="AS492">
            <v>203</v>
          </cell>
          <cell r="AT492">
            <v>420</v>
          </cell>
          <cell r="AU492">
            <v>198</v>
          </cell>
          <cell r="AV492">
            <v>0</v>
          </cell>
          <cell r="AW492">
            <v>198</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cell r="BL492">
            <v>0</v>
          </cell>
          <cell r="BM492">
            <v>0</v>
          </cell>
          <cell r="BN492">
            <v>0</v>
          </cell>
          <cell r="BO492">
            <v>0</v>
          </cell>
          <cell r="BP492">
            <v>0</v>
          </cell>
          <cell r="BQ492">
            <v>0</v>
          </cell>
          <cell r="BR492">
            <v>0</v>
          </cell>
          <cell r="BS492">
            <v>0</v>
          </cell>
          <cell r="BT492">
            <v>0</v>
          </cell>
          <cell r="BU492">
            <v>0</v>
          </cell>
          <cell r="BV492">
            <v>0</v>
          </cell>
          <cell r="BW492">
            <v>0</v>
          </cell>
          <cell r="BX492">
            <v>0</v>
          </cell>
        </row>
        <row r="493">
          <cell r="B493" t="str">
            <v>EPS - GS&amp;PA</v>
          </cell>
          <cell r="C493" t="str">
            <v>EPS_PRE_GWILL</v>
          </cell>
          <cell r="D493" t="str">
            <v>AUD</v>
          </cell>
          <cell r="F493">
            <v>1.8733484348544287</v>
          </cell>
          <cell r="G493">
            <v>2.0351264401045666</v>
          </cell>
          <cell r="H493">
            <v>1.5894187026363034</v>
          </cell>
          <cell r="I493">
            <v>1.471494893689548</v>
          </cell>
          <cell r="J493">
            <v>1.9554798576195773</v>
          </cell>
          <cell r="K493">
            <v>2.0116436296981779</v>
          </cell>
          <cell r="L493">
            <v>2.1613143491888538</v>
          </cell>
          <cell r="M493">
            <v>2.2917675009467415</v>
          </cell>
          <cell r="N493">
            <v>1.2331396491708921</v>
          </cell>
          <cell r="O493">
            <v>1.2550972551948936</v>
          </cell>
          <cell r="P493">
            <v>2.486300587513631</v>
          </cell>
          <cell r="Q493">
            <v>1.2887491362580292</v>
          </cell>
          <cell r="R493">
            <v>1.1886076174692923</v>
          </cell>
          <cell r="S493">
            <v>2.45027770397731</v>
          </cell>
          <cell r="T493">
            <v>0.89977392599473605</v>
          </cell>
          <cell r="U493">
            <v>1.0120980085197018</v>
          </cell>
          <cell r="V493">
            <v>1.9256491986193911</v>
          </cell>
          <cell r="W493">
            <v>1.0925796208501006</v>
          </cell>
          <cell r="X493">
            <v>1.1199412896943808</v>
          </cell>
          <cell r="Y493">
            <v>2.2059824989817343</v>
          </cell>
          <cell r="Z493">
            <v>1.1251257759885154</v>
          </cell>
          <cell r="AA493">
            <v>0.99199098170673305</v>
          </cell>
          <cell r="AB493">
            <v>2.1217099838796347</v>
          </cell>
          <cell r="AC493">
            <v>1.1746465819950092</v>
          </cell>
          <cell r="AD493">
            <v>0.97966678003576657</v>
          </cell>
          <cell r="AE493">
            <v>2.1634654242993072</v>
          </cell>
          <cell r="AF493">
            <v>0.47083189711603785</v>
          </cell>
          <cell r="AG493">
            <v>0.75475033898834631</v>
          </cell>
          <cell r="AH493">
            <v>1.2310035900159322</v>
          </cell>
          <cell r="AI493">
            <v>0.99131404876150953</v>
          </cell>
          <cell r="AJ493">
            <v>1.0551795388826275</v>
          </cell>
          <cell r="AK493">
            <v>2.0441684232606168</v>
          </cell>
          <cell r="AL493">
            <v>1.0244331561311941</v>
          </cell>
          <cell r="AM493">
            <v>1.1155619138451756</v>
          </cell>
          <cell r="AN493">
            <v>2.1395111691788027</v>
          </cell>
          <cell r="AO493">
            <v>1.2137388280511241</v>
          </cell>
          <cell r="AP493">
            <v>1.1476109215017065</v>
          </cell>
          <cell r="AQ493">
            <v>2.3681394282219843</v>
          </cell>
          <cell r="AR493">
            <v>1.1599064442666338</v>
          </cell>
          <cell r="AS493">
            <v>1.0451365240542383</v>
          </cell>
          <cell r="AT493">
            <v>2.2093382807668522</v>
          </cell>
          <cell r="AU493">
            <v>1.1704012182614911</v>
          </cell>
          <cell r="AV493">
            <v>0.74420632525069597</v>
          </cell>
          <cell r="AW493">
            <v>1.8821346583225886</v>
          </cell>
          <cell r="AX493">
            <v>1.1804564880347455</v>
          </cell>
          <cell r="AY493">
            <v>1.2370233492586529</v>
          </cell>
          <cell r="AZ493">
            <v>2.4177088650244967</v>
          </cell>
          <cell r="BA493">
            <v>1.1809702866764515</v>
          </cell>
          <cell r="BB493">
            <v>1.1788308274569026</v>
          </cell>
          <cell r="BC493">
            <v>2.3597919275758144</v>
          </cell>
          <cell r="BD493">
            <v>1.2390171398392946</v>
          </cell>
          <cell r="BE493">
            <v>1.2484522145682972</v>
          </cell>
          <cell r="BF493">
            <v>2.4874313287916858</v>
          </cell>
          <cell r="BG493">
            <v>1.2795278333145705</v>
          </cell>
          <cell r="BH493">
            <v>1.3111109290173402</v>
          </cell>
          <cell r="BI493">
            <v>2.5904940074780467</v>
          </cell>
          <cell r="BJ493">
            <v>1.3237806647245656</v>
          </cell>
          <cell r="BK493">
            <v>1.348054827185645</v>
          </cell>
          <cell r="BL493">
            <v>2.6718354919102101</v>
          </cell>
          <cell r="BM493">
            <v>1.4248109709482479</v>
          </cell>
          <cell r="BN493">
            <v>1.4430239276379704</v>
          </cell>
          <cell r="BO493">
            <v>2.8678348985862185</v>
          </cell>
          <cell r="BP493">
            <v>1.4571905153023401</v>
          </cell>
          <cell r="BQ493">
            <v>1.4528047412771508</v>
          </cell>
          <cell r="BR493">
            <v>2.9099952565794895</v>
          </cell>
          <cell r="BS493">
            <v>1.4612826774010572</v>
          </cell>
          <cell r="BT493">
            <v>1.4708347579843728</v>
          </cell>
          <cell r="BU493">
            <v>2.9321174353854307</v>
          </cell>
          <cell r="BV493">
            <v>1.4836872185689089</v>
          </cell>
          <cell r="BW493">
            <v>1.5075527474894941</v>
          </cell>
          <cell r="BX493">
            <v>2.9912399660584033</v>
          </cell>
        </row>
        <row r="494">
          <cell r="B494" t="str">
            <v>EPS - Reported</v>
          </cell>
          <cell r="C494" t="str">
            <v>EPS_REPORTED</v>
          </cell>
          <cell r="D494" t="str">
            <v>AUD</v>
          </cell>
          <cell r="F494">
            <v>1.9250729269048108</v>
          </cell>
          <cell r="G494">
            <v>2.1653094407709261</v>
          </cell>
          <cell r="H494">
            <v>1.6091048086553912</v>
          </cell>
          <cell r="I494">
            <v>1.2854972627721677</v>
          </cell>
          <cell r="J494">
            <v>1.7229999347423064</v>
          </cell>
          <cell r="K494">
            <v>1.9720957823177676</v>
          </cell>
          <cell r="L494">
            <v>2.0283892453415078</v>
          </cell>
          <cell r="M494">
            <v>2.2145783123902638</v>
          </cell>
          <cell r="N494">
            <v>1.191332544196245</v>
          </cell>
          <cell r="O494">
            <v>1.3484042706777131</v>
          </cell>
          <cell r="P494">
            <v>2.5383661695747</v>
          </cell>
          <cell r="Q494">
            <v>1.2311248981823151</v>
          </cell>
          <cell r="R494">
            <v>1.3327105751608501</v>
          </cell>
          <cell r="S494">
            <v>2.5409075509531034</v>
          </cell>
          <cell r="T494">
            <v>0.88625734943489698</v>
          </cell>
          <cell r="U494">
            <v>0.96983662406815763</v>
          </cell>
          <cell r="V494">
            <v>1.8696167292124253</v>
          </cell>
          <cell r="W494">
            <v>0.95409679137323944</v>
          </cell>
          <cell r="X494">
            <v>1.1327174702390301</v>
          </cell>
          <cell r="Y494">
            <v>2.0807167603471508</v>
          </cell>
          <cell r="Z494">
            <v>1.0724919339637362</v>
          </cell>
          <cell r="AA494">
            <v>1.01827937617725</v>
          </cell>
          <cell r="AB494">
            <v>2.0944281676518002</v>
          </cell>
          <cell r="AC494">
            <v>1.0505485507710026</v>
          </cell>
          <cell r="AD494">
            <v>0.93902206015282075</v>
          </cell>
          <cell r="AE494">
            <v>1.9974648864004141</v>
          </cell>
          <cell r="AF494">
            <v>0.51126768788982901</v>
          </cell>
          <cell r="AG494">
            <v>0.65773314962351981</v>
          </cell>
          <cell r="AH494">
            <v>1.1749080084970793</v>
          </cell>
          <cell r="AI494">
            <v>0.97619667034107116</v>
          </cell>
          <cell r="AJ494">
            <v>1.0586936094026727</v>
          </cell>
          <cell r="AK494">
            <v>2.0326429630824836</v>
          </cell>
          <cell r="AL494">
            <v>1.1577213390038017</v>
          </cell>
          <cell r="AM494">
            <v>1.1750119217930377</v>
          </cell>
          <cell r="AN494">
            <v>2.3319843217233358</v>
          </cell>
          <cell r="AO494">
            <v>1.1301589238324741</v>
          </cell>
          <cell r="AP494">
            <v>1.1375548512920526</v>
          </cell>
          <cell r="AQ494">
            <v>2.2742699892982725</v>
          </cell>
          <cell r="AR494">
            <v>1.115282821443959</v>
          </cell>
          <cell r="AS494">
            <v>1.0312054981115721</v>
          </cell>
          <cell r="AT494">
            <v>2.1505875077303647</v>
          </cell>
          <cell r="AU494">
            <v>1.1933990117164435</v>
          </cell>
          <cell r="AV494">
            <v>0.75426769963443674</v>
          </cell>
          <cell r="AW494">
            <v>1.9148400893109845</v>
          </cell>
          <cell r="AX494">
            <v>1.1804564880347455</v>
          </cell>
          <cell r="AY494">
            <v>1.2370233492586529</v>
          </cell>
          <cell r="AZ494">
            <v>2.4177088650244967</v>
          </cell>
          <cell r="BA494">
            <v>1.1809702866764515</v>
          </cell>
          <cell r="BB494">
            <v>1.1788308274569026</v>
          </cell>
          <cell r="BC494">
            <v>2.3597919275758144</v>
          </cell>
          <cell r="BD494">
            <v>1.2390171398392946</v>
          </cell>
          <cell r="BE494">
            <v>1.2484522145682972</v>
          </cell>
          <cell r="BF494">
            <v>2.4874313287916858</v>
          </cell>
          <cell r="BG494">
            <v>1.2795278333145705</v>
          </cell>
          <cell r="BH494">
            <v>1.3111109290173402</v>
          </cell>
          <cell r="BI494">
            <v>2.5904940074780476</v>
          </cell>
          <cell r="BJ494">
            <v>1.3237806647245656</v>
          </cell>
          <cell r="BK494">
            <v>1.348054827185645</v>
          </cell>
          <cell r="BL494">
            <v>2.6718354919102101</v>
          </cell>
          <cell r="BM494">
            <v>1.4248109709482479</v>
          </cell>
          <cell r="BN494">
            <v>1.4430239276379704</v>
          </cell>
          <cell r="BO494">
            <v>2.8678348985862177</v>
          </cell>
          <cell r="BP494">
            <v>1.4571905153023401</v>
          </cell>
          <cell r="BQ494">
            <v>1.4528047412771508</v>
          </cell>
          <cell r="BR494">
            <v>2.9099952565794909</v>
          </cell>
          <cell r="BS494">
            <v>1.4612826774010572</v>
          </cell>
          <cell r="BT494">
            <v>1.4708347579843728</v>
          </cell>
          <cell r="BU494">
            <v>2.9321174353854298</v>
          </cell>
          <cell r="BV494">
            <v>1.4836872185689089</v>
          </cell>
          <cell r="BW494">
            <v>1.5075527474894941</v>
          </cell>
          <cell r="BX494">
            <v>2.9912399660584024</v>
          </cell>
        </row>
        <row r="495">
          <cell r="B495" t="str">
            <v>Franking Tax Rate</v>
          </cell>
          <cell r="C495" t="str">
            <v>FRANK_TAX_RATE</v>
          </cell>
          <cell r="F495">
            <v>0.3</v>
          </cell>
          <cell r="G495">
            <v>0.3</v>
          </cell>
          <cell r="H495">
            <v>0.3</v>
          </cell>
          <cell r="I495">
            <v>0.3</v>
          </cell>
          <cell r="J495">
            <v>0.3</v>
          </cell>
          <cell r="K495">
            <v>0.3</v>
          </cell>
          <cell r="L495">
            <v>0.3</v>
          </cell>
          <cell r="M495">
            <v>0.3</v>
          </cell>
          <cell r="N495">
            <v>0.3</v>
          </cell>
          <cell r="O495">
            <v>0.3</v>
          </cell>
          <cell r="P495">
            <v>0.3</v>
          </cell>
          <cell r="Q495">
            <v>0.3</v>
          </cell>
          <cell r="R495">
            <v>0.3</v>
          </cell>
          <cell r="S495">
            <v>0.3</v>
          </cell>
          <cell r="T495">
            <v>0.3</v>
          </cell>
          <cell r="U495">
            <v>0.3</v>
          </cell>
          <cell r="V495">
            <v>0.3</v>
          </cell>
          <cell r="W495">
            <v>0.3</v>
          </cell>
          <cell r="X495">
            <v>0.3</v>
          </cell>
          <cell r="Y495">
            <v>0.3</v>
          </cell>
          <cell r="Z495">
            <v>0.3</v>
          </cell>
          <cell r="AA495">
            <v>0.3</v>
          </cell>
          <cell r="AB495">
            <v>0.3</v>
          </cell>
          <cell r="AC495">
            <v>0.3</v>
          </cell>
          <cell r="AD495">
            <v>0.3</v>
          </cell>
          <cell r="AE495">
            <v>0.3</v>
          </cell>
          <cell r="AF495">
            <v>0.3</v>
          </cell>
          <cell r="AG495">
            <v>0.3</v>
          </cell>
          <cell r="AH495">
            <v>0.3</v>
          </cell>
          <cell r="AI495">
            <v>0.3</v>
          </cell>
          <cell r="AJ495">
            <v>0.3</v>
          </cell>
          <cell r="AK495">
            <v>0.3</v>
          </cell>
          <cell r="AL495">
            <v>0.3</v>
          </cell>
          <cell r="AM495">
            <v>0.3</v>
          </cell>
          <cell r="AN495">
            <v>0.3</v>
          </cell>
          <cell r="AO495">
            <v>0.3</v>
          </cell>
          <cell r="AP495">
            <v>0.3</v>
          </cell>
          <cell r="AQ495">
            <v>0.3</v>
          </cell>
          <cell r="AR495">
            <v>0.3</v>
          </cell>
          <cell r="AS495">
            <v>0.3</v>
          </cell>
          <cell r="AT495">
            <v>0.3</v>
          </cell>
          <cell r="AU495">
            <v>0.3</v>
          </cell>
          <cell r="AV495">
            <v>0.3</v>
          </cell>
          <cell r="AW495">
            <v>0.3</v>
          </cell>
          <cell r="AX495">
            <v>0.3</v>
          </cell>
          <cell r="AY495">
            <v>0.3</v>
          </cell>
          <cell r="AZ495">
            <v>0.3</v>
          </cell>
          <cell r="BA495">
            <v>0.3</v>
          </cell>
          <cell r="BB495">
            <v>0.3</v>
          </cell>
          <cell r="BC495">
            <v>0.3</v>
          </cell>
          <cell r="BD495">
            <v>0.3</v>
          </cell>
          <cell r="BE495">
            <v>0.3</v>
          </cell>
          <cell r="BF495">
            <v>0.3</v>
          </cell>
          <cell r="BG495">
            <v>0.3</v>
          </cell>
          <cell r="BH495">
            <v>0.3</v>
          </cell>
          <cell r="BI495">
            <v>0.3</v>
          </cell>
          <cell r="BJ495">
            <v>0.3</v>
          </cell>
          <cell r="BK495">
            <v>0.3</v>
          </cell>
          <cell r="BL495">
            <v>0.3</v>
          </cell>
          <cell r="BM495">
            <v>0.3</v>
          </cell>
          <cell r="BN495">
            <v>0.3</v>
          </cell>
          <cell r="BO495">
            <v>0.3</v>
          </cell>
          <cell r="BP495">
            <v>0.3</v>
          </cell>
          <cell r="BQ495">
            <v>0.3</v>
          </cell>
          <cell r="BR495">
            <v>0.3</v>
          </cell>
          <cell r="BS495">
            <v>0.3</v>
          </cell>
          <cell r="BT495">
            <v>0.3</v>
          </cell>
          <cell r="BU495">
            <v>0.3</v>
          </cell>
          <cell r="BV495">
            <v>0.3</v>
          </cell>
          <cell r="BW495">
            <v>0.3</v>
          </cell>
          <cell r="BX495">
            <v>0.3</v>
          </cell>
        </row>
        <row r="496">
          <cell r="B496" t="str">
            <v>Next Interim Dividend Amount</v>
          </cell>
          <cell r="C496" t="str">
            <v>INT_DIV_AMOUNT</v>
          </cell>
          <cell r="D496" t="str">
            <v>AUD</v>
          </cell>
          <cell r="E496">
            <v>0.83</v>
          </cell>
        </row>
        <row r="497">
          <cell r="B497" t="str">
            <v>Next Interim Dividend Ex-date</v>
          </cell>
          <cell r="C497" t="str">
            <v>INT_DIV_EXDATE</v>
          </cell>
          <cell r="E497"/>
        </row>
        <row r="498">
          <cell r="B498" t="str">
            <v>Next Interim Dividend Franking</v>
          </cell>
          <cell r="C498" t="str">
            <v>INT_DIV_FRANK</v>
          </cell>
          <cell r="E498">
            <v>0.65</v>
          </cell>
        </row>
        <row r="499">
          <cell r="B499" t="str">
            <v>Next Int. Div. Frank Tax Rate</v>
          </cell>
          <cell r="C499" t="str">
            <v>INT_DIV_TAXRATE</v>
          </cell>
          <cell r="E499">
            <v>0.3</v>
          </cell>
        </row>
        <row r="500">
          <cell r="B500" t="str">
            <v>Next Final Dividend Amount</v>
          </cell>
          <cell r="C500" t="str">
            <v>FINAL_DIV_AMOUNT</v>
          </cell>
          <cell r="D500" t="str">
            <v>AUD</v>
          </cell>
          <cell r="E500">
            <v>0.83</v>
          </cell>
        </row>
        <row r="501">
          <cell r="B501" t="str">
            <v>Next Final Dividend Ex-date</v>
          </cell>
          <cell r="C501" t="str">
            <v>FINAL_DIV_EXDATE</v>
          </cell>
          <cell r="E501"/>
        </row>
        <row r="502">
          <cell r="B502" t="str">
            <v>Next Final Dividend Franking</v>
          </cell>
          <cell r="C502" t="str">
            <v>FINAL_DIV_FRANK</v>
          </cell>
          <cell r="E502">
            <v>0.7</v>
          </cell>
        </row>
        <row r="503">
          <cell r="B503" t="str">
            <v>Next Final Div. Frank Tax Rate</v>
          </cell>
          <cell r="C503" t="str">
            <v>FINAL_DIV_TAXRATE</v>
          </cell>
          <cell r="E503">
            <v>0.3</v>
          </cell>
        </row>
        <row r="504">
          <cell r="B504" t="str">
            <v>Total Annual Dividend</v>
          </cell>
          <cell r="C504" t="str">
            <v>TOTAL_ANNUAL_DIV_AMOUNT</v>
          </cell>
          <cell r="D504" t="str">
            <v>AUD</v>
          </cell>
          <cell r="F504">
            <v>1.2401075000000001</v>
          </cell>
          <cell r="G504">
            <v>1.34923696</v>
          </cell>
          <cell r="H504">
            <v>1.34923696</v>
          </cell>
          <cell r="I504">
            <v>1.0119277200000001</v>
          </cell>
          <cell r="J504">
            <v>1.2500283599999999</v>
          </cell>
          <cell r="K504">
            <v>1.3889203999999999</v>
          </cell>
          <cell r="L504">
            <v>1.4385247000000001</v>
          </cell>
          <cell r="M504">
            <v>1.62702104</v>
          </cell>
          <cell r="N504">
            <v>0.82343137999999994</v>
          </cell>
          <cell r="O504">
            <v>0.94248169999999998</v>
          </cell>
          <cell r="P504">
            <v>1.7659130799999998</v>
          </cell>
          <cell r="Q504">
            <v>0.85319396000000003</v>
          </cell>
          <cell r="R504">
            <v>0.94248169999999998</v>
          </cell>
          <cell r="S504">
            <v>1.7956756600000001</v>
          </cell>
          <cell r="T504">
            <v>0.79366880000000006</v>
          </cell>
          <cell r="U504">
            <v>0.79366880000000006</v>
          </cell>
          <cell r="V504">
            <v>1.5873376000000001</v>
          </cell>
          <cell r="W504">
            <v>0.79366880000000006</v>
          </cell>
          <cell r="X504">
            <v>0.79366880000000006</v>
          </cell>
          <cell r="Y504">
            <v>1.5873376000000001</v>
          </cell>
          <cell r="Z504">
            <v>0.79366880000000006</v>
          </cell>
          <cell r="AA504">
            <v>0.79366880000000006</v>
          </cell>
          <cell r="AB504">
            <v>1.5873376000000001</v>
          </cell>
          <cell r="AC504">
            <v>0.79366880000000006</v>
          </cell>
          <cell r="AD504">
            <v>0.79366880000000006</v>
          </cell>
          <cell r="AE504">
            <v>1.5873376000000001</v>
          </cell>
          <cell r="AF504">
            <v>0.24802150000000001</v>
          </cell>
          <cell r="AG504">
            <v>0.34723009999999999</v>
          </cell>
          <cell r="AH504">
            <v>0.59525159999999999</v>
          </cell>
          <cell r="AI504">
            <v>0.69446019999999997</v>
          </cell>
          <cell r="AJ504">
            <v>0.71430192000000003</v>
          </cell>
          <cell r="AK504">
            <v>1.40876212</v>
          </cell>
          <cell r="AL504">
            <v>0.71430192000000003</v>
          </cell>
          <cell r="AM504">
            <v>0.74</v>
          </cell>
          <cell r="AN504">
            <v>1.45430192</v>
          </cell>
          <cell r="AO504">
            <v>0.81</v>
          </cell>
          <cell r="AP504">
            <v>0.94000000000000006</v>
          </cell>
          <cell r="AQ504">
            <v>1.75</v>
          </cell>
          <cell r="AR504">
            <v>0.83</v>
          </cell>
          <cell r="AS504">
            <v>0.83</v>
          </cell>
          <cell r="AT504">
            <v>1.66</v>
          </cell>
          <cell r="AU504">
            <v>0.83</v>
          </cell>
          <cell r="AV504">
            <v>0.83</v>
          </cell>
          <cell r="AW504">
            <v>1.66</v>
          </cell>
          <cell r="AX504">
            <v>0.86</v>
          </cell>
          <cell r="AY504">
            <v>0.9</v>
          </cell>
          <cell r="AZ504">
            <v>1.76</v>
          </cell>
          <cell r="BA504">
            <v>0.91</v>
          </cell>
          <cell r="BB504">
            <v>0.92</v>
          </cell>
          <cell r="BC504">
            <v>1.83</v>
          </cell>
          <cell r="BD504">
            <v>0.94000000000000006</v>
          </cell>
          <cell r="BE504">
            <v>0.96000000000000008</v>
          </cell>
          <cell r="BF504">
            <v>1.9000000000000001</v>
          </cell>
          <cell r="BG504">
            <v>0.98000000000000009</v>
          </cell>
          <cell r="BH504">
            <v>1</v>
          </cell>
          <cell r="BI504">
            <v>1.98</v>
          </cell>
          <cell r="BJ504">
            <v>1.02</v>
          </cell>
          <cell r="BK504">
            <v>1.04</v>
          </cell>
          <cell r="BL504">
            <v>2.06</v>
          </cell>
          <cell r="BM504">
            <v>1.06</v>
          </cell>
          <cell r="BN504">
            <v>1.08</v>
          </cell>
          <cell r="BO504">
            <v>2.14</v>
          </cell>
          <cell r="BP504">
            <v>1.1000000000000001</v>
          </cell>
          <cell r="BQ504">
            <v>1.1200000000000001</v>
          </cell>
          <cell r="BR504">
            <v>2.2200000000000002</v>
          </cell>
          <cell r="BS504">
            <v>1.1400000000000001</v>
          </cell>
          <cell r="BT504">
            <v>1.1600000000000001</v>
          </cell>
          <cell r="BU504">
            <v>2.3000000000000003</v>
          </cell>
          <cell r="BV504">
            <v>1.1800000000000002</v>
          </cell>
          <cell r="BW504">
            <v>1.2000000000000002</v>
          </cell>
          <cell r="BX504">
            <v>2.3800000000000003</v>
          </cell>
        </row>
        <row r="505">
          <cell r="B505" t="str">
            <v>DRP Participation</v>
          </cell>
          <cell r="C505" t="str">
            <v>DRP_PARTICIPATION</v>
          </cell>
          <cell r="F505">
            <v>0</v>
          </cell>
          <cell r="G505">
            <v>0.19985517740767561</v>
          </cell>
          <cell r="H505">
            <v>0.29980145598941099</v>
          </cell>
          <cell r="I505">
            <v>0.3000712758374911</v>
          </cell>
          <cell r="J505">
            <v>0.30026385224274404</v>
          </cell>
          <cell r="K505">
            <v>0.30015007503751878</v>
          </cell>
          <cell r="L505">
            <v>0.20009306654257794</v>
          </cell>
          <cell r="M505">
            <v>-2.0026043385632714E-3</v>
          </cell>
          <cell r="N505">
            <v>0.16759809687360427</v>
          </cell>
          <cell r="O505">
            <v>9.8206041958629434E-2</v>
          </cell>
          <cell r="P505">
            <v>0.13449864843844692</v>
          </cell>
          <cell r="Q505">
            <v>0.3713276444888316</v>
          </cell>
          <cell r="R505">
            <v>8.5715346414607152E-2</v>
          </cell>
          <cell r="S505">
            <v>0.23579861270799291</v>
          </cell>
          <cell r="T505">
            <v>8.6487609423580789E-2</v>
          </cell>
          <cell r="U505">
            <v>8.6422525773913045E-2</v>
          </cell>
          <cell r="V505">
            <v>8.6457807072503168E-2</v>
          </cell>
          <cell r="W505">
            <v>0</v>
          </cell>
          <cell r="X505">
            <v>0</v>
          </cell>
          <cell r="Y505">
            <v>0</v>
          </cell>
          <cell r="Z505">
            <v>0</v>
          </cell>
          <cell r="AA505">
            <v>0</v>
          </cell>
          <cell r="AB505">
            <v>0</v>
          </cell>
          <cell r="AC505">
            <v>0</v>
          </cell>
          <cell r="AD505">
            <v>0</v>
          </cell>
          <cell r="AE505">
            <v>0</v>
          </cell>
          <cell r="AF505">
            <v>8.7776336195965421E-2</v>
          </cell>
          <cell r="AG505">
            <v>8.5647712230216874E-2</v>
          </cell>
          <cell r="AH505">
            <v>8.7270769792053893E-2</v>
          </cell>
          <cell r="AI505">
            <v>0</v>
          </cell>
          <cell r="AJ505">
            <v>0</v>
          </cell>
          <cell r="AK505">
            <v>0</v>
          </cell>
          <cell r="AL505">
            <v>9.3065968656867726E-2</v>
          </cell>
          <cell r="AM505">
            <v>9.4304361913043491E-2</v>
          </cell>
          <cell r="AN505">
            <v>9.368188746060728E-2</v>
          </cell>
          <cell r="AO505">
            <v>0</v>
          </cell>
          <cell r="AP505">
            <v>0</v>
          </cell>
          <cell r="AQ505">
            <v>0</v>
          </cell>
          <cell r="AR505">
            <v>0</v>
          </cell>
          <cell r="AS505">
            <v>0</v>
          </cell>
          <cell r="AT505">
            <v>0</v>
          </cell>
          <cell r="AU505">
            <v>0</v>
          </cell>
          <cell r="AV505">
            <v>0.3</v>
          </cell>
          <cell r="AW505">
            <v>0.13953640935928274</v>
          </cell>
          <cell r="AX505">
            <v>0.3</v>
          </cell>
          <cell r="AY505">
            <v>0</v>
          </cell>
          <cell r="AZ505">
            <v>0.14678976511778169</v>
          </cell>
          <cell r="BA505">
            <v>0</v>
          </cell>
          <cell r="BB505">
            <v>0</v>
          </cell>
          <cell r="BC505">
            <v>0</v>
          </cell>
          <cell r="BD505">
            <v>0</v>
          </cell>
          <cell r="BE505">
            <v>0</v>
          </cell>
          <cell r="BF505">
            <v>0</v>
          </cell>
          <cell r="BG505">
            <v>0</v>
          </cell>
          <cell r="BH505">
            <v>0</v>
          </cell>
          <cell r="BI505">
            <v>0</v>
          </cell>
          <cell r="BJ505">
            <v>0</v>
          </cell>
          <cell r="BK505">
            <v>0</v>
          </cell>
          <cell r="BL505">
            <v>0</v>
          </cell>
          <cell r="BM505">
            <v>0</v>
          </cell>
          <cell r="BN505">
            <v>0</v>
          </cell>
          <cell r="BO505">
            <v>0</v>
          </cell>
          <cell r="BP505">
            <v>0</v>
          </cell>
          <cell r="BQ505">
            <v>0</v>
          </cell>
          <cell r="BR505">
            <v>0</v>
          </cell>
          <cell r="BS505">
            <v>0</v>
          </cell>
          <cell r="BT505">
            <v>0</v>
          </cell>
          <cell r="BU505">
            <v>0</v>
          </cell>
          <cell r="BV505">
            <v>0</v>
          </cell>
          <cell r="BW505">
            <v>0</v>
          </cell>
          <cell r="BX505">
            <v>0</v>
          </cell>
        </row>
        <row r="506">
          <cell r="B506" t="str">
            <v>DRP Discount</v>
          </cell>
          <cell r="C506" t="str">
            <v>DRP_DISCOUNT</v>
          </cell>
          <cell r="F506"/>
          <cell r="G506"/>
          <cell r="H506"/>
          <cell r="I506"/>
          <cell r="J506"/>
          <cell r="K506"/>
          <cell r="L506"/>
          <cell r="M506"/>
          <cell r="N506"/>
          <cell r="O506"/>
          <cell r="P506"/>
          <cell r="Q506"/>
          <cell r="R506"/>
          <cell r="S506"/>
          <cell r="T506"/>
          <cell r="U506"/>
          <cell r="V506"/>
          <cell r="W506"/>
          <cell r="X506"/>
          <cell r="Y506"/>
          <cell r="Z506"/>
          <cell r="AA506"/>
          <cell r="AB506"/>
          <cell r="AC506"/>
          <cell r="AD506"/>
          <cell r="AE506"/>
          <cell r="AF506"/>
          <cell r="AG506"/>
          <cell r="AH506"/>
          <cell r="AI506"/>
          <cell r="AJ506"/>
          <cell r="AK506"/>
          <cell r="AL506"/>
          <cell r="AM506"/>
          <cell r="AN506"/>
          <cell r="AO506"/>
          <cell r="AP506"/>
          <cell r="AQ506"/>
          <cell r="AR506"/>
          <cell r="AS506"/>
          <cell r="AT506"/>
          <cell r="AU506"/>
          <cell r="AV506"/>
          <cell r="AW506"/>
          <cell r="AX506"/>
          <cell r="AY506"/>
          <cell r="AZ506"/>
          <cell r="BA506"/>
          <cell r="BB506"/>
          <cell r="BC506"/>
          <cell r="BD506"/>
          <cell r="BE506"/>
          <cell r="BF506"/>
          <cell r="BG506"/>
          <cell r="BH506"/>
          <cell r="BI506"/>
          <cell r="BJ506"/>
          <cell r="BK506"/>
          <cell r="BL506"/>
          <cell r="BM506"/>
          <cell r="BN506"/>
          <cell r="BO506"/>
          <cell r="BP506"/>
          <cell r="BQ506"/>
          <cell r="BR506"/>
          <cell r="BS506"/>
          <cell r="BT506"/>
          <cell r="BU506"/>
          <cell r="BV506"/>
          <cell r="BW506"/>
          <cell r="BX506"/>
        </row>
        <row r="507">
          <cell r="B507" t="str">
            <v>Convertible Notes  at End of year</v>
          </cell>
          <cell r="C507" t="str">
            <v>CONVERTIBLE_NOTES</v>
          </cell>
          <cell r="F507">
            <v>93</v>
          </cell>
          <cell r="G507">
            <v>98</v>
          </cell>
          <cell r="H507">
            <v>185.8</v>
          </cell>
          <cell r="I507">
            <v>121.4</v>
          </cell>
          <cell r="J507">
            <v>196.4</v>
          </cell>
          <cell r="K507">
            <v>239.2</v>
          </cell>
          <cell r="L507">
            <v>224.3</v>
          </cell>
          <cell r="M507">
            <v>183.1</v>
          </cell>
          <cell r="N507">
            <v>185.8</v>
          </cell>
          <cell r="O507">
            <v>203</v>
          </cell>
          <cell r="P507">
            <v>203</v>
          </cell>
          <cell r="Q507">
            <v>170.5</v>
          </cell>
          <cell r="R507">
            <v>261.39999999999998</v>
          </cell>
          <cell r="S507">
            <v>261.39999999999998</v>
          </cell>
          <cell r="T507">
            <v>321.2</v>
          </cell>
          <cell r="U507">
            <v>274.3</v>
          </cell>
          <cell r="V507">
            <v>274.3</v>
          </cell>
          <cell r="W507">
            <v>247.1</v>
          </cell>
          <cell r="X507">
            <v>243</v>
          </cell>
          <cell r="Y507">
            <v>243</v>
          </cell>
          <cell r="Z507">
            <v>269.7</v>
          </cell>
          <cell r="AA507">
            <v>240.6</v>
          </cell>
          <cell r="AB507">
            <v>240.6</v>
          </cell>
          <cell r="AC507">
            <v>260.5</v>
          </cell>
          <cell r="AD507">
            <v>237.9</v>
          </cell>
          <cell r="AE507">
            <v>237.9</v>
          </cell>
          <cell r="AF507">
            <v>401.4</v>
          </cell>
          <cell r="AG507">
            <v>362.2</v>
          </cell>
          <cell r="AH507">
            <v>362.2</v>
          </cell>
          <cell r="AI507">
            <v>238.7</v>
          </cell>
          <cell r="AJ507">
            <v>255.8</v>
          </cell>
          <cell r="AK507">
            <v>255.8</v>
          </cell>
          <cell r="AL507">
            <v>264</v>
          </cell>
          <cell r="AM507">
            <v>275.7</v>
          </cell>
          <cell r="AN507">
            <v>275.7</v>
          </cell>
          <cell r="AO507">
            <v>277.3</v>
          </cell>
          <cell r="AP507">
            <v>273.89999999999998</v>
          </cell>
          <cell r="AQ507">
            <v>239.6</v>
          </cell>
          <cell r="AR507">
            <v>239.6</v>
          </cell>
          <cell r="AS507">
            <v>234.7</v>
          </cell>
          <cell r="AT507">
            <v>234.7</v>
          </cell>
          <cell r="AU507">
            <v>245.8</v>
          </cell>
          <cell r="AV507">
            <v>8.4</v>
          </cell>
          <cell r="AW507">
            <v>8.4</v>
          </cell>
          <cell r="AX507">
            <v>8.4</v>
          </cell>
          <cell r="AY507">
            <v>8.4</v>
          </cell>
          <cell r="AZ507">
            <v>8.4</v>
          </cell>
          <cell r="BA507">
            <v>8.4</v>
          </cell>
          <cell r="BB507">
            <v>8.4</v>
          </cell>
          <cell r="BC507">
            <v>8.4</v>
          </cell>
          <cell r="BD507">
            <v>8.4</v>
          </cell>
          <cell r="BE507">
            <v>8.4</v>
          </cell>
          <cell r="BF507">
            <v>8.4</v>
          </cell>
          <cell r="BG507">
            <v>8.4</v>
          </cell>
          <cell r="BH507">
            <v>8.4</v>
          </cell>
          <cell r="BI507">
            <v>8.4</v>
          </cell>
          <cell r="BJ507">
            <v>8.4</v>
          </cell>
          <cell r="BK507">
            <v>8.4</v>
          </cell>
          <cell r="BL507">
            <v>8.4</v>
          </cell>
          <cell r="BM507">
            <v>8.4</v>
          </cell>
          <cell r="BN507">
            <v>8.4</v>
          </cell>
          <cell r="BO507">
            <v>8.4</v>
          </cell>
          <cell r="BP507">
            <v>8.4</v>
          </cell>
          <cell r="BQ507">
            <v>8.4</v>
          </cell>
          <cell r="BR507">
            <v>8.4</v>
          </cell>
          <cell r="BS507">
            <v>8.4</v>
          </cell>
          <cell r="BT507">
            <v>8.4</v>
          </cell>
          <cell r="BU507">
            <v>8.4</v>
          </cell>
          <cell r="BV507">
            <v>8.4</v>
          </cell>
          <cell r="BW507">
            <v>8.4</v>
          </cell>
          <cell r="BX507">
            <v>8.4</v>
          </cell>
        </row>
        <row r="508">
          <cell r="B508" t="str">
            <v>Preference Shares at End of year</v>
          </cell>
          <cell r="C508" t="str">
            <v>PREFERENCE_SHARES</v>
          </cell>
          <cell r="F508"/>
          <cell r="G508"/>
          <cell r="H508"/>
          <cell r="I508"/>
          <cell r="J508"/>
          <cell r="K508"/>
          <cell r="L508"/>
          <cell r="M508"/>
          <cell r="N508"/>
          <cell r="O508"/>
          <cell r="P508"/>
          <cell r="Q508"/>
          <cell r="R508"/>
          <cell r="S508"/>
          <cell r="T508"/>
          <cell r="U508"/>
          <cell r="V508"/>
          <cell r="W508"/>
          <cell r="X508"/>
          <cell r="Y508"/>
          <cell r="Z508"/>
          <cell r="AA508"/>
          <cell r="AB508"/>
          <cell r="AC508"/>
          <cell r="AD508"/>
          <cell r="AE508"/>
          <cell r="AF508"/>
          <cell r="AG508"/>
          <cell r="AH508"/>
          <cell r="AI508"/>
          <cell r="AJ508"/>
          <cell r="AK508"/>
          <cell r="AL508"/>
          <cell r="AM508"/>
          <cell r="AN508"/>
          <cell r="AO508"/>
          <cell r="AP508"/>
          <cell r="AQ508"/>
          <cell r="AR508"/>
          <cell r="AS508"/>
          <cell r="AT508"/>
          <cell r="AU508"/>
          <cell r="AV508"/>
          <cell r="AW508"/>
          <cell r="AX508"/>
          <cell r="AY508"/>
          <cell r="AZ508"/>
          <cell r="BA508"/>
          <cell r="BB508"/>
          <cell r="BC508"/>
          <cell r="BD508"/>
          <cell r="BE508"/>
          <cell r="BF508"/>
          <cell r="BG508"/>
          <cell r="BH508"/>
          <cell r="BI508"/>
          <cell r="BJ508"/>
          <cell r="BK508"/>
          <cell r="BL508"/>
          <cell r="BM508"/>
          <cell r="BN508"/>
          <cell r="BO508"/>
          <cell r="BP508"/>
          <cell r="BQ508"/>
          <cell r="BR508"/>
          <cell r="BS508"/>
          <cell r="BT508"/>
          <cell r="BU508"/>
          <cell r="BV508"/>
          <cell r="BW508"/>
          <cell r="BX508"/>
        </row>
        <row r="509">
          <cell r="B509" t="str">
            <v>Partly Paid Shares at End of year</v>
          </cell>
          <cell r="C509" t="str">
            <v>PARTLY_PAID_SHARES</v>
          </cell>
          <cell r="F509"/>
          <cell r="G509"/>
          <cell r="H509"/>
          <cell r="I509"/>
          <cell r="J509"/>
          <cell r="K509"/>
          <cell r="L509"/>
          <cell r="M509"/>
          <cell r="N509"/>
          <cell r="O509"/>
          <cell r="P509"/>
          <cell r="Q509"/>
          <cell r="R509"/>
          <cell r="S509"/>
          <cell r="T509"/>
          <cell r="U509"/>
          <cell r="V509"/>
          <cell r="W509"/>
          <cell r="X509"/>
          <cell r="Y509"/>
          <cell r="Z509"/>
          <cell r="AA509"/>
          <cell r="AB509"/>
          <cell r="AC509"/>
          <cell r="AD509"/>
          <cell r="AE509"/>
          <cell r="AF509"/>
          <cell r="AG509"/>
          <cell r="AH509"/>
          <cell r="AI509"/>
          <cell r="AJ509"/>
          <cell r="AK509"/>
          <cell r="AL509"/>
          <cell r="AM509"/>
          <cell r="AN509"/>
          <cell r="AO509"/>
          <cell r="AP509"/>
          <cell r="AQ509"/>
          <cell r="AR509"/>
          <cell r="AS509"/>
          <cell r="AT509"/>
          <cell r="AU509"/>
          <cell r="AV509"/>
          <cell r="AW509"/>
          <cell r="AX509"/>
          <cell r="AY509"/>
          <cell r="AZ509"/>
          <cell r="BA509"/>
          <cell r="BB509"/>
          <cell r="BC509"/>
          <cell r="BD509"/>
          <cell r="BE509"/>
          <cell r="BF509"/>
          <cell r="BG509"/>
          <cell r="BH509"/>
          <cell r="BI509"/>
          <cell r="BJ509"/>
          <cell r="BK509"/>
          <cell r="BL509"/>
          <cell r="BM509"/>
          <cell r="BN509"/>
          <cell r="BO509"/>
          <cell r="BP509"/>
          <cell r="BQ509"/>
          <cell r="BR509"/>
          <cell r="BS509"/>
          <cell r="BT509"/>
          <cell r="BU509"/>
          <cell r="BV509"/>
          <cell r="BW509"/>
          <cell r="BX509"/>
        </row>
        <row r="510">
          <cell r="B510" t="str">
            <v>Options at End of year</v>
          </cell>
          <cell r="C510" t="str">
            <v>OPTIONS</v>
          </cell>
          <cell r="F510">
            <v>13</v>
          </cell>
          <cell r="G510">
            <v>11.5</v>
          </cell>
          <cell r="H510">
            <v>5.2</v>
          </cell>
          <cell r="I510">
            <v>4</v>
          </cell>
          <cell r="J510">
            <v>4.8</v>
          </cell>
          <cell r="K510">
            <v>4.0999999999999996</v>
          </cell>
          <cell r="L510">
            <v>4.4000000000000004</v>
          </cell>
          <cell r="M510">
            <v>4.8</v>
          </cell>
          <cell r="N510">
            <v>5</v>
          </cell>
          <cell r="O510">
            <v>5.5</v>
          </cell>
          <cell r="P510">
            <v>5.5</v>
          </cell>
          <cell r="Q510">
            <v>6.2</v>
          </cell>
          <cell r="R510">
            <v>6.3</v>
          </cell>
          <cell r="S510">
            <v>6.3</v>
          </cell>
          <cell r="T510">
            <v>6.9</v>
          </cell>
          <cell r="U510">
            <v>6.7</v>
          </cell>
          <cell r="V510">
            <v>6.7</v>
          </cell>
          <cell r="W510">
            <v>10</v>
          </cell>
          <cell r="X510">
            <v>11.5</v>
          </cell>
          <cell r="Y510">
            <v>11.5</v>
          </cell>
          <cell r="Z510">
            <v>10</v>
          </cell>
          <cell r="AA510">
            <v>9.5</v>
          </cell>
          <cell r="AB510">
            <v>9.5</v>
          </cell>
          <cell r="AC510">
            <v>8.4</v>
          </cell>
          <cell r="AD510">
            <v>8.3000000000000007</v>
          </cell>
          <cell r="AE510">
            <v>8.3000000000000007</v>
          </cell>
          <cell r="AF510">
            <v>6.6</v>
          </cell>
          <cell r="AG510">
            <v>7.3</v>
          </cell>
          <cell r="AH510">
            <v>7.3</v>
          </cell>
          <cell r="AI510">
            <v>7</v>
          </cell>
          <cell r="AJ510">
            <v>11.3</v>
          </cell>
          <cell r="AK510">
            <v>11.3</v>
          </cell>
          <cell r="AL510">
            <v>6.9</v>
          </cell>
          <cell r="AM510">
            <v>7.3</v>
          </cell>
          <cell r="AN510">
            <v>7.3</v>
          </cell>
          <cell r="AO510">
            <v>6.9</v>
          </cell>
          <cell r="AP510">
            <v>7.5</v>
          </cell>
          <cell r="AQ510">
            <v>8.5</v>
          </cell>
          <cell r="AR510">
            <v>8.5</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row>
        <row r="511">
          <cell r="B511" t="str">
            <v>Other at End of year</v>
          </cell>
          <cell r="C511" t="str">
            <v>OTHER_CAPITAL</v>
          </cell>
          <cell r="F511"/>
          <cell r="G511"/>
          <cell r="H511"/>
          <cell r="I511"/>
          <cell r="J511"/>
          <cell r="K511"/>
          <cell r="L511"/>
          <cell r="M511"/>
          <cell r="N511"/>
          <cell r="O511"/>
          <cell r="P511"/>
          <cell r="Q511"/>
          <cell r="R511"/>
          <cell r="S511"/>
          <cell r="T511"/>
          <cell r="U511"/>
          <cell r="V511"/>
          <cell r="W511"/>
          <cell r="X511"/>
          <cell r="Y511"/>
          <cell r="Z511"/>
          <cell r="AA511"/>
          <cell r="AB511"/>
          <cell r="AC511"/>
          <cell r="AD511"/>
          <cell r="AE511"/>
          <cell r="AF511"/>
          <cell r="AG511"/>
          <cell r="AH511"/>
          <cell r="AI511"/>
          <cell r="AJ511"/>
          <cell r="AK511"/>
          <cell r="AL511"/>
          <cell r="AM511"/>
          <cell r="AN511"/>
          <cell r="AO511"/>
          <cell r="AP511"/>
          <cell r="AQ511"/>
          <cell r="AR511"/>
          <cell r="AS511"/>
          <cell r="AT511"/>
          <cell r="AU511"/>
          <cell r="AV511"/>
          <cell r="AW511"/>
          <cell r="AX511"/>
          <cell r="AY511"/>
          <cell r="AZ511"/>
          <cell r="BA511"/>
          <cell r="BB511"/>
          <cell r="BC511"/>
          <cell r="BD511"/>
          <cell r="BE511"/>
          <cell r="BF511"/>
          <cell r="BG511"/>
          <cell r="BH511"/>
          <cell r="BI511"/>
          <cell r="BJ511"/>
          <cell r="BK511"/>
          <cell r="BL511"/>
          <cell r="BM511"/>
          <cell r="BN511"/>
          <cell r="BO511"/>
          <cell r="BP511"/>
          <cell r="BQ511"/>
          <cell r="BR511"/>
          <cell r="BS511"/>
          <cell r="BT511"/>
          <cell r="BU511"/>
          <cell r="BV511"/>
          <cell r="BW511"/>
          <cell r="BX511"/>
        </row>
        <row r="512">
          <cell r="B512" t="str">
            <v>Ordinary Shares (diluted for convertibles/options in the money) on issue at end of period ; Share Base For NTA Calculation</v>
          </cell>
          <cell r="C512" t="str">
            <v>EFPO</v>
          </cell>
          <cell r="F512">
            <v>1851.2507988218763</v>
          </cell>
          <cell r="G512">
            <v>1879.5749562033936</v>
          </cell>
          <cell r="H512">
            <v>2056.9789312620078</v>
          </cell>
          <cell r="I512">
            <v>2524.4787246266956</v>
          </cell>
          <cell r="J512">
            <v>2580.1190622587151</v>
          </cell>
          <cell r="K512">
            <v>2649.9718774380449</v>
          </cell>
          <cell r="L512">
            <v>2739.0770558197578</v>
          </cell>
          <cell r="M512">
            <v>2765.5868543654478</v>
          </cell>
          <cell r="N512">
            <v>2765.990045217854</v>
          </cell>
          <cell r="O512">
            <v>2778.5897593555396</v>
          </cell>
          <cell r="P512">
            <v>2778.5897593555396</v>
          </cell>
          <cell r="Q512">
            <v>2788.0647443870794</v>
          </cell>
          <cell r="R512">
            <v>2925.8552181968093</v>
          </cell>
          <cell r="S512">
            <v>2925.8552181968093</v>
          </cell>
          <cell r="T512">
            <v>2940.8740774489306</v>
          </cell>
          <cell r="U512">
            <v>2950.8530510459777</v>
          </cell>
          <cell r="V512">
            <v>2950.8530510459777</v>
          </cell>
          <cell r="W512">
            <v>2959.4581608852459</v>
          </cell>
          <cell r="X512">
            <v>2960.8474739085123</v>
          </cell>
          <cell r="Y512">
            <v>2960.8474739085123</v>
          </cell>
          <cell r="Z512">
            <v>2921.8827581479832</v>
          </cell>
          <cell r="AA512">
            <v>2896.5413462139368</v>
          </cell>
          <cell r="AB512">
            <v>2896.5413462139368</v>
          </cell>
          <cell r="AC512">
            <v>2855.7761917817611</v>
          </cell>
          <cell r="AD512">
            <v>2857.1967783034938</v>
          </cell>
          <cell r="AE512">
            <v>2857.1967783034938</v>
          </cell>
          <cell r="AF512">
            <v>2858.801980876658</v>
          </cell>
          <cell r="AG512">
            <v>2863.0282304155085</v>
          </cell>
          <cell r="AH512">
            <v>2863.0282304155085</v>
          </cell>
          <cell r="AI512">
            <v>2868.2410597468365</v>
          </cell>
          <cell r="AJ512">
            <v>2846.0875891807764</v>
          </cell>
          <cell r="AK512">
            <v>2846.0875891807764</v>
          </cell>
          <cell r="AL512">
            <v>2816.3931090651417</v>
          </cell>
          <cell r="AM512">
            <v>2989.9237509999998</v>
          </cell>
          <cell r="AN512">
            <v>2989.9237509999998</v>
          </cell>
          <cell r="AO512">
            <v>3003.3667820000001</v>
          </cell>
          <cell r="AP512">
            <v>3005.2868859999999</v>
          </cell>
          <cell r="AQ512">
            <v>3005.2868859999999</v>
          </cell>
          <cell r="AR512">
            <v>3007.5106780000001</v>
          </cell>
          <cell r="AS512">
            <v>2979.41626</v>
          </cell>
          <cell r="AT512">
            <v>2979.41626</v>
          </cell>
          <cell r="AU512">
            <v>2971.3656219999998</v>
          </cell>
          <cell r="AV512">
            <v>2983.52018</v>
          </cell>
          <cell r="AW512">
            <v>2983.52018</v>
          </cell>
          <cell r="AX512">
            <v>3005.3885233462579</v>
          </cell>
          <cell r="AY512">
            <v>3027.2127532129562</v>
          </cell>
          <cell r="AZ512">
            <v>3027.2127532129562</v>
          </cell>
          <cell r="BA512">
            <v>3027.2127532129562</v>
          </cell>
          <cell r="BB512">
            <v>3001.48033040672</v>
          </cell>
          <cell r="BC512">
            <v>3001.48033040672</v>
          </cell>
          <cell r="BD512">
            <v>2976.8759904448043</v>
          </cell>
          <cell r="BE512">
            <v>2953.3502793401817</v>
          </cell>
          <cell r="BF512">
            <v>2953.3502793401817</v>
          </cell>
          <cell r="BG512">
            <v>2930.8559111175491</v>
          </cell>
          <cell r="BH512">
            <v>2909.3476727699331</v>
          </cell>
          <cell r="BI512">
            <v>2909.3476727699331</v>
          </cell>
          <cell r="BJ512">
            <v>2909.3476727699331</v>
          </cell>
          <cell r="BK512">
            <v>2909.3476727699331</v>
          </cell>
          <cell r="BL512">
            <v>2909.3476727699331</v>
          </cell>
          <cell r="BM512">
            <v>2909.3476727699331</v>
          </cell>
          <cell r="BN512">
            <v>2909.3476727699331</v>
          </cell>
          <cell r="BO512">
            <v>2909.3476727699331</v>
          </cell>
          <cell r="BP512">
            <v>2909.3476727699331</v>
          </cell>
          <cell r="BQ512">
            <v>2909.3476727699331</v>
          </cell>
          <cell r="BR512">
            <v>2909.3476727699331</v>
          </cell>
          <cell r="BS512">
            <v>2909.3476727699331</v>
          </cell>
          <cell r="BT512">
            <v>2909.3476727699331</v>
          </cell>
          <cell r="BU512">
            <v>2909.3476727699331</v>
          </cell>
          <cell r="BV512">
            <v>2909.3476727699331</v>
          </cell>
          <cell r="BW512">
            <v>2909.3476727699331</v>
          </cell>
          <cell r="BX512">
            <v>2909.3476727699331</v>
          </cell>
        </row>
        <row r="513">
          <cell r="B513" t="str">
            <v>Weighted average ordinary shares (diluted for convertibles/options in the money) on issue at end of period</v>
          </cell>
          <cell r="C513" t="str">
            <v>EFPOWA</v>
          </cell>
          <cell r="F513">
            <v>1952.6532982019705</v>
          </cell>
          <cell r="G513">
            <v>1966.462584896874</v>
          </cell>
          <cell r="H513">
            <v>2133.4843955060346</v>
          </cell>
          <cell r="I513">
            <v>2365.621528778755</v>
          </cell>
          <cell r="J513">
            <v>2718.5143223470545</v>
          </cell>
          <cell r="K513">
            <v>2832.0125472993268</v>
          </cell>
          <cell r="L513">
            <v>2926.4600044754188</v>
          </cell>
          <cell r="M513">
            <v>2927.8711724588393</v>
          </cell>
          <cell r="N513">
            <v>2942.0836500061487</v>
          </cell>
          <cell r="O513">
            <v>2968.6942462649404</v>
          </cell>
          <cell r="P513">
            <v>2957.8080932499806</v>
          </cell>
          <cell r="Q513">
            <v>2950.1474670542675</v>
          </cell>
          <cell r="R513">
            <v>3101.948822985104</v>
          </cell>
          <cell r="S513">
            <v>3056.3882566632328</v>
          </cell>
          <cell r="T513">
            <v>3255.2621446124631</v>
          </cell>
          <cell r="U513">
            <v>3218.0677884780148</v>
          </cell>
          <cell r="V513">
            <v>3212.4231165443321</v>
          </cell>
          <cell r="W513">
            <v>3206.1736583320398</v>
          </cell>
          <cell r="X513">
            <v>3209.0967920119829</v>
          </cell>
          <cell r="Y513">
            <v>3217.1606090601013</v>
          </cell>
          <cell r="Z513">
            <v>3229.861120910889</v>
          </cell>
          <cell r="AA513">
            <v>3157.2867674778195</v>
          </cell>
          <cell r="AB513">
            <v>3188.9372493916858</v>
          </cell>
          <cell r="AC513">
            <v>3150.7349161262232</v>
          </cell>
          <cell r="AD513">
            <v>3100.0336664361757</v>
          </cell>
          <cell r="AE513">
            <v>3114.4477394096884</v>
          </cell>
          <cell r="AF513">
            <v>3264.4347365046979</v>
          </cell>
          <cell r="AG513">
            <v>3226.2324032392353</v>
          </cell>
          <cell r="AH513">
            <v>3226.635594091641</v>
          </cell>
          <cell r="AI513">
            <v>3109.0046629022081</v>
          </cell>
          <cell r="AJ513">
            <v>3130.2729803666216</v>
          </cell>
          <cell r="AK513">
            <v>3123.519533588822</v>
          </cell>
          <cell r="AL513">
            <v>3128.5594192438962</v>
          </cell>
          <cell r="AM513">
            <v>3145.5</v>
          </cell>
          <cell r="AN513">
            <v>3138.1</v>
          </cell>
          <cell r="AO513">
            <v>3278.3</v>
          </cell>
          <cell r="AP513">
            <v>3281.6</v>
          </cell>
          <cell r="AQ513">
            <v>3270.5</v>
          </cell>
          <cell r="AR513">
            <v>3249.4</v>
          </cell>
          <cell r="AS513">
            <v>3230.2</v>
          </cell>
          <cell r="AT513">
            <v>3234</v>
          </cell>
          <cell r="AU513">
            <v>3217.7</v>
          </cell>
          <cell r="AV513">
            <v>2981.7</v>
          </cell>
          <cell r="AW513">
            <v>3179.9</v>
          </cell>
          <cell r="AX513">
            <v>2998.6877804438923</v>
          </cell>
          <cell r="AY513">
            <v>3020.5036694892283</v>
          </cell>
          <cell r="AZ513">
            <v>3009.5658401870464</v>
          </cell>
          <cell r="BA513">
            <v>3031.4006009872023</v>
          </cell>
          <cell r="BB513">
            <v>3018.5522920063509</v>
          </cell>
          <cell r="BC513">
            <v>3024.9940469200383</v>
          </cell>
          <cell r="BD513">
            <v>2993.4189306431022</v>
          </cell>
          <cell r="BE513">
            <v>2969.3873898891088</v>
          </cell>
          <cell r="BF513">
            <v>2981.4031602661053</v>
          </cell>
          <cell r="BG513">
            <v>2946.4093670666107</v>
          </cell>
          <cell r="BH513">
            <v>2924.4386770373608</v>
          </cell>
          <cell r="BI513">
            <v>2935.4541188876428</v>
          </cell>
          <cell r="BJ513">
            <v>2913.6995214590142</v>
          </cell>
          <cell r="BK513">
            <v>2913.6995214590142</v>
          </cell>
          <cell r="BL513">
            <v>2913.6995214590147</v>
          </cell>
          <cell r="BM513">
            <v>2913.6995214590142</v>
          </cell>
          <cell r="BN513">
            <v>2913.6995214590142</v>
          </cell>
          <cell r="BO513">
            <v>2913.6995214590147</v>
          </cell>
          <cell r="BP513">
            <v>2913.6995214590142</v>
          </cell>
          <cell r="BQ513">
            <v>2913.6995214590142</v>
          </cell>
          <cell r="BR513">
            <v>2913.6995214590142</v>
          </cell>
          <cell r="BS513">
            <v>2913.6995214590142</v>
          </cell>
          <cell r="BT513">
            <v>2913.6995214590142</v>
          </cell>
          <cell r="BU513">
            <v>2913.6995214590147</v>
          </cell>
          <cell r="BV513">
            <v>2913.6995214590142</v>
          </cell>
          <cell r="BW513">
            <v>2913.6995214590142</v>
          </cell>
          <cell r="BX513">
            <v>2913.6995214590147</v>
          </cell>
        </row>
        <row r="514">
          <cell r="B514" t="str">
            <v>Total Capital (EFPO)</v>
          </cell>
          <cell r="C514" t="str">
            <v>TOTAL_CAPITAL_EFPO</v>
          </cell>
          <cell r="F514">
            <v>1855.2360063202041</v>
          </cell>
          <cell r="G514">
            <v>1883.3638913202042</v>
          </cell>
          <cell r="H514">
            <v>2059.6415553202041</v>
          </cell>
          <cell r="I514">
            <v>2523.1638913202041</v>
          </cell>
          <cell r="J514">
            <v>2578.3263163202041</v>
          </cell>
          <cell r="K514">
            <v>2647.697928320204</v>
          </cell>
          <cell r="L514">
            <v>2736.0208523202041</v>
          </cell>
          <cell r="M514">
            <v>2748.5</v>
          </cell>
          <cell r="N514">
            <v>2749.1</v>
          </cell>
          <cell r="O514">
            <v>2762.1</v>
          </cell>
          <cell r="P514">
            <v>2762.1</v>
          </cell>
          <cell r="Q514">
            <v>2772.2</v>
          </cell>
          <cell r="R514">
            <v>2909</v>
          </cell>
          <cell r="S514">
            <v>2909</v>
          </cell>
          <cell r="T514">
            <v>2924.5</v>
          </cell>
          <cell r="U514">
            <v>2934.2</v>
          </cell>
          <cell r="V514">
            <v>2934.2</v>
          </cell>
          <cell r="W514">
            <v>2946</v>
          </cell>
          <cell r="X514">
            <v>2938.7930000000001</v>
          </cell>
          <cell r="Y514">
            <v>2938.7930000000001</v>
          </cell>
          <cell r="Z514">
            <v>2860.1016509999999</v>
          </cell>
          <cell r="AA514">
            <v>2848.47714</v>
          </cell>
          <cell r="AB514">
            <v>2848.47714</v>
          </cell>
          <cell r="AC514">
            <v>2792.7530400000001</v>
          </cell>
          <cell r="AD514">
            <v>2835.994267</v>
          </cell>
          <cell r="AE514">
            <v>2835.994267</v>
          </cell>
          <cell r="AF514">
            <v>2837.7699210000001</v>
          </cell>
          <cell r="AG514">
            <v>2844.563028</v>
          </cell>
          <cell r="AH514">
            <v>2844.563028</v>
          </cell>
          <cell r="AI514">
            <v>2850.7133749999998</v>
          </cell>
          <cell r="AJ514">
            <v>2801.5855039999997</v>
          </cell>
          <cell r="AK514">
            <v>2801.5855039999997</v>
          </cell>
          <cell r="AL514">
            <v>2764.647696</v>
          </cell>
          <cell r="AM514">
            <v>3185.743328</v>
          </cell>
          <cell r="AN514">
            <v>3185.743328</v>
          </cell>
          <cell r="AO514">
            <v>3016.8098129999998</v>
          </cell>
          <cell r="AP514">
            <v>3007.2071900000001</v>
          </cell>
          <cell r="AQ514">
            <v>3007.2071900000001</v>
          </cell>
          <cell r="AR514">
            <v>3007.5106780000001</v>
          </cell>
          <cell r="AS514">
            <v>2979.41626</v>
          </cell>
          <cell r="AT514">
            <v>2979.41626</v>
          </cell>
          <cell r="AU514">
            <v>2971.3656219999998</v>
          </cell>
          <cell r="AV514">
            <v>2983.52018</v>
          </cell>
          <cell r="AW514">
            <v>2983.52018</v>
          </cell>
          <cell r="AX514">
            <v>3005.3885233462579</v>
          </cell>
          <cell r="AY514">
            <v>3027.2127532129562</v>
          </cell>
          <cell r="AZ514">
            <v>3027.2127532129562</v>
          </cell>
          <cell r="BA514">
            <v>3027.2127532129562</v>
          </cell>
          <cell r="BB514">
            <v>3001.48033040672</v>
          </cell>
          <cell r="BC514">
            <v>3001.48033040672</v>
          </cell>
          <cell r="BD514">
            <v>2976.8759904448043</v>
          </cell>
          <cell r="BE514">
            <v>2953.3502793401817</v>
          </cell>
          <cell r="BF514">
            <v>2953.3502793401817</v>
          </cell>
          <cell r="BG514">
            <v>2930.8559111175491</v>
          </cell>
          <cell r="BH514">
            <v>2909.3476727699331</v>
          </cell>
          <cell r="BI514">
            <v>2909.3476727699331</v>
          </cell>
          <cell r="BJ514">
            <v>2909.3476727699331</v>
          </cell>
          <cell r="BK514">
            <v>2909.3476727699331</v>
          </cell>
          <cell r="BL514">
            <v>2909.3476727699331</v>
          </cell>
          <cell r="BM514">
            <v>2909.3476727699331</v>
          </cell>
          <cell r="BN514">
            <v>2909.3476727699331</v>
          </cell>
          <cell r="BO514">
            <v>2909.3476727699331</v>
          </cell>
          <cell r="BP514">
            <v>2909.3476727699331</v>
          </cell>
          <cell r="BQ514">
            <v>2909.3476727699331</v>
          </cell>
          <cell r="BR514">
            <v>2909.3476727699331</v>
          </cell>
          <cell r="BS514">
            <v>2909.3476727699331</v>
          </cell>
          <cell r="BT514">
            <v>2909.3476727699331</v>
          </cell>
          <cell r="BU514">
            <v>2909.3476727699331</v>
          </cell>
          <cell r="BV514">
            <v>2909.3476727699331</v>
          </cell>
          <cell r="BW514">
            <v>2909.3476727699331</v>
          </cell>
          <cell r="BX514">
            <v>2909.3476727699331</v>
          </cell>
        </row>
        <row r="515">
          <cell r="B515" t="str">
            <v>Total Capital (EFPOWA)</v>
          </cell>
          <cell r="C515" t="str">
            <v>TOTAL_CAPITAL_EFPOWA</v>
          </cell>
          <cell r="F515">
            <v>1952.6532982019705</v>
          </cell>
          <cell r="G515">
            <v>1966.462584896874</v>
          </cell>
          <cell r="H515">
            <v>2133.4843955060346</v>
          </cell>
          <cell r="I515">
            <v>2365.621528778755</v>
          </cell>
          <cell r="J515">
            <v>2718.5143223470545</v>
          </cell>
          <cell r="K515">
            <v>2832.0125472993268</v>
          </cell>
          <cell r="L515">
            <v>2926.4600044754188</v>
          </cell>
          <cell r="M515">
            <v>2927.8711724588393</v>
          </cell>
          <cell r="N515">
            <v>2942.0836500061487</v>
          </cell>
          <cell r="O515">
            <v>2968.6942462649404</v>
          </cell>
          <cell r="P515">
            <v>2957.8080932499806</v>
          </cell>
          <cell r="Q515">
            <v>2950.1474670542675</v>
          </cell>
          <cell r="R515">
            <v>3101.948822985104</v>
          </cell>
          <cell r="S515">
            <v>3056.3882566632328</v>
          </cell>
          <cell r="T515">
            <v>3255.2621446124631</v>
          </cell>
          <cell r="U515">
            <v>3218.0677884780148</v>
          </cell>
          <cell r="V515">
            <v>3212.4231165443321</v>
          </cell>
          <cell r="W515">
            <v>3206.1736583320398</v>
          </cell>
          <cell r="X515">
            <v>3209.0967920119829</v>
          </cell>
          <cell r="Y515">
            <v>3217.1606090601013</v>
          </cell>
          <cell r="Z515">
            <v>3229.861120910889</v>
          </cell>
          <cell r="AA515">
            <v>3157.2867674778195</v>
          </cell>
          <cell r="AB515">
            <v>3188.9372493916858</v>
          </cell>
          <cell r="AC515">
            <v>3150.7349161262232</v>
          </cell>
          <cell r="AD515">
            <v>3100.0336664361757</v>
          </cell>
          <cell r="AE515">
            <v>3114.4477394096884</v>
          </cell>
          <cell r="AF515">
            <v>3264.4347365046979</v>
          </cell>
          <cell r="AG515">
            <v>3226.2324032392353</v>
          </cell>
          <cell r="AH515">
            <v>3226.635594091641</v>
          </cell>
          <cell r="AI515">
            <v>3109.0046629022081</v>
          </cell>
          <cell r="AJ515">
            <v>3130.2729803666216</v>
          </cell>
          <cell r="AK515">
            <v>3123.519533588822</v>
          </cell>
          <cell r="AL515">
            <v>3128.5594192438962</v>
          </cell>
          <cell r="AM515">
            <v>3145.5</v>
          </cell>
          <cell r="AN515">
            <v>3138.1</v>
          </cell>
          <cell r="AO515">
            <v>3278.3</v>
          </cell>
          <cell r="AP515">
            <v>3281.6</v>
          </cell>
          <cell r="AQ515">
            <v>3270.5</v>
          </cell>
          <cell r="AR515">
            <v>3249.4</v>
          </cell>
          <cell r="AS515">
            <v>3230.2</v>
          </cell>
          <cell r="AT515">
            <v>3234</v>
          </cell>
          <cell r="AU515">
            <v>3217.7</v>
          </cell>
          <cell r="AV515">
            <v>2981.7</v>
          </cell>
          <cell r="AW515">
            <v>3179.9</v>
          </cell>
          <cell r="AX515">
            <v>2998.6877804438923</v>
          </cell>
          <cell r="AY515">
            <v>3020.5036694892283</v>
          </cell>
          <cell r="AZ515">
            <v>3009.5658401870464</v>
          </cell>
          <cell r="BA515">
            <v>3031.4006009872023</v>
          </cell>
          <cell r="BB515">
            <v>3018.5522920063509</v>
          </cell>
          <cell r="BC515">
            <v>3024.9940469200383</v>
          </cell>
          <cell r="BD515">
            <v>2993.4189306431022</v>
          </cell>
          <cell r="BE515">
            <v>2969.3873898891088</v>
          </cell>
          <cell r="BF515">
            <v>2981.4031602661053</v>
          </cell>
          <cell r="BG515">
            <v>2946.4093670666107</v>
          </cell>
          <cell r="BH515">
            <v>2924.4386770373608</v>
          </cell>
          <cell r="BI515">
            <v>2935.4541188876428</v>
          </cell>
          <cell r="BJ515">
            <v>2913.6995214590142</v>
          </cell>
          <cell r="BK515">
            <v>2913.6995214590142</v>
          </cell>
          <cell r="BL515">
            <v>2913.6995214590147</v>
          </cell>
          <cell r="BM515">
            <v>2913.6995214590142</v>
          </cell>
          <cell r="BN515">
            <v>2913.6995214590142</v>
          </cell>
          <cell r="BO515">
            <v>2913.6995214590147</v>
          </cell>
          <cell r="BP515">
            <v>2913.6995214590142</v>
          </cell>
          <cell r="BQ515">
            <v>2913.6995214590142</v>
          </cell>
          <cell r="BR515">
            <v>2913.6995214590142</v>
          </cell>
          <cell r="BS515">
            <v>2913.6995214590142</v>
          </cell>
          <cell r="BT515">
            <v>2913.6995214590142</v>
          </cell>
          <cell r="BU515">
            <v>2913.6995214590147</v>
          </cell>
          <cell r="BV515">
            <v>2913.6995214590142</v>
          </cell>
          <cell r="BW515">
            <v>2913.6995214590142</v>
          </cell>
          <cell r="BX515">
            <v>2913.6995214590147</v>
          </cell>
        </row>
        <row r="516">
          <cell r="B516" t="str">
            <v>Risk Weighted Assets</v>
          </cell>
          <cell r="C516" t="str">
            <v>RISK_WEIGHTED_ASSET_APRA</v>
          </cell>
          <cell r="D516" t="str">
            <v>AUD</v>
          </cell>
          <cell r="F516">
            <v>238543</v>
          </cell>
          <cell r="G516">
            <v>273071</v>
          </cell>
          <cell r="H516">
            <v>250750</v>
          </cell>
          <cell r="I516">
            <v>229811</v>
          </cell>
          <cell r="J516">
            <v>233517</v>
          </cell>
          <cell r="K516">
            <v>248828</v>
          </cell>
          <cell r="L516">
            <v>254875</v>
          </cell>
          <cell r="M516">
            <v>287651</v>
          </cell>
          <cell r="N516">
            <v>360740</v>
          </cell>
          <cell r="O516">
            <v>361529</v>
          </cell>
          <cell r="P516">
            <v>308885</v>
          </cell>
          <cell r="Q516">
            <v>386863</v>
          </cell>
          <cell r="R516">
            <v>401937</v>
          </cell>
          <cell r="S516">
            <v>349751</v>
          </cell>
          <cell r="T516">
            <v>388335</v>
          </cell>
          <cell r="U516">
            <v>408582</v>
          </cell>
          <cell r="V516">
            <v>352033</v>
          </cell>
          <cell r="W516">
            <v>397040</v>
          </cell>
          <cell r="X516">
            <v>391113</v>
          </cell>
          <cell r="Y516">
            <v>336834</v>
          </cell>
          <cell r="Z516">
            <v>395777</v>
          </cell>
          <cell r="AA516">
            <v>390820</v>
          </cell>
          <cell r="AB516">
            <v>337580</v>
          </cell>
          <cell r="AC516">
            <v>396291</v>
          </cell>
          <cell r="AD516">
            <v>416961</v>
          </cell>
          <cell r="AE516">
            <v>416961</v>
          </cell>
          <cell r="AF516">
            <v>449012</v>
          </cell>
          <cell r="AG516">
            <v>429384</v>
          </cell>
          <cell r="AH516">
            <v>429384</v>
          </cell>
          <cell r="AI516">
            <v>408166</v>
          </cell>
          <cell r="AJ516">
            <v>416086</v>
          </cell>
          <cell r="AK516">
            <v>416086</v>
          </cell>
          <cell r="AL516">
            <v>437910</v>
          </cell>
          <cell r="AM516">
            <v>454718</v>
          </cell>
          <cell r="AN516">
            <v>454718</v>
          </cell>
          <cell r="AO516">
            <v>435514</v>
          </cell>
          <cell r="AP516">
            <v>433327</v>
          </cell>
          <cell r="AQ516">
            <v>433327</v>
          </cell>
          <cell r="AR516">
            <v>432779</v>
          </cell>
          <cell r="AS516">
            <v>446582</v>
          </cell>
          <cell r="AT516">
            <v>446582</v>
          </cell>
          <cell r="AU516">
            <v>468999</v>
          </cell>
          <cell r="AV516">
            <v>458547</v>
          </cell>
          <cell r="AW516">
            <v>458547</v>
          </cell>
          <cell r="AX516">
            <v>473129.50478345604</v>
          </cell>
          <cell r="AY516">
            <v>478007.63995536591</v>
          </cell>
          <cell r="AZ516">
            <v>478007.63995536591</v>
          </cell>
          <cell r="BA516">
            <v>482215.02125422459</v>
          </cell>
          <cell r="BB516">
            <v>486922.74331264244</v>
          </cell>
          <cell r="BC516">
            <v>486922.74331264244</v>
          </cell>
          <cell r="BD516">
            <v>491388.65880646522</v>
          </cell>
          <cell r="BE516">
            <v>496485.92262642452</v>
          </cell>
          <cell r="BF516">
            <v>496485.92262642452</v>
          </cell>
          <cell r="BG516">
            <v>501035.29291878769</v>
          </cell>
          <cell r="BH516">
            <v>505571.42681579606</v>
          </cell>
          <cell r="BI516">
            <v>505571.42681579606</v>
          </cell>
          <cell r="BJ516">
            <v>512904.7265294643</v>
          </cell>
          <cell r="BK516">
            <v>520151.19669440103</v>
          </cell>
          <cell r="BL516">
            <v>520151.19669440103</v>
          </cell>
          <cell r="BM516">
            <v>528332.33376078214</v>
          </cell>
          <cell r="BN516">
            <v>535900.98456023878</v>
          </cell>
          <cell r="BO516">
            <v>535900.98456023878</v>
          </cell>
          <cell r="BP516">
            <v>543628.06962431106</v>
          </cell>
          <cell r="BQ516">
            <v>551516.70923736098</v>
          </cell>
          <cell r="BR516">
            <v>551516.70923736098</v>
          </cell>
          <cell r="BS516">
            <v>560420.98572995327</v>
          </cell>
          <cell r="BT516">
            <v>569506.00994415919</v>
          </cell>
          <cell r="BU516">
            <v>569506.00994415919</v>
          </cell>
          <cell r="BV516">
            <v>579483.59097707213</v>
          </cell>
          <cell r="BW516">
            <v>589691.66183655546</v>
          </cell>
          <cell r="BX516">
            <v>589691.66183655546</v>
          </cell>
        </row>
        <row r="517">
          <cell r="A517" t="str">
            <v>Additional Income Statement Items</v>
          </cell>
          <cell r="B517"/>
          <cell r="C517"/>
          <cell r="D517"/>
        </row>
        <row r="518">
          <cell r="B518" t="str">
            <v>Dilution impact to earnings</v>
          </cell>
          <cell r="C518" t="str">
            <v>DILUTE_NI_IMPAC</v>
          </cell>
          <cell r="D518" t="str">
            <v>AUD</v>
          </cell>
          <cell r="F518">
            <v>98</v>
          </cell>
          <cell r="G518">
            <v>115</v>
          </cell>
          <cell r="H518">
            <v>160</v>
          </cell>
          <cell r="I518">
            <v>131</v>
          </cell>
          <cell r="J518">
            <v>194</v>
          </cell>
          <cell r="K518">
            <v>242</v>
          </cell>
          <cell r="L518">
            <v>286</v>
          </cell>
          <cell r="M518">
            <v>224</v>
          </cell>
          <cell r="N518">
            <v>116</v>
          </cell>
          <cell r="O518">
            <v>127</v>
          </cell>
          <cell r="P518">
            <v>243</v>
          </cell>
          <cell r="Q518">
            <v>127</v>
          </cell>
          <cell r="R518">
            <v>147</v>
          </cell>
          <cell r="S518">
            <v>274</v>
          </cell>
          <cell r="T518">
            <v>147</v>
          </cell>
          <cell r="U518">
            <v>150</v>
          </cell>
          <cell r="V518">
            <v>297</v>
          </cell>
          <cell r="W518">
            <v>148</v>
          </cell>
          <cell r="X518">
            <v>140</v>
          </cell>
          <cell r="Y518">
            <v>288</v>
          </cell>
          <cell r="Z518">
            <v>141</v>
          </cell>
          <cell r="AA518">
            <v>138</v>
          </cell>
          <cell r="AB518">
            <v>279</v>
          </cell>
          <cell r="AC518">
            <v>137</v>
          </cell>
          <cell r="AD518">
            <v>131</v>
          </cell>
          <cell r="AE518">
            <v>268</v>
          </cell>
          <cell r="AF518">
            <v>124</v>
          </cell>
          <cell r="AG518">
            <v>90</v>
          </cell>
          <cell r="AH518">
            <v>214</v>
          </cell>
          <cell r="AI518">
            <v>92</v>
          </cell>
          <cell r="AJ518">
            <v>95</v>
          </cell>
          <cell r="AK518">
            <v>187</v>
          </cell>
          <cell r="AL518">
            <v>92</v>
          </cell>
          <cell r="AM518">
            <v>107</v>
          </cell>
          <cell r="AN518">
            <v>199</v>
          </cell>
          <cell r="AO518">
            <v>150</v>
          </cell>
          <cell r="AP518">
            <v>182</v>
          </cell>
          <cell r="AQ518">
            <v>332</v>
          </cell>
          <cell r="AR518">
            <v>217</v>
          </cell>
          <cell r="AS518">
            <v>203</v>
          </cell>
          <cell r="AT518">
            <v>420</v>
          </cell>
          <cell r="AU518">
            <v>198</v>
          </cell>
          <cell r="AV518">
            <v>0</v>
          </cell>
          <cell r="AW518">
            <v>198</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cell r="BL518">
            <v>0</v>
          </cell>
          <cell r="BM518">
            <v>0</v>
          </cell>
          <cell r="BN518">
            <v>0</v>
          </cell>
          <cell r="BO518">
            <v>0</v>
          </cell>
          <cell r="BP518">
            <v>0</v>
          </cell>
          <cell r="BQ518">
            <v>0</v>
          </cell>
          <cell r="BR518">
            <v>0</v>
          </cell>
          <cell r="BS518">
            <v>0</v>
          </cell>
          <cell r="BT518">
            <v>0</v>
          </cell>
          <cell r="BU518">
            <v>0</v>
          </cell>
          <cell r="BV518">
            <v>0</v>
          </cell>
          <cell r="BW518">
            <v>0</v>
          </cell>
          <cell r="BX518">
            <v>0</v>
          </cell>
        </row>
        <row r="519">
          <cell r="B519" t="str">
            <v>GS EPS</v>
          </cell>
          <cell r="C519" t="str">
            <v>B_PL_GSEPS</v>
          </cell>
          <cell r="D519" t="str">
            <v>AUD</v>
          </cell>
          <cell r="F519">
            <v>1.8733484348544287</v>
          </cell>
          <cell r="G519">
            <v>2.0351264401045666</v>
          </cell>
          <cell r="H519">
            <v>1.5894187026363034</v>
          </cell>
          <cell r="I519">
            <v>1.471494893689548</v>
          </cell>
          <cell r="J519">
            <v>1.9554798576195773</v>
          </cell>
          <cell r="K519">
            <v>2.0116436296981779</v>
          </cell>
          <cell r="L519">
            <v>2.1613143491888538</v>
          </cell>
          <cell r="M519">
            <v>2.2917675009467415</v>
          </cell>
          <cell r="N519">
            <v>1.2331396491708921</v>
          </cell>
          <cell r="O519">
            <v>1.2550972551948936</v>
          </cell>
          <cell r="P519">
            <v>2.486300587513631</v>
          </cell>
          <cell r="Q519">
            <v>1.2887491362580292</v>
          </cell>
          <cell r="R519">
            <v>1.1886076174692923</v>
          </cell>
          <cell r="S519">
            <v>2.45027770397731</v>
          </cell>
          <cell r="T519">
            <v>0.89977392599473605</v>
          </cell>
          <cell r="U519">
            <v>1.0120980085197018</v>
          </cell>
          <cell r="V519">
            <v>1.9256491986193911</v>
          </cell>
          <cell r="W519">
            <v>1.0925796208501006</v>
          </cell>
          <cell r="X519">
            <v>1.1199412896943808</v>
          </cell>
          <cell r="Y519">
            <v>2.2059824989817343</v>
          </cell>
          <cell r="Z519">
            <v>1.1251257759885154</v>
          </cell>
          <cell r="AA519">
            <v>0.99199098170673305</v>
          </cell>
          <cell r="AB519">
            <v>2.1217099838796347</v>
          </cell>
          <cell r="AC519">
            <v>1.1746465819950092</v>
          </cell>
          <cell r="AD519">
            <v>0.97966678003576657</v>
          </cell>
          <cell r="AE519">
            <v>2.1634654242993072</v>
          </cell>
          <cell r="AF519">
            <v>0.47083189711603785</v>
          </cell>
          <cell r="AG519">
            <v>0.75475033898834631</v>
          </cell>
          <cell r="AH519">
            <v>1.2310035900159322</v>
          </cell>
          <cell r="AI519">
            <v>0.99131404876150953</v>
          </cell>
          <cell r="AJ519">
            <v>1.0551795388826275</v>
          </cell>
          <cell r="AK519">
            <v>2.0441684232606168</v>
          </cell>
          <cell r="AL519">
            <v>1.0244331561311941</v>
          </cell>
          <cell r="AM519">
            <v>1.1155619138451756</v>
          </cell>
          <cell r="AN519">
            <v>2.1395111691788027</v>
          </cell>
          <cell r="AO519">
            <v>1.2137388280511241</v>
          </cell>
          <cell r="AP519">
            <v>1.1476109215017065</v>
          </cell>
          <cell r="AQ519">
            <v>2.3681394282219843</v>
          </cell>
          <cell r="AR519">
            <v>1.1599064442666338</v>
          </cell>
          <cell r="AS519">
            <v>1.0451365240542383</v>
          </cell>
          <cell r="AT519">
            <v>2.2093382807668522</v>
          </cell>
          <cell r="AU519">
            <v>1.1704012182614911</v>
          </cell>
          <cell r="AV519">
            <v>0.74420632525069597</v>
          </cell>
          <cell r="AW519">
            <v>1.8821346583225886</v>
          </cell>
          <cell r="AX519">
            <v>1.1804564880347455</v>
          </cell>
          <cell r="AY519">
            <v>1.2370233492586529</v>
          </cell>
          <cell r="AZ519">
            <v>2.4177088650244967</v>
          </cell>
          <cell r="BA519">
            <v>1.1809702866764515</v>
          </cell>
          <cell r="BB519">
            <v>1.1788308274569026</v>
          </cell>
          <cell r="BC519">
            <v>2.3597919275758144</v>
          </cell>
          <cell r="BD519">
            <v>1.2390171398392946</v>
          </cell>
          <cell r="BE519">
            <v>1.2484522145682972</v>
          </cell>
          <cell r="BF519">
            <v>2.4874313287916858</v>
          </cell>
          <cell r="BG519">
            <v>1.2795278333145705</v>
          </cell>
          <cell r="BH519">
            <v>1.3111109290173402</v>
          </cell>
          <cell r="BI519">
            <v>2.5904940074780467</v>
          </cell>
          <cell r="BJ519">
            <v>1.3237806647245656</v>
          </cell>
          <cell r="BK519">
            <v>1.348054827185645</v>
          </cell>
          <cell r="BL519">
            <v>2.6718354919102101</v>
          </cell>
          <cell r="BM519">
            <v>1.4248109709482479</v>
          </cell>
          <cell r="BN519">
            <v>1.4430239276379704</v>
          </cell>
          <cell r="BO519">
            <v>2.8678348985862185</v>
          </cell>
          <cell r="BP519">
            <v>1.4571905153023401</v>
          </cell>
          <cell r="BQ519">
            <v>1.4528047412771508</v>
          </cell>
          <cell r="BR519">
            <v>2.9099952565794895</v>
          </cell>
          <cell r="BS519">
            <v>1.4612826774010572</v>
          </cell>
          <cell r="BT519">
            <v>1.4708347579843728</v>
          </cell>
          <cell r="BU519">
            <v>2.9321174353854307</v>
          </cell>
          <cell r="BV519">
            <v>1.4836872185689089</v>
          </cell>
          <cell r="BW519">
            <v>1.5075527474894941</v>
          </cell>
          <cell r="BX519">
            <v>2.9912399660584033</v>
          </cell>
        </row>
        <row r="520">
          <cell r="B520" t="str">
            <v>GS net income</v>
          </cell>
          <cell r="C520" t="str">
            <v>B_PL_GSINCOME</v>
          </cell>
          <cell r="D520" t="str">
            <v>AUD</v>
          </cell>
          <cell r="F520">
            <v>3559.9999999999995</v>
          </cell>
          <cell r="G520">
            <v>3886.9999999999995</v>
          </cell>
          <cell r="H520">
            <v>3230.9999999999995</v>
          </cell>
          <cell r="I520">
            <v>3350</v>
          </cell>
          <cell r="J520">
            <v>5122</v>
          </cell>
          <cell r="K520">
            <v>5455</v>
          </cell>
          <cell r="L520">
            <v>6039</v>
          </cell>
          <cell r="M520">
            <v>6486</v>
          </cell>
          <cell r="N520">
            <v>3512</v>
          </cell>
          <cell r="O520">
            <v>3599</v>
          </cell>
          <cell r="P520">
            <v>7111</v>
          </cell>
          <cell r="Q520">
            <v>3675</v>
          </cell>
          <cell r="R520">
            <v>3540</v>
          </cell>
          <cell r="S520">
            <v>7215</v>
          </cell>
          <cell r="T520">
            <v>2782</v>
          </cell>
          <cell r="U520">
            <v>3107</v>
          </cell>
          <cell r="V520">
            <v>5889</v>
          </cell>
          <cell r="W520">
            <v>3355</v>
          </cell>
          <cell r="X520">
            <v>3454</v>
          </cell>
          <cell r="Y520">
            <v>6809</v>
          </cell>
          <cell r="Z520">
            <v>3493</v>
          </cell>
          <cell r="AA520">
            <v>2994</v>
          </cell>
          <cell r="AB520">
            <v>6487</v>
          </cell>
          <cell r="AC520">
            <v>3564</v>
          </cell>
          <cell r="AD520">
            <v>2906</v>
          </cell>
          <cell r="AE520">
            <v>6470</v>
          </cell>
          <cell r="AF520">
            <v>1413</v>
          </cell>
          <cell r="AG520">
            <v>2345</v>
          </cell>
          <cell r="AH520">
            <v>3758</v>
          </cell>
          <cell r="AI520">
            <v>2990</v>
          </cell>
          <cell r="AJ520">
            <v>3208</v>
          </cell>
          <cell r="AK520">
            <v>6198</v>
          </cell>
          <cell r="AL520">
            <v>3113</v>
          </cell>
          <cell r="AM520">
            <v>3402</v>
          </cell>
          <cell r="AN520">
            <v>6515</v>
          </cell>
          <cell r="AO520">
            <v>3829</v>
          </cell>
          <cell r="AP520">
            <v>3584</v>
          </cell>
          <cell r="AQ520">
            <v>7413</v>
          </cell>
          <cell r="AR520">
            <v>3552</v>
          </cell>
          <cell r="AS520">
            <v>3173</v>
          </cell>
          <cell r="AT520">
            <v>6725</v>
          </cell>
          <cell r="AU520">
            <v>3568</v>
          </cell>
          <cell r="AV520">
            <v>2219</v>
          </cell>
          <cell r="AW520">
            <v>5787</v>
          </cell>
          <cell r="AX520">
            <v>3539.820446015503</v>
          </cell>
          <cell r="AY520">
            <v>3736.4335656796165</v>
          </cell>
          <cell r="AZ520">
            <v>7276.2540116951195</v>
          </cell>
          <cell r="BA520">
            <v>3579.9940367790236</v>
          </cell>
          <cell r="BB520">
            <v>3558.3624961077767</v>
          </cell>
          <cell r="BC520">
            <v>7138.3565328867999</v>
          </cell>
          <cell r="BD520">
            <v>3708.8973617862166</v>
          </cell>
          <cell r="BE520">
            <v>3707.1382628182337</v>
          </cell>
          <cell r="BF520">
            <v>7416.0356246044494</v>
          </cell>
          <cell r="BG520">
            <v>3770.0127935004957</v>
          </cell>
          <cell r="BH520">
            <v>3834.2635107046954</v>
          </cell>
          <cell r="BI520">
            <v>7604.2763042051884</v>
          </cell>
          <cell r="BJ520">
            <v>3857.0990893246626</v>
          </cell>
          <cell r="BK520">
            <v>3927.8267048713278</v>
          </cell>
          <cell r="BL520">
            <v>7784.9257941959904</v>
          </cell>
          <cell r="BM520">
            <v>4151.4710442214637</v>
          </cell>
          <cell r="BN520">
            <v>4204.5381274126612</v>
          </cell>
          <cell r="BO520">
            <v>8356.0091716341267</v>
          </cell>
          <cell r="BP520">
            <v>4245.8153071110428</v>
          </cell>
          <cell r="BQ520">
            <v>4233.0364794326215</v>
          </cell>
          <cell r="BR520">
            <v>8478.8517865436606</v>
          </cell>
          <cell r="BS520">
            <v>4257.7386378598076</v>
          </cell>
          <cell r="BT520">
            <v>4285.5705304843523</v>
          </cell>
          <cell r="BU520">
            <v>8543.3091683441635</v>
          </cell>
          <cell r="BV520">
            <v>4323.0187387390861</v>
          </cell>
          <cell r="BW520">
            <v>4392.5557189343608</v>
          </cell>
          <cell r="BX520">
            <v>8715.5744576734487</v>
          </cell>
        </row>
        <row r="521">
          <cell r="B521" t="str">
            <v>Marginal tax rate</v>
          </cell>
          <cell r="C521" t="str">
            <v>MARGIN_TAX_RATE</v>
          </cell>
          <cell r="F521">
            <v>0.29123093084147317</v>
          </cell>
          <cell r="G521">
            <v>0.28956370132650999</v>
          </cell>
          <cell r="H521">
            <v>0.26032982521664516</v>
          </cell>
          <cell r="I521">
            <v>0.28253261481945346</v>
          </cell>
          <cell r="J521">
            <v>0.27904040404040403</v>
          </cell>
          <cell r="K521">
            <v>0.28356451190787751</v>
          </cell>
          <cell r="L521">
            <v>0.274209012464046</v>
          </cell>
          <cell r="M521">
            <v>0.27246279512140537</v>
          </cell>
          <cell r="N521">
            <v>0.27461887103419858</v>
          </cell>
          <cell r="O521">
            <v>0.27477386934673365</v>
          </cell>
          <cell r="P521">
            <v>0.27469732424458237</v>
          </cell>
          <cell r="Q521">
            <v>0.27508854781582054</v>
          </cell>
          <cell r="R521">
            <v>0.27216748768472904</v>
          </cell>
          <cell r="S521">
            <v>0.27365883062085594</v>
          </cell>
          <cell r="T521">
            <v>0.28910436335799949</v>
          </cell>
          <cell r="U521">
            <v>0.27242990654205607</v>
          </cell>
          <cell r="V521">
            <v>0.28040004878643737</v>
          </cell>
          <cell r="W521">
            <v>0.29482071713147412</v>
          </cell>
          <cell r="X521">
            <v>0.2909239909854538</v>
          </cell>
          <cell r="Y521">
            <v>0.29284974093264249</v>
          </cell>
          <cell r="Z521">
            <v>0.29845660452996592</v>
          </cell>
          <cell r="AA521">
            <v>0.29983679179295875</v>
          </cell>
          <cell r="AB521">
            <v>0.29909463246389306</v>
          </cell>
          <cell r="AC521">
            <v>0.28368083400160388</v>
          </cell>
          <cell r="AD521">
            <v>0.30251497005988026</v>
          </cell>
          <cell r="AE521">
            <v>0.29226235948925022</v>
          </cell>
          <cell r="AF521">
            <v>0.38521739130434784</v>
          </cell>
          <cell r="AG521">
            <v>0.29600720504353045</v>
          </cell>
          <cell r="AH521">
            <v>0.33244539158231218</v>
          </cell>
          <cell r="AI521">
            <v>0.32536101083032493</v>
          </cell>
          <cell r="AJ521">
            <v>0.29176782167291987</v>
          </cell>
          <cell r="AK521">
            <v>0.30837889099631821</v>
          </cell>
          <cell r="AL521">
            <v>0.29903174960594459</v>
          </cell>
          <cell r="AM521">
            <v>0.28493380962387055</v>
          </cell>
          <cell r="AN521">
            <v>0.29173913043478261</v>
          </cell>
          <cell r="AO521">
            <v>0.28964879852125691</v>
          </cell>
          <cell r="AP521">
            <v>0.29602817452553315</v>
          </cell>
          <cell r="AQ521">
            <v>0.29274783765801732</v>
          </cell>
          <cell r="AR521">
            <v>0.2955353615171869</v>
          </cell>
          <cell r="AS521">
            <v>0.3056521739130435</v>
          </cell>
          <cell r="AT521">
            <v>0.30035189401780171</v>
          </cell>
          <cell r="AU521">
            <v>0.29737666405638213</v>
          </cell>
          <cell r="AV521">
            <v>0.35475504322766571</v>
          </cell>
          <cell r="AW521">
            <v>0.32058754954534857</v>
          </cell>
          <cell r="AX521">
            <v>0.29737666405638213</v>
          </cell>
          <cell r="AY521">
            <v>0.29737666405638213</v>
          </cell>
          <cell r="AZ521">
            <v>0.29737666405638213</v>
          </cell>
          <cell r="BA521">
            <v>0.29737666405638213</v>
          </cell>
          <cell r="BB521">
            <v>0.29737666405638213</v>
          </cell>
          <cell r="BC521">
            <v>0.29737666405638213</v>
          </cell>
          <cell r="BD521">
            <v>0.29737666405638213</v>
          </cell>
          <cell r="BE521">
            <v>0.29737666405638213</v>
          </cell>
          <cell r="BF521">
            <v>0.29737666405638219</v>
          </cell>
          <cell r="BG521">
            <v>0.29737666405638213</v>
          </cell>
          <cell r="BH521">
            <v>0.29737666405638213</v>
          </cell>
          <cell r="BI521">
            <v>0.29737666405638219</v>
          </cell>
          <cell r="BJ521">
            <v>0.29737666405638213</v>
          </cell>
          <cell r="BK521">
            <v>0.29737666405638213</v>
          </cell>
          <cell r="BL521">
            <v>0.29737666405638213</v>
          </cell>
          <cell r="BM521">
            <v>0.29737666405638213</v>
          </cell>
          <cell r="BN521">
            <v>0.29737666405638213</v>
          </cell>
          <cell r="BO521">
            <v>0.29737666405638208</v>
          </cell>
          <cell r="BP521">
            <v>0.29737666405638213</v>
          </cell>
          <cell r="BQ521">
            <v>0.29737666405638213</v>
          </cell>
          <cell r="BR521">
            <v>0.29737666405638224</v>
          </cell>
          <cell r="BS521">
            <v>0.29737666405638213</v>
          </cell>
          <cell r="BT521">
            <v>0.29737666405638213</v>
          </cell>
          <cell r="BU521">
            <v>0.29737666405638202</v>
          </cell>
          <cell r="BV521">
            <v>0.29737666405638213</v>
          </cell>
          <cell r="BW521">
            <v>0.29737666405638213</v>
          </cell>
          <cell r="BX521">
            <v>0.29737666405638208</v>
          </cell>
        </row>
        <row r="522">
          <cell r="B522" t="str">
            <v>Net income (consensus) (Pub)</v>
          </cell>
          <cell r="C522" t="str">
            <v>NI_CONS</v>
          </cell>
          <cell r="D522" t="str">
            <v>AUD</v>
          </cell>
          <cell r="F522"/>
          <cell r="G522"/>
          <cell r="H522"/>
          <cell r="I522"/>
          <cell r="J522"/>
          <cell r="K522"/>
          <cell r="L522"/>
          <cell r="M522"/>
          <cell r="N522"/>
          <cell r="O522"/>
          <cell r="P522"/>
          <cell r="Q522"/>
          <cell r="R522"/>
          <cell r="S522"/>
          <cell r="T522"/>
          <cell r="U522"/>
          <cell r="V522"/>
          <cell r="W522"/>
          <cell r="X522"/>
          <cell r="Y522"/>
          <cell r="Z522"/>
          <cell r="AA522"/>
          <cell r="AB522"/>
          <cell r="AC522"/>
          <cell r="AD522"/>
          <cell r="AE522"/>
          <cell r="AF522"/>
          <cell r="AG522"/>
          <cell r="AH522"/>
          <cell r="AI522"/>
          <cell r="AJ522"/>
          <cell r="AK522"/>
          <cell r="AL522"/>
          <cell r="AM522"/>
          <cell r="AN522"/>
          <cell r="AO522"/>
          <cell r="AP522"/>
          <cell r="AQ522"/>
          <cell r="AR522"/>
          <cell r="AS522"/>
          <cell r="AT522"/>
          <cell r="AU522"/>
          <cell r="AV522"/>
          <cell r="AW522"/>
          <cell r="AX522"/>
          <cell r="AY522"/>
          <cell r="AZ522"/>
          <cell r="BA522"/>
          <cell r="BB522"/>
          <cell r="BC522"/>
          <cell r="BD522"/>
          <cell r="BE522"/>
          <cell r="BF522"/>
          <cell r="BG522"/>
          <cell r="BH522"/>
          <cell r="BI522"/>
          <cell r="BJ522"/>
          <cell r="BK522"/>
          <cell r="BL522"/>
          <cell r="BM522"/>
          <cell r="BN522"/>
          <cell r="BO522"/>
          <cell r="BP522"/>
          <cell r="BQ522"/>
          <cell r="BR522"/>
          <cell r="BS522"/>
          <cell r="BT522"/>
          <cell r="BU522"/>
          <cell r="BV522"/>
          <cell r="BW522"/>
          <cell r="BX522"/>
        </row>
        <row r="523">
          <cell r="A523" t="str">
            <v>Balance Sheet</v>
          </cell>
          <cell r="B523"/>
          <cell r="C523"/>
          <cell r="D523"/>
        </row>
        <row r="524">
          <cell r="B524" t="str">
            <v>BVPS, book value per share</v>
          </cell>
          <cell r="C524" t="str">
            <v>BVPS</v>
          </cell>
          <cell r="D524" t="str">
            <v>AUD</v>
          </cell>
          <cell r="F524">
            <v>10.263871330719809</v>
          </cell>
          <cell r="G524">
            <v>11.246691668364884</v>
          </cell>
          <cell r="H524">
            <v>12.454673021022197</v>
          </cell>
          <cell r="I524">
            <v>12.475050667997605</v>
          </cell>
          <cell r="J524">
            <v>12.875374817361411</v>
          </cell>
          <cell r="K524">
            <v>13.975620011411182</v>
          </cell>
          <cell r="L524">
            <v>14.712985132847574</v>
          </cell>
          <cell r="M524">
            <v>16.152087188832599</v>
          </cell>
          <cell r="N524">
            <v>16.666726649903431</v>
          </cell>
          <cell r="O524">
            <v>17.395874953203222</v>
          </cell>
          <cell r="P524">
            <v>17.395874953203222</v>
          </cell>
          <cell r="Q524">
            <v>18.6351483065799</v>
          </cell>
          <cell r="R524">
            <v>19.565903208047683</v>
          </cell>
          <cell r="S524">
            <v>19.565903208047683</v>
          </cell>
          <cell r="T524">
            <v>19.165390464080069</v>
          </cell>
          <cell r="U524">
            <v>19.593656139368061</v>
          </cell>
          <cell r="V524">
            <v>19.593656139368061</v>
          </cell>
          <cell r="W524">
            <v>19.527561079867844</v>
          </cell>
          <cell r="X524">
            <v>19.912879849285268</v>
          </cell>
          <cell r="Y524">
            <v>19.912879849285268</v>
          </cell>
          <cell r="Z524">
            <v>20.320459414201078</v>
          </cell>
          <cell r="AA524">
            <v>20.460609021675165</v>
          </cell>
          <cell r="AB524">
            <v>20.460609021675165</v>
          </cell>
          <cell r="AC524">
            <v>20.947369815656593</v>
          </cell>
          <cell r="AD524">
            <v>21.273648515063382</v>
          </cell>
          <cell r="AE524">
            <v>21.273648515063382</v>
          </cell>
          <cell r="AF524">
            <v>21.464935455649361</v>
          </cell>
          <cell r="AG524">
            <v>21.406355462693249</v>
          </cell>
          <cell r="AH524">
            <v>21.406355462693249</v>
          </cell>
          <cell r="AI524">
            <v>21.813368784812791</v>
          </cell>
          <cell r="AJ524">
            <v>22.369304529494631</v>
          </cell>
          <cell r="AK524">
            <v>22.369304529494631</v>
          </cell>
          <cell r="AL524">
            <v>21.924141129750158</v>
          </cell>
          <cell r="AM524">
            <v>22.043037043321579</v>
          </cell>
          <cell r="AN524">
            <v>22.043037043321579</v>
          </cell>
          <cell r="AO524">
            <v>22.992529721599617</v>
          </cell>
          <cell r="AP524">
            <v>23.124248245230589</v>
          </cell>
          <cell r="AQ524">
            <v>23.124248245230589</v>
          </cell>
          <cell r="AR524">
            <v>23.121447417850199</v>
          </cell>
          <cell r="AS524">
            <v>23.187763632598287</v>
          </cell>
          <cell r="AT524">
            <v>23.187763632598287</v>
          </cell>
          <cell r="AU524">
            <v>23.82843749546484</v>
          </cell>
          <cell r="AV524">
            <v>23.592600603760623</v>
          </cell>
          <cell r="AW524">
            <v>23.592600603760623</v>
          </cell>
          <cell r="AX524">
            <v>24.190550396804454</v>
          </cell>
          <cell r="AY524">
            <v>24.607056067786598</v>
          </cell>
          <cell r="AZ524">
            <v>24.607056067786598</v>
          </cell>
          <cell r="BA524">
            <v>24.81804505669108</v>
          </cell>
          <cell r="BB524">
            <v>24.90648454160408</v>
          </cell>
          <cell r="BC524">
            <v>24.906484541604073</v>
          </cell>
          <cell r="BD524">
            <v>25.023732457707528</v>
          </cell>
          <cell r="BE524">
            <v>25.109639413353552</v>
          </cell>
          <cell r="BF524">
            <v>25.109639413353541</v>
          </cell>
          <cell r="BG524">
            <v>25.198568329706841</v>
          </cell>
          <cell r="BH524">
            <v>25.293208681373123</v>
          </cell>
          <cell r="BI524">
            <v>25.293208681373113</v>
          </cell>
          <cell r="BJ524">
            <v>25.54739749661934</v>
          </cell>
          <cell r="BK524">
            <v>25.808896377513634</v>
          </cell>
          <cell r="BL524">
            <v>25.808896377513623</v>
          </cell>
          <cell r="BM524">
            <v>26.162389087819786</v>
          </cell>
          <cell r="BN524">
            <v>26.547571513682833</v>
          </cell>
          <cell r="BO524">
            <v>26.547571513682826</v>
          </cell>
          <cell r="BP524">
            <v>26.92694171781821</v>
          </cell>
          <cell r="BQ524">
            <v>27.281919587617601</v>
          </cell>
          <cell r="BR524">
            <v>27.281919587617598</v>
          </cell>
          <cell r="BS524">
            <v>27.625388074973085</v>
          </cell>
          <cell r="BT524">
            <v>27.958422931066494</v>
          </cell>
          <cell r="BU524">
            <v>27.95842293106649</v>
          </cell>
          <cell r="BV524">
            <v>28.28432947266014</v>
          </cell>
          <cell r="BW524">
            <v>28.614137241613481</v>
          </cell>
          <cell r="BX524">
            <v>28.61413724161347</v>
          </cell>
        </row>
        <row r="525">
          <cell r="B525" t="str">
            <v>GS BVPS, book value per share</v>
          </cell>
          <cell r="C525" t="str">
            <v>B_PL_GSBVPS</v>
          </cell>
          <cell r="D525" t="str">
            <v>AUD</v>
          </cell>
          <cell r="F525">
            <v>10.263871330719809</v>
          </cell>
          <cell r="G525">
            <v>11.246691668364884</v>
          </cell>
          <cell r="H525">
            <v>12.454673021022197</v>
          </cell>
          <cell r="I525">
            <v>12.475050667997605</v>
          </cell>
          <cell r="J525">
            <v>12.875374817361411</v>
          </cell>
          <cell r="K525">
            <v>13.975620011411182</v>
          </cell>
          <cell r="L525">
            <v>14.712985132847574</v>
          </cell>
          <cell r="M525">
            <v>16.152087188832599</v>
          </cell>
          <cell r="N525">
            <v>16.666726649903431</v>
          </cell>
          <cell r="O525">
            <v>17.395874953203222</v>
          </cell>
          <cell r="P525">
            <v>17.395874953203222</v>
          </cell>
          <cell r="Q525">
            <v>18.6351483065799</v>
          </cell>
          <cell r="R525">
            <v>19.565903208047683</v>
          </cell>
          <cell r="S525">
            <v>19.565903208047683</v>
          </cell>
          <cell r="T525">
            <v>19.165390464080069</v>
          </cell>
          <cell r="U525">
            <v>19.593656139368061</v>
          </cell>
          <cell r="V525">
            <v>19.593656139368061</v>
          </cell>
          <cell r="W525">
            <v>19.527561079867844</v>
          </cell>
          <cell r="X525">
            <v>19.912879849285268</v>
          </cell>
          <cell r="Y525">
            <v>19.912879849285268</v>
          </cell>
          <cell r="Z525">
            <v>20.320459414201078</v>
          </cell>
          <cell r="AA525">
            <v>20.460609021675165</v>
          </cell>
          <cell r="AB525">
            <v>20.460609021675165</v>
          </cell>
          <cell r="AC525">
            <v>20.947369815656593</v>
          </cell>
          <cell r="AD525">
            <v>21.273648515063382</v>
          </cell>
          <cell r="AE525">
            <v>21.273648515063382</v>
          </cell>
          <cell r="AF525">
            <v>21.464935455649361</v>
          </cell>
          <cell r="AG525">
            <v>21.406355462693249</v>
          </cell>
          <cell r="AH525">
            <v>21.406355462693249</v>
          </cell>
          <cell r="AI525">
            <v>21.813368784812791</v>
          </cell>
          <cell r="AJ525">
            <v>22.369304529494631</v>
          </cell>
          <cell r="AK525">
            <v>22.369304529494631</v>
          </cell>
          <cell r="AL525">
            <v>21.924141129750158</v>
          </cell>
          <cell r="AM525">
            <v>22.043037043321579</v>
          </cell>
          <cell r="AN525">
            <v>22.043037043321579</v>
          </cell>
          <cell r="AO525">
            <v>22.992529721599617</v>
          </cell>
          <cell r="AP525">
            <v>23.124248245230589</v>
          </cell>
          <cell r="AQ525">
            <v>23.124248245230589</v>
          </cell>
          <cell r="AR525">
            <v>23.121447417850199</v>
          </cell>
          <cell r="AS525">
            <v>23.187763632598287</v>
          </cell>
          <cell r="AT525">
            <v>23.187763632598287</v>
          </cell>
          <cell r="AU525">
            <v>23.82843749546484</v>
          </cell>
          <cell r="AV525">
            <v>23.592600603760623</v>
          </cell>
          <cell r="AW525">
            <v>23.592600603760623</v>
          </cell>
          <cell r="AX525">
            <v>24.190550396804454</v>
          </cell>
          <cell r="AY525">
            <v>24.607056067786598</v>
          </cell>
          <cell r="AZ525">
            <v>24.607056067786598</v>
          </cell>
          <cell r="BA525">
            <v>24.81804505669108</v>
          </cell>
          <cell r="BB525">
            <v>24.90648454160408</v>
          </cell>
          <cell r="BC525">
            <v>24.906484541604073</v>
          </cell>
          <cell r="BD525">
            <v>25.023732457707528</v>
          </cell>
          <cell r="BE525">
            <v>25.109639413353552</v>
          </cell>
          <cell r="BF525">
            <v>25.109639413353541</v>
          </cell>
          <cell r="BG525">
            <v>25.198568329706841</v>
          </cell>
          <cell r="BH525">
            <v>25.293208681373123</v>
          </cell>
          <cell r="BI525">
            <v>25.293208681373113</v>
          </cell>
          <cell r="BJ525">
            <v>25.54739749661934</v>
          </cell>
          <cell r="BK525">
            <v>25.808896377513634</v>
          </cell>
          <cell r="BL525">
            <v>25.808896377513623</v>
          </cell>
          <cell r="BM525">
            <v>26.162389087819786</v>
          </cell>
          <cell r="BN525">
            <v>26.547571513682833</v>
          </cell>
          <cell r="BO525">
            <v>26.547571513682826</v>
          </cell>
          <cell r="BP525">
            <v>26.92694171781821</v>
          </cell>
          <cell r="BQ525">
            <v>27.281919587617601</v>
          </cell>
          <cell r="BR525">
            <v>27.281919587617598</v>
          </cell>
          <cell r="BS525">
            <v>27.625388074973085</v>
          </cell>
          <cell r="BT525">
            <v>27.958422931066494</v>
          </cell>
          <cell r="BU525">
            <v>27.95842293106649</v>
          </cell>
          <cell r="BV525">
            <v>28.28432947266014</v>
          </cell>
          <cell r="BW525">
            <v>28.614137241613481</v>
          </cell>
          <cell r="BX525">
            <v>28.61413724161347</v>
          </cell>
        </row>
        <row r="526">
          <cell r="B526" t="str">
            <v>Tangible BVPS</v>
          </cell>
          <cell r="C526" t="str">
            <v>TANG_BVPS</v>
          </cell>
          <cell r="D526" t="str">
            <v>AUD</v>
          </cell>
          <cell r="F526">
            <v>8.6757558782532946</v>
          </cell>
          <cell r="G526">
            <v>9.5361985649166083</v>
          </cell>
          <cell r="H526">
            <v>10.939830086734942</v>
          </cell>
          <cell r="I526">
            <v>11.268068818526652</v>
          </cell>
          <cell r="J526">
            <v>10.777409619095989</v>
          </cell>
          <cell r="K526">
            <v>11.940881437048306</v>
          </cell>
          <cell r="L526">
            <v>12.770725060719805</v>
          </cell>
          <cell r="M526">
            <v>14.156127455625617</v>
          </cell>
          <cell r="N526">
            <v>14.628758360846909</v>
          </cell>
          <cell r="O526">
            <v>15.446324832765001</v>
          </cell>
          <cell r="P526">
            <v>15.446324832765001</v>
          </cell>
          <cell r="Q526">
            <v>16.592512814895155</v>
          </cell>
          <cell r="R526">
            <v>17.713795158989907</v>
          </cell>
          <cell r="S526">
            <v>17.713795158989907</v>
          </cell>
          <cell r="T526">
            <v>17.350963916232523</v>
          </cell>
          <cell r="U526">
            <v>17.739954885738687</v>
          </cell>
          <cell r="V526">
            <v>17.739954885738687</v>
          </cell>
          <cell r="W526">
            <v>17.79210826357809</v>
          </cell>
          <cell r="X526">
            <v>18.185671661404793</v>
          </cell>
          <cell r="Y526">
            <v>18.185671661404793</v>
          </cell>
          <cell r="Z526">
            <v>19.101040192103891</v>
          </cell>
          <cell r="AA526">
            <v>19.249164205053919</v>
          </cell>
          <cell r="AB526">
            <v>19.249164205053919</v>
          </cell>
          <cell r="AC526">
            <v>19.669608620468768</v>
          </cell>
          <cell r="AD526">
            <v>20.035371884322974</v>
          </cell>
          <cell r="AE526">
            <v>20.035371884322974</v>
          </cell>
          <cell r="AF526">
            <v>20.172785798306801</v>
          </cell>
          <cell r="AG526">
            <v>20.239758513170585</v>
          </cell>
          <cell r="AH526">
            <v>20.239758513170585</v>
          </cell>
          <cell r="AI526">
            <v>20.745466911784604</v>
          </cell>
          <cell r="AJ526">
            <v>21.257602973988138</v>
          </cell>
          <cell r="AK526">
            <v>21.257602973988138</v>
          </cell>
          <cell r="AL526">
            <v>20.807819693697645</v>
          </cell>
          <cell r="AM526">
            <v>21.046021651540105</v>
          </cell>
          <cell r="AN526">
            <v>21.046021651540105</v>
          </cell>
          <cell r="AO526">
            <v>21.940377177681658</v>
          </cell>
          <cell r="AP526">
            <v>22.079755616382776</v>
          </cell>
          <cell r="AQ526">
            <v>22.079755616382776</v>
          </cell>
          <cell r="AR526">
            <v>22.093022141549316</v>
          </cell>
          <cell r="AS526">
            <v>21.680421385630755</v>
          </cell>
          <cell r="AT526">
            <v>21.680421385630755</v>
          </cell>
          <cell r="AU526">
            <v>22.191479739749106</v>
          </cell>
          <cell r="AV526">
            <v>21.994823577831472</v>
          </cell>
          <cell r="AW526">
            <v>21.994823577831472</v>
          </cell>
          <cell r="AX526">
            <v>22.604399400695531</v>
          </cell>
          <cell r="AY526">
            <v>23.032340186010366</v>
          </cell>
          <cell r="AZ526">
            <v>23.032340186010366</v>
          </cell>
          <cell r="BA526">
            <v>23.243329174914848</v>
          </cell>
          <cell r="BB526">
            <v>23.318268236567011</v>
          </cell>
          <cell r="BC526">
            <v>23.318268236567004</v>
          </cell>
          <cell r="BD526">
            <v>23.422389299544022</v>
          </cell>
          <cell r="BE526">
            <v>23.495540322789527</v>
          </cell>
          <cell r="BF526">
            <v>23.495540322789516</v>
          </cell>
          <cell r="BG526">
            <v>23.572081001579434</v>
          </cell>
          <cell r="BH526">
            <v>23.654697050529968</v>
          </cell>
          <cell r="BI526">
            <v>23.654697050529958</v>
          </cell>
          <cell r="BJ526">
            <v>23.908885865776185</v>
          </cell>
          <cell r="BK526">
            <v>24.170384746670479</v>
          </cell>
          <cell r="BL526">
            <v>24.170384746670468</v>
          </cell>
          <cell r="BM526">
            <v>24.523877456976631</v>
          </cell>
          <cell r="BN526">
            <v>24.909059882839678</v>
          </cell>
          <cell r="BO526">
            <v>24.909059882839671</v>
          </cell>
          <cell r="BP526">
            <v>25.288430086975055</v>
          </cell>
          <cell r="BQ526">
            <v>25.643407956774446</v>
          </cell>
          <cell r="BR526">
            <v>25.643407956774443</v>
          </cell>
          <cell r="BS526">
            <v>25.98687644412993</v>
          </cell>
          <cell r="BT526">
            <v>26.319911300223339</v>
          </cell>
          <cell r="BU526">
            <v>26.319911300223335</v>
          </cell>
          <cell r="BV526">
            <v>26.645817841816985</v>
          </cell>
          <cell r="BW526">
            <v>26.975625610770326</v>
          </cell>
          <cell r="BX526">
            <v>26.975625610770315</v>
          </cell>
        </row>
        <row r="527">
          <cell r="B527" t="str">
            <v>TBVPS, last reported</v>
          </cell>
          <cell r="C527" t="str">
            <v>TBVPS_LAST</v>
          </cell>
          <cell r="D527" t="str">
            <v>AUD</v>
          </cell>
          <cell r="E527"/>
        </row>
        <row r="528">
          <cell r="A528" t="str">
            <v>ANZ Balance Sheet</v>
          </cell>
          <cell r="B528"/>
          <cell r="C528"/>
          <cell r="D528"/>
        </row>
        <row r="529">
          <cell r="B529" t="str">
            <v>Average Preference Capital</v>
          </cell>
          <cell r="C529" t="str">
            <v>AVG_PREF_CAPITAL</v>
          </cell>
          <cell r="D529" t="str">
            <v>AUD</v>
          </cell>
          <cell r="F529">
            <v>1364.5</v>
          </cell>
          <cell r="G529">
            <v>871</v>
          </cell>
          <cell r="H529">
            <v>871</v>
          </cell>
          <cell r="I529">
            <v>871</v>
          </cell>
          <cell r="J529">
            <v>871</v>
          </cell>
          <cell r="K529">
            <v>871</v>
          </cell>
          <cell r="L529">
            <v>871</v>
          </cell>
          <cell r="M529">
            <v>871</v>
          </cell>
          <cell r="N529">
            <v>871</v>
          </cell>
          <cell r="O529">
            <v>871</v>
          </cell>
          <cell r="P529">
            <v>871</v>
          </cell>
          <cell r="Q529">
            <v>435.5</v>
          </cell>
          <cell r="R529">
            <v>0</v>
          </cell>
          <cell r="S529">
            <v>435.5</v>
          </cell>
          <cell r="T529">
            <v>0</v>
          </cell>
          <cell r="U529">
            <v>0</v>
          </cell>
          <cell r="V529">
            <v>0</v>
          </cell>
          <cell r="W529">
            <v>0</v>
          </cell>
          <cell r="X529">
            <v>0</v>
          </cell>
          <cell r="Y529">
            <v>0</v>
          </cell>
          <cell r="Z529">
            <v>0</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cell r="BL529">
            <v>0</v>
          </cell>
          <cell r="BM529">
            <v>0</v>
          </cell>
          <cell r="BN529">
            <v>0</v>
          </cell>
          <cell r="BO529">
            <v>0</v>
          </cell>
          <cell r="BP529">
            <v>0</v>
          </cell>
          <cell r="BQ529">
            <v>0</v>
          </cell>
          <cell r="BR529">
            <v>0</v>
          </cell>
          <cell r="BS529">
            <v>0</v>
          </cell>
          <cell r="BT529">
            <v>0</v>
          </cell>
          <cell r="BU529">
            <v>0</v>
          </cell>
          <cell r="BV529">
            <v>0</v>
          </cell>
          <cell r="BW529">
            <v>0</v>
          </cell>
          <cell r="BX529">
            <v>0</v>
          </cell>
        </row>
        <row r="530">
          <cell r="B530" t="str">
            <v>Average Ordinary Shareholders Equity</v>
          </cell>
          <cell r="C530" t="str">
            <v>AVG_ORD_SHOLDERS_EQUITY</v>
          </cell>
          <cell r="D530" t="str">
            <v>AUD</v>
          </cell>
          <cell r="F530">
            <v>17714.5</v>
          </cell>
          <cell r="G530">
            <v>19822</v>
          </cell>
          <cell r="H530">
            <v>22602</v>
          </cell>
          <cell r="I530">
            <v>28129.5</v>
          </cell>
          <cell r="J530">
            <v>32320.5</v>
          </cell>
          <cell r="K530">
            <v>34940</v>
          </cell>
          <cell r="L530">
            <v>38644.5</v>
          </cell>
          <cell r="M530">
            <v>42177.5</v>
          </cell>
          <cell r="N530">
            <v>45243.5</v>
          </cell>
          <cell r="O530">
            <v>46592</v>
          </cell>
          <cell r="P530">
            <v>45915.5</v>
          </cell>
          <cell r="Q530">
            <v>50411</v>
          </cell>
          <cell r="R530">
            <v>52864.5</v>
          </cell>
          <cell r="S530">
            <v>51461.5</v>
          </cell>
          <cell r="T530">
            <v>57361.5</v>
          </cell>
          <cell r="U530">
            <v>56709</v>
          </cell>
          <cell r="V530">
            <v>57033.5</v>
          </cell>
          <cell r="W530">
            <v>57686</v>
          </cell>
          <cell r="X530">
            <v>58609.5</v>
          </cell>
          <cell r="Y530">
            <v>58151.5</v>
          </cell>
          <cell r="Z530">
            <v>60188</v>
          </cell>
          <cell r="AA530">
            <v>60476</v>
          </cell>
          <cell r="AB530">
            <v>60723</v>
          </cell>
          <cell r="AC530">
            <v>61898</v>
          </cell>
          <cell r="AD530">
            <v>66149.5</v>
          </cell>
          <cell r="AE530">
            <v>63871.5</v>
          </cell>
          <cell r="AF530">
            <v>60412</v>
          </cell>
          <cell r="AG530">
            <v>61136.5</v>
          </cell>
          <cell r="AH530">
            <v>60774.5</v>
          </cell>
          <cell r="AI530">
            <v>61889</v>
          </cell>
          <cell r="AJ530">
            <v>62800.5</v>
          </cell>
          <cell r="AK530">
            <v>62345.5</v>
          </cell>
          <cell r="AL530">
            <v>62534</v>
          </cell>
          <cell r="AM530">
            <v>62868.5</v>
          </cell>
          <cell r="AN530">
            <v>62579.5</v>
          </cell>
          <cell r="AO530">
            <v>67101.5</v>
          </cell>
          <cell r="AP530">
            <v>68172.5</v>
          </cell>
          <cell r="AQ530">
            <v>67646</v>
          </cell>
          <cell r="AR530">
            <v>70238</v>
          </cell>
          <cell r="AS530">
            <v>68936.5</v>
          </cell>
          <cell r="AT530">
            <v>69647.5</v>
          </cell>
          <cell r="AU530">
            <v>70478.5</v>
          </cell>
          <cell r="AV530">
            <v>72592.5</v>
          </cell>
          <cell r="AW530">
            <v>71543</v>
          </cell>
          <cell r="AX530">
            <v>73568.853770705988</v>
          </cell>
          <cell r="AY530">
            <v>75677.751421626745</v>
          </cell>
          <cell r="AZ530">
            <v>74620.413695274692</v>
          </cell>
          <cell r="BA530">
            <v>76925.827031660127</v>
          </cell>
          <cell r="BB530">
            <v>77062.346455584309</v>
          </cell>
          <cell r="BC530">
            <v>76993.899730712728</v>
          </cell>
          <cell r="BD530">
            <v>76734.862639820378</v>
          </cell>
          <cell r="BE530">
            <v>76427.014503592829</v>
          </cell>
          <cell r="BF530">
            <v>76580.938571706603</v>
          </cell>
          <cell r="BG530">
            <v>76098.388657202915</v>
          </cell>
          <cell r="BH530">
            <v>75804.905660179211</v>
          </cell>
          <cell r="BI530">
            <v>75952.049190193837</v>
          </cell>
          <cell r="BJ530">
            <v>76048.036710496075</v>
          </cell>
          <cell r="BK530">
            <v>76819.409040517989</v>
          </cell>
          <cell r="BL530">
            <v>76432.666201082349</v>
          </cell>
          <cell r="BM530">
            <v>77739.321421981746</v>
          </cell>
          <cell r="BN530">
            <v>78844.241250747349</v>
          </cell>
          <cell r="BO530">
            <v>78290.267747558028</v>
          </cell>
          <cell r="BP530">
            <v>79987.868969694464</v>
          </cell>
          <cell r="BQ530">
            <v>81086.316322768063</v>
          </cell>
          <cell r="BR530">
            <v>80537.092646231264</v>
          </cell>
          <cell r="BS530">
            <v>82131.061423234976</v>
          </cell>
          <cell r="BT530">
            <v>83142.983879809544</v>
          </cell>
          <cell r="BU530">
            <v>82635.636456376276</v>
          </cell>
          <cell r="BV530">
            <v>84128.636950623302</v>
          </cell>
          <cell r="BW530">
            <v>85109.462902727319</v>
          </cell>
          <cell r="BX530">
            <v>84617.706329480658</v>
          </cell>
        </row>
        <row r="531">
          <cell r="B531" t="str">
            <v>Shareholders' equity attributable to members of the chief entity</v>
          </cell>
          <cell r="C531" t="str">
            <v>SHOLDERS_EQUITY_MBRS</v>
          </cell>
          <cell r="D531" t="str">
            <v>AUD</v>
          </cell>
          <cell r="F531">
            <v>19001</v>
          </cell>
          <cell r="G531">
            <v>21139</v>
          </cell>
          <cell r="H531">
            <v>25619</v>
          </cell>
          <cell r="I531">
            <v>31493</v>
          </cell>
          <cell r="J531">
            <v>33220</v>
          </cell>
          <cell r="K531">
            <v>37035</v>
          </cell>
          <cell r="L531">
            <v>40300</v>
          </cell>
          <cell r="M531">
            <v>44670</v>
          </cell>
          <cell r="N531">
            <v>46100</v>
          </cell>
          <cell r="O531">
            <v>48336</v>
          </cell>
          <cell r="P531">
            <v>48336</v>
          </cell>
          <cell r="Q531">
            <v>51956</v>
          </cell>
          <cell r="R531">
            <v>57247</v>
          </cell>
          <cell r="S531">
            <v>57247</v>
          </cell>
          <cell r="T531">
            <v>56363</v>
          </cell>
          <cell r="U531">
            <v>57818</v>
          </cell>
          <cell r="V531">
            <v>57818</v>
          </cell>
          <cell r="W531">
            <v>57791</v>
          </cell>
          <cell r="X531">
            <v>58959</v>
          </cell>
          <cell r="Y531">
            <v>58959</v>
          </cell>
          <cell r="Z531">
            <v>59374</v>
          </cell>
          <cell r="AA531">
            <v>59265</v>
          </cell>
          <cell r="AB531">
            <v>59265</v>
          </cell>
          <cell r="AC531">
            <v>59821</v>
          </cell>
          <cell r="AD531">
            <v>60783</v>
          </cell>
          <cell r="AE531">
            <v>60783</v>
          </cell>
          <cell r="AF531">
            <v>61364</v>
          </cell>
          <cell r="AG531">
            <v>61287</v>
          </cell>
          <cell r="AH531">
            <v>61287</v>
          </cell>
          <cell r="AI531">
            <v>62566</v>
          </cell>
          <cell r="AJ531">
            <v>63665</v>
          </cell>
          <cell r="AK531">
            <v>63665</v>
          </cell>
          <cell r="AL531">
            <v>61747</v>
          </cell>
          <cell r="AM531">
            <v>65907</v>
          </cell>
          <cell r="AN531">
            <v>65907</v>
          </cell>
          <cell r="AO531">
            <v>69055</v>
          </cell>
          <cell r="AP531">
            <v>69495</v>
          </cell>
          <cell r="AQ531">
            <v>69495</v>
          </cell>
          <cell r="AR531">
            <v>69538</v>
          </cell>
          <cell r="AS531">
            <v>69086</v>
          </cell>
          <cell r="AT531">
            <v>69086</v>
          </cell>
          <cell r="AU531">
            <v>70803</v>
          </cell>
          <cell r="AV531">
            <v>70389</v>
          </cell>
          <cell r="AW531">
            <v>70389</v>
          </cell>
          <cell r="AX531">
            <v>72702.002535985375</v>
          </cell>
          <cell r="AY531">
            <v>74490.793947429847</v>
          </cell>
          <cell r="AZ531">
            <v>74490.793947429847</v>
          </cell>
          <cell r="BA531">
            <v>75129.502505429002</v>
          </cell>
          <cell r="BB531">
            <v>74756.323451203672</v>
          </cell>
          <cell r="BC531">
            <v>74756.323451203658</v>
          </cell>
          <cell r="BD531">
            <v>74492.548344663897</v>
          </cell>
          <cell r="BE531">
            <v>74157.560575558949</v>
          </cell>
          <cell r="BF531">
            <v>74157.56057555892</v>
          </cell>
          <cell r="BG531">
            <v>73853.372940820758</v>
          </cell>
          <cell r="BH531">
            <v>73586.737814037158</v>
          </cell>
          <cell r="BI531">
            <v>73586.737814037129</v>
          </cell>
          <cell r="BJ531">
            <v>74326.261452117891</v>
          </cell>
          <cell r="BK531">
            <v>75087.052612679647</v>
          </cell>
          <cell r="BL531">
            <v>75087.052612679618</v>
          </cell>
          <cell r="BM531">
            <v>76115.485806749988</v>
          </cell>
          <cell r="BN531">
            <v>77236.115401026516</v>
          </cell>
          <cell r="BO531">
            <v>77236.115401026502</v>
          </cell>
          <cell r="BP531">
            <v>78339.835221546033</v>
          </cell>
          <cell r="BQ531">
            <v>79372.589260931723</v>
          </cell>
          <cell r="BR531">
            <v>79372.589260931709</v>
          </cell>
          <cell r="BS531">
            <v>80371.858505289201</v>
          </cell>
          <cell r="BT531">
            <v>81340.772688815836</v>
          </cell>
          <cell r="BU531">
            <v>81340.772688815821</v>
          </cell>
          <cell r="BV531">
            <v>82288.948127141804</v>
          </cell>
          <cell r="BW531">
            <v>83248.473592207651</v>
          </cell>
          <cell r="BX531">
            <v>83248.473592207622</v>
          </cell>
        </row>
        <row r="532">
          <cell r="B532" t="str">
            <v>Adjusted Net Tangible Assets (NZ)</v>
          </cell>
          <cell r="C532" t="str">
            <v>NET_TANGIBLE_ASSETS_ADJUSTED_NZ</v>
          </cell>
          <cell r="D532" t="str">
            <v>AUD</v>
          </cell>
          <cell r="F532">
            <v>15664</v>
          </cell>
          <cell r="G532">
            <v>17462</v>
          </cell>
          <cell r="H532">
            <v>21878</v>
          </cell>
          <cell r="I532">
            <v>27597</v>
          </cell>
          <cell r="J532">
            <v>26590</v>
          </cell>
          <cell r="K532">
            <v>30071</v>
          </cell>
          <cell r="L532">
            <v>33218</v>
          </cell>
          <cell r="M532">
            <v>36980</v>
          </cell>
          <cell r="N532">
            <v>38131</v>
          </cell>
          <cell r="O532">
            <v>40386</v>
          </cell>
          <cell r="P532">
            <v>40386</v>
          </cell>
          <cell r="Q532">
            <v>43572</v>
          </cell>
          <cell r="R532">
            <v>48935</v>
          </cell>
          <cell r="S532">
            <v>48935</v>
          </cell>
          <cell r="T532">
            <v>48778</v>
          </cell>
          <cell r="U532">
            <v>50146</v>
          </cell>
          <cell r="V532">
            <v>50146</v>
          </cell>
          <cell r="W532">
            <v>50738</v>
          </cell>
          <cell r="X532">
            <v>51989</v>
          </cell>
          <cell r="Y532">
            <v>51989</v>
          </cell>
          <cell r="Z532">
            <v>54036</v>
          </cell>
          <cell r="AA532">
            <v>54335</v>
          </cell>
          <cell r="AB532">
            <v>54335</v>
          </cell>
          <cell r="AC532">
            <v>54804</v>
          </cell>
          <cell r="AD532">
            <v>55922</v>
          </cell>
          <cell r="AE532">
            <v>55922</v>
          </cell>
          <cell r="AF532">
            <v>56407</v>
          </cell>
          <cell r="AG532">
            <v>56908</v>
          </cell>
          <cell r="AH532">
            <v>56908</v>
          </cell>
          <cell r="AI532">
            <v>58542</v>
          </cell>
          <cell r="AJ532">
            <v>59541</v>
          </cell>
          <cell r="AK532">
            <v>59541</v>
          </cell>
          <cell r="AL532">
            <v>57679</v>
          </cell>
          <cell r="AM532">
            <v>62030</v>
          </cell>
          <cell r="AN532">
            <v>62030</v>
          </cell>
          <cell r="AO532">
            <v>65018</v>
          </cell>
          <cell r="AP532">
            <v>65437</v>
          </cell>
          <cell r="AQ532">
            <v>65437</v>
          </cell>
          <cell r="AR532">
            <v>65540</v>
          </cell>
          <cell r="AS532">
            <v>63575</v>
          </cell>
          <cell r="AT532">
            <v>63575</v>
          </cell>
          <cell r="AU532">
            <v>64938</v>
          </cell>
          <cell r="AV532">
            <v>64624</v>
          </cell>
          <cell r="AW532">
            <v>64624</v>
          </cell>
          <cell r="AX532">
            <v>66986.053331010116</v>
          </cell>
          <cell r="AY532">
            <v>68804.075247547225</v>
          </cell>
          <cell r="AZ532">
            <v>68804.075247547225</v>
          </cell>
          <cell r="BA532">
            <v>69467.250846371622</v>
          </cell>
          <cell r="BB532">
            <v>69104.39698330262</v>
          </cell>
          <cell r="BC532">
            <v>69104.396983302606</v>
          </cell>
          <cell r="BD532">
            <v>68850.803454179768</v>
          </cell>
          <cell r="BE532">
            <v>68515.047234642028</v>
          </cell>
          <cell r="BF532">
            <v>68515.047234641999</v>
          </cell>
          <cell r="BG532">
            <v>68212.688700601211</v>
          </cell>
          <cell r="BH532">
            <v>67938.688621048685</v>
          </cell>
          <cell r="BI532">
            <v>67938.688621048655</v>
          </cell>
          <cell r="BJ532">
            <v>68675.105402572401</v>
          </cell>
          <cell r="BK532">
            <v>69424.521420014702</v>
          </cell>
          <cell r="BL532">
            <v>69424.521420014673</v>
          </cell>
          <cell r="BM532">
            <v>70446.73378242187</v>
          </cell>
          <cell r="BN532">
            <v>71557.6705969834</v>
          </cell>
          <cell r="BO532">
            <v>71557.670596983386</v>
          </cell>
          <cell r="BP532">
            <v>72654.392541630717</v>
          </cell>
          <cell r="BQ532">
            <v>73675.745224789935</v>
          </cell>
          <cell r="BR532">
            <v>73675.74522478992</v>
          </cell>
          <cell r="BS532">
            <v>74667.33739331906</v>
          </cell>
          <cell r="BT532">
            <v>75625.331698508962</v>
          </cell>
          <cell r="BU532">
            <v>75625.331698508948</v>
          </cell>
          <cell r="BV532">
            <v>76564.683383169919</v>
          </cell>
          <cell r="BW532">
            <v>77512.941455925466</v>
          </cell>
          <cell r="BX532">
            <v>77512.941455925436</v>
          </cell>
        </row>
        <row r="533">
          <cell r="A533" t="str">
            <v>Additional Balance Sheet Items</v>
          </cell>
          <cell r="B533"/>
          <cell r="C533"/>
          <cell r="D533"/>
        </row>
        <row r="534">
          <cell r="B534" t="str">
            <v>Cost of equity</v>
          </cell>
          <cell r="C534" t="str">
            <v>COE</v>
          </cell>
          <cell r="D534" t="str">
            <v>AUD</v>
          </cell>
          <cell r="E534"/>
        </row>
        <row r="535">
          <cell r="B535" t="str">
            <v>GS equity</v>
          </cell>
          <cell r="C535" t="str">
            <v>B_BS_L_GSEQUITY</v>
          </cell>
          <cell r="D535" t="str">
            <v>AUD</v>
          </cell>
          <cell r="F535">
            <v>19001</v>
          </cell>
          <cell r="G535">
            <v>21139</v>
          </cell>
          <cell r="H535">
            <v>25619</v>
          </cell>
          <cell r="I535">
            <v>31493</v>
          </cell>
          <cell r="J535">
            <v>33220</v>
          </cell>
          <cell r="K535">
            <v>37035</v>
          </cell>
          <cell r="L535">
            <v>40300</v>
          </cell>
          <cell r="M535">
            <v>44670</v>
          </cell>
          <cell r="N535">
            <v>46100</v>
          </cell>
          <cell r="O535">
            <v>48336</v>
          </cell>
          <cell r="P535">
            <v>48336</v>
          </cell>
          <cell r="Q535">
            <v>51956</v>
          </cell>
          <cell r="R535">
            <v>57247</v>
          </cell>
          <cell r="S535">
            <v>57247</v>
          </cell>
          <cell r="T535">
            <v>56363</v>
          </cell>
          <cell r="U535">
            <v>57818</v>
          </cell>
          <cell r="V535">
            <v>57818</v>
          </cell>
          <cell r="W535">
            <v>57791</v>
          </cell>
          <cell r="X535">
            <v>58959</v>
          </cell>
          <cell r="Y535">
            <v>58959</v>
          </cell>
          <cell r="Z535">
            <v>59374</v>
          </cell>
          <cell r="AA535">
            <v>59265</v>
          </cell>
          <cell r="AB535">
            <v>59265</v>
          </cell>
          <cell r="AC535">
            <v>59821</v>
          </cell>
          <cell r="AD535">
            <v>60783</v>
          </cell>
          <cell r="AE535">
            <v>60783</v>
          </cell>
          <cell r="AF535">
            <v>61364</v>
          </cell>
          <cell r="AG535">
            <v>61287</v>
          </cell>
          <cell r="AH535">
            <v>61287</v>
          </cell>
          <cell r="AI535">
            <v>62566</v>
          </cell>
          <cell r="AJ535">
            <v>63665</v>
          </cell>
          <cell r="AK535">
            <v>63665</v>
          </cell>
          <cell r="AL535">
            <v>61747</v>
          </cell>
          <cell r="AM535">
            <v>65907</v>
          </cell>
          <cell r="AN535">
            <v>65907</v>
          </cell>
          <cell r="AO535">
            <v>69055</v>
          </cell>
          <cell r="AP535">
            <v>69495</v>
          </cell>
          <cell r="AQ535">
            <v>69495</v>
          </cell>
          <cell r="AR535">
            <v>69538</v>
          </cell>
          <cell r="AS535">
            <v>69086</v>
          </cell>
          <cell r="AT535">
            <v>69086</v>
          </cell>
          <cell r="AU535">
            <v>70803</v>
          </cell>
          <cell r="AV535">
            <v>70389</v>
          </cell>
          <cell r="AW535">
            <v>70389</v>
          </cell>
          <cell r="AX535">
            <v>72702.002535985375</v>
          </cell>
          <cell r="AY535">
            <v>74490.793947429847</v>
          </cell>
          <cell r="AZ535">
            <v>74490.793947429847</v>
          </cell>
          <cell r="BA535">
            <v>75129.502505429002</v>
          </cell>
          <cell r="BB535">
            <v>74756.323451203672</v>
          </cell>
          <cell r="BC535">
            <v>74756.323451203658</v>
          </cell>
          <cell r="BD535">
            <v>74492.548344663897</v>
          </cell>
          <cell r="BE535">
            <v>74157.560575558949</v>
          </cell>
          <cell r="BF535">
            <v>74157.56057555892</v>
          </cell>
          <cell r="BG535">
            <v>73853.372940820758</v>
          </cell>
          <cell r="BH535">
            <v>73586.737814037158</v>
          </cell>
          <cell r="BI535">
            <v>73586.737814037129</v>
          </cell>
          <cell r="BJ535">
            <v>74326.261452117891</v>
          </cell>
          <cell r="BK535">
            <v>75087.052612679647</v>
          </cell>
          <cell r="BL535">
            <v>75087.052612679618</v>
          </cell>
          <cell r="BM535">
            <v>76115.485806749988</v>
          </cell>
          <cell r="BN535">
            <v>77236.115401026516</v>
          </cell>
          <cell r="BO535">
            <v>77236.115401026502</v>
          </cell>
          <cell r="BP535">
            <v>78339.835221546033</v>
          </cell>
          <cell r="BQ535">
            <v>79372.589260931723</v>
          </cell>
          <cell r="BR535">
            <v>79372.589260931709</v>
          </cell>
          <cell r="BS535">
            <v>80371.858505289201</v>
          </cell>
          <cell r="BT535">
            <v>81340.772688815836</v>
          </cell>
          <cell r="BU535">
            <v>81340.772688815821</v>
          </cell>
          <cell r="BV535">
            <v>82288.948127141804</v>
          </cell>
          <cell r="BW535">
            <v>83248.473592207651</v>
          </cell>
          <cell r="BX535">
            <v>83248.473592207622</v>
          </cell>
        </row>
        <row r="536">
          <cell r="A536" t="str">
            <v>Additional Cash Flow Items</v>
          </cell>
          <cell r="B536"/>
          <cell r="C536"/>
          <cell r="D536"/>
        </row>
        <row r="537">
          <cell r="B537" t="str">
            <v>DCF</v>
          </cell>
          <cell r="C537" t="str">
            <v>DCF_CASH_FLOW</v>
          </cell>
          <cell r="D537" t="str">
            <v>AUD</v>
          </cell>
          <cell r="E537"/>
        </row>
        <row r="538">
          <cell r="A538" t="str">
            <v>Other Items</v>
          </cell>
          <cell r="B538"/>
          <cell r="C538"/>
          <cell r="D538"/>
        </row>
        <row r="539">
          <cell r="B539" t="str">
            <v>Beta</v>
          </cell>
          <cell r="C539" t="str">
            <v>BETA_ANALYST</v>
          </cell>
          <cell r="E539">
            <v>0.98</v>
          </cell>
        </row>
        <row r="540">
          <cell r="B540" t="str">
            <v>Market equity risk premium</v>
          </cell>
          <cell r="C540" t="str">
            <v>MKT_EQ_RISK_PREM</v>
          </cell>
          <cell r="E540">
            <v>0.06</v>
          </cell>
        </row>
        <row r="541">
          <cell r="B541" t="str">
            <v>Risk-free rate</v>
          </cell>
          <cell r="C541" t="str">
            <v>RISK_FR_RATE</v>
          </cell>
          <cell r="E541">
            <v>3.5000000000000003E-2</v>
          </cell>
        </row>
        <row r="542">
          <cell r="A542" t="str">
            <v>ANZ Other Items</v>
          </cell>
          <cell r="B542"/>
          <cell r="C542"/>
          <cell r="D542"/>
        </row>
        <row r="543">
          <cell r="B543" t="str">
            <v>In the Money Options</v>
          </cell>
          <cell r="C543" t="str">
            <v>OPTIONS_IN_MONEY</v>
          </cell>
          <cell r="D543" t="str">
            <v>AUD</v>
          </cell>
          <cell r="F543"/>
          <cell r="G543"/>
          <cell r="H543"/>
          <cell r="I543"/>
          <cell r="J543"/>
          <cell r="K543"/>
          <cell r="L543"/>
          <cell r="M543"/>
          <cell r="N543"/>
          <cell r="O543"/>
          <cell r="P543"/>
          <cell r="Q543"/>
          <cell r="R543"/>
          <cell r="S543"/>
          <cell r="T543"/>
          <cell r="U543"/>
          <cell r="V543"/>
          <cell r="W543"/>
          <cell r="X543"/>
          <cell r="Y543"/>
          <cell r="Z543"/>
          <cell r="AA543"/>
          <cell r="AB543"/>
          <cell r="AC543"/>
          <cell r="AD543"/>
          <cell r="AE543"/>
          <cell r="AF543"/>
          <cell r="AG543"/>
          <cell r="AH543"/>
          <cell r="AI543"/>
          <cell r="AJ543"/>
          <cell r="AK543"/>
          <cell r="AL543"/>
          <cell r="AM543"/>
          <cell r="AN543"/>
          <cell r="AO543"/>
          <cell r="AP543"/>
          <cell r="AQ543"/>
          <cell r="AR543"/>
          <cell r="AS543"/>
          <cell r="AT543"/>
          <cell r="AU543"/>
          <cell r="AV543"/>
          <cell r="AW543"/>
          <cell r="AX543"/>
          <cell r="AY543"/>
          <cell r="AZ543"/>
          <cell r="BA543"/>
          <cell r="BB543"/>
          <cell r="BC543"/>
          <cell r="BD543"/>
          <cell r="BE543"/>
          <cell r="BF543"/>
          <cell r="BG543"/>
          <cell r="BH543"/>
          <cell r="BI543"/>
          <cell r="BJ543"/>
          <cell r="BK543"/>
          <cell r="BL543"/>
          <cell r="BM543"/>
          <cell r="BN543"/>
          <cell r="BO543"/>
          <cell r="BP543"/>
          <cell r="BQ543"/>
          <cell r="BR543"/>
          <cell r="BS543"/>
          <cell r="BT543"/>
          <cell r="BU543"/>
          <cell r="BV543"/>
          <cell r="BW543"/>
          <cell r="BX543"/>
        </row>
        <row r="544">
          <cell r="B544" t="str">
            <v>Cash Earnings - Coy Basis</v>
          </cell>
          <cell r="C544" t="str">
            <v>CASH_EARNINGS_COMPANY</v>
          </cell>
          <cell r="D544" t="str">
            <v>AUD</v>
          </cell>
          <cell r="F544">
            <v>3586.9999999999995</v>
          </cell>
          <cell r="G544">
            <v>3923.9999999999991</v>
          </cell>
          <cell r="H544">
            <v>3426.0000000000009</v>
          </cell>
          <cell r="I544">
            <v>3772</v>
          </cell>
          <cell r="J544">
            <v>5025</v>
          </cell>
          <cell r="K544">
            <v>5467</v>
          </cell>
          <cell r="L544">
            <v>5830</v>
          </cell>
          <cell r="M544">
            <v>6492</v>
          </cell>
          <cell r="N544">
            <v>3515</v>
          </cell>
          <cell r="O544">
            <v>3602</v>
          </cell>
          <cell r="P544">
            <v>7117</v>
          </cell>
          <cell r="Q544">
            <v>3676</v>
          </cell>
          <cell r="R544">
            <v>3540</v>
          </cell>
          <cell r="S544">
            <v>7216</v>
          </cell>
          <cell r="T544">
            <v>2782</v>
          </cell>
          <cell r="U544">
            <v>3107</v>
          </cell>
          <cell r="V544">
            <v>5889</v>
          </cell>
          <cell r="W544">
            <v>3355</v>
          </cell>
          <cell r="X544">
            <v>3454</v>
          </cell>
          <cell r="Y544">
            <v>6809</v>
          </cell>
          <cell r="Z544">
            <v>3493</v>
          </cell>
          <cell r="AA544">
            <v>2994</v>
          </cell>
          <cell r="AB544">
            <v>6487</v>
          </cell>
          <cell r="AC544">
            <v>3564</v>
          </cell>
          <cell r="AD544">
            <v>2906</v>
          </cell>
          <cell r="AE544">
            <v>6470</v>
          </cell>
          <cell r="AF544">
            <v>1413</v>
          </cell>
          <cell r="AG544">
            <v>2345</v>
          </cell>
          <cell r="AH544">
            <v>3758</v>
          </cell>
          <cell r="AI544">
            <v>2990</v>
          </cell>
          <cell r="AJ544">
            <v>3208</v>
          </cell>
          <cell r="AK544">
            <v>6198</v>
          </cell>
          <cell r="AL544">
            <v>3113</v>
          </cell>
          <cell r="AM544">
            <v>3402</v>
          </cell>
          <cell r="AN544">
            <v>6515</v>
          </cell>
          <cell r="AO544">
            <v>3829</v>
          </cell>
          <cell r="AP544">
            <v>3584</v>
          </cell>
          <cell r="AQ544">
            <v>7413</v>
          </cell>
          <cell r="AR544">
            <v>3552</v>
          </cell>
          <cell r="AS544">
            <v>3173</v>
          </cell>
          <cell r="AT544">
            <v>6725</v>
          </cell>
          <cell r="AU544">
            <v>3568</v>
          </cell>
          <cell r="AV544">
            <v>2219</v>
          </cell>
          <cell r="AW544">
            <v>5787</v>
          </cell>
          <cell r="AX544">
            <v>3539.820446015503</v>
          </cell>
          <cell r="AY544">
            <v>3736.4335656796165</v>
          </cell>
          <cell r="AZ544">
            <v>7276.2540116951195</v>
          </cell>
          <cell r="BA544">
            <v>3579.9940367790236</v>
          </cell>
          <cell r="BB544">
            <v>3558.3624961077767</v>
          </cell>
          <cell r="BC544">
            <v>7138.3565328868008</v>
          </cell>
          <cell r="BD544">
            <v>3708.8973617862166</v>
          </cell>
          <cell r="BE544">
            <v>3707.1382628182337</v>
          </cell>
          <cell r="BF544">
            <v>7416.0356246044503</v>
          </cell>
          <cell r="BG544">
            <v>3770.0127935004957</v>
          </cell>
          <cell r="BH544">
            <v>3834.2635107046954</v>
          </cell>
          <cell r="BI544">
            <v>7604.2763042051911</v>
          </cell>
          <cell r="BJ544">
            <v>3857.0990893246626</v>
          </cell>
          <cell r="BK544">
            <v>3927.8267048713278</v>
          </cell>
          <cell r="BL544">
            <v>7784.9257941959904</v>
          </cell>
          <cell r="BM544">
            <v>4151.4710442214637</v>
          </cell>
          <cell r="BN544">
            <v>4204.5381274126612</v>
          </cell>
          <cell r="BO544">
            <v>8356.0091716341249</v>
          </cell>
          <cell r="BP544">
            <v>4245.8153071110428</v>
          </cell>
          <cell r="BQ544">
            <v>4233.0364794326215</v>
          </cell>
          <cell r="BR544">
            <v>8478.8517865436643</v>
          </cell>
          <cell r="BS544">
            <v>4257.7386378598076</v>
          </cell>
          <cell r="BT544">
            <v>4285.5705304843523</v>
          </cell>
          <cell r="BU544">
            <v>8543.3091683441598</v>
          </cell>
          <cell r="BV544">
            <v>4323.0187387390861</v>
          </cell>
          <cell r="BW544">
            <v>4392.5557189343608</v>
          </cell>
          <cell r="BX544">
            <v>8715.5744576734469</v>
          </cell>
        </row>
        <row r="545">
          <cell r="B545" t="str">
            <v>Present Value Of Benefits From Tax Losses</v>
          </cell>
          <cell r="C545" t="str">
            <v>BENEFITS_TAX_LOSSES</v>
          </cell>
          <cell r="D545" t="str">
            <v>AUD</v>
          </cell>
          <cell r="F545"/>
          <cell r="G545"/>
          <cell r="H545"/>
          <cell r="I545"/>
          <cell r="J545"/>
          <cell r="K545"/>
          <cell r="L545"/>
          <cell r="M545"/>
          <cell r="N545"/>
          <cell r="O545"/>
          <cell r="P545"/>
          <cell r="Q545"/>
          <cell r="R545"/>
          <cell r="S545"/>
          <cell r="T545"/>
          <cell r="U545"/>
          <cell r="V545"/>
          <cell r="W545"/>
          <cell r="X545"/>
          <cell r="Y545"/>
          <cell r="Z545"/>
          <cell r="AA545"/>
          <cell r="AB545"/>
          <cell r="AC545"/>
          <cell r="AD545"/>
          <cell r="AE545"/>
          <cell r="AF545"/>
          <cell r="AG545"/>
          <cell r="AH545"/>
          <cell r="AI545"/>
          <cell r="AJ545"/>
          <cell r="AK545"/>
          <cell r="AL545"/>
          <cell r="AM545"/>
          <cell r="AN545"/>
          <cell r="AO545"/>
          <cell r="AP545"/>
          <cell r="AQ545"/>
          <cell r="AR545"/>
          <cell r="AS545"/>
          <cell r="AT545"/>
          <cell r="AU545"/>
          <cell r="AV545"/>
          <cell r="AW545"/>
          <cell r="AX545"/>
          <cell r="AY545"/>
          <cell r="AZ545"/>
          <cell r="BA545"/>
          <cell r="BB545"/>
          <cell r="BC545"/>
          <cell r="BD545"/>
          <cell r="BE545"/>
          <cell r="BF545"/>
          <cell r="BG545"/>
          <cell r="BH545"/>
          <cell r="BI545"/>
          <cell r="BJ545"/>
          <cell r="BK545"/>
          <cell r="BL545"/>
          <cell r="BM545"/>
          <cell r="BN545"/>
          <cell r="BO545"/>
          <cell r="BP545"/>
          <cell r="BQ545"/>
          <cell r="BR545"/>
          <cell r="BS545"/>
          <cell r="BT545"/>
          <cell r="BU545"/>
          <cell r="BV545"/>
          <cell r="BW545"/>
          <cell r="BX545"/>
        </row>
        <row r="546">
          <cell r="B546" t="str">
            <v>Tax Rate</v>
          </cell>
          <cell r="C546" t="str">
            <v>TAX_RATE_DCF</v>
          </cell>
          <cell r="E546"/>
        </row>
        <row r="547">
          <cell r="B547" t="str">
            <v>WACC</v>
          </cell>
          <cell r="C547" t="str">
            <v>WACC_DCF</v>
          </cell>
          <cell r="E547"/>
        </row>
        <row r="548">
          <cell r="B548" t="str">
            <v>Standard Free Operating Cash Flow</v>
          </cell>
          <cell r="C548" t="str">
            <v>STD_FREE_OP_CASH_FLOW_DCF</v>
          </cell>
          <cell r="D548" t="str">
            <v>AUD</v>
          </cell>
          <cell r="F548"/>
          <cell r="G548"/>
          <cell r="H548"/>
          <cell r="I548"/>
          <cell r="J548"/>
          <cell r="K548"/>
          <cell r="L548"/>
          <cell r="M548"/>
          <cell r="N548"/>
          <cell r="O548"/>
          <cell r="P548"/>
          <cell r="Q548"/>
          <cell r="R548"/>
          <cell r="S548"/>
          <cell r="T548"/>
          <cell r="U548"/>
          <cell r="V548"/>
          <cell r="W548"/>
          <cell r="X548"/>
          <cell r="Y548"/>
          <cell r="Z548"/>
          <cell r="AA548"/>
          <cell r="AB548"/>
          <cell r="AC548"/>
          <cell r="AD548"/>
          <cell r="AE548"/>
          <cell r="AF548"/>
          <cell r="AG548"/>
          <cell r="AH548"/>
          <cell r="AI548"/>
          <cell r="AJ548"/>
          <cell r="AK548"/>
          <cell r="AL548"/>
          <cell r="AM548"/>
          <cell r="AN548"/>
          <cell r="AO548"/>
          <cell r="AP548"/>
          <cell r="AQ548"/>
          <cell r="AR548"/>
          <cell r="AS548"/>
          <cell r="AT548"/>
          <cell r="AU548"/>
          <cell r="AV548"/>
          <cell r="AW548"/>
          <cell r="AX548"/>
          <cell r="AY548"/>
          <cell r="AZ548"/>
          <cell r="BA548"/>
          <cell r="BB548"/>
          <cell r="BC548"/>
          <cell r="BD548"/>
          <cell r="BE548"/>
          <cell r="BF548"/>
          <cell r="BG548"/>
          <cell r="BH548"/>
          <cell r="BI548"/>
          <cell r="BJ548"/>
          <cell r="BK548"/>
          <cell r="BL548"/>
          <cell r="BM548"/>
          <cell r="BN548"/>
          <cell r="BO548"/>
          <cell r="BP548"/>
          <cell r="BQ548"/>
          <cell r="BR548"/>
          <cell r="BS548"/>
          <cell r="BT548"/>
          <cell r="BU548"/>
          <cell r="BV548"/>
          <cell r="BW548"/>
          <cell r="BX548"/>
        </row>
        <row r="549">
          <cell r="B549" t="str">
            <v>Net Operating Profit After Tax (NOPAT)</v>
          </cell>
          <cell r="C549" t="str">
            <v>NOPAT</v>
          </cell>
          <cell r="D549" t="str">
            <v>AUD</v>
          </cell>
          <cell r="F549"/>
          <cell r="G549"/>
          <cell r="H549"/>
          <cell r="I549"/>
          <cell r="J549"/>
          <cell r="K549"/>
          <cell r="L549"/>
          <cell r="M549"/>
          <cell r="N549"/>
          <cell r="O549"/>
          <cell r="P549"/>
          <cell r="Q549"/>
          <cell r="R549"/>
          <cell r="S549"/>
          <cell r="T549"/>
          <cell r="U549"/>
          <cell r="V549"/>
          <cell r="W549"/>
          <cell r="X549"/>
          <cell r="Y549"/>
          <cell r="Z549"/>
          <cell r="AA549"/>
          <cell r="AB549"/>
          <cell r="AC549"/>
          <cell r="AD549"/>
          <cell r="AE549"/>
          <cell r="AF549"/>
          <cell r="AG549"/>
          <cell r="AH549"/>
          <cell r="AI549"/>
          <cell r="AJ549"/>
          <cell r="AK549"/>
          <cell r="AL549"/>
          <cell r="AM549"/>
          <cell r="AN549"/>
          <cell r="AO549"/>
          <cell r="AP549"/>
          <cell r="AQ549"/>
          <cell r="AR549"/>
          <cell r="AS549"/>
          <cell r="AT549"/>
          <cell r="AU549"/>
          <cell r="AV549"/>
          <cell r="AW549"/>
          <cell r="AX549"/>
          <cell r="AY549"/>
          <cell r="AZ549"/>
          <cell r="BA549"/>
          <cell r="BB549"/>
          <cell r="BC549"/>
          <cell r="BD549"/>
          <cell r="BE549"/>
          <cell r="BF549"/>
          <cell r="BG549"/>
          <cell r="BH549"/>
          <cell r="BI549"/>
          <cell r="BJ549"/>
          <cell r="BK549"/>
          <cell r="BL549"/>
          <cell r="BM549"/>
          <cell r="BN549"/>
          <cell r="BO549"/>
          <cell r="BP549"/>
          <cell r="BQ549"/>
          <cell r="BR549"/>
          <cell r="BS549"/>
          <cell r="BT549"/>
          <cell r="BU549"/>
          <cell r="BV549"/>
          <cell r="BW549"/>
          <cell r="BX549"/>
        </row>
        <row r="550">
          <cell r="B550" t="str">
            <v>Return on Capital Employed (ROCE)</v>
          </cell>
          <cell r="C550" t="str">
            <v>ROCE_ANZ</v>
          </cell>
          <cell r="F550"/>
          <cell r="G550"/>
          <cell r="H550"/>
          <cell r="I550"/>
          <cell r="J550"/>
          <cell r="K550"/>
          <cell r="L550"/>
          <cell r="M550"/>
          <cell r="N550"/>
          <cell r="O550"/>
          <cell r="P550"/>
          <cell r="Q550"/>
          <cell r="R550"/>
          <cell r="S550"/>
          <cell r="T550"/>
          <cell r="U550"/>
          <cell r="V550"/>
          <cell r="W550"/>
          <cell r="X550"/>
          <cell r="Y550"/>
          <cell r="Z550"/>
          <cell r="AA550"/>
          <cell r="AB550"/>
          <cell r="AC550"/>
          <cell r="AD550"/>
          <cell r="AE550"/>
          <cell r="AF550"/>
          <cell r="AG550"/>
          <cell r="AH550"/>
          <cell r="AI550"/>
          <cell r="AJ550"/>
          <cell r="AK550"/>
          <cell r="AL550"/>
          <cell r="AM550"/>
          <cell r="AN550"/>
          <cell r="AO550"/>
          <cell r="AP550"/>
          <cell r="AQ550"/>
          <cell r="AR550"/>
          <cell r="AS550"/>
          <cell r="AT550"/>
          <cell r="AU550"/>
          <cell r="AV550"/>
          <cell r="AW550"/>
          <cell r="AX550"/>
          <cell r="AY550"/>
          <cell r="AZ550"/>
          <cell r="BA550"/>
          <cell r="BB550"/>
          <cell r="BC550"/>
          <cell r="BD550"/>
          <cell r="BE550"/>
          <cell r="BF550"/>
          <cell r="BG550"/>
          <cell r="BH550"/>
          <cell r="BI550"/>
          <cell r="BJ550"/>
          <cell r="BK550"/>
          <cell r="BL550"/>
          <cell r="BM550"/>
          <cell r="BN550"/>
          <cell r="BO550"/>
          <cell r="BP550"/>
          <cell r="BQ550"/>
          <cell r="BR550"/>
          <cell r="BS550"/>
          <cell r="BT550"/>
          <cell r="BU550"/>
          <cell r="BV550"/>
          <cell r="BW550"/>
          <cell r="BX550"/>
        </row>
        <row r="551">
          <cell r="A551" t="str">
            <v>Operating Metrics</v>
          </cell>
          <cell r="B551"/>
          <cell r="C551"/>
          <cell r="D551"/>
        </row>
        <row r="552">
          <cell r="B552" t="str">
            <v>GS CAMELOT implied P/B</v>
          </cell>
          <cell r="C552" t="str">
            <v>B_CAMELOT_PB</v>
          </cell>
          <cell r="F552"/>
          <cell r="G552"/>
          <cell r="H552"/>
          <cell r="I552"/>
          <cell r="J552"/>
          <cell r="K552"/>
          <cell r="L552"/>
          <cell r="M552"/>
          <cell r="N552"/>
          <cell r="O552"/>
          <cell r="P552"/>
          <cell r="Q552"/>
          <cell r="R552"/>
          <cell r="S552"/>
          <cell r="T552"/>
          <cell r="U552"/>
          <cell r="V552"/>
          <cell r="W552"/>
          <cell r="X552"/>
          <cell r="Y552"/>
          <cell r="Z552"/>
          <cell r="AA552"/>
          <cell r="AB552"/>
          <cell r="AC552"/>
          <cell r="AD552"/>
          <cell r="AE552"/>
          <cell r="AF552"/>
          <cell r="AG552"/>
          <cell r="AH552"/>
          <cell r="AI552"/>
          <cell r="AJ552"/>
          <cell r="AK552"/>
          <cell r="AL552"/>
          <cell r="AM552"/>
          <cell r="AN552"/>
          <cell r="AO552"/>
          <cell r="AP552"/>
          <cell r="AQ552"/>
          <cell r="AR552"/>
          <cell r="AS552"/>
          <cell r="AT552"/>
          <cell r="AU552"/>
          <cell r="AV552"/>
          <cell r="AW552"/>
          <cell r="AX552"/>
          <cell r="AY552"/>
          <cell r="AZ552"/>
          <cell r="BA552"/>
          <cell r="BB552"/>
          <cell r="BC552"/>
          <cell r="BD552"/>
          <cell r="BE552"/>
          <cell r="BF552"/>
          <cell r="BG552"/>
          <cell r="BH552"/>
          <cell r="BI552"/>
          <cell r="BJ552"/>
          <cell r="BK552"/>
          <cell r="BL552"/>
          <cell r="BM552"/>
          <cell r="BN552"/>
          <cell r="BO552"/>
          <cell r="BP552"/>
          <cell r="BQ552"/>
          <cell r="BR552"/>
          <cell r="BS552"/>
          <cell r="BT552"/>
          <cell r="BU552"/>
          <cell r="BV552"/>
          <cell r="BW552"/>
          <cell r="BX552"/>
        </row>
        <row r="553">
          <cell r="B553" t="str">
            <v>GS CAMELOT implied P/E</v>
          </cell>
          <cell r="C553" t="str">
            <v>B_CAMELOT_PE</v>
          </cell>
          <cell r="F553"/>
          <cell r="G553"/>
          <cell r="H553"/>
          <cell r="I553"/>
          <cell r="J553"/>
          <cell r="K553"/>
          <cell r="L553"/>
          <cell r="M553"/>
          <cell r="N553"/>
          <cell r="O553"/>
          <cell r="P553"/>
          <cell r="Q553"/>
          <cell r="R553"/>
          <cell r="S553"/>
          <cell r="T553"/>
          <cell r="U553"/>
          <cell r="V553"/>
          <cell r="W553"/>
          <cell r="X553"/>
          <cell r="Y553"/>
          <cell r="Z553"/>
          <cell r="AA553"/>
          <cell r="AB553"/>
          <cell r="AC553"/>
          <cell r="AD553"/>
          <cell r="AE553"/>
          <cell r="AF553"/>
          <cell r="AG553"/>
          <cell r="AH553"/>
          <cell r="AI553"/>
          <cell r="AJ553"/>
          <cell r="AK553"/>
          <cell r="AL553"/>
          <cell r="AM553"/>
          <cell r="AN553"/>
          <cell r="AO553"/>
          <cell r="AP553"/>
          <cell r="AQ553"/>
          <cell r="AR553"/>
          <cell r="AS553"/>
          <cell r="AT553"/>
          <cell r="AU553"/>
          <cell r="AV553"/>
          <cell r="AW553"/>
          <cell r="AX553"/>
          <cell r="AY553"/>
          <cell r="AZ553"/>
          <cell r="BA553"/>
          <cell r="BB553"/>
          <cell r="BC553"/>
          <cell r="BD553"/>
          <cell r="BE553"/>
          <cell r="BF553"/>
          <cell r="BG553"/>
          <cell r="BH553"/>
          <cell r="BI553"/>
          <cell r="BJ553"/>
          <cell r="BK553"/>
          <cell r="BL553"/>
          <cell r="BM553"/>
          <cell r="BN553"/>
          <cell r="BO553"/>
          <cell r="BP553"/>
          <cell r="BQ553"/>
          <cell r="BR553"/>
          <cell r="BS553"/>
          <cell r="BT553"/>
          <cell r="BU553"/>
          <cell r="BV553"/>
          <cell r="BW553"/>
          <cell r="BX553"/>
        </row>
        <row r="554">
          <cell r="B554" t="str">
            <v>CAMELOT beta</v>
          </cell>
          <cell r="C554" t="str">
            <v>B_CAMELOT_BETA</v>
          </cell>
          <cell r="F554"/>
          <cell r="G554"/>
          <cell r="H554"/>
          <cell r="I554"/>
          <cell r="J554"/>
          <cell r="K554"/>
          <cell r="L554"/>
          <cell r="M554"/>
          <cell r="N554"/>
          <cell r="O554"/>
          <cell r="P554"/>
          <cell r="Q554"/>
          <cell r="R554"/>
          <cell r="S554"/>
          <cell r="T554"/>
          <cell r="U554"/>
          <cell r="V554"/>
          <cell r="W554"/>
          <cell r="X554"/>
          <cell r="Y554"/>
          <cell r="Z554"/>
          <cell r="AA554"/>
          <cell r="AB554"/>
          <cell r="AC554"/>
          <cell r="AD554"/>
          <cell r="AE554"/>
          <cell r="AF554"/>
          <cell r="AG554"/>
          <cell r="AH554"/>
          <cell r="AI554"/>
          <cell r="AJ554"/>
          <cell r="AK554"/>
          <cell r="AL554"/>
          <cell r="AM554"/>
          <cell r="AN554"/>
          <cell r="AO554"/>
          <cell r="AP554"/>
          <cell r="AQ554"/>
          <cell r="AR554"/>
          <cell r="AS554"/>
          <cell r="AT554"/>
          <cell r="AU554"/>
          <cell r="AV554"/>
          <cell r="AW554"/>
          <cell r="AX554"/>
          <cell r="AY554"/>
          <cell r="AZ554"/>
          <cell r="BA554"/>
          <cell r="BB554"/>
          <cell r="BC554"/>
          <cell r="BD554"/>
          <cell r="BE554"/>
          <cell r="BF554"/>
          <cell r="BG554"/>
          <cell r="BH554"/>
          <cell r="BI554"/>
          <cell r="BJ554"/>
          <cell r="BK554"/>
          <cell r="BL554"/>
          <cell r="BM554"/>
          <cell r="BN554"/>
          <cell r="BO554"/>
          <cell r="BP554"/>
          <cell r="BQ554"/>
          <cell r="BR554"/>
          <cell r="BS554"/>
          <cell r="BT554"/>
          <cell r="BU554"/>
          <cell r="BV554"/>
          <cell r="BW554"/>
          <cell r="BX554"/>
        </row>
        <row r="555">
          <cell r="B555" t="str">
            <v>3-yr adjusted DPS CAGR for CAMELOT</v>
          </cell>
          <cell r="C555" t="str">
            <v>B_CAMELOT_CAGR_DPS</v>
          </cell>
          <cell r="F555"/>
          <cell r="G555"/>
          <cell r="H555"/>
          <cell r="I555"/>
          <cell r="J555"/>
          <cell r="K555"/>
          <cell r="L555"/>
          <cell r="M555"/>
          <cell r="N555"/>
          <cell r="O555"/>
          <cell r="P555"/>
          <cell r="Q555"/>
          <cell r="R555"/>
          <cell r="S555"/>
          <cell r="T555"/>
          <cell r="U555"/>
          <cell r="V555"/>
          <cell r="W555"/>
          <cell r="X555"/>
          <cell r="Y555"/>
          <cell r="Z555"/>
          <cell r="AA555"/>
          <cell r="AB555"/>
          <cell r="AC555"/>
          <cell r="AD555"/>
          <cell r="AE555"/>
          <cell r="AF555"/>
          <cell r="AG555"/>
          <cell r="AH555"/>
          <cell r="AI555"/>
          <cell r="AJ555"/>
          <cell r="AK555"/>
          <cell r="AL555"/>
          <cell r="AM555"/>
          <cell r="AN555"/>
          <cell r="AO555"/>
          <cell r="AP555"/>
          <cell r="AQ555"/>
          <cell r="AR555"/>
          <cell r="AS555"/>
          <cell r="AT555"/>
          <cell r="AU555"/>
          <cell r="AV555"/>
          <cell r="AW555"/>
          <cell r="AX555"/>
          <cell r="AY555"/>
          <cell r="AZ555"/>
          <cell r="BA555"/>
          <cell r="BB555"/>
          <cell r="BC555"/>
          <cell r="BD555"/>
          <cell r="BE555"/>
          <cell r="BF555"/>
          <cell r="BG555"/>
          <cell r="BH555"/>
          <cell r="BI555"/>
          <cell r="BJ555"/>
          <cell r="BK555"/>
          <cell r="BL555"/>
          <cell r="BM555"/>
          <cell r="BN555"/>
          <cell r="BO555"/>
          <cell r="BP555"/>
          <cell r="BQ555"/>
          <cell r="BR555"/>
          <cell r="BS555"/>
          <cell r="BT555"/>
          <cell r="BU555"/>
          <cell r="BV555"/>
          <cell r="BW555"/>
          <cell r="BX555"/>
        </row>
        <row r="556">
          <cell r="B556" t="str">
            <v>RIM valuation year</v>
          </cell>
          <cell r="C556" t="str">
            <v>VALUATION_YEAR</v>
          </cell>
          <cell r="E556"/>
        </row>
        <row r="557">
          <cell r="B557" t="str">
            <v>RIM forecast years</v>
          </cell>
          <cell r="C557" t="str">
            <v>B_FORECASTRANGE</v>
          </cell>
          <cell r="E557"/>
        </row>
        <row r="558">
          <cell r="B558" t="str">
            <v>RIM forecast period (years)</v>
          </cell>
          <cell r="C558" t="str">
            <v>B_FORECASTYRS</v>
          </cell>
          <cell r="E558"/>
        </row>
        <row r="559">
          <cell r="B559" t="str">
            <v>RIM assets (CAGR) - projected (%)</v>
          </cell>
          <cell r="C559" t="str">
            <v>GRTH_CAGR_TOT_ASSET_PROJECTED</v>
          </cell>
          <cell r="E559"/>
        </row>
        <row r="560">
          <cell r="B560" t="str">
            <v>RIM assets terminal year growth (%)</v>
          </cell>
          <cell r="C560" t="str">
            <v>GRTH_CAGR_TOT_ASSET_TERMINAL</v>
          </cell>
          <cell r="E560"/>
        </row>
        <row r="561">
          <cell r="B561" t="str">
            <v>RIM ROA (average) - projected (%)</v>
          </cell>
          <cell r="C561" t="str">
            <v>ROAA_PROJECTED</v>
          </cell>
          <cell r="E561"/>
        </row>
        <row r="562">
          <cell r="B562" t="str">
            <v>RIM ROE - terminal (%)</v>
          </cell>
          <cell r="C562" t="str">
            <v>ROE_TERMINAL</v>
          </cell>
          <cell r="E562"/>
        </row>
        <row r="563">
          <cell r="B563" t="str">
            <v>RIM implied P/B (X)</v>
          </cell>
          <cell r="C563" t="str">
            <v>B_RIM_PB</v>
          </cell>
          <cell r="E563"/>
        </row>
        <row r="564">
          <cell r="B564" t="str">
            <v>RIM implied P/E (X)</v>
          </cell>
          <cell r="C564" t="str">
            <v>B_RIM_PE</v>
          </cell>
          <cell r="E564"/>
        </row>
        <row r="565">
          <cell r="B565" t="str">
            <v>RIM beta (X)</v>
          </cell>
          <cell r="C565" t="str">
            <v>B_RIM_BETA</v>
          </cell>
          <cell r="E565"/>
        </row>
        <row r="566">
          <cell r="B566" t="str">
            <v>RIM cost of equity (%)</v>
          </cell>
          <cell r="C566" t="str">
            <v>B_RIM_COE</v>
          </cell>
          <cell r="E566"/>
        </row>
      </sheetData>
      <sheetData sheetId="6"/>
      <sheetData sheetId="7">
        <row r="52">
          <cell r="E52">
            <v>221.05158081165851</v>
          </cell>
        </row>
      </sheetData>
      <sheetData sheetId="8">
        <row r="1">
          <cell r="A1"/>
        </row>
      </sheetData>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Policy-Rate-Forecasts-EOP"/>
    </sheetNames>
    <sheetDataSet>
      <sheetData sheetId="0">
        <row r="2">
          <cell r="B2" t="str">
            <v>Period end</v>
          </cell>
          <cell r="C2" t="str">
            <v>Current</v>
          </cell>
          <cell r="D2">
            <v>33694</v>
          </cell>
          <cell r="E2">
            <v>33785</v>
          </cell>
          <cell r="F2">
            <v>33877</v>
          </cell>
          <cell r="G2">
            <v>33969</v>
          </cell>
          <cell r="H2">
            <v>34059</v>
          </cell>
          <cell r="I2">
            <v>34150</v>
          </cell>
          <cell r="J2">
            <v>34242</v>
          </cell>
          <cell r="K2">
            <v>34334</v>
          </cell>
          <cell r="L2">
            <v>34424</v>
          </cell>
          <cell r="M2">
            <v>34515</v>
          </cell>
          <cell r="N2">
            <v>34607</v>
          </cell>
          <cell r="O2">
            <v>34699</v>
          </cell>
          <cell r="P2">
            <v>34789</v>
          </cell>
          <cell r="Q2">
            <v>34880</v>
          </cell>
          <cell r="R2">
            <v>34972</v>
          </cell>
          <cell r="S2">
            <v>35064</v>
          </cell>
          <cell r="T2">
            <v>35155</v>
          </cell>
          <cell r="U2">
            <v>35246</v>
          </cell>
          <cell r="V2">
            <v>35338</v>
          </cell>
          <cell r="W2">
            <v>35430</v>
          </cell>
          <cell r="X2">
            <v>35520</v>
          </cell>
          <cell r="Y2">
            <v>35611</v>
          </cell>
          <cell r="Z2">
            <v>35703</v>
          </cell>
          <cell r="AA2">
            <v>35795</v>
          </cell>
          <cell r="AB2">
            <v>35885</v>
          </cell>
          <cell r="AC2">
            <v>35976</v>
          </cell>
          <cell r="AD2">
            <v>36068</v>
          </cell>
          <cell r="AE2">
            <v>36160</v>
          </cell>
          <cell r="AF2">
            <v>36250</v>
          </cell>
          <cell r="AG2">
            <v>36341</v>
          </cell>
          <cell r="AH2">
            <v>36433</v>
          </cell>
          <cell r="AI2">
            <v>36525</v>
          </cell>
          <cell r="AJ2">
            <v>36616</v>
          </cell>
          <cell r="AK2">
            <v>36707</v>
          </cell>
          <cell r="AL2">
            <v>36799</v>
          </cell>
          <cell r="AM2">
            <v>36891</v>
          </cell>
          <cell r="AN2">
            <v>36981</v>
          </cell>
          <cell r="AO2">
            <v>37072</v>
          </cell>
          <cell r="AP2">
            <v>37164</v>
          </cell>
          <cell r="AQ2">
            <v>37256</v>
          </cell>
          <cell r="AR2">
            <v>37346</v>
          </cell>
          <cell r="AS2">
            <v>37437</v>
          </cell>
          <cell r="AT2">
            <v>37529</v>
          </cell>
          <cell r="AU2">
            <v>37621</v>
          </cell>
          <cell r="AV2">
            <v>37711</v>
          </cell>
          <cell r="AW2">
            <v>37802</v>
          </cell>
          <cell r="AX2">
            <v>37894</v>
          </cell>
          <cell r="AY2">
            <v>37986</v>
          </cell>
          <cell r="AZ2">
            <v>38077</v>
          </cell>
          <cell r="BA2">
            <v>38168</v>
          </cell>
          <cell r="BB2">
            <v>38260</v>
          </cell>
          <cell r="BC2">
            <v>38352</v>
          </cell>
          <cell r="BD2">
            <v>38442</v>
          </cell>
          <cell r="BE2">
            <v>38533</v>
          </cell>
          <cell r="BF2">
            <v>38625</v>
          </cell>
          <cell r="BG2">
            <v>38717</v>
          </cell>
          <cell r="BH2">
            <v>38807</v>
          </cell>
          <cell r="BI2">
            <v>38898</v>
          </cell>
          <cell r="BJ2">
            <v>38990</v>
          </cell>
          <cell r="BK2">
            <v>39082</v>
          </cell>
          <cell r="BL2">
            <v>39172</v>
          </cell>
          <cell r="BM2">
            <v>39263</v>
          </cell>
          <cell r="BN2">
            <v>39355</v>
          </cell>
          <cell r="BO2">
            <v>39447</v>
          </cell>
          <cell r="BP2">
            <v>39538</v>
          </cell>
          <cell r="BQ2">
            <v>39629</v>
          </cell>
          <cell r="BR2">
            <v>39721</v>
          </cell>
          <cell r="BS2">
            <v>39813</v>
          </cell>
          <cell r="BT2">
            <v>39903</v>
          </cell>
          <cell r="BU2">
            <v>39994</v>
          </cell>
          <cell r="BV2">
            <v>40086</v>
          </cell>
          <cell r="BW2">
            <v>40178</v>
          </cell>
          <cell r="BX2">
            <v>40268</v>
          </cell>
          <cell r="BY2">
            <v>40359</v>
          </cell>
          <cell r="BZ2">
            <v>40451</v>
          </cell>
          <cell r="CA2">
            <v>40543</v>
          </cell>
          <cell r="CB2">
            <v>40633</v>
          </cell>
          <cell r="CC2">
            <v>40724</v>
          </cell>
          <cell r="CD2">
            <v>40816</v>
          </cell>
          <cell r="CE2">
            <v>40908</v>
          </cell>
          <cell r="CF2">
            <v>40999</v>
          </cell>
          <cell r="CG2">
            <v>41090</v>
          </cell>
          <cell r="CH2">
            <v>41182</v>
          </cell>
          <cell r="CI2">
            <v>41274</v>
          </cell>
          <cell r="CJ2">
            <v>41364</v>
          </cell>
          <cell r="CK2">
            <v>41455</v>
          </cell>
          <cell r="CL2">
            <v>41547</v>
          </cell>
          <cell r="CM2">
            <v>41639</v>
          </cell>
          <cell r="CN2">
            <v>41729</v>
          </cell>
          <cell r="CO2">
            <v>41820</v>
          </cell>
          <cell r="CP2">
            <v>41912</v>
          </cell>
          <cell r="CQ2">
            <v>42004</v>
          </cell>
          <cell r="CR2">
            <v>42094</v>
          </cell>
          <cell r="CS2">
            <v>42185</v>
          </cell>
          <cell r="CT2">
            <v>42277</v>
          </cell>
          <cell r="CU2">
            <v>42369</v>
          </cell>
          <cell r="CV2">
            <v>42460</v>
          </cell>
          <cell r="CW2">
            <v>42551</v>
          </cell>
          <cell r="CX2">
            <v>42643</v>
          </cell>
          <cell r="CY2">
            <v>42735</v>
          </cell>
          <cell r="CZ2">
            <v>42825</v>
          </cell>
          <cell r="DA2">
            <v>42916</v>
          </cell>
          <cell r="DB2">
            <v>43008</v>
          </cell>
          <cell r="DC2">
            <v>43100</v>
          </cell>
          <cell r="DD2">
            <v>43190</v>
          </cell>
          <cell r="DE2">
            <v>43281</v>
          </cell>
          <cell r="DF2">
            <v>43373</v>
          </cell>
          <cell r="DG2">
            <v>43465</v>
          </cell>
          <cell r="DH2">
            <v>43555</v>
          </cell>
          <cell r="DI2">
            <v>43646</v>
          </cell>
          <cell r="DJ2">
            <v>43738</v>
          </cell>
          <cell r="DK2">
            <v>43830</v>
          </cell>
          <cell r="DL2">
            <v>43921</v>
          </cell>
          <cell r="DM2">
            <v>44012</v>
          </cell>
          <cell r="DN2">
            <v>44104</v>
          </cell>
          <cell r="DO2">
            <v>44196</v>
          </cell>
          <cell r="DP2">
            <v>44286</v>
          </cell>
          <cell r="DQ2">
            <v>44377</v>
          </cell>
          <cell r="DR2">
            <v>44469</v>
          </cell>
          <cell r="DS2">
            <v>44561</v>
          </cell>
          <cell r="DT2">
            <v>44651</v>
          </cell>
          <cell r="DU2">
            <v>44742</v>
          </cell>
          <cell r="DV2">
            <v>44834</v>
          </cell>
          <cell r="DW2">
            <v>44926</v>
          </cell>
          <cell r="DX2">
            <v>45016</v>
          </cell>
          <cell r="DY2">
            <v>45107</v>
          </cell>
          <cell r="DZ2">
            <v>45199</v>
          </cell>
          <cell r="EA2">
            <v>45291</v>
          </cell>
          <cell r="EB2">
            <v>45382</v>
          </cell>
          <cell r="EC2">
            <v>45473</v>
          </cell>
          <cell r="ED2">
            <v>45565</v>
          </cell>
          <cell r="EE2">
            <v>45657</v>
          </cell>
          <cell r="EF2">
            <v>45747</v>
          </cell>
          <cell r="EG2">
            <v>45838</v>
          </cell>
          <cell r="EH2">
            <v>45930</v>
          </cell>
          <cell r="EI2">
            <v>46022</v>
          </cell>
          <cell r="EJ2">
            <v>46112</v>
          </cell>
          <cell r="EK2">
            <v>46203</v>
          </cell>
          <cell r="EL2">
            <v>46295</v>
          </cell>
          <cell r="EM2">
            <v>46387</v>
          </cell>
          <cell r="EN2">
            <v>46477</v>
          </cell>
          <cell r="EO2">
            <v>46568</v>
          </cell>
          <cell r="EP2">
            <v>46660</v>
          </cell>
          <cell r="EQ2">
            <v>46752</v>
          </cell>
          <cell r="ER2">
            <v>46843</v>
          </cell>
          <cell r="ES2">
            <v>46934</v>
          </cell>
          <cell r="ET2">
            <v>47026</v>
          </cell>
          <cell r="EU2">
            <v>47118</v>
          </cell>
          <cell r="EV2">
            <v>47208</v>
          </cell>
          <cell r="EW2">
            <v>47299</v>
          </cell>
          <cell r="EX2">
            <v>47391</v>
          </cell>
          <cell r="EY2">
            <v>47483</v>
          </cell>
          <cell r="EZ2">
            <v>47573</v>
          </cell>
          <cell r="FA2">
            <v>47664</v>
          </cell>
          <cell r="FB2">
            <v>47756</v>
          </cell>
          <cell r="FC2">
            <v>47848</v>
          </cell>
          <cell r="FD2">
            <v>47938</v>
          </cell>
          <cell r="FE2">
            <v>48029</v>
          </cell>
          <cell r="FF2">
            <v>48121</v>
          </cell>
          <cell r="FG2">
            <v>48213</v>
          </cell>
          <cell r="FH2">
            <v>48304</v>
          </cell>
          <cell r="FI2">
            <v>48395</v>
          </cell>
          <cell r="FJ2">
            <v>48487</v>
          </cell>
          <cell r="FK2">
            <v>48579</v>
          </cell>
          <cell r="FL2">
            <v>48669</v>
          </cell>
          <cell r="FM2">
            <v>48760</v>
          </cell>
          <cell r="FN2">
            <v>48852</v>
          </cell>
          <cell r="FO2">
            <v>48944</v>
          </cell>
          <cell r="FP2">
            <v>49034</v>
          </cell>
          <cell r="FQ2">
            <v>49125</v>
          </cell>
          <cell r="FR2">
            <v>49217</v>
          </cell>
          <cell r="FS2">
            <v>49309</v>
          </cell>
          <cell r="FT2">
            <v>49399</v>
          </cell>
          <cell r="FU2">
            <v>49490</v>
          </cell>
        </row>
        <row r="4">
          <cell r="A4" t="str">
            <v>VLOOKUP CODING</v>
          </cell>
          <cell r="B4" t="str">
            <v>COLOUR CODING</v>
          </cell>
        </row>
        <row r="6">
          <cell r="B6" t="str">
            <v>Calculations</v>
          </cell>
        </row>
        <row r="7">
          <cell r="B7" t="str">
            <v>Actuals</v>
          </cell>
        </row>
        <row r="8">
          <cell r="B8" t="str">
            <v>Assumptions</v>
          </cell>
        </row>
        <row r="9">
          <cell r="B9" t="str">
            <v>External links</v>
          </cell>
        </row>
        <row r="11">
          <cell r="B11" t="str">
            <v>Valuation</v>
          </cell>
        </row>
        <row r="12">
          <cell r="A12" t="str">
            <v>Valn_AsAtDate</v>
          </cell>
          <cell r="B12" t="str">
            <v>Valuation as at date</v>
          </cell>
          <cell r="C12">
            <v>46265</v>
          </cell>
        </row>
        <row r="13">
          <cell r="A13" t="str">
            <v>Valn_TerminalGrowth</v>
          </cell>
          <cell r="B13" t="str">
            <v>Terminal growth rate</v>
          </cell>
          <cell r="C13">
            <v>2.5000000000000001E-2</v>
          </cell>
        </row>
        <row r="14">
          <cell r="A14" t="str">
            <v>Valn_RiskFreeRate</v>
          </cell>
          <cell r="B14" t="str">
            <v>Risk free rate (Rf)</v>
          </cell>
          <cell r="C14">
            <v>3.5000000000000003E-2</v>
          </cell>
        </row>
        <row r="15">
          <cell r="A15" t="str">
            <v>Valn_MRP</v>
          </cell>
          <cell r="B15" t="str">
            <v>Market risk premium (Rm)</v>
          </cell>
          <cell r="C15">
            <v>0.06</v>
          </cell>
        </row>
        <row r="18">
          <cell r="B18" t="str">
            <v>Rates - period end</v>
          </cell>
        </row>
        <row r="19">
          <cell r="A19" t="str">
            <v>au_cash</v>
          </cell>
          <cell r="B19" t="str">
            <v>Aust cash</v>
          </cell>
          <cell r="D19">
            <v>7.4499999999999997E-2</v>
          </cell>
          <cell r="E19">
            <v>6.5000000000000002E-2</v>
          </cell>
          <cell r="F19">
            <v>5.2999999999999999E-2</v>
          </cell>
          <cell r="G19">
            <v>5.7500000000000002E-2</v>
          </cell>
          <cell r="H19">
            <v>5.1500000000000004E-2</v>
          </cell>
          <cell r="I19">
            <v>5.1500000000000004E-2</v>
          </cell>
          <cell r="J19">
            <v>4.7E-2</v>
          </cell>
          <cell r="K19">
            <v>4.8000000000000001E-2</v>
          </cell>
          <cell r="L19">
            <v>4.7500000000000001E-2</v>
          </cell>
          <cell r="M19">
            <v>4.4999999999999998E-2</v>
          </cell>
          <cell r="N19">
            <v>5.5E-2</v>
          </cell>
          <cell r="O19">
            <v>7.4499999999999997E-2</v>
          </cell>
          <cell r="P19">
            <v>7.4499999999999997E-2</v>
          </cell>
          <cell r="Q19">
            <v>7.3700000000000002E-2</v>
          </cell>
          <cell r="R19">
            <v>7.400000000000001E-2</v>
          </cell>
          <cell r="S19">
            <v>7.400000000000001E-2</v>
          </cell>
          <cell r="T19">
            <v>7.2999999999999995E-2</v>
          </cell>
          <cell r="U19">
            <v>7.0000000000000007E-2</v>
          </cell>
          <cell r="V19">
            <v>7.0499999999999993E-2</v>
          </cell>
          <cell r="W19">
            <v>6.0899999999999996E-2</v>
          </cell>
          <cell r="X19">
            <v>6.13E-2</v>
          </cell>
          <cell r="Y19">
            <v>5.5E-2</v>
          </cell>
          <cell r="Z19">
            <v>4.9800000000000004E-2</v>
          </cell>
          <cell r="AA19">
            <v>4.9800000000000004E-2</v>
          </cell>
          <cell r="AB19">
            <v>4.9800000000000004E-2</v>
          </cell>
          <cell r="AC19">
            <v>4.9800000000000004E-2</v>
          </cell>
          <cell r="AD19">
            <v>4.9599999999999998E-2</v>
          </cell>
          <cell r="AE19">
            <v>4.7199999999999999E-2</v>
          </cell>
          <cell r="AF19">
            <v>4.7400000000000005E-2</v>
          </cell>
          <cell r="AG19">
            <v>4.7800000000000002E-2</v>
          </cell>
          <cell r="AH19">
            <v>4.7599999999999996E-2</v>
          </cell>
          <cell r="AI19">
            <v>0.05</v>
          </cell>
          <cell r="AJ19">
            <v>5.5E-2</v>
          </cell>
          <cell r="AK19">
            <v>0.06</v>
          </cell>
          <cell r="AL19">
            <v>6.25E-2</v>
          </cell>
          <cell r="AM19">
            <v>6.25E-2</v>
          </cell>
          <cell r="AN19">
            <v>5.5E-2</v>
          </cell>
          <cell r="AO19">
            <v>0.05</v>
          </cell>
          <cell r="AP19">
            <v>4.7500000000000001E-2</v>
          </cell>
          <cell r="AQ19">
            <v>4.2500000000000003E-2</v>
          </cell>
          <cell r="AR19">
            <v>4.2500000000000003E-2</v>
          </cell>
          <cell r="AS19">
            <v>4.7500000000000001E-2</v>
          </cell>
          <cell r="AT19">
            <v>4.7500000000000001E-2</v>
          </cell>
          <cell r="AU19">
            <v>4.7500000000000001E-2</v>
          </cell>
          <cell r="AV19">
            <v>4.7500000000000001E-2</v>
          </cell>
          <cell r="AW19">
            <v>4.7500000000000001E-2</v>
          </cell>
          <cell r="AX19">
            <v>4.7500000000000001E-2</v>
          </cell>
          <cell r="AY19">
            <v>5.2499999999999998E-2</v>
          </cell>
          <cell r="AZ19">
            <v>5.2499999999999998E-2</v>
          </cell>
          <cell r="BA19">
            <v>5.2499999999999998E-2</v>
          </cell>
          <cell r="BB19">
            <v>5.2499999999999998E-2</v>
          </cell>
          <cell r="BC19">
            <v>5.2499999999999998E-2</v>
          </cell>
          <cell r="BD19">
            <v>5.5E-2</v>
          </cell>
          <cell r="BE19">
            <v>5.5E-2</v>
          </cell>
          <cell r="BF19">
            <v>5.5E-2</v>
          </cell>
          <cell r="BG19">
            <v>5.5E-2</v>
          </cell>
          <cell r="BH19">
            <v>5.5E-2</v>
          </cell>
          <cell r="BI19">
            <v>5.7500000000000002E-2</v>
          </cell>
          <cell r="BJ19">
            <v>0.06</v>
          </cell>
          <cell r="BK19">
            <v>6.25E-2</v>
          </cell>
          <cell r="BL19">
            <v>6.25E-2</v>
          </cell>
          <cell r="BM19">
            <v>6.25E-2</v>
          </cell>
          <cell r="BN19">
            <v>6.5000000000000002E-2</v>
          </cell>
          <cell r="BO19">
            <v>6.7500000000000004E-2</v>
          </cell>
          <cell r="BP19">
            <v>7.2499999999999995E-2</v>
          </cell>
          <cell r="BQ19">
            <v>7.2499999999999995E-2</v>
          </cell>
          <cell r="BR19">
            <v>7.0000000000000007E-2</v>
          </cell>
          <cell r="BS19">
            <v>4.2500000000000003E-2</v>
          </cell>
          <cell r="BT19">
            <v>3.2500000000000001E-2</v>
          </cell>
          <cell r="BU19">
            <v>0.03</v>
          </cell>
          <cell r="BV19">
            <v>0.03</v>
          </cell>
          <cell r="BW19">
            <v>3.7499999999999999E-2</v>
          </cell>
          <cell r="BX19">
            <v>0.04</v>
          </cell>
          <cell r="BY19">
            <v>4.4999999999999998E-2</v>
          </cell>
          <cell r="BZ19">
            <v>4.4999999999999998E-2</v>
          </cell>
          <cell r="CA19">
            <v>4.7500000000000001E-2</v>
          </cell>
          <cell r="CB19">
            <v>4.7500000000000001E-2</v>
          </cell>
          <cell r="CC19">
            <v>4.7500000000000001E-2</v>
          </cell>
          <cell r="CD19">
            <v>4.7500000000000001E-2</v>
          </cell>
          <cell r="CE19">
            <v>4.2500000000000003E-2</v>
          </cell>
          <cell r="CF19">
            <v>4.2500000000000003E-2</v>
          </cell>
          <cell r="CG19">
            <v>3.5000000000000003E-2</v>
          </cell>
          <cell r="CH19">
            <v>3.5000000000000003E-2</v>
          </cell>
          <cell r="CI19">
            <v>0.03</v>
          </cell>
          <cell r="CJ19">
            <v>0.03</v>
          </cell>
          <cell r="CK19">
            <v>2.75E-2</v>
          </cell>
          <cell r="CL19">
            <v>2.5000000000000001E-2</v>
          </cell>
          <cell r="CM19">
            <v>2.5000000000000001E-2</v>
          </cell>
          <cell r="CN19">
            <v>2.5000000000000001E-2</v>
          </cell>
          <cell r="CO19">
            <v>2.5000000000000001E-2</v>
          </cell>
          <cell r="CP19">
            <v>2.5000000000000001E-2</v>
          </cell>
          <cell r="CQ19">
            <v>2.5000000000000001E-2</v>
          </cell>
          <cell r="CR19">
            <v>2.2499999999999999E-2</v>
          </cell>
          <cell r="CS19">
            <v>0.02</v>
          </cell>
          <cell r="CT19">
            <v>0.02</v>
          </cell>
          <cell r="CU19">
            <v>0.02</v>
          </cell>
          <cell r="CV19">
            <v>0.02</v>
          </cell>
          <cell r="CW19">
            <v>1.7500000000000002E-2</v>
          </cell>
          <cell r="CX19">
            <v>1.4999999999999999E-2</v>
          </cell>
          <cell r="CY19">
            <v>1.4999999999999999E-2</v>
          </cell>
          <cell r="CZ19">
            <v>1.4999999999999999E-2</v>
          </cell>
          <cell r="DA19">
            <v>1.4999999999999999E-2</v>
          </cell>
          <cell r="DB19">
            <v>1.4999999999999999E-2</v>
          </cell>
          <cell r="DC19">
            <v>1.4999999999999999E-2</v>
          </cell>
          <cell r="DD19">
            <v>1.4999999999999999E-2</v>
          </cell>
          <cell r="DE19">
            <v>1.4999999999999999E-2</v>
          </cell>
          <cell r="DF19">
            <v>1.4999999999999999E-2</v>
          </cell>
          <cell r="DG19">
            <v>1.4999999999999999E-2</v>
          </cell>
          <cell r="DH19">
            <v>1.4999999999999999E-2</v>
          </cell>
          <cell r="DI19">
            <v>1.2500000000000001E-2</v>
          </cell>
          <cell r="DJ19">
            <v>0.01</v>
          </cell>
          <cell r="DK19">
            <v>7.4999999999999997E-3</v>
          </cell>
          <cell r="DL19">
            <v>2.5000000000000001E-3</v>
          </cell>
          <cell r="DM19">
            <v>2.5000000000000001E-3</v>
          </cell>
          <cell r="DN19">
            <v>2.5000000000000001E-3</v>
          </cell>
          <cell r="DO19">
            <v>1E-3</v>
          </cell>
          <cell r="DP19">
            <v>1E-3</v>
          </cell>
          <cell r="DQ19">
            <v>1E-3</v>
          </cell>
          <cell r="DR19">
            <v>1E-3</v>
          </cell>
          <cell r="DS19">
            <v>1E-3</v>
          </cell>
          <cell r="DT19">
            <v>1E-3</v>
          </cell>
          <cell r="DU19">
            <v>8.5000000000000006E-3</v>
          </cell>
          <cell r="DV19">
            <v>2.35E-2</v>
          </cell>
          <cell r="DW19">
            <v>3.1E-2</v>
          </cell>
          <cell r="DX19">
            <v>3.6000000000000004E-2</v>
          </cell>
          <cell r="DY19">
            <v>4.0999999999999995E-2</v>
          </cell>
          <cell r="DZ19">
            <v>4.0999999999999995E-2</v>
          </cell>
          <cell r="EA19">
            <v>4.3499999999999997E-2</v>
          </cell>
          <cell r="EB19">
            <v>4.3499999999999997E-2</v>
          </cell>
          <cell r="EC19">
            <v>4.3499999999999997E-2</v>
          </cell>
          <cell r="ED19">
            <v>4.3499999999999997E-2</v>
          </cell>
          <cell r="EE19">
            <v>4.3499999999999997E-2</v>
          </cell>
          <cell r="EF19">
            <v>4.0999999999999995E-2</v>
          </cell>
          <cell r="EG19">
            <v>3.85E-2</v>
          </cell>
          <cell r="EH19">
            <v>3.6000000000000004E-2</v>
          </cell>
          <cell r="EI19">
            <v>3.6000000000000004E-2</v>
          </cell>
          <cell r="EJ19">
            <v>3.85E-2</v>
          </cell>
          <cell r="EK19">
            <v>4.0999999999999995E-2</v>
          </cell>
          <cell r="EL19">
            <v>4.0999999999999995E-2</v>
          </cell>
          <cell r="EM19">
            <v>4.0999999999999995E-2</v>
          </cell>
          <cell r="EN19">
            <v>3.85E-2</v>
          </cell>
          <cell r="EO19">
            <v>3.6000000000000004E-2</v>
          </cell>
          <cell r="EP19">
            <v>3.6000000000000004E-2</v>
          </cell>
          <cell r="EQ19">
            <v>3.6000000000000004E-2</v>
          </cell>
          <cell r="ER19">
            <v>3.6000000000000004E-2</v>
          </cell>
          <cell r="ES19">
            <v>3.6000000000000004E-2</v>
          </cell>
          <cell r="ET19">
            <v>3.6000000000000004E-2</v>
          </cell>
          <cell r="EU19">
            <v>3.6000000000000004E-2</v>
          </cell>
          <cell r="EV19">
            <v>3.6000000000000004E-2</v>
          </cell>
          <cell r="EW19">
            <v>3.6000000000000004E-2</v>
          </cell>
          <cell r="EX19">
            <v>3.6000000000000004E-2</v>
          </cell>
          <cell r="EY19">
            <v>3.6000000000000004E-2</v>
          </cell>
          <cell r="EZ19">
            <v>3.6000000000000004E-2</v>
          </cell>
          <cell r="FA19">
            <v>3.6000000000000004E-2</v>
          </cell>
          <cell r="FB19">
            <v>3.6000000000000004E-2</v>
          </cell>
          <cell r="FC19">
            <v>3.6000000000000004E-2</v>
          </cell>
          <cell r="FD19">
            <v>3.6000000000000004E-2</v>
          </cell>
          <cell r="FE19">
            <v>3.6000000000000004E-2</v>
          </cell>
          <cell r="FF19">
            <v>3.6000000000000004E-2</v>
          </cell>
          <cell r="FG19">
            <v>3.6000000000000004E-2</v>
          </cell>
          <cell r="FH19">
            <v>3.6000000000000004E-2</v>
          </cell>
          <cell r="FI19">
            <v>3.6000000000000004E-2</v>
          </cell>
          <cell r="FJ19">
            <v>3.6000000000000004E-2</v>
          </cell>
          <cell r="FK19">
            <v>3.6000000000000004E-2</v>
          </cell>
          <cell r="FL19">
            <v>3.6000000000000004E-2</v>
          </cell>
          <cell r="FM19">
            <v>3.6000000000000004E-2</v>
          </cell>
          <cell r="FN19">
            <v>3.6000000000000004E-2</v>
          </cell>
          <cell r="FO19">
            <v>3.6000000000000004E-2</v>
          </cell>
          <cell r="FP19">
            <v>3.6000000000000004E-2</v>
          </cell>
          <cell r="FQ19">
            <v>3.6000000000000004E-2</v>
          </cell>
          <cell r="FR19">
            <v>3.6000000000000004E-2</v>
          </cell>
          <cell r="FS19">
            <v>3.6000000000000004E-2</v>
          </cell>
          <cell r="FT19">
            <v>3.6000000000000004E-2</v>
          </cell>
          <cell r="FU19">
            <v>3.6000000000000004E-2</v>
          </cell>
        </row>
        <row r="20">
          <cell r="A20" t="str">
            <v>au_bbsw3m</v>
          </cell>
          <cell r="B20" t="str">
            <v>Aust 90 day bill</v>
          </cell>
          <cell r="D20">
            <v>7.5399999999999995E-2</v>
          </cell>
          <cell r="E20">
            <v>6.2300000000000001E-2</v>
          </cell>
          <cell r="F20">
            <v>0.06</v>
          </cell>
          <cell r="G20">
            <v>5.9400000000000001E-2</v>
          </cell>
          <cell r="H20">
            <v>5.3399999999999996E-2</v>
          </cell>
          <cell r="I20">
            <v>5.2600000000000001E-2</v>
          </cell>
          <cell r="J20">
            <v>4.87E-2</v>
          </cell>
          <cell r="K20">
            <v>4.8399999999999999E-2</v>
          </cell>
          <cell r="L20">
            <v>4.9699999999999994E-2</v>
          </cell>
          <cell r="M20">
            <v>5.6900000000000006E-2</v>
          </cell>
          <cell r="N20">
            <v>6.2329999999999997E-2</v>
          </cell>
          <cell r="O20">
            <v>8.2180000000000003E-2</v>
          </cell>
          <cell r="P20">
            <v>8.1750000000000003E-2</v>
          </cell>
          <cell r="Q20">
            <v>7.5740000000000002E-2</v>
          </cell>
          <cell r="R20">
            <v>7.5179999999999997E-2</v>
          </cell>
          <cell r="S20">
            <v>7.4370000000000006E-2</v>
          </cell>
          <cell r="T20">
            <v>7.5830000000000009E-2</v>
          </cell>
          <cell r="U20">
            <v>7.5869999999999993E-2</v>
          </cell>
          <cell r="V20">
            <v>6.8430000000000005E-2</v>
          </cell>
          <cell r="W20">
            <v>5.987E-2</v>
          </cell>
          <cell r="X20">
            <v>6.0929999999999998E-2</v>
          </cell>
          <cell r="Y20">
            <v>5.3467000000000001E-2</v>
          </cell>
          <cell r="Z20">
            <v>4.7750000000000001E-2</v>
          </cell>
          <cell r="AA20">
            <v>5.0650000000000001E-2</v>
          </cell>
          <cell r="AB20">
            <v>4.9800000000000004E-2</v>
          </cell>
          <cell r="AC20">
            <v>5.2699999999999997E-2</v>
          </cell>
          <cell r="AD20">
            <v>4.9867000000000002E-2</v>
          </cell>
          <cell r="AE20">
            <v>4.8250000000000001E-2</v>
          </cell>
          <cell r="AF20">
            <v>4.8282999999999993E-2</v>
          </cell>
          <cell r="AG20">
            <v>4.9832999999999995E-2</v>
          </cell>
          <cell r="AH20">
            <v>5.0999999999999997E-2</v>
          </cell>
          <cell r="AI20">
            <v>5.7382999999999997E-2</v>
          </cell>
          <cell r="AJ20">
            <v>6.0449999999999997E-2</v>
          </cell>
          <cell r="AK20">
            <v>6.1717000000000001E-2</v>
          </cell>
          <cell r="AL20">
            <v>6.6317000000000001E-2</v>
          </cell>
          <cell r="AM20">
            <v>6.1500000000000006E-2</v>
          </cell>
          <cell r="AN20">
            <v>5.1200000000000002E-2</v>
          </cell>
          <cell r="AO20">
            <v>5.0117000000000002E-2</v>
          </cell>
          <cell r="AP20">
            <v>4.3799999999999999E-2</v>
          </cell>
          <cell r="AQ20">
            <v>4.2466999999999998E-2</v>
          </cell>
          <cell r="AR20">
            <v>4.6367000000000005E-2</v>
          </cell>
          <cell r="AS20">
            <v>5.1150000000000001E-2</v>
          </cell>
          <cell r="AT20">
            <v>4.9016999999999998E-2</v>
          </cell>
          <cell r="AU20">
            <v>4.7899999999999998E-2</v>
          </cell>
          <cell r="AV20">
            <v>4.7933000000000003E-2</v>
          </cell>
          <cell r="AW20">
            <v>4.6799999999999994E-2</v>
          </cell>
          <cell r="AX20">
            <v>4.9067E-2</v>
          </cell>
          <cell r="AY20">
            <v>5.525E-2</v>
          </cell>
          <cell r="AZ20">
            <v>5.5217000000000002E-2</v>
          </cell>
          <cell r="BA20">
            <v>5.4782999999999998E-2</v>
          </cell>
          <cell r="BB20">
            <v>5.4332999999999999E-2</v>
          </cell>
          <cell r="BC20">
            <v>5.4332999999999999E-2</v>
          </cell>
          <cell r="BD20">
            <v>5.9249999999999997E-2</v>
          </cell>
          <cell r="BE20">
            <v>5.6666999999999995E-2</v>
          </cell>
          <cell r="BF20">
            <v>5.6550000000000003E-2</v>
          </cell>
          <cell r="BG20">
            <v>5.6482999999999998E-2</v>
          </cell>
          <cell r="BH20">
            <v>5.6100000000000004E-2</v>
          </cell>
          <cell r="BI20">
            <v>5.9800000000000006E-2</v>
          </cell>
          <cell r="BJ20">
            <v>6.1733000000000003E-2</v>
          </cell>
          <cell r="BK20">
            <v>6.4417000000000002E-2</v>
          </cell>
          <cell r="BL20">
            <v>6.515E-2</v>
          </cell>
          <cell r="BM20">
            <v>6.4367000000000008E-2</v>
          </cell>
          <cell r="BN20">
            <v>6.8849999999999995E-2</v>
          </cell>
          <cell r="BO20">
            <v>7.2400000000000006E-2</v>
          </cell>
          <cell r="BP20">
            <v>7.8632999999999995E-2</v>
          </cell>
          <cell r="BQ20">
            <v>7.8383000000000008E-2</v>
          </cell>
          <cell r="BR20">
            <v>7.3217000000000004E-2</v>
          </cell>
          <cell r="BS20">
            <v>4.1500000000000002E-2</v>
          </cell>
          <cell r="BT20">
            <v>3.1383000000000001E-2</v>
          </cell>
          <cell r="BU20">
            <v>3.1899999999999998E-2</v>
          </cell>
          <cell r="BV20">
            <v>3.3766999999999998E-2</v>
          </cell>
          <cell r="BW20">
            <v>4.2782999999999995E-2</v>
          </cell>
          <cell r="BX20">
            <v>4.4932999999999994E-2</v>
          </cell>
          <cell r="BY20">
            <v>4.9200000000000001E-2</v>
          </cell>
          <cell r="BZ20">
            <v>5.0117000000000002E-2</v>
          </cell>
          <cell r="CA20">
            <v>5.0317000000000001E-2</v>
          </cell>
          <cell r="CB20">
            <v>4.9317E-2</v>
          </cell>
          <cell r="CC20">
            <v>5.0332999999999996E-2</v>
          </cell>
          <cell r="CD20">
            <v>4.9217000000000004E-2</v>
          </cell>
          <cell r="CE20">
            <v>4.4782999999999996E-2</v>
          </cell>
          <cell r="CF20">
            <v>4.3400000000000001E-2</v>
          </cell>
          <cell r="CG20">
            <v>3.4849999999999999E-2</v>
          </cell>
          <cell r="CH20">
            <v>3.3700000000000001E-2</v>
          </cell>
          <cell r="CI20">
            <v>3.1099999999999999E-2</v>
          </cell>
          <cell r="CJ20">
            <v>3.1042E-2</v>
          </cell>
          <cell r="CK20">
            <v>2.8199999999999999E-2</v>
          </cell>
          <cell r="CL20">
            <v>2.5966999999999997E-2</v>
          </cell>
          <cell r="CM20">
            <v>2.6467000000000001E-2</v>
          </cell>
          <cell r="CN20">
            <v>2.6949999999999998E-2</v>
          </cell>
          <cell r="CO20">
            <v>2.7050000000000001E-2</v>
          </cell>
          <cell r="CP20">
            <v>2.665E-2</v>
          </cell>
          <cell r="CQ20">
            <v>2.7699999999999999E-2</v>
          </cell>
          <cell r="CR20">
            <v>2.2250000000000002E-2</v>
          </cell>
          <cell r="CS20">
            <v>2.1499999999999998E-2</v>
          </cell>
          <cell r="CT20">
            <v>2.18E-2</v>
          </cell>
          <cell r="CU20">
            <v>2.375E-2</v>
          </cell>
          <cell r="CV20">
            <v>2.2850000000000002E-2</v>
          </cell>
          <cell r="CW20">
            <v>1.9599999999999999E-2</v>
          </cell>
          <cell r="CX20">
            <v>1.7399999999999999E-2</v>
          </cell>
          <cell r="CY20">
            <v>1.8149999999999999E-2</v>
          </cell>
          <cell r="CZ20">
            <v>1.7950000000000001E-2</v>
          </cell>
          <cell r="DA20">
            <v>1.7049999999999999E-2</v>
          </cell>
          <cell r="DB20">
            <v>1.7100000000000001E-2</v>
          </cell>
          <cell r="DC20">
            <v>1.7950000000000001E-2</v>
          </cell>
          <cell r="DD20">
            <v>2.0299999999999999E-2</v>
          </cell>
          <cell r="DE20">
            <v>2.1104999999999999E-2</v>
          </cell>
          <cell r="DF20">
            <v>1.9400000000000001E-2</v>
          </cell>
          <cell r="DG20">
            <v>2.0899999999999998E-2</v>
          </cell>
          <cell r="DH20">
            <v>1.7704999999999999E-2</v>
          </cell>
          <cell r="DI20">
            <v>1.2045999999999999E-2</v>
          </cell>
          <cell r="DJ20">
            <v>9.4999999999999998E-3</v>
          </cell>
          <cell r="DK20">
            <v>9.2239999999999996E-3</v>
          </cell>
          <cell r="DL20">
            <v>3.7330000000000002E-3</v>
          </cell>
          <cell r="DM20">
            <v>1.0150000000000001E-3</v>
          </cell>
          <cell r="DN20">
            <v>8.9999999999999998E-4</v>
          </cell>
          <cell r="DO20">
            <v>1E-4</v>
          </cell>
          <cell r="DP20">
            <v>3.5000000000000005E-4</v>
          </cell>
          <cell r="DQ20">
            <v>3.0299999999999999E-4</v>
          </cell>
          <cell r="DR20">
            <v>1.9599999999999999E-4</v>
          </cell>
          <cell r="DS20">
            <v>6.7699999999999998E-4</v>
          </cell>
          <cell r="DT20">
            <v>2.3150000000000002E-3</v>
          </cell>
          <cell r="DU20">
            <v>1.8131999999999999E-2</v>
          </cell>
          <cell r="DV20">
            <v>3.0630999999999999E-2</v>
          </cell>
          <cell r="DW20">
            <v>3.2647000000000002E-2</v>
          </cell>
          <cell r="DX20">
            <v>3.7149999999999996E-2</v>
          </cell>
          <cell r="DY20">
            <v>4.3506999999999997E-2</v>
          </cell>
          <cell r="DZ20">
            <v>4.1399999999999999E-2</v>
          </cell>
          <cell r="EA20">
            <v>4.36E-2</v>
          </cell>
          <cell r="EB20">
            <v>4.3442000000000001E-2</v>
          </cell>
          <cell r="EC20">
            <v>4.4452999999999993E-2</v>
          </cell>
          <cell r="ED20">
            <v>4.4340999999999998E-2</v>
          </cell>
          <cell r="EE20">
            <v>4.4162999999999994E-2</v>
          </cell>
          <cell r="EF20">
            <v>4.1253999999999999E-2</v>
          </cell>
          <cell r="EG20">
            <v>3.6037E-2</v>
          </cell>
          <cell r="EH20">
            <v>3.5763999999999997E-2</v>
          </cell>
          <cell r="EI20">
            <v>3.7374999999999999E-2</v>
          </cell>
          <cell r="EJ20">
            <v>3.95E-2</v>
          </cell>
          <cell r="EK20">
            <v>4.2499999999999996E-2</v>
          </cell>
          <cell r="EL20">
            <v>4.2999999999999997E-2</v>
          </cell>
          <cell r="EM20">
            <v>4.3499999999999997E-2</v>
          </cell>
          <cell r="EN20">
            <v>4.1000000000000002E-2</v>
          </cell>
          <cell r="EO20">
            <v>3.8500000000000006E-2</v>
          </cell>
          <cell r="EP20">
            <v>3.8500000000000006E-2</v>
          </cell>
          <cell r="EQ20">
            <v>3.8500000000000006E-2</v>
          </cell>
          <cell r="ER20">
            <v>3.8500000000000006E-2</v>
          </cell>
          <cell r="ES20">
            <v>3.8500000000000006E-2</v>
          </cell>
          <cell r="ET20">
            <v>3.8500000000000006E-2</v>
          </cell>
          <cell r="EU20">
            <v>3.8500000000000006E-2</v>
          </cell>
          <cell r="EV20">
            <v>3.8500000000000006E-2</v>
          </cell>
          <cell r="EW20">
            <v>3.8500000000000006E-2</v>
          </cell>
          <cell r="EX20">
            <v>3.8500000000000006E-2</v>
          </cell>
          <cell r="EY20">
            <v>3.8500000000000006E-2</v>
          </cell>
          <cell r="EZ20">
            <v>3.8500000000000006E-2</v>
          </cell>
          <cell r="FA20">
            <v>3.8500000000000006E-2</v>
          </cell>
          <cell r="FB20">
            <v>3.8500000000000006E-2</v>
          </cell>
          <cell r="FC20">
            <v>3.8500000000000006E-2</v>
          </cell>
          <cell r="FD20">
            <v>3.8500000000000006E-2</v>
          </cell>
          <cell r="FE20">
            <v>3.8500000000000006E-2</v>
          </cell>
          <cell r="FF20">
            <v>3.8500000000000006E-2</v>
          </cell>
          <cell r="FG20">
            <v>3.8500000000000006E-2</v>
          </cell>
          <cell r="FH20">
            <v>3.8500000000000006E-2</v>
          </cell>
          <cell r="FI20">
            <v>3.8500000000000006E-2</v>
          </cell>
          <cell r="FJ20">
            <v>3.8500000000000006E-2</v>
          </cell>
          <cell r="FK20">
            <v>3.8500000000000006E-2</v>
          </cell>
          <cell r="FL20">
            <v>3.8500000000000006E-2</v>
          </cell>
          <cell r="FM20">
            <v>3.8500000000000006E-2</v>
          </cell>
          <cell r="FN20">
            <v>3.8500000000000006E-2</v>
          </cell>
          <cell r="FO20">
            <v>3.8500000000000006E-2</v>
          </cell>
          <cell r="FP20">
            <v>3.8500000000000006E-2</v>
          </cell>
          <cell r="FQ20">
            <v>3.8500000000000006E-2</v>
          </cell>
          <cell r="FR20">
            <v>3.8500000000000006E-2</v>
          </cell>
          <cell r="FS20">
            <v>3.8500000000000006E-2</v>
          </cell>
          <cell r="FT20">
            <v>3.8500000000000006E-2</v>
          </cell>
          <cell r="FU20">
            <v>3.8500000000000006E-2</v>
          </cell>
        </row>
        <row r="21">
          <cell r="A21" t="str">
            <v>au_govt10y</v>
          </cell>
          <cell r="B21" t="str">
            <v>Aust 10 yr Bond Rate</v>
          </cell>
          <cell r="M21">
            <v>9.64E-2</v>
          </cell>
          <cell r="N21">
            <v>0.1033</v>
          </cell>
          <cell r="O21">
            <v>0.10039999999999999</v>
          </cell>
          <cell r="P21">
            <v>9.8299999999999998E-2</v>
          </cell>
          <cell r="Q21">
            <v>9.2200000000000004E-2</v>
          </cell>
          <cell r="R21">
            <v>8.5699999999999998E-2</v>
          </cell>
          <cell r="S21">
            <v>8.1600000000000006E-2</v>
          </cell>
          <cell r="T21">
            <v>8.8800000000000004E-2</v>
          </cell>
          <cell r="U21">
            <v>8.8699999999999987E-2</v>
          </cell>
          <cell r="V21">
            <v>7.7899999999999997E-2</v>
          </cell>
          <cell r="W21">
            <v>7.3700000000000002E-2</v>
          </cell>
          <cell r="X21">
            <v>0.08</v>
          </cell>
          <cell r="Y21">
            <v>6.9800000000000001E-2</v>
          </cell>
          <cell r="Z21">
            <v>6.0599999999999994E-2</v>
          </cell>
          <cell r="AA21">
            <v>6.0499999999999998E-2</v>
          </cell>
          <cell r="AB21">
            <v>5.7500000000000002E-2</v>
          </cell>
          <cell r="AC21">
            <v>5.5899999999999998E-2</v>
          </cell>
          <cell r="AD21">
            <v>5.0799999999999998E-2</v>
          </cell>
          <cell r="AE21">
            <v>5.0199999999999995E-2</v>
          </cell>
          <cell r="AF21">
            <v>5.4900000000000004E-2</v>
          </cell>
          <cell r="AG21">
            <v>6.2699999999999992E-2</v>
          </cell>
          <cell r="AH21">
            <v>6.2400000000000004E-2</v>
          </cell>
          <cell r="AI21">
            <v>6.9599999999999995E-2</v>
          </cell>
          <cell r="AJ21">
            <v>6.3700000000000007E-2</v>
          </cell>
          <cell r="AK21">
            <v>6.1699999999999998E-2</v>
          </cell>
          <cell r="AL21">
            <v>6.2300000000000001E-2</v>
          </cell>
          <cell r="AM21">
            <v>5.4450000000000005E-2</v>
          </cell>
          <cell r="AN21">
            <v>5.2750000000000005E-2</v>
          </cell>
          <cell r="AO21">
            <v>6.0400000000000002E-2</v>
          </cell>
          <cell r="AP21">
            <v>5.5099999999999996E-2</v>
          </cell>
          <cell r="AQ21">
            <v>0.06</v>
          </cell>
          <cell r="AR21">
            <v>6.3200000000000006E-2</v>
          </cell>
          <cell r="AS21">
            <v>5.9900000000000002E-2</v>
          </cell>
          <cell r="AT21">
            <v>5.3399999999999996E-2</v>
          </cell>
          <cell r="AU21">
            <v>5.1399999999999994E-2</v>
          </cell>
          <cell r="AV21">
            <v>5.3200000000000004E-2</v>
          </cell>
          <cell r="AW21">
            <v>5.0049999999999997E-2</v>
          </cell>
          <cell r="AX21">
            <v>5.3749999999999999E-2</v>
          </cell>
          <cell r="AY21">
            <v>5.6100000000000004E-2</v>
          </cell>
          <cell r="AZ21">
            <v>5.4949999999999999E-2</v>
          </cell>
          <cell r="BA21">
            <v>5.8600000000000006E-2</v>
          </cell>
          <cell r="BB21">
            <v>5.4299999999999994E-2</v>
          </cell>
          <cell r="BC21">
            <v>5.2900000000000003E-2</v>
          </cell>
          <cell r="BD21">
            <v>5.67E-2</v>
          </cell>
          <cell r="BE21">
            <v>5.1050000000000005E-2</v>
          </cell>
          <cell r="BF21">
            <v>5.3600000000000002E-2</v>
          </cell>
          <cell r="BG21">
            <v>5.2000000000000005E-2</v>
          </cell>
          <cell r="BH21">
            <v>5.425E-2</v>
          </cell>
          <cell r="BI21">
            <v>5.7874999999999996E-2</v>
          </cell>
          <cell r="BJ21">
            <v>5.5024999999999998E-2</v>
          </cell>
          <cell r="BK21">
            <v>5.8700000000000002E-2</v>
          </cell>
          <cell r="BL21">
            <v>5.885E-2</v>
          </cell>
          <cell r="BM21">
            <v>6.2545000000000003E-2</v>
          </cell>
          <cell r="BN21">
            <v>6.1550000000000001E-2</v>
          </cell>
          <cell r="BO21">
            <v>6.3269999999999993E-2</v>
          </cell>
          <cell r="BP21">
            <v>6.0504999999999996E-2</v>
          </cell>
          <cell r="BQ21">
            <v>6.4450000000000007E-2</v>
          </cell>
          <cell r="BR21">
            <v>5.3899999999999997E-2</v>
          </cell>
          <cell r="BS21">
            <v>3.9850000000000003E-2</v>
          </cell>
          <cell r="BT21">
            <v>4.6100000000000002E-2</v>
          </cell>
          <cell r="BU21">
            <v>5.6250000000000001E-2</v>
          </cell>
          <cell r="BV21">
            <v>5.4389E-2</v>
          </cell>
          <cell r="BW21">
            <v>5.7264000000000002E-2</v>
          </cell>
          <cell r="BX21">
            <v>5.765E-2</v>
          </cell>
          <cell r="BY21">
            <v>5.0903999999999998E-2</v>
          </cell>
          <cell r="BZ21">
            <v>4.9627999999999999E-2</v>
          </cell>
          <cell r="CA21">
            <v>5.5052000000000004E-2</v>
          </cell>
          <cell r="CB21">
            <v>5.5015999999999995E-2</v>
          </cell>
          <cell r="CC21">
            <v>5.2083999999999998E-2</v>
          </cell>
          <cell r="CD21">
            <v>4.2362999999999998E-2</v>
          </cell>
          <cell r="CE21">
            <v>3.6695999999999999E-2</v>
          </cell>
          <cell r="CF21">
            <v>4.0830000000000005E-2</v>
          </cell>
          <cell r="CG21">
            <v>3.0381999999999999E-2</v>
          </cell>
          <cell r="CH21">
            <v>3.0010999999999999E-2</v>
          </cell>
          <cell r="CI21">
            <v>3.2697999999999998E-2</v>
          </cell>
          <cell r="CJ21">
            <v>3.415E-2</v>
          </cell>
          <cell r="CK21">
            <v>3.7615999999999997E-2</v>
          </cell>
          <cell r="CL21">
            <v>3.8094000000000003E-2</v>
          </cell>
          <cell r="CM21">
            <v>4.2351E-2</v>
          </cell>
          <cell r="CN21">
            <v>4.0857999999999998E-2</v>
          </cell>
          <cell r="CO21">
            <v>3.5410000000000004E-2</v>
          </cell>
          <cell r="CP21">
            <v>3.4842000000000005E-2</v>
          </cell>
          <cell r="CQ21">
            <v>2.7339000000000002E-2</v>
          </cell>
          <cell r="CR21">
            <v>2.3190999999999996E-2</v>
          </cell>
          <cell r="CS21">
            <v>3.0117000000000001E-2</v>
          </cell>
          <cell r="CT21">
            <v>2.6086999999999999E-2</v>
          </cell>
          <cell r="CU21">
            <v>2.8147999999999999E-2</v>
          </cell>
          <cell r="CV21">
            <v>2.4913999999999995E-2</v>
          </cell>
          <cell r="CW21">
            <v>1.9859000000000002E-2</v>
          </cell>
          <cell r="CX21">
            <v>1.9078999999999999E-2</v>
          </cell>
          <cell r="CY21">
            <v>2.7549999999999998E-2</v>
          </cell>
          <cell r="CZ21">
            <v>2.6915000000000001E-2</v>
          </cell>
          <cell r="DA21">
            <v>2.5980999999999997E-2</v>
          </cell>
          <cell r="DB21">
            <v>2.8372000000000001E-2</v>
          </cell>
          <cell r="DC21">
            <v>2.6330999999999997E-2</v>
          </cell>
          <cell r="DD21">
            <v>2.5976999999999997E-2</v>
          </cell>
          <cell r="DE21">
            <v>2.6369999999999994E-2</v>
          </cell>
          <cell r="DF21">
            <v>2.6707999999999999E-2</v>
          </cell>
          <cell r="DG21">
            <v>2.3208000000000003E-2</v>
          </cell>
          <cell r="DH21">
            <v>1.7795000000000002E-2</v>
          </cell>
          <cell r="DI21">
            <v>1.3245E-2</v>
          </cell>
          <cell r="DJ21">
            <v>1.0171999999999999E-2</v>
          </cell>
          <cell r="DK21">
            <v>1.3746000000000001E-2</v>
          </cell>
          <cell r="DL21">
            <v>7.5829999999999995E-3</v>
          </cell>
          <cell r="DM21">
            <v>8.6899999999999998E-3</v>
          </cell>
          <cell r="DN21">
            <v>7.9050000000000006E-3</v>
          </cell>
          <cell r="DO21">
            <v>9.7149999999999997E-3</v>
          </cell>
          <cell r="DP21">
            <v>1.789E-2</v>
          </cell>
          <cell r="DQ21">
            <v>1.5339999999999999E-2</v>
          </cell>
          <cell r="DR21">
            <v>1.4910000000000001E-2</v>
          </cell>
          <cell r="DS21">
            <v>1.6709999999999999E-2</v>
          </cell>
          <cell r="DT21">
            <v>2.826E-2</v>
          </cell>
          <cell r="DU21">
            <v>3.6589999999999998E-2</v>
          </cell>
          <cell r="DV21">
            <v>3.8890000000000001E-2</v>
          </cell>
          <cell r="DW21">
            <v>4.0510000000000004E-2</v>
          </cell>
          <cell r="DX21">
            <v>3.2989999999999998E-2</v>
          </cell>
          <cell r="DY21">
            <v>4.0220000000000006E-2</v>
          </cell>
          <cell r="DZ21">
            <v>4.4880000000000003E-2</v>
          </cell>
          <cell r="EA21">
            <v>3.9550000000000002E-2</v>
          </cell>
          <cell r="EB21">
            <v>3.9660000000000001E-2</v>
          </cell>
          <cell r="EC21">
            <v>4.3120000000000006E-2</v>
          </cell>
          <cell r="ED21">
            <v>3.9740000000000004E-2</v>
          </cell>
          <cell r="EE21">
            <v>4.3680000000000004E-2</v>
          </cell>
          <cell r="EF21">
            <v>4.3860000000000003E-2</v>
          </cell>
          <cell r="EG21">
            <v>4.1619999999999997E-2</v>
          </cell>
          <cell r="EH21">
            <v>4.3019999999999996E-2</v>
          </cell>
          <cell r="EI21">
            <v>4.7539999999999999E-2</v>
          </cell>
          <cell r="EJ21">
            <v>4.2999999999999997E-2</v>
          </cell>
          <cell r="EK21">
            <v>4.2999999999999997E-2</v>
          </cell>
          <cell r="EL21">
            <v>4.3499999999999997E-2</v>
          </cell>
          <cell r="EM21">
            <v>4.3499999999999997E-2</v>
          </cell>
          <cell r="EN21">
            <v>4.3999999999999997E-2</v>
          </cell>
          <cell r="EO21">
            <v>4.3999999999999997E-2</v>
          </cell>
          <cell r="EP21">
            <v>4.4499999999999998E-2</v>
          </cell>
          <cell r="EQ21">
            <v>4.4999999999999998E-2</v>
          </cell>
          <cell r="ER21">
            <v>4.4999999999999998E-2</v>
          </cell>
          <cell r="ES21">
            <v>4.4999999999999998E-2</v>
          </cell>
          <cell r="ET21">
            <v>4.4999999999999998E-2</v>
          </cell>
          <cell r="EU21">
            <v>4.4999999999999998E-2</v>
          </cell>
          <cell r="EV21">
            <v>4.4999999999999998E-2</v>
          </cell>
          <cell r="EW21">
            <v>4.4999999999999998E-2</v>
          </cell>
          <cell r="EX21">
            <v>4.4999999999999998E-2</v>
          </cell>
          <cell r="EY21">
            <v>4.4999999999999998E-2</v>
          </cell>
          <cell r="EZ21">
            <v>4.4999999999999998E-2</v>
          </cell>
          <cell r="FA21">
            <v>4.4999999999999998E-2</v>
          </cell>
          <cell r="FB21">
            <v>4.4999999999999998E-2</v>
          </cell>
          <cell r="FC21">
            <v>4.4999999999999998E-2</v>
          </cell>
          <cell r="FD21">
            <v>4.4999999999999998E-2</v>
          </cell>
          <cell r="FE21">
            <v>4.4999999999999998E-2</v>
          </cell>
          <cell r="FF21">
            <v>4.4999999999999998E-2</v>
          </cell>
          <cell r="FG21">
            <v>4.4999999999999998E-2</v>
          </cell>
          <cell r="FH21">
            <v>4.4999999999999998E-2</v>
          </cell>
          <cell r="FI21">
            <v>4.4999999999999998E-2</v>
          </cell>
          <cell r="FJ21">
            <v>4.4999999999999998E-2</v>
          </cell>
          <cell r="FK21">
            <v>4.4999999999999998E-2</v>
          </cell>
          <cell r="FL21">
            <v>4.4999999999999998E-2</v>
          </cell>
          <cell r="FM21">
            <v>4.4999999999999998E-2</v>
          </cell>
          <cell r="FN21">
            <v>4.4999999999999998E-2</v>
          </cell>
          <cell r="FO21">
            <v>4.4999999999999998E-2</v>
          </cell>
          <cell r="FP21">
            <v>4.4999999999999998E-2</v>
          </cell>
          <cell r="FQ21">
            <v>4.4999999999999998E-2</v>
          </cell>
          <cell r="FR21">
            <v>4.4999999999999998E-2</v>
          </cell>
          <cell r="FS21">
            <v>4.4999999999999998E-2</v>
          </cell>
          <cell r="FT21">
            <v>4.4999999999999998E-2</v>
          </cell>
          <cell r="FU21">
            <v>4.4999999999999998E-2</v>
          </cell>
        </row>
        <row r="22">
          <cell r="A22" t="str">
            <v>us_govt10y</v>
          </cell>
          <cell r="B22" t="str">
            <v>US 10 yr bond</v>
          </cell>
          <cell r="D22">
            <v>7.5240000000000001E-2</v>
          </cell>
          <cell r="E22">
            <v>7.1210000000000009E-2</v>
          </cell>
          <cell r="F22">
            <v>6.3539999999999999E-2</v>
          </cell>
          <cell r="G22">
            <v>6.701E-2</v>
          </cell>
          <cell r="H22">
            <v>6.0199999999999997E-2</v>
          </cell>
          <cell r="I22">
            <v>5.774E-2</v>
          </cell>
          <cell r="J22">
            <v>5.3739999999999996E-2</v>
          </cell>
          <cell r="K22">
            <v>5.79E-2</v>
          </cell>
          <cell r="L22">
            <v>6.7369999999999999E-2</v>
          </cell>
          <cell r="M22">
            <v>7.3220000000000007E-2</v>
          </cell>
          <cell r="N22">
            <v>7.6079999999999995E-2</v>
          </cell>
          <cell r="O22">
            <v>7.8200000000000006E-2</v>
          </cell>
          <cell r="P22">
            <v>7.1940000000000004E-2</v>
          </cell>
          <cell r="Q22">
            <v>6.2030000000000002E-2</v>
          </cell>
          <cell r="R22">
            <v>6.1820000000000007E-2</v>
          </cell>
          <cell r="S22">
            <v>5.5810000000000005E-2</v>
          </cell>
          <cell r="T22">
            <v>6.3280000000000003E-2</v>
          </cell>
          <cell r="U22">
            <v>6.7110000000000003E-2</v>
          </cell>
          <cell r="V22">
            <v>6.701E-2</v>
          </cell>
          <cell r="W22">
            <v>6.4180000000000001E-2</v>
          </cell>
          <cell r="X22">
            <v>6.905E-2</v>
          </cell>
          <cell r="Y22">
            <v>6.4960000000000004E-2</v>
          </cell>
          <cell r="Z22">
            <v>6.0999999999999999E-2</v>
          </cell>
          <cell r="AA22">
            <v>5.7249999999999995E-2</v>
          </cell>
          <cell r="AB22">
            <v>5.6509999999999998E-2</v>
          </cell>
          <cell r="AC22">
            <v>5.4400000000000004E-2</v>
          </cell>
          <cell r="AD22">
            <v>4.4020000000000004E-2</v>
          </cell>
          <cell r="AE22">
            <v>4.6539999999999998E-2</v>
          </cell>
          <cell r="AF22">
            <v>5.2380000000000003E-2</v>
          </cell>
          <cell r="AG22">
            <v>5.7759999999999999E-2</v>
          </cell>
          <cell r="AH22">
            <v>5.8739999999999994E-2</v>
          </cell>
          <cell r="AI22">
            <v>6.4399999999999999E-2</v>
          </cell>
          <cell r="AJ22">
            <v>0.06</v>
          </cell>
          <cell r="AK22">
            <v>6.0179999999999997E-2</v>
          </cell>
          <cell r="AL22">
            <v>5.7990000000000007E-2</v>
          </cell>
          <cell r="AM22">
            <v>5.1020000000000003E-2</v>
          </cell>
          <cell r="AN22">
            <v>4.9230000000000003E-2</v>
          </cell>
          <cell r="AO22">
            <v>5.3920000000000003E-2</v>
          </cell>
          <cell r="AP22">
            <v>4.5720000000000004E-2</v>
          </cell>
          <cell r="AQ22">
            <v>5.0220000000000001E-2</v>
          </cell>
          <cell r="AR22">
            <v>5.3940000000000002E-2</v>
          </cell>
          <cell r="AS22">
            <v>4.8140000000000002E-2</v>
          </cell>
          <cell r="AT22">
            <v>3.5929999999999997E-2</v>
          </cell>
          <cell r="AU22">
            <v>3.8181E-2</v>
          </cell>
          <cell r="AV22">
            <v>3.8013999999999999E-2</v>
          </cell>
          <cell r="AW22">
            <v>3.5240999999999995E-2</v>
          </cell>
          <cell r="AX22">
            <v>3.9419000000000003E-2</v>
          </cell>
          <cell r="AY22">
            <v>4.2523999999999999E-2</v>
          </cell>
          <cell r="AZ22">
            <v>3.8350000000000002E-2</v>
          </cell>
          <cell r="BA22">
            <v>4.5815999999999996E-2</v>
          </cell>
          <cell r="BB22">
            <v>4.1200000000000001E-2</v>
          </cell>
          <cell r="BC22">
            <v>4.2159999999999996E-2</v>
          </cell>
          <cell r="BD22">
            <v>4.4835E-2</v>
          </cell>
          <cell r="BE22">
            <v>3.9139999999999994E-2</v>
          </cell>
          <cell r="BF22">
            <v>4.3289999999999995E-2</v>
          </cell>
          <cell r="BG22">
            <v>4.3949999999999996E-2</v>
          </cell>
          <cell r="BH22">
            <v>4.8499999999999995E-2</v>
          </cell>
          <cell r="BI22">
            <v>5.1404999999999992E-2</v>
          </cell>
          <cell r="BJ22">
            <v>4.6315000000000002E-2</v>
          </cell>
          <cell r="BK22">
            <v>4.6981999999999996E-2</v>
          </cell>
          <cell r="BL22">
            <v>4.6452999999999994E-2</v>
          </cell>
          <cell r="BM22">
            <v>5.0285500000000004E-2</v>
          </cell>
          <cell r="BN22">
            <v>4.5845500000000004E-2</v>
          </cell>
          <cell r="BO22">
            <v>4.0289499999999999E-2</v>
          </cell>
          <cell r="BP22">
            <v>3.4132999999999997E-2</v>
          </cell>
          <cell r="BQ22">
            <v>3.9710000000000002E-2</v>
          </cell>
          <cell r="BR22">
            <v>3.8224500000000002E-2</v>
          </cell>
          <cell r="BS22">
            <v>2.2123E-2</v>
          </cell>
          <cell r="BT22">
            <v>2.6646999999999997E-2</v>
          </cell>
          <cell r="BU22">
            <v>3.5354999999999998E-2</v>
          </cell>
          <cell r="BV22">
            <v>3.3058000000000004E-2</v>
          </cell>
          <cell r="BW22">
            <v>3.8334E-2</v>
          </cell>
          <cell r="BX22">
            <v>3.8330000000000003E-2</v>
          </cell>
          <cell r="BY22">
            <v>2.9327000000000002E-2</v>
          </cell>
          <cell r="BZ22">
            <v>2.5139000000000002E-2</v>
          </cell>
          <cell r="CA22">
            <v>3.2901E-2</v>
          </cell>
          <cell r="CB22">
            <v>3.4692000000000001E-2</v>
          </cell>
          <cell r="CC22">
            <v>3.1632E-2</v>
          </cell>
          <cell r="CD22">
            <v>1.9171000000000001E-2</v>
          </cell>
          <cell r="CE22">
            <v>1.8790999999999999E-2</v>
          </cell>
          <cell r="CF22">
            <v>2.2126999999999997E-2</v>
          </cell>
          <cell r="CG22">
            <v>1.65065E-2</v>
          </cell>
          <cell r="CH22">
            <v>1.63705E-2</v>
          </cell>
          <cell r="CI22">
            <v>1.7604500000000002E-2</v>
          </cell>
          <cell r="CJ22">
            <v>1.8538499999999999E-2</v>
          </cell>
          <cell r="CK22">
            <v>2.4867499999999997E-2</v>
          </cell>
          <cell r="CL22">
            <v>2.6110999999999999E-2</v>
          </cell>
          <cell r="CM22">
            <v>3.0350499999999999E-2</v>
          </cell>
          <cell r="CN22">
            <v>2.7191999999999997E-2</v>
          </cell>
          <cell r="CO22">
            <v>2.5297E-2</v>
          </cell>
          <cell r="CP22">
            <v>2.4908E-2</v>
          </cell>
          <cell r="CQ22">
            <v>2.1696E-2</v>
          </cell>
          <cell r="CR22">
            <v>1.92325E-2</v>
          </cell>
          <cell r="CS22">
            <v>2.3505999999999999E-2</v>
          </cell>
          <cell r="CT22">
            <v>2.03955E-2</v>
          </cell>
          <cell r="CU22">
            <v>2.2685E-2</v>
          </cell>
          <cell r="CV22">
            <v>1.7696E-2</v>
          </cell>
          <cell r="CW22">
            <v>1.4723000000000002E-2</v>
          </cell>
          <cell r="CX22">
            <v>1.5945000000000001E-2</v>
          </cell>
          <cell r="CY22">
            <v>2.4444999999999998E-2</v>
          </cell>
          <cell r="CZ22">
            <v>2.3830999999999998E-2</v>
          </cell>
          <cell r="DA22">
            <v>2.3011999999999998E-2</v>
          </cell>
          <cell r="DB22">
            <v>2.3338000000000001E-2</v>
          </cell>
          <cell r="DC22">
            <v>2.4092000000000002E-2</v>
          </cell>
          <cell r="DD22">
            <v>2.7382499999999997E-2</v>
          </cell>
          <cell r="DE22">
            <v>2.8650000000000002E-2</v>
          </cell>
          <cell r="DF22">
            <v>3.05875E-2</v>
          </cell>
          <cell r="DG22">
            <v>2.6836000000000002E-2</v>
          </cell>
          <cell r="DH22">
            <v>2.4059000000000001E-2</v>
          </cell>
          <cell r="DI22">
            <v>2.0052500000000001E-2</v>
          </cell>
          <cell r="DJ22">
            <v>1.66555E-2</v>
          </cell>
          <cell r="DK22">
            <v>1.91845E-2</v>
          </cell>
          <cell r="DL22">
            <v>6.5854999999999993E-3</v>
          </cell>
          <cell r="DM22">
            <v>6.5365000000000006E-3</v>
          </cell>
          <cell r="DN22">
            <v>6.8234999999999997E-3</v>
          </cell>
          <cell r="DO22">
            <v>9.1734999999999994E-3</v>
          </cell>
          <cell r="DP22">
            <v>1.7432E-2</v>
          </cell>
          <cell r="DQ22">
            <v>1.4672000000000001E-2</v>
          </cell>
          <cell r="DR22">
            <v>1.5245999999999999E-2</v>
          </cell>
          <cell r="DS22">
            <v>1.5196000000000001E-2</v>
          </cell>
          <cell r="DT22">
            <v>2.3161999999999999E-2</v>
          </cell>
          <cell r="DU22">
            <v>3.0620999999999999E-2</v>
          </cell>
          <cell r="DV22">
            <v>3.7101000000000002E-2</v>
          </cell>
          <cell r="DW22">
            <v>3.8330999999999997E-2</v>
          </cell>
          <cell r="DX22">
            <v>3.5743999999999998E-2</v>
          </cell>
          <cell r="DY22">
            <v>3.8799E-2</v>
          </cell>
          <cell r="DZ22">
            <v>4.5414000000000003E-2</v>
          </cell>
          <cell r="EA22">
            <v>3.8408999999999999E-2</v>
          </cell>
          <cell r="EB22">
            <v>4.2008000000000004E-2</v>
          </cell>
          <cell r="EC22">
            <v>4.3083000000000003E-2</v>
          </cell>
          <cell r="ED22">
            <v>3.7789999999999997E-2</v>
          </cell>
          <cell r="EE22">
            <v>4.5197000000000001E-2</v>
          </cell>
          <cell r="EF22">
            <v>4.2053E-2</v>
          </cell>
          <cell r="EG22">
            <v>4.2529000000000004E-2</v>
          </cell>
          <cell r="EH22">
            <v>4.1338E-2</v>
          </cell>
          <cell r="EI22">
            <v>4.1180000000000001E-2</v>
          </cell>
          <cell r="EJ22">
            <v>4.3999999999999997E-2</v>
          </cell>
          <cell r="EK22">
            <v>4.3999999999999997E-2</v>
          </cell>
          <cell r="EL22">
            <v>4.4499999999999998E-2</v>
          </cell>
          <cell r="EM22">
            <v>4.4499999999999998E-2</v>
          </cell>
          <cell r="EN22">
            <v>4.4999999999999998E-2</v>
          </cell>
          <cell r="EO22">
            <v>4.4999999999999998E-2</v>
          </cell>
          <cell r="EP22">
            <v>4.5499999999999999E-2</v>
          </cell>
          <cell r="EQ22">
            <v>4.5499999999999999E-2</v>
          </cell>
          <cell r="ER22">
            <v>4.5999999999999999E-2</v>
          </cell>
          <cell r="ES22">
            <v>4.5999999999999999E-2</v>
          </cell>
          <cell r="ET22">
            <v>4.5999999999999999E-2</v>
          </cell>
          <cell r="EU22">
            <v>4.5999999999999999E-2</v>
          </cell>
          <cell r="EV22">
            <v>4.5999999999999999E-2</v>
          </cell>
          <cell r="EW22">
            <v>4.5999999999999999E-2</v>
          </cell>
          <cell r="EX22">
            <v>4.5999999999999999E-2</v>
          </cell>
          <cell r="EY22">
            <v>4.5999999999999999E-2</v>
          </cell>
          <cell r="EZ22">
            <v>4.5999999999999999E-2</v>
          </cell>
          <cell r="FA22">
            <v>4.5999999999999999E-2</v>
          </cell>
          <cell r="FB22">
            <v>4.5999999999999999E-2</v>
          </cell>
          <cell r="FC22">
            <v>4.5999999999999999E-2</v>
          </cell>
          <cell r="FD22">
            <v>4.5999999999999999E-2</v>
          </cell>
          <cell r="FE22">
            <v>4.5999999999999999E-2</v>
          </cell>
          <cell r="FF22">
            <v>4.5999999999999999E-2</v>
          </cell>
          <cell r="FG22">
            <v>4.5999999999999999E-2</v>
          </cell>
          <cell r="FH22">
            <v>4.5999999999999999E-2</v>
          </cell>
          <cell r="FI22">
            <v>4.5999999999999999E-2</v>
          </cell>
          <cell r="FJ22">
            <v>4.5999999999999999E-2</v>
          </cell>
          <cell r="FK22">
            <v>4.5999999999999999E-2</v>
          </cell>
          <cell r="FL22">
            <v>4.5999999999999999E-2</v>
          </cell>
          <cell r="FM22">
            <v>4.5999999999999999E-2</v>
          </cell>
          <cell r="FN22">
            <v>4.5999999999999999E-2</v>
          </cell>
          <cell r="FO22">
            <v>4.5999999999999999E-2</v>
          </cell>
          <cell r="FP22">
            <v>4.5999999999999999E-2</v>
          </cell>
          <cell r="FQ22">
            <v>4.5999999999999999E-2</v>
          </cell>
          <cell r="FR22">
            <v>4.5999999999999999E-2</v>
          </cell>
          <cell r="FS22">
            <v>4.5999999999999999E-2</v>
          </cell>
          <cell r="FT22">
            <v>4.5999999999999999E-2</v>
          </cell>
          <cell r="FU22">
            <v>4.5999999999999999E-2</v>
          </cell>
        </row>
        <row r="24">
          <cell r="B24" t="str">
            <v>Rates - average (6mo)</v>
          </cell>
        </row>
        <row r="25">
          <cell r="A25" t="str">
            <v>6MoCashg</v>
          </cell>
          <cell r="B25" t="str">
            <v>Aust cash</v>
          </cell>
          <cell r="D25">
            <v>8.1583333333333327E-2</v>
          </cell>
          <cell r="E25">
            <v>7.1583333333333346E-2</v>
          </cell>
          <cell r="F25">
            <v>6.1499999999999992E-2</v>
          </cell>
          <cell r="G25">
            <v>5.6000000000000008E-2</v>
          </cell>
          <cell r="H25">
            <v>5.6250000000000001E-2</v>
          </cell>
          <cell r="I25">
            <v>5.3583333333333337E-2</v>
          </cell>
          <cell r="J25">
            <v>4.9500000000000002E-2</v>
          </cell>
          <cell r="K25">
            <v>4.7416666666666663E-2</v>
          </cell>
          <cell r="L25">
            <v>4.7500000000000001E-2</v>
          </cell>
          <cell r="M25">
            <v>4.675E-2</v>
          </cell>
          <cell r="N25">
            <v>4.8999999999999995E-2</v>
          </cell>
          <cell r="O25">
            <v>5.9750000000000004E-2</v>
          </cell>
          <cell r="P25">
            <v>7.1083333333333346E-2</v>
          </cell>
          <cell r="Q25">
            <v>7.4366666666666664E-2</v>
          </cell>
          <cell r="R25">
            <v>7.4116666666666664E-2</v>
          </cell>
          <cell r="S25">
            <v>7.4166666666666672E-2</v>
          </cell>
          <cell r="T25">
            <v>7.4166666666666672E-2</v>
          </cell>
          <cell r="U25">
            <v>7.3166666666666658E-2</v>
          </cell>
          <cell r="V25">
            <v>7.1166666666666656E-2</v>
          </cell>
          <cell r="W25">
            <v>6.7616666666666672E-2</v>
          </cell>
          <cell r="X25">
            <v>6.2766666666666679E-2</v>
          </cell>
          <cell r="Y25">
            <v>5.8633333333333336E-2</v>
          </cell>
          <cell r="Z25">
            <v>5.3399999999999996E-2</v>
          </cell>
          <cell r="AA25">
            <v>4.9816666666666662E-2</v>
          </cell>
          <cell r="AB25">
            <v>4.9800000000000004E-2</v>
          </cell>
          <cell r="AC25">
            <v>4.9766666666666674E-2</v>
          </cell>
          <cell r="AD25">
            <v>4.9783333333333346E-2</v>
          </cell>
          <cell r="AE25">
            <v>4.9383333333333335E-2</v>
          </cell>
          <cell r="AF25">
            <v>4.8099999999999997E-2</v>
          </cell>
          <cell r="AG25">
            <v>4.7399999999999991E-2</v>
          </cell>
          <cell r="AH25">
            <v>4.7566666666666667E-2</v>
          </cell>
          <cell r="AI25">
            <v>4.8333333333333332E-2</v>
          </cell>
          <cell r="AJ25">
            <v>5.1200000000000002E-2</v>
          </cell>
          <cell r="AK25">
            <v>5.6250000000000001E-2</v>
          </cell>
          <cell r="AL25">
            <v>6.0416666666666667E-2</v>
          </cell>
          <cell r="AM25">
            <v>6.2083333333333331E-2</v>
          </cell>
          <cell r="AN25">
            <v>6.0416666666666667E-2</v>
          </cell>
          <cell r="AO25">
            <v>5.4166666666666669E-2</v>
          </cell>
          <cell r="AP25">
            <v>4.9583333333333333E-2</v>
          </cell>
          <cell r="AQ25">
            <v>4.6666666666666669E-2</v>
          </cell>
          <cell r="AR25">
            <v>4.3333333333333328E-2</v>
          </cell>
          <cell r="AS25">
            <v>4.3749999999999997E-2</v>
          </cell>
          <cell r="AT25">
            <v>4.6249999999999999E-2</v>
          </cell>
          <cell r="AU25">
            <v>4.7500000000000001E-2</v>
          </cell>
          <cell r="AV25">
            <v>4.7500000000000001E-2</v>
          </cell>
          <cell r="AW25">
            <v>4.7500000000000001E-2</v>
          </cell>
          <cell r="AX25">
            <v>4.7500000000000001E-2</v>
          </cell>
          <cell r="AY25">
            <v>4.8750000000000002E-2</v>
          </cell>
          <cell r="AZ25">
            <v>5.1249999999999997E-2</v>
          </cell>
          <cell r="BA25">
            <v>5.2499999999999998E-2</v>
          </cell>
          <cell r="BB25">
            <v>5.2499999999999998E-2</v>
          </cell>
          <cell r="BC25">
            <v>5.2499999999999998E-2</v>
          </cell>
          <cell r="BD25">
            <v>5.2916666666666667E-2</v>
          </cell>
          <cell r="BE25">
            <v>5.4166666666666669E-2</v>
          </cell>
          <cell r="BF25">
            <v>5.5E-2</v>
          </cell>
          <cell r="BG25">
            <v>5.5E-2</v>
          </cell>
          <cell r="BH25">
            <v>5.5E-2</v>
          </cell>
          <cell r="BI25">
            <v>5.5833333333333332E-2</v>
          </cell>
          <cell r="BJ25">
            <v>5.7916666666666672E-2</v>
          </cell>
          <cell r="BK25">
            <v>6.0416666666666667E-2</v>
          </cell>
          <cell r="BL25">
            <v>6.2083333333333331E-2</v>
          </cell>
          <cell r="BM25">
            <v>6.25E-2</v>
          </cell>
          <cell r="BN25">
            <v>6.3333333333333325E-2</v>
          </cell>
          <cell r="BO25">
            <v>6.5416666666666665E-2</v>
          </cell>
          <cell r="BP25">
            <v>6.8333333333333329E-2</v>
          </cell>
          <cell r="BQ25">
            <v>7.1249999999999994E-2</v>
          </cell>
          <cell r="BR25">
            <v>7.2083333333333333E-2</v>
          </cell>
          <cell r="BS25">
            <v>6.1666666666666668E-2</v>
          </cell>
          <cell r="BT25">
            <v>4.3749999999999997E-2</v>
          </cell>
          <cell r="BU25">
            <v>3.2916666666666664E-2</v>
          </cell>
          <cell r="BV25">
            <v>0.03</v>
          </cell>
          <cell r="BW25">
            <v>3.2500000000000001E-2</v>
          </cell>
          <cell r="BX25">
            <v>3.6666666666666667E-2</v>
          </cell>
          <cell r="BY25">
            <v>4.1250000000000002E-2</v>
          </cell>
          <cell r="BZ25">
            <v>4.4583333333333329E-2</v>
          </cell>
          <cell r="CA25">
            <v>4.583333333333333E-2</v>
          </cell>
          <cell r="CB25">
            <v>4.7083333333333331E-2</v>
          </cell>
          <cell r="CC25">
            <v>4.7500000000000001E-2</v>
          </cell>
          <cell r="CD25">
            <v>4.7500000000000001E-2</v>
          </cell>
          <cell r="CE25">
            <v>4.6249999999999999E-2</v>
          </cell>
          <cell r="CF25">
            <v>4.3749999999999997E-2</v>
          </cell>
          <cell r="CG25">
            <v>4.041666666666667E-2</v>
          </cell>
          <cell r="CH25">
            <v>3.6666666666666667E-2</v>
          </cell>
          <cell r="CI25">
            <v>3.3333333333333333E-2</v>
          </cell>
          <cell r="CJ25">
            <v>3.0833333333333334E-2</v>
          </cell>
          <cell r="CK25">
            <v>2.9166666666666664E-2</v>
          </cell>
          <cell r="CL25">
            <v>2.7083333333333334E-2</v>
          </cell>
          <cell r="CM25">
            <v>2.5416666666666664E-2</v>
          </cell>
          <cell r="CN25">
            <v>2.5000000000000001E-2</v>
          </cell>
          <cell r="CO25">
            <v>2.5000000000000001E-2</v>
          </cell>
          <cell r="CP25">
            <v>2.5000000000000001E-2</v>
          </cell>
          <cell r="CQ25">
            <v>2.5000000000000001E-2</v>
          </cell>
          <cell r="CR25">
            <v>2.4166666666666666E-2</v>
          </cell>
          <cell r="CS25">
            <v>2.2083333333333333E-2</v>
          </cell>
          <cell r="CT25">
            <v>2.0416666666666666E-2</v>
          </cell>
          <cell r="CU25">
            <v>0.02</v>
          </cell>
          <cell r="CV25">
            <v>0.02</v>
          </cell>
          <cell r="CW25">
            <v>1.9166666666666669E-2</v>
          </cell>
          <cell r="CX25">
            <v>1.7083333333333332E-2</v>
          </cell>
          <cell r="CY25">
            <v>1.5416666666666667E-2</v>
          </cell>
          <cell r="CZ25">
            <v>1.4999999999999999E-2</v>
          </cell>
          <cell r="DA25">
            <v>1.4999999999999999E-2</v>
          </cell>
          <cell r="DB25">
            <v>1.4999999999999999E-2</v>
          </cell>
          <cell r="DC25">
            <v>1.4999999999999999E-2</v>
          </cell>
          <cell r="DD25">
            <v>1.4999999999999999E-2</v>
          </cell>
          <cell r="DE25">
            <v>1.4999999999999999E-2</v>
          </cell>
          <cell r="DF25">
            <v>1.4999999999999999E-2</v>
          </cell>
          <cell r="DG25">
            <v>1.4999999999999999E-2</v>
          </cell>
          <cell r="DH25">
            <v>1.4999999999999999E-2</v>
          </cell>
          <cell r="DI25">
            <v>1.4583333333333332E-2</v>
          </cell>
          <cell r="DJ25">
            <v>1.2083333333333333E-2</v>
          </cell>
          <cell r="DK25">
            <v>8.7500000000000008E-3</v>
          </cell>
          <cell r="DL25">
            <v>6.6666666666666662E-3</v>
          </cell>
          <cell r="DM25">
            <v>4.1666666666666666E-3</v>
          </cell>
          <cell r="DN25">
            <v>2.5000000000000001E-3</v>
          </cell>
          <cell r="DO25">
            <v>2.0000000000000005E-3</v>
          </cell>
          <cell r="DP25">
            <v>1.2499999999999998E-3</v>
          </cell>
          <cell r="DQ25">
            <v>1E-3</v>
          </cell>
          <cell r="DR25">
            <v>1E-3</v>
          </cell>
          <cell r="DS25">
            <v>1E-3</v>
          </cell>
          <cell r="DT25">
            <v>1E-3</v>
          </cell>
          <cell r="DU25">
            <v>2.6666666666666666E-3</v>
          </cell>
          <cell r="DV25">
            <v>1.1416666666666665E-2</v>
          </cell>
          <cell r="DW25">
            <v>2.35E-2</v>
          </cell>
          <cell r="DX25">
            <v>3.1E-2</v>
          </cell>
          <cell r="DY25">
            <v>3.6000000000000004E-2</v>
          </cell>
          <cell r="DZ25">
            <v>3.9750000000000001E-2</v>
          </cell>
          <cell r="EA25">
            <v>4.1833333333333333E-2</v>
          </cell>
          <cell r="EB25">
            <v>4.3083333333333335E-2</v>
          </cell>
          <cell r="EC25">
            <v>4.3500000000000004E-2</v>
          </cell>
          <cell r="ED25">
            <v>4.3500000000000004E-2</v>
          </cell>
          <cell r="EE25">
            <v>4.3500000000000004E-2</v>
          </cell>
          <cell r="EF25">
            <v>4.2666666666666665E-2</v>
          </cell>
          <cell r="EG25">
            <v>4.0583333333333332E-2</v>
          </cell>
          <cell r="EH25">
            <v>3.8083333333333337E-2</v>
          </cell>
          <cell r="EI25">
            <v>3.6416666666666674E-2</v>
          </cell>
          <cell r="EJ25">
            <v>3.6833333333333336E-2</v>
          </cell>
          <cell r="EK25">
            <v>3.85E-2</v>
          </cell>
          <cell r="EL25">
            <v>4.0166666666666663E-2</v>
          </cell>
          <cell r="EM25">
            <v>4.0999999999999995E-2</v>
          </cell>
          <cell r="EN25">
            <v>4.0166666666666663E-2</v>
          </cell>
          <cell r="EO25">
            <v>3.85E-2</v>
          </cell>
          <cell r="EP25">
            <v>3.6833333333333336E-2</v>
          </cell>
          <cell r="EQ25">
            <v>3.6000000000000004E-2</v>
          </cell>
          <cell r="ER25">
            <v>3.6000000000000004E-2</v>
          </cell>
          <cell r="ES25">
            <v>3.6000000000000004E-2</v>
          </cell>
          <cell r="ET25">
            <v>3.6000000000000004E-2</v>
          </cell>
          <cell r="EU25">
            <v>3.6000000000000004E-2</v>
          </cell>
          <cell r="EV25">
            <v>3.6000000000000004E-2</v>
          </cell>
          <cell r="EW25">
            <v>3.6000000000000004E-2</v>
          </cell>
          <cell r="EX25">
            <v>3.6000000000000004E-2</v>
          </cell>
          <cell r="EY25">
            <v>3.6000000000000004E-2</v>
          </cell>
          <cell r="EZ25">
            <v>3.6000000000000004E-2</v>
          </cell>
          <cell r="FA25">
            <v>3.6000000000000004E-2</v>
          </cell>
          <cell r="FB25">
            <v>3.6000000000000004E-2</v>
          </cell>
          <cell r="FC25">
            <v>3.6000000000000004E-2</v>
          </cell>
          <cell r="FD25">
            <v>3.6000000000000004E-2</v>
          </cell>
          <cell r="FE25">
            <v>3.6000000000000004E-2</v>
          </cell>
          <cell r="FF25">
            <v>3.6000000000000004E-2</v>
          </cell>
          <cell r="FG25">
            <v>3.6000000000000004E-2</v>
          </cell>
          <cell r="FH25">
            <v>3.6000000000000004E-2</v>
          </cell>
          <cell r="FI25">
            <v>3.6000000000000004E-2</v>
          </cell>
          <cell r="FJ25">
            <v>3.6000000000000004E-2</v>
          </cell>
          <cell r="FK25">
            <v>3.6000000000000004E-2</v>
          </cell>
          <cell r="FL25">
            <v>3.6000000000000004E-2</v>
          </cell>
          <cell r="FM25">
            <v>3.6000000000000004E-2</v>
          </cell>
          <cell r="FN25">
            <v>3.6000000000000004E-2</v>
          </cell>
          <cell r="FO25">
            <v>3.6000000000000004E-2</v>
          </cell>
          <cell r="FP25">
            <v>3.6000000000000004E-2</v>
          </cell>
          <cell r="FQ25">
            <v>3.6000000000000004E-2</v>
          </cell>
          <cell r="FR25">
            <v>3.6000000000000004E-2</v>
          </cell>
          <cell r="FS25">
            <v>3.6000000000000004E-2</v>
          </cell>
          <cell r="FT25">
            <v>3.6000000000000004E-2</v>
          </cell>
          <cell r="FU25">
            <v>3.6000000000000004E-2</v>
          </cell>
        </row>
        <row r="26">
          <cell r="A26" t="str">
            <v>au_bbsw3m_avg_6m</v>
          </cell>
          <cell r="B26" t="str">
            <v>Aust 90 day bill</v>
          </cell>
          <cell r="D26">
            <v>7.8383333333333347E-2</v>
          </cell>
          <cell r="E26">
            <v>7.0033333333333336E-2</v>
          </cell>
          <cell r="F26">
            <v>6.1366666666666667E-2</v>
          </cell>
          <cell r="G26">
            <v>5.8550000000000005E-2</v>
          </cell>
          <cell r="H26">
            <v>5.7516666666666681E-2</v>
          </cell>
          <cell r="I26">
            <v>5.4083333333333324E-2</v>
          </cell>
          <cell r="J26">
            <v>5.0333333333333334E-2</v>
          </cell>
          <cell r="K26">
            <v>4.8233333333333329E-2</v>
          </cell>
          <cell r="L26">
            <v>4.8366666666666662E-2</v>
          </cell>
          <cell r="M26">
            <v>5.000000000000001E-2</v>
          </cell>
          <cell r="N26">
            <v>5.4664999999999998E-2</v>
          </cell>
          <cell r="O26">
            <v>6.5886666666666663E-2</v>
          </cell>
          <cell r="P26">
            <v>7.7175000000000007E-2</v>
          </cell>
          <cell r="Q26">
            <v>7.8698333333333328E-2</v>
          </cell>
          <cell r="R26">
            <v>7.6266666666666677E-2</v>
          </cell>
          <cell r="S26">
            <v>7.5074999999999989E-2</v>
          </cell>
          <cell r="T26">
            <v>7.4855000000000005E-2</v>
          </cell>
          <cell r="U26">
            <v>7.5434999999999988E-2</v>
          </cell>
          <cell r="V26">
            <v>7.2468333333333315E-2</v>
          </cell>
          <cell r="W26">
            <v>6.6380000000000008E-2</v>
          </cell>
          <cell r="X26">
            <v>6.1489000000000002E-2</v>
          </cell>
          <cell r="Y26">
            <v>5.783566666666666E-2</v>
          </cell>
          <cell r="Z26">
            <v>5.238333333333333E-2</v>
          </cell>
          <cell r="AA26">
            <v>4.9211166666666674E-2</v>
          </cell>
          <cell r="AB26">
            <v>4.9933333333333343E-2</v>
          </cell>
          <cell r="AC26">
            <v>5.0369333333333328E-2</v>
          </cell>
          <cell r="AD26">
            <v>5.1316666666666656E-2</v>
          </cell>
          <cell r="AE26">
            <v>5.0166666666666665E-2</v>
          </cell>
          <cell r="AF26">
            <v>4.8224833333333335E-2</v>
          </cell>
          <cell r="AG26">
            <v>4.852483333333333E-2</v>
          </cell>
          <cell r="AH26">
            <v>4.9466666666666666E-2</v>
          </cell>
          <cell r="AI26">
            <v>5.2777833333333329E-2</v>
          </cell>
          <cell r="AJ26">
            <v>5.6919499999999991E-2</v>
          </cell>
          <cell r="AK26">
            <v>6.0261166666666657E-2</v>
          </cell>
          <cell r="AL26">
            <v>6.3722333333333339E-2</v>
          </cell>
          <cell r="AM26">
            <v>6.4011166666666675E-2</v>
          </cell>
          <cell r="AN26">
            <v>5.8785999999999998E-2</v>
          </cell>
          <cell r="AO26">
            <v>5.2130499999999996E-2</v>
          </cell>
          <cell r="AP26">
            <v>4.8563833333333327E-2</v>
          </cell>
          <cell r="AQ26">
            <v>4.5136000000000003E-2</v>
          </cell>
          <cell r="AR26">
            <v>4.3449999999999996E-2</v>
          </cell>
          <cell r="AS26">
            <v>4.6577833333333346E-2</v>
          </cell>
          <cell r="AT26">
            <v>4.9258500000000004E-2</v>
          </cell>
          <cell r="AU26">
            <v>4.8975166666666674E-2</v>
          </cell>
          <cell r="AV26">
            <v>4.8122166666666667E-2</v>
          </cell>
          <cell r="AW26">
            <v>4.7716666666666664E-2</v>
          </cell>
          <cell r="AX26">
            <v>4.7991666666666676E-2</v>
          </cell>
          <cell r="AY26">
            <v>5.0808166666666675E-2</v>
          </cell>
          <cell r="AZ26">
            <v>5.4583333333333331E-2</v>
          </cell>
          <cell r="BA26">
            <v>5.5549999999999995E-2</v>
          </cell>
          <cell r="BB26">
            <v>5.4836000000000003E-2</v>
          </cell>
          <cell r="BC26">
            <v>5.4416666666666662E-2</v>
          </cell>
          <cell r="BD26">
            <v>5.5772166666666657E-2</v>
          </cell>
          <cell r="BE26">
            <v>5.7039000000000006E-2</v>
          </cell>
          <cell r="BF26">
            <v>5.662233333333333E-2</v>
          </cell>
          <cell r="BG26">
            <v>5.641100000000001E-2</v>
          </cell>
          <cell r="BH26">
            <v>5.6294333333333342E-2</v>
          </cell>
          <cell r="BI26">
            <v>5.7594500000000014E-2</v>
          </cell>
          <cell r="BJ26">
            <v>6.0472333333333336E-2</v>
          </cell>
          <cell r="BK26">
            <v>6.2972333333333338E-2</v>
          </cell>
          <cell r="BL26">
            <v>6.4094499999999999E-2</v>
          </cell>
          <cell r="BM26">
            <v>6.4052666666666674E-2</v>
          </cell>
          <cell r="BN26">
            <v>6.5952666666666659E-2</v>
          </cell>
          <cell r="BO26">
            <v>6.9819500000000007E-2</v>
          </cell>
          <cell r="BP26">
            <v>7.4508333333333343E-2</v>
          </cell>
          <cell r="BQ26">
            <v>7.7711000000000002E-2</v>
          </cell>
          <cell r="BR26">
            <v>7.6283333333333342E-2</v>
          </cell>
          <cell r="BS26">
            <v>6.1702833333333339E-2</v>
          </cell>
          <cell r="BT26">
            <v>4.0635999999999999E-2</v>
          </cell>
          <cell r="BU26">
            <v>3.1949833333333337E-2</v>
          </cell>
          <cell r="BV26">
            <v>3.2550000000000003E-2</v>
          </cell>
          <cell r="BW26">
            <v>3.7194333333333336E-2</v>
          </cell>
          <cell r="BX26">
            <v>4.2074833333333332E-2</v>
          </cell>
          <cell r="BY26">
            <v>4.5691666666666665E-2</v>
          </cell>
          <cell r="BZ26">
            <v>4.8258500000000003E-2</v>
          </cell>
          <cell r="CA26">
            <v>4.9141833333333336E-2</v>
          </cell>
          <cell r="CB26">
            <v>4.9614000000000005E-2</v>
          </cell>
          <cell r="CC26">
            <v>4.9663833333333338E-2</v>
          </cell>
          <cell r="CD26">
            <v>4.9727666666666677E-2</v>
          </cell>
          <cell r="CE26">
            <v>4.7736000000000001E-2</v>
          </cell>
          <cell r="CF26">
            <v>4.4900000000000002E-2</v>
          </cell>
          <cell r="CG26">
            <v>4.037516666666667E-2</v>
          </cell>
          <cell r="CH26">
            <v>3.6105666666666668E-2</v>
          </cell>
          <cell r="CI26">
            <v>3.3511166666666668E-2</v>
          </cell>
          <cell r="CJ26">
            <v>3.0893166666666669E-2</v>
          </cell>
          <cell r="CK26">
            <v>2.9276499999999997E-2</v>
          </cell>
          <cell r="CL26">
            <v>2.7312499999999997E-2</v>
          </cell>
          <cell r="CM26">
            <v>2.6159833333333337E-2</v>
          </cell>
          <cell r="CN26">
            <v>2.6327833333333339E-2</v>
          </cell>
          <cell r="CO26">
            <v>2.6741666666666667E-2</v>
          </cell>
          <cell r="CP26">
            <v>2.6741666666666664E-2</v>
          </cell>
          <cell r="CQ26">
            <v>2.6997166666666669E-2</v>
          </cell>
          <cell r="CR26">
            <v>2.5600000000000001E-2</v>
          </cell>
          <cell r="CS26">
            <v>2.2755499999999998E-2</v>
          </cell>
          <cell r="CT26">
            <v>2.1688833333333334E-2</v>
          </cell>
          <cell r="CU26">
            <v>2.2027833333333337E-2</v>
          </cell>
          <cell r="CV26">
            <v>2.2677833333333335E-2</v>
          </cell>
          <cell r="CW26">
            <v>2.1594333333333337E-2</v>
          </cell>
          <cell r="CX26">
            <v>1.9052666666666666E-2</v>
          </cell>
          <cell r="CY26">
            <v>1.7766666666666667E-2</v>
          </cell>
          <cell r="CZ26">
            <v>1.7783333333333332E-2</v>
          </cell>
          <cell r="DA26">
            <v>1.755E-2</v>
          </cell>
          <cell r="DB26">
            <v>1.7174999999999999E-2</v>
          </cell>
          <cell r="DC26">
            <v>1.7241666666666669E-2</v>
          </cell>
          <cell r="DD26">
            <v>1.8024999999999999E-2</v>
          </cell>
          <cell r="DE26">
            <v>1.9525500000000001E-2</v>
          </cell>
          <cell r="DF26">
            <v>1.9958E-2</v>
          </cell>
          <cell r="DG26">
            <v>1.9665833333333334E-2</v>
          </cell>
          <cell r="DH26">
            <v>1.9425666666666664E-2</v>
          </cell>
          <cell r="DI26">
            <v>1.6480499999999999E-2</v>
          </cell>
          <cell r="DJ26">
            <v>1.1851166666666668E-2</v>
          </cell>
          <cell r="DK26">
            <v>9.4336666666666649E-3</v>
          </cell>
          <cell r="DL26">
            <v>7.9928333333333327E-3</v>
          </cell>
          <cell r="DM26">
            <v>3.9301666666666677E-3</v>
          </cell>
          <cell r="DN26">
            <v>9.5799999999999998E-4</v>
          </cell>
          <cell r="DO26">
            <v>6.1133333333333341E-4</v>
          </cell>
          <cell r="DP26">
            <v>2.6966666666666664E-4</v>
          </cell>
          <cell r="DQ26">
            <v>3.0216666666666667E-4</v>
          </cell>
          <cell r="DR26">
            <v>2.6416666666666667E-4</v>
          </cell>
          <cell r="DS26">
            <v>3.9616666666666668E-4</v>
          </cell>
          <cell r="DT26">
            <v>9.5299999999999996E-4</v>
          </cell>
          <cell r="DU26">
            <v>6.8135000000000001E-3</v>
          </cell>
          <cell r="DV26">
            <v>1.8903833333333332E-2</v>
          </cell>
          <cell r="DW26">
            <v>2.8466666666666661E-2</v>
          </cell>
          <cell r="DX26">
            <v>3.3483833333333331E-2</v>
          </cell>
          <cell r="DY26">
            <v>3.7768999999999997E-2</v>
          </cell>
          <cell r="DZ26">
            <v>4.0896499999999995E-2</v>
          </cell>
          <cell r="EA26">
            <v>4.267566666666666E-2</v>
          </cell>
          <cell r="EB26">
            <v>4.3505500000000003E-2</v>
          </cell>
          <cell r="EC26">
            <v>4.3715166666666666E-2</v>
          </cell>
          <cell r="ED26">
            <v>4.4202666666666668E-2</v>
          </cell>
          <cell r="EE26">
            <v>4.4300166666666661E-2</v>
          </cell>
          <cell r="EF26">
            <v>4.2922333333333326E-2</v>
          </cell>
          <cell r="EG26">
            <v>3.9490333333333336E-2</v>
          </cell>
          <cell r="EH26">
            <v>3.6722999999999999E-2</v>
          </cell>
          <cell r="EI26">
            <v>3.6443333333333341E-2</v>
          </cell>
          <cell r="EJ26">
            <v>3.8437499999999999E-2</v>
          </cell>
          <cell r="EK26">
            <v>4.0999999999999995E-2</v>
          </cell>
          <cell r="EL26">
            <v>4.2749999999999996E-2</v>
          </cell>
          <cell r="EM26">
            <v>4.3249999999999997E-2</v>
          </cell>
          <cell r="EN26">
            <v>4.2249999999999996E-2</v>
          </cell>
          <cell r="EO26">
            <v>3.9750000000000008E-2</v>
          </cell>
          <cell r="EP26">
            <v>3.8500000000000006E-2</v>
          </cell>
          <cell r="EQ26">
            <v>3.8500000000000006E-2</v>
          </cell>
          <cell r="ER26">
            <v>3.8500000000000006E-2</v>
          </cell>
          <cell r="ES26">
            <v>3.8500000000000006E-2</v>
          </cell>
          <cell r="ET26">
            <v>3.8500000000000006E-2</v>
          </cell>
          <cell r="EU26">
            <v>3.8500000000000006E-2</v>
          </cell>
          <cell r="EV26">
            <v>3.8500000000000006E-2</v>
          </cell>
          <cell r="EW26">
            <v>3.8500000000000006E-2</v>
          </cell>
          <cell r="EX26">
            <v>3.8500000000000006E-2</v>
          </cell>
          <cell r="EY26">
            <v>3.8500000000000006E-2</v>
          </cell>
          <cell r="EZ26">
            <v>3.8500000000000006E-2</v>
          </cell>
          <cell r="FA26">
            <v>3.8500000000000006E-2</v>
          </cell>
          <cell r="FB26">
            <v>3.8500000000000006E-2</v>
          </cell>
          <cell r="FC26">
            <v>3.8500000000000006E-2</v>
          </cell>
          <cell r="FD26">
            <v>3.8500000000000006E-2</v>
          </cell>
          <cell r="FE26">
            <v>3.8500000000000006E-2</v>
          </cell>
          <cell r="FF26">
            <v>3.8500000000000006E-2</v>
          </cell>
          <cell r="FG26">
            <v>3.8500000000000006E-2</v>
          </cell>
          <cell r="FH26">
            <v>3.8500000000000006E-2</v>
          </cell>
          <cell r="FI26">
            <v>3.8500000000000006E-2</v>
          </cell>
          <cell r="FJ26">
            <v>3.8500000000000006E-2</v>
          </cell>
          <cell r="FK26">
            <v>3.8500000000000006E-2</v>
          </cell>
          <cell r="FL26">
            <v>3.8500000000000006E-2</v>
          </cell>
          <cell r="FM26">
            <v>3.8500000000000006E-2</v>
          </cell>
          <cell r="FN26">
            <v>3.8500000000000006E-2</v>
          </cell>
          <cell r="FO26">
            <v>3.8500000000000006E-2</v>
          </cell>
          <cell r="FP26">
            <v>3.8500000000000006E-2</v>
          </cell>
          <cell r="FQ26">
            <v>3.8500000000000006E-2</v>
          </cell>
          <cell r="FR26">
            <v>3.8500000000000006E-2</v>
          </cell>
          <cell r="FS26">
            <v>3.8500000000000006E-2</v>
          </cell>
          <cell r="FT26">
            <v>3.8500000000000006E-2</v>
          </cell>
          <cell r="FU26">
            <v>3.8500000000000006E-2</v>
          </cell>
        </row>
        <row r="27">
          <cell r="A27" t="str">
            <v>au_govt10y_avg_6m</v>
          </cell>
          <cell r="B27" t="str">
            <v>Aust 10 yr Bond Rate</v>
          </cell>
          <cell r="N27">
            <v>9.3566666666666659E-2</v>
          </cell>
          <cell r="O27">
            <v>0.10048333333333331</v>
          </cell>
          <cell r="P27">
            <v>0.10183333333333333</v>
          </cell>
          <cell r="Q27">
            <v>9.6549999999999997E-2</v>
          </cell>
          <cell r="R27">
            <v>9.1366666666666665E-2</v>
          </cell>
          <cell r="S27">
            <v>8.6816666666666667E-2</v>
          </cell>
          <cell r="T27">
            <v>8.4400000000000017E-2</v>
          </cell>
          <cell r="U27">
            <v>8.6616666666666675E-2</v>
          </cell>
          <cell r="V27">
            <v>8.4366666666666659E-2</v>
          </cell>
          <cell r="W27">
            <v>7.6833333333333337E-2</v>
          </cell>
          <cell r="X27">
            <v>7.5033333333333341E-2</v>
          </cell>
          <cell r="Y27">
            <v>7.5566666666666671E-2</v>
          </cell>
          <cell r="Z27">
            <v>6.8433333333333332E-2</v>
          </cell>
          <cell r="AA27">
            <v>6.1516666666666664E-2</v>
          </cell>
          <cell r="AB27">
            <v>5.9550000000000013E-2</v>
          </cell>
          <cell r="AC27">
            <v>5.7483333333333338E-2</v>
          </cell>
          <cell r="AD27">
            <v>5.5633333333333333E-2</v>
          </cell>
          <cell r="AE27">
            <v>5.2533333333333342E-2</v>
          </cell>
          <cell r="AF27">
            <v>5.1749999999999997E-2</v>
          </cell>
          <cell r="AG27">
            <v>5.6383333333333327E-2</v>
          </cell>
          <cell r="AH27">
            <v>6.076666666666667E-2</v>
          </cell>
          <cell r="AI27">
            <v>6.4783333333333332E-2</v>
          </cell>
          <cell r="AJ27">
            <v>6.7333333333333328E-2</v>
          </cell>
          <cell r="AK27">
            <v>6.5100000000000005E-2</v>
          </cell>
          <cell r="AL27">
            <v>6.2716666666666657E-2</v>
          </cell>
          <cell r="AM27">
            <v>6.0300000000000013E-2</v>
          </cell>
          <cell r="AN27">
            <v>5.5374999999999987E-2</v>
          </cell>
          <cell r="AO27">
            <v>5.6116666666666676E-2</v>
          </cell>
          <cell r="AP27">
            <v>5.8266666666666668E-2</v>
          </cell>
          <cell r="AQ27">
            <v>5.6524999999999999E-2</v>
          </cell>
          <cell r="AR27">
            <v>5.8450000000000016E-2</v>
          </cell>
          <cell r="AS27">
            <v>6.0899999999999996E-2</v>
          </cell>
          <cell r="AT27">
            <v>5.8700000000000002E-2</v>
          </cell>
          <cell r="AU27">
            <v>5.5583333333333339E-2</v>
          </cell>
          <cell r="AV27">
            <v>5.3249999999999999E-2</v>
          </cell>
          <cell r="AW27">
            <v>5.1150000000000001E-2</v>
          </cell>
          <cell r="AX27">
            <v>5.238333333333333E-2</v>
          </cell>
          <cell r="AY27">
            <v>5.6024999999999991E-2</v>
          </cell>
          <cell r="AZ27">
            <v>5.699166666666667E-2</v>
          </cell>
          <cell r="BA27">
            <v>5.7533333333333339E-2</v>
          </cell>
          <cell r="BB27">
            <v>5.7433333333333329E-2</v>
          </cell>
          <cell r="BC27">
            <v>5.4400000000000004E-2</v>
          </cell>
          <cell r="BD27">
            <v>5.4058333333333326E-2</v>
          </cell>
          <cell r="BE27">
            <v>5.3633333333333325E-2</v>
          </cell>
          <cell r="BF27">
            <v>5.1841666666666668E-2</v>
          </cell>
          <cell r="BG27">
            <v>5.264166666666667E-2</v>
          </cell>
          <cell r="BH27">
            <v>5.3541666666666668E-2</v>
          </cell>
          <cell r="BI27">
            <v>5.5474999999999997E-2</v>
          </cell>
          <cell r="BJ27">
            <v>5.7054166666666656E-2</v>
          </cell>
          <cell r="BK27">
            <v>5.6909166666666663E-2</v>
          </cell>
          <cell r="BL27">
            <v>5.7738333333333322E-2</v>
          </cell>
          <cell r="BM27">
            <v>5.9435833333333334E-2</v>
          </cell>
          <cell r="BN27">
            <v>6.0406666666666664E-2</v>
          </cell>
          <cell r="BO27">
            <v>6.0978333333333336E-2</v>
          </cell>
          <cell r="BP27">
            <v>6.1404166666666669E-2</v>
          </cell>
          <cell r="BQ27">
            <v>6.2666666666666662E-2</v>
          </cell>
          <cell r="BR27">
            <v>6.1021666666666662E-2</v>
          </cell>
          <cell r="BS27">
            <v>5.1814166666666661E-2</v>
          </cell>
          <cell r="BT27">
            <v>4.4725000000000001E-2</v>
          </cell>
          <cell r="BU27">
            <v>4.8212499999999998E-2</v>
          </cell>
          <cell r="BV27">
            <v>5.4051500000000002E-2</v>
          </cell>
          <cell r="BW27">
            <v>5.5404499999999995E-2</v>
          </cell>
          <cell r="BX27">
            <v>5.5547333333333337E-2</v>
          </cell>
          <cell r="BY27">
            <v>5.4795166666666659E-2</v>
          </cell>
          <cell r="BZ27">
            <v>5.1851999999999988E-2</v>
          </cell>
          <cell r="CA27">
            <v>5.174949999999999E-2</v>
          </cell>
          <cell r="CB27">
            <v>5.4378666666666658E-2</v>
          </cell>
          <cell r="CC27">
            <v>5.3948666666666666E-2</v>
          </cell>
          <cell r="CD27">
            <v>4.8794000000000004E-2</v>
          </cell>
          <cell r="CE27">
            <v>4.2575499999999995E-2</v>
          </cell>
          <cell r="CF27">
            <v>4.0020500000000007E-2</v>
          </cell>
          <cell r="CG27">
            <v>3.5889833333333329E-2</v>
          </cell>
          <cell r="CH27">
            <v>3.1283166666666667E-2</v>
          </cell>
          <cell r="CI27">
            <v>3.1135666666666669E-2</v>
          </cell>
          <cell r="CJ27">
            <v>3.2968499999999998E-2</v>
          </cell>
          <cell r="CK27">
            <v>3.405366666666667E-2</v>
          </cell>
          <cell r="CL27">
            <v>3.6064000000000006E-2</v>
          </cell>
          <cell r="CM27">
            <v>3.9850166666666659E-2</v>
          </cell>
          <cell r="CN27">
            <v>4.0980166666666665E-2</v>
          </cell>
          <cell r="CO27">
            <v>3.8759666666666664E-2</v>
          </cell>
          <cell r="CP27">
            <v>3.5723499999999998E-2</v>
          </cell>
          <cell r="CQ27">
            <v>3.2227833333333337E-2</v>
          </cell>
          <cell r="CR27">
            <v>2.7133666666666671E-2</v>
          </cell>
          <cell r="CS27">
            <v>2.6023999999999999E-2</v>
          </cell>
          <cell r="CT27">
            <v>2.7368666666666663E-2</v>
          </cell>
          <cell r="CU27">
            <v>2.7199833333333333E-2</v>
          </cell>
          <cell r="CV27">
            <v>2.6260833333333334E-2</v>
          </cell>
          <cell r="CW27">
            <v>2.3805833333333335E-2</v>
          </cell>
          <cell r="CX27">
            <v>2.0695499999999999E-2</v>
          </cell>
          <cell r="CY27">
            <v>2.2383833333333332E-2</v>
          </cell>
          <cell r="CZ27">
            <v>2.6583333333333334E-2</v>
          </cell>
          <cell r="DA27">
            <v>2.6148500000000002E-2</v>
          </cell>
          <cell r="DB27">
            <v>2.6318666666666667E-2</v>
          </cell>
          <cell r="DC27">
            <v>2.6717666666666667E-2</v>
          </cell>
          <cell r="DD27">
            <v>2.6624999999999996E-2</v>
          </cell>
          <cell r="DE27">
            <v>2.7087833333333328E-2</v>
          </cell>
          <cell r="DF27">
            <v>2.6532666666666666E-2</v>
          </cell>
          <cell r="DG27">
            <v>2.5626833333333331E-2</v>
          </cell>
          <cell r="DH27">
            <v>2.2767500000000003E-2</v>
          </cell>
          <cell r="DI27">
            <v>1.7824666666666669E-2</v>
          </cell>
          <cell r="DJ27">
            <v>1.2769499999999998E-2</v>
          </cell>
          <cell r="DK27">
            <v>1.1065166666666666E-2</v>
          </cell>
          <cell r="DL27">
            <v>1.0129666666666669E-2</v>
          </cell>
          <cell r="DM27">
            <v>8.6208333333333328E-3</v>
          </cell>
          <cell r="DN27">
            <v>8.723666666666666E-3</v>
          </cell>
          <cell r="DO27">
            <v>8.820999999999999E-3</v>
          </cell>
          <cell r="DP27">
            <v>1.2442833333333334E-2</v>
          </cell>
          <cell r="DQ27">
            <v>1.6071999999999999E-2</v>
          </cell>
          <cell r="DR27">
            <v>1.4515E-2</v>
          </cell>
          <cell r="DS27">
            <v>1.5465E-2</v>
          </cell>
          <cell r="DT27">
            <v>2.0489999999999998E-2</v>
          </cell>
          <cell r="DU27">
            <v>2.8281666666666667E-2</v>
          </cell>
          <cell r="DV27">
            <v>3.4450000000000001E-2</v>
          </cell>
          <cell r="DW27">
            <v>3.6469999999999995E-2</v>
          </cell>
          <cell r="DX27">
            <v>3.6735000000000004E-2</v>
          </cell>
          <cell r="DY27">
            <v>3.6123333333333334E-2</v>
          </cell>
          <cell r="DZ27">
            <v>3.9220000000000005E-2</v>
          </cell>
          <cell r="EA27">
            <v>4.3081666666666657E-2</v>
          </cell>
          <cell r="EB27">
            <v>4.2336666666666668E-2</v>
          </cell>
          <cell r="EC27">
            <v>4.2099999999999999E-2</v>
          </cell>
          <cell r="ED27">
            <v>4.2003333333333337E-2</v>
          </cell>
          <cell r="EE27">
            <v>4.2124999999999996E-2</v>
          </cell>
          <cell r="EF27">
            <v>4.3888333333333335E-2</v>
          </cell>
          <cell r="EG27">
            <v>4.2773333333333337E-2</v>
          </cell>
          <cell r="EH27">
            <v>4.2320000000000003E-2</v>
          </cell>
          <cell r="EI27">
            <v>4.402166666666666E-2</v>
          </cell>
          <cell r="EJ27">
            <v>4.5269999999999998E-2</v>
          </cell>
          <cell r="EK27">
            <v>4.2999999999999997E-2</v>
          </cell>
          <cell r="EL27">
            <v>4.3249999999999997E-2</v>
          </cell>
          <cell r="EM27">
            <v>4.3499999999999997E-2</v>
          </cell>
          <cell r="EN27">
            <v>4.3749999999999997E-2</v>
          </cell>
          <cell r="EO27">
            <v>4.3999999999999997E-2</v>
          </cell>
          <cell r="EP27">
            <v>4.4249999999999998E-2</v>
          </cell>
          <cell r="EQ27">
            <v>4.4749999999999998E-2</v>
          </cell>
          <cell r="ER27">
            <v>4.4999999999999998E-2</v>
          </cell>
          <cell r="ES27">
            <v>4.4999999999999998E-2</v>
          </cell>
          <cell r="ET27">
            <v>4.4999999999999998E-2</v>
          </cell>
          <cell r="EU27">
            <v>4.4999999999999998E-2</v>
          </cell>
          <cell r="EV27">
            <v>4.4999999999999998E-2</v>
          </cell>
          <cell r="EW27">
            <v>4.4999999999999998E-2</v>
          </cell>
          <cell r="EX27">
            <v>4.4999999999999998E-2</v>
          </cell>
          <cell r="EY27">
            <v>4.4999999999999998E-2</v>
          </cell>
          <cell r="EZ27">
            <v>4.4999999999999998E-2</v>
          </cell>
          <cell r="FA27">
            <v>4.4999999999999998E-2</v>
          </cell>
          <cell r="FB27">
            <v>4.4999999999999998E-2</v>
          </cell>
          <cell r="FC27">
            <v>4.4999999999999998E-2</v>
          </cell>
          <cell r="FD27">
            <v>4.4999999999999998E-2</v>
          </cell>
          <cell r="FE27">
            <v>4.4999999999999998E-2</v>
          </cell>
          <cell r="FF27">
            <v>4.4999999999999998E-2</v>
          </cell>
          <cell r="FG27">
            <v>4.4999999999999998E-2</v>
          </cell>
          <cell r="FH27">
            <v>4.4999999999999998E-2</v>
          </cell>
          <cell r="FI27">
            <v>4.4999999999999998E-2</v>
          </cell>
          <cell r="FJ27">
            <v>4.4999999999999998E-2</v>
          </cell>
          <cell r="FK27">
            <v>4.4999999999999998E-2</v>
          </cell>
          <cell r="FL27">
            <v>4.4999999999999998E-2</v>
          </cell>
          <cell r="FM27">
            <v>4.4999999999999998E-2</v>
          </cell>
          <cell r="FN27">
            <v>4.4999999999999998E-2</v>
          </cell>
          <cell r="FO27">
            <v>4.4999999999999998E-2</v>
          </cell>
          <cell r="FP27">
            <v>4.4999999999999998E-2</v>
          </cell>
          <cell r="FQ27">
            <v>4.4999999999999998E-2</v>
          </cell>
          <cell r="FR27">
            <v>4.4999999999999998E-2</v>
          </cell>
          <cell r="FS27">
            <v>4.4999999999999998E-2</v>
          </cell>
          <cell r="FT27">
            <v>4.4999999999999998E-2</v>
          </cell>
          <cell r="FU27">
            <v>4.4999999999999998E-2</v>
          </cell>
        </row>
        <row r="28">
          <cell r="A28" t="str">
            <v>us_govt10y_avg_6m</v>
          </cell>
          <cell r="B28" t="str">
            <v>US 10 yr bond</v>
          </cell>
          <cell r="D28">
            <v>7.266333333333333E-2</v>
          </cell>
          <cell r="E28">
            <v>7.3453333333333329E-2</v>
          </cell>
          <cell r="F28">
            <v>6.9463333333333349E-2</v>
          </cell>
          <cell r="G28">
            <v>6.6816666666666663E-2</v>
          </cell>
          <cell r="H28">
            <v>6.467666666666666E-2</v>
          </cell>
          <cell r="I28">
            <v>6.0518333333333334E-2</v>
          </cell>
          <cell r="J28">
            <v>5.758166666666667E-2</v>
          </cell>
          <cell r="K28">
            <v>5.6073333333333329E-2</v>
          </cell>
          <cell r="L28">
            <v>5.9230000000000012E-2</v>
          </cell>
          <cell r="M28">
            <v>6.6695000000000004E-2</v>
          </cell>
          <cell r="N28">
            <v>7.2323333333333337E-2</v>
          </cell>
          <cell r="O28">
            <v>7.5718333333333332E-2</v>
          </cell>
          <cell r="P28">
            <v>7.5843333333333332E-2</v>
          </cell>
          <cell r="Q28">
            <v>6.9163333333333341E-2</v>
          </cell>
          <cell r="R28">
            <v>6.4031666666666667E-2</v>
          </cell>
          <cell r="S28">
            <v>6.0380000000000003E-2</v>
          </cell>
          <cell r="T28">
            <v>5.8905000000000006E-2</v>
          </cell>
          <cell r="U28">
            <v>6.3709999999999989E-2</v>
          </cell>
          <cell r="V28">
            <v>6.7768333333333333E-2</v>
          </cell>
          <cell r="W28">
            <v>6.5401666666666664E-2</v>
          </cell>
          <cell r="X28">
            <v>6.4578333333333335E-2</v>
          </cell>
          <cell r="Y28">
            <v>6.6356666666666661E-2</v>
          </cell>
          <cell r="Z28">
            <v>6.3854999999999995E-2</v>
          </cell>
          <cell r="AA28">
            <v>5.9773333333333331E-2</v>
          </cell>
          <cell r="AB28">
            <v>5.6973333333333327E-2</v>
          </cell>
          <cell r="AC28">
            <v>5.5696666666666665E-2</v>
          </cell>
          <cell r="AD28">
            <v>5.2498333333333341E-2</v>
          </cell>
          <cell r="AE28">
            <v>4.7913333333333336E-2</v>
          </cell>
          <cell r="AF28">
            <v>4.8453333333333334E-2</v>
          </cell>
          <cell r="AG28">
            <v>5.3156666666666658E-2</v>
          </cell>
          <cell r="AH28">
            <v>5.7429999999999995E-2</v>
          </cell>
          <cell r="AI28">
            <v>6.0635000000000001E-2</v>
          </cell>
          <cell r="AJ28">
            <v>6.2859999999999999E-2</v>
          </cell>
          <cell r="AK28">
            <v>6.2611666666666677E-2</v>
          </cell>
          <cell r="AL28">
            <v>6.0080000000000001E-2</v>
          </cell>
          <cell r="AM28">
            <v>5.6444999999999995E-2</v>
          </cell>
          <cell r="AN28">
            <v>5.2089999999999997E-2</v>
          </cell>
          <cell r="AO28">
            <v>5.1741666666666665E-2</v>
          </cell>
          <cell r="AP28">
            <v>5.0919999999999993E-2</v>
          </cell>
          <cell r="AQ28">
            <v>4.7399999999999991E-2</v>
          </cell>
          <cell r="AR28">
            <v>4.8820000000000002E-2</v>
          </cell>
          <cell r="AS28">
            <v>5.038666666666667E-2</v>
          </cell>
          <cell r="AT28">
            <v>4.5179999999999998E-2</v>
          </cell>
          <cell r="AU28">
            <v>4.0143333333333329E-2</v>
          </cell>
          <cell r="AV28">
            <v>3.8956333333333329E-2</v>
          </cell>
          <cell r="AW28">
            <v>3.6980666666666662E-2</v>
          </cell>
          <cell r="AX28">
            <v>3.9238999999999996E-2</v>
          </cell>
          <cell r="AY28">
            <v>4.2815833333333338E-2</v>
          </cell>
          <cell r="AZ28">
            <v>4.1368500000000002E-2</v>
          </cell>
          <cell r="BA28">
            <v>4.282600000000001E-2</v>
          </cell>
          <cell r="BB28">
            <v>4.4121500000000008E-2</v>
          </cell>
          <cell r="BC28">
            <v>4.2192833333333332E-2</v>
          </cell>
          <cell r="BD28">
            <v>4.2644166666666664E-2</v>
          </cell>
          <cell r="BE28">
            <v>4.1814166666666666E-2</v>
          </cell>
          <cell r="BF28">
            <v>4.1189999999999997E-2</v>
          </cell>
          <cell r="BG28">
            <v>4.3429999999999996E-2</v>
          </cell>
          <cell r="BH28">
            <v>4.559333333333334E-2</v>
          </cell>
          <cell r="BI28">
            <v>4.8734166666666655E-2</v>
          </cell>
          <cell r="BJ28">
            <v>4.9441166666666668E-2</v>
          </cell>
          <cell r="BK28">
            <v>4.683416666666667E-2</v>
          </cell>
          <cell r="BL28">
            <v>4.630716666666667E-2</v>
          </cell>
          <cell r="BM28">
            <v>4.7611250000000008E-2</v>
          </cell>
          <cell r="BN28">
            <v>4.7328916666666672E-2</v>
          </cell>
          <cell r="BO28">
            <v>4.3831416666666671E-2</v>
          </cell>
          <cell r="BP28">
            <v>3.8277166666666668E-2</v>
          </cell>
          <cell r="BQ28">
            <v>3.7134166666666669E-2</v>
          </cell>
          <cell r="BR28">
            <v>3.8919916666666665E-2</v>
          </cell>
          <cell r="BS28">
            <v>3.4471416666666664E-2</v>
          </cell>
          <cell r="BT28">
            <v>2.9366500000000004E-2</v>
          </cell>
          <cell r="BU28">
            <v>3.1078333333333333E-2</v>
          </cell>
          <cell r="BV28">
            <v>3.3844166666666668E-2</v>
          </cell>
          <cell r="BW28">
            <v>3.4335583333333336E-2</v>
          </cell>
          <cell r="BX28">
            <v>3.574666666666667E-2</v>
          </cell>
          <cell r="BY28">
            <v>3.4877166666666667E-2</v>
          </cell>
          <cell r="BZ28">
            <v>2.9628833333333337E-2</v>
          </cell>
          <cell r="CA28">
            <v>2.7630666666666664E-2</v>
          </cell>
          <cell r="CB28">
            <v>3.1599833333333334E-2</v>
          </cell>
          <cell r="CC28">
            <v>3.2969166666666667E-2</v>
          </cell>
          <cell r="CD28">
            <v>2.7430333333333334E-2</v>
          </cell>
          <cell r="CE28">
            <v>2.1708166666666667E-2</v>
          </cell>
          <cell r="CF28">
            <v>2.0108416666666663E-2</v>
          </cell>
          <cell r="CG28">
            <v>1.8521500000000003E-2</v>
          </cell>
          <cell r="CH28">
            <v>1.6308166666666669E-2</v>
          </cell>
          <cell r="CI28">
            <v>1.6221583333333331E-2</v>
          </cell>
          <cell r="CJ28">
            <v>1.7998333333333328E-2</v>
          </cell>
          <cell r="CK28">
            <v>2.0029833333333334E-2</v>
          </cell>
          <cell r="CL28">
            <v>2.3797250000000002E-2</v>
          </cell>
          <cell r="CM28">
            <v>2.7208333333333338E-2</v>
          </cell>
          <cell r="CN28">
            <v>2.7318416666666664E-2</v>
          </cell>
          <cell r="CO28">
            <v>2.6169333333333333E-2</v>
          </cell>
          <cell r="CP28">
            <v>2.5071833333333335E-2</v>
          </cell>
          <cell r="CQ28">
            <v>2.3441416666666669E-2</v>
          </cell>
          <cell r="CR28">
            <v>2.0386083333333332E-2</v>
          </cell>
          <cell r="CS28">
            <v>2.0106249999999996E-2</v>
          </cell>
          <cell r="CT28">
            <v>2.1572666666666664E-2</v>
          </cell>
          <cell r="CU28">
            <v>2.1759500000000001E-2</v>
          </cell>
          <cell r="CV28">
            <v>2.0076083333333331E-2</v>
          </cell>
          <cell r="CW28">
            <v>1.7635166666666667E-2</v>
          </cell>
          <cell r="CX28">
            <v>1.6298833333333335E-2</v>
          </cell>
          <cell r="CY28">
            <v>1.8804249999999998E-2</v>
          </cell>
          <cell r="CZ28">
            <v>2.3196666666666664E-2</v>
          </cell>
          <cell r="DA28">
            <v>2.341883333333333E-2</v>
          </cell>
          <cell r="DB28">
            <v>2.2562916666666669E-2</v>
          </cell>
          <cell r="DC28">
            <v>2.3239333333333338E-2</v>
          </cell>
          <cell r="DD28">
            <v>2.5842416666666666E-2</v>
          </cell>
          <cell r="DE28">
            <v>2.8314416666666665E-2</v>
          </cell>
          <cell r="DF28">
            <v>2.9263916666666671E-2</v>
          </cell>
          <cell r="DG28">
            <v>2.9489666666666667E-2</v>
          </cell>
          <cell r="DH28">
            <v>2.7606749999999996E-2</v>
          </cell>
          <cell r="DI28">
            <v>2.3978000000000003E-2</v>
          </cell>
          <cell r="DJ28">
            <v>1.9702916666666667E-2</v>
          </cell>
          <cell r="DK28">
            <v>1.7617999999999998E-2</v>
          </cell>
          <cell r="DL28">
            <v>1.4499916666666666E-2</v>
          </cell>
          <cell r="DM28">
            <v>8.7670000000000005E-3</v>
          </cell>
          <cell r="DN28">
            <v>6.4483333333333337E-3</v>
          </cell>
          <cell r="DO28">
            <v>7.6017499999999991E-3</v>
          </cell>
          <cell r="DP28">
            <v>1.1464416666666668E-2</v>
          </cell>
          <cell r="DQ28">
            <v>1.4856666666666667E-2</v>
          </cell>
          <cell r="DR28">
            <v>1.4540333333333332E-2</v>
          </cell>
          <cell r="DS28">
            <v>1.4391000000000001E-2</v>
          </cell>
          <cell r="DT28">
            <v>1.7661166666666669E-2</v>
          </cell>
          <cell r="DU28">
            <v>2.4586166666666666E-2</v>
          </cell>
          <cell r="DV28">
            <v>3.0458833333333327E-2</v>
          </cell>
          <cell r="DW28">
            <v>3.5236833333333328E-2</v>
          </cell>
          <cell r="DX28">
            <v>3.7760500000000002E-2</v>
          </cell>
          <cell r="DY28">
            <v>3.6746333333333339E-2</v>
          </cell>
          <cell r="DZ28">
            <v>3.937633333333334E-2</v>
          </cell>
          <cell r="EA28">
            <v>4.2609000000000001E-2</v>
          </cell>
          <cell r="EB28">
            <v>4.2372500000000007E-2</v>
          </cell>
          <cell r="EC28">
            <v>4.3317833333333333E-2</v>
          </cell>
          <cell r="ED28">
            <v>4.2138833333333327E-2</v>
          </cell>
          <cell r="EE28">
            <v>4.1321166666666666E-2</v>
          </cell>
          <cell r="EF28">
            <v>4.3323333333333339E-2</v>
          </cell>
          <cell r="EG28">
            <v>4.3055666666666666E-2</v>
          </cell>
          <cell r="EH28">
            <v>4.2617500000000003E-2</v>
          </cell>
          <cell r="EI28">
            <v>4.1593666666666668E-2</v>
          </cell>
          <cell r="EJ28">
            <v>4.2590000000000003E-2</v>
          </cell>
          <cell r="EK28">
            <v>4.3999999999999997E-2</v>
          </cell>
          <cell r="EL28">
            <v>4.4249999999999998E-2</v>
          </cell>
          <cell r="EM28">
            <v>4.4499999999999998E-2</v>
          </cell>
          <cell r="EN28">
            <v>4.4749999999999998E-2</v>
          </cell>
          <cell r="EO28">
            <v>4.4999999999999998E-2</v>
          </cell>
          <cell r="EP28">
            <v>4.5249999999999999E-2</v>
          </cell>
          <cell r="EQ28">
            <v>4.5499999999999999E-2</v>
          </cell>
          <cell r="ER28">
            <v>4.5749999999999999E-2</v>
          </cell>
          <cell r="ES28">
            <v>4.5999999999999999E-2</v>
          </cell>
          <cell r="ET28">
            <v>4.5999999999999999E-2</v>
          </cell>
          <cell r="EU28">
            <v>4.5999999999999999E-2</v>
          </cell>
          <cell r="EV28">
            <v>4.5999999999999999E-2</v>
          </cell>
          <cell r="EW28">
            <v>4.5999999999999999E-2</v>
          </cell>
          <cell r="EX28">
            <v>4.5999999999999999E-2</v>
          </cell>
          <cell r="EY28">
            <v>4.5999999999999999E-2</v>
          </cell>
          <cell r="EZ28">
            <v>4.5999999999999999E-2</v>
          </cell>
          <cell r="FA28">
            <v>4.5999999999999999E-2</v>
          </cell>
          <cell r="FB28">
            <v>4.5999999999999999E-2</v>
          </cell>
          <cell r="FC28">
            <v>4.5999999999999999E-2</v>
          </cell>
          <cell r="FD28">
            <v>4.5999999999999999E-2</v>
          </cell>
          <cell r="FE28">
            <v>4.5999999999999999E-2</v>
          </cell>
          <cell r="FF28">
            <v>4.5999999999999999E-2</v>
          </cell>
          <cell r="FG28">
            <v>4.5999999999999999E-2</v>
          </cell>
          <cell r="FH28">
            <v>4.5999999999999999E-2</v>
          </cell>
          <cell r="FI28">
            <v>4.5999999999999999E-2</v>
          </cell>
          <cell r="FJ28">
            <v>4.5999999999999999E-2</v>
          </cell>
          <cell r="FK28">
            <v>4.5999999999999999E-2</v>
          </cell>
          <cell r="FL28">
            <v>4.5999999999999999E-2</v>
          </cell>
          <cell r="FM28">
            <v>4.5999999999999999E-2</v>
          </cell>
          <cell r="FN28">
            <v>4.5999999999999999E-2</v>
          </cell>
          <cell r="FO28">
            <v>4.5999999999999999E-2</v>
          </cell>
          <cell r="FP28">
            <v>4.5999999999999999E-2</v>
          </cell>
          <cell r="FQ28">
            <v>4.5999999999999999E-2</v>
          </cell>
          <cell r="FR28">
            <v>4.5999999999999999E-2</v>
          </cell>
          <cell r="FS28">
            <v>4.5999999999999999E-2</v>
          </cell>
          <cell r="FT28">
            <v>4.5999999999999999E-2</v>
          </cell>
          <cell r="FU28">
            <v>4.5999999999999999E-2</v>
          </cell>
        </row>
        <row r="30">
          <cell r="B30" t="str">
            <v>Rates - average (12mo)</v>
          </cell>
        </row>
        <row r="31">
          <cell r="A31" t="str">
            <v>12MoCashg</v>
          </cell>
          <cell r="B31" t="str">
            <v>Aust cash</v>
          </cell>
          <cell r="D31">
            <v>9.3208333333333351E-2</v>
          </cell>
          <cell r="E31">
            <v>8.3291666666666681E-2</v>
          </cell>
          <cell r="F31">
            <v>7.154166666666667E-2</v>
          </cell>
          <cell r="G31">
            <v>6.3791666666666663E-2</v>
          </cell>
          <cell r="H31">
            <v>5.8875000000000004E-2</v>
          </cell>
          <cell r="I31">
            <v>5.4791666666666676E-2</v>
          </cell>
          <cell r="J31">
            <v>5.2875000000000005E-2</v>
          </cell>
          <cell r="K31">
            <v>5.0499999999999996E-2</v>
          </cell>
          <cell r="L31">
            <v>4.8500000000000008E-2</v>
          </cell>
          <cell r="M31">
            <v>4.7083333333333338E-2</v>
          </cell>
          <cell r="N31">
            <v>4.8250000000000001E-2</v>
          </cell>
          <cell r="O31">
            <v>5.3249999999999999E-2</v>
          </cell>
          <cell r="P31">
            <v>6.0041666666666674E-2</v>
          </cell>
          <cell r="Q31">
            <v>6.7058333333333345E-2</v>
          </cell>
          <cell r="R31">
            <v>7.2600000000000026E-2</v>
          </cell>
          <cell r="S31">
            <v>7.4266666666666661E-2</v>
          </cell>
          <cell r="T31">
            <v>7.4141666666666675E-2</v>
          </cell>
          <cell r="U31">
            <v>7.3666666666666672E-2</v>
          </cell>
          <cell r="V31">
            <v>7.2666666666666657E-2</v>
          </cell>
          <cell r="W31">
            <v>7.0391666666666672E-2</v>
          </cell>
          <cell r="X31">
            <v>6.696666666666666E-2</v>
          </cell>
          <cell r="Y31">
            <v>6.3125000000000014E-2</v>
          </cell>
          <cell r="Z31">
            <v>5.8083333333333348E-2</v>
          </cell>
          <cell r="AA31">
            <v>5.4225000000000023E-2</v>
          </cell>
          <cell r="AB31">
            <v>5.1600000000000007E-2</v>
          </cell>
          <cell r="AC31">
            <v>4.9791666666666679E-2</v>
          </cell>
          <cell r="AD31">
            <v>4.9791666666666679E-2</v>
          </cell>
          <cell r="AE31">
            <v>4.9575000000000008E-2</v>
          </cell>
          <cell r="AF31">
            <v>4.8941666666666668E-2</v>
          </cell>
          <cell r="AG31">
            <v>4.8391666666666666E-2</v>
          </cell>
          <cell r="AH31">
            <v>4.7833333333333325E-2</v>
          </cell>
          <cell r="AI31">
            <v>4.7866666666666662E-2</v>
          </cell>
          <cell r="AJ31">
            <v>4.9383333333333335E-2</v>
          </cell>
          <cell r="AK31">
            <v>5.2291666666666667E-2</v>
          </cell>
          <cell r="AL31">
            <v>5.5808333333333335E-2</v>
          </cell>
          <cell r="AM31">
            <v>5.9166666666666673E-2</v>
          </cell>
          <cell r="AN31">
            <v>6.0416666666666667E-2</v>
          </cell>
          <cell r="AO31">
            <v>5.8125000000000003E-2</v>
          </cell>
          <cell r="AP31">
            <v>5.5E-2</v>
          </cell>
          <cell r="AQ31">
            <v>5.0416666666666672E-2</v>
          </cell>
          <cell r="AR31">
            <v>4.6458333333333331E-2</v>
          </cell>
          <cell r="AS31">
            <v>4.520833333333333E-2</v>
          </cell>
          <cell r="AT31">
            <v>4.4791666666666667E-2</v>
          </cell>
          <cell r="AU31">
            <v>4.5624999999999999E-2</v>
          </cell>
          <cell r="AV31">
            <v>4.6875E-2</v>
          </cell>
          <cell r="AW31">
            <v>4.7500000000000001E-2</v>
          </cell>
          <cell r="AX31">
            <v>4.7500000000000001E-2</v>
          </cell>
          <cell r="AY31">
            <v>4.8125000000000001E-2</v>
          </cell>
          <cell r="AZ31">
            <v>4.9375000000000002E-2</v>
          </cell>
          <cell r="BA31">
            <v>5.0625000000000003E-2</v>
          </cell>
          <cell r="BB31">
            <v>5.1874999999999998E-2</v>
          </cell>
          <cell r="BC31">
            <v>5.2499999999999998E-2</v>
          </cell>
          <cell r="BD31">
            <v>5.2708333333333329E-2</v>
          </cell>
          <cell r="BE31">
            <v>5.333333333333333E-2</v>
          </cell>
          <cell r="BF31">
            <v>5.395833333333333E-2</v>
          </cell>
          <cell r="BG31">
            <v>5.4583333333333331E-2</v>
          </cell>
          <cell r="BH31">
            <v>5.5E-2</v>
          </cell>
          <cell r="BI31">
            <v>5.541666666666667E-2</v>
          </cell>
          <cell r="BJ31">
            <v>5.6458333333333333E-2</v>
          </cell>
          <cell r="BK31">
            <v>5.8125000000000003E-2</v>
          </cell>
          <cell r="BL31">
            <v>0.06</v>
          </cell>
          <cell r="BM31">
            <v>6.145833333333333E-2</v>
          </cell>
          <cell r="BN31">
            <v>6.2708333333333324E-2</v>
          </cell>
          <cell r="BO31">
            <v>6.3958333333333325E-2</v>
          </cell>
          <cell r="BP31">
            <v>6.5833333333333327E-2</v>
          </cell>
          <cell r="BQ31">
            <v>6.8333333333333329E-2</v>
          </cell>
          <cell r="BR31">
            <v>7.0208333333333331E-2</v>
          </cell>
          <cell r="BS31">
            <v>6.6458333333333328E-2</v>
          </cell>
          <cell r="BT31">
            <v>5.7916666666666672E-2</v>
          </cell>
          <cell r="BU31">
            <v>4.7291666666666669E-2</v>
          </cell>
          <cell r="BV31">
            <v>3.6874999999999998E-2</v>
          </cell>
          <cell r="BW31">
            <v>3.2708333333333332E-2</v>
          </cell>
          <cell r="BX31">
            <v>3.3333333333333333E-2</v>
          </cell>
          <cell r="BY31">
            <v>3.6874999999999998E-2</v>
          </cell>
          <cell r="BZ31">
            <v>4.0625000000000001E-2</v>
          </cell>
          <cell r="CA31">
            <v>4.3541666666666673E-2</v>
          </cell>
          <cell r="CB31">
            <v>4.583333333333333E-2</v>
          </cell>
          <cell r="CC31">
            <v>4.6666666666666669E-2</v>
          </cell>
          <cell r="CD31">
            <v>4.7291666666666669E-2</v>
          </cell>
          <cell r="CE31">
            <v>4.6875E-2</v>
          </cell>
          <cell r="CF31">
            <v>4.5624999999999999E-2</v>
          </cell>
          <cell r="CG31">
            <v>4.3333333333333328E-2</v>
          </cell>
          <cell r="CH31">
            <v>4.0208333333333332E-2</v>
          </cell>
          <cell r="CI31">
            <v>3.6874999999999998E-2</v>
          </cell>
          <cell r="CJ31">
            <v>3.3750000000000002E-2</v>
          </cell>
          <cell r="CK31">
            <v>3.125E-2</v>
          </cell>
          <cell r="CL31">
            <v>2.8958333333333336E-2</v>
          </cell>
          <cell r="CM31">
            <v>2.7291666666666665E-2</v>
          </cell>
          <cell r="CN31">
            <v>2.6041666666666664E-2</v>
          </cell>
          <cell r="CO31">
            <v>2.5208333333333336E-2</v>
          </cell>
          <cell r="CP31">
            <v>2.5000000000000001E-2</v>
          </cell>
          <cell r="CQ31">
            <v>2.5000000000000001E-2</v>
          </cell>
          <cell r="CR31">
            <v>2.4583333333333336E-2</v>
          </cell>
          <cell r="CS31">
            <v>2.3541666666666666E-2</v>
          </cell>
          <cell r="CT31">
            <v>2.2291666666666664E-2</v>
          </cell>
          <cell r="CU31">
            <v>2.1041666666666667E-2</v>
          </cell>
          <cell r="CV31">
            <v>2.0208333333333335E-2</v>
          </cell>
          <cell r="CW31">
            <v>1.9583333333333331E-2</v>
          </cell>
          <cell r="CX31">
            <v>1.8541666666666668E-2</v>
          </cell>
          <cell r="CY31">
            <v>1.7291666666666667E-2</v>
          </cell>
          <cell r="CZ31">
            <v>1.6041666666666666E-2</v>
          </cell>
          <cell r="DA31">
            <v>1.5208333333333332E-2</v>
          </cell>
          <cell r="DB31">
            <v>1.4999999999999999E-2</v>
          </cell>
          <cell r="DC31">
            <v>1.4999999999999999E-2</v>
          </cell>
          <cell r="DD31">
            <v>1.4999999999999999E-2</v>
          </cell>
          <cell r="DE31">
            <v>1.4999999999999999E-2</v>
          </cell>
          <cell r="DF31">
            <v>1.4999999999999999E-2</v>
          </cell>
          <cell r="DG31">
            <v>1.4999999999999999E-2</v>
          </cell>
          <cell r="DH31">
            <v>1.4999999999999999E-2</v>
          </cell>
          <cell r="DI31">
            <v>1.4791666666666668E-2</v>
          </cell>
          <cell r="DJ31">
            <v>1.3541666666666667E-2</v>
          </cell>
          <cell r="DK31">
            <v>1.1666666666666667E-2</v>
          </cell>
          <cell r="DL31">
            <v>9.3749999999999997E-3</v>
          </cell>
          <cell r="DM31">
            <v>6.4583333333333333E-3</v>
          </cell>
          <cell r="DN31">
            <v>4.5833333333333334E-3</v>
          </cell>
          <cell r="DO31">
            <v>3.0833333333333333E-3</v>
          </cell>
          <cell r="DP31">
            <v>1.8750000000000004E-3</v>
          </cell>
          <cell r="DQ31">
            <v>1.5000000000000005E-3</v>
          </cell>
          <cell r="DR31">
            <v>1.1250000000000001E-3</v>
          </cell>
          <cell r="DS31">
            <v>1E-3</v>
          </cell>
          <cell r="DT31">
            <v>1E-3</v>
          </cell>
          <cell r="DU31">
            <v>1.8333333333333333E-3</v>
          </cell>
          <cell r="DV31">
            <v>6.2083333333333322E-3</v>
          </cell>
          <cell r="DW31">
            <v>1.3083333333333334E-2</v>
          </cell>
          <cell r="DX31">
            <v>2.1208333333333336E-2</v>
          </cell>
          <cell r="DY31">
            <v>2.9750000000000002E-2</v>
          </cell>
          <cell r="DZ31">
            <v>3.5375000000000011E-2</v>
          </cell>
          <cell r="EA31">
            <v>3.8916666666666676E-2</v>
          </cell>
          <cell r="EB31">
            <v>4.1416666666666678E-2</v>
          </cell>
          <cell r="EC31">
            <v>4.2666666666666672E-2</v>
          </cell>
          <cell r="ED31">
            <v>4.3291666666666673E-2</v>
          </cell>
          <cell r="EE31">
            <v>4.3500000000000004E-2</v>
          </cell>
          <cell r="EF31">
            <v>4.3083333333333342E-2</v>
          </cell>
          <cell r="EG31">
            <v>4.2041666666666672E-2</v>
          </cell>
          <cell r="EH31">
            <v>4.0375000000000008E-2</v>
          </cell>
          <cell r="EI31">
            <v>3.8500000000000006E-2</v>
          </cell>
          <cell r="EJ31">
            <v>3.7250000000000005E-2</v>
          </cell>
          <cell r="EK31">
            <v>3.7875000000000006E-2</v>
          </cell>
          <cell r="EL31">
            <v>3.9125E-2</v>
          </cell>
          <cell r="EM31">
            <v>4.0374999999999994E-2</v>
          </cell>
          <cell r="EN31">
            <v>4.0374999999999994E-2</v>
          </cell>
          <cell r="EO31">
            <v>3.9125E-2</v>
          </cell>
          <cell r="EP31">
            <v>3.7874999999999999E-2</v>
          </cell>
          <cell r="EQ31">
            <v>3.6625000000000005E-2</v>
          </cell>
          <cell r="ER31">
            <v>3.6000000000000004E-2</v>
          </cell>
          <cell r="ES31">
            <v>3.6000000000000004E-2</v>
          </cell>
          <cell r="ET31">
            <v>3.6000000000000004E-2</v>
          </cell>
          <cell r="EU31">
            <v>3.6000000000000004E-2</v>
          </cell>
          <cell r="EV31">
            <v>3.6000000000000004E-2</v>
          </cell>
          <cell r="EW31">
            <v>3.6000000000000004E-2</v>
          </cell>
          <cell r="EX31">
            <v>3.6000000000000004E-2</v>
          </cell>
          <cell r="EY31">
            <v>3.6000000000000004E-2</v>
          </cell>
          <cell r="EZ31">
            <v>3.6000000000000004E-2</v>
          </cell>
          <cell r="FA31">
            <v>3.6000000000000004E-2</v>
          </cell>
          <cell r="FB31">
            <v>3.6000000000000004E-2</v>
          </cell>
          <cell r="FC31">
            <v>3.6000000000000004E-2</v>
          </cell>
          <cell r="FD31">
            <v>3.6000000000000004E-2</v>
          </cell>
          <cell r="FE31">
            <v>3.6000000000000004E-2</v>
          </cell>
          <cell r="FF31">
            <v>3.6000000000000004E-2</v>
          </cell>
          <cell r="FG31">
            <v>3.6000000000000004E-2</v>
          </cell>
          <cell r="FH31">
            <v>3.6000000000000004E-2</v>
          </cell>
          <cell r="FI31">
            <v>3.6000000000000004E-2</v>
          </cell>
          <cell r="FJ31">
            <v>3.6000000000000004E-2</v>
          </cell>
          <cell r="FK31">
            <v>3.6000000000000004E-2</v>
          </cell>
          <cell r="FL31">
            <v>3.6000000000000004E-2</v>
          </cell>
          <cell r="FM31">
            <v>3.6000000000000004E-2</v>
          </cell>
          <cell r="FN31">
            <v>3.6000000000000004E-2</v>
          </cell>
          <cell r="FO31">
            <v>3.6000000000000004E-2</v>
          </cell>
          <cell r="FP31">
            <v>3.6000000000000004E-2</v>
          </cell>
          <cell r="FQ31">
            <v>3.6000000000000004E-2</v>
          </cell>
          <cell r="FR31">
            <v>3.6000000000000004E-2</v>
          </cell>
          <cell r="FS31">
            <v>3.6000000000000004E-2</v>
          </cell>
          <cell r="FT31">
            <v>3.6000000000000004E-2</v>
          </cell>
          <cell r="FU31">
            <v>3.6000000000000004E-2</v>
          </cell>
        </row>
        <row r="32">
          <cell r="A32" t="str">
            <v>au_bbsw3m_avg_12m</v>
          </cell>
          <cell r="B32" t="str">
            <v>Aust 90 day bill</v>
          </cell>
          <cell r="D32">
            <v>9.1108333333333333E-2</v>
          </cell>
          <cell r="E32">
            <v>8.0391666666666681E-2</v>
          </cell>
          <cell r="F32">
            <v>6.987500000000002E-2</v>
          </cell>
          <cell r="G32">
            <v>6.4291666666666678E-2</v>
          </cell>
          <cell r="H32">
            <v>5.944166666666667E-2</v>
          </cell>
          <cell r="I32">
            <v>5.6316666666666668E-2</v>
          </cell>
          <cell r="J32">
            <v>5.3925000000000008E-2</v>
          </cell>
          <cell r="K32">
            <v>5.115833333333332E-2</v>
          </cell>
          <cell r="L32">
            <v>4.9349999999999998E-2</v>
          </cell>
          <cell r="M32">
            <v>4.9116666666666663E-2</v>
          </cell>
          <cell r="N32">
            <v>5.151583333333333E-2</v>
          </cell>
          <cell r="O32">
            <v>5.7943333333333333E-2</v>
          </cell>
          <cell r="P32">
            <v>6.5919999999999992E-2</v>
          </cell>
          <cell r="Q32">
            <v>7.229250000000001E-2</v>
          </cell>
          <cell r="R32">
            <v>7.6720833333333335E-2</v>
          </cell>
          <cell r="S32">
            <v>7.6886666666666659E-2</v>
          </cell>
          <cell r="T32">
            <v>7.5560833333333341E-2</v>
          </cell>
          <cell r="U32">
            <v>7.5255000000000002E-2</v>
          </cell>
          <cell r="V32">
            <v>7.3661666666666681E-2</v>
          </cell>
          <cell r="W32">
            <v>7.0907499999999984E-2</v>
          </cell>
          <cell r="X32">
            <v>6.6978666666666659E-2</v>
          </cell>
          <cell r="Y32">
            <v>6.2107833333333341E-2</v>
          </cell>
          <cell r="Z32">
            <v>5.6936166666666663E-2</v>
          </cell>
          <cell r="AA32">
            <v>5.3523416666666671E-2</v>
          </cell>
          <cell r="AB32">
            <v>5.1158333333333333E-2</v>
          </cell>
          <cell r="AC32">
            <v>4.9790250000000001E-2</v>
          </cell>
          <cell r="AD32">
            <v>5.062500000000001E-2</v>
          </cell>
          <cell r="AE32">
            <v>5.0268000000000007E-2</v>
          </cell>
          <cell r="AF32">
            <v>4.9770749999999996E-2</v>
          </cell>
          <cell r="AG32">
            <v>4.9345749999999994E-2</v>
          </cell>
          <cell r="AH32">
            <v>4.8845750000000007E-2</v>
          </cell>
          <cell r="AI32">
            <v>5.065133333333334E-2</v>
          </cell>
          <cell r="AJ32">
            <v>5.3193083333333349E-2</v>
          </cell>
          <cell r="AK32">
            <v>5.65195E-2</v>
          </cell>
          <cell r="AL32">
            <v>6.0320916666666662E-2</v>
          </cell>
          <cell r="AM32">
            <v>6.2136166666666666E-2</v>
          </cell>
          <cell r="AN32">
            <v>6.1254166666666672E-2</v>
          </cell>
          <cell r="AO32">
            <v>5.8070833333333335E-2</v>
          </cell>
          <cell r="AP32">
            <v>5.3674916666666662E-2</v>
          </cell>
          <cell r="AQ32">
            <v>4.8633250000000003E-2</v>
          </cell>
          <cell r="AR32">
            <v>4.6006916666666661E-2</v>
          </cell>
          <cell r="AS32">
            <v>4.5856916666666664E-2</v>
          </cell>
          <cell r="AT32">
            <v>4.6354250000000007E-2</v>
          </cell>
          <cell r="AU32">
            <v>4.7776500000000006E-2</v>
          </cell>
          <cell r="AV32">
            <v>4.8690333333333342E-2</v>
          </cell>
          <cell r="AW32">
            <v>4.8345916666666676E-2</v>
          </cell>
          <cell r="AX32">
            <v>4.8056916666666671E-2</v>
          </cell>
          <cell r="AY32">
            <v>4.9262416666666663E-2</v>
          </cell>
          <cell r="AZ32">
            <v>5.12875E-2</v>
          </cell>
          <cell r="BA32">
            <v>5.3179083333333342E-2</v>
          </cell>
          <cell r="BB32">
            <v>5.4709666666666663E-2</v>
          </cell>
          <cell r="BC32">
            <v>5.4983333333333342E-2</v>
          </cell>
          <cell r="BD32">
            <v>5.5304083333333337E-2</v>
          </cell>
          <cell r="BE32">
            <v>5.5727833333333338E-2</v>
          </cell>
          <cell r="BF32">
            <v>5.619724999999999E-2</v>
          </cell>
          <cell r="BG32">
            <v>5.6725000000000005E-2</v>
          </cell>
          <cell r="BH32">
            <v>5.6458333333333333E-2</v>
          </cell>
          <cell r="BI32">
            <v>5.7002750000000005E-2</v>
          </cell>
          <cell r="BJ32">
            <v>5.8383333333333336E-2</v>
          </cell>
          <cell r="BK32">
            <v>6.0283416666666673E-2</v>
          </cell>
          <cell r="BL32">
            <v>6.2283416666666661E-2</v>
          </cell>
          <cell r="BM32">
            <v>6.35125E-2</v>
          </cell>
          <cell r="BN32">
            <v>6.5023583333333329E-2</v>
          </cell>
          <cell r="BO32">
            <v>6.693608333333334E-2</v>
          </cell>
          <cell r="BP32">
            <v>7.0230499999999987E-2</v>
          </cell>
          <cell r="BQ32">
            <v>7.3765250000000004E-2</v>
          </cell>
          <cell r="BR32">
            <v>7.5395833333333356E-2</v>
          </cell>
          <cell r="BS32">
            <v>6.9706916666666674E-2</v>
          </cell>
          <cell r="BT32">
            <v>5.8459666666666667E-2</v>
          </cell>
          <cell r="BU32">
            <v>4.6826333333333324E-2</v>
          </cell>
          <cell r="BV32">
            <v>3.6593000000000001E-2</v>
          </cell>
          <cell r="BW32">
            <v>3.4572083333333337E-2</v>
          </cell>
          <cell r="BX32">
            <v>3.7312416666666667E-2</v>
          </cell>
          <cell r="BY32">
            <v>4.1443000000000001E-2</v>
          </cell>
          <cell r="BZ32">
            <v>4.5166666666666667E-2</v>
          </cell>
          <cell r="CA32">
            <v>4.7416750000000001E-2</v>
          </cell>
          <cell r="CB32">
            <v>4.8936250000000001E-2</v>
          </cell>
          <cell r="CC32">
            <v>4.9402833333333333E-2</v>
          </cell>
          <cell r="CD32">
            <v>4.9670833333333331E-2</v>
          </cell>
          <cell r="CE32">
            <v>4.8699916666666662E-2</v>
          </cell>
          <cell r="CF32">
            <v>4.7313833333333333E-2</v>
          </cell>
          <cell r="CG32">
            <v>4.4055583333333329E-2</v>
          </cell>
          <cell r="CH32">
            <v>4.0502833333333335E-2</v>
          </cell>
          <cell r="CI32">
            <v>3.6943166666666666E-2</v>
          </cell>
          <cell r="CJ32">
            <v>3.3499416666666663E-2</v>
          </cell>
          <cell r="CK32">
            <v>3.1393833333333329E-2</v>
          </cell>
          <cell r="CL32">
            <v>2.9102833333333335E-2</v>
          </cell>
          <cell r="CM32">
            <v>2.7718166666666665E-2</v>
          </cell>
          <cell r="CN32">
            <v>2.6820166666666662E-2</v>
          </cell>
          <cell r="CO32">
            <v>2.6450750000000002E-2</v>
          </cell>
          <cell r="CP32">
            <v>2.6534749999999999E-2</v>
          </cell>
          <cell r="CQ32">
            <v>2.6869416666666673E-2</v>
          </cell>
          <cell r="CR32">
            <v>2.6170833333333331E-2</v>
          </cell>
          <cell r="CS32">
            <v>2.487633333333333E-2</v>
          </cell>
          <cell r="CT32">
            <v>2.3644416666666664E-2</v>
          </cell>
          <cell r="CU32">
            <v>2.2391666666666667E-2</v>
          </cell>
          <cell r="CV32">
            <v>2.2183333333333333E-2</v>
          </cell>
          <cell r="CW32">
            <v>2.1811083333333335E-2</v>
          </cell>
          <cell r="CX32">
            <v>2.0865249999999995E-2</v>
          </cell>
          <cell r="CY32">
            <v>1.96805E-2</v>
          </cell>
          <cell r="CZ32">
            <v>1.8418000000000004E-2</v>
          </cell>
          <cell r="DA32">
            <v>1.7658333333333331E-2</v>
          </cell>
          <cell r="DB32">
            <v>1.7479166666666667E-2</v>
          </cell>
          <cell r="DC32">
            <v>1.7395833333333333E-2</v>
          </cell>
          <cell r="DD32">
            <v>1.7600000000000001E-2</v>
          </cell>
          <cell r="DE32">
            <v>1.8383583333333332E-2</v>
          </cell>
          <cell r="DF32">
            <v>1.8991500000000005E-2</v>
          </cell>
          <cell r="DG32">
            <v>1.9595666666666667E-2</v>
          </cell>
          <cell r="DH32">
            <v>1.9691833333333329E-2</v>
          </cell>
          <cell r="DI32">
            <v>1.8073166666666661E-2</v>
          </cell>
          <cell r="DJ32">
            <v>1.5638416666666662E-2</v>
          </cell>
          <cell r="DK32">
            <v>1.2957083333333333E-2</v>
          </cell>
          <cell r="DL32">
            <v>9.9220000000000003E-3</v>
          </cell>
          <cell r="DM32">
            <v>6.6819166666666659E-3</v>
          </cell>
          <cell r="DN32">
            <v>4.4754166666666657E-3</v>
          </cell>
          <cell r="DO32">
            <v>2.2707500000000002E-3</v>
          </cell>
          <cell r="DP32">
            <v>6.1383333333333342E-4</v>
          </cell>
          <cell r="DQ32">
            <v>4.5675000000000002E-4</v>
          </cell>
          <cell r="DR32">
            <v>2.6691666666666671E-4</v>
          </cell>
          <cell r="DS32">
            <v>3.4916666666666673E-4</v>
          </cell>
          <cell r="DT32">
            <v>6.0858333333333326E-4</v>
          </cell>
          <cell r="DU32">
            <v>3.6048333333333332E-3</v>
          </cell>
          <cell r="DV32">
            <v>9.928416666666667E-3</v>
          </cell>
          <cell r="DW32">
            <v>1.7640083333333331E-2</v>
          </cell>
          <cell r="DX32">
            <v>2.6193833333333333E-2</v>
          </cell>
          <cell r="DY32">
            <v>3.3117833333333332E-2</v>
          </cell>
          <cell r="DZ32">
            <v>3.7190166666666663E-2</v>
          </cell>
          <cell r="EA32">
            <v>4.0222333333333332E-2</v>
          </cell>
          <cell r="EB32">
            <v>4.2201000000000002E-2</v>
          </cell>
          <cell r="EC32">
            <v>4.3195416666666667E-2</v>
          </cell>
          <cell r="ED32">
            <v>4.3854083333333335E-2</v>
          </cell>
          <cell r="EE32">
            <v>4.4007666666666667E-2</v>
          </cell>
          <cell r="EF32">
            <v>4.3562500000000004E-2</v>
          </cell>
          <cell r="EG32">
            <v>4.1895249999999995E-2</v>
          </cell>
          <cell r="EH32">
            <v>3.9822666666666659E-2</v>
          </cell>
          <cell r="EI32">
            <v>3.7966833333333339E-2</v>
          </cell>
          <cell r="EJ32">
            <v>3.7169000000000001E-2</v>
          </cell>
          <cell r="EK32">
            <v>3.8784749999999993E-2</v>
          </cell>
          <cell r="EL32">
            <v>4.0593749999999998E-2</v>
          </cell>
          <cell r="EM32">
            <v>4.2124999999999996E-2</v>
          </cell>
          <cell r="EN32">
            <v>4.2500000000000003E-2</v>
          </cell>
          <cell r="EO32">
            <v>4.1500000000000002E-2</v>
          </cell>
          <cell r="EP32">
            <v>4.0375000000000001E-2</v>
          </cell>
          <cell r="EQ32">
            <v>3.9125000000000007E-2</v>
          </cell>
          <cell r="ER32">
            <v>3.8500000000000006E-2</v>
          </cell>
          <cell r="ES32">
            <v>3.8500000000000006E-2</v>
          </cell>
          <cell r="ET32">
            <v>3.8500000000000006E-2</v>
          </cell>
          <cell r="EU32">
            <v>3.8500000000000006E-2</v>
          </cell>
          <cell r="EV32">
            <v>3.8500000000000006E-2</v>
          </cell>
          <cell r="EW32">
            <v>3.8500000000000006E-2</v>
          </cell>
          <cell r="EX32">
            <v>3.8500000000000006E-2</v>
          </cell>
          <cell r="EY32">
            <v>3.8500000000000006E-2</v>
          </cell>
          <cell r="EZ32">
            <v>3.8500000000000006E-2</v>
          </cell>
          <cell r="FA32">
            <v>3.8500000000000006E-2</v>
          </cell>
          <cell r="FB32">
            <v>3.8500000000000006E-2</v>
          </cell>
          <cell r="FC32">
            <v>3.8500000000000006E-2</v>
          </cell>
          <cell r="FD32">
            <v>3.8500000000000006E-2</v>
          </cell>
          <cell r="FE32">
            <v>3.8500000000000006E-2</v>
          </cell>
          <cell r="FF32">
            <v>3.8500000000000006E-2</v>
          </cell>
          <cell r="FG32">
            <v>3.8500000000000006E-2</v>
          </cell>
          <cell r="FH32">
            <v>3.8500000000000006E-2</v>
          </cell>
          <cell r="FI32">
            <v>3.8500000000000006E-2</v>
          </cell>
          <cell r="FJ32">
            <v>3.8500000000000006E-2</v>
          </cell>
          <cell r="FK32">
            <v>3.8500000000000006E-2</v>
          </cell>
          <cell r="FL32">
            <v>3.8500000000000006E-2</v>
          </cell>
          <cell r="FM32">
            <v>3.8500000000000006E-2</v>
          </cell>
          <cell r="FN32">
            <v>3.8500000000000006E-2</v>
          </cell>
          <cell r="FO32">
            <v>3.8500000000000006E-2</v>
          </cell>
          <cell r="FP32">
            <v>3.8500000000000006E-2</v>
          </cell>
          <cell r="FQ32">
            <v>3.8500000000000006E-2</v>
          </cell>
          <cell r="FR32">
            <v>3.8500000000000006E-2</v>
          </cell>
          <cell r="FS32">
            <v>3.8500000000000006E-2</v>
          </cell>
          <cell r="FT32">
            <v>3.8500000000000006E-2</v>
          </cell>
          <cell r="FU32">
            <v>3.8500000000000006E-2</v>
          </cell>
        </row>
        <row r="33">
          <cell r="A33" t="str">
            <v>au_govt10y_avg_12m</v>
          </cell>
          <cell r="B33" t="str">
            <v>Aust 10 yr Bond Rate</v>
          </cell>
          <cell r="P33">
            <v>9.7699999999999995E-2</v>
          </cell>
          <cell r="Q33">
            <v>9.8516666666666641E-2</v>
          </cell>
          <cell r="R33">
            <v>9.6600000000000019E-2</v>
          </cell>
          <cell r="S33">
            <v>9.1683333333333353E-2</v>
          </cell>
          <cell r="T33">
            <v>8.7883333333333327E-2</v>
          </cell>
          <cell r="U33">
            <v>8.6716666666666664E-2</v>
          </cell>
          <cell r="V33">
            <v>8.4383333333333338E-2</v>
          </cell>
          <cell r="W33">
            <v>8.1724999999999992E-2</v>
          </cell>
          <cell r="X33">
            <v>7.9700000000000021E-2</v>
          </cell>
          <cell r="Y33">
            <v>7.6200000000000004E-2</v>
          </cell>
          <cell r="Z33">
            <v>7.173333333333333E-2</v>
          </cell>
          <cell r="AA33">
            <v>6.8541666666666667E-2</v>
          </cell>
          <cell r="AB33">
            <v>6.3991666666666669E-2</v>
          </cell>
          <cell r="AC33">
            <v>5.949999999999999E-2</v>
          </cell>
          <cell r="AD33">
            <v>5.7591666666666666E-2</v>
          </cell>
          <cell r="AE33">
            <v>5.5008333333333333E-2</v>
          </cell>
          <cell r="AF33">
            <v>5.3691666666666672E-2</v>
          </cell>
          <cell r="AG33">
            <v>5.4458333333333331E-2</v>
          </cell>
          <cell r="AH33">
            <v>5.6258333333333327E-2</v>
          </cell>
          <cell r="AI33">
            <v>6.0583333333333329E-2</v>
          </cell>
          <cell r="AJ33">
            <v>6.4049999999999996E-2</v>
          </cell>
          <cell r="AK33">
            <v>6.4941666666666675E-2</v>
          </cell>
          <cell r="AL33">
            <v>6.5025000000000013E-2</v>
          </cell>
          <cell r="AM33">
            <v>6.2700000000000006E-2</v>
          </cell>
          <cell r="AN33">
            <v>5.9045833333333339E-2</v>
          </cell>
          <cell r="AO33">
            <v>5.8208333333333334E-2</v>
          </cell>
          <cell r="AP33">
            <v>5.682083333333332E-2</v>
          </cell>
          <cell r="AQ33">
            <v>5.6320833333333341E-2</v>
          </cell>
          <cell r="AR33">
            <v>5.8358333333333332E-2</v>
          </cell>
          <cell r="AS33">
            <v>5.8712499999999987E-2</v>
          </cell>
          <cell r="AT33">
            <v>5.8575000000000016E-2</v>
          </cell>
          <cell r="AU33">
            <v>5.8241666666666664E-2</v>
          </cell>
          <cell r="AV33">
            <v>5.5975000000000004E-2</v>
          </cell>
          <cell r="AW33">
            <v>5.3366666666666666E-2</v>
          </cell>
          <cell r="AX33">
            <v>5.2816666666666671E-2</v>
          </cell>
          <cell r="AY33">
            <v>5.3587500000000003E-2</v>
          </cell>
          <cell r="AZ33">
            <v>5.46875E-2</v>
          </cell>
          <cell r="BA33">
            <v>5.6779166666666658E-2</v>
          </cell>
          <cell r="BB33">
            <v>5.7212500000000006E-2</v>
          </cell>
          <cell r="BC33">
            <v>5.5966666666666678E-2</v>
          </cell>
          <cell r="BD33">
            <v>5.5745833333333328E-2</v>
          </cell>
          <cell r="BE33">
            <v>5.4016666666666671E-2</v>
          </cell>
          <cell r="BF33">
            <v>5.294999999999999E-2</v>
          </cell>
          <cell r="BG33">
            <v>5.313749999999999E-2</v>
          </cell>
          <cell r="BH33">
            <v>5.2691666666666664E-2</v>
          </cell>
          <cell r="BI33">
            <v>5.4058333333333326E-2</v>
          </cell>
          <cell r="BJ33">
            <v>5.5297916666666669E-2</v>
          </cell>
          <cell r="BK33">
            <v>5.619208333333333E-2</v>
          </cell>
          <cell r="BL33">
            <v>5.7396249999999996E-2</v>
          </cell>
          <cell r="BM33">
            <v>5.8172499999999988E-2</v>
          </cell>
          <cell r="BN33">
            <v>5.90725E-2</v>
          </cell>
          <cell r="BO33">
            <v>6.0207083333333342E-2</v>
          </cell>
          <cell r="BP33">
            <v>6.090541666666667E-2</v>
          </cell>
          <cell r="BQ33">
            <v>6.1822500000000009E-2</v>
          </cell>
          <cell r="BR33">
            <v>6.1212916666666672E-2</v>
          </cell>
          <cell r="BS33">
            <v>5.7240416666666655E-2</v>
          </cell>
          <cell r="BT33">
            <v>5.2873333333333335E-2</v>
          </cell>
          <cell r="BU33">
            <v>5.0013333333333333E-2</v>
          </cell>
          <cell r="BV33">
            <v>4.9388250000000002E-2</v>
          </cell>
          <cell r="BW33">
            <v>5.1808500000000007E-2</v>
          </cell>
          <cell r="BX33">
            <v>5.4799416666666663E-2</v>
          </cell>
          <cell r="BY33">
            <v>5.5099833333333334E-2</v>
          </cell>
          <cell r="BZ33">
            <v>5.3699666666666673E-2</v>
          </cell>
          <cell r="CA33">
            <v>5.3272333333333338E-2</v>
          </cell>
          <cell r="CB33">
            <v>5.3115333333333334E-2</v>
          </cell>
          <cell r="CC33">
            <v>5.2849083333333324E-2</v>
          </cell>
          <cell r="CD33">
            <v>5.1586333333333317E-2</v>
          </cell>
          <cell r="CE33">
            <v>4.826208333333333E-2</v>
          </cell>
          <cell r="CF33">
            <v>4.4407250000000002E-2</v>
          </cell>
          <cell r="CG33">
            <v>3.9232666666666666E-2</v>
          </cell>
          <cell r="CH33">
            <v>3.5651833333333334E-2</v>
          </cell>
          <cell r="CI33">
            <v>3.3512750000000001E-2</v>
          </cell>
          <cell r="CJ33">
            <v>3.2125833333333333E-2</v>
          </cell>
          <cell r="CK33">
            <v>3.2594666666666668E-2</v>
          </cell>
          <cell r="CL33">
            <v>3.4516249999999998E-2</v>
          </cell>
          <cell r="CM33">
            <v>3.6951916666666675E-2</v>
          </cell>
          <cell r="CN33">
            <v>3.8522083333333339E-2</v>
          </cell>
          <cell r="CO33">
            <v>3.9304916666666662E-2</v>
          </cell>
          <cell r="CP33">
            <v>3.8351833333333335E-2</v>
          </cell>
          <cell r="CQ33">
            <v>3.5493749999999998E-2</v>
          </cell>
          <cell r="CR33">
            <v>3.1428583333333329E-2</v>
          </cell>
          <cell r="CS33">
            <v>2.9125916666666661E-2</v>
          </cell>
          <cell r="CT33">
            <v>2.7251166666666667E-2</v>
          </cell>
          <cell r="CU33">
            <v>2.6611916666666659E-2</v>
          </cell>
          <cell r="CV33">
            <v>2.6814750000000002E-2</v>
          </cell>
          <cell r="CW33">
            <v>2.5502833333333332E-2</v>
          </cell>
          <cell r="CX33">
            <v>2.3478166666666668E-2</v>
          </cell>
          <cell r="CY33">
            <v>2.3094833333333332E-2</v>
          </cell>
          <cell r="CZ33">
            <v>2.363941666666667E-2</v>
          </cell>
          <cell r="DA33">
            <v>2.4266166666666665E-2</v>
          </cell>
          <cell r="DB33">
            <v>2.6450999999999999E-2</v>
          </cell>
          <cell r="DC33">
            <v>2.6433083333333333E-2</v>
          </cell>
          <cell r="DD33">
            <v>2.647183333333333E-2</v>
          </cell>
          <cell r="DE33">
            <v>2.6902749999999996E-2</v>
          </cell>
          <cell r="DF33">
            <v>2.6578833333333329E-2</v>
          </cell>
          <cell r="DG33">
            <v>2.635733333333333E-2</v>
          </cell>
          <cell r="DH33">
            <v>2.4650083333333329E-2</v>
          </cell>
          <cell r="DI33">
            <v>2.1725750000000002E-2</v>
          </cell>
          <cell r="DJ33">
            <v>1.7768500000000003E-2</v>
          </cell>
          <cell r="DK33">
            <v>1.4444916666666667E-2</v>
          </cell>
          <cell r="DL33">
            <v>1.1449583333333332E-2</v>
          </cell>
          <cell r="DM33">
            <v>9.8430000000000011E-3</v>
          </cell>
          <cell r="DN33">
            <v>9.4266666666666683E-3</v>
          </cell>
          <cell r="DO33">
            <v>8.720916666666665E-3</v>
          </cell>
          <cell r="DP33">
            <v>1.0583249999999999E-2</v>
          </cell>
          <cell r="DQ33">
            <v>1.2446499999999997E-2</v>
          </cell>
          <cell r="DR33">
            <v>1.3478916666666667E-2</v>
          </cell>
          <cell r="DS33">
            <v>1.5768500000000001E-2</v>
          </cell>
          <cell r="DT33">
            <v>1.7502500000000001E-2</v>
          </cell>
          <cell r="DU33">
            <v>2.1873333333333331E-2</v>
          </cell>
          <cell r="DV33">
            <v>2.7469999999999998E-2</v>
          </cell>
          <cell r="DW33">
            <v>3.2375833333333333E-2</v>
          </cell>
          <cell r="DX33">
            <v>3.5592499999999999E-2</v>
          </cell>
          <cell r="DY33">
            <v>3.6296666666666672E-2</v>
          </cell>
          <cell r="DZ33">
            <v>3.7977500000000004E-2</v>
          </cell>
          <cell r="EA33">
            <v>3.9602499999999999E-2</v>
          </cell>
          <cell r="EB33">
            <v>4.0778333333333333E-2</v>
          </cell>
          <cell r="EC33">
            <v>4.2590833333333328E-2</v>
          </cell>
          <cell r="ED33">
            <v>4.2169999999999999E-2</v>
          </cell>
          <cell r="EE33">
            <v>4.2112500000000004E-2</v>
          </cell>
          <cell r="EF33">
            <v>4.2945833333333343E-2</v>
          </cell>
          <cell r="EG33">
            <v>4.2449166666666677E-2</v>
          </cell>
          <cell r="EH33">
            <v>4.3104166666666666E-2</v>
          </cell>
          <cell r="EI33">
            <v>4.3397499999999999E-2</v>
          </cell>
          <cell r="EJ33">
            <v>4.3795000000000001E-2</v>
          </cell>
          <cell r="EK33">
            <v>4.4139999999999999E-2</v>
          </cell>
          <cell r="EL33">
            <v>4.4259999999999994E-2</v>
          </cell>
          <cell r="EM33">
            <v>4.3249999999999997E-2</v>
          </cell>
          <cell r="EN33">
            <v>4.3499999999999997E-2</v>
          </cell>
          <cell r="EO33">
            <v>4.3749999999999997E-2</v>
          </cell>
          <cell r="EP33">
            <v>4.3999999999999997E-2</v>
          </cell>
          <cell r="EQ33">
            <v>4.4374999999999998E-2</v>
          </cell>
          <cell r="ER33">
            <v>4.4624999999999998E-2</v>
          </cell>
          <cell r="ES33">
            <v>4.4874999999999998E-2</v>
          </cell>
          <cell r="ET33">
            <v>4.4999999999999998E-2</v>
          </cell>
          <cell r="EU33">
            <v>4.4999999999999998E-2</v>
          </cell>
          <cell r="EV33">
            <v>4.4999999999999998E-2</v>
          </cell>
          <cell r="EW33">
            <v>4.4999999999999998E-2</v>
          </cell>
          <cell r="EX33">
            <v>4.4999999999999998E-2</v>
          </cell>
          <cell r="EY33">
            <v>4.4999999999999998E-2</v>
          </cell>
          <cell r="EZ33">
            <v>4.4999999999999998E-2</v>
          </cell>
          <cell r="FA33">
            <v>4.4999999999999998E-2</v>
          </cell>
          <cell r="FB33">
            <v>4.4999999999999998E-2</v>
          </cell>
          <cell r="FC33">
            <v>4.4999999999999998E-2</v>
          </cell>
          <cell r="FD33">
            <v>4.4999999999999998E-2</v>
          </cell>
          <cell r="FE33">
            <v>4.4999999999999998E-2</v>
          </cell>
          <cell r="FF33">
            <v>4.4999999999999998E-2</v>
          </cell>
          <cell r="FG33">
            <v>4.4999999999999998E-2</v>
          </cell>
          <cell r="FH33">
            <v>4.4999999999999998E-2</v>
          </cell>
          <cell r="FI33">
            <v>4.4999999999999998E-2</v>
          </cell>
          <cell r="FJ33">
            <v>4.4999999999999998E-2</v>
          </cell>
          <cell r="FK33">
            <v>4.4999999999999998E-2</v>
          </cell>
          <cell r="FL33">
            <v>4.4999999999999998E-2</v>
          </cell>
          <cell r="FM33">
            <v>4.4999999999999998E-2</v>
          </cell>
          <cell r="FN33">
            <v>4.4999999999999998E-2</v>
          </cell>
          <cell r="FO33">
            <v>4.4999999999999998E-2</v>
          </cell>
          <cell r="FP33">
            <v>4.4999999999999998E-2</v>
          </cell>
          <cell r="FQ33">
            <v>4.4999999999999998E-2</v>
          </cell>
          <cell r="FR33">
            <v>4.4999999999999998E-2</v>
          </cell>
          <cell r="FS33">
            <v>4.4999999999999998E-2</v>
          </cell>
          <cell r="FT33">
            <v>4.4999999999999998E-2</v>
          </cell>
          <cell r="FU33">
            <v>4.4999999999999998E-2</v>
          </cell>
        </row>
        <row r="34">
          <cell r="A34" t="str">
            <v>us_govt10y_avg_12m</v>
          </cell>
          <cell r="B34" t="str">
            <v>US 10 yr bond</v>
          </cell>
          <cell r="D34">
            <v>7.607499999999999E-2</v>
          </cell>
          <cell r="E34">
            <v>7.4181666666666646E-2</v>
          </cell>
          <cell r="F34">
            <v>7.1063333333333312E-2</v>
          </cell>
          <cell r="G34">
            <v>7.0135000000000003E-2</v>
          </cell>
          <cell r="H34">
            <v>6.7070000000000005E-2</v>
          </cell>
          <cell r="I34">
            <v>6.3667500000000002E-2</v>
          </cell>
          <cell r="J34">
            <v>6.1129166666666658E-2</v>
          </cell>
          <cell r="K34">
            <v>5.8295833333333345E-2</v>
          </cell>
          <cell r="L34">
            <v>5.8405833333333323E-2</v>
          </cell>
          <cell r="M34">
            <v>6.138416666666667E-2</v>
          </cell>
          <cell r="N34">
            <v>6.5776666666666678E-2</v>
          </cell>
          <cell r="O34">
            <v>7.1206666666666682E-2</v>
          </cell>
          <cell r="P34">
            <v>7.408333333333332E-2</v>
          </cell>
          <cell r="Q34">
            <v>7.2440833333333329E-2</v>
          </cell>
          <cell r="R34">
            <v>6.99375E-2</v>
          </cell>
          <cell r="S34">
            <v>6.4771666666666686E-2</v>
          </cell>
          <cell r="T34">
            <v>6.1468333333333333E-2</v>
          </cell>
          <cell r="U34">
            <v>6.2045000000000003E-2</v>
          </cell>
          <cell r="V34">
            <v>6.3336666666666652E-2</v>
          </cell>
          <cell r="W34">
            <v>6.4555833333333326E-2</v>
          </cell>
          <cell r="X34">
            <v>6.6173333333333334E-2</v>
          </cell>
          <cell r="Y34">
            <v>6.5879166666666669E-2</v>
          </cell>
          <cell r="Z34">
            <v>6.4216666666666672E-2</v>
          </cell>
          <cell r="AA34">
            <v>6.3064999999999982E-2</v>
          </cell>
          <cell r="AB34">
            <v>6.0414166666666665E-2</v>
          </cell>
          <cell r="AC34">
            <v>5.7734999999999995E-2</v>
          </cell>
          <cell r="AD34">
            <v>5.4735833333333331E-2</v>
          </cell>
          <cell r="AE34">
            <v>5.1804999999999997E-2</v>
          </cell>
          <cell r="AF34">
            <v>5.0475833333333317E-2</v>
          </cell>
          <cell r="AG34">
            <v>5.0534999999999997E-2</v>
          </cell>
          <cell r="AH34">
            <v>5.2941666666666672E-2</v>
          </cell>
          <cell r="AI34">
            <v>5.689583333333334E-2</v>
          </cell>
          <cell r="AJ34">
            <v>6.014499999999999E-2</v>
          </cell>
          <cell r="AK34">
            <v>6.1623333333333336E-2</v>
          </cell>
          <cell r="AL34">
            <v>6.1470000000000011E-2</v>
          </cell>
          <cell r="AM34">
            <v>5.9528333333333343E-2</v>
          </cell>
          <cell r="AN34">
            <v>5.6085000000000003E-2</v>
          </cell>
          <cell r="AO34">
            <v>5.4093333333333327E-2</v>
          </cell>
          <cell r="AP34">
            <v>5.1505000000000002E-2</v>
          </cell>
          <cell r="AQ34">
            <v>4.9570833333333335E-2</v>
          </cell>
          <cell r="AR34">
            <v>4.9869999999999991E-2</v>
          </cell>
          <cell r="AS34">
            <v>4.889333333333333E-2</v>
          </cell>
          <cell r="AT34">
            <v>4.7E-2</v>
          </cell>
          <cell r="AU34">
            <v>4.5265000000000007E-2</v>
          </cell>
          <cell r="AV34">
            <v>4.2068166666666663E-2</v>
          </cell>
          <cell r="AW34">
            <v>3.8561999999999992E-2</v>
          </cell>
          <cell r="AX34">
            <v>3.9097666666666663E-2</v>
          </cell>
          <cell r="AY34">
            <v>3.9898250000000003E-2</v>
          </cell>
          <cell r="AZ34">
            <v>4.0303749999999999E-2</v>
          </cell>
          <cell r="BA34">
            <v>4.2820916666666674E-2</v>
          </cell>
          <cell r="BB34">
            <v>4.2744999999999998E-2</v>
          </cell>
          <cell r="BC34">
            <v>4.2509416666666675E-2</v>
          </cell>
          <cell r="BD34">
            <v>4.3382833333333343E-2</v>
          </cell>
          <cell r="BE34">
            <v>4.2003499999999999E-2</v>
          </cell>
          <cell r="BF34">
            <v>4.1917083333333334E-2</v>
          </cell>
          <cell r="BG34">
            <v>4.2622083333333324E-2</v>
          </cell>
          <cell r="BH34">
            <v>4.3391666666666662E-2</v>
          </cell>
          <cell r="BI34">
            <v>4.6082083333333336E-2</v>
          </cell>
          <cell r="BJ34">
            <v>4.7517249999999997E-2</v>
          </cell>
          <cell r="BK34">
            <v>4.7784166666666669E-2</v>
          </cell>
          <cell r="BL34">
            <v>4.7874166666666662E-2</v>
          </cell>
          <cell r="BM34">
            <v>4.7222708333333335E-2</v>
          </cell>
          <cell r="BN34">
            <v>4.6818041666666671E-2</v>
          </cell>
          <cell r="BO34">
            <v>4.5721333333333343E-2</v>
          </cell>
          <cell r="BP34">
            <v>4.2803041666666666E-2</v>
          </cell>
          <cell r="BQ34">
            <v>4.048279166666667E-2</v>
          </cell>
          <cell r="BR34">
            <v>3.8598541666666673E-2</v>
          </cell>
          <cell r="BS34">
            <v>3.580279166666666E-2</v>
          </cell>
          <cell r="BT34">
            <v>3.4143208333333334E-2</v>
          </cell>
          <cell r="BU34">
            <v>3.2774875000000002E-2</v>
          </cell>
          <cell r="BV34">
            <v>3.1605333333333333E-2</v>
          </cell>
          <cell r="BW34">
            <v>3.2706958333333327E-2</v>
          </cell>
          <cell r="BX34">
            <v>3.4795416666666662E-2</v>
          </cell>
          <cell r="BY34">
            <v>3.4606374999999995E-2</v>
          </cell>
          <cell r="BZ34">
            <v>3.2687749999999995E-2</v>
          </cell>
          <cell r="CA34">
            <v>3.1253916666666673E-2</v>
          </cell>
          <cell r="CB34">
            <v>3.0614333333333334E-2</v>
          </cell>
          <cell r="CC34">
            <v>3.0299916666666663E-2</v>
          </cell>
          <cell r="CD34">
            <v>2.9515083333333331E-2</v>
          </cell>
          <cell r="CE34">
            <v>2.7338666666666671E-2</v>
          </cell>
          <cell r="CF34">
            <v>2.3769375000000002E-2</v>
          </cell>
          <cell r="CG34">
            <v>2.0114833333333332E-2</v>
          </cell>
          <cell r="CH34">
            <v>1.8208291666666664E-2</v>
          </cell>
          <cell r="CI34">
            <v>1.7371541666666667E-2</v>
          </cell>
          <cell r="CJ34">
            <v>1.7153249999999998E-2</v>
          </cell>
          <cell r="CK34">
            <v>1.812570833333333E-2</v>
          </cell>
          <cell r="CL34">
            <v>2.0897791666666669E-2</v>
          </cell>
          <cell r="CM34">
            <v>2.3619083333333336E-2</v>
          </cell>
          <cell r="CN34">
            <v>2.5557833333333332E-2</v>
          </cell>
          <cell r="CO34">
            <v>2.6688833333333335E-2</v>
          </cell>
          <cell r="CP34">
            <v>2.6195125000000003E-2</v>
          </cell>
          <cell r="CQ34">
            <v>2.4805374999999998E-2</v>
          </cell>
          <cell r="CR34">
            <v>2.272895833333333E-2</v>
          </cell>
          <cell r="CS34">
            <v>2.1773833333333333E-2</v>
          </cell>
          <cell r="CT34">
            <v>2.0979375000000001E-2</v>
          </cell>
          <cell r="CU34">
            <v>2.0932875000000004E-2</v>
          </cell>
          <cell r="CV34">
            <v>2.0824375000000003E-2</v>
          </cell>
          <cell r="CW34">
            <v>1.9697333333333338E-2</v>
          </cell>
          <cell r="CX34">
            <v>1.8187458333333337E-2</v>
          </cell>
          <cell r="CY34">
            <v>1.8219708333333334E-2</v>
          </cell>
          <cell r="CZ34">
            <v>1.9747749999999998E-2</v>
          </cell>
          <cell r="DA34">
            <v>2.1111541666666667E-2</v>
          </cell>
          <cell r="DB34">
            <v>2.2879791666666666E-2</v>
          </cell>
          <cell r="DC34">
            <v>2.3329083333333327E-2</v>
          </cell>
          <cell r="DD34">
            <v>2.4202666666666671E-2</v>
          </cell>
          <cell r="DE34">
            <v>2.5776875000000001E-2</v>
          </cell>
          <cell r="DF34">
            <v>2.755316666666667E-2</v>
          </cell>
          <cell r="DG34">
            <v>2.890204166666667E-2</v>
          </cell>
          <cell r="DH34">
            <v>2.8435333333333333E-2</v>
          </cell>
          <cell r="DI34">
            <v>2.6733833333333335E-2</v>
          </cell>
          <cell r="DJ34">
            <v>2.3654833333333333E-2</v>
          </cell>
          <cell r="DK34">
            <v>2.0798000000000001E-2</v>
          </cell>
          <cell r="DL34">
            <v>1.7101416666666668E-2</v>
          </cell>
          <cell r="DM34">
            <v>1.3192500000000001E-2</v>
          </cell>
          <cell r="DN34">
            <v>1.0474124999999999E-2</v>
          </cell>
          <cell r="DO34">
            <v>8.1843750000000007E-3</v>
          </cell>
          <cell r="DP34">
            <v>8.9563749999999991E-3</v>
          </cell>
          <cell r="DQ34">
            <v>1.1229208333333334E-2</v>
          </cell>
          <cell r="DR34">
            <v>1.3002375E-2</v>
          </cell>
          <cell r="DS34">
            <v>1.4623833333333334E-2</v>
          </cell>
          <cell r="DT34">
            <v>1.610075E-2</v>
          </cell>
          <cell r="DU34">
            <v>1.9488583333333337E-2</v>
          </cell>
          <cell r="DV34">
            <v>2.4060000000000002E-2</v>
          </cell>
          <cell r="DW34">
            <v>2.9911500000000008E-2</v>
          </cell>
          <cell r="DX34">
            <v>3.4109666666666663E-2</v>
          </cell>
          <cell r="DY34">
            <v>3.5991583333333334E-2</v>
          </cell>
          <cell r="DZ34">
            <v>3.8568416666666674E-2</v>
          </cell>
          <cell r="EA34">
            <v>3.9677666666666667E-2</v>
          </cell>
          <cell r="EB34">
            <v>4.087441666666667E-2</v>
          </cell>
          <cell r="EC34">
            <v>4.2963416666666671E-2</v>
          </cell>
          <cell r="ED34">
            <v>4.2255666666666664E-2</v>
          </cell>
          <cell r="EE34">
            <v>4.2319500000000003E-2</v>
          </cell>
          <cell r="EF34">
            <v>4.2731083333333329E-2</v>
          </cell>
          <cell r="EG34">
            <v>4.2188416666666673E-2</v>
          </cell>
          <cell r="EH34">
            <v>4.2970416666666671E-2</v>
          </cell>
          <cell r="EI34">
            <v>4.232466666666667E-2</v>
          </cell>
          <cell r="EJ34">
            <v>4.2261750000000001E-2</v>
          </cell>
          <cell r="EK34">
            <v>4.2629500000000001E-2</v>
          </cell>
          <cell r="EL34">
            <v>4.342E-2</v>
          </cell>
          <cell r="EM34">
            <v>4.4249999999999998E-2</v>
          </cell>
          <cell r="EN34">
            <v>4.4499999999999998E-2</v>
          </cell>
          <cell r="EO34">
            <v>4.4749999999999998E-2</v>
          </cell>
          <cell r="EP34">
            <v>4.4999999999999998E-2</v>
          </cell>
          <cell r="EQ34">
            <v>4.5249999999999999E-2</v>
          </cell>
          <cell r="ER34">
            <v>4.5499999999999999E-2</v>
          </cell>
          <cell r="ES34">
            <v>4.5749999999999999E-2</v>
          </cell>
          <cell r="ET34">
            <v>4.5874999999999999E-2</v>
          </cell>
          <cell r="EU34">
            <v>4.5999999999999999E-2</v>
          </cell>
          <cell r="EV34">
            <v>4.5999999999999999E-2</v>
          </cell>
          <cell r="EW34">
            <v>4.5999999999999999E-2</v>
          </cell>
          <cell r="EX34">
            <v>4.5999999999999999E-2</v>
          </cell>
          <cell r="EY34">
            <v>4.5999999999999999E-2</v>
          </cell>
          <cell r="EZ34">
            <v>4.5999999999999999E-2</v>
          </cell>
          <cell r="FA34">
            <v>4.5999999999999999E-2</v>
          </cell>
          <cell r="FB34">
            <v>4.5999999999999999E-2</v>
          </cell>
          <cell r="FC34">
            <v>4.5999999999999999E-2</v>
          </cell>
          <cell r="FD34">
            <v>4.5999999999999999E-2</v>
          </cell>
          <cell r="FE34">
            <v>4.5999999999999999E-2</v>
          </cell>
          <cell r="FF34">
            <v>4.5999999999999999E-2</v>
          </cell>
          <cell r="FG34">
            <v>4.5999999999999999E-2</v>
          </cell>
          <cell r="FH34">
            <v>4.5999999999999999E-2</v>
          </cell>
          <cell r="FI34">
            <v>4.5999999999999999E-2</v>
          </cell>
          <cell r="FJ34">
            <v>4.5999999999999999E-2</v>
          </cell>
          <cell r="FK34">
            <v>4.5999999999999999E-2</v>
          </cell>
          <cell r="FL34">
            <v>4.5999999999999999E-2</v>
          </cell>
          <cell r="FM34">
            <v>4.5999999999999999E-2</v>
          </cell>
          <cell r="FN34">
            <v>4.5999999999999999E-2</v>
          </cell>
          <cell r="FO34">
            <v>4.5999999999999999E-2</v>
          </cell>
          <cell r="FP34">
            <v>4.5999999999999999E-2</v>
          </cell>
          <cell r="FQ34">
            <v>4.5999999999999999E-2</v>
          </cell>
          <cell r="FR34">
            <v>4.5999999999999999E-2</v>
          </cell>
          <cell r="FS34">
            <v>4.5999999999999999E-2</v>
          </cell>
          <cell r="FT34">
            <v>4.5999999999999999E-2</v>
          </cell>
          <cell r="FU34">
            <v>4.5999999999999999E-2</v>
          </cell>
        </row>
        <row r="36">
          <cell r="B36" t="str">
            <v>Period end exchange rates</v>
          </cell>
        </row>
        <row r="37">
          <cell r="A37" t="str">
            <v>peaudgbp</v>
          </cell>
          <cell r="B37" t="str">
            <v>AUD/GBP</v>
          </cell>
          <cell r="D37">
            <v>0.44290000000000002</v>
          </cell>
          <cell r="E37">
            <v>0.39250000000000002</v>
          </cell>
          <cell r="F37">
            <v>0.39929999999999999</v>
          </cell>
          <cell r="G37">
            <v>0.45579999999999998</v>
          </cell>
          <cell r="H37">
            <v>0.46539999999999998</v>
          </cell>
          <cell r="I37">
            <v>0.44679999999999997</v>
          </cell>
          <cell r="J37">
            <v>0.43169999999999997</v>
          </cell>
          <cell r="K37">
            <v>0.46</v>
          </cell>
          <cell r="L37">
            <v>0.47270000000000001</v>
          </cell>
          <cell r="M37">
            <v>0.47120000000000001</v>
          </cell>
          <cell r="N37">
            <v>0.46920000000000001</v>
          </cell>
          <cell r="O37">
            <v>0.4955</v>
          </cell>
          <cell r="P37">
            <v>0.45279999999999998</v>
          </cell>
          <cell r="Q37">
            <v>0.44469999999999998</v>
          </cell>
          <cell r="R37">
            <v>0.47710000000000002</v>
          </cell>
          <cell r="S37">
            <v>0.4793</v>
          </cell>
          <cell r="T37">
            <v>0.51190000000000002</v>
          </cell>
          <cell r="U37">
            <v>0.50729999999999997</v>
          </cell>
          <cell r="V37">
            <v>0.50539999999999996</v>
          </cell>
          <cell r="W37">
            <v>0.4632</v>
          </cell>
          <cell r="X37">
            <v>0.4793</v>
          </cell>
          <cell r="Y37">
            <v>0.45269999999999999</v>
          </cell>
          <cell r="Z37">
            <v>0.44840000000000002</v>
          </cell>
          <cell r="AA37">
            <v>0.39510000000000001</v>
          </cell>
          <cell r="AB37">
            <v>0.39560000000000001</v>
          </cell>
          <cell r="AC37">
            <v>0.37</v>
          </cell>
          <cell r="AD37">
            <v>0.34939999999999999</v>
          </cell>
          <cell r="AE37">
            <v>0.36830000000000002</v>
          </cell>
          <cell r="AF37">
            <v>0.39360000000000001</v>
          </cell>
          <cell r="AG37">
            <v>0.42259999999999998</v>
          </cell>
          <cell r="AH37">
            <v>0.39600000000000002</v>
          </cell>
          <cell r="AI37">
            <v>0.40670000000000001</v>
          </cell>
          <cell r="AJ37">
            <v>0.38100000000000001</v>
          </cell>
          <cell r="AK37">
            <v>0.39340000000000003</v>
          </cell>
          <cell r="AL37">
            <v>0.3679</v>
          </cell>
          <cell r="AM37">
            <v>0.37419999999999998</v>
          </cell>
          <cell r="AN37">
            <v>0.34320000000000001</v>
          </cell>
          <cell r="AO37">
            <v>0.36120000000000002</v>
          </cell>
          <cell r="AP37">
            <v>0.33360000000000001</v>
          </cell>
          <cell r="AQ37">
            <v>0.34970000000000001</v>
          </cell>
          <cell r="AR37">
            <v>0.374</v>
          </cell>
          <cell r="AS37">
            <v>0.36749999999999999</v>
          </cell>
          <cell r="AT37">
            <v>0.3458</v>
          </cell>
          <cell r="AU37">
            <v>0.34860000000000002</v>
          </cell>
          <cell r="AV37">
            <v>0.3821</v>
          </cell>
          <cell r="AW37">
            <v>0.40689999999999998</v>
          </cell>
          <cell r="AX37">
            <v>0.40949999999999998</v>
          </cell>
          <cell r="AY37">
            <v>0.42149999999999999</v>
          </cell>
          <cell r="AZ37">
            <v>0.4153</v>
          </cell>
          <cell r="BA37">
            <v>0.38390000000000002</v>
          </cell>
          <cell r="BB37">
            <v>0.40189999999999998</v>
          </cell>
          <cell r="BC37">
            <v>0.40720767956457504</v>
          </cell>
          <cell r="BD37">
            <v>0.40895617792675232</v>
          </cell>
          <cell r="BE37">
            <v>0.42536908457987377</v>
          </cell>
          <cell r="BF37">
            <v>0.43181633496417127</v>
          </cell>
          <cell r="BG37">
            <v>0.42630000000000001</v>
          </cell>
          <cell r="BH37">
            <v>0.4123</v>
          </cell>
          <cell r="BI37">
            <v>0.4022</v>
          </cell>
          <cell r="BJ37">
            <v>0.39840000000000003</v>
          </cell>
          <cell r="BK37">
            <v>0.40230000000000005</v>
          </cell>
          <cell r="BL37">
            <v>0.41100000000000003</v>
          </cell>
          <cell r="BM37">
            <v>0.42285000000000006</v>
          </cell>
          <cell r="BN37">
            <v>0.43380000000000002</v>
          </cell>
          <cell r="BO37">
            <v>0.44090000000000001</v>
          </cell>
          <cell r="BP37">
            <v>0.46030000000000004</v>
          </cell>
          <cell r="BQ37">
            <v>0.48110000000000003</v>
          </cell>
          <cell r="BR37">
            <v>0.44480000000000003</v>
          </cell>
          <cell r="BS37">
            <v>0.48000000000000004</v>
          </cell>
          <cell r="BT37">
            <v>0.4829</v>
          </cell>
          <cell r="BU37">
            <v>0.4899</v>
          </cell>
          <cell r="BV37">
            <v>0.55230000000000001</v>
          </cell>
          <cell r="BW37">
            <v>0.5555000000000001</v>
          </cell>
          <cell r="BX37">
            <v>0.60430000000000006</v>
          </cell>
          <cell r="BY37">
            <v>0.5625</v>
          </cell>
          <cell r="BZ37">
            <v>0.61529999999999996</v>
          </cell>
          <cell r="CA37">
            <v>0.65539999999999998</v>
          </cell>
          <cell r="CB37">
            <v>0.64420000000000011</v>
          </cell>
          <cell r="CC37">
            <v>0.66769999999999996</v>
          </cell>
          <cell r="CD37">
            <v>0.62000000000000011</v>
          </cell>
          <cell r="CE37">
            <v>0.65769999999999995</v>
          </cell>
          <cell r="CF37">
            <v>0.64695000000000014</v>
          </cell>
          <cell r="CG37">
            <v>0.65254999999999996</v>
          </cell>
          <cell r="CH37">
            <v>0.64250000000000007</v>
          </cell>
          <cell r="CI37">
            <v>0.63965000000000005</v>
          </cell>
          <cell r="CJ37">
            <v>0.68535000000000013</v>
          </cell>
          <cell r="CK37">
            <v>0.6008</v>
          </cell>
          <cell r="CL37">
            <v>0.57620000000000005</v>
          </cell>
          <cell r="CM37">
            <v>0.53849999999999998</v>
          </cell>
          <cell r="CN37">
            <v>0.55610000000000004</v>
          </cell>
          <cell r="CO37">
            <v>0.5514</v>
          </cell>
          <cell r="CP37">
            <v>0.53964999999999996</v>
          </cell>
          <cell r="CQ37">
            <v>0.52445000000000008</v>
          </cell>
          <cell r="CR37">
            <v>0.51324999999999998</v>
          </cell>
          <cell r="CS37">
            <v>0.49070000000000003</v>
          </cell>
          <cell r="CT37">
            <v>0.46399999999999997</v>
          </cell>
          <cell r="CU37">
            <v>0.49470000000000003</v>
          </cell>
          <cell r="CV37">
            <v>0.53310000000000002</v>
          </cell>
          <cell r="CW37">
            <v>0.55984999999999996</v>
          </cell>
          <cell r="CX37">
            <v>0.59014999999999995</v>
          </cell>
          <cell r="CY37">
            <v>0.58390000000000009</v>
          </cell>
          <cell r="CZ37">
            <v>0.60759999999999992</v>
          </cell>
          <cell r="DA37">
            <v>0.59</v>
          </cell>
          <cell r="DB37">
            <v>0.58485000000000009</v>
          </cell>
          <cell r="DC37">
            <v>0.57755000000000001</v>
          </cell>
          <cell r="DD37">
            <v>0.54744999999999999</v>
          </cell>
          <cell r="DE37">
            <v>0.56089999999999995</v>
          </cell>
          <cell r="DF37">
            <v>0.55400000000000005</v>
          </cell>
          <cell r="DG37">
            <v>0.55309999999999993</v>
          </cell>
          <cell r="DH37">
            <v>0.54459999999999997</v>
          </cell>
          <cell r="DI37">
            <v>0.55320000000000003</v>
          </cell>
          <cell r="DJ37">
            <v>0.54895000000000005</v>
          </cell>
          <cell r="DK37">
            <v>0.52905000000000002</v>
          </cell>
          <cell r="DL37">
            <v>0.49456</v>
          </cell>
          <cell r="DM37">
            <v>0.55671000000000004</v>
          </cell>
          <cell r="DN37">
            <v>0.55445999999999995</v>
          </cell>
          <cell r="DO37">
            <v>0.56304500000000002</v>
          </cell>
          <cell r="DP37">
            <v>0.55100000000000005</v>
          </cell>
          <cell r="DQ37">
            <v>0.54215000000000002</v>
          </cell>
          <cell r="DR37">
            <v>0.53649999999999998</v>
          </cell>
          <cell r="DS37">
            <v>0.53720000000000001</v>
          </cell>
          <cell r="DT37">
            <v>0.56950000000000001</v>
          </cell>
          <cell r="DU37">
            <v>0.56679999999999997</v>
          </cell>
          <cell r="DV37">
            <v>0.57299999999999995</v>
          </cell>
          <cell r="DW37">
            <v>0.56340000000000001</v>
          </cell>
          <cell r="DX37">
            <v>0.54200000000000004</v>
          </cell>
          <cell r="DY37">
            <v>0.52480000000000004</v>
          </cell>
          <cell r="DZ37">
            <v>0.52731499999999998</v>
          </cell>
          <cell r="EA37">
            <v>0.53495000000000004</v>
          </cell>
          <cell r="EB37">
            <v>0.51600000000000001</v>
          </cell>
          <cell r="EC37">
            <v>0.52739999999999998</v>
          </cell>
          <cell r="ED37">
            <v>0.51688535224444543</v>
          </cell>
          <cell r="EE37">
            <v>0.49451459683461196</v>
          </cell>
          <cell r="EF37">
            <v>0.48359173251574089</v>
          </cell>
          <cell r="EG37">
            <v>0.47917734832838982</v>
          </cell>
          <cell r="EH37">
            <v>0.49187544729923488</v>
          </cell>
          <cell r="EI37">
            <v>0.49527998177369664</v>
          </cell>
          <cell r="EJ37">
            <v>0.47535211267605654</v>
          </cell>
          <cell r="EK37">
            <v>0.47222222222222227</v>
          </cell>
          <cell r="EL37">
            <v>0.47499999999999992</v>
          </cell>
          <cell r="EM37">
            <v>0.4779411764705882</v>
          </cell>
          <cell r="EN37">
            <v>0.48523985239852396</v>
          </cell>
          <cell r="EO37">
            <v>0.49259259259259253</v>
          </cell>
          <cell r="EP37">
            <v>0.49999999999999983</v>
          </cell>
          <cell r="EQ37">
            <v>0.5074626865671642</v>
          </cell>
          <cell r="ER37">
            <v>0.51401869158878488</v>
          </cell>
          <cell r="ES37">
            <v>0.52059925093632919</v>
          </cell>
          <cell r="ET37">
            <v>0.52720450281425824</v>
          </cell>
          <cell r="EU37">
            <v>0.53383458646616533</v>
          </cell>
          <cell r="EV37">
            <v>0.54614220877458386</v>
          </cell>
          <cell r="EW37">
            <v>0.55859969558599676</v>
          </cell>
          <cell r="EX37">
            <v>0.57120980091883578</v>
          </cell>
          <cell r="EY37">
            <v>0.58397534668721063</v>
          </cell>
          <cell r="EZ37">
            <v>0.59689922480620106</v>
          </cell>
          <cell r="FA37">
            <v>0.60998439937597437</v>
          </cell>
          <cell r="FB37">
            <v>0.62323390894819397</v>
          </cell>
          <cell r="FC37">
            <v>0.6366508688783562</v>
          </cell>
          <cell r="FD37">
            <v>0.6366508688783562</v>
          </cell>
          <cell r="FE37">
            <v>0.6366508688783562</v>
          </cell>
          <cell r="FF37">
            <v>0.6366508688783562</v>
          </cell>
          <cell r="FG37">
            <v>0.6366508688783562</v>
          </cell>
          <cell r="FH37">
            <v>0.6366508688783562</v>
          </cell>
          <cell r="FI37">
            <v>0.6366508688783562</v>
          </cell>
          <cell r="FJ37">
            <v>0.6366508688783562</v>
          </cell>
          <cell r="FK37">
            <v>0.6366508688783562</v>
          </cell>
          <cell r="FL37">
            <v>0.6366508688783562</v>
          </cell>
          <cell r="FM37">
            <v>0.6366508688783562</v>
          </cell>
          <cell r="FN37">
            <v>0.6366508688783562</v>
          </cell>
          <cell r="FO37">
            <v>0.6366508688783562</v>
          </cell>
          <cell r="FP37">
            <v>0.6366508688783562</v>
          </cell>
          <cell r="FQ37">
            <v>0.6366508688783562</v>
          </cell>
          <cell r="FR37">
            <v>0.6366508688783562</v>
          </cell>
          <cell r="FS37">
            <v>0.6366508688783562</v>
          </cell>
          <cell r="FT37">
            <v>0.6366508688783562</v>
          </cell>
          <cell r="FU37">
            <v>0.6366508688783562</v>
          </cell>
        </row>
        <row r="38">
          <cell r="A38" t="str">
            <v>peaudusd</v>
          </cell>
          <cell r="B38" t="str">
            <v>AUD/USD</v>
          </cell>
          <cell r="D38">
            <v>0.76929999999999998</v>
          </cell>
          <cell r="E38">
            <v>0.74780000000000002</v>
          </cell>
          <cell r="F38">
            <v>0.71319999999999995</v>
          </cell>
          <cell r="G38">
            <v>0.6885</v>
          </cell>
          <cell r="H38">
            <v>0.70479999999999998</v>
          </cell>
          <cell r="I38">
            <v>0.66649999999999998</v>
          </cell>
          <cell r="J38">
            <v>0.64610000000000001</v>
          </cell>
          <cell r="K38">
            <v>0.67930000000000001</v>
          </cell>
          <cell r="L38">
            <v>0.70169999999999999</v>
          </cell>
          <cell r="M38">
            <v>0.72770000000000001</v>
          </cell>
          <cell r="N38">
            <v>0.73950000000000005</v>
          </cell>
          <cell r="O38">
            <v>0.77639999999999998</v>
          </cell>
          <cell r="P38">
            <v>0.73450000000000004</v>
          </cell>
          <cell r="Q38">
            <v>0.70909999999999995</v>
          </cell>
          <cell r="R38">
            <v>0.75539999999999996</v>
          </cell>
          <cell r="S38">
            <v>0.74370000000000003</v>
          </cell>
          <cell r="T38">
            <v>0.78149999999999997</v>
          </cell>
          <cell r="U38">
            <v>0.7873</v>
          </cell>
          <cell r="V38">
            <v>0.79139999999999999</v>
          </cell>
          <cell r="W38">
            <v>0.79430000000000001</v>
          </cell>
          <cell r="X38">
            <v>0.78559999999999997</v>
          </cell>
          <cell r="Y38">
            <v>0.74550000000000005</v>
          </cell>
          <cell r="Z38">
            <v>0.72570000000000001</v>
          </cell>
          <cell r="AA38">
            <v>0.65029999999999999</v>
          </cell>
          <cell r="AB38">
            <v>0.66220000000000001</v>
          </cell>
          <cell r="AC38">
            <v>0.62</v>
          </cell>
          <cell r="AD38">
            <v>0.59360000000000002</v>
          </cell>
          <cell r="AE38">
            <v>0.61260000000000003</v>
          </cell>
          <cell r="AF38">
            <v>0.63439999999999996</v>
          </cell>
          <cell r="AG38">
            <v>0.66669999999999996</v>
          </cell>
          <cell r="AH38">
            <v>0.65249999999999997</v>
          </cell>
          <cell r="AI38">
            <v>0.65710000000000002</v>
          </cell>
          <cell r="AJ38">
            <v>0.60770000000000002</v>
          </cell>
          <cell r="AK38">
            <v>0.59670000000000001</v>
          </cell>
          <cell r="AL38">
            <v>0.54279999999999995</v>
          </cell>
          <cell r="AM38">
            <v>0.55879999999999996</v>
          </cell>
          <cell r="AN38">
            <v>0.48570000000000002</v>
          </cell>
          <cell r="AO38">
            <v>0.51139999999999997</v>
          </cell>
          <cell r="AP38">
            <v>0.49180000000000001</v>
          </cell>
          <cell r="AQ38">
            <v>0.50880000000000003</v>
          </cell>
          <cell r="AR38">
            <v>0.5333</v>
          </cell>
          <cell r="AS38">
            <v>0.56359999999999999</v>
          </cell>
          <cell r="AT38">
            <v>0.54279999999999995</v>
          </cell>
          <cell r="AU38">
            <v>0.56169999999999998</v>
          </cell>
          <cell r="AV38">
            <v>0.60470000000000002</v>
          </cell>
          <cell r="AW38">
            <v>0.67359999999999998</v>
          </cell>
          <cell r="AX38">
            <v>0.68100000000000005</v>
          </cell>
          <cell r="AY38">
            <v>0.75280000000000002</v>
          </cell>
          <cell r="AZ38">
            <v>0.76680000000000004</v>
          </cell>
          <cell r="BA38">
            <v>0.69889999999999997</v>
          </cell>
          <cell r="BB38">
            <v>0.72789999999999999</v>
          </cell>
          <cell r="BC38">
            <v>0.78095000000000003</v>
          </cell>
          <cell r="BD38">
            <v>0.77300000000000002</v>
          </cell>
          <cell r="BE38">
            <v>0.76215000000000011</v>
          </cell>
          <cell r="BF38">
            <v>0.76235000000000008</v>
          </cell>
          <cell r="BG38">
            <v>0.73440000000000005</v>
          </cell>
          <cell r="BH38">
            <v>0.71625000000000005</v>
          </cell>
          <cell r="BI38">
            <v>0.74345000000000006</v>
          </cell>
          <cell r="BJ38">
            <v>0.74595000000000011</v>
          </cell>
          <cell r="BK38">
            <v>0.78910000000000002</v>
          </cell>
          <cell r="BL38">
            <v>0.80889999999999995</v>
          </cell>
          <cell r="BM38">
            <v>0.84940000000000004</v>
          </cell>
          <cell r="BN38">
            <v>0.88780000000000003</v>
          </cell>
          <cell r="BO38">
            <v>0.87519999999999998</v>
          </cell>
          <cell r="BP38">
            <v>0.91335000000000011</v>
          </cell>
          <cell r="BQ38">
            <v>0.95860000000000012</v>
          </cell>
          <cell r="BR38">
            <v>0.79220000000000002</v>
          </cell>
          <cell r="BS38">
            <v>0.70265</v>
          </cell>
          <cell r="BT38">
            <v>0.69140000000000001</v>
          </cell>
          <cell r="BU38">
            <v>0.80659999999999998</v>
          </cell>
          <cell r="BV38">
            <v>0.88260000000000005</v>
          </cell>
          <cell r="BW38">
            <v>0.8972500000000001</v>
          </cell>
          <cell r="BX38">
            <v>0.91749999999999998</v>
          </cell>
          <cell r="BY38">
            <v>0.8407</v>
          </cell>
          <cell r="BZ38">
            <v>0.96720000000000006</v>
          </cell>
          <cell r="CA38">
            <v>1.0231000000000001</v>
          </cell>
          <cell r="CB38">
            <v>1.0327</v>
          </cell>
          <cell r="CC38">
            <v>1.07185</v>
          </cell>
          <cell r="CD38">
            <v>0.96635000000000004</v>
          </cell>
          <cell r="CE38">
            <v>1.0216000000000001</v>
          </cell>
          <cell r="CF38">
            <v>1.03552</v>
          </cell>
          <cell r="CG38">
            <v>1.0244</v>
          </cell>
          <cell r="CH38">
            <v>1.0382</v>
          </cell>
          <cell r="CI38">
            <v>1.0393950000000001</v>
          </cell>
          <cell r="CJ38">
            <v>1.0416500000000002</v>
          </cell>
          <cell r="CK38">
            <v>0.91368000000000005</v>
          </cell>
          <cell r="CL38">
            <v>0.93254999999999999</v>
          </cell>
          <cell r="CM38">
            <v>0.89200500000000016</v>
          </cell>
          <cell r="CN38">
            <v>0.92656500000000008</v>
          </cell>
          <cell r="CO38">
            <v>0.94323500000000005</v>
          </cell>
          <cell r="CP38">
            <v>0.87499500000000008</v>
          </cell>
          <cell r="CQ38">
            <v>0.81657500000000005</v>
          </cell>
          <cell r="CR38">
            <v>0.76062000000000007</v>
          </cell>
          <cell r="CS38">
            <v>0.77070499999999997</v>
          </cell>
          <cell r="CT38">
            <v>0.70178499999999999</v>
          </cell>
          <cell r="CU38">
            <v>0.72909000000000002</v>
          </cell>
          <cell r="CV38">
            <v>0.76578499999999994</v>
          </cell>
          <cell r="CW38">
            <v>0.74522500000000003</v>
          </cell>
          <cell r="CX38">
            <v>0.76595499999999994</v>
          </cell>
          <cell r="CY38">
            <v>0.720275</v>
          </cell>
          <cell r="CZ38">
            <v>0.76302000000000003</v>
          </cell>
          <cell r="DA38">
            <v>0.76865000000000006</v>
          </cell>
          <cell r="DB38">
            <v>0.78353499999999998</v>
          </cell>
          <cell r="DC38">
            <v>0.78042</v>
          </cell>
          <cell r="DD38">
            <v>0.768015</v>
          </cell>
          <cell r="DE38">
            <v>0.74069000000000007</v>
          </cell>
          <cell r="DF38">
            <v>0.7218</v>
          </cell>
          <cell r="DG38">
            <v>0.70534999999999992</v>
          </cell>
          <cell r="DH38">
            <v>0.70962999999999998</v>
          </cell>
          <cell r="DI38">
            <v>0.70218999999999998</v>
          </cell>
          <cell r="DJ38">
            <v>0.67495499999999997</v>
          </cell>
          <cell r="DK38">
            <v>0.70155999999999996</v>
          </cell>
          <cell r="DL38">
            <v>0.61394499999999996</v>
          </cell>
          <cell r="DM38">
            <v>0.69040000000000001</v>
          </cell>
          <cell r="DN38">
            <v>0.71655500000000005</v>
          </cell>
          <cell r="DO38">
            <v>0.76947500000000002</v>
          </cell>
          <cell r="DP38">
            <v>0.75973500000000005</v>
          </cell>
          <cell r="DQ38">
            <v>0.74981500000000001</v>
          </cell>
          <cell r="DR38">
            <v>0.72255999999999998</v>
          </cell>
          <cell r="DS38">
            <v>0.72650000000000003</v>
          </cell>
          <cell r="DT38">
            <v>0.74817</v>
          </cell>
          <cell r="DU38">
            <v>0.69035000000000002</v>
          </cell>
          <cell r="DV38">
            <v>0.64005500000000004</v>
          </cell>
          <cell r="DW38">
            <v>0.68155500000000002</v>
          </cell>
          <cell r="DX38">
            <v>0.66854999999999998</v>
          </cell>
          <cell r="DY38">
            <v>0.66629000000000005</v>
          </cell>
          <cell r="DZ38">
            <v>0.64303500000000002</v>
          </cell>
          <cell r="EA38">
            <v>0.68108000000000002</v>
          </cell>
          <cell r="EB38">
            <v>0.65139999999999998</v>
          </cell>
          <cell r="EC38">
            <v>0.66700000000000004</v>
          </cell>
          <cell r="ED38">
            <v>0.69131000000000009</v>
          </cell>
          <cell r="EE38">
            <v>0.61888500000000002</v>
          </cell>
          <cell r="EF38">
            <v>0.62470000000000003</v>
          </cell>
          <cell r="EG38">
            <v>0.6580649999999999</v>
          </cell>
          <cell r="EH38">
            <v>0.6613150000000001</v>
          </cell>
          <cell r="EI38">
            <v>0.66734500000000008</v>
          </cell>
          <cell r="EJ38">
            <v>0.67500000000000016</v>
          </cell>
          <cell r="EK38">
            <v>0.68</v>
          </cell>
          <cell r="EL38">
            <v>0.66500000000000004</v>
          </cell>
          <cell r="EM38">
            <v>0.65</v>
          </cell>
          <cell r="EN38">
            <v>0.65749999999999997</v>
          </cell>
          <cell r="EO38">
            <v>0.66499999999999981</v>
          </cell>
          <cell r="EP38">
            <v>0.67249999999999965</v>
          </cell>
          <cell r="EQ38">
            <v>0.68</v>
          </cell>
          <cell r="ER38">
            <v>0.68749999999999989</v>
          </cell>
          <cell r="ES38">
            <v>0.69499999999999973</v>
          </cell>
          <cell r="ET38">
            <v>0.70249999999999957</v>
          </cell>
          <cell r="EU38">
            <v>0.71</v>
          </cell>
          <cell r="EV38">
            <v>0.72199999999999998</v>
          </cell>
          <cell r="EW38">
            <v>0.73399999999999999</v>
          </cell>
          <cell r="EX38">
            <v>0.746</v>
          </cell>
          <cell r="EY38">
            <v>0.75800000000000001</v>
          </cell>
          <cell r="EZ38">
            <v>0.77</v>
          </cell>
          <cell r="FA38">
            <v>0.78200000000000003</v>
          </cell>
          <cell r="FB38">
            <v>0.79400000000000004</v>
          </cell>
          <cell r="FC38">
            <v>0.80600000000000005</v>
          </cell>
          <cell r="FD38">
            <v>0.80600000000000005</v>
          </cell>
          <cell r="FE38">
            <v>0.80600000000000005</v>
          </cell>
          <cell r="FF38">
            <v>0.80600000000000005</v>
          </cell>
          <cell r="FG38">
            <v>0.80600000000000005</v>
          </cell>
          <cell r="FH38">
            <v>0.80600000000000005</v>
          </cell>
          <cell r="FI38">
            <v>0.80600000000000005</v>
          </cell>
          <cell r="FJ38">
            <v>0.80600000000000005</v>
          </cell>
          <cell r="FK38">
            <v>0.80600000000000005</v>
          </cell>
          <cell r="FL38">
            <v>0.80600000000000005</v>
          </cell>
          <cell r="FM38">
            <v>0.80600000000000005</v>
          </cell>
          <cell r="FN38">
            <v>0.80600000000000005</v>
          </cell>
          <cell r="FO38">
            <v>0.80600000000000005</v>
          </cell>
          <cell r="FP38">
            <v>0.80600000000000005</v>
          </cell>
          <cell r="FQ38">
            <v>0.80600000000000005</v>
          </cell>
          <cell r="FR38">
            <v>0.80600000000000005</v>
          </cell>
          <cell r="FS38">
            <v>0.80600000000000005</v>
          </cell>
          <cell r="FT38">
            <v>0.80600000000000005</v>
          </cell>
          <cell r="FU38">
            <v>0.80600000000000005</v>
          </cell>
        </row>
        <row r="39">
          <cell r="A39" t="str">
            <v>peaudnzd</v>
          </cell>
          <cell r="B39" t="str">
            <v>AUD/NZD</v>
          </cell>
          <cell r="N39">
            <v>1.2287999999999999</v>
          </cell>
          <cell r="O39">
            <v>1.2081999999999999</v>
          </cell>
          <cell r="P39">
            <v>1.1214999999999999</v>
          </cell>
          <cell r="Q39">
            <v>1.0593999999999999</v>
          </cell>
          <cell r="R39">
            <v>1.1480999999999999</v>
          </cell>
          <cell r="S39">
            <v>1.1378999999999999</v>
          </cell>
          <cell r="T39">
            <v>1.147</v>
          </cell>
          <cell r="U39">
            <v>1.149</v>
          </cell>
          <cell r="V39">
            <v>1.1309</v>
          </cell>
          <cell r="W39">
            <v>1.1236999999999999</v>
          </cell>
          <cell r="X39">
            <v>1.1304000000000001</v>
          </cell>
          <cell r="Y39">
            <v>1.1087</v>
          </cell>
          <cell r="Z39">
            <v>1.1307</v>
          </cell>
          <cell r="AA39">
            <v>1.1160000000000001</v>
          </cell>
          <cell r="AB39">
            <v>1.1992</v>
          </cell>
          <cell r="AC39">
            <v>1.2</v>
          </cell>
          <cell r="AD39">
            <v>1.1858</v>
          </cell>
          <cell r="AE39">
            <v>1.1584000000000001</v>
          </cell>
          <cell r="AF39">
            <v>1.1852</v>
          </cell>
          <cell r="AG39">
            <v>1.2486999999999999</v>
          </cell>
          <cell r="AH39">
            <v>1.2593000000000001</v>
          </cell>
          <cell r="AI39">
            <v>1.2574000000000001</v>
          </cell>
          <cell r="AJ39">
            <v>1.2242</v>
          </cell>
          <cell r="AK39">
            <v>1.2715000000000001</v>
          </cell>
          <cell r="AL39">
            <v>1.3319000000000001</v>
          </cell>
          <cell r="AM39">
            <v>1.2605999999999999</v>
          </cell>
          <cell r="AN39">
            <v>1.2042999999999999</v>
          </cell>
          <cell r="AO39">
            <v>1.2589999999999999</v>
          </cell>
          <cell r="AP39">
            <v>1.2101999999999999</v>
          </cell>
          <cell r="AQ39">
            <v>1.2213000000000001</v>
          </cell>
          <cell r="AR39">
            <v>1.2103999999999999</v>
          </cell>
          <cell r="AS39">
            <v>1.1569</v>
          </cell>
          <cell r="AT39">
            <v>1.1569</v>
          </cell>
          <cell r="AU39">
            <v>1.0717000000000001</v>
          </cell>
          <cell r="AV39">
            <v>1.0896999999999999</v>
          </cell>
          <cell r="AW39">
            <v>1.1473</v>
          </cell>
          <cell r="AX39">
            <v>1.1429</v>
          </cell>
          <cell r="AY39">
            <v>1.1444000000000001</v>
          </cell>
          <cell r="AZ39">
            <v>1.1469</v>
          </cell>
          <cell r="BA39">
            <v>1.0985</v>
          </cell>
          <cell r="BB39">
            <v>1.0740000000000001</v>
          </cell>
          <cell r="BC39">
            <v>1.0876074450760309</v>
          </cell>
          <cell r="BD39">
            <v>1.0860132008395653</v>
          </cell>
          <cell r="BE39">
            <v>1.093674281730447</v>
          </cell>
          <cell r="BF39">
            <v>1.101686434698377</v>
          </cell>
          <cell r="BG39">
            <v>1.0750500000000001</v>
          </cell>
          <cell r="BH39">
            <v>1.1625000000000001</v>
          </cell>
          <cell r="BI39">
            <v>1.2204999999999999</v>
          </cell>
          <cell r="BJ39">
            <v>1.14195</v>
          </cell>
          <cell r="BK39">
            <v>1.11975</v>
          </cell>
          <cell r="BL39">
            <v>1.1316999999999999</v>
          </cell>
          <cell r="BM39">
            <v>1.0992000000000002</v>
          </cell>
          <cell r="BN39">
            <v>1.1714500000000001</v>
          </cell>
          <cell r="BO39">
            <v>1.1425000000000001</v>
          </cell>
          <cell r="BP39">
            <v>1.1613500000000001</v>
          </cell>
          <cell r="BQ39">
            <v>1.2578499999999999</v>
          </cell>
          <cell r="BR39">
            <v>1.1830500000000002</v>
          </cell>
          <cell r="BS39">
            <v>1.2135</v>
          </cell>
          <cell r="BT39">
            <v>1.2361</v>
          </cell>
          <cell r="BU39">
            <v>1.24875</v>
          </cell>
          <cell r="BV39">
            <v>1.2210000000000001</v>
          </cell>
          <cell r="BW39">
            <v>1.2419500000000001</v>
          </cell>
          <cell r="BX39">
            <v>1.29095</v>
          </cell>
          <cell r="BY39">
            <v>1.2273499999999999</v>
          </cell>
          <cell r="BZ39">
            <v>1.3169</v>
          </cell>
          <cell r="CA39">
            <v>1.3116500000000002</v>
          </cell>
          <cell r="CB39">
            <v>1.3553500000000001</v>
          </cell>
          <cell r="CC39">
            <v>1.2928999999999999</v>
          </cell>
          <cell r="CD39">
            <v>1.26875</v>
          </cell>
          <cell r="CE39">
            <v>1.3138000000000001</v>
          </cell>
          <cell r="CF39">
            <v>1.2652650000000001</v>
          </cell>
          <cell r="CG39">
            <v>1.2788000000000002</v>
          </cell>
          <cell r="CH39">
            <v>1.251255</v>
          </cell>
          <cell r="CI39">
            <v>1.2544650000000002</v>
          </cell>
          <cell r="CJ39">
            <v>1.2447050000000002</v>
          </cell>
          <cell r="CK39">
            <v>1.180525</v>
          </cell>
          <cell r="CL39">
            <v>1.1225800000000001</v>
          </cell>
          <cell r="CM39">
            <v>1.0842450000000001</v>
          </cell>
          <cell r="CN39">
            <v>1.0681500000000002</v>
          </cell>
          <cell r="CO39">
            <v>1.0769850000000001</v>
          </cell>
          <cell r="CP39">
            <v>1.1203449999999999</v>
          </cell>
          <cell r="CQ39">
            <v>1.0474600000000001</v>
          </cell>
          <cell r="CR39">
            <v>1.01752</v>
          </cell>
          <cell r="CS39">
            <v>1.1388799999999999</v>
          </cell>
          <cell r="CT39">
            <v>1.0964800000000001</v>
          </cell>
          <cell r="CU39">
            <v>1.0676600000000001</v>
          </cell>
          <cell r="CV39">
            <v>1.1082999999999998</v>
          </cell>
          <cell r="CW39">
            <v>1.0442749999999998</v>
          </cell>
          <cell r="CX39">
            <v>1.0513699999999999</v>
          </cell>
          <cell r="CY39">
            <v>1.039955</v>
          </cell>
          <cell r="CZ39">
            <v>1.0889</v>
          </cell>
          <cell r="DA39">
            <v>1.048395</v>
          </cell>
          <cell r="DB39">
            <v>1.0868</v>
          </cell>
          <cell r="DC39">
            <v>1.1006749999999998</v>
          </cell>
          <cell r="DD39">
            <v>1.0607899999999999</v>
          </cell>
          <cell r="DE39">
            <v>1.0929150000000001</v>
          </cell>
          <cell r="DF39">
            <v>1.0909249999999999</v>
          </cell>
          <cell r="DG39">
            <v>1.050125</v>
          </cell>
          <cell r="DH39">
            <v>1.0423849999999999</v>
          </cell>
          <cell r="DI39">
            <v>1.0453600000000001</v>
          </cell>
          <cell r="DJ39">
            <v>1.0775299999999999</v>
          </cell>
          <cell r="DK39">
            <v>1.0426950000000001</v>
          </cell>
          <cell r="DL39">
            <v>1.0289950000000001</v>
          </cell>
          <cell r="DM39">
            <v>1.0695299999999999</v>
          </cell>
          <cell r="DN39">
            <v>1.0822799999999999</v>
          </cell>
          <cell r="DO39">
            <v>1.07067</v>
          </cell>
          <cell r="DP39">
            <v>1.08761</v>
          </cell>
          <cell r="DQ39">
            <v>1.0743149999999999</v>
          </cell>
          <cell r="DR39">
            <v>1.04783</v>
          </cell>
          <cell r="DS39">
            <v>1.0624</v>
          </cell>
          <cell r="DT39">
            <v>1.076495</v>
          </cell>
          <cell r="DU39">
            <v>1.10666</v>
          </cell>
          <cell r="DV39">
            <v>1.1437850000000001</v>
          </cell>
          <cell r="DW39">
            <v>1.0745499999999999</v>
          </cell>
          <cell r="DX39">
            <v>1.0678650000000001</v>
          </cell>
          <cell r="DY39">
            <v>1.0892550000000001</v>
          </cell>
          <cell r="DZ39">
            <v>1.07311</v>
          </cell>
          <cell r="EA39">
            <v>1.077985</v>
          </cell>
          <cell r="EB39">
            <v>1.0948199999999999</v>
          </cell>
          <cell r="EC39">
            <v>1.0949</v>
          </cell>
          <cell r="ED39">
            <v>1.088935</v>
          </cell>
          <cell r="EE39">
            <v>1.1061000000000001</v>
          </cell>
          <cell r="EF39">
            <v>1.1002000000000001</v>
          </cell>
          <cell r="EG39">
            <v>1.0792999999999999</v>
          </cell>
          <cell r="EH39">
            <v>1.1414</v>
          </cell>
          <cell r="EI39">
            <v>1.1594</v>
          </cell>
          <cell r="EJ39">
            <v>1.08</v>
          </cell>
          <cell r="EK39">
            <v>1.0793650793650795</v>
          </cell>
          <cell r="EL39">
            <v>1.0991735537190082</v>
          </cell>
          <cell r="EM39">
            <v>1.1206896551724139</v>
          </cell>
          <cell r="EN39">
            <v>1.1239316239316237</v>
          </cell>
          <cell r="EO39">
            <v>1.1271186440677958</v>
          </cell>
          <cell r="EP39">
            <v>1.130252100840335</v>
          </cell>
          <cell r="EQ39">
            <v>1.1333333333333335</v>
          </cell>
          <cell r="ER39">
            <v>1.1410788381742736</v>
          </cell>
          <cell r="ES39">
            <v>1.1487603305785117</v>
          </cell>
          <cell r="ET39">
            <v>1.1563786008230443</v>
          </cell>
          <cell r="EU39">
            <v>1.1639344262295082</v>
          </cell>
          <cell r="EV39">
            <v>1.1701782820097246</v>
          </cell>
          <cell r="EW39">
            <v>1.1762820512820518</v>
          </cell>
          <cell r="EX39">
            <v>1.1822503961965141</v>
          </cell>
          <cell r="EY39">
            <v>1.1880877742946716</v>
          </cell>
          <cell r="EZ39">
            <v>1.1937984496124041</v>
          </cell>
          <cell r="FA39">
            <v>1.199386503067486</v>
          </cell>
          <cell r="FB39">
            <v>1.2048558421851303</v>
          </cell>
          <cell r="FC39">
            <v>1.2102102102102119</v>
          </cell>
          <cell r="FD39">
            <v>1.2102102102102119</v>
          </cell>
          <cell r="FE39">
            <v>1.2102102102102119</v>
          </cell>
          <cell r="FF39">
            <v>1.2102102102102119</v>
          </cell>
          <cell r="FG39">
            <v>1.2102102102102119</v>
          </cell>
          <cell r="FH39">
            <v>1.2102102102102119</v>
          </cell>
          <cell r="FI39">
            <v>1.2102102102102119</v>
          </cell>
          <cell r="FJ39">
            <v>1.2102102102102119</v>
          </cell>
          <cell r="FK39">
            <v>1.2102102102102119</v>
          </cell>
          <cell r="FL39">
            <v>1.2102102102102119</v>
          </cell>
          <cell r="FM39">
            <v>1.2102102102102119</v>
          </cell>
          <cell r="FN39">
            <v>1.2102102102102119</v>
          </cell>
          <cell r="FO39">
            <v>1.2102102102102119</v>
          </cell>
          <cell r="FP39">
            <v>1.2102102102102119</v>
          </cell>
          <cell r="FQ39">
            <v>1.2102102102102119</v>
          </cell>
          <cell r="FR39">
            <v>1.2102102102102119</v>
          </cell>
          <cell r="FS39">
            <v>1.2102102102102119</v>
          </cell>
          <cell r="FT39">
            <v>1.2102102102102119</v>
          </cell>
          <cell r="FU39">
            <v>1.2102102102102119</v>
          </cell>
        </row>
        <row r="40">
          <cell r="A40" t="str">
            <v>peaudeur</v>
          </cell>
          <cell r="B40" t="str">
            <v>AUD/EUR</v>
          </cell>
          <cell r="W40">
            <v>0.62370000000000003</v>
          </cell>
          <cell r="X40">
            <v>0.67220000000000002</v>
          </cell>
          <cell r="Y40">
            <v>0.66979999999999995</v>
          </cell>
          <cell r="Z40">
            <v>0.64980000000000004</v>
          </cell>
          <cell r="AA40">
            <v>0.59640000000000004</v>
          </cell>
          <cell r="AB40">
            <v>0.62419999999999998</v>
          </cell>
          <cell r="AC40">
            <v>0.57199999999999995</v>
          </cell>
          <cell r="AD40">
            <v>0.5071</v>
          </cell>
          <cell r="AE40">
            <v>0.51849999999999996</v>
          </cell>
          <cell r="AF40">
            <v>0.58850000000000002</v>
          </cell>
          <cell r="AG40">
            <v>0.64419999999999999</v>
          </cell>
          <cell r="AH40">
            <v>0.61060000000000003</v>
          </cell>
          <cell r="AI40">
            <v>0.6502</v>
          </cell>
          <cell r="AJ40">
            <v>0.63600000000000001</v>
          </cell>
          <cell r="AK40">
            <v>0.62580000000000002</v>
          </cell>
          <cell r="AL40">
            <v>0.61439999999999995</v>
          </cell>
          <cell r="AM40">
            <v>0.59309999999999996</v>
          </cell>
          <cell r="AN40">
            <v>0.55330000000000001</v>
          </cell>
          <cell r="AO40">
            <v>0.60189999999999999</v>
          </cell>
          <cell r="AP40">
            <v>0.53990000000000005</v>
          </cell>
          <cell r="AQ40">
            <v>0.5716</v>
          </cell>
          <cell r="AR40">
            <v>0.61180000000000001</v>
          </cell>
          <cell r="AS40">
            <v>0.56830000000000003</v>
          </cell>
          <cell r="AT40">
            <v>0.54959999999999998</v>
          </cell>
          <cell r="AU40">
            <v>0.5353</v>
          </cell>
          <cell r="AV40">
            <v>0.55359999999999998</v>
          </cell>
          <cell r="AW40">
            <v>0.5857</v>
          </cell>
          <cell r="AX40">
            <v>0.58450000000000002</v>
          </cell>
          <cell r="AY40">
            <v>0.59740000000000004</v>
          </cell>
          <cell r="AZ40">
            <v>0.62250000000000005</v>
          </cell>
          <cell r="BA40">
            <v>0.57289999999999996</v>
          </cell>
          <cell r="BB40">
            <v>0.58540000000000003</v>
          </cell>
          <cell r="BC40">
            <v>0.5765849955333322</v>
          </cell>
          <cell r="BD40">
            <v>0.59633855806730685</v>
          </cell>
          <cell r="BE40">
            <v>0.62964368411584326</v>
          </cell>
          <cell r="BF40">
            <v>0.63371368617271795</v>
          </cell>
          <cell r="BG40">
            <v>0.61990000000000012</v>
          </cell>
          <cell r="BH40">
            <v>0.59129999999999994</v>
          </cell>
          <cell r="BI40">
            <v>0.58119999999999994</v>
          </cell>
          <cell r="BJ40">
            <v>0.58860000000000001</v>
          </cell>
          <cell r="BK40">
            <v>0.59719999999999995</v>
          </cell>
          <cell r="BL40">
            <v>0.60549999999999993</v>
          </cell>
          <cell r="BM40">
            <v>0.62729999999999997</v>
          </cell>
          <cell r="BN40">
            <v>0.62230000000000008</v>
          </cell>
          <cell r="BO40">
            <v>0.60000000000000009</v>
          </cell>
          <cell r="BP40">
            <v>0.57905000000000006</v>
          </cell>
          <cell r="BQ40">
            <v>0.60860000000000003</v>
          </cell>
          <cell r="BR40">
            <v>0.5616000000000001</v>
          </cell>
          <cell r="BS40">
            <v>0.50279999999999991</v>
          </cell>
          <cell r="BT40">
            <v>0.52200000000000002</v>
          </cell>
          <cell r="BU40">
            <v>0.57450000000000001</v>
          </cell>
          <cell r="BV40">
            <v>0.6028</v>
          </cell>
          <cell r="BW40">
            <v>0.62620000000000009</v>
          </cell>
          <cell r="BX40">
            <v>0.67910000000000004</v>
          </cell>
          <cell r="BY40">
            <v>0.68720000000000003</v>
          </cell>
          <cell r="BZ40">
            <v>0.70940000000000003</v>
          </cell>
          <cell r="CA40">
            <v>0.76439999999999997</v>
          </cell>
          <cell r="CB40">
            <v>0.72940000000000005</v>
          </cell>
          <cell r="CC40">
            <v>0.73930000000000007</v>
          </cell>
          <cell r="CD40">
            <v>0.72160000000000002</v>
          </cell>
          <cell r="CE40">
            <v>0.78930000000000011</v>
          </cell>
          <cell r="CF40">
            <v>0.77625000000000011</v>
          </cell>
          <cell r="CG40">
            <v>0.80980000000000008</v>
          </cell>
          <cell r="CH40">
            <v>0.80754999999999999</v>
          </cell>
          <cell r="CI40">
            <v>0.78775000000000006</v>
          </cell>
          <cell r="CJ40">
            <v>0.81269999999999998</v>
          </cell>
          <cell r="CK40">
            <v>0.70220000000000005</v>
          </cell>
          <cell r="CL40">
            <v>0.68955000000000011</v>
          </cell>
          <cell r="CM40">
            <v>0.64880000000000004</v>
          </cell>
          <cell r="CN40">
            <v>0.67280000000000006</v>
          </cell>
          <cell r="CO40">
            <v>0.68890000000000007</v>
          </cell>
          <cell r="CP40">
            <v>0.69270000000000009</v>
          </cell>
          <cell r="CQ40">
            <v>0.67510000000000003</v>
          </cell>
          <cell r="CR40">
            <v>0.70840000000000003</v>
          </cell>
          <cell r="CS40">
            <v>0.69209999999999994</v>
          </cell>
          <cell r="CT40">
            <v>0.62790000000000001</v>
          </cell>
          <cell r="CU40">
            <v>0.67149999999999999</v>
          </cell>
          <cell r="CV40">
            <v>0.67300000000000004</v>
          </cell>
          <cell r="CW40">
            <v>0.67125000000000001</v>
          </cell>
          <cell r="CX40">
            <v>0.68140000000000001</v>
          </cell>
          <cell r="CY40">
            <v>0.68470000000000009</v>
          </cell>
          <cell r="CZ40">
            <v>0.71575</v>
          </cell>
          <cell r="DA40">
            <v>0.67320000000000002</v>
          </cell>
          <cell r="DB40">
            <v>0.6633</v>
          </cell>
          <cell r="DC40">
            <v>0.6500999999999999</v>
          </cell>
          <cell r="DD40">
            <v>0.62314999999999998</v>
          </cell>
          <cell r="DE40">
            <v>0.63385000000000002</v>
          </cell>
          <cell r="DF40">
            <v>0.62204999999999999</v>
          </cell>
          <cell r="DG40">
            <v>0.61509999999999998</v>
          </cell>
          <cell r="DH40">
            <v>0.63270000000000004</v>
          </cell>
          <cell r="DI40">
            <v>0.61765000000000003</v>
          </cell>
          <cell r="DJ40">
            <v>0.61924999999999997</v>
          </cell>
          <cell r="DK40">
            <v>0.62575000000000003</v>
          </cell>
          <cell r="DL40">
            <v>0.55639499999999997</v>
          </cell>
          <cell r="DM40">
            <v>0.61461999999999994</v>
          </cell>
          <cell r="DN40">
            <v>0.61126000000000003</v>
          </cell>
          <cell r="DO40">
            <v>0.62980000000000003</v>
          </cell>
          <cell r="DP40">
            <v>0.64749999999999996</v>
          </cell>
          <cell r="DQ40">
            <v>0.63229999999999997</v>
          </cell>
          <cell r="DR40">
            <v>0.62439999999999996</v>
          </cell>
          <cell r="DS40">
            <v>0.63934000000000002</v>
          </cell>
          <cell r="DT40">
            <v>0.67630000000000001</v>
          </cell>
          <cell r="DU40">
            <v>0.65869999999999995</v>
          </cell>
          <cell r="DV40">
            <v>0.65288999999999997</v>
          </cell>
          <cell r="DW40">
            <v>0.63680000000000003</v>
          </cell>
          <cell r="DX40">
            <v>0.61660000000000004</v>
          </cell>
          <cell r="DY40">
            <v>0.61070000000000002</v>
          </cell>
          <cell r="DZ40">
            <v>0.60853000000000002</v>
          </cell>
          <cell r="EA40">
            <v>0.61714000000000002</v>
          </cell>
          <cell r="EB40">
            <v>0.60350000000000004</v>
          </cell>
          <cell r="EC40">
            <v>0.62260000000000004</v>
          </cell>
          <cell r="ED40">
            <v>0.62090000000000001</v>
          </cell>
          <cell r="EE40">
            <v>0.59771255405562906</v>
          </cell>
          <cell r="EF40">
            <v>0.57760565129369223</v>
          </cell>
          <cell r="EG40">
            <v>0.55828183183434665</v>
          </cell>
          <cell r="EH40">
            <v>0.56361843032267156</v>
          </cell>
          <cell r="EI40">
            <v>0.5681576069201596</v>
          </cell>
          <cell r="EJ40">
            <v>0.55102040816326547</v>
          </cell>
          <cell r="EK40">
            <v>0.54400000000000004</v>
          </cell>
          <cell r="EL40">
            <v>0.53200000000000003</v>
          </cell>
          <cell r="EM40">
            <v>0.52</v>
          </cell>
          <cell r="EN40">
            <v>0.52600000000000002</v>
          </cell>
          <cell r="EO40">
            <v>0.53199999999999981</v>
          </cell>
          <cell r="EP40">
            <v>0.5379999999999997</v>
          </cell>
          <cell r="EQ40">
            <v>0.54400000000000004</v>
          </cell>
          <cell r="ER40">
            <v>0.54999999999999993</v>
          </cell>
          <cell r="ES40">
            <v>0.55599999999999983</v>
          </cell>
          <cell r="ET40">
            <v>0.56199999999999961</v>
          </cell>
          <cell r="EU40">
            <v>0.56799999999999995</v>
          </cell>
          <cell r="EV40">
            <v>0.5799196787148595</v>
          </cell>
          <cell r="EW40">
            <v>0.59193548387096784</v>
          </cell>
          <cell r="EX40">
            <v>0.60404858299595154</v>
          </cell>
          <cell r="EY40">
            <v>0.6162601626016263</v>
          </cell>
          <cell r="EZ40">
            <v>0.62857142857142889</v>
          </cell>
          <cell r="FA40">
            <v>0.64098360655737741</v>
          </cell>
          <cell r="FB40">
            <v>0.65349794238683179</v>
          </cell>
          <cell r="FC40">
            <v>0.66611570247933938</v>
          </cell>
          <cell r="FD40">
            <v>0.66611570247933938</v>
          </cell>
          <cell r="FE40">
            <v>0.66611570247933938</v>
          </cell>
          <cell r="FF40">
            <v>0.66611570247933938</v>
          </cell>
          <cell r="FG40">
            <v>0.66611570247933938</v>
          </cell>
          <cell r="FH40">
            <v>0.66611570247933938</v>
          </cell>
          <cell r="FI40">
            <v>0.66611570247933938</v>
          </cell>
          <cell r="FJ40">
            <v>0.66611570247933938</v>
          </cell>
          <cell r="FK40">
            <v>0.66611570247933938</v>
          </cell>
          <cell r="FL40">
            <v>0.66611570247933938</v>
          </cell>
          <cell r="FM40">
            <v>0.66611570247933938</v>
          </cell>
          <cell r="FN40">
            <v>0.66611570247933938</v>
          </cell>
          <cell r="FO40">
            <v>0.66611570247933938</v>
          </cell>
          <cell r="FP40">
            <v>0.66611570247933938</v>
          </cell>
          <cell r="FQ40">
            <v>0.66611570247933938</v>
          </cell>
          <cell r="FR40">
            <v>0.66611570247933938</v>
          </cell>
          <cell r="FS40">
            <v>0.66611570247933938</v>
          </cell>
          <cell r="FT40">
            <v>0.66611570247933938</v>
          </cell>
          <cell r="FU40">
            <v>0.66611570247933938</v>
          </cell>
        </row>
        <row r="41">
          <cell r="A41" t="str">
            <v>peaudkrw</v>
          </cell>
          <cell r="B41" t="str">
            <v>AUD/KRW</v>
          </cell>
          <cell r="BH41">
            <v>696.60175000000004</v>
          </cell>
          <cell r="BI41">
            <v>706.84545000000003</v>
          </cell>
          <cell r="BJ41">
            <v>706.46199999999999</v>
          </cell>
          <cell r="BK41">
            <v>733.07389999999998</v>
          </cell>
          <cell r="BL41">
            <v>761.09401000000003</v>
          </cell>
          <cell r="BM41">
            <v>784.71819000000005</v>
          </cell>
          <cell r="BN41">
            <v>812.51455999999996</v>
          </cell>
          <cell r="BO41">
            <v>819.27472</v>
          </cell>
          <cell r="BP41">
            <v>904.21</v>
          </cell>
          <cell r="BQ41">
            <v>1003.07</v>
          </cell>
          <cell r="BR41">
            <v>955.27</v>
          </cell>
          <cell r="BS41">
            <v>885.36</v>
          </cell>
          <cell r="BT41">
            <v>950.01</v>
          </cell>
          <cell r="BU41">
            <v>1027.8900000000001</v>
          </cell>
          <cell r="BV41">
            <v>1037.67</v>
          </cell>
          <cell r="BW41">
            <v>1045.32</v>
          </cell>
          <cell r="BX41">
            <v>1040.1200000000001</v>
          </cell>
          <cell r="BY41">
            <v>1029.1100000000001</v>
          </cell>
          <cell r="BZ41">
            <v>1102.75</v>
          </cell>
          <cell r="CA41">
            <v>1146.1200000000001</v>
          </cell>
          <cell r="CB41">
            <v>1133.04</v>
          </cell>
          <cell r="CC41">
            <v>1143.6500000000001</v>
          </cell>
          <cell r="CD41">
            <v>1141.42</v>
          </cell>
          <cell r="CE41">
            <v>1183.76</v>
          </cell>
          <cell r="CF41">
            <v>1173.05</v>
          </cell>
          <cell r="CG41">
            <v>1173.9100000000001</v>
          </cell>
          <cell r="CH41">
            <v>1153.6600000000001</v>
          </cell>
          <cell r="CI41">
            <v>1105.79</v>
          </cell>
          <cell r="CJ41">
            <v>1156.9000000000001</v>
          </cell>
          <cell r="CK41">
            <v>1043.6100000000001</v>
          </cell>
          <cell r="CL41">
            <v>1004.02</v>
          </cell>
          <cell r="CM41">
            <v>942.69</v>
          </cell>
          <cell r="CN41">
            <v>985.55000000000007</v>
          </cell>
          <cell r="CO41">
            <v>954.55000000000007</v>
          </cell>
          <cell r="CP41">
            <v>926.44</v>
          </cell>
          <cell r="CQ41">
            <v>891.9</v>
          </cell>
          <cell r="CR41">
            <v>843.49</v>
          </cell>
          <cell r="CS41">
            <v>861.86</v>
          </cell>
          <cell r="CT41">
            <v>831.52</v>
          </cell>
          <cell r="CU41">
            <v>857.49</v>
          </cell>
          <cell r="CV41">
            <v>873.15</v>
          </cell>
          <cell r="CW41">
            <v>858.69</v>
          </cell>
          <cell r="CX41">
            <v>841.48</v>
          </cell>
          <cell r="CY41">
            <v>869.26</v>
          </cell>
          <cell r="CZ41">
            <v>852.16</v>
          </cell>
          <cell r="DA41">
            <v>879.84</v>
          </cell>
          <cell r="DB41">
            <v>896.7</v>
          </cell>
          <cell r="DC41">
            <v>832.08</v>
          </cell>
          <cell r="DD41">
            <v>814.21</v>
          </cell>
          <cell r="DE41">
            <v>824.89</v>
          </cell>
          <cell r="DF41">
            <v>800.6</v>
          </cell>
          <cell r="DG41">
            <v>784.77</v>
          </cell>
          <cell r="DH41">
            <v>806.59</v>
          </cell>
          <cell r="DI41">
            <v>812</v>
          </cell>
          <cell r="DJ41">
            <v>808.71</v>
          </cell>
          <cell r="DK41">
            <v>809.77</v>
          </cell>
          <cell r="DL41">
            <v>748.19</v>
          </cell>
          <cell r="DM41">
            <v>828.69</v>
          </cell>
          <cell r="DN41">
            <v>834.76</v>
          </cell>
          <cell r="DO41">
            <v>834.74</v>
          </cell>
          <cell r="DP41">
            <v>856.69309999999996</v>
          </cell>
          <cell r="DQ41">
            <v>847.84400000000005</v>
          </cell>
          <cell r="DR41">
            <v>856.58069999999998</v>
          </cell>
          <cell r="DS41">
            <v>864.17809999999997</v>
          </cell>
          <cell r="DT41">
            <v>909.10929999999996</v>
          </cell>
          <cell r="DU41">
            <v>889.3605</v>
          </cell>
          <cell r="DV41">
            <v>922.4556</v>
          </cell>
          <cell r="DW41">
            <v>858.94330000000002</v>
          </cell>
          <cell r="DX41">
            <v>873.38610000000006</v>
          </cell>
          <cell r="DY41">
            <v>877.01859999999999</v>
          </cell>
          <cell r="DZ41">
            <v>869.74429999999995</v>
          </cell>
          <cell r="EA41">
            <v>881.66840000000002</v>
          </cell>
          <cell r="EB41">
            <v>876.94410000000005</v>
          </cell>
          <cell r="EC41">
            <v>921.27700000000004</v>
          </cell>
          <cell r="ED41">
            <v>911.86300000000006</v>
          </cell>
          <cell r="EE41">
            <v>914.59400000000005</v>
          </cell>
          <cell r="EF41">
            <v>920.21</v>
          </cell>
          <cell r="EG41">
            <v>890.14599999999996</v>
          </cell>
          <cell r="EH41">
            <v>928.70299999999997</v>
          </cell>
          <cell r="EI41">
            <v>962.04600000000005</v>
          </cell>
          <cell r="EJ41">
            <v>894.37500000000023</v>
          </cell>
          <cell r="EK41">
            <v>890.80000000000007</v>
          </cell>
          <cell r="EL41">
            <v>864.50000000000023</v>
          </cell>
          <cell r="EM41">
            <v>838.5</v>
          </cell>
          <cell r="EN41">
            <v>844.88749999999982</v>
          </cell>
          <cell r="EO41">
            <v>851.19999999999948</v>
          </cell>
          <cell r="EP41">
            <v>857.43749999999909</v>
          </cell>
          <cell r="EQ41">
            <v>863.6</v>
          </cell>
          <cell r="ER41">
            <v>869.68749999999966</v>
          </cell>
          <cell r="ES41">
            <v>875.69999999999936</v>
          </cell>
          <cell r="ET41">
            <v>881.63749999999902</v>
          </cell>
          <cell r="EU41">
            <v>887.5</v>
          </cell>
          <cell r="EV41">
            <v>897.51820000000009</v>
          </cell>
          <cell r="EW41">
            <v>907.37080000000014</v>
          </cell>
          <cell r="EX41">
            <v>917.05780000000027</v>
          </cell>
          <cell r="EY41">
            <v>926.57920000000047</v>
          </cell>
          <cell r="EZ41">
            <v>935.93500000000051</v>
          </cell>
          <cell r="FA41">
            <v>945.12520000000063</v>
          </cell>
          <cell r="FB41">
            <v>954.14980000000082</v>
          </cell>
          <cell r="FC41">
            <v>963.00880000000097</v>
          </cell>
          <cell r="FD41">
            <v>963.00880000000097</v>
          </cell>
          <cell r="FE41">
            <v>963.00880000000097</v>
          </cell>
          <cell r="FF41">
            <v>963.00880000000097</v>
          </cell>
          <cell r="FG41">
            <v>963.00880000000097</v>
          </cell>
          <cell r="FH41">
            <v>963.00880000000097</v>
          </cell>
          <cell r="FI41">
            <v>963.00880000000097</v>
          </cell>
          <cell r="FJ41">
            <v>963.00880000000097</v>
          </cell>
          <cell r="FK41">
            <v>963.00880000000097</v>
          </cell>
          <cell r="FL41">
            <v>963.00880000000097</v>
          </cell>
          <cell r="FM41">
            <v>963.00880000000097</v>
          </cell>
          <cell r="FN41">
            <v>963.00880000000097</v>
          </cell>
          <cell r="FO41">
            <v>963.00880000000097</v>
          </cell>
          <cell r="FP41">
            <v>963.00880000000097</v>
          </cell>
          <cell r="FQ41">
            <v>963.00880000000097</v>
          </cell>
          <cell r="FR41">
            <v>963.00880000000097</v>
          </cell>
          <cell r="FS41">
            <v>963.00880000000097</v>
          </cell>
          <cell r="FT41">
            <v>963.00880000000097</v>
          </cell>
          <cell r="FU41">
            <v>963.00880000000097</v>
          </cell>
        </row>
        <row r="43">
          <cell r="B43" t="str">
            <v>Average exchange rates (6mo)</v>
          </cell>
        </row>
        <row r="44">
          <cell r="A44" t="str">
            <v>avaudgbp6m</v>
          </cell>
          <cell r="B44" t="str">
            <v>AUD/GBP</v>
          </cell>
          <cell r="D44">
            <v>0.43013333333333331</v>
          </cell>
          <cell r="E44">
            <v>0.42045000000000005</v>
          </cell>
          <cell r="F44">
            <v>0.39601666666666668</v>
          </cell>
          <cell r="G44">
            <v>0.41606666666666658</v>
          </cell>
          <cell r="H44">
            <v>0.46021666666666666</v>
          </cell>
          <cell r="I44">
            <v>0.45633333333333331</v>
          </cell>
          <cell r="J44">
            <v>0.44600000000000001</v>
          </cell>
          <cell r="K44">
            <v>0.45011666666666666</v>
          </cell>
          <cell r="L44">
            <v>0.46278333333333332</v>
          </cell>
          <cell r="M44">
            <v>0.47554999999999997</v>
          </cell>
          <cell r="N44">
            <v>0.47700000000000004</v>
          </cell>
          <cell r="O44">
            <v>0.47875000000000001</v>
          </cell>
          <cell r="P44">
            <v>0.47310000000000002</v>
          </cell>
          <cell r="Q44">
            <v>0.45770000000000005</v>
          </cell>
          <cell r="R44">
            <v>0.4620333333333333</v>
          </cell>
          <cell r="S44">
            <v>0.47816666666666663</v>
          </cell>
          <cell r="T44">
            <v>0.49140000000000006</v>
          </cell>
          <cell r="U44">
            <v>0.50803333333333334</v>
          </cell>
          <cell r="V44">
            <v>0.50881666666666658</v>
          </cell>
          <cell r="W44">
            <v>0.49053333333333327</v>
          </cell>
          <cell r="X44">
            <v>0.47793333333333332</v>
          </cell>
          <cell r="Y44">
            <v>0.47160000000000002</v>
          </cell>
          <cell r="Z44">
            <v>0.45855000000000001</v>
          </cell>
          <cell r="AA44">
            <v>0.42860000000000004</v>
          </cell>
          <cell r="AB44">
            <v>0.40736666666666665</v>
          </cell>
          <cell r="AC44">
            <v>0.39460000000000001</v>
          </cell>
          <cell r="AD44">
            <v>0.36625000000000002</v>
          </cell>
          <cell r="AE44">
            <v>0.36309999999999998</v>
          </cell>
          <cell r="AF44">
            <v>0.38068333333333343</v>
          </cell>
          <cell r="AG44">
            <v>0.40028333333333332</v>
          </cell>
          <cell r="AH44">
            <v>0.40589999999999998</v>
          </cell>
          <cell r="AI44">
            <v>0.39813333333333328</v>
          </cell>
          <cell r="AJ44">
            <v>0.39306666666666668</v>
          </cell>
          <cell r="AK44">
            <v>0.38626666666666676</v>
          </cell>
          <cell r="AL44">
            <v>0.38423333333333337</v>
          </cell>
          <cell r="AM44">
            <v>0.3762166666666667</v>
          </cell>
          <cell r="AN44">
            <v>0.36446666666666666</v>
          </cell>
          <cell r="AO44">
            <v>0.35986666666666672</v>
          </cell>
          <cell r="AP44">
            <v>0.3553</v>
          </cell>
          <cell r="AQ44">
            <v>0.35293333333333338</v>
          </cell>
          <cell r="AR44">
            <v>0.36024999999999996</v>
          </cell>
          <cell r="AS44">
            <v>0.37103333333333333</v>
          </cell>
          <cell r="AT44">
            <v>0.36246666666666666</v>
          </cell>
          <cell r="AU44">
            <v>0.35183333333333328</v>
          </cell>
          <cell r="AV44">
            <v>0.3646833333333333</v>
          </cell>
          <cell r="AW44">
            <v>0.3873166666666667</v>
          </cell>
          <cell r="AX44">
            <v>0.40351666666666669</v>
          </cell>
          <cell r="AY44">
            <v>0.41371666666666668</v>
          </cell>
          <cell r="AZ44">
            <v>0.41794999999999999</v>
          </cell>
          <cell r="BA44">
            <v>0.40460000000000002</v>
          </cell>
          <cell r="BB44">
            <v>0.39306666666666668</v>
          </cell>
          <cell r="BC44">
            <v>0.39970127992742915</v>
          </cell>
          <cell r="BD44">
            <v>0.40873496357119143</v>
          </cell>
          <cell r="BE44">
            <v>0.41397928541599532</v>
          </cell>
          <cell r="BF44">
            <v>0.42197566743199477</v>
          </cell>
          <cell r="BG44">
            <v>0.42607173232642831</v>
          </cell>
          <cell r="BH44">
            <v>0.42287500000000006</v>
          </cell>
          <cell r="BI44">
            <v>0.41375000000000006</v>
          </cell>
          <cell r="BJ44">
            <v>0.40504999999999997</v>
          </cell>
          <cell r="BK44">
            <v>0.40313333333333329</v>
          </cell>
          <cell r="BL44">
            <v>0.40276666666666672</v>
          </cell>
          <cell r="BM44">
            <v>0.41059166666666669</v>
          </cell>
          <cell r="BN44">
            <v>0.41915000000000008</v>
          </cell>
          <cell r="BO44">
            <v>0.42968333333333336</v>
          </cell>
          <cell r="BP44">
            <v>0.44974166666666671</v>
          </cell>
          <cell r="BQ44">
            <v>0.46956666666666674</v>
          </cell>
          <cell r="BR44">
            <v>0.47146666666666665</v>
          </cell>
          <cell r="BS44">
            <v>0.45171666666666671</v>
          </cell>
          <cell r="BT44">
            <v>0.44776666666666665</v>
          </cell>
          <cell r="BU44">
            <v>0.47376666666666667</v>
          </cell>
          <cell r="BV44">
            <v>0.50773333333333337</v>
          </cell>
          <cell r="BW44">
            <v>0.53836666666666666</v>
          </cell>
          <cell r="BX44">
            <v>0.56736666666666669</v>
          </cell>
          <cell r="BY44">
            <v>0.58238333333333336</v>
          </cell>
          <cell r="BZ44">
            <v>0.58693333333333342</v>
          </cell>
          <cell r="CA44">
            <v>0.60946666666666671</v>
          </cell>
          <cell r="CB44">
            <v>0.62970000000000004</v>
          </cell>
          <cell r="CC44">
            <v>0.64436666666666664</v>
          </cell>
          <cell r="CD44">
            <v>0.65368333333333339</v>
          </cell>
          <cell r="CE44">
            <v>0.65274166666666666</v>
          </cell>
          <cell r="CF44">
            <v>0.66037500000000005</v>
          </cell>
          <cell r="CG44">
            <v>0.65360833333333324</v>
          </cell>
          <cell r="CH44">
            <v>0.64831666666666665</v>
          </cell>
          <cell r="CI44">
            <v>0.64960000000000007</v>
          </cell>
          <cell r="CJ44">
            <v>0.65846666666666676</v>
          </cell>
          <cell r="CK44">
            <v>0.65252500000000013</v>
          </cell>
          <cell r="CL44">
            <v>0.60670000000000002</v>
          </cell>
          <cell r="CM44">
            <v>0.57101666666666662</v>
          </cell>
          <cell r="CN44">
            <v>0.5512083333333333</v>
          </cell>
          <cell r="CO44">
            <v>0.54669166666666669</v>
          </cell>
          <cell r="CP44">
            <v>0.55169999999999997</v>
          </cell>
          <cell r="CQ44">
            <v>0.54515000000000002</v>
          </cell>
          <cell r="CR44">
            <v>0.52556666666666674</v>
          </cell>
          <cell r="CS44">
            <v>0.50682499999999997</v>
          </cell>
          <cell r="CT44">
            <v>0.48345833333333332</v>
          </cell>
          <cell r="CU44">
            <v>0.47205000000000003</v>
          </cell>
          <cell r="CV44">
            <v>0.49680000000000007</v>
          </cell>
          <cell r="CW44">
            <v>0.52059166666666667</v>
          </cell>
          <cell r="CX44">
            <v>0.55289166666666667</v>
          </cell>
          <cell r="CY44">
            <v>0.58884166666666671</v>
          </cell>
          <cell r="CZ44">
            <v>0.60416666666666663</v>
          </cell>
          <cell r="DA44">
            <v>0.59565833333333329</v>
          </cell>
          <cell r="DB44">
            <v>0.59161666666666657</v>
          </cell>
          <cell r="DC44">
            <v>0.58635000000000004</v>
          </cell>
          <cell r="DD44">
            <v>0.56539166666666663</v>
          </cell>
          <cell r="DE44">
            <v>0.55941666666666656</v>
          </cell>
          <cell r="DF44">
            <v>0.55873333333333319</v>
          </cell>
          <cell r="DG44">
            <v>0.55929166666666663</v>
          </cell>
          <cell r="DH44">
            <v>0.55251666666666666</v>
          </cell>
          <cell r="DI44">
            <v>0.54626666666666668</v>
          </cell>
          <cell r="DJ44">
            <v>0.55148333333333333</v>
          </cell>
          <cell r="DK44">
            <v>0.54169999999999996</v>
          </cell>
          <cell r="DL44">
            <v>0.51550499999999999</v>
          </cell>
          <cell r="DM44">
            <v>0.52044000000000012</v>
          </cell>
          <cell r="DN44">
            <v>0.54434833333333332</v>
          </cell>
          <cell r="DO44">
            <v>0.55150333333333323</v>
          </cell>
          <cell r="DP44">
            <v>0.55310666666666675</v>
          </cell>
          <cell r="DQ44">
            <v>0.55104750000000002</v>
          </cell>
          <cell r="DR44">
            <v>0.54023083333333333</v>
          </cell>
          <cell r="DS44">
            <v>0.53651666666666664</v>
          </cell>
          <cell r="DT44">
            <v>0.54311516000000004</v>
          </cell>
          <cell r="DU44">
            <v>0.55569513166666662</v>
          </cell>
          <cell r="DV44">
            <v>0.57232997166666666</v>
          </cell>
          <cell r="DW44">
            <v>0.57008647999999995</v>
          </cell>
          <cell r="DX44">
            <v>0.55977064666666676</v>
          </cell>
          <cell r="DY44">
            <v>0.54135583333333337</v>
          </cell>
          <cell r="DZ44">
            <v>0.52269397833333331</v>
          </cell>
          <cell r="EA44">
            <v>0.52366564500000001</v>
          </cell>
          <cell r="EB44">
            <v>0.5213241666666667</v>
          </cell>
          <cell r="EC44">
            <v>0.51933930389027638</v>
          </cell>
          <cell r="ED44">
            <v>0.51813936259768389</v>
          </cell>
          <cell r="EE44">
            <v>0.50953183593891371</v>
          </cell>
          <cell r="EF44">
            <v>0.49908289931746297</v>
          </cell>
          <cell r="EG44">
            <v>0.48596063161291175</v>
          </cell>
          <cell r="EH44">
            <v>0.48330326825596615</v>
          </cell>
          <cell r="EI44">
            <v>0.4917379223579606</v>
          </cell>
          <cell r="EJ44">
            <v>0.48531604722487659</v>
          </cell>
          <cell r="EK44">
            <v>0.4737871674491394</v>
          </cell>
          <cell r="EL44">
            <v>0.47361111111111109</v>
          </cell>
          <cell r="EM44">
            <v>0.47647058823529409</v>
          </cell>
          <cell r="EN44">
            <v>0.48159051443455608</v>
          </cell>
          <cell r="EO44">
            <v>0.48891622249555822</v>
          </cell>
          <cell r="EP44">
            <v>0.49629629629629618</v>
          </cell>
          <cell r="EQ44">
            <v>0.50373134328358204</v>
          </cell>
          <cell r="ER44">
            <v>0.51074068907797454</v>
          </cell>
          <cell r="ES44">
            <v>0.51730897126255704</v>
          </cell>
          <cell r="ET44">
            <v>0.52390187687529366</v>
          </cell>
          <cell r="EU44">
            <v>0.53051954464021178</v>
          </cell>
          <cell r="EV44">
            <v>0.53998839762037454</v>
          </cell>
          <cell r="EW44">
            <v>0.55237095218029031</v>
          </cell>
          <cell r="EX44">
            <v>0.56490474825241632</v>
          </cell>
          <cell r="EY44">
            <v>0.5775925738030232</v>
          </cell>
          <cell r="EZ44">
            <v>0.59043728574670584</v>
          </cell>
          <cell r="FA44">
            <v>0.60344181209108771</v>
          </cell>
          <cell r="FB44">
            <v>0.61660915416208417</v>
          </cell>
          <cell r="FC44">
            <v>0.62994238891327514</v>
          </cell>
          <cell r="FD44">
            <v>0.6366508688783562</v>
          </cell>
          <cell r="FE44">
            <v>0.6366508688783562</v>
          </cell>
          <cell r="FF44">
            <v>0.6366508688783562</v>
          </cell>
          <cell r="FG44">
            <v>0.6366508688783562</v>
          </cell>
          <cell r="FH44">
            <v>0.6366508688783562</v>
          </cell>
          <cell r="FI44">
            <v>0.6366508688783562</v>
          </cell>
          <cell r="FJ44">
            <v>0.6366508688783562</v>
          </cell>
          <cell r="FK44">
            <v>0.6366508688783562</v>
          </cell>
          <cell r="FL44">
            <v>0.6366508688783562</v>
          </cell>
          <cell r="FM44">
            <v>0.6366508688783562</v>
          </cell>
          <cell r="FN44">
            <v>0.6366508688783562</v>
          </cell>
          <cell r="FO44">
            <v>0.6366508688783562</v>
          </cell>
          <cell r="FP44">
            <v>0.6366508688783562</v>
          </cell>
          <cell r="FQ44">
            <v>0.6366508688783562</v>
          </cell>
          <cell r="FR44">
            <v>0.6366508688783562</v>
          </cell>
          <cell r="FS44">
            <v>0.6366508688783562</v>
          </cell>
          <cell r="FT44">
            <v>0.6366508688783562</v>
          </cell>
          <cell r="FU44">
            <v>0.6366508688783562</v>
          </cell>
        </row>
        <row r="45">
          <cell r="A45" t="str">
            <v>avaudusd6m</v>
          </cell>
          <cell r="B45" t="str">
            <v>AUD/USD</v>
          </cell>
          <cell r="D45">
            <v>0.76591666666666669</v>
          </cell>
          <cell r="E45">
            <v>0.75543333333333329</v>
          </cell>
          <cell r="F45">
            <v>0.73860000000000003</v>
          </cell>
          <cell r="G45">
            <v>0.70606666666666662</v>
          </cell>
          <cell r="H45">
            <v>0.69081666666666663</v>
          </cell>
          <cell r="I45">
            <v>0.68800000000000006</v>
          </cell>
          <cell r="J45">
            <v>0.67613333333333336</v>
          </cell>
          <cell r="K45">
            <v>0.66883333333333328</v>
          </cell>
          <cell r="L45">
            <v>0.68813333333333337</v>
          </cell>
          <cell r="M45">
            <v>0.71724999999999994</v>
          </cell>
          <cell r="N45">
            <v>0.73353333333333337</v>
          </cell>
          <cell r="O45">
            <v>0.75159999999999993</v>
          </cell>
          <cell r="P45">
            <v>0.75296666666666656</v>
          </cell>
          <cell r="Q45">
            <v>0.73076666666666679</v>
          </cell>
          <cell r="R45">
            <v>0.73326666666666673</v>
          </cell>
          <cell r="S45">
            <v>0.74860000000000004</v>
          </cell>
          <cell r="T45">
            <v>0.75626666666666675</v>
          </cell>
          <cell r="U45">
            <v>0.77726666666666666</v>
          </cell>
          <cell r="V45">
            <v>0.78780000000000017</v>
          </cell>
          <cell r="W45">
            <v>0.79259999999999986</v>
          </cell>
          <cell r="X45">
            <v>0.78793333333333326</v>
          </cell>
          <cell r="Y45">
            <v>0.7687666666666666</v>
          </cell>
          <cell r="Z45">
            <v>0.74843333333333339</v>
          </cell>
          <cell r="AA45">
            <v>0.70613333333333328</v>
          </cell>
          <cell r="AB45">
            <v>0.67661666666666676</v>
          </cell>
          <cell r="AC45">
            <v>0.65331666666666666</v>
          </cell>
          <cell r="AD45">
            <v>0.61011666666666664</v>
          </cell>
          <cell r="AE45">
            <v>0.60543333333333327</v>
          </cell>
          <cell r="AF45">
            <v>0.62458333333333327</v>
          </cell>
          <cell r="AG45">
            <v>0.64336666666666675</v>
          </cell>
          <cell r="AH45">
            <v>0.6534833333333333</v>
          </cell>
          <cell r="AI45">
            <v>0.64583333333333337</v>
          </cell>
          <cell r="AJ45">
            <v>0.63206666666666667</v>
          </cell>
          <cell r="AK45">
            <v>0.60246666666666682</v>
          </cell>
          <cell r="AL45">
            <v>0.5755499999999999</v>
          </cell>
          <cell r="AM45">
            <v>0.55108333333333326</v>
          </cell>
          <cell r="AN45">
            <v>0.5282</v>
          </cell>
          <cell r="AO45">
            <v>0.51556666666666673</v>
          </cell>
          <cell r="AP45">
            <v>0.51034999999999997</v>
          </cell>
          <cell r="AQ45">
            <v>0.51078333333333326</v>
          </cell>
          <cell r="AR45">
            <v>0.51544999999999996</v>
          </cell>
          <cell r="AS45">
            <v>0.53808333333333336</v>
          </cell>
          <cell r="AT45">
            <v>0.55108333333333326</v>
          </cell>
          <cell r="AU45">
            <v>0.55226666666666668</v>
          </cell>
          <cell r="AV45">
            <v>0.57945000000000002</v>
          </cell>
          <cell r="AW45">
            <v>0.62565000000000004</v>
          </cell>
          <cell r="AX45">
            <v>0.65515000000000001</v>
          </cell>
          <cell r="AY45">
            <v>0.69371666666666665</v>
          </cell>
          <cell r="AZ45">
            <v>0.74820000000000009</v>
          </cell>
          <cell r="BA45">
            <v>0.73981666666666668</v>
          </cell>
          <cell r="BB45">
            <v>0.71161666666666668</v>
          </cell>
          <cell r="BC45">
            <v>0.73957499999999998</v>
          </cell>
          <cell r="BD45">
            <v>0.77383333333333326</v>
          </cell>
          <cell r="BE45">
            <v>0.77331666666666665</v>
          </cell>
          <cell r="BF45">
            <v>0.76233333333333331</v>
          </cell>
          <cell r="BG45">
            <v>0.74909999999999999</v>
          </cell>
          <cell r="BH45">
            <v>0.73948333333333327</v>
          </cell>
          <cell r="BI45">
            <v>0.74530833333333335</v>
          </cell>
          <cell r="BJ45">
            <v>0.75514999999999999</v>
          </cell>
          <cell r="BK45">
            <v>0.77126666666666666</v>
          </cell>
          <cell r="BL45">
            <v>0.78757500000000003</v>
          </cell>
          <cell r="BM45">
            <v>0.81351666666666678</v>
          </cell>
          <cell r="BN45">
            <v>0.84425000000000017</v>
          </cell>
          <cell r="BO45">
            <v>0.87514999999999998</v>
          </cell>
          <cell r="BP45">
            <v>0.90540833333333337</v>
          </cell>
          <cell r="BQ45">
            <v>0.93301666666666672</v>
          </cell>
          <cell r="BR45">
            <v>0.90845000000000009</v>
          </cell>
          <cell r="BS45">
            <v>0.7695249999999999</v>
          </cell>
          <cell r="BT45">
            <v>0.66523333333333323</v>
          </cell>
          <cell r="BU45">
            <v>0.71681666666666677</v>
          </cell>
          <cell r="BV45">
            <v>0.81616666666666671</v>
          </cell>
          <cell r="BW45">
            <v>0.87919999999999998</v>
          </cell>
          <cell r="BX45">
            <v>0.90160833333333346</v>
          </cell>
          <cell r="BY45">
            <v>0.88474166666666665</v>
          </cell>
          <cell r="BZ45">
            <v>0.89578333333333326</v>
          </cell>
          <cell r="CA45">
            <v>0.95485000000000009</v>
          </cell>
          <cell r="CB45">
            <v>1.0023416666666667</v>
          </cell>
          <cell r="CC45">
            <v>1.0473833333333333</v>
          </cell>
          <cell r="CD45">
            <v>1.0621333333333334</v>
          </cell>
          <cell r="CE45">
            <v>1.0400666666666669</v>
          </cell>
          <cell r="CF45">
            <v>1.0457675000000002</v>
          </cell>
          <cell r="CG45">
            <v>1.03528</v>
          </cell>
          <cell r="CH45">
            <v>1.02691</v>
          </cell>
          <cell r="CI45">
            <v>1.0400941666666668</v>
          </cell>
          <cell r="CJ45">
            <v>1.0375666666666667</v>
          </cell>
          <cell r="CK45">
            <v>1.0023833333333334</v>
          </cell>
          <cell r="CL45">
            <v>0.93839750000000011</v>
          </cell>
          <cell r="CM45">
            <v>0.91166666666666674</v>
          </cell>
          <cell r="CN45">
            <v>0.90715749999999995</v>
          </cell>
          <cell r="CO45">
            <v>0.91630500000000004</v>
          </cell>
          <cell r="CP45">
            <v>0.92359333333333338</v>
          </cell>
          <cell r="CQ45">
            <v>0.88087416666666674</v>
          </cell>
          <cell r="CR45">
            <v>0.81090916666666679</v>
          </cell>
          <cell r="CS45">
            <v>0.77406499999999989</v>
          </cell>
          <cell r="CT45">
            <v>0.74485000000000001</v>
          </cell>
          <cell r="CU45">
            <v>0.71812416666666667</v>
          </cell>
          <cell r="CV45">
            <v>0.72562250000000006</v>
          </cell>
          <cell r="CW45">
            <v>0.73626000000000003</v>
          </cell>
          <cell r="CX45">
            <v>0.75117749999999994</v>
          </cell>
          <cell r="CY45">
            <v>0.74953416666666672</v>
          </cell>
          <cell r="CZ45">
            <v>0.75116583333333331</v>
          </cell>
          <cell r="DA45">
            <v>0.75802000000000003</v>
          </cell>
          <cell r="DB45">
            <v>0.7731608333333333</v>
          </cell>
          <cell r="DC45">
            <v>0.78017499999999995</v>
          </cell>
          <cell r="DD45">
            <v>0.77541249999999995</v>
          </cell>
          <cell r="DE45">
            <v>0.76671333333333347</v>
          </cell>
          <cell r="DF45">
            <v>0.73905916666666671</v>
          </cell>
          <cell r="DG45">
            <v>0.72130833333333344</v>
          </cell>
          <cell r="DH45">
            <v>0.71508833333333321</v>
          </cell>
          <cell r="DI45">
            <v>0.70790083333333331</v>
          </cell>
          <cell r="DJ45">
            <v>0.68903999999999987</v>
          </cell>
          <cell r="DK45">
            <v>0.6834391666666666</v>
          </cell>
          <cell r="DL45">
            <v>0.66678333333333339</v>
          </cell>
          <cell r="DM45">
            <v>0.65699666666666656</v>
          </cell>
          <cell r="DN45">
            <v>0.69616416666666669</v>
          </cell>
          <cell r="DO45">
            <v>0.72918833333333344</v>
          </cell>
          <cell r="DP45">
            <v>0.75027750000000015</v>
          </cell>
          <cell r="DQ45">
            <v>0.76499833333333334</v>
          </cell>
          <cell r="DR45">
            <v>0.74726083333333326</v>
          </cell>
          <cell r="DS45">
            <v>0.72988416666666656</v>
          </cell>
          <cell r="DT45">
            <v>0.72863749999999994</v>
          </cell>
          <cell r="DU45">
            <v>0.71583833333333347</v>
          </cell>
          <cell r="DV45">
            <v>0.68958916666666659</v>
          </cell>
          <cell r="DW45">
            <v>0.67064666666666672</v>
          </cell>
          <cell r="DX45">
            <v>0.67451166666666662</v>
          </cell>
          <cell r="DY45">
            <v>0.6707791666666667</v>
          </cell>
          <cell r="DZ45">
            <v>0.65682916666666669</v>
          </cell>
          <cell r="EA45">
            <v>0.65627000000000002</v>
          </cell>
          <cell r="EB45">
            <v>0.65541250000000006</v>
          </cell>
          <cell r="EC45">
            <v>0.65625999999999995</v>
          </cell>
          <cell r="ED45">
            <v>0.6669075000000001</v>
          </cell>
          <cell r="EE45">
            <v>0.65835750000000004</v>
          </cell>
          <cell r="EF45">
            <v>0.63169416666666667</v>
          </cell>
          <cell r="EG45">
            <v>0.63387583333333331</v>
          </cell>
          <cell r="EH45">
            <v>0.64980000000000004</v>
          </cell>
          <cell r="EI45">
            <v>0.65565833333333334</v>
          </cell>
          <cell r="EJ45">
            <v>0.67117250000000017</v>
          </cell>
          <cell r="EK45">
            <v>0.6775000000000001</v>
          </cell>
          <cell r="EL45">
            <v>0.6725000000000001</v>
          </cell>
          <cell r="EM45">
            <v>0.65749999999999997</v>
          </cell>
          <cell r="EN45">
            <v>0.65375000000000005</v>
          </cell>
          <cell r="EO45">
            <v>0.66124999999999989</v>
          </cell>
          <cell r="EP45">
            <v>0.66874999999999973</v>
          </cell>
          <cell r="EQ45">
            <v>0.6762499999999998</v>
          </cell>
          <cell r="ER45">
            <v>0.68374999999999997</v>
          </cell>
          <cell r="ES45">
            <v>0.69124999999999981</v>
          </cell>
          <cell r="ET45">
            <v>0.69874999999999965</v>
          </cell>
          <cell r="EU45">
            <v>0.70624999999999982</v>
          </cell>
          <cell r="EV45">
            <v>0.71599999999999997</v>
          </cell>
          <cell r="EW45">
            <v>0.72799999999999998</v>
          </cell>
          <cell r="EX45">
            <v>0.74</v>
          </cell>
          <cell r="EY45">
            <v>0.752</v>
          </cell>
          <cell r="EZ45">
            <v>0.76400000000000001</v>
          </cell>
          <cell r="FA45">
            <v>0.77600000000000002</v>
          </cell>
          <cell r="FB45">
            <v>0.78800000000000003</v>
          </cell>
          <cell r="FC45">
            <v>0.8</v>
          </cell>
          <cell r="FD45">
            <v>0.80600000000000005</v>
          </cell>
          <cell r="FE45">
            <v>0.80600000000000005</v>
          </cell>
          <cell r="FF45">
            <v>0.80600000000000005</v>
          </cell>
          <cell r="FG45">
            <v>0.80600000000000005</v>
          </cell>
          <cell r="FH45">
            <v>0.80600000000000005</v>
          </cell>
          <cell r="FI45">
            <v>0.80600000000000005</v>
          </cell>
          <cell r="FJ45">
            <v>0.80600000000000005</v>
          </cell>
          <cell r="FK45">
            <v>0.80600000000000005</v>
          </cell>
          <cell r="FL45">
            <v>0.80600000000000005</v>
          </cell>
          <cell r="FM45">
            <v>0.80600000000000005</v>
          </cell>
          <cell r="FN45">
            <v>0.80600000000000005</v>
          </cell>
          <cell r="FO45">
            <v>0.80600000000000005</v>
          </cell>
          <cell r="FP45">
            <v>0.80600000000000005</v>
          </cell>
          <cell r="FQ45">
            <v>0.80600000000000005</v>
          </cell>
          <cell r="FR45">
            <v>0.80600000000000005</v>
          </cell>
          <cell r="FS45">
            <v>0.80600000000000005</v>
          </cell>
          <cell r="FT45">
            <v>0.80600000000000005</v>
          </cell>
          <cell r="FU45">
            <v>0.80600000000000005</v>
          </cell>
        </row>
        <row r="46">
          <cell r="A46" t="str">
            <v>avaudnzd6m</v>
          </cell>
          <cell r="B46" t="str">
            <v>AUD/NZD</v>
          </cell>
          <cell r="P46">
            <v>1.1849333333333334</v>
          </cell>
          <cell r="Q46">
            <v>1.1157833333333336</v>
          </cell>
          <cell r="R46">
            <v>1.1028499999999999</v>
          </cell>
          <cell r="S46">
            <v>1.13815</v>
          </cell>
          <cell r="T46">
            <v>1.1371166666666668</v>
          </cell>
          <cell r="U46">
            <v>1.1435333333333333</v>
          </cell>
          <cell r="V46">
            <v>1.1451666666666667</v>
          </cell>
          <cell r="W46">
            <v>1.1316666666666666</v>
          </cell>
          <cell r="X46">
            <v>1.1243166666666669</v>
          </cell>
          <cell r="Y46">
            <v>1.1157000000000001</v>
          </cell>
          <cell r="Z46">
            <v>1.1264333333333334</v>
          </cell>
          <cell r="AA46">
            <v>1.1279166666666667</v>
          </cell>
          <cell r="AB46">
            <v>1.1461333333333334</v>
          </cell>
          <cell r="AC46">
            <v>1.17815</v>
          </cell>
          <cell r="AD46">
            <v>1.1772</v>
          </cell>
          <cell r="AE46">
            <v>1.1761166666666665</v>
          </cell>
          <cell r="AF46">
            <v>1.1777333333333333</v>
          </cell>
          <cell r="AG46">
            <v>1.1969333333333332</v>
          </cell>
          <cell r="AH46">
            <v>1.22875</v>
          </cell>
          <cell r="AI46">
            <v>1.2477333333333334</v>
          </cell>
          <cell r="AJ46">
            <v>1.2559166666666668</v>
          </cell>
          <cell r="AK46">
            <v>1.2498166666666668</v>
          </cell>
          <cell r="AL46">
            <v>1.2809000000000001</v>
          </cell>
          <cell r="AM46">
            <v>1.3032333333333335</v>
          </cell>
          <cell r="AN46">
            <v>1.2541166666666668</v>
          </cell>
          <cell r="AO46">
            <v>1.2332666666666665</v>
          </cell>
          <cell r="AP46">
            <v>1.2305166666666665</v>
          </cell>
          <cell r="AQ46">
            <v>1.2242500000000001</v>
          </cell>
          <cell r="AR46">
            <v>1.2256500000000001</v>
          </cell>
          <cell r="AS46">
            <v>1.1996</v>
          </cell>
          <cell r="AT46">
            <v>1.1734833333333334</v>
          </cell>
          <cell r="AU46">
            <v>1.1396666666666668</v>
          </cell>
          <cell r="AV46">
            <v>1.0986999999999998</v>
          </cell>
          <cell r="AW46">
            <v>1.1085</v>
          </cell>
          <cell r="AX46">
            <v>1.1290833333333332</v>
          </cell>
          <cell r="AY46">
            <v>1.1349500000000001</v>
          </cell>
          <cell r="AZ46">
            <v>1.1394500000000001</v>
          </cell>
          <cell r="BA46">
            <v>1.1313333333333333</v>
          </cell>
          <cell r="BB46">
            <v>1.1056833333333334</v>
          </cell>
          <cell r="BC46">
            <v>1.0858679075126718</v>
          </cell>
          <cell r="BD46">
            <v>1.0885739975741309</v>
          </cell>
          <cell r="BE46">
            <v>1.0837552996882867</v>
          </cell>
          <cell r="BF46">
            <v>1.0887787561161619</v>
          </cell>
          <cell r="BG46">
            <v>1.0816128798226676</v>
          </cell>
          <cell r="BH46">
            <v>1.0961833333333333</v>
          </cell>
          <cell r="BI46">
            <v>1.1634833333333334</v>
          </cell>
          <cell r="BJ46">
            <v>1.1898666666666669</v>
          </cell>
          <cell r="BK46">
            <v>1.1617249999999999</v>
          </cell>
          <cell r="BL46">
            <v>1.134225</v>
          </cell>
          <cell r="BM46">
            <v>1.1204166666666666</v>
          </cell>
          <cell r="BN46">
            <v>1.1332250000000001</v>
          </cell>
          <cell r="BO46">
            <v>1.1603083333333333</v>
          </cell>
          <cell r="BP46">
            <v>1.1615416666666665</v>
          </cell>
          <cell r="BQ46">
            <v>1.1912750000000001</v>
          </cell>
          <cell r="BR46">
            <v>1.2291833333333333</v>
          </cell>
          <cell r="BS46">
            <v>1.2067083333333335</v>
          </cell>
          <cell r="BT46">
            <v>1.2189250000000003</v>
          </cell>
          <cell r="BU46">
            <v>1.2582250000000001</v>
          </cell>
          <cell r="BV46">
            <v>1.2502166666666668</v>
          </cell>
          <cell r="BW46">
            <v>1.2484083333333336</v>
          </cell>
          <cell r="BX46">
            <v>1.2681166666666668</v>
          </cell>
          <cell r="BY46">
            <v>1.2627916666666668</v>
          </cell>
          <cell r="BZ46">
            <v>1.26345</v>
          </cell>
          <cell r="CA46">
            <v>1.2873166666666669</v>
          </cell>
          <cell r="CB46">
            <v>1.3143833333333335</v>
          </cell>
          <cell r="CC46">
            <v>1.3237916666666667</v>
          </cell>
          <cell r="CD46">
            <v>1.2859916666666666</v>
          </cell>
          <cell r="CE46">
            <v>1.2849750000000002</v>
          </cell>
          <cell r="CF46">
            <v>1.2957366666666668</v>
          </cell>
          <cell r="CG46">
            <v>1.2805058333333335</v>
          </cell>
          <cell r="CH46">
            <v>1.2799858333333336</v>
          </cell>
          <cell r="CI46">
            <v>1.2704325000000001</v>
          </cell>
          <cell r="CJ46">
            <v>1.2522433333333334</v>
          </cell>
          <cell r="CK46">
            <v>1.2203066666666669</v>
          </cell>
          <cell r="CL46">
            <v>1.1660441666666668</v>
          </cell>
          <cell r="CM46">
            <v>1.1243716666666668</v>
          </cell>
          <cell r="CN46">
            <v>1.0934133333333336</v>
          </cell>
          <cell r="CO46">
            <v>1.0775591666666668</v>
          </cell>
          <cell r="CP46">
            <v>1.0969308333333334</v>
          </cell>
          <cell r="CQ46">
            <v>1.0987066666666669</v>
          </cell>
          <cell r="CR46">
            <v>1.0636366666666668</v>
          </cell>
          <cell r="CS46">
            <v>1.0621050000000001</v>
          </cell>
          <cell r="CT46">
            <v>1.0964725</v>
          </cell>
          <cell r="CU46">
            <v>1.0909158333333335</v>
          </cell>
          <cell r="CV46">
            <v>1.0839325</v>
          </cell>
          <cell r="CW46">
            <v>1.0812633333333332</v>
          </cell>
          <cell r="CX46">
            <v>1.0575216666666665</v>
          </cell>
          <cell r="CY46">
            <v>1.0480633333333333</v>
          </cell>
          <cell r="CZ46">
            <v>1.0562933333333333</v>
          </cell>
          <cell r="DA46">
            <v>1.0632491666666666</v>
          </cell>
          <cell r="DB46">
            <v>1.0745333333333333</v>
          </cell>
          <cell r="DC46">
            <v>1.0974933333333332</v>
          </cell>
          <cell r="DD46">
            <v>1.0929333333333333</v>
          </cell>
          <cell r="DE46">
            <v>1.0793308333333334</v>
          </cell>
          <cell r="DF46">
            <v>1.0852108333333332</v>
          </cell>
          <cell r="DG46">
            <v>1.0774999999999999</v>
          </cell>
          <cell r="DH46">
            <v>1.0556358333333333</v>
          </cell>
          <cell r="DI46">
            <v>1.049625833333333</v>
          </cell>
          <cell r="DJ46">
            <v>1.0584658333333332</v>
          </cell>
          <cell r="DK46">
            <v>1.0599866666666666</v>
          </cell>
          <cell r="DL46">
            <v>1.0460108333333336</v>
          </cell>
          <cell r="DM46">
            <v>1.0519516666666668</v>
          </cell>
          <cell r="DN46">
            <v>1.0769741666666666</v>
          </cell>
          <cell r="DO46">
            <v>1.0725783333333334</v>
          </cell>
          <cell r="DP46">
            <v>1.0657683333333332</v>
          </cell>
          <cell r="DQ46">
            <v>1.0715524999999999</v>
          </cell>
          <cell r="DR46">
            <v>1.0591124999999999</v>
          </cell>
          <cell r="DS46">
            <v>1.0492458333333332</v>
          </cell>
          <cell r="DT46">
            <v>1.0634899999999998</v>
          </cell>
          <cell r="DU46">
            <v>1.0878975000000002</v>
          </cell>
          <cell r="DV46">
            <v>1.1149333333333333</v>
          </cell>
          <cell r="DW46">
            <v>1.1070683333333333</v>
          </cell>
          <cell r="DX46">
            <v>1.0844141666666667</v>
          </cell>
          <cell r="DY46">
            <v>1.0809275000000003</v>
          </cell>
          <cell r="DZ46">
            <v>1.0794616666666668</v>
          </cell>
          <cell r="EA46">
            <v>1.0800666666666665</v>
          </cell>
          <cell r="EB46">
            <v>1.0790216666666668</v>
          </cell>
          <cell r="EC46">
            <v>1.085572145290689</v>
          </cell>
          <cell r="ED46">
            <v>1.091355478624022</v>
          </cell>
          <cell r="EE46">
            <v>1.0966149999999999</v>
          </cell>
          <cell r="EF46">
            <v>1.1034091666666668</v>
          </cell>
          <cell r="EG46">
            <v>1.0913666666666666</v>
          </cell>
          <cell r="EH46">
            <v>1.0963766666666666</v>
          </cell>
          <cell r="EI46">
            <v>1.1311266666666666</v>
          </cell>
          <cell r="EJ46">
            <v>1.1196999999999999</v>
          </cell>
          <cell r="EK46">
            <v>1.0796825396825398</v>
          </cell>
          <cell r="EL46">
            <v>1.089269316542044</v>
          </cell>
          <cell r="EM46">
            <v>1.109931604445711</v>
          </cell>
          <cell r="EN46">
            <v>1.1223106395520188</v>
          </cell>
          <cell r="EO46">
            <v>1.1255251339997097</v>
          </cell>
          <cell r="EP46">
            <v>1.1286853724540653</v>
          </cell>
          <cell r="EQ46">
            <v>1.1317927170868343</v>
          </cell>
          <cell r="ER46">
            <v>1.1372060857538036</v>
          </cell>
          <cell r="ES46">
            <v>1.1449195843763926</v>
          </cell>
          <cell r="ET46">
            <v>1.1525694657007781</v>
          </cell>
          <cell r="EU46">
            <v>1.1601565135262764</v>
          </cell>
          <cell r="EV46">
            <v>1.1670563541196164</v>
          </cell>
          <cell r="EW46">
            <v>1.1732301666458882</v>
          </cell>
          <cell r="EX46">
            <v>1.1792662237392828</v>
          </cell>
          <cell r="EY46">
            <v>1.1851690852455929</v>
          </cell>
          <cell r="EZ46">
            <v>1.1909431119535379</v>
          </cell>
          <cell r="FA46">
            <v>1.1965924763399451</v>
          </cell>
          <cell r="FB46">
            <v>1.2021211726263081</v>
          </cell>
          <cell r="FC46">
            <v>1.2075330261976711</v>
          </cell>
          <cell r="FD46">
            <v>1.2102102102102119</v>
          </cell>
          <cell r="FE46">
            <v>1.2102102102102119</v>
          </cell>
          <cell r="FF46">
            <v>1.2102102102102119</v>
          </cell>
          <cell r="FG46">
            <v>1.2102102102102119</v>
          </cell>
          <cell r="FH46">
            <v>1.2102102102102119</v>
          </cell>
          <cell r="FI46">
            <v>1.2102102102102119</v>
          </cell>
          <cell r="FJ46">
            <v>1.2102102102102119</v>
          </cell>
          <cell r="FK46">
            <v>1.2102102102102119</v>
          </cell>
          <cell r="FL46">
            <v>1.2102102102102119</v>
          </cell>
          <cell r="FM46">
            <v>1.2102102102102119</v>
          </cell>
          <cell r="FN46">
            <v>1.2102102102102119</v>
          </cell>
          <cell r="FO46">
            <v>1.2102102102102119</v>
          </cell>
          <cell r="FP46">
            <v>1.2102102102102119</v>
          </cell>
          <cell r="FQ46">
            <v>1.2102102102102119</v>
          </cell>
          <cell r="FR46">
            <v>1.2102102102102119</v>
          </cell>
          <cell r="FS46">
            <v>1.2102102102102119</v>
          </cell>
          <cell r="FT46">
            <v>1.2102102102102119</v>
          </cell>
          <cell r="FU46">
            <v>1.2102102102102119</v>
          </cell>
        </row>
        <row r="47">
          <cell r="A47" t="str">
            <v>avaudeur6m</v>
          </cell>
          <cell r="B47" t="str">
            <v>AUD/EUR</v>
          </cell>
          <cell r="Y47">
            <v>0.66721666666666657</v>
          </cell>
          <cell r="Z47">
            <v>0.67401666666666671</v>
          </cell>
          <cell r="AA47">
            <v>0.64116666666666666</v>
          </cell>
          <cell r="AB47">
            <v>0.61976666666666669</v>
          </cell>
          <cell r="AC47">
            <v>0.60470000000000002</v>
          </cell>
          <cell r="AD47">
            <v>0.54988333333333339</v>
          </cell>
          <cell r="AE47">
            <v>0.5269166666666667</v>
          </cell>
          <cell r="AF47">
            <v>0.55000000000000016</v>
          </cell>
          <cell r="AG47">
            <v>0.59931666666666661</v>
          </cell>
          <cell r="AH47">
            <v>0.61950000000000005</v>
          </cell>
          <cell r="AI47">
            <v>0.61855000000000004</v>
          </cell>
          <cell r="AJ47">
            <v>0.63641666666666674</v>
          </cell>
          <cell r="AK47">
            <v>0.63498333333333334</v>
          </cell>
          <cell r="AL47">
            <v>0.62798333333333334</v>
          </cell>
          <cell r="AM47">
            <v>0.61683333333333323</v>
          </cell>
          <cell r="AN47">
            <v>0.58700000000000008</v>
          </cell>
          <cell r="AO47">
            <v>0.58169999999999999</v>
          </cell>
          <cell r="AP47">
            <v>0.58021666666666671</v>
          </cell>
          <cell r="AQ47">
            <v>0.56915000000000004</v>
          </cell>
          <cell r="AR47">
            <v>0.58535000000000004</v>
          </cell>
          <cell r="AS47">
            <v>0.59561666666666657</v>
          </cell>
          <cell r="AT47">
            <v>0.57331666666666659</v>
          </cell>
          <cell r="AU47">
            <v>0.55398333333333327</v>
          </cell>
          <cell r="AV47">
            <v>0.5533499999999999</v>
          </cell>
          <cell r="AW47">
            <v>0.56046666666666667</v>
          </cell>
          <cell r="AX47">
            <v>0.57533333333333336</v>
          </cell>
          <cell r="AY47">
            <v>0.59378333333333333</v>
          </cell>
          <cell r="AZ47">
            <v>0.61093333333333333</v>
          </cell>
          <cell r="BA47">
            <v>0.60263333333333335</v>
          </cell>
          <cell r="BB47">
            <v>0.58500000000000008</v>
          </cell>
          <cell r="BC47">
            <v>0.58201416592222199</v>
          </cell>
          <cell r="BD47">
            <v>0.58894770046276346</v>
          </cell>
          <cell r="BE47">
            <v>0.60682627655617816</v>
          </cell>
          <cell r="BF47">
            <v>0.62012625002605015</v>
          </cell>
          <cell r="BG47">
            <v>0.62319184134374694</v>
          </cell>
          <cell r="BH47">
            <v>0.61787499999999995</v>
          </cell>
          <cell r="BI47">
            <v>0.60124999999999995</v>
          </cell>
          <cell r="BJ47">
            <v>0.59242499999999987</v>
          </cell>
          <cell r="BK47">
            <v>0.59734166666666666</v>
          </cell>
          <cell r="BL47">
            <v>0.59936666666666671</v>
          </cell>
          <cell r="BM47">
            <v>0.60796666666666666</v>
          </cell>
          <cell r="BN47">
            <v>0.61603333333333332</v>
          </cell>
          <cell r="BO47">
            <v>0.6156166666666667</v>
          </cell>
          <cell r="BP47">
            <v>0.60719166666666669</v>
          </cell>
          <cell r="BQ47">
            <v>0.60369166666666674</v>
          </cell>
          <cell r="BR47">
            <v>0.5961833333333334</v>
          </cell>
          <cell r="BS47">
            <v>0.54858333333333331</v>
          </cell>
          <cell r="BT47">
            <v>0.51068333333333327</v>
          </cell>
          <cell r="BU47">
            <v>0.53534999999999999</v>
          </cell>
          <cell r="BV47">
            <v>0.5779333333333333</v>
          </cell>
          <cell r="BW47">
            <v>0.60424999999999995</v>
          </cell>
          <cell r="BX47">
            <v>0.63693333333333335</v>
          </cell>
          <cell r="BY47">
            <v>0.67391666666666661</v>
          </cell>
          <cell r="BZ47">
            <v>0.6958000000000002</v>
          </cell>
          <cell r="CA47">
            <v>0.71899999999999997</v>
          </cell>
          <cell r="CB47">
            <v>0.73403333333333343</v>
          </cell>
          <cell r="CC47">
            <v>0.73611666666666675</v>
          </cell>
          <cell r="CD47">
            <v>0.74203333333333343</v>
          </cell>
          <cell r="CE47">
            <v>0.75752499999999989</v>
          </cell>
          <cell r="CF47">
            <v>0.78455833333333347</v>
          </cell>
          <cell r="CG47">
            <v>0.79631666666666678</v>
          </cell>
          <cell r="CH47">
            <v>0.81110833333333332</v>
          </cell>
          <cell r="CI47">
            <v>0.81224166666666664</v>
          </cell>
          <cell r="CJ47">
            <v>0.7923583333333335</v>
          </cell>
          <cell r="CK47">
            <v>0.76488333333333347</v>
          </cell>
          <cell r="CL47">
            <v>0.71085833333333337</v>
          </cell>
          <cell r="CM47">
            <v>0.67557499999999993</v>
          </cell>
          <cell r="CN47">
            <v>0.66390000000000005</v>
          </cell>
          <cell r="CO47">
            <v>0.66830833333333339</v>
          </cell>
          <cell r="CP47">
            <v>0.68989166666666668</v>
          </cell>
          <cell r="CQ47">
            <v>0.69309999999999994</v>
          </cell>
          <cell r="CR47">
            <v>0.69254166666666661</v>
          </cell>
          <cell r="CS47">
            <v>0.69777500000000003</v>
          </cell>
          <cell r="CT47">
            <v>0.66984999999999995</v>
          </cell>
          <cell r="CU47">
            <v>0.65520833333333328</v>
          </cell>
          <cell r="CV47">
            <v>0.66465000000000007</v>
          </cell>
          <cell r="CW47">
            <v>0.66154999999999997</v>
          </cell>
          <cell r="CX47">
            <v>0.67013333333333325</v>
          </cell>
          <cell r="CY47">
            <v>0.68501666666666672</v>
          </cell>
          <cell r="CZ47">
            <v>0.7028916666666668</v>
          </cell>
          <cell r="DA47">
            <v>0.69393333333333329</v>
          </cell>
          <cell r="DB47">
            <v>0.67124166666666663</v>
          </cell>
          <cell r="DC47">
            <v>0.65820000000000001</v>
          </cell>
          <cell r="DD47">
            <v>0.64193333333333324</v>
          </cell>
          <cell r="DE47">
            <v>0.63550833333333323</v>
          </cell>
          <cell r="DF47">
            <v>0.63022499999999992</v>
          </cell>
          <cell r="DG47">
            <v>0.62721666666666664</v>
          </cell>
          <cell r="DH47">
            <v>0.62974999999999992</v>
          </cell>
          <cell r="DI47">
            <v>0.62656666666666672</v>
          </cell>
          <cell r="DJ47">
            <v>0.61958333333333337</v>
          </cell>
          <cell r="DK47">
            <v>0.61799999999999999</v>
          </cell>
          <cell r="DL47">
            <v>0.60111166666666671</v>
          </cell>
          <cell r="DM47">
            <v>0.59311916666666675</v>
          </cell>
          <cell r="DN47">
            <v>0.60758166666666669</v>
          </cell>
          <cell r="DO47">
            <v>0.61414500000000005</v>
          </cell>
          <cell r="DP47">
            <v>0.62740407999999992</v>
          </cell>
          <cell r="DQ47">
            <v>0.63697491333333334</v>
          </cell>
          <cell r="DR47">
            <v>0.62820833333333337</v>
          </cell>
          <cell r="DS47">
            <v>0.63016831000000006</v>
          </cell>
          <cell r="DT47">
            <v>0.6452016433333333</v>
          </cell>
          <cell r="DU47">
            <v>0.65831500000000009</v>
          </cell>
          <cell r="DV47">
            <v>0.66909666666666656</v>
          </cell>
          <cell r="DW47">
            <v>0.65897166666666662</v>
          </cell>
          <cell r="DX47">
            <v>0.63972333333333331</v>
          </cell>
          <cell r="DY47">
            <v>0.6202333333333333</v>
          </cell>
          <cell r="DZ47">
            <v>0.60609416666666671</v>
          </cell>
          <cell r="EA47">
            <v>0.60669735666666658</v>
          </cell>
          <cell r="EB47">
            <v>0.60580985666666665</v>
          </cell>
          <cell r="EC47">
            <v>0.60912758377300014</v>
          </cell>
          <cell r="ED47">
            <v>0.61338758377300007</v>
          </cell>
          <cell r="EE47">
            <v>0.60936404125994015</v>
          </cell>
          <cell r="EF47">
            <v>0.59908164980888889</v>
          </cell>
          <cell r="EG47">
            <v>0.57760712023099603</v>
          </cell>
          <cell r="EH47">
            <v>0.56260719728353303</v>
          </cell>
          <cell r="EI47">
            <v>0.56436062008817889</v>
          </cell>
          <cell r="EJ47">
            <v>0.55958900754171248</v>
          </cell>
          <cell r="EK47">
            <v>0.54751020408163276</v>
          </cell>
          <cell r="EL47">
            <v>0.53800000000000003</v>
          </cell>
          <cell r="EM47">
            <v>0.52600000000000002</v>
          </cell>
          <cell r="EN47">
            <v>0.52300000000000002</v>
          </cell>
          <cell r="EO47">
            <v>0.52899999999999991</v>
          </cell>
          <cell r="EP47">
            <v>0.5349999999999997</v>
          </cell>
          <cell r="EQ47">
            <v>0.54099999999999993</v>
          </cell>
          <cell r="ER47">
            <v>0.54699999999999993</v>
          </cell>
          <cell r="ES47">
            <v>0.55299999999999994</v>
          </cell>
          <cell r="ET47">
            <v>0.55899999999999972</v>
          </cell>
          <cell r="EU47">
            <v>0.56499999999999972</v>
          </cell>
          <cell r="EV47">
            <v>0.57395983935742967</v>
          </cell>
          <cell r="EW47">
            <v>0.58592758129291367</v>
          </cell>
          <cell r="EX47">
            <v>0.59799203343345964</v>
          </cell>
          <cell r="EY47">
            <v>0.61015437279878892</v>
          </cell>
          <cell r="EZ47">
            <v>0.6224157955865276</v>
          </cell>
          <cell r="FA47">
            <v>0.63477751756440315</v>
          </cell>
          <cell r="FB47">
            <v>0.6472407744721046</v>
          </cell>
          <cell r="FC47">
            <v>0.65980682243308553</v>
          </cell>
          <cell r="FD47">
            <v>0.66611570247933938</v>
          </cell>
          <cell r="FE47">
            <v>0.66611570247933938</v>
          </cell>
          <cell r="FF47">
            <v>0.66611570247933938</v>
          </cell>
          <cell r="FG47">
            <v>0.66611570247933938</v>
          </cell>
          <cell r="FH47">
            <v>0.66611570247933938</v>
          </cell>
          <cell r="FI47">
            <v>0.66611570247933938</v>
          </cell>
          <cell r="FJ47">
            <v>0.66611570247933938</v>
          </cell>
          <cell r="FK47">
            <v>0.66611570247933938</v>
          </cell>
          <cell r="FL47">
            <v>0.66611570247933938</v>
          </cell>
          <cell r="FM47">
            <v>0.66611570247933938</v>
          </cell>
          <cell r="FN47">
            <v>0.66611570247933938</v>
          </cell>
          <cell r="FO47">
            <v>0.66611570247933938</v>
          </cell>
          <cell r="FP47">
            <v>0.66611570247933938</v>
          </cell>
          <cell r="FQ47">
            <v>0.66611570247933938</v>
          </cell>
          <cell r="FR47">
            <v>0.66611570247933938</v>
          </cell>
          <cell r="FS47">
            <v>0.66611570247933938</v>
          </cell>
          <cell r="FT47">
            <v>0.66611570247933938</v>
          </cell>
          <cell r="FU47">
            <v>0.66611570247933938</v>
          </cell>
        </row>
        <row r="48">
          <cell r="A48" t="str">
            <v>avaudkrw6m</v>
          </cell>
          <cell r="B48" t="str">
            <v>AUD/KRW</v>
          </cell>
          <cell r="BI48">
            <v>714.40261250000003</v>
          </cell>
          <cell r="BJ48">
            <v>718.58150833333332</v>
          </cell>
          <cell r="BK48">
            <v>728.41542833333335</v>
          </cell>
          <cell r="BL48">
            <v>738.6734183333333</v>
          </cell>
          <cell r="BM48">
            <v>760.32897416666674</v>
          </cell>
          <cell r="BN48">
            <v>781.79451833333326</v>
          </cell>
          <cell r="BO48">
            <v>806.50066666666669</v>
          </cell>
          <cell r="BP48">
            <v>849.72891416666664</v>
          </cell>
          <cell r="BQ48">
            <v>926.05636500000003</v>
          </cell>
          <cell r="BR48">
            <v>962.67499999999984</v>
          </cell>
          <cell r="BS48">
            <v>923.68999999999994</v>
          </cell>
          <cell r="BT48">
            <v>917.59000000000015</v>
          </cell>
          <cell r="BU48">
            <v>961.8033333333334</v>
          </cell>
          <cell r="BV48">
            <v>1012.2866666666667</v>
          </cell>
          <cell r="BW48">
            <v>1047.5783333333334</v>
          </cell>
          <cell r="BX48">
            <v>1047.07</v>
          </cell>
          <cell r="BY48">
            <v>1029.5150000000001</v>
          </cell>
          <cell r="BZ48">
            <v>1052.105</v>
          </cell>
          <cell r="CA48">
            <v>1100.2366666666667</v>
          </cell>
          <cell r="CB48">
            <v>1125.9549999999999</v>
          </cell>
          <cell r="CC48">
            <v>1143.9483333333335</v>
          </cell>
          <cell r="CD48">
            <v>1151.2416666666668</v>
          </cell>
          <cell r="CE48">
            <v>1158.2366666666667</v>
          </cell>
          <cell r="CF48">
            <v>1180.0116666666668</v>
          </cell>
          <cell r="CG48">
            <v>1179.2683333333332</v>
          </cell>
          <cell r="CH48">
            <v>1169.6233333333332</v>
          </cell>
          <cell r="CI48">
            <v>1146.4983333333334</v>
          </cell>
          <cell r="CJ48">
            <v>1128.2766666666666</v>
          </cell>
          <cell r="CK48">
            <v>1112.32</v>
          </cell>
          <cell r="CL48">
            <v>1044.8916666666667</v>
          </cell>
          <cell r="CM48">
            <v>984.78666666666652</v>
          </cell>
          <cell r="CN48">
            <v>965.66666666666686</v>
          </cell>
          <cell r="CO48">
            <v>958.15833333333342</v>
          </cell>
          <cell r="CP48">
            <v>948.98833333333334</v>
          </cell>
          <cell r="CQ48">
            <v>934.77166666666653</v>
          </cell>
          <cell r="CR48">
            <v>890.12166666666656</v>
          </cell>
          <cell r="CS48">
            <v>854.06833333333327</v>
          </cell>
          <cell r="CT48">
            <v>847.26499999999999</v>
          </cell>
          <cell r="CU48">
            <v>838.50833333333321</v>
          </cell>
          <cell r="CV48">
            <v>854.04</v>
          </cell>
          <cell r="CW48">
            <v>867.40333333333331</v>
          </cell>
          <cell r="CX48">
            <v>852.7883333333333</v>
          </cell>
          <cell r="CY48">
            <v>856.02166666666665</v>
          </cell>
          <cell r="CZ48">
            <v>867.56666666666661</v>
          </cell>
          <cell r="DA48">
            <v>859.73500000000001</v>
          </cell>
          <cell r="DB48">
            <v>874.58333333333337</v>
          </cell>
          <cell r="DC48">
            <v>865.78666666666675</v>
          </cell>
          <cell r="DD48">
            <v>837.85</v>
          </cell>
          <cell r="DE48">
            <v>827.3516666666668</v>
          </cell>
          <cell r="DF48">
            <v>812.68166666666673</v>
          </cell>
          <cell r="DG48">
            <v>806.57999999999993</v>
          </cell>
          <cell r="DH48">
            <v>803.95833333333337</v>
          </cell>
          <cell r="DI48">
            <v>811.51833333333343</v>
          </cell>
          <cell r="DJ48">
            <v>815.37833333333344</v>
          </cell>
          <cell r="DK48">
            <v>808.36666666666679</v>
          </cell>
          <cell r="DL48">
            <v>790.31499999999994</v>
          </cell>
          <cell r="DM48">
            <v>794.64333333333343</v>
          </cell>
          <cell r="DN48">
            <v>833.96833333333336</v>
          </cell>
          <cell r="DO48">
            <v>835.51333333333332</v>
          </cell>
          <cell r="DP48">
            <v>837.93086666666659</v>
          </cell>
          <cell r="DQ48">
            <v>857.56773333333331</v>
          </cell>
          <cell r="DR48">
            <v>852.8529666666667</v>
          </cell>
          <cell r="DS48">
            <v>856.76523333333341</v>
          </cell>
          <cell r="DT48">
            <v>870.52895000000001</v>
          </cell>
          <cell r="DU48">
            <v>884.37440000000004</v>
          </cell>
          <cell r="DV48">
            <v>904.20989999999995</v>
          </cell>
          <cell r="DW48">
            <v>901.64645000000007</v>
          </cell>
          <cell r="DX48">
            <v>882.03249999999991</v>
          </cell>
          <cell r="DY48">
            <v>875.90038333333348</v>
          </cell>
          <cell r="DZ48">
            <v>868.18615</v>
          </cell>
          <cell r="EA48">
            <v>864.41311666666661</v>
          </cell>
          <cell r="EB48">
            <v>870.00238333333311</v>
          </cell>
          <cell r="EC48">
            <v>893.34000908206451</v>
          </cell>
          <cell r="ED48">
            <v>908.49844241539779</v>
          </cell>
          <cell r="EE48">
            <v>906.67599999999993</v>
          </cell>
          <cell r="EF48">
            <v>908.92283333333341</v>
          </cell>
          <cell r="EG48">
            <v>902.94166666666661</v>
          </cell>
          <cell r="EH48">
            <v>903.89867366666658</v>
          </cell>
          <cell r="EI48">
            <v>931.72550700000011</v>
          </cell>
          <cell r="EJ48">
            <v>928.21050000000014</v>
          </cell>
          <cell r="EK48">
            <v>892.58750000000009</v>
          </cell>
          <cell r="EL48">
            <v>877.65000000000009</v>
          </cell>
          <cell r="EM48">
            <v>851.50000000000011</v>
          </cell>
          <cell r="EN48">
            <v>841.69374999999991</v>
          </cell>
          <cell r="EO48">
            <v>848.04374999999959</v>
          </cell>
          <cell r="EP48">
            <v>854.31874999999923</v>
          </cell>
          <cell r="EQ48">
            <v>860.5187499999995</v>
          </cell>
          <cell r="ER48">
            <v>866.64374999999984</v>
          </cell>
          <cell r="ES48">
            <v>872.69374999999945</v>
          </cell>
          <cell r="ET48">
            <v>878.66874999999914</v>
          </cell>
          <cell r="EU48">
            <v>884.56874999999945</v>
          </cell>
          <cell r="EV48">
            <v>892.50909999999999</v>
          </cell>
          <cell r="EW48">
            <v>902.44450000000006</v>
          </cell>
          <cell r="EX48">
            <v>912.21430000000021</v>
          </cell>
          <cell r="EY48">
            <v>921.81850000000031</v>
          </cell>
          <cell r="EZ48">
            <v>931.25710000000049</v>
          </cell>
          <cell r="FA48">
            <v>940.53010000000063</v>
          </cell>
          <cell r="FB48">
            <v>949.63750000000073</v>
          </cell>
          <cell r="FC48">
            <v>958.5793000000009</v>
          </cell>
          <cell r="FD48">
            <v>963.00880000000097</v>
          </cell>
          <cell r="FE48">
            <v>963.00880000000097</v>
          </cell>
          <cell r="FF48">
            <v>963.00880000000097</v>
          </cell>
          <cell r="FG48">
            <v>963.00880000000097</v>
          </cell>
          <cell r="FH48">
            <v>963.00880000000097</v>
          </cell>
          <cell r="FI48">
            <v>963.00880000000097</v>
          </cell>
          <cell r="FJ48">
            <v>963.00880000000097</v>
          </cell>
          <cell r="FK48">
            <v>963.00880000000097</v>
          </cell>
          <cell r="FL48">
            <v>963.00880000000097</v>
          </cell>
          <cell r="FM48">
            <v>963.00880000000097</v>
          </cell>
          <cell r="FN48">
            <v>963.00880000000097</v>
          </cell>
          <cell r="FO48">
            <v>963.00880000000097</v>
          </cell>
          <cell r="FP48">
            <v>963.00880000000097</v>
          </cell>
          <cell r="FQ48">
            <v>963.00880000000097</v>
          </cell>
          <cell r="FR48">
            <v>963.00880000000097</v>
          </cell>
          <cell r="FS48">
            <v>963.00880000000097</v>
          </cell>
          <cell r="FT48">
            <v>963.00880000000097</v>
          </cell>
          <cell r="FU48">
            <v>963.00880000000097</v>
          </cell>
        </row>
        <row r="50">
          <cell r="B50" t="str">
            <v>Average exchange rates (12mo)</v>
          </cell>
        </row>
        <row r="51">
          <cell r="A51" t="str">
            <v>avaudgbp12m</v>
          </cell>
          <cell r="B51" t="str">
            <v>AUD/GBP</v>
          </cell>
          <cell r="D51">
            <v>0.4449999999999999</v>
          </cell>
          <cell r="E51">
            <v>0.43307500000000004</v>
          </cell>
          <cell r="F51">
            <v>0.41307500000000003</v>
          </cell>
          <cell r="G51">
            <v>0.4182583333333334</v>
          </cell>
          <cell r="H51">
            <v>0.4281166666666667</v>
          </cell>
          <cell r="I51">
            <v>0.43619999999999992</v>
          </cell>
          <cell r="J51">
            <v>0.45310833333333328</v>
          </cell>
          <cell r="K51">
            <v>0.45322499999999999</v>
          </cell>
          <cell r="L51">
            <v>0.45439166666666669</v>
          </cell>
          <cell r="M51">
            <v>0.46283333333333326</v>
          </cell>
          <cell r="N51">
            <v>0.4698916666666666</v>
          </cell>
          <cell r="O51">
            <v>0.47715000000000002</v>
          </cell>
          <cell r="P51">
            <v>0.47505000000000003</v>
          </cell>
          <cell r="Q51">
            <v>0.46822500000000006</v>
          </cell>
          <cell r="R51">
            <v>0.46756666666666669</v>
          </cell>
          <cell r="S51">
            <v>0.46793333333333337</v>
          </cell>
          <cell r="T51">
            <v>0.47671666666666668</v>
          </cell>
          <cell r="U51">
            <v>0.49309999999999993</v>
          </cell>
          <cell r="V51">
            <v>0.50010833333333338</v>
          </cell>
          <cell r="W51">
            <v>0.49928333333333325</v>
          </cell>
          <cell r="X51">
            <v>0.49337499999999995</v>
          </cell>
          <cell r="Y51">
            <v>0.4810666666666667</v>
          </cell>
          <cell r="Z51">
            <v>0.46824166666666667</v>
          </cell>
          <cell r="AA51">
            <v>0.4501</v>
          </cell>
          <cell r="AB51">
            <v>0.43295833333333333</v>
          </cell>
          <cell r="AC51">
            <v>0.41159999999999997</v>
          </cell>
          <cell r="AD51">
            <v>0.38680833333333337</v>
          </cell>
          <cell r="AE51">
            <v>0.37884999999999996</v>
          </cell>
          <cell r="AF51">
            <v>0.37346666666666667</v>
          </cell>
          <cell r="AG51">
            <v>0.38169166666666671</v>
          </cell>
          <cell r="AH51">
            <v>0.39329166666666676</v>
          </cell>
          <cell r="AI51">
            <v>0.39920833333333322</v>
          </cell>
          <cell r="AJ51">
            <v>0.39948333333333336</v>
          </cell>
          <cell r="AK51">
            <v>0.39219999999999994</v>
          </cell>
          <cell r="AL51">
            <v>0.38865</v>
          </cell>
          <cell r="AM51">
            <v>0.38124166666666676</v>
          </cell>
          <cell r="AN51">
            <v>0.37435000000000002</v>
          </cell>
          <cell r="AO51">
            <v>0.36804166666666666</v>
          </cell>
          <cell r="AP51">
            <v>0.35988333333333333</v>
          </cell>
          <cell r="AQ51">
            <v>0.35640000000000005</v>
          </cell>
          <cell r="AR51">
            <v>0.35777499999999995</v>
          </cell>
          <cell r="AS51">
            <v>0.36198333333333332</v>
          </cell>
          <cell r="AT51">
            <v>0.36135833333333328</v>
          </cell>
          <cell r="AU51">
            <v>0.36143333333333333</v>
          </cell>
          <cell r="AV51">
            <v>0.36357499999999998</v>
          </cell>
          <cell r="AW51">
            <v>0.36957499999999999</v>
          </cell>
          <cell r="AX51">
            <v>0.38409999999999994</v>
          </cell>
          <cell r="AY51">
            <v>0.40051666666666669</v>
          </cell>
          <cell r="AZ51">
            <v>0.41073333333333339</v>
          </cell>
          <cell r="BA51">
            <v>0.40915833333333329</v>
          </cell>
          <cell r="BB51">
            <v>0.40550833333333336</v>
          </cell>
          <cell r="BC51">
            <v>0.40215063996371464</v>
          </cell>
          <cell r="BD51">
            <v>0.400900815118929</v>
          </cell>
          <cell r="BE51">
            <v>0.40684028267171218</v>
          </cell>
          <cell r="BF51">
            <v>0.41535531550159305</v>
          </cell>
          <cell r="BG51">
            <v>0.42002550887121187</v>
          </cell>
          <cell r="BH51">
            <v>0.42242533371599739</v>
          </cell>
          <cell r="BI51">
            <v>0.4199108661632141</v>
          </cell>
          <cell r="BJ51">
            <v>0.41396250000000001</v>
          </cell>
          <cell r="BK51">
            <v>0.40844166666666676</v>
          </cell>
          <cell r="BL51">
            <v>0.40390833333333331</v>
          </cell>
          <cell r="BM51">
            <v>0.40686249999999996</v>
          </cell>
          <cell r="BN51">
            <v>0.41095833333333331</v>
          </cell>
          <cell r="BO51">
            <v>0.42013750000000005</v>
          </cell>
          <cell r="BP51">
            <v>0.43444583333333336</v>
          </cell>
          <cell r="BQ51">
            <v>0.449625</v>
          </cell>
          <cell r="BR51">
            <v>0.4606041666666667</v>
          </cell>
          <cell r="BS51">
            <v>0.46064166666666667</v>
          </cell>
          <cell r="BT51">
            <v>0.45961666666666673</v>
          </cell>
          <cell r="BU51">
            <v>0.46274166666666677</v>
          </cell>
          <cell r="BV51">
            <v>0.47774999999999995</v>
          </cell>
          <cell r="BW51">
            <v>0.50606666666666678</v>
          </cell>
          <cell r="BX51">
            <v>0.53755000000000008</v>
          </cell>
          <cell r="BY51">
            <v>0.56037499999999996</v>
          </cell>
          <cell r="BZ51">
            <v>0.57715000000000005</v>
          </cell>
          <cell r="CA51">
            <v>0.59592499999999993</v>
          </cell>
          <cell r="CB51">
            <v>0.60831666666666662</v>
          </cell>
          <cell r="CC51">
            <v>0.62691666666666668</v>
          </cell>
          <cell r="CD51">
            <v>0.64169166666666666</v>
          </cell>
          <cell r="CE51">
            <v>0.64855416666666665</v>
          </cell>
          <cell r="CF51">
            <v>0.65702916666666666</v>
          </cell>
          <cell r="CG51">
            <v>0.65317499999999995</v>
          </cell>
          <cell r="CH51">
            <v>0.65434583333333329</v>
          </cell>
          <cell r="CI51">
            <v>0.65160416666666654</v>
          </cell>
          <cell r="CJ51">
            <v>0.6533916666666667</v>
          </cell>
          <cell r="CK51">
            <v>0.65106249999999999</v>
          </cell>
          <cell r="CL51">
            <v>0.63258333333333339</v>
          </cell>
          <cell r="CM51">
            <v>0.61177083333333337</v>
          </cell>
          <cell r="CN51">
            <v>0.57895416666666666</v>
          </cell>
          <cell r="CO51">
            <v>0.55885416666666665</v>
          </cell>
          <cell r="CP51">
            <v>0.55145416666666669</v>
          </cell>
          <cell r="CQ51">
            <v>0.5459208333333333</v>
          </cell>
          <cell r="CR51">
            <v>0.53863333333333341</v>
          </cell>
          <cell r="CS51">
            <v>0.52598750000000016</v>
          </cell>
          <cell r="CT51">
            <v>0.50451250000000003</v>
          </cell>
          <cell r="CU51">
            <v>0.48943750000000003</v>
          </cell>
          <cell r="CV51">
            <v>0.49012916666666667</v>
          </cell>
          <cell r="CW51">
            <v>0.49632083333333332</v>
          </cell>
          <cell r="CX51">
            <v>0.52484583333333334</v>
          </cell>
          <cell r="CY51">
            <v>0.55471666666666664</v>
          </cell>
          <cell r="CZ51">
            <v>0.57852916666666665</v>
          </cell>
          <cell r="DA51">
            <v>0.59224999999999994</v>
          </cell>
          <cell r="DB51">
            <v>0.59789166666666671</v>
          </cell>
          <cell r="DC51">
            <v>0.59100416666666666</v>
          </cell>
          <cell r="DD51">
            <v>0.57850416666666649</v>
          </cell>
          <cell r="DE51">
            <v>0.5728833333333333</v>
          </cell>
          <cell r="DF51">
            <v>0.56206250000000002</v>
          </cell>
          <cell r="DG51">
            <v>0.5593541666666666</v>
          </cell>
          <cell r="DH51">
            <v>0.55562499999999992</v>
          </cell>
          <cell r="DI51">
            <v>0.55277916666666671</v>
          </cell>
          <cell r="DJ51">
            <v>0.55200000000000005</v>
          </cell>
          <cell r="DK51">
            <v>0.54398333333333337</v>
          </cell>
          <cell r="DL51">
            <v>0.5334941666666666</v>
          </cell>
          <cell r="DM51">
            <v>0.53106999999999993</v>
          </cell>
          <cell r="DN51">
            <v>0.52992666666666655</v>
          </cell>
          <cell r="DO51">
            <v>0.53597166666666662</v>
          </cell>
          <cell r="DP51">
            <v>0.54872750000000003</v>
          </cell>
          <cell r="DQ51">
            <v>0.55127541666666657</v>
          </cell>
          <cell r="DR51">
            <v>0.54666875000000015</v>
          </cell>
          <cell r="DS51">
            <v>0.54378208333333344</v>
          </cell>
          <cell r="DT51">
            <v>0.54167299666666657</v>
          </cell>
          <cell r="DU51">
            <v>0.54610589916666652</v>
          </cell>
          <cell r="DV51">
            <v>0.55772256583333346</v>
          </cell>
          <cell r="DW51">
            <v>0.56289080583333329</v>
          </cell>
          <cell r="DX51">
            <v>0.56605030916666654</v>
          </cell>
          <cell r="DY51">
            <v>0.55572115666666666</v>
          </cell>
          <cell r="DZ51">
            <v>0.54123231250000003</v>
          </cell>
          <cell r="EA51">
            <v>0.53251073916666669</v>
          </cell>
          <cell r="EB51">
            <v>0.52200907250000006</v>
          </cell>
          <cell r="EC51">
            <v>0.5215024744451382</v>
          </cell>
          <cell r="ED51">
            <v>0.5197317646321753</v>
          </cell>
          <cell r="EE51">
            <v>0.51443556991459494</v>
          </cell>
          <cell r="EF51">
            <v>0.50861113095757338</v>
          </cell>
          <cell r="EG51">
            <v>0.49774623377591282</v>
          </cell>
          <cell r="EH51">
            <v>0.49119308378671461</v>
          </cell>
          <cell r="EI51">
            <v>0.48884927698543623</v>
          </cell>
          <cell r="EJ51">
            <v>0.48542122251934444</v>
          </cell>
          <cell r="EK51">
            <v>0.48368244099280261</v>
          </cell>
          <cell r="EL51">
            <v>0.47946357916799381</v>
          </cell>
          <cell r="EM51">
            <v>0.47512887784221669</v>
          </cell>
          <cell r="EN51">
            <v>0.47760081277283356</v>
          </cell>
          <cell r="EO51">
            <v>0.48269340536542615</v>
          </cell>
          <cell r="EP51">
            <v>0.48894340536542613</v>
          </cell>
          <cell r="EQ51">
            <v>0.49632378288957013</v>
          </cell>
          <cell r="ER51">
            <v>0.50351849268713533</v>
          </cell>
          <cell r="ES51">
            <v>0.51052015727306954</v>
          </cell>
          <cell r="ET51">
            <v>0.51732128297663404</v>
          </cell>
          <cell r="EU51">
            <v>0.52391425795138447</v>
          </cell>
          <cell r="EV51">
            <v>0.5319451372478341</v>
          </cell>
          <cell r="EW51">
            <v>0.5414452484102511</v>
          </cell>
          <cell r="EX51">
            <v>0.55244657293639543</v>
          </cell>
          <cell r="EY51">
            <v>0.5649817629916567</v>
          </cell>
          <cell r="EZ51">
            <v>0.57767101699956114</v>
          </cell>
          <cell r="FA51">
            <v>0.5905171929470554</v>
          </cell>
          <cell r="FB51">
            <v>0.60352321995439495</v>
          </cell>
          <cell r="FC51">
            <v>0.61669210050218137</v>
          </cell>
          <cell r="FD51">
            <v>0.62663001152022024</v>
          </cell>
          <cell r="FE51">
            <v>0.63329662889581573</v>
          </cell>
          <cell r="FF51">
            <v>0.6366508688783562</v>
          </cell>
          <cell r="FG51">
            <v>0.6366508688783562</v>
          </cell>
          <cell r="FH51">
            <v>0.6366508688783562</v>
          </cell>
          <cell r="FI51">
            <v>0.6366508688783562</v>
          </cell>
          <cell r="FJ51">
            <v>0.6366508688783562</v>
          </cell>
          <cell r="FK51">
            <v>0.6366508688783562</v>
          </cell>
          <cell r="FL51">
            <v>0.6366508688783562</v>
          </cell>
          <cell r="FM51">
            <v>0.6366508688783562</v>
          </cell>
          <cell r="FN51">
            <v>0.6366508688783562</v>
          </cell>
          <cell r="FO51">
            <v>0.6366508688783562</v>
          </cell>
          <cell r="FP51">
            <v>0.6366508688783562</v>
          </cell>
          <cell r="FQ51">
            <v>0.6366508688783562</v>
          </cell>
          <cell r="FR51">
            <v>0.6366508688783562</v>
          </cell>
          <cell r="FS51">
            <v>0.6366508688783562</v>
          </cell>
          <cell r="FT51">
            <v>0.6366508688783562</v>
          </cell>
          <cell r="FU51">
            <v>0.6366508688783562</v>
          </cell>
        </row>
        <row r="52">
          <cell r="A52" t="str">
            <v>avaudusd12m</v>
          </cell>
          <cell r="B52" t="str">
            <v>AUD/USD</v>
          </cell>
          <cell r="D52">
            <v>0.77221666666666666</v>
          </cell>
          <cell r="E52">
            <v>0.7680583333333334</v>
          </cell>
          <cell r="F52">
            <v>0.75225833333333336</v>
          </cell>
          <cell r="G52">
            <v>0.7307499999999999</v>
          </cell>
          <cell r="H52">
            <v>0.71470833333333339</v>
          </cell>
          <cell r="I52">
            <v>0.69703333333333328</v>
          </cell>
          <cell r="J52">
            <v>0.68347499999999994</v>
          </cell>
          <cell r="K52">
            <v>0.67841666666666667</v>
          </cell>
          <cell r="L52">
            <v>0.68213333333333326</v>
          </cell>
          <cell r="M52">
            <v>0.69304166666666667</v>
          </cell>
          <cell r="N52">
            <v>0.71083333333333332</v>
          </cell>
          <cell r="O52">
            <v>0.73442499999999999</v>
          </cell>
          <cell r="P52">
            <v>0.74325000000000008</v>
          </cell>
          <cell r="Q52">
            <v>0.74118333333333331</v>
          </cell>
          <cell r="R52">
            <v>0.74311666666666654</v>
          </cell>
          <cell r="S52">
            <v>0.73968333333333336</v>
          </cell>
          <cell r="T52">
            <v>0.74476666666666669</v>
          </cell>
          <cell r="U52">
            <v>0.76293333333333335</v>
          </cell>
          <cell r="V52">
            <v>0.77203333333333335</v>
          </cell>
          <cell r="W52">
            <v>0.78493333333333337</v>
          </cell>
          <cell r="X52">
            <v>0.78786666666666683</v>
          </cell>
          <cell r="Y52">
            <v>0.78068333333333317</v>
          </cell>
          <cell r="Z52">
            <v>0.76818333333333333</v>
          </cell>
          <cell r="AA52">
            <v>0.73744999999999994</v>
          </cell>
          <cell r="AB52">
            <v>0.71252499999999996</v>
          </cell>
          <cell r="AC52">
            <v>0.67972499999999991</v>
          </cell>
          <cell r="AD52">
            <v>0.64336666666666675</v>
          </cell>
          <cell r="AE52">
            <v>0.62937500000000002</v>
          </cell>
          <cell r="AF52">
            <v>0.61734999999999995</v>
          </cell>
          <cell r="AG52">
            <v>0.62439999999999996</v>
          </cell>
          <cell r="AH52">
            <v>0.63903333333333323</v>
          </cell>
          <cell r="AI52">
            <v>0.64459999999999995</v>
          </cell>
          <cell r="AJ52">
            <v>0.64277499999999999</v>
          </cell>
          <cell r="AK52">
            <v>0.62414999999999998</v>
          </cell>
          <cell r="AL52">
            <v>0.60380833333333328</v>
          </cell>
          <cell r="AM52">
            <v>0.57677499999999993</v>
          </cell>
          <cell r="AN52">
            <v>0.55187499999999989</v>
          </cell>
          <cell r="AO52">
            <v>0.53332499999999994</v>
          </cell>
          <cell r="AP52">
            <v>0.51927499999999993</v>
          </cell>
          <cell r="AQ52">
            <v>0.51317500000000005</v>
          </cell>
          <cell r="AR52">
            <v>0.51289999999999991</v>
          </cell>
          <cell r="AS52">
            <v>0.52443333333333342</v>
          </cell>
          <cell r="AT52">
            <v>0.53326666666666667</v>
          </cell>
          <cell r="AU52">
            <v>0.54517500000000008</v>
          </cell>
          <cell r="AV52">
            <v>0.5652666666666667</v>
          </cell>
          <cell r="AW52">
            <v>0.58895833333333336</v>
          </cell>
          <cell r="AX52">
            <v>0.61730000000000007</v>
          </cell>
          <cell r="AY52">
            <v>0.65968333333333329</v>
          </cell>
          <cell r="AZ52">
            <v>0.70167499999999994</v>
          </cell>
          <cell r="BA52">
            <v>0.71676666666666655</v>
          </cell>
          <cell r="BB52">
            <v>0.72990833333333327</v>
          </cell>
          <cell r="BC52">
            <v>0.73969583333333355</v>
          </cell>
          <cell r="BD52">
            <v>0.74272500000000008</v>
          </cell>
          <cell r="BE52">
            <v>0.75644583333333337</v>
          </cell>
          <cell r="BF52">
            <v>0.76808333333333323</v>
          </cell>
          <cell r="BG52">
            <v>0.76120833333333338</v>
          </cell>
          <cell r="BH52">
            <v>0.7509083333333334</v>
          </cell>
          <cell r="BI52">
            <v>0.74720416666666667</v>
          </cell>
          <cell r="BJ52">
            <v>0.74731666666666674</v>
          </cell>
          <cell r="BK52">
            <v>0.75828749999999989</v>
          </cell>
          <cell r="BL52">
            <v>0.77136249999999995</v>
          </cell>
          <cell r="BM52">
            <v>0.79239166666666661</v>
          </cell>
          <cell r="BN52">
            <v>0.81591250000000004</v>
          </cell>
          <cell r="BO52">
            <v>0.84433333333333349</v>
          </cell>
          <cell r="BP52">
            <v>0.87482916666666666</v>
          </cell>
          <cell r="BQ52">
            <v>0.90408333333333335</v>
          </cell>
          <cell r="BR52">
            <v>0.90692916666666668</v>
          </cell>
          <cell r="BS52">
            <v>0.85127083333333331</v>
          </cell>
          <cell r="BT52">
            <v>0.78684166666666666</v>
          </cell>
          <cell r="BU52">
            <v>0.74317083333333323</v>
          </cell>
          <cell r="BV52">
            <v>0.74069999999999991</v>
          </cell>
          <cell r="BW52">
            <v>0.79800833333333332</v>
          </cell>
          <cell r="BX52">
            <v>0.85888750000000014</v>
          </cell>
          <cell r="BY52">
            <v>0.88197083333333337</v>
          </cell>
          <cell r="BZ52">
            <v>0.89869583333333347</v>
          </cell>
          <cell r="CA52">
            <v>0.91979583333333315</v>
          </cell>
          <cell r="CB52">
            <v>0.94906250000000003</v>
          </cell>
          <cell r="CC52">
            <v>1.0011166666666667</v>
          </cell>
          <cell r="CD52">
            <v>1.0322375000000001</v>
          </cell>
          <cell r="CE52">
            <v>1.043725</v>
          </cell>
          <cell r="CF52">
            <v>1.0539504166666667</v>
          </cell>
          <cell r="CG52">
            <v>1.0376733333333334</v>
          </cell>
          <cell r="CH52">
            <v>1.0363387500000001</v>
          </cell>
          <cell r="CI52">
            <v>1.0376870833333334</v>
          </cell>
          <cell r="CJ52">
            <v>1.0322383333333336</v>
          </cell>
          <cell r="CK52">
            <v>1.02123875</v>
          </cell>
          <cell r="CL52">
            <v>0.98798208333333337</v>
          </cell>
          <cell r="CM52">
            <v>0.95702500000000013</v>
          </cell>
          <cell r="CN52">
            <v>0.92277750000000003</v>
          </cell>
          <cell r="CO52">
            <v>0.91398583333333361</v>
          </cell>
          <cell r="CP52">
            <v>0.91537541666666666</v>
          </cell>
          <cell r="CQ52">
            <v>0.89858958333333339</v>
          </cell>
          <cell r="CR52">
            <v>0.86725125000000014</v>
          </cell>
          <cell r="CS52">
            <v>0.82746958333333342</v>
          </cell>
          <cell r="CT52">
            <v>0.77787958333333329</v>
          </cell>
          <cell r="CU52">
            <v>0.74609458333333334</v>
          </cell>
          <cell r="CV52">
            <v>0.73523624999999992</v>
          </cell>
          <cell r="CW52">
            <v>0.72719208333333329</v>
          </cell>
          <cell r="CX52">
            <v>0.73839999999999995</v>
          </cell>
          <cell r="CY52">
            <v>0.74289708333333326</v>
          </cell>
          <cell r="CZ52">
            <v>0.75117166666666668</v>
          </cell>
          <cell r="DA52">
            <v>0.75377708333333349</v>
          </cell>
          <cell r="DB52">
            <v>0.76216333333333341</v>
          </cell>
          <cell r="DC52">
            <v>0.76909749999999999</v>
          </cell>
          <cell r="DD52">
            <v>0.77428666666666668</v>
          </cell>
          <cell r="DE52">
            <v>0.77344416666666671</v>
          </cell>
          <cell r="DF52">
            <v>0.75723583333333322</v>
          </cell>
          <cell r="DG52">
            <v>0.74401083333333329</v>
          </cell>
          <cell r="DH52">
            <v>0.72707375000000007</v>
          </cell>
          <cell r="DI52">
            <v>0.71460458333333332</v>
          </cell>
          <cell r="DJ52">
            <v>0.7020641666666666</v>
          </cell>
          <cell r="DK52">
            <v>0.6956699999999999</v>
          </cell>
          <cell r="DL52">
            <v>0.67791166666666658</v>
          </cell>
          <cell r="DM52">
            <v>0.67021791666666664</v>
          </cell>
          <cell r="DN52">
            <v>0.68147374999999999</v>
          </cell>
          <cell r="DO52">
            <v>0.69309249999999978</v>
          </cell>
          <cell r="DP52">
            <v>0.72322083333333342</v>
          </cell>
          <cell r="DQ52">
            <v>0.74709333333333339</v>
          </cell>
          <cell r="DR52">
            <v>0.7487691666666666</v>
          </cell>
          <cell r="DS52">
            <v>0.74744124999999995</v>
          </cell>
          <cell r="DT52">
            <v>0.73794916666666666</v>
          </cell>
          <cell r="DU52">
            <v>0.7228612499999999</v>
          </cell>
          <cell r="DV52">
            <v>0.70911333333333326</v>
          </cell>
          <cell r="DW52">
            <v>0.69324250000000009</v>
          </cell>
          <cell r="DX52">
            <v>0.68205041666666677</v>
          </cell>
          <cell r="DY52">
            <v>0.67071291666666666</v>
          </cell>
          <cell r="DZ52">
            <v>0.6656704166666666</v>
          </cell>
          <cell r="EA52">
            <v>0.66352458333333331</v>
          </cell>
          <cell r="EB52">
            <v>0.65612083333333326</v>
          </cell>
          <cell r="EC52">
            <v>0.65626499999999999</v>
          </cell>
          <cell r="ED52">
            <v>0.66116000000000008</v>
          </cell>
          <cell r="EE52">
            <v>0.65730874999999989</v>
          </cell>
          <cell r="EF52">
            <v>0.64930083333333333</v>
          </cell>
          <cell r="EG52">
            <v>0.64611666666666667</v>
          </cell>
          <cell r="EH52">
            <v>0.64074708333333341</v>
          </cell>
          <cell r="EI52">
            <v>0.64476708333333332</v>
          </cell>
          <cell r="EJ52">
            <v>0.66543125000000003</v>
          </cell>
          <cell r="EK52">
            <v>0.67091500000000015</v>
          </cell>
          <cell r="EL52">
            <v>0.67183625000000013</v>
          </cell>
          <cell r="EM52">
            <v>0.66750000000000009</v>
          </cell>
          <cell r="EN52">
            <v>0.66312499999999996</v>
          </cell>
          <cell r="EO52">
            <v>0.65937499999999993</v>
          </cell>
          <cell r="EP52">
            <v>0.66124999999999989</v>
          </cell>
          <cell r="EQ52">
            <v>0.66874999999999984</v>
          </cell>
          <cell r="ER52">
            <v>0.67624999999999991</v>
          </cell>
          <cell r="ES52">
            <v>0.68374999999999986</v>
          </cell>
          <cell r="ET52">
            <v>0.69124999999999981</v>
          </cell>
          <cell r="EU52">
            <v>0.69874999999999976</v>
          </cell>
          <cell r="EV52">
            <v>0.70737499999999975</v>
          </cell>
          <cell r="EW52">
            <v>0.7171249999999999</v>
          </cell>
          <cell r="EX52">
            <v>0.72799999999999998</v>
          </cell>
          <cell r="EY52">
            <v>0.74</v>
          </cell>
          <cell r="EZ52">
            <v>0.752</v>
          </cell>
          <cell r="FA52">
            <v>0.76400000000000001</v>
          </cell>
          <cell r="FB52">
            <v>0.77600000000000002</v>
          </cell>
          <cell r="FC52">
            <v>0.78800000000000003</v>
          </cell>
          <cell r="FD52">
            <v>0.79700000000000004</v>
          </cell>
          <cell r="FE52">
            <v>0.80300000000000005</v>
          </cell>
          <cell r="FF52">
            <v>0.80600000000000005</v>
          </cell>
          <cell r="FG52">
            <v>0.80600000000000005</v>
          </cell>
          <cell r="FH52">
            <v>0.80600000000000005</v>
          </cell>
          <cell r="FI52">
            <v>0.80600000000000005</v>
          </cell>
          <cell r="FJ52">
            <v>0.80600000000000005</v>
          </cell>
          <cell r="FK52">
            <v>0.80600000000000005</v>
          </cell>
          <cell r="FL52">
            <v>0.80600000000000005</v>
          </cell>
          <cell r="FM52">
            <v>0.80600000000000005</v>
          </cell>
          <cell r="FN52">
            <v>0.80600000000000005</v>
          </cell>
          <cell r="FO52">
            <v>0.80600000000000005</v>
          </cell>
          <cell r="FP52">
            <v>0.80600000000000005</v>
          </cell>
          <cell r="FQ52">
            <v>0.80600000000000005</v>
          </cell>
          <cell r="FR52">
            <v>0.80600000000000005</v>
          </cell>
          <cell r="FS52">
            <v>0.80600000000000005</v>
          </cell>
          <cell r="FT52">
            <v>0.80600000000000005</v>
          </cell>
          <cell r="FU52">
            <v>0.80600000000000005</v>
          </cell>
        </row>
        <row r="53">
          <cell r="A53" t="str">
            <v>avaudnzd12m</v>
          </cell>
          <cell r="B53" t="str">
            <v>AUD/NZD</v>
          </cell>
          <cell r="R53">
            <v>1.1438916666666665</v>
          </cell>
          <cell r="S53">
            <v>1.1269666666666669</v>
          </cell>
          <cell r="T53">
            <v>1.1199833333333331</v>
          </cell>
          <cell r="U53">
            <v>1.1408416666666668</v>
          </cell>
          <cell r="V53">
            <v>1.1411416666666667</v>
          </cell>
          <cell r="W53">
            <v>1.1376000000000002</v>
          </cell>
          <cell r="X53">
            <v>1.1347416666666665</v>
          </cell>
          <cell r="Y53">
            <v>1.1236833333333334</v>
          </cell>
          <cell r="Z53">
            <v>1.125375</v>
          </cell>
          <cell r="AA53">
            <v>1.1218083333333333</v>
          </cell>
          <cell r="AB53">
            <v>1.1362833333333333</v>
          </cell>
          <cell r="AC53">
            <v>1.1530333333333331</v>
          </cell>
          <cell r="AD53">
            <v>1.1616666666666666</v>
          </cell>
          <cell r="AE53">
            <v>1.1771333333333334</v>
          </cell>
          <cell r="AF53">
            <v>1.1774666666666669</v>
          </cell>
          <cell r="AG53">
            <v>1.1865250000000001</v>
          </cell>
          <cell r="AH53">
            <v>1.2032416666666665</v>
          </cell>
          <cell r="AI53">
            <v>1.2223333333333333</v>
          </cell>
          <cell r="AJ53">
            <v>1.2423333333333335</v>
          </cell>
          <cell r="AK53">
            <v>1.248775</v>
          </cell>
          <cell r="AL53">
            <v>1.2684083333333334</v>
          </cell>
          <cell r="AM53">
            <v>1.2765250000000001</v>
          </cell>
          <cell r="AN53">
            <v>1.2675083333333332</v>
          </cell>
          <cell r="AO53">
            <v>1.2682499999999999</v>
          </cell>
          <cell r="AP53">
            <v>1.2423166666666667</v>
          </cell>
          <cell r="AQ53">
            <v>1.2287583333333332</v>
          </cell>
          <cell r="AR53">
            <v>1.2280833333333332</v>
          </cell>
          <cell r="AS53">
            <v>1.2119250000000001</v>
          </cell>
          <cell r="AT53">
            <v>1.1995666666666669</v>
          </cell>
          <cell r="AU53">
            <v>1.1696333333333333</v>
          </cell>
          <cell r="AV53">
            <v>1.1360916666666665</v>
          </cell>
          <cell r="AW53">
            <v>1.1240833333333335</v>
          </cell>
          <cell r="AX53">
            <v>1.1138916666666665</v>
          </cell>
          <cell r="AY53">
            <v>1.1217249999999999</v>
          </cell>
          <cell r="AZ53">
            <v>1.1342666666666668</v>
          </cell>
          <cell r="BA53">
            <v>1.1331416666666667</v>
          </cell>
          <cell r="BB53">
            <v>1.1225666666666665</v>
          </cell>
          <cell r="BC53">
            <v>1.1086006204230026</v>
          </cell>
          <cell r="BD53">
            <v>1.097128665453732</v>
          </cell>
          <cell r="BE53">
            <v>1.0848116036004793</v>
          </cell>
          <cell r="BF53">
            <v>1.0886763768451464</v>
          </cell>
          <cell r="BG53">
            <v>1.0826840897554773</v>
          </cell>
          <cell r="BH53">
            <v>1.0924810447247475</v>
          </cell>
          <cell r="BI53">
            <v>1.1225481065780005</v>
          </cell>
          <cell r="BJ53">
            <v>1.143025</v>
          </cell>
          <cell r="BK53">
            <v>1.1626041666666667</v>
          </cell>
          <cell r="BL53">
            <v>1.1620458333333332</v>
          </cell>
          <cell r="BM53">
            <v>1.1410708333333333</v>
          </cell>
          <cell r="BN53">
            <v>1.1337249999999999</v>
          </cell>
          <cell r="BO53">
            <v>1.1403624999999999</v>
          </cell>
          <cell r="BP53">
            <v>1.1473833333333336</v>
          </cell>
          <cell r="BQ53">
            <v>1.1757916666666668</v>
          </cell>
          <cell r="BR53">
            <v>1.1953625000000001</v>
          </cell>
          <cell r="BS53">
            <v>1.1989916666666669</v>
          </cell>
          <cell r="BT53">
            <v>1.2240541666666667</v>
          </cell>
          <cell r="BU53">
            <v>1.2324666666666668</v>
          </cell>
          <cell r="BV53">
            <v>1.2345708333333334</v>
          </cell>
          <cell r="BW53">
            <v>1.2533166666666669</v>
          </cell>
          <cell r="BX53">
            <v>1.259166666666667</v>
          </cell>
          <cell r="BY53">
            <v>1.2556</v>
          </cell>
          <cell r="BZ53">
            <v>1.2657833333333335</v>
          </cell>
          <cell r="CA53">
            <v>1.2750541666666668</v>
          </cell>
          <cell r="CB53">
            <v>1.2889166666666667</v>
          </cell>
          <cell r="CC53">
            <v>1.3055541666666668</v>
          </cell>
          <cell r="CD53">
            <v>1.3001875000000001</v>
          </cell>
          <cell r="CE53">
            <v>1.3043833333333335</v>
          </cell>
          <cell r="CF53">
            <v>1.2908641666666665</v>
          </cell>
          <cell r="CG53">
            <v>1.2827404166666667</v>
          </cell>
          <cell r="CH53">
            <v>1.28786125</v>
          </cell>
          <cell r="CI53">
            <v>1.2754691666666669</v>
          </cell>
          <cell r="CJ53">
            <v>1.2661145833333334</v>
          </cell>
          <cell r="CK53">
            <v>1.2453695833333334</v>
          </cell>
          <cell r="CL53">
            <v>1.20914375</v>
          </cell>
          <cell r="CM53">
            <v>1.1723391666666669</v>
          </cell>
          <cell r="CN53">
            <v>1.1297287500000002</v>
          </cell>
          <cell r="CO53">
            <v>1.1009654166666667</v>
          </cell>
          <cell r="CP53">
            <v>1.0951720833333336</v>
          </cell>
          <cell r="CQ53">
            <v>1.0881329166666667</v>
          </cell>
          <cell r="CR53">
            <v>1.0802837499999998</v>
          </cell>
          <cell r="CS53">
            <v>1.0804058333333335</v>
          </cell>
          <cell r="CT53">
            <v>1.0800545833333335</v>
          </cell>
          <cell r="CU53">
            <v>1.0765104166666668</v>
          </cell>
          <cell r="CV53">
            <v>1.0902025000000002</v>
          </cell>
          <cell r="CW53">
            <v>1.0860895833333333</v>
          </cell>
          <cell r="CX53">
            <v>1.0707270833333336</v>
          </cell>
          <cell r="CY53">
            <v>1.0646633333333335</v>
          </cell>
          <cell r="CZ53">
            <v>1.0569075000000001</v>
          </cell>
          <cell r="DA53">
            <v>1.05565625</v>
          </cell>
          <cell r="DB53">
            <v>1.0654133333333333</v>
          </cell>
          <cell r="DC53">
            <v>1.0803712499999998</v>
          </cell>
          <cell r="DD53">
            <v>1.0837333333333332</v>
          </cell>
          <cell r="DE53">
            <v>1.0884120833333333</v>
          </cell>
          <cell r="DF53">
            <v>1.0890720833333334</v>
          </cell>
          <cell r="DG53">
            <v>1.0784154166666666</v>
          </cell>
          <cell r="DH53">
            <v>1.0704233333333333</v>
          </cell>
          <cell r="DI53">
            <v>1.0635629166666667</v>
          </cell>
          <cell r="DJ53">
            <v>1.0570508333333335</v>
          </cell>
          <cell r="DK53">
            <v>1.0548062499999999</v>
          </cell>
          <cell r="DL53">
            <v>1.0522383333333332</v>
          </cell>
          <cell r="DM53">
            <v>1.0559691666666666</v>
          </cell>
          <cell r="DN53">
            <v>1.0614925000000002</v>
          </cell>
          <cell r="DO53">
            <v>1.062265</v>
          </cell>
          <cell r="DP53">
            <v>1.0713712499999999</v>
          </cell>
          <cell r="DQ53">
            <v>1.0720654166666668</v>
          </cell>
          <cell r="DR53">
            <v>1.0624404166666666</v>
          </cell>
          <cell r="DS53">
            <v>1.0603991666666666</v>
          </cell>
          <cell r="DT53">
            <v>1.0613012499999999</v>
          </cell>
          <cell r="DU53">
            <v>1.0685716666666665</v>
          </cell>
          <cell r="DV53">
            <v>1.0892116666666665</v>
          </cell>
          <cell r="DW53">
            <v>1.0974829166666666</v>
          </cell>
          <cell r="DX53">
            <v>1.09967375</v>
          </cell>
          <cell r="DY53">
            <v>1.0939979166666665</v>
          </cell>
          <cell r="DZ53">
            <v>1.0819379166666667</v>
          </cell>
          <cell r="EA53">
            <v>1.0804970833333336</v>
          </cell>
          <cell r="EB53">
            <v>1.0792416666666667</v>
          </cell>
          <cell r="EC53">
            <v>1.082819405978678</v>
          </cell>
          <cell r="ED53">
            <v>1.0851885726453443</v>
          </cell>
          <cell r="EE53">
            <v>1.0910935726453443</v>
          </cell>
          <cell r="EF53">
            <v>1.0973823226453445</v>
          </cell>
          <cell r="EG53">
            <v>1.0939908333333332</v>
          </cell>
          <cell r="EH53">
            <v>1.0998929166666667</v>
          </cell>
          <cell r="EI53">
            <v>1.1112466666666665</v>
          </cell>
          <cell r="EJ53">
            <v>1.1150249999999999</v>
          </cell>
          <cell r="EK53">
            <v>1.1150412698412699</v>
          </cell>
          <cell r="EL53">
            <v>1.1044846582710219</v>
          </cell>
          <cell r="EM53">
            <v>1.0948070720641254</v>
          </cell>
          <cell r="EN53">
            <v>1.1057899780470313</v>
          </cell>
          <cell r="EO53">
            <v>1.1177283692227105</v>
          </cell>
          <cell r="EP53">
            <v>1.1254980060030422</v>
          </cell>
          <cell r="EQ53">
            <v>1.128658925543272</v>
          </cell>
          <cell r="ER53">
            <v>1.1329457291039344</v>
          </cell>
          <cell r="ES53">
            <v>1.1383561507316133</v>
          </cell>
          <cell r="ET53">
            <v>1.1448877757272906</v>
          </cell>
          <cell r="EU53">
            <v>1.1525380489513344</v>
          </cell>
          <cell r="EV53">
            <v>1.1598129099101973</v>
          </cell>
          <cell r="EW53">
            <v>1.1666933400860824</v>
          </cell>
          <cell r="EX53">
            <v>1.1731612889294496</v>
          </cell>
          <cell r="EY53">
            <v>1.1791996259457405</v>
          </cell>
          <cell r="EZ53">
            <v>1.1851046678464103</v>
          </cell>
          <cell r="FA53">
            <v>1.190880780792769</v>
          </cell>
          <cell r="FB53">
            <v>1.1965321422899229</v>
          </cell>
          <cell r="FC53">
            <v>1.2020627512688082</v>
          </cell>
          <cell r="FD53">
            <v>1.2061656914182599</v>
          </cell>
          <cell r="FE53">
            <v>1.2088716182039416</v>
          </cell>
          <cell r="FF53">
            <v>1.2102102102102119</v>
          </cell>
          <cell r="FG53">
            <v>1.2102102102102119</v>
          </cell>
          <cell r="FH53">
            <v>1.2102102102102119</v>
          </cell>
          <cell r="FI53">
            <v>1.2102102102102119</v>
          </cell>
          <cell r="FJ53">
            <v>1.2102102102102119</v>
          </cell>
          <cell r="FK53">
            <v>1.2102102102102119</v>
          </cell>
          <cell r="FL53">
            <v>1.2102102102102119</v>
          </cell>
          <cell r="FM53">
            <v>1.2102102102102119</v>
          </cell>
          <cell r="FN53">
            <v>1.2102102102102119</v>
          </cell>
          <cell r="FO53">
            <v>1.2102102102102119</v>
          </cell>
          <cell r="FP53">
            <v>1.2102102102102119</v>
          </cell>
          <cell r="FQ53">
            <v>1.2102102102102119</v>
          </cell>
          <cell r="FR53">
            <v>1.2102102102102119</v>
          </cell>
          <cell r="FS53">
            <v>1.2102102102102119</v>
          </cell>
          <cell r="FT53">
            <v>1.2102102102102119</v>
          </cell>
          <cell r="FU53">
            <v>1.2102102102102119</v>
          </cell>
        </row>
        <row r="54">
          <cell r="A54" t="str">
            <v>avaudeur12m</v>
          </cell>
          <cell r="B54" t="str">
            <v>AUD/EUR</v>
          </cell>
          <cell r="AA54">
            <v>0.65419166666666662</v>
          </cell>
          <cell r="AB54">
            <v>0.64689166666666675</v>
          </cell>
          <cell r="AC54">
            <v>0.62293333333333345</v>
          </cell>
          <cell r="AD54">
            <v>0.58482500000000004</v>
          </cell>
          <cell r="AE54">
            <v>0.56580833333333336</v>
          </cell>
          <cell r="AF54">
            <v>0.54994166666666666</v>
          </cell>
          <cell r="AG54">
            <v>0.5631166666666666</v>
          </cell>
          <cell r="AH54">
            <v>0.58474999999999999</v>
          </cell>
          <cell r="AI54">
            <v>0.60893333333333344</v>
          </cell>
          <cell r="AJ54">
            <v>0.6279583333333334</v>
          </cell>
          <cell r="AK54">
            <v>0.62676666666666681</v>
          </cell>
          <cell r="AL54">
            <v>0.63219999999999998</v>
          </cell>
          <cell r="AM54">
            <v>0.62590833333333329</v>
          </cell>
          <cell r="AN54">
            <v>0.60749166666666665</v>
          </cell>
          <cell r="AO54">
            <v>0.59926666666666661</v>
          </cell>
          <cell r="AP54">
            <v>0.5836083333333334</v>
          </cell>
          <cell r="AQ54">
            <v>0.57542499999999996</v>
          </cell>
          <cell r="AR54">
            <v>0.58278333333333332</v>
          </cell>
          <cell r="AS54">
            <v>0.58238333333333336</v>
          </cell>
          <cell r="AT54">
            <v>0.57933333333333337</v>
          </cell>
          <cell r="AU54">
            <v>0.57479999999999998</v>
          </cell>
          <cell r="AV54">
            <v>0.56333333333333335</v>
          </cell>
          <cell r="AW54">
            <v>0.55722499999999997</v>
          </cell>
          <cell r="AX54">
            <v>0.56434166666666663</v>
          </cell>
          <cell r="AY54">
            <v>0.577125</v>
          </cell>
          <cell r="AZ54">
            <v>0.59313333333333329</v>
          </cell>
          <cell r="BA54">
            <v>0.59820833333333334</v>
          </cell>
          <cell r="BB54">
            <v>0.59796666666666665</v>
          </cell>
          <cell r="BC54">
            <v>0.59232374962777767</v>
          </cell>
          <cell r="BD54">
            <v>0.58697385023138182</v>
          </cell>
          <cell r="BE54">
            <v>0.59442022123920013</v>
          </cell>
          <cell r="BF54">
            <v>0.60453697524440686</v>
          </cell>
          <cell r="BG54">
            <v>0.61500905894996249</v>
          </cell>
          <cell r="BH54">
            <v>0.61900062501302511</v>
          </cell>
          <cell r="BI54">
            <v>0.6122209206718735</v>
          </cell>
          <cell r="BJ54">
            <v>0.60514999999999997</v>
          </cell>
          <cell r="BK54">
            <v>0.59929583333333336</v>
          </cell>
          <cell r="BL54">
            <v>0.59589583333333318</v>
          </cell>
          <cell r="BM54">
            <v>0.6026541666666666</v>
          </cell>
          <cell r="BN54">
            <v>0.60770000000000002</v>
          </cell>
          <cell r="BO54">
            <v>0.61179166666666662</v>
          </cell>
          <cell r="BP54">
            <v>0.61161250000000011</v>
          </cell>
          <cell r="BQ54">
            <v>0.60965416666666672</v>
          </cell>
          <cell r="BR54">
            <v>0.60168750000000004</v>
          </cell>
          <cell r="BS54">
            <v>0.57613750000000008</v>
          </cell>
          <cell r="BT54">
            <v>0.55343333333333344</v>
          </cell>
          <cell r="BU54">
            <v>0.54196666666666671</v>
          </cell>
          <cell r="BV54">
            <v>0.54430833333333328</v>
          </cell>
          <cell r="BW54">
            <v>0.56979999999999997</v>
          </cell>
          <cell r="BX54">
            <v>0.60743333333333338</v>
          </cell>
          <cell r="BY54">
            <v>0.63908333333333334</v>
          </cell>
          <cell r="BZ54">
            <v>0.66636666666666666</v>
          </cell>
          <cell r="CA54">
            <v>0.69645833333333329</v>
          </cell>
          <cell r="CB54">
            <v>0.71491666666666676</v>
          </cell>
          <cell r="CC54">
            <v>0.72755833333333342</v>
          </cell>
          <cell r="CD54">
            <v>0.73803333333333343</v>
          </cell>
          <cell r="CE54">
            <v>0.74682083333333349</v>
          </cell>
          <cell r="CF54">
            <v>0.76329583333333328</v>
          </cell>
          <cell r="CG54">
            <v>0.77692083333333317</v>
          </cell>
          <cell r="CH54">
            <v>0.79783333333333351</v>
          </cell>
          <cell r="CI54">
            <v>0.80427916666666677</v>
          </cell>
          <cell r="CJ54">
            <v>0.8017333333333333</v>
          </cell>
          <cell r="CK54">
            <v>0.78856250000000017</v>
          </cell>
          <cell r="CL54">
            <v>0.75160833333333354</v>
          </cell>
          <cell r="CM54">
            <v>0.72022916666666681</v>
          </cell>
          <cell r="CN54">
            <v>0.68737916666666676</v>
          </cell>
          <cell r="CO54">
            <v>0.67194166666666666</v>
          </cell>
          <cell r="CP54">
            <v>0.67689583333333347</v>
          </cell>
          <cell r="CQ54">
            <v>0.68070416666666678</v>
          </cell>
          <cell r="CR54">
            <v>0.6912166666666667</v>
          </cell>
          <cell r="CS54">
            <v>0.69543750000000004</v>
          </cell>
          <cell r="CT54">
            <v>0.68119583333333322</v>
          </cell>
          <cell r="CU54">
            <v>0.67649166666666671</v>
          </cell>
          <cell r="CV54">
            <v>0.66725000000000001</v>
          </cell>
          <cell r="CW54">
            <v>0.65837916666666663</v>
          </cell>
          <cell r="CX54">
            <v>0.66739166666666661</v>
          </cell>
          <cell r="CY54">
            <v>0.67328333333333334</v>
          </cell>
          <cell r="CZ54">
            <v>0.68651250000000008</v>
          </cell>
          <cell r="DA54">
            <v>0.68947499999999995</v>
          </cell>
          <cell r="DB54">
            <v>0.6870666666666666</v>
          </cell>
          <cell r="DC54">
            <v>0.6760666666666667</v>
          </cell>
          <cell r="DD54">
            <v>0.65658749999999999</v>
          </cell>
          <cell r="DE54">
            <v>0.64685416666666662</v>
          </cell>
          <cell r="DF54">
            <v>0.63607916666666664</v>
          </cell>
          <cell r="DG54">
            <v>0.63136249999999994</v>
          </cell>
          <cell r="DH54">
            <v>0.62998750000000003</v>
          </cell>
          <cell r="DI54">
            <v>0.62689166666666651</v>
          </cell>
          <cell r="DJ54">
            <v>0.62466666666666659</v>
          </cell>
          <cell r="DK54">
            <v>0.6222833333333333</v>
          </cell>
          <cell r="DL54">
            <v>0.61034750000000004</v>
          </cell>
          <cell r="DM54">
            <v>0.60555958333333326</v>
          </cell>
          <cell r="DN54">
            <v>0.6043466666666667</v>
          </cell>
          <cell r="DO54">
            <v>0.6036320833333334</v>
          </cell>
          <cell r="DP54">
            <v>0.61749287333333336</v>
          </cell>
          <cell r="DQ54">
            <v>0.62555995666666664</v>
          </cell>
          <cell r="DR54">
            <v>0.62780620666666653</v>
          </cell>
          <cell r="DS54">
            <v>0.63357161166666665</v>
          </cell>
          <cell r="DT54">
            <v>0.63670498833333333</v>
          </cell>
          <cell r="DU54">
            <v>0.64424165499999997</v>
          </cell>
          <cell r="DV54">
            <v>0.65714915500000004</v>
          </cell>
          <cell r="DW54">
            <v>0.65864333333333336</v>
          </cell>
          <cell r="DX54">
            <v>0.65440999999999994</v>
          </cell>
          <cell r="DY54">
            <v>0.63960249999999996</v>
          </cell>
          <cell r="DZ54">
            <v>0.6229087499999999</v>
          </cell>
          <cell r="EA54">
            <v>0.61346534500000005</v>
          </cell>
          <cell r="EB54">
            <v>0.60595201166666668</v>
          </cell>
          <cell r="EC54">
            <v>0.60791247021983341</v>
          </cell>
          <cell r="ED54">
            <v>0.6095987202198333</v>
          </cell>
          <cell r="EE54">
            <v>0.60924581251647014</v>
          </cell>
          <cell r="EF54">
            <v>0.60623461679094448</v>
          </cell>
          <cell r="EG54">
            <v>0.59348558074546809</v>
          </cell>
          <cell r="EH54">
            <v>0.58084442354621091</v>
          </cell>
          <cell r="EI54">
            <v>0.5709838701595874</v>
          </cell>
          <cell r="EJ54">
            <v>0.56026956931011074</v>
          </cell>
          <cell r="EK54">
            <v>0.55669911135152417</v>
          </cell>
          <cell r="EL54">
            <v>0.54879450377085626</v>
          </cell>
          <cell r="EM54">
            <v>0.53675510204081633</v>
          </cell>
          <cell r="EN54">
            <v>0.53049999999999997</v>
          </cell>
          <cell r="EO54">
            <v>0.52749999999999997</v>
          </cell>
          <cell r="EP54">
            <v>0.52899999999999991</v>
          </cell>
          <cell r="EQ54">
            <v>0.53499999999999992</v>
          </cell>
          <cell r="ER54">
            <v>0.54099999999999981</v>
          </cell>
          <cell r="ES54">
            <v>0.54699999999999993</v>
          </cell>
          <cell r="ET54">
            <v>0.55299999999999983</v>
          </cell>
          <cell r="EU54">
            <v>0.55899999999999983</v>
          </cell>
          <cell r="EV54">
            <v>0.56647991967871469</v>
          </cell>
          <cell r="EW54">
            <v>0.5754637906464567</v>
          </cell>
          <cell r="EX54">
            <v>0.58597593639544465</v>
          </cell>
          <cell r="EY54">
            <v>0.59804097704585135</v>
          </cell>
          <cell r="EZ54">
            <v>0.61020391450999367</v>
          </cell>
          <cell r="FA54">
            <v>0.62246594518159604</v>
          </cell>
          <cell r="FB54">
            <v>0.6348282850293161</v>
          </cell>
          <cell r="FC54">
            <v>0.64729216999874439</v>
          </cell>
          <cell r="FD54">
            <v>0.65667823847572193</v>
          </cell>
          <cell r="FE54">
            <v>0.66296126245621245</v>
          </cell>
          <cell r="FF54">
            <v>0.66611570247933938</v>
          </cell>
          <cell r="FG54">
            <v>0.66611570247933938</v>
          </cell>
          <cell r="FH54">
            <v>0.66611570247933938</v>
          </cell>
          <cell r="FI54">
            <v>0.66611570247933938</v>
          </cell>
          <cell r="FJ54">
            <v>0.66611570247933938</v>
          </cell>
          <cell r="FK54">
            <v>0.66611570247933938</v>
          </cell>
          <cell r="FL54">
            <v>0.66611570247933938</v>
          </cell>
          <cell r="FM54">
            <v>0.66611570247933938</v>
          </cell>
          <cell r="FN54">
            <v>0.66611570247933938</v>
          </cell>
          <cell r="FO54">
            <v>0.66611570247933938</v>
          </cell>
          <cell r="FP54">
            <v>0.66611570247933938</v>
          </cell>
          <cell r="FQ54">
            <v>0.66611570247933938</v>
          </cell>
          <cell r="FR54">
            <v>0.66611570247933938</v>
          </cell>
          <cell r="FS54">
            <v>0.66611570247933938</v>
          </cell>
          <cell r="FT54">
            <v>0.66611570247933938</v>
          </cell>
          <cell r="FU54">
            <v>0.66611570247933938</v>
          </cell>
        </row>
        <row r="55">
          <cell r="A55" t="str">
            <v>avaudkrw12m</v>
          </cell>
          <cell r="B55" t="str">
            <v>AUD/KRW</v>
          </cell>
          <cell r="BK55">
            <v>721.40902041666675</v>
          </cell>
          <cell r="BL55">
            <v>728.62746333333337</v>
          </cell>
          <cell r="BM55">
            <v>744.3722012500001</v>
          </cell>
          <cell r="BN55">
            <v>760.23396833333334</v>
          </cell>
          <cell r="BO55">
            <v>783.41482041666666</v>
          </cell>
          <cell r="BP55">
            <v>815.76171625000006</v>
          </cell>
          <cell r="BQ55">
            <v>866.27851583333324</v>
          </cell>
          <cell r="BR55">
            <v>906.20195708333347</v>
          </cell>
          <cell r="BS55">
            <v>924.8731825000001</v>
          </cell>
          <cell r="BT55">
            <v>940.13250000000005</v>
          </cell>
          <cell r="BU55">
            <v>942.74666666666656</v>
          </cell>
          <cell r="BV55">
            <v>964.93833333333339</v>
          </cell>
          <cell r="BW55">
            <v>1004.6908333333334</v>
          </cell>
          <cell r="BX55">
            <v>1029.6783333333335</v>
          </cell>
          <cell r="BY55">
            <v>1038.5466666666669</v>
          </cell>
          <cell r="BZ55">
            <v>1049.5875000000003</v>
          </cell>
          <cell r="CA55">
            <v>1064.8758333333333</v>
          </cell>
          <cell r="CB55">
            <v>1089.03</v>
          </cell>
          <cell r="CC55">
            <v>1122.0925</v>
          </cell>
          <cell r="CD55">
            <v>1138.5983333333331</v>
          </cell>
          <cell r="CE55">
            <v>1151.0925</v>
          </cell>
          <cell r="CF55">
            <v>1165.6266666666668</v>
          </cell>
          <cell r="CG55">
            <v>1168.7524999999998</v>
          </cell>
          <cell r="CH55">
            <v>1174.8174999999999</v>
          </cell>
          <cell r="CI55">
            <v>1162.8833333333332</v>
          </cell>
          <cell r="CJ55">
            <v>1148.95</v>
          </cell>
          <cell r="CK55">
            <v>1129.4091666666666</v>
          </cell>
          <cell r="CL55">
            <v>1086.5841666666668</v>
          </cell>
          <cell r="CM55">
            <v>1048.5533333333335</v>
          </cell>
          <cell r="CN55">
            <v>1005.2791666666667</v>
          </cell>
          <cell r="CO55">
            <v>971.47249999999985</v>
          </cell>
          <cell r="CP55">
            <v>957.32750000000021</v>
          </cell>
          <cell r="CQ55">
            <v>946.46500000000003</v>
          </cell>
          <cell r="CR55">
            <v>919.55499999999995</v>
          </cell>
          <cell r="CS55">
            <v>894.42</v>
          </cell>
          <cell r="CT55">
            <v>868.69333333333327</v>
          </cell>
          <cell r="CU55">
            <v>846.28833333333341</v>
          </cell>
          <cell r="CV55">
            <v>850.65250000000003</v>
          </cell>
          <cell r="CW55">
            <v>852.95583333333343</v>
          </cell>
          <cell r="CX55">
            <v>853.41416666666657</v>
          </cell>
          <cell r="CY55">
            <v>861.71249999999998</v>
          </cell>
          <cell r="CZ55">
            <v>860.17750000000012</v>
          </cell>
          <cell r="DA55">
            <v>857.87833333333344</v>
          </cell>
          <cell r="DB55">
            <v>871.07499999999993</v>
          </cell>
          <cell r="DC55">
            <v>862.76083333333338</v>
          </cell>
          <cell r="DD55">
            <v>856.21666666666658</v>
          </cell>
          <cell r="DE55">
            <v>846.56916666666666</v>
          </cell>
          <cell r="DF55">
            <v>825.26583333333349</v>
          </cell>
          <cell r="DG55">
            <v>816.96583333333331</v>
          </cell>
          <cell r="DH55">
            <v>808.32000000000016</v>
          </cell>
          <cell r="DI55">
            <v>809.04916666666668</v>
          </cell>
          <cell r="DJ55">
            <v>809.66833333333341</v>
          </cell>
          <cell r="DK55">
            <v>809.94250000000011</v>
          </cell>
          <cell r="DL55">
            <v>802.84666666666669</v>
          </cell>
          <cell r="DM55">
            <v>801.50500000000011</v>
          </cell>
          <cell r="DN55">
            <v>812.14166666666677</v>
          </cell>
          <cell r="DO55">
            <v>815.07833333333338</v>
          </cell>
          <cell r="DP55">
            <v>835.94960000000003</v>
          </cell>
          <cell r="DQ55">
            <v>846.54053333333343</v>
          </cell>
          <cell r="DR55">
            <v>845.39191666666659</v>
          </cell>
          <cell r="DS55">
            <v>857.1664833333333</v>
          </cell>
          <cell r="DT55">
            <v>861.69095833333324</v>
          </cell>
          <cell r="DU55">
            <v>870.56981666666661</v>
          </cell>
          <cell r="DV55">
            <v>887.36942499999986</v>
          </cell>
          <cell r="DW55">
            <v>893.01042500000005</v>
          </cell>
          <cell r="DX55">
            <v>893.12119999999993</v>
          </cell>
          <cell r="DY55">
            <v>888.77341666666678</v>
          </cell>
          <cell r="DZ55">
            <v>875.10932500000001</v>
          </cell>
          <cell r="EA55">
            <v>870.1567500000001</v>
          </cell>
          <cell r="EB55">
            <v>869.09426666666661</v>
          </cell>
          <cell r="EC55">
            <v>878.87656287436539</v>
          </cell>
          <cell r="ED55">
            <v>889.25041287436545</v>
          </cell>
          <cell r="EE55">
            <v>900.00800454103228</v>
          </cell>
          <cell r="EF55">
            <v>908.7106378743656</v>
          </cell>
          <cell r="EG55">
            <v>904.80883333333338</v>
          </cell>
          <cell r="EH55">
            <v>906.41075349999994</v>
          </cell>
          <cell r="EI55">
            <v>917.33358683333336</v>
          </cell>
          <cell r="EJ55">
            <v>918.81750000000011</v>
          </cell>
          <cell r="EK55">
            <v>918.98100000000011</v>
          </cell>
          <cell r="EL55">
            <v>902.93025000000011</v>
          </cell>
          <cell r="EM55">
            <v>872.04375000000005</v>
          </cell>
          <cell r="EN55">
            <v>859.671875</v>
          </cell>
          <cell r="EO55">
            <v>849.7718749999998</v>
          </cell>
          <cell r="EP55">
            <v>848.00624999999957</v>
          </cell>
          <cell r="EQ55">
            <v>854.28124999999955</v>
          </cell>
          <cell r="ER55">
            <v>860.48124999999948</v>
          </cell>
          <cell r="ES55">
            <v>866.60624999999948</v>
          </cell>
          <cell r="ET55">
            <v>872.65624999999955</v>
          </cell>
          <cell r="EU55">
            <v>878.63124999999945</v>
          </cell>
          <cell r="EV55">
            <v>885.58892499999956</v>
          </cell>
          <cell r="EW55">
            <v>893.50662499999976</v>
          </cell>
          <cell r="EX55">
            <v>902.36170000000016</v>
          </cell>
          <cell r="EY55">
            <v>912.1315000000003</v>
          </cell>
          <cell r="EZ55">
            <v>921.73570000000029</v>
          </cell>
          <cell r="FA55">
            <v>931.17430000000036</v>
          </cell>
          <cell r="FB55">
            <v>940.44730000000072</v>
          </cell>
          <cell r="FC55">
            <v>949.55470000000071</v>
          </cell>
          <cell r="FD55">
            <v>956.32315000000085</v>
          </cell>
          <cell r="FE55">
            <v>960.79405000000099</v>
          </cell>
          <cell r="FF55">
            <v>963.00880000000097</v>
          </cell>
          <cell r="FG55">
            <v>963.00880000000097</v>
          </cell>
          <cell r="FH55">
            <v>963.00880000000097</v>
          </cell>
          <cell r="FI55">
            <v>963.00880000000097</v>
          </cell>
          <cell r="FJ55">
            <v>963.00880000000097</v>
          </cell>
          <cell r="FK55">
            <v>963.00880000000097</v>
          </cell>
          <cell r="FL55">
            <v>963.00880000000097</v>
          </cell>
          <cell r="FM55">
            <v>963.00880000000097</v>
          </cell>
          <cell r="FN55">
            <v>963.00880000000097</v>
          </cell>
          <cell r="FO55">
            <v>963.00880000000097</v>
          </cell>
          <cell r="FP55">
            <v>963.00880000000097</v>
          </cell>
          <cell r="FQ55">
            <v>963.00880000000097</v>
          </cell>
          <cell r="FR55">
            <v>963.00880000000097</v>
          </cell>
          <cell r="FS55">
            <v>963.00880000000097</v>
          </cell>
          <cell r="FT55">
            <v>963.00880000000097</v>
          </cell>
          <cell r="FU55">
            <v>963.00880000000097</v>
          </cell>
        </row>
        <row r="57">
          <cell r="B57" t="str">
            <v>Market performance (3mo)</v>
          </cell>
        </row>
        <row r="58">
          <cell r="A58" t="str">
            <v>3MoASX200AIg</v>
          </cell>
          <cell r="B58" t="str">
            <v>ASX-200 Accumulation Index return</v>
          </cell>
          <cell r="F58">
            <v>-0.10137305841186262</v>
          </cell>
          <cell r="G58">
            <v>6.7358662198597319E-2</v>
          </cell>
          <cell r="H58">
            <v>7.8164379138083939E-2</v>
          </cell>
          <cell r="I58">
            <v>4.7472266912245153E-2</v>
          </cell>
          <cell r="J58">
            <v>0.11349478544594561</v>
          </cell>
          <cell r="K58">
            <v>0.11369381742804328</v>
          </cell>
          <cell r="L58">
            <v>-5.6472592884779245E-2</v>
          </cell>
          <cell r="M58">
            <v>-1.4877994991172816E-2</v>
          </cell>
          <cell r="N58">
            <v>2.6236357426732582E-2</v>
          </cell>
          <cell r="O58">
            <v>-4.3453302632797557E-2</v>
          </cell>
          <cell r="P58">
            <v>1.4561625313571414E-2</v>
          </cell>
          <cell r="Q58">
            <v>7.387623764562723E-2</v>
          </cell>
          <cell r="R58">
            <v>6.3882412022607582E-2</v>
          </cell>
          <cell r="S58">
            <v>4.4805634518949367E-2</v>
          </cell>
          <cell r="T58">
            <v>1.3026839583972771E-2</v>
          </cell>
          <cell r="U58">
            <v>1.519670334829093E-2</v>
          </cell>
          <cell r="V58">
            <v>3.0130536363572435E-2</v>
          </cell>
          <cell r="W58">
            <v>7.9411805924158418E-2</v>
          </cell>
          <cell r="X58">
            <v>5.8948979533048895E-3</v>
          </cell>
          <cell r="Y58">
            <v>0.14079514002176219</v>
          </cell>
          <cell r="Z58">
            <v>2.2776827508393049E-2</v>
          </cell>
          <cell r="AA58">
            <v>-3.9990661452154463E-2</v>
          </cell>
          <cell r="AB58">
            <v>5.5343417613101353E-2</v>
          </cell>
          <cell r="AC58">
            <v>-1.5424489002431985E-2</v>
          </cell>
          <cell r="AD58">
            <v>-3.2283001104202236E-2</v>
          </cell>
          <cell r="AE58">
            <v>9.1977945243786774E-2</v>
          </cell>
          <cell r="AF58">
            <v>6.4120490448528855E-2</v>
          </cell>
          <cell r="AG58">
            <v>2.1001635312234868E-2</v>
          </cell>
          <cell r="AH58">
            <v>-2.1254773198823962E-2</v>
          </cell>
          <cell r="AI58">
            <v>0.11666426186975443</v>
          </cell>
          <cell r="AJ58">
            <v>1.4293053710177972E-2</v>
          </cell>
          <cell r="AK58">
            <v>6.3849919557752211E-2</v>
          </cell>
          <cell r="AL58">
            <v>5.5221269516252391E-3</v>
          </cell>
          <cell r="AM58">
            <v>-1.9739995033059121E-2</v>
          </cell>
          <cell r="AN58">
            <v>-9.1598732586745113E-3</v>
          </cell>
          <cell r="AO58">
            <v>0.11673982834305185</v>
          </cell>
          <cell r="AP58">
            <v>-0.11835865483901242</v>
          </cell>
          <cell r="AQ58">
            <v>0.13124021104807992</v>
          </cell>
          <cell r="AR58">
            <v>6.9354809980346488E-3</v>
          </cell>
          <cell r="AS58">
            <v>-5.0953714035343885E-2</v>
          </cell>
          <cell r="AT58">
            <v>-6.5680536101894504E-2</v>
          </cell>
          <cell r="AU58">
            <v>2.1715251664748303E-2</v>
          </cell>
          <cell r="AV58">
            <v>-2.7889513657180953E-2</v>
          </cell>
          <cell r="AW58">
            <v>5.9123793565416083E-2</v>
          </cell>
          <cell r="AX58">
            <v>5.93968436948209E-2</v>
          </cell>
          <cell r="AY58">
            <v>5.0777061106247023E-2</v>
          </cell>
          <cell r="AZ58">
            <v>4.6709636228290385E-2</v>
          </cell>
          <cell r="BA58">
            <v>4.3675476813211045E-2</v>
          </cell>
          <cell r="BB58">
            <v>5.1558191539877285E-2</v>
          </cell>
          <cell r="BC58">
            <v>0.11419978379683027</v>
          </cell>
          <cell r="BD58">
            <v>2.7387801707146275E-2</v>
          </cell>
          <cell r="BE58">
            <v>4.9686590334564462E-2</v>
          </cell>
          <cell r="BF58">
            <v>9.979742730765008E-2</v>
          </cell>
          <cell r="BG58">
            <v>3.5607377124214024E-2</v>
          </cell>
          <cell r="BH58">
            <v>9.0307696712247587E-2</v>
          </cell>
          <cell r="BI58">
            <v>-2.0183757433597238E-3</v>
          </cell>
          <cell r="BJ58">
            <v>2.9045734588334149E-2</v>
          </cell>
          <cell r="BK58">
            <v>0.10940691995857099</v>
          </cell>
          <cell r="BL58">
            <v>6.8915920057318392E-2</v>
          </cell>
          <cell r="BM58">
            <v>5.4322477512655398E-2</v>
          </cell>
          <cell r="BN58">
            <v>5.8922942280971169E-2</v>
          </cell>
          <cell r="BO58">
            <v>-2.734866637067157E-2</v>
          </cell>
          <cell r="BP58">
            <v>-0.1439344710670144</v>
          </cell>
          <cell r="BQ58">
            <v>-1.7876275704718725E-2</v>
          </cell>
          <cell r="BR58">
            <v>-0.10439957645872611</v>
          </cell>
          <cell r="BS58">
            <v>-0.18252180321548406</v>
          </cell>
          <cell r="BT58">
            <v>-1.9806603483353391E-2</v>
          </cell>
          <cell r="BU58">
            <v>0.11285713374862126</v>
          </cell>
          <cell r="BV58">
            <v>0.21500966580907299</v>
          </cell>
          <cell r="BW58">
            <v>3.3935187999267757E-2</v>
          </cell>
          <cell r="BX58">
            <v>1.3614285091707812E-2</v>
          </cell>
          <cell r="BY58">
            <v>-0.11142929562643988</v>
          </cell>
          <cell r="BZ58">
            <v>8.0365919208558415E-2</v>
          </cell>
          <cell r="CA58">
            <v>4.3802974683393892E-2</v>
          </cell>
          <cell r="CB58">
            <v>3.2258360904893202E-2</v>
          </cell>
          <cell r="CC58">
            <v>-4.0170773863490217E-2</v>
          </cell>
          <cell r="CD58">
            <v>-0.11582426962763082</v>
          </cell>
          <cell r="CE58">
            <v>2.1154746061187391E-2</v>
          </cell>
          <cell r="CF58">
            <v>8.3979409168563071E-2</v>
          </cell>
          <cell r="CG58">
            <v>-4.6838848940895739E-2</v>
          </cell>
          <cell r="CH58">
            <v>8.8361734001106029E-2</v>
          </cell>
          <cell r="CI58">
            <v>6.9430165067436933E-2</v>
          </cell>
          <cell r="CJ58">
            <v>8.1498090896543682E-2</v>
          </cell>
          <cell r="CK58">
            <v>-2.4841468188896876E-2</v>
          </cell>
          <cell r="CL58">
            <v>0.10199866616133857</v>
          </cell>
          <cell r="CM58">
            <v>3.4228776855606657E-2</v>
          </cell>
          <cell r="CN58">
            <v>2.0896893734981603E-2</v>
          </cell>
          <cell r="CO58">
            <v>9.2913475980813676E-3</v>
          </cell>
          <cell r="CP58">
            <v>-5.9702885351921031E-3</v>
          </cell>
          <cell r="CQ58">
            <v>3.1117543426175009E-2</v>
          </cell>
          <cell r="CR58">
            <v>0.10325723358210759</v>
          </cell>
          <cell r="CS58">
            <v>-6.5461636442562976E-2</v>
          </cell>
          <cell r="CT58">
            <v>-6.5786536505705762E-2</v>
          </cell>
          <cell r="CU58">
            <v>6.4783875477170572E-2</v>
          </cell>
          <cell r="CV58">
            <v>-2.7465038179009249E-2</v>
          </cell>
          <cell r="CW58">
            <v>3.9427310175444097E-2</v>
          </cell>
          <cell r="CX58">
            <v>5.143262813171412E-2</v>
          </cell>
          <cell r="CY58">
            <v>5.1841399692300394E-2</v>
          </cell>
          <cell r="CZ58">
            <v>4.8158027452311014E-2</v>
          </cell>
          <cell r="DA58">
            <v>-1.5785679216924309E-2</v>
          </cell>
          <cell r="DB58">
            <v>6.8047844094052401E-3</v>
          </cell>
          <cell r="DC58">
            <v>7.6378102518869229E-2</v>
          </cell>
          <cell r="DD58">
            <v>-3.8612761843862531E-2</v>
          </cell>
          <cell r="DE58">
            <v>8.474258789032918E-2</v>
          </cell>
          <cell r="DF58">
            <v>1.5291930507370433E-2</v>
          </cell>
          <cell r="DG58">
            <v>-8.2358862854275627E-2</v>
          </cell>
          <cell r="DH58">
            <v>0.10886554016882609</v>
          </cell>
          <cell r="DI58">
            <v>7.9729968953993424E-2</v>
          </cell>
          <cell r="DJ58">
            <v>2.3654995358830533E-2</v>
          </cell>
          <cell r="DK58">
            <v>6.8166705670353878E-3</v>
          </cell>
          <cell r="DL58">
            <v>-0.2309836854284365</v>
          </cell>
          <cell r="DM58">
            <v>0.16480373951138105</v>
          </cell>
          <cell r="DN58">
            <v>-4.3886372269199558E-3</v>
          </cell>
          <cell r="DO58">
            <v>0.1370032915705679</v>
          </cell>
          <cell r="DP58">
            <v>4.2555441694224205E-2</v>
          </cell>
          <cell r="DQ58">
            <v>8.2869187804724978E-2</v>
          </cell>
          <cell r="DR58">
            <v>1.7113530549660805E-2</v>
          </cell>
          <cell r="DS58">
            <v>2.0938152974717683E-2</v>
          </cell>
          <cell r="DT58">
            <v>2.2426415464591454E-2</v>
          </cell>
          <cell r="DU58">
            <v>-0.11902911045192098</v>
          </cell>
          <cell r="DV58">
            <v>3.8649494454481292E-3</v>
          </cell>
          <cell r="DW58">
            <v>9.3999652919359189E-2</v>
          </cell>
          <cell r="DX58">
            <v>3.4627665716804756E-2</v>
          </cell>
          <cell r="DY58">
            <v>1.0141160481879075E-2</v>
          </cell>
          <cell r="DZ58">
            <v>-7.6606645989021338E-3</v>
          </cell>
          <cell r="EA58">
            <v>8.3957812482639227E-2</v>
          </cell>
          <cell r="EB58">
            <v>5.3278087768471538E-2</v>
          </cell>
          <cell r="EC58">
            <v>-1.0527194940382012E-2</v>
          </cell>
          <cell r="ED58">
            <v>7.7862652772300089E-2</v>
          </cell>
          <cell r="EE58">
            <v>-7.9546413602259447E-3</v>
          </cell>
          <cell r="EF58">
            <v>-2.8014442821112984E-2</v>
          </cell>
          <cell r="EG58">
            <v>9.5044100066280959E-2</v>
          </cell>
          <cell r="EH58">
            <v>4.7106268391733819E-2</v>
          </cell>
          <cell r="EI58">
            <v>-1.01434949200222E-2</v>
          </cell>
          <cell r="EJ58">
            <v>2.5000000000000001E-2</v>
          </cell>
          <cell r="EK58">
            <v>2.5000000000000001E-2</v>
          </cell>
          <cell r="EL58">
            <v>2.5000000000000001E-2</v>
          </cell>
          <cell r="EM58">
            <v>2.5000000000000001E-2</v>
          </cell>
          <cell r="EN58">
            <v>2.5000000000000001E-2</v>
          </cell>
          <cell r="EO58">
            <v>2.5000000000000001E-2</v>
          </cell>
          <cell r="EP58">
            <v>2.5000000000000001E-2</v>
          </cell>
          <cell r="EQ58">
            <v>2.5000000000000001E-2</v>
          </cell>
          <cell r="ER58">
            <v>2.5000000000000001E-2</v>
          </cell>
          <cell r="ES58">
            <v>2.5000000000000001E-2</v>
          </cell>
          <cell r="ET58">
            <v>2.5000000000000001E-2</v>
          </cell>
          <cell r="EU58">
            <v>2.5000000000000001E-2</v>
          </cell>
          <cell r="EV58">
            <v>2.5000000000000001E-2</v>
          </cell>
          <cell r="EW58">
            <v>2.5000000000000001E-2</v>
          </cell>
          <cell r="EX58">
            <v>2.5000000000000001E-2</v>
          </cell>
          <cell r="EY58">
            <v>2.5000000000000001E-2</v>
          </cell>
          <cell r="EZ58">
            <v>2.5000000000000001E-2</v>
          </cell>
          <cell r="FA58">
            <v>2.5000000000000001E-2</v>
          </cell>
          <cell r="FB58">
            <v>2.5000000000000001E-2</v>
          </cell>
          <cell r="FC58">
            <v>2.5000000000000001E-2</v>
          </cell>
          <cell r="FD58">
            <v>2.5000000000000001E-2</v>
          </cell>
          <cell r="FE58">
            <v>2.5000000000000001E-2</v>
          </cell>
          <cell r="FF58">
            <v>2.5000000000000001E-2</v>
          </cell>
          <cell r="FG58">
            <v>2.5000000000000001E-2</v>
          </cell>
          <cell r="FH58">
            <v>2.5000000000000001E-2</v>
          </cell>
          <cell r="FI58">
            <v>2.5000000000000001E-2</v>
          </cell>
          <cell r="FJ58">
            <v>2.5000000000000001E-2</v>
          </cell>
          <cell r="FK58">
            <v>2.5000000000000001E-2</v>
          </cell>
          <cell r="FL58">
            <v>2.5000000000000001E-2</v>
          </cell>
          <cell r="FM58">
            <v>2.5000000000000001E-2</v>
          </cell>
          <cell r="FN58">
            <v>2.5000000000000001E-2</v>
          </cell>
          <cell r="FO58">
            <v>2.5000000000000001E-2</v>
          </cell>
          <cell r="FP58">
            <v>2.5000000000000001E-2</v>
          </cell>
          <cell r="FQ58">
            <v>2.5000000000000001E-2</v>
          </cell>
          <cell r="FR58">
            <v>2.5000000000000001E-2</v>
          </cell>
          <cell r="FS58">
            <v>2.5000000000000001E-2</v>
          </cell>
          <cell r="FT58">
            <v>2.5000000000000001E-2</v>
          </cell>
          <cell r="FU58">
            <v>2.5000000000000001E-2</v>
          </cell>
        </row>
        <row r="59">
          <cell r="A59" t="str">
            <v>3MoFIg</v>
          </cell>
          <cell r="B59" t="str">
            <v>Fixed income return</v>
          </cell>
          <cell r="D59">
            <v>-4.7406211978894275E-3</v>
          </cell>
          <cell r="E59">
            <v>7.2024424076971405E-2</v>
          </cell>
          <cell r="F59">
            <v>1.0150784647381395E-2</v>
          </cell>
          <cell r="G59">
            <v>2.4461003942304327E-2</v>
          </cell>
          <cell r="H59">
            <v>6.4225683422020285E-2</v>
          </cell>
          <cell r="I59">
            <v>3.4517776573657288E-2</v>
          </cell>
          <cell r="J59">
            <v>3.311702822072049E-2</v>
          </cell>
          <cell r="K59">
            <v>2.2678787452877991E-2</v>
          </cell>
          <cell r="L59">
            <v>-3.0240263086853014E-2</v>
          </cell>
          <cell r="M59">
            <v>-3.5055219816372607E-2</v>
          </cell>
          <cell r="N59">
            <v>6.6614913348161942E-4</v>
          </cell>
          <cell r="O59">
            <v>1.7879701218713073E-2</v>
          </cell>
          <cell r="P59">
            <v>4.1547794382705172E-2</v>
          </cell>
          <cell r="Q59">
            <v>5.4594717533398729E-2</v>
          </cell>
          <cell r="R59">
            <v>4.2077676093316363E-2</v>
          </cell>
          <cell r="S59">
            <v>3.6235046407313565E-2</v>
          </cell>
          <cell r="T59">
            <v>-9.9164658634537384E-3</v>
          </cell>
          <cell r="U59">
            <v>2.3280946114117462E-2</v>
          </cell>
          <cell r="V59">
            <v>6.886218127276611E-2</v>
          </cell>
          <cell r="W59">
            <v>3.3521946344181819E-2</v>
          </cell>
          <cell r="X59">
            <v>-3.8133291954380866E-3</v>
          </cell>
          <cell r="Y59">
            <v>6.1464931443903303E-2</v>
          </cell>
          <cell r="Z59">
            <v>4.8594691170892546E-2</v>
          </cell>
          <cell r="AA59">
            <v>1.2154205166062138E-2</v>
          </cell>
          <cell r="AB59">
            <v>2.6830152678352093E-2</v>
          </cell>
          <cell r="AC59">
            <v>1.7444145431916525E-2</v>
          </cell>
          <cell r="AD59">
            <v>3.3770616552796673E-2</v>
          </cell>
          <cell r="AE59">
            <v>1.4232586125228819E-2</v>
          </cell>
          <cell r="AF59">
            <v>-2.556334983701003E-4</v>
          </cell>
          <cell r="AG59">
            <v>-1.4677196834687267E-2</v>
          </cell>
          <cell r="AH59">
            <v>1.4543515496255655E-2</v>
          </cell>
          <cell r="AI59">
            <v>-1.1594275749451488E-2</v>
          </cell>
          <cell r="AJ59">
            <v>3.0191702226207262E-2</v>
          </cell>
          <cell r="AK59">
            <v>2.7728861092428225E-2</v>
          </cell>
          <cell r="AL59">
            <v>1.1828163653605728E-2</v>
          </cell>
          <cell r="AM59">
            <v>4.5895998055759835E-2</v>
          </cell>
          <cell r="AN59">
            <v>2.8017849083382673E-2</v>
          </cell>
          <cell r="AO59">
            <v>-1.2742405933753975E-2</v>
          </cell>
          <cell r="AP59">
            <v>4.2552079763308104E-2</v>
          </cell>
          <cell r="AQ59">
            <v>-3.1059984274653951E-3</v>
          </cell>
          <cell r="AR59">
            <v>-2.7334803911367445E-3</v>
          </cell>
          <cell r="AS59">
            <v>2.4546247444821478E-2</v>
          </cell>
          <cell r="AT59">
            <v>3.8406870026462148E-2</v>
          </cell>
          <cell r="AU59">
            <v>2.5571457468116066E-2</v>
          </cell>
          <cell r="AV59">
            <v>9.3005174268261381E-3</v>
          </cell>
          <cell r="AW59">
            <v>2.1700752449281158E-2</v>
          </cell>
          <cell r="AX59">
            <v>-2.3346880883693411E-3</v>
          </cell>
          <cell r="AY59">
            <v>1.6370437404564786E-3</v>
          </cell>
          <cell r="AZ59">
            <v>2.0264478381021078E-2</v>
          </cell>
          <cell r="BA59">
            <v>3.6548510711391646E-3</v>
          </cell>
          <cell r="BB59">
            <v>2.5998098836938155E-2</v>
          </cell>
          <cell r="BC59">
            <v>1.8063429305124723E-2</v>
          </cell>
          <cell r="BD59">
            <v>-3.3242500548225085E-4</v>
          </cell>
          <cell r="BE59">
            <v>3.2280522028958369E-2</v>
          </cell>
          <cell r="BF59">
            <v>6.5659124661481272E-3</v>
          </cell>
          <cell r="BG59">
            <v>1.8440118866601463E-2</v>
          </cell>
          <cell r="BH59">
            <v>8.6715558990781982E-3</v>
          </cell>
          <cell r="BI59">
            <v>1.1173172557921163E-4</v>
          </cell>
          <cell r="BJ59">
            <v>1.9883716952011854E-2</v>
          </cell>
          <cell r="BK59">
            <v>2.6479638730860788E-3</v>
          </cell>
          <cell r="BL59">
            <v>1.4002805038475286E-2</v>
          </cell>
          <cell r="BM59">
            <v>2.8703489675163674E-3</v>
          </cell>
          <cell r="BN59">
            <v>1.483594713016223E-2</v>
          </cell>
          <cell r="BO59">
            <v>2.5466440302757132E-3</v>
          </cell>
          <cell r="BP59">
            <v>2.2112927456247711E-2</v>
          </cell>
          <cell r="BQ59">
            <v>4.1224707170608443E-3</v>
          </cell>
          <cell r="BR59">
            <v>5.3249175059349341E-2</v>
          </cell>
          <cell r="BS59">
            <v>6.338388515496729E-2</v>
          </cell>
          <cell r="BT59">
            <v>2.7682008205447417E-3</v>
          </cell>
          <cell r="BU59">
            <v>-1.3258164481938506E-2</v>
          </cell>
          <cell r="BV59">
            <v>1.7633571107029677E-2</v>
          </cell>
          <cell r="BW59">
            <v>1.0349797386242088E-2</v>
          </cell>
          <cell r="BX59">
            <v>1.2553588948949868E-2</v>
          </cell>
          <cell r="BY59">
            <v>3.600521845055038E-2</v>
          </cell>
          <cell r="BZ59">
            <v>1.2763088075998352E-2</v>
          </cell>
          <cell r="CA59">
            <v>-1.9281657441698741E-3</v>
          </cell>
          <cell r="CB59">
            <v>2.0402768877064714E-2</v>
          </cell>
          <cell r="CC59">
            <v>2.3301758442302534E-2</v>
          </cell>
          <cell r="CD59">
            <v>4.631714159429956E-2</v>
          </cell>
          <cell r="CE59">
            <v>1.9400605545980776E-2</v>
          </cell>
          <cell r="CF59">
            <v>7.843133247519507E-3</v>
          </cell>
          <cell r="CG59">
            <v>4.5691438486235025E-2</v>
          </cell>
          <cell r="CH59">
            <v>1.9842057938989965E-2</v>
          </cell>
          <cell r="CI59">
            <v>2.0788741485022744E-3</v>
          </cell>
          <cell r="CJ59">
            <v>1.6346802648128378E-3</v>
          </cell>
          <cell r="CK59">
            <v>4.0473004032770543E-3</v>
          </cell>
          <cell r="CL59">
            <v>1.03549373798002E-2</v>
          </cell>
          <cell r="CM59">
            <v>3.6949952275564524E-3</v>
          </cell>
          <cell r="CN59">
            <v>1.4517531912989767E-2</v>
          </cell>
          <cell r="CO59">
            <v>3.1149573074711556E-2</v>
          </cell>
          <cell r="CP59">
            <v>9.7097417037388389E-3</v>
          </cell>
          <cell r="CQ59">
            <v>3.959256283285062E-2</v>
          </cell>
          <cell r="CR59">
            <v>2.6687782848157093E-2</v>
          </cell>
          <cell r="CS59">
            <v>-1.9879524695589845E-2</v>
          </cell>
          <cell r="CT59">
            <v>2.2002474251316295E-2</v>
          </cell>
          <cell r="CU59">
            <v>-2.4844800598924355E-3</v>
          </cell>
          <cell r="CV59">
            <v>2.0511563348071471E-2</v>
          </cell>
          <cell r="CW59">
            <v>2.8650137591583524E-2</v>
          </cell>
          <cell r="CX59">
            <v>9.3288954729460194E-3</v>
          </cell>
          <cell r="CY59">
            <v>-2.8648837633279745E-2</v>
          </cell>
          <cell r="CZ59">
            <v>1.2295351537542576E-2</v>
          </cell>
          <cell r="DA59">
            <v>1.0104783569503839E-2</v>
          </cell>
          <cell r="DB59">
            <v>-7.0145061874471448E-4</v>
          </cell>
          <cell r="DC59">
            <v>1.4432538184959709E-2</v>
          </cell>
          <cell r="DD59">
            <v>8.672572096035891E-3</v>
          </cell>
          <cell r="DE59">
            <v>8.1571468651848722E-3</v>
          </cell>
          <cell r="DF59">
            <v>5.4290269217991405E-3</v>
          </cell>
          <cell r="DG59">
            <v>2.2427095924253626E-2</v>
          </cell>
          <cell r="DH59">
            <v>3.4338874563020871E-2</v>
          </cell>
          <cell r="DI59">
            <v>3.0513227269436172E-2</v>
          </cell>
          <cell r="DJ59">
            <v>1.9758496779586965E-2</v>
          </cell>
          <cell r="DK59">
            <v>-1.3205720786201081E-2</v>
          </cell>
          <cell r="DL59">
            <v>2.9869809259696511E-2</v>
          </cell>
          <cell r="DM59">
            <v>5.2598695685854846E-3</v>
          </cell>
          <cell r="DN59">
            <v>1.0233975220604652E-2</v>
          </cell>
          <cell r="DO59">
            <v>-1.0303410461541818E-3</v>
          </cell>
          <cell r="DP59">
            <v>-3.2166898417059331E-2</v>
          </cell>
          <cell r="DQ59">
            <v>1.5224932608919772E-2</v>
          </cell>
          <cell r="DR59">
            <v>3.105062740017539E-3</v>
          </cell>
          <cell r="DS59">
            <v>-1.4575419545912682E-2</v>
          </cell>
          <cell r="DT59">
            <v>-5.8819408377136062E-2</v>
          </cell>
          <cell r="DU59">
            <v>-3.805093785096314E-2</v>
          </cell>
          <cell r="DV59">
            <v>-6.44987795071994E-3</v>
          </cell>
          <cell r="DW59">
            <v>3.7890734154637506E-3</v>
          </cell>
          <cell r="DX59">
            <v>4.5976040044242605E-2</v>
          </cell>
          <cell r="DY59">
            <v>-2.9489086586415025E-2</v>
          </cell>
          <cell r="DZ59">
            <v>-2.8224229497852971E-3</v>
          </cell>
          <cell r="EA59">
            <v>3.7856109848143582E-2</v>
          </cell>
          <cell r="EB59">
            <v>1.0259837568803221E-2</v>
          </cell>
          <cell r="EC59">
            <v>-8.3854139366149605E-3</v>
          </cell>
          <cell r="ED59">
            <v>3.0205582832367739E-2</v>
          </cell>
          <cell r="EE59">
            <v>-2.6442544452786043E-3</v>
          </cell>
          <cell r="EF59">
            <v>1.293069505799882E-2</v>
          </cell>
          <cell r="EG59">
            <v>2.6274125342319543E-2</v>
          </cell>
          <cell r="EH59">
            <v>3.9874039069125455E-3</v>
          </cell>
          <cell r="EI59">
            <v>-1.1453031146182235E-2</v>
          </cell>
          <cell r="EJ59">
            <v>1.4312500000000002E-2</v>
          </cell>
          <cell r="EK59">
            <v>1.4468750000000002E-2</v>
          </cell>
          <cell r="EL59">
            <v>1.4781249999999999E-2</v>
          </cell>
          <cell r="EM59">
            <v>1.509375E-2</v>
          </cell>
          <cell r="EN59">
            <v>1.509375E-2</v>
          </cell>
          <cell r="EO59">
            <v>1.4781249999999999E-2</v>
          </cell>
          <cell r="EP59">
            <v>1.4468749999999999E-2</v>
          </cell>
          <cell r="EQ59">
            <v>1.4156250000000002E-2</v>
          </cell>
          <cell r="ER59">
            <v>1.4000000000000002E-2</v>
          </cell>
          <cell r="ES59">
            <v>1.4000000000000002E-2</v>
          </cell>
          <cell r="ET59">
            <v>1.4000000000000002E-2</v>
          </cell>
          <cell r="EU59">
            <v>1.4000000000000002E-2</v>
          </cell>
          <cell r="EV59">
            <v>1.4000000000000002E-2</v>
          </cell>
          <cell r="EW59">
            <v>1.4000000000000002E-2</v>
          </cell>
          <cell r="EX59">
            <v>1.4000000000000002E-2</v>
          </cell>
          <cell r="EY59">
            <v>1.4000000000000002E-2</v>
          </cell>
          <cell r="EZ59">
            <v>1.4000000000000002E-2</v>
          </cell>
          <cell r="FA59">
            <v>1.4000000000000002E-2</v>
          </cell>
          <cell r="FB59">
            <v>1.4000000000000002E-2</v>
          </cell>
          <cell r="FC59">
            <v>1.4000000000000002E-2</v>
          </cell>
          <cell r="FD59">
            <v>1.4000000000000002E-2</v>
          </cell>
          <cell r="FE59">
            <v>1.4000000000000002E-2</v>
          </cell>
          <cell r="FF59">
            <v>1.4000000000000002E-2</v>
          </cell>
          <cell r="FG59">
            <v>1.4000000000000002E-2</v>
          </cell>
          <cell r="FH59">
            <v>1.4000000000000002E-2</v>
          </cell>
          <cell r="FI59">
            <v>1.4000000000000002E-2</v>
          </cell>
          <cell r="FJ59">
            <v>1.4000000000000002E-2</v>
          </cell>
          <cell r="FK59">
            <v>1.4000000000000002E-2</v>
          </cell>
          <cell r="FL59">
            <v>1.4000000000000002E-2</v>
          </cell>
          <cell r="FM59">
            <v>1.4000000000000002E-2</v>
          </cell>
          <cell r="FN59">
            <v>1.4000000000000002E-2</v>
          </cell>
          <cell r="FO59">
            <v>1.4000000000000002E-2</v>
          </cell>
          <cell r="FP59">
            <v>1.4000000000000002E-2</v>
          </cell>
          <cell r="FQ59">
            <v>1.4000000000000002E-2</v>
          </cell>
          <cell r="FR59">
            <v>1.4000000000000002E-2</v>
          </cell>
          <cell r="FS59">
            <v>1.4000000000000002E-2</v>
          </cell>
          <cell r="FT59">
            <v>1.4000000000000002E-2</v>
          </cell>
          <cell r="FU59">
            <v>1.4000000000000002E-2</v>
          </cell>
        </row>
        <row r="60">
          <cell r="A60" t="str">
            <v>3MoCashg</v>
          </cell>
          <cell r="B60" t="str">
            <v>Cash return</v>
          </cell>
          <cell r="D60">
            <v>1.8749999999999999E-2</v>
          </cell>
          <cell r="E60">
            <v>1.7041666666666667E-2</v>
          </cell>
          <cell r="F60">
            <v>1.3708333333333333E-2</v>
          </cell>
          <cell r="G60">
            <v>1.4291666666666664E-2</v>
          </cell>
          <cell r="H60">
            <v>1.3833333333333335E-2</v>
          </cell>
          <cell r="I60">
            <v>1.2958333333333334E-2</v>
          </cell>
          <cell r="J60">
            <v>1.1791666666666666E-2</v>
          </cell>
          <cell r="K60">
            <v>1.1916666666666666E-2</v>
          </cell>
          <cell r="L60">
            <v>1.1833333333333333E-2</v>
          </cell>
          <cell r="M60">
            <v>1.1541666666666667E-2</v>
          </cell>
          <cell r="N60">
            <v>1.2958333333333334E-2</v>
          </cell>
          <cell r="O60">
            <v>1.6916666666666667E-2</v>
          </cell>
          <cell r="P60">
            <v>1.8624999999999999E-2</v>
          </cell>
          <cell r="Q60">
            <v>1.8558333333333333E-2</v>
          </cell>
          <cell r="R60">
            <v>1.8500000000000003E-2</v>
          </cell>
          <cell r="S60">
            <v>1.8583333333333334E-2</v>
          </cell>
          <cell r="T60">
            <v>1.8499999999999999E-2</v>
          </cell>
          <cell r="U60">
            <v>1.8083333333333333E-2</v>
          </cell>
          <cell r="V60">
            <v>1.7500000000000002E-2</v>
          </cell>
          <cell r="W60">
            <v>1.6308333333333334E-2</v>
          </cell>
          <cell r="X60">
            <v>1.5075E-2</v>
          </cell>
          <cell r="Y60">
            <v>1.4241666666666666E-2</v>
          </cell>
          <cell r="Z60">
            <v>1.2458333333333333E-2</v>
          </cell>
          <cell r="AA60">
            <v>1.2450000000000001E-2</v>
          </cell>
          <cell r="AB60">
            <v>1.2450000000000001E-2</v>
          </cell>
          <cell r="AC60">
            <v>1.2433333333333334E-2</v>
          </cell>
          <cell r="AD60">
            <v>1.2458333333333333E-2</v>
          </cell>
          <cell r="AE60">
            <v>1.2233333333333334E-2</v>
          </cell>
          <cell r="AF60">
            <v>1.1816666666666666E-2</v>
          </cell>
          <cell r="AG60">
            <v>1.1883333333333334E-2</v>
          </cell>
          <cell r="AH60">
            <v>1.1899999999999999E-2</v>
          </cell>
          <cell r="AI60">
            <v>1.2266666666666665E-2</v>
          </cell>
          <cell r="AJ60">
            <v>1.3333333333333332E-2</v>
          </cell>
          <cell r="AK60">
            <v>1.4791666666666668E-2</v>
          </cell>
          <cell r="AL60">
            <v>1.5416666666666667E-2</v>
          </cell>
          <cell r="AM60">
            <v>1.5625E-2</v>
          </cell>
          <cell r="AN60">
            <v>1.4583333333333332E-2</v>
          </cell>
          <cell r="AO60">
            <v>1.2500000000000001E-2</v>
          </cell>
          <cell r="AP60">
            <v>1.2291666666666668E-2</v>
          </cell>
          <cell r="AQ60">
            <v>1.1041666666666667E-2</v>
          </cell>
          <cell r="AR60">
            <v>1.0625000000000001E-2</v>
          </cell>
          <cell r="AS60">
            <v>1.125E-2</v>
          </cell>
          <cell r="AT60">
            <v>1.1875E-2</v>
          </cell>
          <cell r="AU60">
            <v>1.1875E-2</v>
          </cell>
          <cell r="AV60">
            <v>1.1875E-2</v>
          </cell>
          <cell r="AW60">
            <v>1.1875E-2</v>
          </cell>
          <cell r="AX60">
            <v>1.1875E-2</v>
          </cell>
          <cell r="AY60">
            <v>1.2500000000000001E-2</v>
          </cell>
          <cell r="AZ60">
            <v>1.3125E-2</v>
          </cell>
          <cell r="BA60">
            <v>1.3125E-2</v>
          </cell>
          <cell r="BB60">
            <v>1.3125E-2</v>
          </cell>
          <cell r="BC60">
            <v>1.3125E-2</v>
          </cell>
          <cell r="BD60">
            <v>1.3333333333333332E-2</v>
          </cell>
          <cell r="BE60">
            <v>1.375E-2</v>
          </cell>
          <cell r="BF60">
            <v>1.375E-2</v>
          </cell>
          <cell r="BG60">
            <v>1.375E-2</v>
          </cell>
          <cell r="BH60">
            <v>1.375E-2</v>
          </cell>
          <cell r="BI60">
            <v>1.4166666666666668E-2</v>
          </cell>
          <cell r="BJ60">
            <v>1.4791666666666668E-2</v>
          </cell>
          <cell r="BK60">
            <v>1.5416666666666667E-2</v>
          </cell>
          <cell r="BL60">
            <v>1.5625E-2</v>
          </cell>
          <cell r="BM60">
            <v>1.5625E-2</v>
          </cell>
          <cell r="BN60">
            <v>1.6041666666666666E-2</v>
          </cell>
          <cell r="BO60">
            <v>1.6666666666666666E-2</v>
          </cell>
          <cell r="BP60">
            <v>1.7500000000000002E-2</v>
          </cell>
          <cell r="BQ60">
            <v>1.8124999999999999E-2</v>
          </cell>
          <cell r="BR60">
            <v>1.7916666666666668E-2</v>
          </cell>
          <cell r="BS60">
            <v>1.2916666666666667E-2</v>
          </cell>
          <cell r="BT60">
            <v>8.9583333333333338E-3</v>
          </cell>
          <cell r="BU60">
            <v>7.4999999999999997E-3</v>
          </cell>
          <cell r="BV60">
            <v>7.4999999999999997E-3</v>
          </cell>
          <cell r="BW60">
            <v>8.7500000000000008E-3</v>
          </cell>
          <cell r="BX60">
            <v>9.5833333333333343E-3</v>
          </cell>
          <cell r="BY60">
            <v>1.1041666666666667E-2</v>
          </cell>
          <cell r="BZ60">
            <v>1.125E-2</v>
          </cell>
          <cell r="CA60">
            <v>1.1666666666666667E-2</v>
          </cell>
          <cell r="CB60">
            <v>1.1875E-2</v>
          </cell>
          <cell r="CC60">
            <v>1.1875E-2</v>
          </cell>
          <cell r="CD60">
            <v>1.1875E-2</v>
          </cell>
          <cell r="CE60">
            <v>1.125E-2</v>
          </cell>
          <cell r="CF60">
            <v>1.0625000000000001E-2</v>
          </cell>
          <cell r="CG60">
            <v>9.5833333333333343E-3</v>
          </cell>
          <cell r="CH60">
            <v>8.7500000000000008E-3</v>
          </cell>
          <cell r="CI60">
            <v>7.9166666666666656E-3</v>
          </cell>
          <cell r="CJ60">
            <v>7.4999999999999997E-3</v>
          </cell>
          <cell r="CK60">
            <v>7.0833333333333338E-3</v>
          </cell>
          <cell r="CL60">
            <v>6.4583333333333333E-3</v>
          </cell>
          <cell r="CM60">
            <v>6.2500000000000003E-3</v>
          </cell>
          <cell r="CN60">
            <v>6.2500000000000003E-3</v>
          </cell>
          <cell r="CO60">
            <v>6.2500000000000003E-3</v>
          </cell>
          <cell r="CP60">
            <v>6.2500000000000003E-3</v>
          </cell>
          <cell r="CQ60">
            <v>6.2500000000000003E-3</v>
          </cell>
          <cell r="CR60">
            <v>5.8333333333333336E-3</v>
          </cell>
          <cell r="CS60">
            <v>5.2083333333333339E-3</v>
          </cell>
          <cell r="CT60">
            <v>5.0000000000000001E-3</v>
          </cell>
          <cell r="CU60">
            <v>5.0000000000000001E-3</v>
          </cell>
          <cell r="CV60">
            <v>5.0000000000000001E-3</v>
          </cell>
          <cell r="CW60">
            <v>4.5833333333333334E-3</v>
          </cell>
          <cell r="CX60">
            <v>3.9583333333333328E-3</v>
          </cell>
          <cell r="CY60">
            <v>3.7499999999999999E-3</v>
          </cell>
          <cell r="CZ60">
            <v>3.7499999999999999E-3</v>
          </cell>
          <cell r="DA60">
            <v>3.7499999999999999E-3</v>
          </cell>
          <cell r="DB60">
            <v>3.7499999999999999E-3</v>
          </cell>
          <cell r="DC60">
            <v>3.7499999999999999E-3</v>
          </cell>
          <cell r="DD60">
            <v>3.7499999999999999E-3</v>
          </cell>
          <cell r="DE60">
            <v>3.7499999999999999E-3</v>
          </cell>
          <cell r="DF60">
            <v>3.7499999999999999E-3</v>
          </cell>
          <cell r="DG60">
            <v>3.7499999999999999E-3</v>
          </cell>
          <cell r="DH60">
            <v>3.7499999999999999E-3</v>
          </cell>
          <cell r="DI60">
            <v>3.5416666666666669E-3</v>
          </cell>
          <cell r="DJ60">
            <v>2.5000000000000001E-3</v>
          </cell>
          <cell r="DK60">
            <v>1.8749999999999999E-3</v>
          </cell>
          <cell r="DL60">
            <v>1.4583333333333334E-3</v>
          </cell>
          <cell r="DM60">
            <v>6.2500000000000001E-4</v>
          </cell>
          <cell r="DN60">
            <v>6.2500000000000001E-4</v>
          </cell>
          <cell r="DO60">
            <v>3.7500000000000001E-4</v>
          </cell>
          <cell r="DP60">
            <v>2.5000000000000006E-4</v>
          </cell>
          <cell r="DQ60">
            <v>2.5000000000000006E-4</v>
          </cell>
          <cell r="DR60">
            <v>2.5000000000000006E-4</v>
          </cell>
          <cell r="DS60">
            <v>2.5000000000000006E-4</v>
          </cell>
          <cell r="DT60">
            <v>2.5000000000000006E-4</v>
          </cell>
          <cell r="DU60">
            <v>1.0833333333333333E-3</v>
          </cell>
          <cell r="DV60">
            <v>4.6250000000000006E-3</v>
          </cell>
          <cell r="DW60">
            <v>7.1250000000000003E-3</v>
          </cell>
          <cell r="DX60">
            <v>8.3750000000000005E-3</v>
          </cell>
          <cell r="DY60">
            <v>9.6249999999999999E-3</v>
          </cell>
          <cell r="DZ60">
            <v>1.0249999999999999E-2</v>
          </cell>
          <cell r="EA60">
            <v>1.0666666666666666E-2</v>
          </cell>
          <cell r="EB60">
            <v>1.0874999999999999E-2</v>
          </cell>
          <cell r="EC60">
            <v>1.0874999999999999E-2</v>
          </cell>
          <cell r="ED60">
            <v>1.0874999999999999E-2</v>
          </cell>
          <cell r="EE60">
            <v>1.0874999999999999E-2</v>
          </cell>
          <cell r="EF60">
            <v>1.0458333333333332E-2</v>
          </cell>
          <cell r="EG60">
            <v>9.8333333333333328E-3</v>
          </cell>
          <cell r="EH60">
            <v>9.208333333333334E-3</v>
          </cell>
          <cell r="EI60">
            <v>9.0000000000000011E-3</v>
          </cell>
          <cell r="EJ60">
            <v>9.3125000000000013E-3</v>
          </cell>
          <cell r="EK60">
            <v>9.4687500000000015E-3</v>
          </cell>
          <cell r="EL60">
            <v>9.78125E-3</v>
          </cell>
          <cell r="EM60">
            <v>1.0093749999999999E-2</v>
          </cell>
          <cell r="EN60">
            <v>1.0093749999999999E-2</v>
          </cell>
          <cell r="EO60">
            <v>9.78125E-3</v>
          </cell>
          <cell r="EP60">
            <v>9.4687499999999997E-3</v>
          </cell>
          <cell r="EQ60">
            <v>9.1562500000000012E-3</v>
          </cell>
          <cell r="ER60">
            <v>9.0000000000000011E-3</v>
          </cell>
          <cell r="ES60">
            <v>9.0000000000000011E-3</v>
          </cell>
          <cell r="ET60">
            <v>9.0000000000000011E-3</v>
          </cell>
          <cell r="EU60">
            <v>9.0000000000000011E-3</v>
          </cell>
          <cell r="EV60">
            <v>9.0000000000000011E-3</v>
          </cell>
          <cell r="EW60">
            <v>9.0000000000000011E-3</v>
          </cell>
          <cell r="EX60">
            <v>9.0000000000000011E-3</v>
          </cell>
          <cell r="EY60">
            <v>9.0000000000000011E-3</v>
          </cell>
          <cell r="EZ60">
            <v>9.0000000000000011E-3</v>
          </cell>
          <cell r="FA60">
            <v>9.0000000000000011E-3</v>
          </cell>
          <cell r="FB60">
            <v>9.0000000000000011E-3</v>
          </cell>
          <cell r="FC60">
            <v>9.0000000000000011E-3</v>
          </cell>
          <cell r="FD60">
            <v>9.0000000000000011E-3</v>
          </cell>
          <cell r="FE60">
            <v>9.0000000000000011E-3</v>
          </cell>
          <cell r="FF60">
            <v>9.0000000000000011E-3</v>
          </cell>
          <cell r="FG60">
            <v>9.0000000000000011E-3</v>
          </cell>
          <cell r="FH60">
            <v>9.0000000000000011E-3</v>
          </cell>
          <cell r="FI60">
            <v>9.0000000000000011E-3</v>
          </cell>
          <cell r="FJ60">
            <v>9.0000000000000011E-3</v>
          </cell>
          <cell r="FK60">
            <v>9.0000000000000011E-3</v>
          </cell>
          <cell r="FL60">
            <v>9.0000000000000011E-3</v>
          </cell>
          <cell r="FM60">
            <v>9.0000000000000011E-3</v>
          </cell>
          <cell r="FN60">
            <v>9.0000000000000011E-3</v>
          </cell>
          <cell r="FO60">
            <v>9.0000000000000011E-3</v>
          </cell>
          <cell r="FP60">
            <v>9.0000000000000011E-3</v>
          </cell>
          <cell r="FQ60">
            <v>9.0000000000000011E-3</v>
          </cell>
          <cell r="FR60">
            <v>9.0000000000000011E-3</v>
          </cell>
          <cell r="FS60">
            <v>9.0000000000000011E-3</v>
          </cell>
          <cell r="FT60">
            <v>9.0000000000000011E-3</v>
          </cell>
          <cell r="FU60">
            <v>9.0000000000000011E-3</v>
          </cell>
        </row>
        <row r="62">
          <cell r="B62" t="str">
            <v>Market performance (6mo)</v>
          </cell>
        </row>
        <row r="63">
          <cell r="A63" t="str">
            <v>6MoASX200AIg</v>
          </cell>
          <cell r="B63" t="str">
            <v>ASX-200 Accumulation Index return</v>
          </cell>
          <cell r="G63">
            <v>-4.0842749810868655E-2</v>
          </cell>
          <cell r="H63">
            <v>0.15078808934700638</v>
          </cell>
          <cell r="I63">
            <v>0.12934728631980197</v>
          </cell>
          <cell r="J63">
            <v>0.16635490710602863</v>
          </cell>
          <cell r="K63">
            <v>0.24009225828951508</v>
          </cell>
          <cell r="L63">
            <v>5.0800639878133769E-2</v>
          </cell>
          <cell r="M63">
            <v>-7.051038892187389E-2</v>
          </cell>
          <cell r="N63">
            <v>1.0968018041177974E-2</v>
          </cell>
          <cell r="O63">
            <v>-1.8357001585311061E-2</v>
          </cell>
          <cell r="P63">
            <v>-2.952442803080213E-2</v>
          </cell>
          <cell r="Q63">
            <v>8.9513621051370507E-2</v>
          </cell>
          <cell r="R63">
            <v>0.14247804192019276</v>
          </cell>
          <cell r="S63">
            <v>0.11155033854683083</v>
          </cell>
          <cell r="T63">
            <v>5.8416149916258764E-2</v>
          </cell>
          <cell r="U63">
            <v>2.8421507948987124E-2</v>
          </cell>
          <cell r="V63">
            <v>4.5785124534705401E-2</v>
          </cell>
          <cell r="W63">
            <v>0.11193506259382581</v>
          </cell>
          <cell r="X63">
            <v>8.5774828369673983E-2</v>
          </cell>
          <cell r="Y63">
            <v>0.14752001095781653</v>
          </cell>
          <cell r="Z63">
            <v>0.16677883414845085</v>
          </cell>
          <cell r="AA63">
            <v>-1.8124694341603798E-2</v>
          </cell>
          <cell r="AB63">
            <v>1.3139536283576225E-2</v>
          </cell>
          <cell r="AC63">
            <v>3.9065284674339118E-2</v>
          </cell>
          <cell r="AD63">
            <v>-4.7209541311136964E-2</v>
          </cell>
          <cell r="AE63">
            <v>5.6725620031717217E-2</v>
          </cell>
          <cell r="AF63">
            <v>0.1619961066517952</v>
          </cell>
          <cell r="AG63">
            <v>8.646876091720547E-2</v>
          </cell>
          <cell r="AH63">
            <v>-6.9952288195496148E-4</v>
          </cell>
          <cell r="AI63">
            <v>9.2929816244480712E-2</v>
          </cell>
          <cell r="AJ63">
            <v>0.13262480414089528</v>
          </cell>
          <cell r="AK63">
            <v>7.9055583597559709E-2</v>
          </cell>
          <cell r="AL63">
            <v>6.9724633871026453E-2</v>
          </cell>
          <cell r="AM63">
            <v>-1.4326874840030701E-2</v>
          </cell>
          <cell r="AN63">
            <v>-2.8719052439103998E-2</v>
          </cell>
          <cell r="AO63">
            <v>0.1065106330525154</v>
          </cell>
          <cell r="AP63">
            <v>-1.5435995544781478E-2</v>
          </cell>
          <cell r="AQ63">
            <v>-2.6518586313712955E-3</v>
          </cell>
          <cell r="AR63">
            <v>0.13908590603601678</v>
          </cell>
          <cell r="AS63">
            <v>-4.4371621552780634E-2</v>
          </cell>
          <cell r="AT63">
            <v>-0.11328758288301444</v>
          </cell>
          <cell r="AU63">
            <v>-4.5391553808074366E-2</v>
          </cell>
          <cell r="AV63">
            <v>-6.7798898003056385E-3</v>
          </cell>
          <cell r="AW63">
            <v>2.9585346060128082E-2</v>
          </cell>
          <cell r="AX63">
            <v>0.12203240398528671</v>
          </cell>
          <cell r="AY63">
            <v>0.11318990196287813</v>
          </cell>
          <cell r="AZ63">
            <v>9.9858475387551979E-2</v>
          </cell>
          <cell r="BA63">
            <v>9.2425178675543673E-2</v>
          </cell>
          <cell r="BB63">
            <v>9.7485496952219197E-2</v>
          </cell>
          <cell r="BC63">
            <v>0.17164590966351725</v>
          </cell>
          <cell r="BD63">
            <v>0.14471526653760303</v>
          </cell>
          <cell r="BE63">
            <v>7.8435198525297789E-2</v>
          </cell>
          <cell r="BF63">
            <v>0.15444261152929317</v>
          </cell>
          <cell r="BG63">
            <v>0.13895832906203398</v>
          </cell>
          <cell r="BH63">
            <v>0.12913069405051369</v>
          </cell>
          <cell r="BI63">
            <v>8.8107046104405118E-2</v>
          </cell>
          <cell r="BJ63">
            <v>2.696873363883312E-2</v>
          </cell>
          <cell r="BK63">
            <v>0.14163045890614878</v>
          </cell>
          <cell r="BL63">
            <v>0.18586271856547154</v>
          </cell>
          <cell r="BM63">
            <v>0.12698208108755127</v>
          </cell>
          <cell r="BN63">
            <v>0.11644626000066417</v>
          </cell>
          <cell r="BO63">
            <v>2.9962812020279062E-2</v>
          </cell>
          <cell r="BP63">
            <v>-0.16734672160923514</v>
          </cell>
          <cell r="BQ63">
            <v>-0.15923773448352629</v>
          </cell>
          <cell r="BR63">
            <v>-0.12040957655121275</v>
          </cell>
          <cell r="BS63">
            <v>-0.26786618072403068</v>
          </cell>
          <cell r="BT63">
            <v>-0.19871326971548176</v>
          </cell>
          <cell r="BU63">
            <v>9.0815213766841207E-2</v>
          </cell>
          <cell r="BV63">
            <v>0.35213217416915521</v>
          </cell>
          <cell r="BW63">
            <v>0.25624124723923147</v>
          </cell>
          <cell r="BX63">
            <v>4.8011476415038334E-2</v>
          </cell>
          <cell r="BY63">
            <v>-9.9332040732958551E-2</v>
          </cell>
          <cell r="BZ63">
            <v>-4.0018494187662575E-2</v>
          </cell>
          <cell r="CA63">
            <v>0.12768916021645249</v>
          </cell>
          <cell r="CB63">
            <v>7.747434775433204E-2</v>
          </cell>
          <cell r="CC63">
            <v>-9.208256279714222E-3</v>
          </cell>
          <cell r="CD63">
            <v>-0.1513422929480055</v>
          </cell>
          <cell r="CE63">
            <v>-9.7119756578138428E-2</v>
          </cell>
          <cell r="CF63">
            <v>0.10691071830508016</v>
          </cell>
          <cell r="CG63">
            <v>3.320706136747531E-2</v>
          </cell>
          <cell r="CH63">
            <v>3.7384123149176718E-2</v>
          </cell>
          <cell r="CI63">
            <v>0.16392686884588456</v>
          </cell>
          <cell r="CJ63">
            <v>0.15658668186760871</v>
          </cell>
          <cell r="CK63">
            <v>5.4632090475184469E-2</v>
          </cell>
          <cell r="CL63">
            <v>7.4623401351684882E-2</v>
          </cell>
          <cell r="CM63">
            <v>0.13971873260055134</v>
          </cell>
          <cell r="CN63">
            <v>5.5840945703218292E-2</v>
          </cell>
          <cell r="CO63">
            <v>3.0382401636474876E-2</v>
          </cell>
          <cell r="CP63">
            <v>3.2655870368478723E-3</v>
          </cell>
          <cell r="CQ63">
            <v>2.4961474178222254E-2</v>
          </cell>
          <cell r="CR63">
            <v>0.13758788845834058</v>
          </cell>
          <cell r="CS63">
            <v>3.1036209654727864E-2</v>
          </cell>
          <cell r="CT63">
            <v>-0.12694167861271677</v>
          </cell>
          <cell r="CU63">
            <v>-5.2645678175951005E-3</v>
          </cell>
          <cell r="CV63">
            <v>3.553954568479667E-2</v>
          </cell>
          <cell r="CW63">
            <v>1.0879399417170754E-2</v>
          </cell>
          <cell r="CX63">
            <v>9.288778848964574E-2</v>
          </cell>
          <cell r="CY63">
            <v>0.10594036725621603</v>
          </cell>
          <cell r="CZ63">
            <v>0.10249600669415937</v>
          </cell>
          <cell r="DA63">
            <v>3.1612141062304699E-2</v>
          </cell>
          <cell r="DB63">
            <v>-9.0883129513462668E-3</v>
          </cell>
          <cell r="DC63">
            <v>8.3702623449514846E-2</v>
          </cell>
          <cell r="DD63">
            <v>3.481617119235958E-2</v>
          </cell>
          <cell r="DE63">
            <v>4.285768068222473E-2</v>
          </cell>
          <cell r="DF63">
            <v>0.10133039616273321</v>
          </cell>
          <cell r="DG63">
            <v>-6.8326358354338756E-2</v>
          </cell>
          <cell r="DH63">
            <v>1.7540635222229595E-2</v>
          </cell>
          <cell r="DI63">
            <v>0.19727535526063966</v>
          </cell>
          <cell r="DJ63">
            <v>0.10527097635839035</v>
          </cell>
          <cell r="DK63">
            <v>3.0632914236491837E-2</v>
          </cell>
          <cell r="DL63">
            <v>-0.2257415545513265</v>
          </cell>
          <cell r="DM63">
            <v>-0.10424692104178235</v>
          </cell>
          <cell r="DN63">
            <v>0.15969183845810586</v>
          </cell>
          <cell r="DO63">
            <v>0.13201339659805078</v>
          </cell>
          <cell r="DP63">
            <v>0.18538896885114009</v>
          </cell>
          <cell r="DQ63">
            <v>0.12895116438882104</v>
          </cell>
          <cell r="DR63">
            <v>0.10140090273150747</v>
          </cell>
          <cell r="DS63">
            <v>3.8410009244964849E-2</v>
          </cell>
          <cell r="DT63">
            <v>4.3834136156981396E-2</v>
          </cell>
          <cell r="DU63">
            <v>-9.9272091270705007E-2</v>
          </cell>
          <cell r="DV63">
            <v>-0.11562420250090621</v>
          </cell>
          <cell r="DW63">
            <v>9.8227906271230334E-2</v>
          </cell>
          <cell r="DX63">
            <v>0.13188230719495131</v>
          </cell>
          <cell r="DY63">
            <v>4.5119990913830899E-2</v>
          </cell>
          <cell r="DZ63">
            <v>2.4028078538818054E-3</v>
          </cell>
          <cell r="EA63">
            <v>7.5653975241849913E-2</v>
          </cell>
          <cell r="EB63">
            <v>0.14170901195340968</v>
          </cell>
          <cell r="EC63">
            <v>4.2190024012100258E-2</v>
          </cell>
          <cell r="ED63">
            <v>6.6515782507608812E-2</v>
          </cell>
          <cell r="EE63">
            <v>6.9288641933914707E-2</v>
          </cell>
          <cell r="EF63">
            <v>-3.5746239335790464E-2</v>
          </cell>
          <cell r="EG63">
            <v>6.4367049738376814E-2</v>
          </cell>
          <cell r="EH63">
            <v>0.14662754134478773</v>
          </cell>
          <cell r="EI63">
            <v>3.6484951277578892E-2</v>
          </cell>
          <cell r="EJ63">
            <v>1.4602917706977081E-2</v>
          </cell>
          <cell r="EK63">
            <v>5.062499999999992E-2</v>
          </cell>
          <cell r="EL63">
            <v>5.062499999999992E-2</v>
          </cell>
          <cell r="EM63">
            <v>5.062499999999992E-2</v>
          </cell>
          <cell r="EN63">
            <v>5.062499999999992E-2</v>
          </cell>
          <cell r="EO63">
            <v>5.062499999999992E-2</v>
          </cell>
          <cell r="EP63">
            <v>5.062499999999992E-2</v>
          </cell>
          <cell r="EQ63">
            <v>5.062499999999992E-2</v>
          </cell>
          <cell r="ER63">
            <v>5.062499999999992E-2</v>
          </cell>
          <cell r="ES63">
            <v>5.062499999999992E-2</v>
          </cell>
          <cell r="ET63">
            <v>5.062499999999992E-2</v>
          </cell>
          <cell r="EU63">
            <v>5.062499999999992E-2</v>
          </cell>
          <cell r="EV63">
            <v>5.062499999999992E-2</v>
          </cell>
          <cell r="EW63">
            <v>5.062499999999992E-2</v>
          </cell>
          <cell r="EX63">
            <v>5.062499999999992E-2</v>
          </cell>
          <cell r="EY63">
            <v>5.062499999999992E-2</v>
          </cell>
          <cell r="EZ63">
            <v>5.062499999999992E-2</v>
          </cell>
          <cell r="FA63">
            <v>5.062499999999992E-2</v>
          </cell>
          <cell r="FB63">
            <v>5.062499999999992E-2</v>
          </cell>
          <cell r="FC63">
            <v>5.062499999999992E-2</v>
          </cell>
          <cell r="FD63">
            <v>5.062499999999992E-2</v>
          </cell>
          <cell r="FE63">
            <v>5.062499999999992E-2</v>
          </cell>
          <cell r="FF63">
            <v>5.062499999999992E-2</v>
          </cell>
          <cell r="FG63">
            <v>5.062499999999992E-2</v>
          </cell>
          <cell r="FH63">
            <v>5.062499999999992E-2</v>
          </cell>
          <cell r="FI63">
            <v>5.062499999999992E-2</v>
          </cell>
          <cell r="FJ63">
            <v>5.062499999999992E-2</v>
          </cell>
          <cell r="FK63">
            <v>5.062499999999992E-2</v>
          </cell>
          <cell r="FL63">
            <v>5.062499999999992E-2</v>
          </cell>
          <cell r="FM63">
            <v>5.062499999999992E-2</v>
          </cell>
          <cell r="FN63">
            <v>5.062499999999992E-2</v>
          </cell>
          <cell r="FO63">
            <v>5.062499999999992E-2</v>
          </cell>
          <cell r="FP63">
            <v>5.062499999999992E-2</v>
          </cell>
          <cell r="FQ63">
            <v>5.062499999999992E-2</v>
          </cell>
          <cell r="FR63">
            <v>5.062499999999992E-2</v>
          </cell>
          <cell r="FS63">
            <v>5.062499999999992E-2</v>
          </cell>
          <cell r="FT63">
            <v>5.062499999999992E-2</v>
          </cell>
          <cell r="FU63">
            <v>5.062499999999992E-2</v>
          </cell>
        </row>
        <row r="64">
          <cell r="A64" t="str">
            <v>6MoFIg</v>
          </cell>
          <cell r="B64" t="str">
            <v>Fixed income return</v>
          </cell>
          <cell r="D64">
            <v>7.0084114493313532E-2</v>
          </cell>
          <cell r="E64">
            <v>6.6942362367536923E-2</v>
          </cell>
          <cell r="F64">
            <v>8.2906313142509833E-2</v>
          </cell>
          <cell r="G64">
            <v>3.4860086972962723E-2</v>
          </cell>
          <cell r="H64">
            <v>9.0257712059707659E-2</v>
          </cell>
          <cell r="I64">
            <v>0.10096038778632919</v>
          </cell>
          <cell r="J64">
            <v>6.8777930975284063E-2</v>
          </cell>
          <cell r="K64">
            <v>5.6546869717686965E-2</v>
          </cell>
          <cell r="L64">
            <v>-8.2472881330408754E-3</v>
          </cell>
          <cell r="M64">
            <v>-6.4235403833410976E-2</v>
          </cell>
          <cell r="N64">
            <v>-3.4412422687195687E-2</v>
          </cell>
          <cell r="O64">
            <v>1.8557760899668541E-2</v>
          </cell>
          <cell r="P64">
            <v>6.017035775127777E-2</v>
          </cell>
          <cell r="Q64">
            <v>9.8410802014563536E-2</v>
          </cell>
          <cell r="R64">
            <v>9.8969612467491461E-2</v>
          </cell>
          <cell r="S64">
            <v>7.9837409046583208E-2</v>
          </cell>
          <cell r="T64">
            <v>2.5959256943101083E-2</v>
          </cell>
          <cell r="U64">
            <v>1.3133615543254207E-2</v>
          </cell>
          <cell r="V64">
            <v>9.3746304118395477E-2</v>
          </cell>
          <cell r="W64">
            <v>0.10469252196271706</v>
          </cell>
          <cell r="X64">
            <v>2.9580786932061676E-2</v>
          </cell>
          <cell r="Y64">
            <v>5.7417216230894574E-2</v>
          </cell>
          <cell r="Z64">
            <v>0.11304649197615246</v>
          </cell>
          <cell r="AA64">
            <v>6.1339526183427084E-2</v>
          </cell>
          <cell r="AB64">
            <v>3.9310457024703815E-2</v>
          </cell>
          <cell r="AC64">
            <v>4.4742327195550491E-2</v>
          </cell>
          <cell r="AD64">
            <v>5.1803861531185769E-2</v>
          </cell>
          <cell r="AE64">
            <v>4.8483845886615251E-2</v>
          </cell>
          <cell r="AF64">
            <v>1.3973314301076734E-2</v>
          </cell>
          <cell r="AG64">
            <v>-1.4929078349884217E-2</v>
          </cell>
          <cell r="AH64">
            <v>-3.471393780384302E-4</v>
          </cell>
          <cell r="AI64">
            <v>2.7806182177743111E-3</v>
          </cell>
          <cell r="AJ64">
            <v>1.8247375555799694E-2</v>
          </cell>
          <cell r="AK64">
            <v>5.8757744835809866E-2</v>
          </cell>
          <cell r="AL64">
            <v>3.9885006252963207E-2</v>
          </cell>
          <cell r="AM64">
            <v>5.8267027085414647E-2</v>
          </cell>
          <cell r="AN64">
            <v>7.519975428619996E-2</v>
          </cell>
          <cell r="AO64">
            <v>1.4918428343217549E-2</v>
          </cell>
          <cell r="AP64">
            <v>2.9267457955884479E-2</v>
          </cell>
          <cell r="AQ64">
            <v>3.9313914643012593E-2</v>
          </cell>
          <cell r="AR64">
            <v>-5.8309886328057337E-3</v>
          </cell>
          <cell r="AS64">
            <v>2.1745670367618208E-2</v>
          </cell>
          <cell r="AT64">
            <v>6.3895862006534188E-2</v>
          </cell>
          <cell r="AU64">
            <v>6.4960447137943245E-2</v>
          </cell>
          <cell r="AV64">
            <v>3.5109802680753699E-2</v>
          </cell>
          <cell r="AW64">
            <v>3.1203098102437155E-2</v>
          </cell>
          <cell r="AX64">
            <v>1.9315399872659844E-2</v>
          </cell>
          <cell r="AY64">
            <v>-7.0146633443379791E-4</v>
          </cell>
          <cell r="AZ64">
            <v>2.1934695958964801E-2</v>
          </cell>
          <cell r="BA64">
            <v>2.3993393102677008E-2</v>
          </cell>
          <cell r="BB64">
            <v>2.9747969087458914E-2</v>
          </cell>
          <cell r="BC64">
            <v>4.4531142962471515E-2</v>
          </cell>
          <cell r="BD64">
            <v>1.7724999564056709E-2</v>
          </cell>
          <cell r="BE64">
            <v>3.1937366170763593E-2</v>
          </cell>
          <cell r="BF64">
            <v>3.9058385577110277E-2</v>
          </cell>
          <cell r="BG64">
            <v>2.5127107539093085E-2</v>
          </cell>
          <cell r="BH64">
            <v>2.7271579287217129E-2</v>
          </cell>
          <cell r="BI64">
            <v>8.7842565125615391E-3</v>
          </cell>
          <cell r="BJ64">
            <v>1.9997670319596983E-2</v>
          </cell>
          <cell r="BK64">
            <v>2.2584332189249601E-2</v>
          </cell>
          <cell r="BL64">
            <v>1.668784783342514E-2</v>
          </cell>
          <cell r="BM64">
            <v>1.6913346942976082E-2</v>
          </cell>
          <cell r="BN64">
            <v>1.7748880443205994E-2</v>
          </cell>
          <cell r="BO64">
            <v>1.7420373036630465E-2</v>
          </cell>
          <cell r="BP64">
            <v>2.4715885241221702E-2</v>
          </cell>
          <cell r="BQ64">
            <v>2.6326558069215356E-2</v>
          </cell>
          <cell r="BR64">
            <v>5.7591163941300039E-2</v>
          </cell>
          <cell r="BS64">
            <v>0.12000819981087506</v>
          </cell>
          <cell r="BT64">
            <v>6.6327545298407342E-2</v>
          </cell>
          <cell r="BU64">
            <v>-1.0526664923191542E-2</v>
          </cell>
          <cell r="BV64">
            <v>4.1416178389501734E-3</v>
          </cell>
          <cell r="BW64">
            <v>2.8165872381425539E-2</v>
          </cell>
          <cell r="BX64">
            <v>2.3033313437283987E-2</v>
          </cell>
          <cell r="BY64">
            <v>4.901080211194575E-2</v>
          </cell>
          <cell r="BZ64">
            <v>4.9227844300828494E-2</v>
          </cell>
          <cell r="CA64">
            <v>1.0810312982610482E-2</v>
          </cell>
          <cell r="CB64">
            <v>1.8435263212859931E-2</v>
          </cell>
          <cell r="CC64">
            <v>4.4179947711294743E-2</v>
          </cell>
          <cell r="CD64">
            <v>7.0698170881770439E-2</v>
          </cell>
          <cell r="CE64">
            <v>6.6616327734368763E-2</v>
          </cell>
          <cell r="CF64">
            <v>2.7395900327880085E-2</v>
          </cell>
          <cell r="CG64">
            <v>5.3892935774072948E-2</v>
          </cell>
          <cell r="CH64">
            <v>6.6440108594984615E-2</v>
          </cell>
          <cell r="CI64">
            <v>2.1962181228794675E-2</v>
          </cell>
          <cell r="CJ64">
            <v>3.7169527078586562E-3</v>
          </cell>
          <cell r="CK64">
            <v>5.6885967101847346E-3</v>
          </cell>
          <cell r="CL64">
            <v>1.4444147325310297E-2</v>
          </cell>
          <cell r="CM64">
            <v>1.4088194051556702E-2</v>
          </cell>
          <cell r="CN64">
            <v>1.8266169351680794E-2</v>
          </cell>
          <cell r="CO64">
            <v>4.6119319908889622E-2</v>
          </cell>
          <cell r="CP64">
            <v>4.1161769087187494E-2</v>
          </cell>
          <cell r="CQ64">
            <v>4.9686738095085392E-2</v>
          </cell>
          <cell r="CR64">
            <v>6.7336983400292816E-2</v>
          </cell>
          <cell r="CS64">
            <v>6.2777177143666929E-3</v>
          </cell>
          <cell r="CT64">
            <v>1.6855508254831619E-3</v>
          </cell>
          <cell r="CU64">
            <v>1.94633294828781E-2</v>
          </cell>
          <cell r="CV64">
            <v>1.7976122718043497E-2</v>
          </cell>
          <cell r="CW64">
            <v>4.9749360051795755E-2</v>
          </cell>
          <cell r="CX64">
            <v>3.8246307203407159E-2</v>
          </cell>
          <cell r="CY64">
            <v>-1.9587204172035855E-2</v>
          </cell>
          <cell r="CZ64">
            <v>-1.6705733625580366E-2</v>
          </cell>
          <cell r="DA64">
            <v>2.2524376973244165E-2</v>
          </cell>
          <cell r="DB64">
            <v>9.3962449440720963E-3</v>
          </cell>
          <cell r="DC64">
            <v>1.3720963853375068E-2</v>
          </cell>
          <cell r="DD64">
            <v>2.3230277508933472E-2</v>
          </cell>
          <cell r="DE64">
            <v>1.6900462405507133E-2</v>
          </cell>
          <cell r="DF64">
            <v>1.3630459156920294E-2</v>
          </cell>
          <cell r="DG64">
            <v>2.7977880153603252E-2</v>
          </cell>
          <cell r="DH64">
            <v>5.7536091721030358E-2</v>
          </cell>
          <cell r="DI64">
            <v>6.5899891716175274E-2</v>
          </cell>
          <cell r="DJ64">
            <v>5.0874619551761091E-2</v>
          </cell>
          <cell r="DK64">
            <v>6.2918508017597574E-3</v>
          </cell>
          <cell r="DL64">
            <v>1.6269636112474783E-2</v>
          </cell>
          <cell r="DM64">
            <v>3.528679012902658E-2</v>
          </cell>
          <cell r="DN64">
            <v>1.554767416401881E-2</v>
          </cell>
          <cell r="DO64">
            <v>9.193089689715217E-3</v>
          </cell>
          <cell r="DP64">
            <v>-3.3164096587447012E-2</v>
          </cell>
          <cell r="DQ64">
            <v>-1.7431704668777415E-2</v>
          </cell>
          <cell r="DR64">
            <v>1.8377269719900502E-2</v>
          </cell>
          <cell r="DS64">
            <v>-1.1515614398047158E-2</v>
          </cell>
          <cell r="DT64">
            <v>-7.2537510368509639E-2</v>
          </cell>
          <cell r="DU64">
            <v>-9.4632212575510355E-2</v>
          </cell>
          <cell r="DV64">
            <v>-4.4255391896633862E-2</v>
          </cell>
          <cell r="DW64">
            <v>-2.6852435963321541E-3</v>
          </cell>
          <cell r="DX64">
            <v>4.9939320050786273E-2</v>
          </cell>
          <cell r="DY64">
            <v>1.513116203206244E-2</v>
          </cell>
          <cell r="DZ64">
            <v>-3.2228278861450521E-2</v>
          </cell>
          <cell r="EA64">
            <v>3.4926840945133319E-2</v>
          </cell>
          <cell r="EB64">
            <v>4.8504344954975354E-2</v>
          </cell>
          <cell r="EC64">
            <v>1.7883906472513367E-3</v>
          </cell>
          <cell r="ED64">
            <v>2.1566882580506874E-2</v>
          </cell>
          <cell r="EE64">
            <v>2.7481457140412502E-2</v>
          </cell>
          <cell r="EF64">
            <v>1.0252248564832644E-2</v>
          </cell>
          <cell r="EG64">
            <v>3.9544563103035557E-2</v>
          </cell>
          <cell r="EH64">
            <v>3.0366294799272664E-2</v>
          </cell>
          <cell r="EI64">
            <v>-7.5112951004080442E-3</v>
          </cell>
          <cell r="EJ64">
            <v>2.6955473455378964E-3</v>
          </cell>
          <cell r="EK64">
            <v>2.8988333984375059E-2</v>
          </cell>
          <cell r="EL64">
            <v>2.9463866210937439E-2</v>
          </cell>
          <cell r="EM64">
            <v>3.0098104492187305E-2</v>
          </cell>
          <cell r="EN64">
            <v>3.0415321289062325E-2</v>
          </cell>
          <cell r="EO64">
            <v>3.0098104492187305E-2</v>
          </cell>
          <cell r="EP64">
            <v>2.9463866210937439E-2</v>
          </cell>
          <cell r="EQ64">
            <v>2.8829823242187524E-2</v>
          </cell>
          <cell r="ER64">
            <v>2.8354437499999996E-2</v>
          </cell>
          <cell r="ES64">
            <v>2.819600000000011E-2</v>
          </cell>
          <cell r="ET64">
            <v>2.819600000000011E-2</v>
          </cell>
          <cell r="EU64">
            <v>2.819600000000011E-2</v>
          </cell>
          <cell r="EV64">
            <v>2.819600000000011E-2</v>
          </cell>
          <cell r="EW64">
            <v>2.819600000000011E-2</v>
          </cell>
          <cell r="EX64">
            <v>2.819600000000011E-2</v>
          </cell>
          <cell r="EY64">
            <v>2.819600000000011E-2</v>
          </cell>
          <cell r="EZ64">
            <v>2.819600000000011E-2</v>
          </cell>
          <cell r="FA64">
            <v>2.819600000000011E-2</v>
          </cell>
          <cell r="FB64">
            <v>2.819600000000011E-2</v>
          </cell>
          <cell r="FC64">
            <v>2.819600000000011E-2</v>
          </cell>
          <cell r="FD64">
            <v>2.819600000000011E-2</v>
          </cell>
          <cell r="FE64">
            <v>2.819600000000011E-2</v>
          </cell>
          <cell r="FF64">
            <v>2.819600000000011E-2</v>
          </cell>
          <cell r="FG64">
            <v>2.819600000000011E-2</v>
          </cell>
          <cell r="FH64">
            <v>2.819600000000011E-2</v>
          </cell>
          <cell r="FI64">
            <v>2.819600000000011E-2</v>
          </cell>
          <cell r="FJ64">
            <v>2.819600000000011E-2</v>
          </cell>
          <cell r="FK64">
            <v>2.819600000000011E-2</v>
          </cell>
          <cell r="FL64">
            <v>2.819600000000011E-2</v>
          </cell>
          <cell r="FM64">
            <v>2.819600000000011E-2</v>
          </cell>
          <cell r="FN64">
            <v>2.819600000000011E-2</v>
          </cell>
          <cell r="FO64">
            <v>2.819600000000011E-2</v>
          </cell>
          <cell r="FP64">
            <v>2.819600000000011E-2</v>
          </cell>
          <cell r="FQ64">
            <v>2.819600000000011E-2</v>
          </cell>
          <cell r="FR64">
            <v>2.819600000000011E-2</v>
          </cell>
          <cell r="FS64">
            <v>2.819600000000011E-2</v>
          </cell>
          <cell r="FT64">
            <v>2.819600000000011E-2</v>
          </cell>
          <cell r="FU64">
            <v>2.819600000000011E-2</v>
          </cell>
        </row>
        <row r="65">
          <cell r="A65" t="str">
            <v>6MoCashg</v>
          </cell>
          <cell r="B65" t="str">
            <v>Cash return</v>
          </cell>
          <cell r="D65">
            <v>4.0791666666666664E-2</v>
          </cell>
          <cell r="E65">
            <v>3.5791666666666673E-2</v>
          </cell>
          <cell r="F65">
            <v>3.0749999999999996E-2</v>
          </cell>
          <cell r="G65">
            <v>2.8000000000000004E-2</v>
          </cell>
          <cell r="H65">
            <v>2.8125000000000001E-2</v>
          </cell>
          <cell r="I65">
            <v>2.6791666666666668E-2</v>
          </cell>
          <cell r="J65">
            <v>2.4750000000000001E-2</v>
          </cell>
          <cell r="K65">
            <v>2.3708333333333331E-2</v>
          </cell>
          <cell r="L65">
            <v>2.375E-2</v>
          </cell>
          <cell r="M65">
            <v>2.3375E-2</v>
          </cell>
          <cell r="N65">
            <v>2.4499999999999997E-2</v>
          </cell>
          <cell r="O65">
            <v>2.9875000000000002E-2</v>
          </cell>
          <cell r="P65">
            <v>3.5541666666666673E-2</v>
          </cell>
          <cell r="Q65">
            <v>3.7183333333333332E-2</v>
          </cell>
          <cell r="R65">
            <v>3.7058333333333332E-2</v>
          </cell>
          <cell r="S65">
            <v>3.7083333333333336E-2</v>
          </cell>
          <cell r="T65">
            <v>3.7083333333333336E-2</v>
          </cell>
          <cell r="U65">
            <v>3.6583333333333329E-2</v>
          </cell>
          <cell r="V65">
            <v>3.5583333333333328E-2</v>
          </cell>
          <cell r="W65">
            <v>3.3808333333333336E-2</v>
          </cell>
          <cell r="X65">
            <v>3.1383333333333339E-2</v>
          </cell>
          <cell r="Y65">
            <v>2.9316666666666668E-2</v>
          </cell>
          <cell r="Z65">
            <v>2.6699999999999998E-2</v>
          </cell>
          <cell r="AA65">
            <v>2.4908333333333331E-2</v>
          </cell>
          <cell r="AB65">
            <v>2.4900000000000002E-2</v>
          </cell>
          <cell r="AC65">
            <v>2.4883333333333337E-2</v>
          </cell>
          <cell r="AD65">
            <v>2.4891666666666673E-2</v>
          </cell>
          <cell r="AE65">
            <v>2.4691666666666667E-2</v>
          </cell>
          <cell r="AF65">
            <v>2.4049999999999998E-2</v>
          </cell>
          <cell r="AG65">
            <v>2.3699999999999995E-2</v>
          </cell>
          <cell r="AH65">
            <v>2.3783333333333333E-2</v>
          </cell>
          <cell r="AI65">
            <v>2.4166666666666666E-2</v>
          </cell>
          <cell r="AJ65">
            <v>2.5600000000000001E-2</v>
          </cell>
          <cell r="AK65">
            <v>2.8125000000000001E-2</v>
          </cell>
          <cell r="AL65">
            <v>3.0208333333333334E-2</v>
          </cell>
          <cell r="AM65">
            <v>3.1041666666666665E-2</v>
          </cell>
          <cell r="AN65">
            <v>3.0208333333333334E-2</v>
          </cell>
          <cell r="AO65">
            <v>2.7083333333333334E-2</v>
          </cell>
          <cell r="AP65">
            <v>2.4791666666666667E-2</v>
          </cell>
          <cell r="AQ65">
            <v>2.3333333333333334E-2</v>
          </cell>
          <cell r="AR65">
            <v>2.1666666666666664E-2</v>
          </cell>
          <cell r="AS65">
            <v>2.1874999999999999E-2</v>
          </cell>
          <cell r="AT65">
            <v>2.3125E-2</v>
          </cell>
          <cell r="AU65">
            <v>2.375E-2</v>
          </cell>
          <cell r="AV65">
            <v>2.375E-2</v>
          </cell>
          <cell r="AW65">
            <v>2.375E-2</v>
          </cell>
          <cell r="AX65">
            <v>2.375E-2</v>
          </cell>
          <cell r="AY65">
            <v>2.4375000000000001E-2</v>
          </cell>
          <cell r="AZ65">
            <v>2.5624999999999998E-2</v>
          </cell>
          <cell r="BA65">
            <v>2.6249999999999999E-2</v>
          </cell>
          <cell r="BB65">
            <v>2.6249999999999999E-2</v>
          </cell>
          <cell r="BC65">
            <v>2.6249999999999999E-2</v>
          </cell>
          <cell r="BD65">
            <v>2.6458333333333334E-2</v>
          </cell>
          <cell r="BE65">
            <v>2.7083333333333334E-2</v>
          </cell>
          <cell r="BF65">
            <v>2.75E-2</v>
          </cell>
          <cell r="BG65">
            <v>2.75E-2</v>
          </cell>
          <cell r="BH65">
            <v>2.75E-2</v>
          </cell>
          <cell r="BI65">
            <v>2.7916666666666666E-2</v>
          </cell>
          <cell r="BJ65">
            <v>2.8958333333333336E-2</v>
          </cell>
          <cell r="BK65">
            <v>3.0208333333333334E-2</v>
          </cell>
          <cell r="BL65">
            <v>3.1041666666666665E-2</v>
          </cell>
          <cell r="BM65">
            <v>3.125E-2</v>
          </cell>
          <cell r="BN65">
            <v>3.1666666666666662E-2</v>
          </cell>
          <cell r="BO65">
            <v>3.2708333333333332E-2</v>
          </cell>
          <cell r="BP65">
            <v>3.4166666666666665E-2</v>
          </cell>
          <cell r="BQ65">
            <v>3.5624999999999997E-2</v>
          </cell>
          <cell r="BR65">
            <v>3.6041666666666666E-2</v>
          </cell>
          <cell r="BS65">
            <v>3.0833333333333334E-2</v>
          </cell>
          <cell r="BT65">
            <v>2.1874999999999999E-2</v>
          </cell>
          <cell r="BU65">
            <v>1.6458333333333332E-2</v>
          </cell>
          <cell r="BV65">
            <v>1.4999999999999999E-2</v>
          </cell>
          <cell r="BW65">
            <v>1.6250000000000001E-2</v>
          </cell>
          <cell r="BX65">
            <v>1.8333333333333333E-2</v>
          </cell>
          <cell r="BY65">
            <v>2.0625000000000001E-2</v>
          </cell>
          <cell r="BZ65">
            <v>2.2291666666666664E-2</v>
          </cell>
          <cell r="CA65">
            <v>2.2916666666666665E-2</v>
          </cell>
          <cell r="CB65">
            <v>2.3541666666666666E-2</v>
          </cell>
          <cell r="CC65">
            <v>2.375E-2</v>
          </cell>
          <cell r="CD65">
            <v>2.375E-2</v>
          </cell>
          <cell r="CE65">
            <v>2.3125E-2</v>
          </cell>
          <cell r="CF65">
            <v>2.1874999999999999E-2</v>
          </cell>
          <cell r="CG65">
            <v>2.0208333333333335E-2</v>
          </cell>
          <cell r="CH65">
            <v>1.8333333333333333E-2</v>
          </cell>
          <cell r="CI65">
            <v>1.6666666666666666E-2</v>
          </cell>
          <cell r="CJ65">
            <v>1.5416666666666667E-2</v>
          </cell>
          <cell r="CK65">
            <v>1.4583333333333332E-2</v>
          </cell>
          <cell r="CL65">
            <v>1.3541666666666667E-2</v>
          </cell>
          <cell r="CM65">
            <v>1.2708333333333332E-2</v>
          </cell>
          <cell r="CN65">
            <v>1.2500000000000001E-2</v>
          </cell>
          <cell r="CO65">
            <v>1.2500000000000001E-2</v>
          </cell>
          <cell r="CP65">
            <v>1.2500000000000001E-2</v>
          </cell>
          <cell r="CQ65">
            <v>1.2500000000000001E-2</v>
          </cell>
          <cell r="CR65">
            <v>1.2083333333333333E-2</v>
          </cell>
          <cell r="CS65">
            <v>1.1041666666666667E-2</v>
          </cell>
          <cell r="CT65">
            <v>1.0208333333333333E-2</v>
          </cell>
          <cell r="CU65">
            <v>0.01</v>
          </cell>
          <cell r="CV65">
            <v>0.01</v>
          </cell>
          <cell r="CW65">
            <v>9.5833333333333343E-3</v>
          </cell>
          <cell r="CX65">
            <v>8.5416666666666662E-3</v>
          </cell>
          <cell r="CY65">
            <v>7.7083333333333335E-3</v>
          </cell>
          <cell r="CZ65">
            <v>7.4999999999999997E-3</v>
          </cell>
          <cell r="DA65">
            <v>7.4999999999999997E-3</v>
          </cell>
          <cell r="DB65">
            <v>7.4999999999999997E-3</v>
          </cell>
          <cell r="DC65">
            <v>7.4999999999999997E-3</v>
          </cell>
          <cell r="DD65">
            <v>7.4999999999999997E-3</v>
          </cell>
          <cell r="DE65">
            <v>7.4999999999999997E-3</v>
          </cell>
          <cell r="DF65">
            <v>7.4999999999999997E-3</v>
          </cell>
          <cell r="DG65">
            <v>7.4999999999999997E-3</v>
          </cell>
          <cell r="DH65">
            <v>7.4999999999999997E-3</v>
          </cell>
          <cell r="DI65">
            <v>7.2916666666666659E-3</v>
          </cell>
          <cell r="DJ65">
            <v>6.0416666666666665E-3</v>
          </cell>
          <cell r="DK65">
            <v>4.3750000000000004E-3</v>
          </cell>
          <cell r="DL65">
            <v>3.3333333333333331E-3</v>
          </cell>
          <cell r="DM65">
            <v>2.0833333333333333E-3</v>
          </cell>
          <cell r="DN65">
            <v>1.25E-3</v>
          </cell>
          <cell r="DO65">
            <v>1.0000000000000002E-3</v>
          </cell>
          <cell r="DP65">
            <v>6.249999999999999E-4</v>
          </cell>
          <cell r="DQ65">
            <v>5.0000000000000001E-4</v>
          </cell>
          <cell r="DR65">
            <v>5.0000000000000001E-4</v>
          </cell>
          <cell r="DS65">
            <v>5.0000000000000001E-4</v>
          </cell>
          <cell r="DT65">
            <v>5.0000000000000001E-4</v>
          </cell>
          <cell r="DU65">
            <v>1.3333333333333333E-3</v>
          </cell>
          <cell r="DV65">
            <v>5.7083333333333326E-3</v>
          </cell>
          <cell r="DW65">
            <v>1.175E-2</v>
          </cell>
          <cell r="DX65">
            <v>1.55E-2</v>
          </cell>
          <cell r="DY65">
            <v>1.8000000000000002E-2</v>
          </cell>
          <cell r="DZ65">
            <v>1.9875E-2</v>
          </cell>
          <cell r="EA65">
            <v>2.0916666666666667E-2</v>
          </cell>
          <cell r="EB65">
            <v>2.1541666666666667E-2</v>
          </cell>
          <cell r="EC65">
            <v>2.1750000000000002E-2</v>
          </cell>
          <cell r="ED65">
            <v>2.1750000000000002E-2</v>
          </cell>
          <cell r="EE65">
            <v>2.1750000000000002E-2</v>
          </cell>
          <cell r="EF65">
            <v>2.1333333333333333E-2</v>
          </cell>
          <cell r="EG65">
            <v>2.0291666666666666E-2</v>
          </cell>
          <cell r="EH65">
            <v>1.9041666666666669E-2</v>
          </cell>
          <cell r="EI65">
            <v>1.8208333333333337E-2</v>
          </cell>
          <cell r="EJ65">
            <v>1.8396312499999956E-2</v>
          </cell>
          <cell r="EK65">
            <v>1.8869427734375055E-2</v>
          </cell>
          <cell r="EL65">
            <v>1.934261621093758E-2</v>
          </cell>
          <cell r="EM65">
            <v>1.9973729492187564E-2</v>
          </cell>
          <cell r="EN65">
            <v>2.0289383789062532E-2</v>
          </cell>
          <cell r="EO65">
            <v>1.9973729492187564E-2</v>
          </cell>
          <cell r="EP65">
            <v>1.934261621093758E-2</v>
          </cell>
          <cell r="EQ65">
            <v>1.8711698242187325E-2</v>
          </cell>
          <cell r="ER65">
            <v>1.8238656249999874E-2</v>
          </cell>
          <cell r="ES65">
            <v>1.8080999999999792E-2</v>
          </cell>
          <cell r="ET65">
            <v>1.8080999999999792E-2</v>
          </cell>
          <cell r="EU65">
            <v>1.8080999999999792E-2</v>
          </cell>
          <cell r="EV65">
            <v>1.8080999999999792E-2</v>
          </cell>
          <cell r="EW65">
            <v>1.8080999999999792E-2</v>
          </cell>
          <cell r="EX65">
            <v>1.8080999999999792E-2</v>
          </cell>
          <cell r="EY65">
            <v>1.8080999999999792E-2</v>
          </cell>
          <cell r="EZ65">
            <v>1.8080999999999792E-2</v>
          </cell>
          <cell r="FA65">
            <v>1.8080999999999792E-2</v>
          </cell>
          <cell r="FB65">
            <v>1.8080999999999792E-2</v>
          </cell>
          <cell r="FC65">
            <v>1.8080999999999792E-2</v>
          </cell>
          <cell r="FD65">
            <v>1.8080999999999792E-2</v>
          </cell>
          <cell r="FE65">
            <v>1.8080999999999792E-2</v>
          </cell>
          <cell r="FF65">
            <v>1.8080999999999792E-2</v>
          </cell>
          <cell r="FG65">
            <v>1.8080999999999792E-2</v>
          </cell>
          <cell r="FH65">
            <v>1.8080999999999792E-2</v>
          </cell>
          <cell r="FI65">
            <v>1.8080999999999792E-2</v>
          </cell>
          <cell r="FJ65">
            <v>1.8080999999999792E-2</v>
          </cell>
          <cell r="FK65">
            <v>1.8080999999999792E-2</v>
          </cell>
          <cell r="FL65">
            <v>1.8080999999999792E-2</v>
          </cell>
          <cell r="FM65">
            <v>1.8080999999999792E-2</v>
          </cell>
          <cell r="FN65">
            <v>1.8080999999999792E-2</v>
          </cell>
          <cell r="FO65">
            <v>1.8080999999999792E-2</v>
          </cell>
          <cell r="FP65">
            <v>1.8080999999999792E-2</v>
          </cell>
          <cell r="FQ65">
            <v>1.8080999999999792E-2</v>
          </cell>
          <cell r="FR65">
            <v>1.8080999999999792E-2</v>
          </cell>
          <cell r="FS65">
            <v>1.8080999999999792E-2</v>
          </cell>
          <cell r="FT65">
            <v>1.8080999999999792E-2</v>
          </cell>
          <cell r="FU65">
            <v>1.8080999999999792E-2</v>
          </cell>
        </row>
        <row r="67">
          <cell r="B67" t="str">
            <v>Market performance (12mo)</v>
          </cell>
        </row>
        <row r="68">
          <cell r="A68" t="str">
            <v>12MoASX200AIg</v>
          </cell>
          <cell r="B68" t="str">
            <v>ASX-200 Accumulation Index return</v>
          </cell>
          <cell r="I68">
            <v>8.3221637655058966E-2</v>
          </cell>
          <cell r="J68">
            <v>0.34222733504905195</v>
          </cell>
          <cell r="K68">
            <v>0.40049482668545894</v>
          </cell>
          <cell r="L68">
            <v>0.22560648271201611</v>
          </cell>
          <cell r="M68">
            <v>0.15265287085851664</v>
          </cell>
          <cell r="N68">
            <v>6.2325840253998566E-2</v>
          </cell>
          <cell r="O68">
            <v>-8.7573031185965267E-2</v>
          </cell>
          <cell r="P68">
            <v>-1.8880234448921396E-2</v>
          </cell>
          <cell r="Q68">
            <v>6.9513417782512521E-2</v>
          </cell>
          <cell r="R68">
            <v>0.10874703119474827</v>
          </cell>
          <cell r="S68">
            <v>0.21104923433103462</v>
          </cell>
          <cell r="T68">
            <v>0.20921721049303632</v>
          </cell>
          <cell r="U68">
            <v>0.14314227532953883</v>
          </cell>
          <cell r="V68">
            <v>0.10687586514971791</v>
          </cell>
          <cell r="W68">
            <v>0.14353793381409363</v>
          </cell>
          <cell r="X68">
            <v>0.13548716410322781</v>
          </cell>
          <cell r="Y68">
            <v>0.27596773521204732</v>
          </cell>
          <cell r="Z68">
            <v>0.26685908839290251</v>
          </cell>
          <cell r="AA68">
            <v>0.12672156150833236</v>
          </cell>
          <cell r="AB68">
            <v>0.18210976697465298</v>
          </cell>
          <cell r="AC68">
            <v>2.0232543988645268E-2</v>
          </cell>
          <cell r="AD68">
            <v>-3.4690316508549479E-2</v>
          </cell>
          <cell r="AE68">
            <v>9.8006907200923532E-2</v>
          </cell>
          <cell r="AF68">
            <v>0.10713880345143689</v>
          </cell>
          <cell r="AG68">
            <v>0.14809937502532544</v>
          </cell>
          <cell r="AH68">
            <v>0.16118326378644965</v>
          </cell>
          <cell r="AI68">
            <v>0.18743410322461007</v>
          </cell>
          <cell r="AJ68">
            <v>0.13183250717372896</v>
          </cell>
          <cell r="AK68">
            <v>0.17933202069886178</v>
          </cell>
          <cell r="AL68">
            <v>0.21159665392286223</v>
          </cell>
          <cell r="AM68">
            <v>6.3596089305921089E-2</v>
          </cell>
          <cell r="AN68">
            <v>3.9003156015483098E-2</v>
          </cell>
          <cell r="AO68">
            <v>9.0657793703608824E-2</v>
          </cell>
          <cell r="AP68">
            <v>-4.3711740818385018E-2</v>
          </cell>
          <cell r="AQ68">
            <v>0.10357632327955102</v>
          </cell>
          <cell r="AR68">
            <v>0.12150298106532142</v>
          </cell>
          <cell r="AS68">
            <v>-4.6905812916549279E-2</v>
          </cell>
          <cell r="AT68">
            <v>1.0041617045087881E-2</v>
          </cell>
          <cell r="AU68">
            <v>-8.7749078513590484E-2</v>
          </cell>
          <cell r="AV68">
            <v>-0.11929939535563028</v>
          </cell>
          <cell r="AW68">
            <v>-1.7149132575565051E-2</v>
          </cell>
          <cell r="AX68">
            <v>0.11442514793389445</v>
          </cell>
          <cell r="AY68">
            <v>0.14612401044308987</v>
          </cell>
          <cell r="AZ68">
            <v>0.2340768491826872</v>
          </cell>
          <cell r="BA68">
            <v>0.21607667755160787</v>
          </cell>
          <cell r="BB68">
            <v>0.20707872543781769</v>
          </cell>
          <cell r="BC68">
            <v>0.27993549220863745</v>
          </cell>
          <cell r="BD68">
            <v>0.25630840316481351</v>
          </cell>
          <cell r="BE68">
            <v>0.2635441891893282</v>
          </cell>
          <cell r="BF68">
            <v>0.32150808175912138</v>
          </cell>
          <cell r="BG68">
            <v>0.22829275171405627</v>
          </cell>
          <cell r="BH68">
            <v>0.30351658719755847</v>
          </cell>
          <cell r="BI68">
            <v>0.23930858307169878</v>
          </cell>
          <cell r="BJ68">
            <v>0.15958191898179286</v>
          </cell>
          <cell r="BK68">
            <v>0.24221614638318598</v>
          </cell>
          <cell r="BL68">
            <v>0.2178439343546863</v>
          </cell>
          <cell r="BM68">
            <v>0.2865970704109877</v>
          </cell>
          <cell r="BN68">
            <v>0.3239519970166409</v>
          </cell>
          <cell r="BO68">
            <v>0.16074963333340045</v>
          </cell>
          <cell r="BP68">
            <v>-7.0387361463338793E-2</v>
          </cell>
          <cell r="BQ68">
            <v>-0.13404613276811228</v>
          </cell>
          <cell r="BR68">
            <v>-0.26760615027424617</v>
          </cell>
          <cell r="BS68">
            <v>-0.38444951144430756</v>
          </cell>
          <cell r="BT68">
            <v>-0.29519586560514643</v>
          </cell>
          <cell r="BU68">
            <v>-0.20137729142054972</v>
          </cell>
          <cell r="BV68">
            <v>8.3445568752499089E-2</v>
          </cell>
          <cell r="BW68">
            <v>0.37032706464998538</v>
          </cell>
          <cell r="BX68">
            <v>0.41705003615929215</v>
          </cell>
          <cell r="BY68">
            <v>0.1314562404980415</v>
          </cell>
          <cell r="BZ68">
            <v>6.0716352375194127E-3</v>
          </cell>
          <cell r="CA68">
            <v>1.56734946197159E-2</v>
          </cell>
          <cell r="CB68">
            <v>3.4355446831369818E-2</v>
          </cell>
          <cell r="CC68">
            <v>0.1173051094253237</v>
          </cell>
          <cell r="CD68">
            <v>-8.559309062746534E-2</v>
          </cell>
          <cell r="CE68">
            <v>-0.10543370924945773</v>
          </cell>
          <cell r="CF68">
            <v>-6.0611687891934614E-2</v>
          </cell>
          <cell r="CG68">
            <v>-6.713775692734758E-2</v>
          </cell>
          <cell r="CH68">
            <v>0.14829160491334092</v>
          </cell>
          <cell r="CI68">
            <v>0.20257745980690323</v>
          </cell>
          <cell r="CJ68">
            <v>0.19982466081524522</v>
          </cell>
          <cell r="CK68">
            <v>0.22751462685117119</v>
          </cell>
          <cell r="CL68">
            <v>0.24289511402662889</v>
          </cell>
          <cell r="CM68">
            <v>0.20198394951624721</v>
          </cell>
          <cell r="CN68">
            <v>0.13463138835797217</v>
          </cell>
          <cell r="CO68">
            <v>0.17434612488703549</v>
          </cell>
          <cell r="CP68">
            <v>5.9288886208479941E-2</v>
          </cell>
          <cell r="CQ68">
            <v>5.6102265348618507E-2</v>
          </cell>
          <cell r="CR68">
            <v>0.14130278072016522</v>
          </cell>
          <cell r="CS68">
            <v>5.6772393378836439E-2</v>
          </cell>
          <cell r="CT68">
            <v>-6.8194276720573432E-3</v>
          </cell>
          <cell r="CU68">
            <v>2.560824960660435E-2</v>
          </cell>
          <cell r="CV68">
            <v>-9.5913582514281503E-2</v>
          </cell>
          <cell r="CW68">
            <v>5.557556263529273E-3</v>
          </cell>
          <cell r="CX68">
            <v>0.13172852397702983</v>
          </cell>
          <cell r="CY68">
            <v>0.1179723342431689</v>
          </cell>
          <cell r="CZ68">
            <v>0.20490442257464525</v>
          </cell>
          <cell r="DA68">
            <v>0.1409015101524167</v>
          </cell>
          <cell r="DB68">
            <v>9.2476177957713221E-2</v>
          </cell>
          <cell r="DC68">
            <v>0.11796078365159059</v>
          </cell>
          <cell r="DD68">
            <v>2.5411437981449625E-2</v>
          </cell>
          <cell r="DE68">
            <v>0.13014760443980355</v>
          </cell>
          <cell r="DF68">
            <v>0.13967450377488411</v>
          </cell>
          <cell r="DG68">
            <v>-2.839698692064363E-2</v>
          </cell>
          <cell r="DH68">
            <v>0.12064843090097721</v>
          </cell>
          <cell r="DI68">
            <v>0.11546989028828293</v>
          </cell>
          <cell r="DJ68">
            <v>0.12465813137641035</v>
          </cell>
          <cell r="DK68">
            <v>0.23395138853580419</v>
          </cell>
          <cell r="DL68">
            <v>-0.14423461204521515</v>
          </cell>
          <cell r="DM68">
            <v>-7.680739379698176E-2</v>
          </cell>
          <cell r="DN68">
            <v>-0.10209879995591276</v>
          </cell>
          <cell r="DO68">
            <v>1.4004485424653934E-2</v>
          </cell>
          <cell r="DP68">
            <v>0.37468591257493711</v>
          </cell>
          <cell r="DQ68">
            <v>0.27798784219311368</v>
          </cell>
          <cell r="DR68">
            <v>0.30558848038061659</v>
          </cell>
          <cell r="DS68">
            <v>0.1723141890501094</v>
          </cell>
          <cell r="DT68">
            <v>0.14967985986526267</v>
          </cell>
          <cell r="DU68">
            <v>-6.4675123969214932E-2</v>
          </cell>
          <cell r="DV68">
            <v>-7.6858353379391842E-2</v>
          </cell>
          <cell r="DW68">
            <v>-1.0795474676162486E-2</v>
          </cell>
          <cell r="DX68">
            <v>1.0093181006494145E-3</v>
          </cell>
          <cell r="DY68">
            <v>0.14777993942350376</v>
          </cell>
          <cell r="DZ68">
            <v>0.13460200289234914</v>
          </cell>
          <cell r="EA68">
            <v>0.12418747283118826</v>
          </cell>
          <cell r="EB68">
            <v>0.1444523193341789</v>
          </cell>
          <cell r="EC68">
            <v>0.12103584228601472</v>
          </cell>
          <cell r="ED68">
            <v>0.21765068027947976</v>
          </cell>
          <cell r="EE68">
            <v>0.11440195541297271</v>
          </cell>
          <cell r="EF68">
            <v>2.8391854090694002E-2</v>
          </cell>
          <cell r="EG68">
            <v>0.13811559713395649</v>
          </cell>
          <cell r="EH68">
            <v>0.10563991882286781</v>
          </cell>
          <cell r="EI68">
            <v>0.10320042968954191</v>
          </cell>
          <cell r="EJ68">
            <v>0.16337164897159928</v>
          </cell>
          <cell r="EK68">
            <v>8.8957001936005975E-2</v>
          </cell>
          <cell r="EL68">
            <v>6.5967190415892718E-2</v>
          </cell>
          <cell r="EM68">
            <v>0.10381289062499977</v>
          </cell>
          <cell r="EN68">
            <v>0.10381289062499977</v>
          </cell>
          <cell r="EO68">
            <v>0.10381289062499977</v>
          </cell>
          <cell r="EP68">
            <v>0.10381289062499977</v>
          </cell>
          <cell r="EQ68">
            <v>0.10381289062499977</v>
          </cell>
          <cell r="ER68">
            <v>0.10381289062499977</v>
          </cell>
          <cell r="ES68">
            <v>0.10381289062499977</v>
          </cell>
          <cell r="ET68">
            <v>0.10381289062499977</v>
          </cell>
          <cell r="EU68">
            <v>0.10381289062499977</v>
          </cell>
          <cell r="EV68">
            <v>0.10381289062499977</v>
          </cell>
          <cell r="EW68">
            <v>0.10381289062499977</v>
          </cell>
          <cell r="EX68">
            <v>0.10381289062499977</v>
          </cell>
          <cell r="EY68">
            <v>0.10381289062499977</v>
          </cell>
          <cell r="EZ68">
            <v>0.10381289062499977</v>
          </cell>
          <cell r="FA68">
            <v>0.10381289062499977</v>
          </cell>
          <cell r="FB68">
            <v>0.10381289062499977</v>
          </cell>
          <cell r="FC68">
            <v>0.10381289062499977</v>
          </cell>
          <cell r="FD68">
            <v>0.10381289062499977</v>
          </cell>
          <cell r="FE68">
            <v>0.10381289062499977</v>
          </cell>
          <cell r="FF68">
            <v>0.10381289062499977</v>
          </cell>
          <cell r="FG68">
            <v>0.10381289062499977</v>
          </cell>
          <cell r="FH68">
            <v>0.10381289062499977</v>
          </cell>
          <cell r="FI68">
            <v>0.10381289062499977</v>
          </cell>
          <cell r="FJ68">
            <v>0.10381289062499977</v>
          </cell>
          <cell r="FK68">
            <v>0.10381289062499977</v>
          </cell>
          <cell r="FL68">
            <v>0.10381289062499977</v>
          </cell>
          <cell r="FM68">
            <v>0.10381289062499977</v>
          </cell>
          <cell r="FN68">
            <v>0.10381289062499977</v>
          </cell>
          <cell r="FO68">
            <v>0.10381289062499977</v>
          </cell>
          <cell r="FP68">
            <v>0.10381289062499977</v>
          </cell>
          <cell r="FQ68">
            <v>0.10381289062499977</v>
          </cell>
          <cell r="FR68">
            <v>0.10381289062499977</v>
          </cell>
          <cell r="FS68">
            <v>0.10381289062499977</v>
          </cell>
          <cell r="FT68">
            <v>0.10381289062499977</v>
          </cell>
          <cell r="FU68">
            <v>0.10381289062499977</v>
          </cell>
        </row>
        <row r="69">
          <cell r="A69" t="str">
            <v>12MoFIg</v>
          </cell>
          <cell r="B69" t="str">
            <v>Fixed income return</v>
          </cell>
          <cell r="D69">
            <v>0.18626021880259658</v>
          </cell>
          <cell r="E69">
            <v>0.22120484014113462</v>
          </cell>
          <cell r="F69">
            <v>0.15880084317832144</v>
          </cell>
          <cell r="G69">
            <v>0.1041360659148076</v>
          </cell>
          <cell r="H69">
            <v>0.18064695934176611</v>
          </cell>
          <cell r="I69">
            <v>0.13933996265834736</v>
          </cell>
          <cell r="J69">
            <v>0.1652433817250214</v>
          </cell>
          <cell r="K69">
            <v>0.1632162513988169</v>
          </cell>
          <cell r="L69">
            <v>5.9963411428295421E-2</v>
          </cell>
          <cell r="M69">
            <v>-1.1320845127554935E-2</v>
          </cell>
          <cell r="N69">
            <v>-4.2375901654979294E-2</v>
          </cell>
          <cell r="O69">
            <v>-4.6869708199376629E-2</v>
          </cell>
          <cell r="P69">
            <v>2.368732727990519E-2</v>
          </cell>
          <cell r="Q69">
            <v>0.11879484704796273</v>
          </cell>
          <cell r="R69">
            <v>0.1650950072074433</v>
          </cell>
          <cell r="S69">
            <v>0.18610507451618563</v>
          </cell>
          <cell r="T69">
            <v>0.12749804701019518</v>
          </cell>
          <cell r="U69">
            <v>9.4019578426224548E-2</v>
          </cell>
          <cell r="V69">
            <v>0.12213914545757198</v>
          </cell>
          <cell r="W69">
            <v>0.11920112883968305</v>
          </cell>
          <cell r="X69">
            <v>0.12610018049825156</v>
          </cell>
          <cell r="Y69">
            <v>0.1681208913649026</v>
          </cell>
          <cell r="Z69">
            <v>0.14597128310077756</v>
          </cell>
          <cell r="AA69">
            <v>0.12227868725269619</v>
          </cell>
          <cell r="AB69">
            <v>0.15680085826547829</v>
          </cell>
          <cell r="AC69">
            <v>0.10882632652949663</v>
          </cell>
          <cell r="AD69">
            <v>9.3150752028324776E-2</v>
          </cell>
          <cell r="AE69">
            <v>9.5395453178523257E-2</v>
          </cell>
          <cell r="AF69">
            <v>6.6501047471447139E-2</v>
          </cell>
          <cell r="AG69">
            <v>3.2830948402785998E-2</v>
          </cell>
          <cell r="AH69">
            <v>1.3621324235402632E-2</v>
          </cell>
          <cell r="AI69">
            <v>-1.2189972199344257E-2</v>
          </cell>
          <cell r="AJ69">
            <v>1.7893901795160039E-2</v>
          </cell>
          <cell r="AK69">
            <v>6.170174590930988E-2</v>
          </cell>
          <cell r="AL69">
            <v>5.8860178496906279E-2</v>
          </cell>
          <cell r="AM69">
            <v>0.12044841103105043</v>
          </cell>
          <cell r="AN69">
            <v>0.11808410320908959</v>
          </cell>
          <cell r="AO69">
            <v>7.4054707896978211E-2</v>
          </cell>
          <cell r="AP69">
            <v>0.10666811788894881</v>
          </cell>
          <cell r="AQ69">
            <v>5.4818844804723321E-2</v>
          </cell>
          <cell r="AR69">
            <v>2.3265811108426959E-2</v>
          </cell>
          <cell r="AS69">
            <v>6.1914492439318458E-2</v>
          </cell>
          <cell r="AT69">
            <v>5.7692297328685083E-2</v>
          </cell>
          <cell r="AU69">
            <v>8.811872597595638E-2</v>
          </cell>
          <cell r="AV69">
            <v>0.10124903579445398</v>
          </cell>
          <cell r="AW69">
            <v>9.819051244520359E-2</v>
          </cell>
          <cell r="AX69">
            <v>5.5103362431642378E-2</v>
          </cell>
          <cell r="AY69">
            <v>3.0479743845154506E-2</v>
          </cell>
          <cell r="AZ69">
            <v>4.1673773255157309E-2</v>
          </cell>
          <cell r="BA69">
            <v>2.3275096210732871E-2</v>
          </cell>
          <cell r="BB69">
            <v>5.2335177703753955E-2</v>
          </cell>
          <cell r="BC69">
            <v>6.9592989283558726E-2</v>
          </cell>
          <cell r="BD69">
            <v>4.8000251390622362E-2</v>
          </cell>
          <cell r="BE69">
            <v>7.789071655203017E-2</v>
          </cell>
          <cell r="BF69">
            <v>5.7475695008494032E-2</v>
          </cell>
          <cell r="BG69">
            <v>5.7866967344144982E-2</v>
          </cell>
          <cell r="BH69">
            <v>6.7395148723424336E-2</v>
          </cell>
          <cell r="BI69">
            <v>3.4132087009696832E-2</v>
          </cell>
          <cell r="BJ69">
            <v>4.7814617658494596E-2</v>
          </cell>
          <cell r="BK69">
            <v>3.1566975268926267E-2</v>
          </cell>
          <cell r="BL69">
            <v>3.7019236232338493E-2</v>
          </cell>
          <cell r="BM69">
            <v>3.9879655778017886E-2</v>
          </cell>
          <cell r="BN69">
            <v>3.473291889268082E-2</v>
          </cell>
          <cell r="BO69">
            <v>3.4628356792651305E-2</v>
          </cell>
          <cell r="BP69">
            <v>4.2903444976622129E-2</v>
          </cell>
          <cell r="BQ69">
            <v>4.4205549568182123E-2</v>
          </cell>
          <cell r="BR69">
            <v>8.3730465781403307E-2</v>
          </cell>
          <cell r="BS69">
            <v>0.14949416072119348</v>
          </cell>
          <cell r="BT69">
            <v>0.12773858977481178</v>
          </cell>
          <cell r="BU69">
            <v>0.10821824878023921</v>
          </cell>
          <cell r="BV69">
            <v>7.0743866482179119E-2</v>
          </cell>
          <cell r="BW69">
            <v>1.7342714757405231E-2</v>
          </cell>
          <cell r="BX69">
            <v>2.7270326458056049E-2</v>
          </cell>
          <cell r="BY69">
            <v>7.8557106490967588E-2</v>
          </cell>
          <cell r="BZ69">
            <v>7.3395038105735333E-2</v>
          </cell>
          <cell r="CA69">
            <v>6.0350937204915134E-2</v>
          </cell>
          <cell r="CB69">
            <v>6.8570635780775824E-2</v>
          </cell>
          <cell r="CC69">
            <v>5.5467859756219706E-2</v>
          </cell>
          <cell r="CD69">
            <v>9.043677348350343E-2</v>
          </cell>
          <cell r="CE69">
            <v>0.11373938132168625</v>
          </cell>
          <cell r="CF69">
            <v>0.10003091125249108</v>
          </cell>
          <cell r="CG69">
            <v>0.1240994129805346</v>
          </cell>
          <cell r="CH69">
            <v>9.5656195515706491E-2</v>
          </cell>
          <cell r="CI69">
            <v>7.7038723425289612E-2</v>
          </cell>
          <cell r="CJ69">
            <v>7.0404016044395723E-2</v>
          </cell>
          <cell r="CK69">
            <v>2.7775711930865921E-2</v>
          </cell>
          <cell r="CL69">
            <v>1.8214788245682456E-2</v>
          </cell>
          <cell r="CM69">
            <v>1.985693281607559E-2</v>
          </cell>
          <cell r="CN69">
            <v>3.2974155918175763E-2</v>
          </cell>
          <cell r="CO69">
            <v>6.0857251888848385E-2</v>
          </cell>
          <cell r="CP69">
            <v>6.0179806283829684E-2</v>
          </cell>
          <cell r="CQ69">
            <v>9.8097576573411546E-2</v>
          </cell>
          <cell r="CR69">
            <v>0.11127046184923106</v>
          </cell>
          <cell r="CS69">
            <v>5.6276375125360767E-2</v>
          </cell>
          <cell r="CT69">
            <v>6.9136034133731927E-2</v>
          </cell>
          <cell r="CU69">
            <v>2.5863232485519916E-2</v>
          </cell>
          <cell r="CV69">
            <v>1.9691973212013103E-2</v>
          </cell>
          <cell r="CW69">
            <v>7.0180977720924353E-2</v>
          </cell>
          <cell r="CX69">
            <v>5.6909950233251072E-2</v>
          </cell>
          <cell r="CY69">
            <v>2.91877050069973E-2</v>
          </cell>
          <cell r="CZ69">
            <v>2.0901640957524448E-2</v>
          </cell>
          <cell r="DA69">
            <v>2.4959832305855301E-3</v>
          </cell>
          <cell r="DB69">
            <v>-7.4664598466247512E-3</v>
          </cell>
          <cell r="DC69">
            <v>3.6554396988888849E-2</v>
          </cell>
          <cell r="DD69">
            <v>3.2844799830598292E-2</v>
          </cell>
          <cell r="DE69">
            <v>3.0853316892653471E-2</v>
          </cell>
          <cell r="DF69">
            <v>3.7177376014643215E-2</v>
          </cell>
          <cell r="DG69">
            <v>4.5351181670832075E-2</v>
          </cell>
          <cell r="DH69">
            <v>7.1950794226202763E-2</v>
          </cell>
          <cell r="DI69">
            <v>9.5721511142349058E-2</v>
          </cell>
          <cell r="DJ69">
            <v>0.11133783804959396</v>
          </cell>
          <cell r="DK69">
            <v>7.260637480446519E-2</v>
          </cell>
          <cell r="DL69">
            <v>6.7971967211703621E-2</v>
          </cell>
          <cell r="DM69">
            <v>4.1800660149551083E-2</v>
          </cell>
          <cell r="DN69">
            <v>3.2070265277537535E-2</v>
          </cell>
          <cell r="DO69">
            <v>4.4804274445260139E-2</v>
          </cell>
          <cell r="DP69">
            <v>-1.8132046991113926E-2</v>
          </cell>
          <cell r="DQ69">
            <v>-8.3988662035268113E-3</v>
          </cell>
          <cell r="DR69">
            <v>-1.539629241555085E-2</v>
          </cell>
          <cell r="DS69">
            <v>-2.874658227755833E-2</v>
          </cell>
          <cell r="DT69">
            <v>-5.5493282041461311E-2</v>
          </cell>
          <cell r="DU69">
            <v>-0.10505807890390395</v>
          </cell>
          <cell r="DV69">
            <v>-0.11358272631657895</v>
          </cell>
          <cell r="DW69">
            <v>-9.7063345629017417E-2</v>
          </cell>
          <cell r="DX69">
            <v>3.4738439742534322E-3</v>
          </cell>
          <cell r="DY69">
            <v>1.2405287579778657E-2</v>
          </cell>
          <cell r="DZ69">
            <v>1.6101582856587804E-2</v>
          </cell>
          <cell r="EA69">
            <v>5.0586486666804431E-2</v>
          </cell>
          <cell r="EB69">
            <v>1.4712854538323938E-2</v>
          </cell>
          <cell r="EC69">
            <v>3.6777694428068886E-2</v>
          </cell>
          <cell r="ED69">
            <v>7.1117315047770635E-2</v>
          </cell>
          <cell r="EE69">
            <v>2.931899536858662E-2</v>
          </cell>
          <cell r="EF69">
            <v>3.2040240186323343E-2</v>
          </cell>
          <cell r="EG69">
            <v>6.8112762459500376E-2</v>
          </cell>
          <cell r="EH69">
            <v>4.0929866166380391E-2</v>
          </cell>
          <cell r="EI69">
            <v>3.1736237119543986E-2</v>
          </cell>
          <cell r="EJ69">
            <v>3.3143695930150763E-2</v>
          </cell>
          <cell r="EK69">
            <v>2.1259298952941208E-2</v>
          </cell>
          <cell r="EL69">
            <v>3.2238834802829519E-2</v>
          </cell>
          <cell r="EM69">
            <v>5.9958932381878549E-2</v>
          </cell>
          <cell r="EN69">
            <v>6.0775340457223326E-2</v>
          </cell>
          <cell r="EO69">
            <v>6.110210487839729E-2</v>
          </cell>
          <cell r="EP69">
            <v>6.0775340457223326E-2</v>
          </cell>
          <cell r="EQ69">
            <v>5.9795650766809594E-2</v>
          </cell>
          <cell r="ER69">
            <v>5.8653735063923795E-2</v>
          </cell>
          <cell r="ES69">
            <v>5.7838708938324102E-2</v>
          </cell>
          <cell r="ET69">
            <v>5.7349919219749967E-2</v>
          </cell>
          <cell r="EU69">
            <v>5.718701441600027E-2</v>
          </cell>
          <cell r="EV69">
            <v>5.718701441600027E-2</v>
          </cell>
          <cell r="EW69">
            <v>5.718701441600027E-2</v>
          </cell>
          <cell r="EX69">
            <v>5.718701441600027E-2</v>
          </cell>
          <cell r="EY69">
            <v>5.718701441600027E-2</v>
          </cell>
          <cell r="EZ69">
            <v>5.718701441600027E-2</v>
          </cell>
          <cell r="FA69">
            <v>5.718701441600027E-2</v>
          </cell>
          <cell r="FB69">
            <v>5.718701441600027E-2</v>
          </cell>
          <cell r="FC69">
            <v>5.718701441600027E-2</v>
          </cell>
          <cell r="FD69">
            <v>5.718701441600027E-2</v>
          </cell>
          <cell r="FE69">
            <v>5.718701441600027E-2</v>
          </cell>
          <cell r="FF69">
            <v>5.718701441600027E-2</v>
          </cell>
          <cell r="FG69">
            <v>5.718701441600027E-2</v>
          </cell>
          <cell r="FH69">
            <v>5.718701441600027E-2</v>
          </cell>
          <cell r="FI69">
            <v>5.718701441600027E-2</v>
          </cell>
          <cell r="FJ69">
            <v>5.718701441600027E-2</v>
          </cell>
          <cell r="FK69">
            <v>5.718701441600027E-2</v>
          </cell>
          <cell r="FL69">
            <v>5.718701441600027E-2</v>
          </cell>
          <cell r="FM69">
            <v>5.718701441600027E-2</v>
          </cell>
          <cell r="FN69">
            <v>5.718701441600027E-2</v>
          </cell>
          <cell r="FO69">
            <v>5.718701441600027E-2</v>
          </cell>
          <cell r="FP69">
            <v>5.718701441600027E-2</v>
          </cell>
          <cell r="FQ69">
            <v>5.718701441600027E-2</v>
          </cell>
          <cell r="FR69">
            <v>5.718701441600027E-2</v>
          </cell>
          <cell r="FS69">
            <v>5.718701441600027E-2</v>
          </cell>
          <cell r="FT69">
            <v>5.718701441600027E-2</v>
          </cell>
          <cell r="FU69">
            <v>5.718701441600027E-2</v>
          </cell>
        </row>
        <row r="70">
          <cell r="A70" t="str">
            <v>12MoCashg</v>
          </cell>
          <cell r="B70" t="str">
            <v>Cash return</v>
          </cell>
          <cell r="D70">
            <v>9.3208333333333351E-2</v>
          </cell>
          <cell r="E70">
            <v>8.3291666666666681E-2</v>
          </cell>
          <cell r="F70">
            <v>7.154166666666667E-2</v>
          </cell>
          <cell r="G70">
            <v>6.3791666666666663E-2</v>
          </cell>
          <cell r="H70">
            <v>5.8875000000000004E-2</v>
          </cell>
          <cell r="I70">
            <v>5.4791666666666676E-2</v>
          </cell>
          <cell r="J70">
            <v>5.2875000000000005E-2</v>
          </cell>
          <cell r="K70">
            <v>5.0499999999999996E-2</v>
          </cell>
          <cell r="L70">
            <v>4.8500000000000008E-2</v>
          </cell>
          <cell r="M70">
            <v>4.7083333333333338E-2</v>
          </cell>
          <cell r="N70">
            <v>4.8250000000000001E-2</v>
          </cell>
          <cell r="O70">
            <v>5.3249999999999999E-2</v>
          </cell>
          <cell r="P70">
            <v>6.0041666666666674E-2</v>
          </cell>
          <cell r="Q70">
            <v>6.7058333333333345E-2</v>
          </cell>
          <cell r="R70">
            <v>7.2600000000000026E-2</v>
          </cell>
          <cell r="S70">
            <v>7.4266666666666661E-2</v>
          </cell>
          <cell r="T70">
            <v>7.4141666666666675E-2</v>
          </cell>
          <cell r="U70">
            <v>7.3666666666666672E-2</v>
          </cell>
          <cell r="V70">
            <v>7.2666666666666657E-2</v>
          </cell>
          <cell r="W70">
            <v>7.0391666666666672E-2</v>
          </cell>
          <cell r="X70">
            <v>6.696666666666666E-2</v>
          </cell>
          <cell r="Y70">
            <v>6.3125000000000014E-2</v>
          </cell>
          <cell r="Z70">
            <v>5.8083333333333348E-2</v>
          </cell>
          <cell r="AA70">
            <v>5.4225000000000023E-2</v>
          </cell>
          <cell r="AB70">
            <v>5.1600000000000007E-2</v>
          </cell>
          <cell r="AC70">
            <v>4.9791666666666679E-2</v>
          </cell>
          <cell r="AD70">
            <v>4.9791666666666679E-2</v>
          </cell>
          <cell r="AE70">
            <v>4.9575000000000008E-2</v>
          </cell>
          <cell r="AF70">
            <v>4.8941666666666668E-2</v>
          </cell>
          <cell r="AG70">
            <v>4.8391666666666666E-2</v>
          </cell>
          <cell r="AH70">
            <v>4.7833333333333325E-2</v>
          </cell>
          <cell r="AI70">
            <v>4.7866666666666662E-2</v>
          </cell>
          <cell r="AJ70">
            <v>4.9383333333333335E-2</v>
          </cell>
          <cell r="AK70">
            <v>5.2291666666666667E-2</v>
          </cell>
          <cell r="AL70">
            <v>5.5808333333333335E-2</v>
          </cell>
          <cell r="AM70">
            <v>5.9166666666666673E-2</v>
          </cell>
          <cell r="AN70">
            <v>6.0416666666666667E-2</v>
          </cell>
          <cell r="AO70">
            <v>5.8125000000000003E-2</v>
          </cell>
          <cell r="AP70">
            <v>5.5E-2</v>
          </cell>
          <cell r="AQ70">
            <v>5.0416666666666672E-2</v>
          </cell>
          <cell r="AR70">
            <v>4.6458333333333331E-2</v>
          </cell>
          <cell r="AS70">
            <v>4.520833333333333E-2</v>
          </cell>
          <cell r="AT70">
            <v>4.4791666666666667E-2</v>
          </cell>
          <cell r="AU70">
            <v>4.5624999999999999E-2</v>
          </cell>
          <cell r="AV70">
            <v>4.6875E-2</v>
          </cell>
          <cell r="AW70">
            <v>4.7500000000000001E-2</v>
          </cell>
          <cell r="AX70">
            <v>4.7500000000000001E-2</v>
          </cell>
          <cell r="AY70">
            <v>4.8125000000000001E-2</v>
          </cell>
          <cell r="AZ70">
            <v>4.9375000000000002E-2</v>
          </cell>
          <cell r="BA70">
            <v>5.0625000000000003E-2</v>
          </cell>
          <cell r="BB70">
            <v>5.1874999999999998E-2</v>
          </cell>
          <cell r="BC70">
            <v>5.2499999999999998E-2</v>
          </cell>
          <cell r="BD70">
            <v>5.2708333333333329E-2</v>
          </cell>
          <cell r="BE70">
            <v>5.333333333333333E-2</v>
          </cell>
          <cell r="BF70">
            <v>5.395833333333333E-2</v>
          </cell>
          <cell r="BG70">
            <v>5.4583333333333331E-2</v>
          </cell>
          <cell r="BH70">
            <v>5.5E-2</v>
          </cell>
          <cell r="BI70">
            <v>5.541666666666667E-2</v>
          </cell>
          <cell r="BJ70">
            <v>5.6458333333333333E-2</v>
          </cell>
          <cell r="BK70">
            <v>5.8125000000000003E-2</v>
          </cell>
          <cell r="BL70">
            <v>0.06</v>
          </cell>
          <cell r="BM70">
            <v>6.145833333333333E-2</v>
          </cell>
          <cell r="BN70">
            <v>6.2708333333333324E-2</v>
          </cell>
          <cell r="BO70">
            <v>6.3958333333333325E-2</v>
          </cell>
          <cell r="BP70">
            <v>6.5833333333333327E-2</v>
          </cell>
          <cell r="BQ70">
            <v>6.8333333333333329E-2</v>
          </cell>
          <cell r="BR70">
            <v>7.0208333333333331E-2</v>
          </cell>
          <cell r="BS70">
            <v>6.6458333333333328E-2</v>
          </cell>
          <cell r="BT70">
            <v>5.7916666666666672E-2</v>
          </cell>
          <cell r="BU70">
            <v>4.7291666666666669E-2</v>
          </cell>
          <cell r="BV70">
            <v>3.6874999999999998E-2</v>
          </cell>
          <cell r="BW70">
            <v>3.2708333333333332E-2</v>
          </cell>
          <cell r="BX70">
            <v>3.3333333333333333E-2</v>
          </cell>
          <cell r="BY70">
            <v>3.6874999999999998E-2</v>
          </cell>
          <cell r="BZ70">
            <v>4.0625000000000001E-2</v>
          </cell>
          <cell r="CA70">
            <v>4.3541666666666673E-2</v>
          </cell>
          <cell r="CB70">
            <v>4.583333333333333E-2</v>
          </cell>
          <cell r="CC70">
            <v>4.6666666666666669E-2</v>
          </cell>
          <cell r="CD70">
            <v>4.7291666666666669E-2</v>
          </cell>
          <cell r="CE70">
            <v>4.6875E-2</v>
          </cell>
          <cell r="CF70">
            <v>4.5624999999999999E-2</v>
          </cell>
          <cell r="CG70">
            <v>4.3333333333333328E-2</v>
          </cell>
          <cell r="CH70">
            <v>4.0208333333333332E-2</v>
          </cell>
          <cell r="CI70">
            <v>3.6874999999999998E-2</v>
          </cell>
          <cell r="CJ70">
            <v>3.3750000000000002E-2</v>
          </cell>
          <cell r="CK70">
            <v>3.125E-2</v>
          </cell>
          <cell r="CL70">
            <v>2.8958333333333336E-2</v>
          </cell>
          <cell r="CM70">
            <v>2.7291666666666665E-2</v>
          </cell>
          <cell r="CN70">
            <v>2.6041666666666664E-2</v>
          </cell>
          <cell r="CO70">
            <v>2.5208333333333336E-2</v>
          </cell>
          <cell r="CP70">
            <v>2.5000000000000001E-2</v>
          </cell>
          <cell r="CQ70">
            <v>2.5000000000000001E-2</v>
          </cell>
          <cell r="CR70">
            <v>2.4583333333333336E-2</v>
          </cell>
          <cell r="CS70">
            <v>2.3541666666666666E-2</v>
          </cell>
          <cell r="CT70">
            <v>2.2291666666666664E-2</v>
          </cell>
          <cell r="CU70">
            <v>2.1041666666666667E-2</v>
          </cell>
          <cell r="CV70">
            <v>2.0208333333333335E-2</v>
          </cell>
          <cell r="CW70">
            <v>1.9583333333333331E-2</v>
          </cell>
          <cell r="CX70">
            <v>1.8541666666666668E-2</v>
          </cell>
          <cell r="CY70">
            <v>1.7291666666666667E-2</v>
          </cell>
          <cell r="CZ70">
            <v>1.6041666666666666E-2</v>
          </cell>
          <cell r="DA70">
            <v>1.5208333333333332E-2</v>
          </cell>
          <cell r="DB70">
            <v>1.4999999999999999E-2</v>
          </cell>
          <cell r="DC70">
            <v>1.4999999999999999E-2</v>
          </cell>
          <cell r="DD70">
            <v>1.4999999999999999E-2</v>
          </cell>
          <cell r="DE70">
            <v>1.4999999999999999E-2</v>
          </cell>
          <cell r="DF70">
            <v>1.4999999999999999E-2</v>
          </cell>
          <cell r="DG70">
            <v>1.4999999999999999E-2</v>
          </cell>
          <cell r="DH70">
            <v>1.4999999999999999E-2</v>
          </cell>
          <cell r="DI70">
            <v>1.4791666666666668E-2</v>
          </cell>
          <cell r="DJ70">
            <v>1.3541666666666667E-2</v>
          </cell>
          <cell r="DK70">
            <v>1.1666666666666667E-2</v>
          </cell>
          <cell r="DL70">
            <v>9.3749999999999997E-3</v>
          </cell>
          <cell r="DM70">
            <v>6.4583333333333333E-3</v>
          </cell>
          <cell r="DN70">
            <v>4.5833333333333334E-3</v>
          </cell>
          <cell r="DO70">
            <v>3.0833333333333333E-3</v>
          </cell>
          <cell r="DP70">
            <v>1.8750000000000004E-3</v>
          </cell>
          <cell r="DQ70">
            <v>1.5000000000000005E-3</v>
          </cell>
          <cell r="DR70">
            <v>1.1250000000000001E-3</v>
          </cell>
          <cell r="DS70">
            <v>1E-3</v>
          </cell>
          <cell r="DT70">
            <v>1E-3</v>
          </cell>
          <cell r="DU70">
            <v>1.8333333333333333E-3</v>
          </cell>
          <cell r="DV70">
            <v>6.2083333333333322E-3</v>
          </cell>
          <cell r="DW70">
            <v>1.3083333333333334E-2</v>
          </cell>
          <cell r="DX70">
            <v>2.1208333333333336E-2</v>
          </cell>
          <cell r="DY70">
            <v>2.9750000000000002E-2</v>
          </cell>
          <cell r="DZ70">
            <v>3.5375000000000011E-2</v>
          </cell>
          <cell r="EA70">
            <v>3.8916666666666676E-2</v>
          </cell>
          <cell r="EB70">
            <v>4.1416666666666678E-2</v>
          </cell>
          <cell r="EC70">
            <v>4.2666666666666672E-2</v>
          </cell>
          <cell r="ED70">
            <v>4.3291666666666673E-2</v>
          </cell>
          <cell r="EE70">
            <v>4.3500000000000004E-2</v>
          </cell>
          <cell r="EF70">
            <v>4.3083333333333342E-2</v>
          </cell>
          <cell r="EG70">
            <v>4.2041666666666672E-2</v>
          </cell>
          <cell r="EH70">
            <v>4.0375000000000008E-2</v>
          </cell>
          <cell r="EI70">
            <v>3.8500000000000006E-2</v>
          </cell>
          <cell r="EJ70">
            <v>3.7880489988844968E-2</v>
          </cell>
          <cell r="EK70">
            <v>3.7505780701528435E-2</v>
          </cell>
          <cell r="EL70">
            <v>3.8094761523321585E-2</v>
          </cell>
          <cell r="EM70">
            <v>3.9220050071801404E-2</v>
          </cell>
          <cell r="EN70">
            <v>4.0024449763788494E-2</v>
          </cell>
          <cell r="EO70">
            <v>4.0346408854202265E-2</v>
          </cell>
          <cell r="EP70">
            <v>4.0024449763788272E-2</v>
          </cell>
          <cell r="EQ70">
            <v>3.9059170133403764E-2</v>
          </cell>
          <cell r="ER70">
            <v>3.7934055788984455E-2</v>
          </cell>
          <cell r="ES70">
            <v>3.7131024458104234E-2</v>
          </cell>
          <cell r="ET70">
            <v>3.6649429393655897E-2</v>
          </cell>
          <cell r="EU70">
            <v>3.6488922560999448E-2</v>
          </cell>
          <cell r="EV70">
            <v>3.6488922560999448E-2</v>
          </cell>
          <cell r="EW70">
            <v>3.6488922560999448E-2</v>
          </cell>
          <cell r="EX70">
            <v>3.6488922560999448E-2</v>
          </cell>
          <cell r="EY70">
            <v>3.6488922560999448E-2</v>
          </cell>
          <cell r="EZ70">
            <v>3.6488922560999448E-2</v>
          </cell>
          <cell r="FA70">
            <v>3.6488922560999448E-2</v>
          </cell>
          <cell r="FB70">
            <v>3.6488922560999448E-2</v>
          </cell>
          <cell r="FC70">
            <v>3.6488922560999448E-2</v>
          </cell>
          <cell r="FD70">
            <v>3.6488922560999448E-2</v>
          </cell>
          <cell r="FE70">
            <v>3.6488922560999448E-2</v>
          </cell>
          <cell r="FF70">
            <v>3.6488922560999448E-2</v>
          </cell>
          <cell r="FG70">
            <v>3.6488922560999448E-2</v>
          </cell>
          <cell r="FH70">
            <v>3.6488922560999448E-2</v>
          </cell>
          <cell r="FI70">
            <v>3.6488922560999448E-2</v>
          </cell>
          <cell r="FJ70">
            <v>3.6488922560999448E-2</v>
          </cell>
          <cell r="FK70">
            <v>3.6488922560999448E-2</v>
          </cell>
          <cell r="FL70">
            <v>3.6488922560999448E-2</v>
          </cell>
          <cell r="FM70">
            <v>3.6488922560999448E-2</v>
          </cell>
          <cell r="FN70">
            <v>3.6488922560999448E-2</v>
          </cell>
          <cell r="FO70">
            <v>3.6488922560999448E-2</v>
          </cell>
          <cell r="FP70">
            <v>3.6488922560999448E-2</v>
          </cell>
          <cell r="FQ70">
            <v>3.6488922560999448E-2</v>
          </cell>
          <cell r="FR70">
            <v>3.6488922560999448E-2</v>
          </cell>
          <cell r="FS70">
            <v>3.6488922560999448E-2</v>
          </cell>
          <cell r="FT70">
            <v>3.6488922560999448E-2</v>
          </cell>
          <cell r="FU70">
            <v>3.6488922560999448E-2</v>
          </cell>
        </row>
        <row r="72">
          <cell r="B72" t="str">
            <v>Miscellaneous</v>
          </cell>
        </row>
        <row r="73">
          <cell r="A73" t="str">
            <v>ASS_TXCorpRate</v>
          </cell>
          <cell r="B73" t="str">
            <v>Corporate tax rate</v>
          </cell>
          <cell r="D73">
            <v>0.33</v>
          </cell>
          <cell r="E73">
            <v>0.33</v>
          </cell>
          <cell r="F73">
            <v>0.33</v>
          </cell>
          <cell r="G73">
            <v>0.33</v>
          </cell>
          <cell r="H73">
            <v>0.33</v>
          </cell>
          <cell r="I73">
            <v>0.33</v>
          </cell>
          <cell r="J73">
            <v>0.33</v>
          </cell>
          <cell r="K73">
            <v>0.33</v>
          </cell>
          <cell r="L73">
            <v>0.33</v>
          </cell>
          <cell r="M73">
            <v>0.33</v>
          </cell>
          <cell r="N73">
            <v>0.33</v>
          </cell>
          <cell r="O73">
            <v>0.33</v>
          </cell>
          <cell r="P73">
            <v>0.33</v>
          </cell>
          <cell r="Q73">
            <v>0.33</v>
          </cell>
          <cell r="R73">
            <v>0.33</v>
          </cell>
          <cell r="S73">
            <v>0.36</v>
          </cell>
          <cell r="T73">
            <v>0.36</v>
          </cell>
          <cell r="U73">
            <v>0.36</v>
          </cell>
          <cell r="V73">
            <v>0.36</v>
          </cell>
          <cell r="W73">
            <v>0.36</v>
          </cell>
          <cell r="X73">
            <v>0.36</v>
          </cell>
          <cell r="Y73">
            <v>0.36</v>
          </cell>
          <cell r="Z73">
            <v>0.36</v>
          </cell>
          <cell r="AA73">
            <v>0.36</v>
          </cell>
          <cell r="AB73">
            <v>0.36</v>
          </cell>
          <cell r="AC73">
            <v>0.36</v>
          </cell>
          <cell r="AD73">
            <v>0.36</v>
          </cell>
          <cell r="AE73">
            <v>0.36</v>
          </cell>
          <cell r="AF73">
            <v>0.36</v>
          </cell>
          <cell r="AG73">
            <v>0.36</v>
          </cell>
          <cell r="AH73">
            <v>0.36</v>
          </cell>
          <cell r="AI73">
            <v>0.36</v>
          </cell>
          <cell r="AJ73">
            <v>0.36</v>
          </cell>
          <cell r="AK73">
            <v>0.36</v>
          </cell>
          <cell r="AL73">
            <v>0.36</v>
          </cell>
          <cell r="AM73">
            <v>0.34</v>
          </cell>
          <cell r="AN73">
            <v>0.34</v>
          </cell>
          <cell r="AO73">
            <v>0.34</v>
          </cell>
          <cell r="AP73">
            <v>0.34</v>
          </cell>
          <cell r="AQ73">
            <v>0.3</v>
          </cell>
          <cell r="AR73">
            <v>0.3</v>
          </cell>
          <cell r="AS73">
            <v>0.3</v>
          </cell>
          <cell r="AT73">
            <v>0.3</v>
          </cell>
          <cell r="AU73">
            <v>0.3</v>
          </cell>
          <cell r="AV73">
            <v>0.3</v>
          </cell>
          <cell r="AW73">
            <v>0.3</v>
          </cell>
          <cell r="AX73">
            <v>0.3</v>
          </cell>
          <cell r="AY73">
            <v>0.3</v>
          </cell>
          <cell r="AZ73">
            <v>0.3</v>
          </cell>
          <cell r="BA73">
            <v>0.3</v>
          </cell>
          <cell r="BB73">
            <v>0.3</v>
          </cell>
          <cell r="BC73">
            <v>0.3</v>
          </cell>
          <cell r="BD73">
            <v>0.3</v>
          </cell>
          <cell r="BE73">
            <v>0.3</v>
          </cell>
          <cell r="BF73">
            <v>0.3</v>
          </cell>
          <cell r="BG73">
            <v>0.3</v>
          </cell>
          <cell r="BH73">
            <v>0.3</v>
          </cell>
          <cell r="BI73">
            <v>0.3</v>
          </cell>
          <cell r="BJ73">
            <v>0.3</v>
          </cell>
          <cell r="BK73">
            <v>0.3</v>
          </cell>
          <cell r="BL73">
            <v>0.3</v>
          </cell>
          <cell r="BM73">
            <v>0.3</v>
          </cell>
          <cell r="BN73">
            <v>0.3</v>
          </cell>
          <cell r="BO73">
            <v>0.3</v>
          </cell>
          <cell r="BP73">
            <v>0.3</v>
          </cell>
          <cell r="BQ73">
            <v>0.3</v>
          </cell>
          <cell r="BR73">
            <v>0.3</v>
          </cell>
          <cell r="BS73">
            <v>0.3</v>
          </cell>
          <cell r="BT73">
            <v>0.3</v>
          </cell>
          <cell r="BU73">
            <v>0.3</v>
          </cell>
          <cell r="BV73">
            <v>0.3</v>
          </cell>
          <cell r="BW73">
            <v>0.3</v>
          </cell>
          <cell r="BX73">
            <v>0.3</v>
          </cell>
          <cell r="BY73">
            <v>0.3</v>
          </cell>
          <cell r="BZ73">
            <v>0.3</v>
          </cell>
          <cell r="CA73">
            <v>0.3</v>
          </cell>
          <cell r="CB73">
            <v>0.3</v>
          </cell>
          <cell r="CC73">
            <v>0.3</v>
          </cell>
          <cell r="CD73">
            <v>0.3</v>
          </cell>
          <cell r="CE73">
            <v>0.3</v>
          </cell>
          <cell r="CF73">
            <v>0.3</v>
          </cell>
          <cell r="CG73">
            <v>0.3</v>
          </cell>
          <cell r="CH73">
            <v>0.3</v>
          </cell>
          <cell r="CI73">
            <v>0.3</v>
          </cell>
          <cell r="CJ73">
            <v>0.3</v>
          </cell>
          <cell r="CK73">
            <v>0.3</v>
          </cell>
          <cell r="CL73">
            <v>0.3</v>
          </cell>
          <cell r="CM73">
            <v>0.3</v>
          </cell>
          <cell r="CN73">
            <v>0.3</v>
          </cell>
          <cell r="CO73">
            <v>0.3</v>
          </cell>
          <cell r="CP73">
            <v>0.3</v>
          </cell>
          <cell r="CQ73">
            <v>0.3</v>
          </cell>
          <cell r="CR73">
            <v>0.3</v>
          </cell>
          <cell r="CS73">
            <v>0.3</v>
          </cell>
          <cell r="CT73">
            <v>0.3</v>
          </cell>
          <cell r="CU73">
            <v>0.3</v>
          </cell>
          <cell r="CV73">
            <v>0.3</v>
          </cell>
          <cell r="CW73">
            <v>0.3</v>
          </cell>
          <cell r="CX73">
            <v>0.3</v>
          </cell>
          <cell r="CY73">
            <v>0.3</v>
          </cell>
          <cell r="CZ73">
            <v>0.3</v>
          </cell>
          <cell r="DA73">
            <v>0.3</v>
          </cell>
          <cell r="DB73">
            <v>0.3</v>
          </cell>
          <cell r="DC73">
            <v>0.3</v>
          </cell>
          <cell r="DD73">
            <v>0.3</v>
          </cell>
          <cell r="DE73">
            <v>0.3</v>
          </cell>
          <cell r="DF73">
            <v>0.3</v>
          </cell>
          <cell r="DG73">
            <v>0.3</v>
          </cell>
          <cell r="DH73">
            <v>0.3</v>
          </cell>
          <cell r="DI73">
            <v>0.3</v>
          </cell>
          <cell r="DJ73">
            <v>0.3</v>
          </cell>
          <cell r="DK73">
            <v>0.3</v>
          </cell>
          <cell r="DL73">
            <v>0.3</v>
          </cell>
          <cell r="DM73">
            <v>0.3</v>
          </cell>
          <cell r="DN73">
            <v>0.3</v>
          </cell>
          <cell r="DO73">
            <v>0.3</v>
          </cell>
          <cell r="DP73">
            <v>0.3</v>
          </cell>
          <cell r="DQ73">
            <v>0.3</v>
          </cell>
          <cell r="DR73">
            <v>0.3</v>
          </cell>
          <cell r="DS73">
            <v>0.3</v>
          </cell>
          <cell r="DT73">
            <v>0.3</v>
          </cell>
          <cell r="DU73">
            <v>0.3</v>
          </cell>
          <cell r="DV73">
            <v>0.3</v>
          </cell>
          <cell r="DW73">
            <v>0.3</v>
          </cell>
          <cell r="DX73">
            <v>0.3</v>
          </cell>
          <cell r="DY73">
            <v>0.3</v>
          </cell>
          <cell r="DZ73">
            <v>0.3</v>
          </cell>
          <cell r="EA73">
            <v>0.3</v>
          </cell>
          <cell r="EB73">
            <v>0.3</v>
          </cell>
          <cell r="EC73">
            <v>0.3</v>
          </cell>
          <cell r="ED73">
            <v>0.3</v>
          </cell>
          <cell r="EE73">
            <v>0.3</v>
          </cell>
          <cell r="EF73">
            <v>0.3</v>
          </cell>
          <cell r="EG73">
            <v>0.3</v>
          </cell>
          <cell r="EH73">
            <v>0.3</v>
          </cell>
          <cell r="EI73">
            <v>0.3</v>
          </cell>
          <cell r="EJ73">
            <v>0.3</v>
          </cell>
          <cell r="EK73">
            <v>0.3</v>
          </cell>
          <cell r="EL73">
            <v>0.3</v>
          </cell>
          <cell r="EM73">
            <v>0.3</v>
          </cell>
          <cell r="EN73">
            <v>0.3</v>
          </cell>
          <cell r="EO73">
            <v>0.3</v>
          </cell>
          <cell r="EP73">
            <v>0.3</v>
          </cell>
          <cell r="EQ73">
            <v>0.3</v>
          </cell>
          <cell r="ER73">
            <v>0.3</v>
          </cell>
          <cell r="ES73">
            <v>0.3</v>
          </cell>
          <cell r="ET73">
            <v>0.3</v>
          </cell>
          <cell r="EU73">
            <v>0.3</v>
          </cell>
          <cell r="EV73">
            <v>0.3</v>
          </cell>
          <cell r="EW73">
            <v>0.3</v>
          </cell>
          <cell r="EX73">
            <v>0.3</v>
          </cell>
          <cell r="EY73">
            <v>0.3</v>
          </cell>
          <cell r="EZ73">
            <v>0.3</v>
          </cell>
          <cell r="FA73">
            <v>0.3</v>
          </cell>
          <cell r="FB73">
            <v>0.3</v>
          </cell>
          <cell r="FC73">
            <v>0.3</v>
          </cell>
          <cell r="FD73">
            <v>0.3</v>
          </cell>
          <cell r="FE73">
            <v>0.3</v>
          </cell>
          <cell r="FF73">
            <v>0.3</v>
          </cell>
          <cell r="FG73">
            <v>0.3</v>
          </cell>
          <cell r="FH73">
            <v>0.3</v>
          </cell>
          <cell r="FI73">
            <v>0.3</v>
          </cell>
          <cell r="FJ73">
            <v>0.3</v>
          </cell>
          <cell r="FK73">
            <v>0.3</v>
          </cell>
          <cell r="FL73">
            <v>0.3</v>
          </cell>
          <cell r="FM73">
            <v>0.3</v>
          </cell>
          <cell r="FN73">
            <v>0.3</v>
          </cell>
          <cell r="FO73">
            <v>0.3</v>
          </cell>
          <cell r="FP73">
            <v>0.3</v>
          </cell>
          <cell r="FQ73">
            <v>0.3</v>
          </cell>
          <cell r="FR73">
            <v>0.3</v>
          </cell>
          <cell r="FS73">
            <v>0.3</v>
          </cell>
          <cell r="FT73">
            <v>0.3</v>
          </cell>
          <cell r="FU73">
            <v>0.3</v>
          </cell>
        </row>
        <row r="74">
          <cell r="A74" t="str">
            <v>ASS_TXFrankingValued</v>
          </cell>
          <cell r="B74" t="str">
            <v>Proportion of franking credits valued</v>
          </cell>
          <cell r="D74">
            <v>0.6</v>
          </cell>
          <cell r="E74">
            <v>0.6</v>
          </cell>
          <cell r="F74">
            <v>0.6</v>
          </cell>
          <cell r="G74">
            <v>0.6</v>
          </cell>
          <cell r="H74">
            <v>0.6</v>
          </cell>
          <cell r="I74">
            <v>0.6</v>
          </cell>
          <cell r="J74">
            <v>0.6</v>
          </cell>
          <cell r="K74">
            <v>0.6</v>
          </cell>
          <cell r="L74">
            <v>0.6</v>
          </cell>
          <cell r="M74">
            <v>0.6</v>
          </cell>
          <cell r="N74">
            <v>0.6</v>
          </cell>
          <cell r="O74">
            <v>0.6</v>
          </cell>
          <cell r="P74">
            <v>0.6</v>
          </cell>
          <cell r="Q74">
            <v>0.6</v>
          </cell>
          <cell r="R74">
            <v>0.6</v>
          </cell>
          <cell r="S74">
            <v>0.6</v>
          </cell>
          <cell r="T74">
            <v>0.6</v>
          </cell>
          <cell r="U74">
            <v>0.6</v>
          </cell>
          <cell r="V74">
            <v>0.6</v>
          </cell>
          <cell r="W74">
            <v>0.6</v>
          </cell>
          <cell r="X74">
            <v>0.6</v>
          </cell>
          <cell r="Y74">
            <v>0.6</v>
          </cell>
          <cell r="Z74">
            <v>0.6</v>
          </cell>
          <cell r="AA74">
            <v>0.6</v>
          </cell>
          <cell r="AB74">
            <v>0.6</v>
          </cell>
          <cell r="AC74">
            <v>0.6</v>
          </cell>
          <cell r="AD74">
            <v>0.6</v>
          </cell>
          <cell r="AE74">
            <v>0.6</v>
          </cell>
          <cell r="AF74">
            <v>0.6</v>
          </cell>
          <cell r="AG74">
            <v>0.6</v>
          </cell>
          <cell r="AH74">
            <v>0.6</v>
          </cell>
          <cell r="AI74">
            <v>0.6</v>
          </cell>
          <cell r="AJ74">
            <v>0.6</v>
          </cell>
          <cell r="AK74">
            <v>0.6</v>
          </cell>
          <cell r="AL74">
            <v>0.6</v>
          </cell>
          <cell r="AM74">
            <v>0.6</v>
          </cell>
          <cell r="AN74">
            <v>0.6</v>
          </cell>
          <cell r="AO74">
            <v>0.6</v>
          </cell>
          <cell r="AP74">
            <v>0.6</v>
          </cell>
          <cell r="AQ74">
            <v>0.6</v>
          </cell>
          <cell r="AR74">
            <v>0.6</v>
          </cell>
          <cell r="AS74">
            <v>0.6</v>
          </cell>
          <cell r="AT74">
            <v>0.6</v>
          </cell>
          <cell r="AU74">
            <v>0.6</v>
          </cell>
          <cell r="AV74">
            <v>0.6</v>
          </cell>
          <cell r="AW74">
            <v>0.6</v>
          </cell>
          <cell r="AX74">
            <v>0.6</v>
          </cell>
          <cell r="AY74">
            <v>0.6</v>
          </cell>
          <cell r="AZ74">
            <v>0.6</v>
          </cell>
          <cell r="BA74">
            <v>0.6</v>
          </cell>
          <cell r="BB74">
            <v>0.6</v>
          </cell>
          <cell r="BC74">
            <v>0.6</v>
          </cell>
          <cell r="BD74">
            <v>0.6</v>
          </cell>
          <cell r="BE74">
            <v>0.6</v>
          </cell>
          <cell r="BF74">
            <v>0.6</v>
          </cell>
          <cell r="BG74">
            <v>0.6</v>
          </cell>
          <cell r="BH74">
            <v>0.6</v>
          </cell>
          <cell r="BI74">
            <v>0.6</v>
          </cell>
          <cell r="BJ74">
            <v>0.6</v>
          </cell>
          <cell r="BK74">
            <v>0.6</v>
          </cell>
          <cell r="BL74">
            <v>0.6</v>
          </cell>
          <cell r="BM74">
            <v>0.6</v>
          </cell>
          <cell r="BN74">
            <v>0.6</v>
          </cell>
          <cell r="BO74">
            <v>0.6</v>
          </cell>
          <cell r="BP74">
            <v>0.6</v>
          </cell>
          <cell r="BQ74">
            <v>0.6</v>
          </cell>
          <cell r="BR74">
            <v>0.6</v>
          </cell>
          <cell r="BS74">
            <v>0.6</v>
          </cell>
          <cell r="BT74">
            <v>0.6</v>
          </cell>
          <cell r="BU74">
            <v>0.6</v>
          </cell>
          <cell r="BV74">
            <v>0.6</v>
          </cell>
          <cell r="BW74">
            <v>0.6</v>
          </cell>
          <cell r="BX74">
            <v>0.6</v>
          </cell>
          <cell r="BY74">
            <v>0.6</v>
          </cell>
          <cell r="BZ74">
            <v>0.6</v>
          </cell>
          <cell r="CA74">
            <v>0.6</v>
          </cell>
          <cell r="CB74">
            <v>0.6</v>
          </cell>
          <cell r="CC74">
            <v>0.6</v>
          </cell>
          <cell r="CD74">
            <v>0.6</v>
          </cell>
          <cell r="CE74">
            <v>0.6</v>
          </cell>
          <cell r="CF74">
            <v>0.6</v>
          </cell>
          <cell r="CG74">
            <v>0.6</v>
          </cell>
          <cell r="CH74">
            <v>0.6</v>
          </cell>
          <cell r="CI74">
            <v>0.6</v>
          </cell>
          <cell r="CJ74">
            <v>0.6</v>
          </cell>
          <cell r="CK74">
            <v>0.6</v>
          </cell>
          <cell r="CL74">
            <v>0.6</v>
          </cell>
          <cell r="CM74">
            <v>0.6</v>
          </cell>
          <cell r="CN74">
            <v>0.6</v>
          </cell>
          <cell r="CO74">
            <v>0.6</v>
          </cell>
          <cell r="CP74">
            <v>0.6</v>
          </cell>
          <cell r="CQ74">
            <v>0.6</v>
          </cell>
          <cell r="CR74">
            <v>0.6</v>
          </cell>
          <cell r="CS74">
            <v>0.6</v>
          </cell>
          <cell r="CT74">
            <v>0.6</v>
          </cell>
          <cell r="CU74">
            <v>0.6</v>
          </cell>
          <cell r="CV74">
            <v>0.6</v>
          </cell>
          <cell r="CW74">
            <v>0.6</v>
          </cell>
          <cell r="CX74">
            <v>0.6</v>
          </cell>
          <cell r="CY74">
            <v>0.6</v>
          </cell>
          <cell r="CZ74">
            <v>0.6</v>
          </cell>
          <cell r="DA74">
            <v>0.6</v>
          </cell>
          <cell r="DB74">
            <v>0.6</v>
          </cell>
          <cell r="DC74">
            <v>0.6</v>
          </cell>
          <cell r="DD74">
            <v>0.6</v>
          </cell>
          <cell r="DE74">
            <v>0.6</v>
          </cell>
          <cell r="DF74">
            <v>0.6</v>
          </cell>
          <cell r="DG74">
            <v>0.6</v>
          </cell>
          <cell r="DH74">
            <v>0.6</v>
          </cell>
          <cell r="DI74">
            <v>0.6</v>
          </cell>
          <cell r="DJ74">
            <v>0.6</v>
          </cell>
          <cell r="DK74">
            <v>0.6</v>
          </cell>
          <cell r="DL74">
            <v>0.6</v>
          </cell>
          <cell r="DM74">
            <v>0.6</v>
          </cell>
          <cell r="DN74">
            <v>0.6</v>
          </cell>
          <cell r="DO74">
            <v>0.6</v>
          </cell>
          <cell r="DP74">
            <v>0.6</v>
          </cell>
          <cell r="DQ74">
            <v>0.6</v>
          </cell>
          <cell r="DR74">
            <v>0.6</v>
          </cell>
          <cell r="DS74">
            <v>0.6</v>
          </cell>
          <cell r="DT74">
            <v>0.6</v>
          </cell>
          <cell r="DU74">
            <v>0.6</v>
          </cell>
          <cell r="DV74">
            <v>0.6</v>
          </cell>
          <cell r="DW74">
            <v>0.6</v>
          </cell>
          <cell r="DX74">
            <v>0.6</v>
          </cell>
          <cell r="DY74">
            <v>0.6</v>
          </cell>
          <cell r="DZ74">
            <v>0.6</v>
          </cell>
          <cell r="EA74">
            <v>0.6</v>
          </cell>
          <cell r="EB74">
            <v>0.6</v>
          </cell>
          <cell r="EC74">
            <v>0.6</v>
          </cell>
          <cell r="ED74">
            <v>0.6</v>
          </cell>
          <cell r="EE74">
            <v>0.6</v>
          </cell>
          <cell r="EF74">
            <v>0.6</v>
          </cell>
          <cell r="EG74">
            <v>0.6</v>
          </cell>
          <cell r="EH74">
            <v>0.6</v>
          </cell>
          <cell r="EI74">
            <v>0.6</v>
          </cell>
          <cell r="EJ74">
            <v>0.6</v>
          </cell>
          <cell r="EK74">
            <v>0.6</v>
          </cell>
          <cell r="EL74">
            <v>0.6</v>
          </cell>
          <cell r="EM74">
            <v>0.6</v>
          </cell>
          <cell r="EN74">
            <v>0.6</v>
          </cell>
          <cell r="EO74">
            <v>0.6</v>
          </cell>
          <cell r="EP74">
            <v>0.6</v>
          </cell>
          <cell r="EQ74">
            <v>0.6</v>
          </cell>
          <cell r="ER74">
            <v>0.6</v>
          </cell>
          <cell r="ES74">
            <v>0.6</v>
          </cell>
          <cell r="ET74">
            <v>0.6</v>
          </cell>
          <cell r="EU74">
            <v>0.6</v>
          </cell>
          <cell r="EV74">
            <v>0.6</v>
          </cell>
          <cell r="EW74">
            <v>0.6</v>
          </cell>
          <cell r="EX74">
            <v>0.6</v>
          </cell>
          <cell r="EY74">
            <v>0.6</v>
          </cell>
          <cell r="EZ74">
            <v>0.6</v>
          </cell>
          <cell r="FA74">
            <v>0.6</v>
          </cell>
          <cell r="FB74">
            <v>0.6</v>
          </cell>
          <cell r="FC74">
            <v>0.6</v>
          </cell>
          <cell r="FD74">
            <v>0.6</v>
          </cell>
          <cell r="FE74">
            <v>0.6</v>
          </cell>
          <cell r="FF74">
            <v>0.6</v>
          </cell>
          <cell r="FG74">
            <v>0.6</v>
          </cell>
          <cell r="FH74">
            <v>0.6</v>
          </cell>
          <cell r="FI74">
            <v>0.6</v>
          </cell>
          <cell r="FJ74">
            <v>0.6</v>
          </cell>
          <cell r="FK74">
            <v>0.6</v>
          </cell>
          <cell r="FL74">
            <v>0.6</v>
          </cell>
          <cell r="FM74">
            <v>0.6</v>
          </cell>
          <cell r="FN74">
            <v>0.6</v>
          </cell>
          <cell r="FO74">
            <v>0.6</v>
          </cell>
          <cell r="FP74">
            <v>0.6</v>
          </cell>
          <cell r="FQ74">
            <v>0.6</v>
          </cell>
          <cell r="FR74">
            <v>0.6</v>
          </cell>
          <cell r="FS74">
            <v>0.6</v>
          </cell>
          <cell r="FT74">
            <v>0.6</v>
          </cell>
          <cell r="FU74">
            <v>0.6</v>
          </cell>
        </row>
        <row r="75">
          <cell r="A75" t="str">
            <v>au_cpi_yoy</v>
          </cell>
          <cell r="B75" t="str">
            <v>Cost inflation (6mo)</v>
          </cell>
          <cell r="D75">
            <v>1.7000000000000001E-2</v>
          </cell>
          <cell r="E75">
            <v>1.2E-2</v>
          </cell>
          <cell r="F75">
            <v>8.0000000000000002E-3</v>
          </cell>
          <cell r="G75">
            <v>3.0000000000000001E-3</v>
          </cell>
          <cell r="H75">
            <v>1.2E-2</v>
          </cell>
          <cell r="I75">
            <v>1.8000000000000002E-2</v>
          </cell>
          <cell r="J75">
            <v>2.2000000000000002E-2</v>
          </cell>
          <cell r="K75">
            <v>1.8000000000000002E-2</v>
          </cell>
          <cell r="L75">
            <v>1.4999999999999999E-2</v>
          </cell>
          <cell r="M75">
            <v>1.8000000000000002E-2</v>
          </cell>
          <cell r="N75">
            <v>0.02</v>
          </cell>
          <cell r="O75">
            <v>2.6000000000000002E-2</v>
          </cell>
          <cell r="P75">
            <v>3.7000000000000005E-2</v>
          </cell>
          <cell r="Q75">
            <v>4.4999999999999998E-2</v>
          </cell>
          <cell r="R75">
            <v>5.0999999999999997E-2</v>
          </cell>
          <cell r="S75">
            <v>5.0999999999999997E-2</v>
          </cell>
          <cell r="T75">
            <v>3.7999999999999999E-2</v>
          </cell>
          <cell r="U75">
            <v>3.1E-2</v>
          </cell>
          <cell r="V75">
            <v>2.1000000000000001E-2</v>
          </cell>
          <cell r="W75">
            <v>1.4999999999999999E-2</v>
          </cell>
          <cell r="X75">
            <v>1.3999999999999999E-2</v>
          </cell>
          <cell r="Y75">
            <v>3.0000000000000001E-3</v>
          </cell>
          <cell r="Z75">
            <v>-4.0000000000000001E-3</v>
          </cell>
          <cell r="AA75">
            <v>-3.0000000000000001E-3</v>
          </cell>
          <cell r="AB75">
            <v>-1E-3</v>
          </cell>
          <cell r="AC75">
            <v>6.9999999999999993E-3</v>
          </cell>
          <cell r="AD75">
            <v>1.3999999999999999E-2</v>
          </cell>
          <cell r="AE75">
            <v>1.4999999999999999E-2</v>
          </cell>
          <cell r="AF75">
            <v>1.2E-2</v>
          </cell>
          <cell r="AG75">
            <v>0.01</v>
          </cell>
          <cell r="AH75">
            <v>1.8000000000000002E-2</v>
          </cell>
          <cell r="AI75">
            <v>1.9E-2</v>
          </cell>
          <cell r="AJ75">
            <v>2.7999999999999997E-2</v>
          </cell>
          <cell r="AK75">
            <v>3.1E-2</v>
          </cell>
          <cell r="AL75">
            <v>6.0999999999999999E-2</v>
          </cell>
          <cell r="AM75">
            <v>5.7999999999999996E-2</v>
          </cell>
          <cell r="AN75">
            <v>0.06</v>
          </cell>
          <cell r="AO75">
            <v>6.0999999999999999E-2</v>
          </cell>
          <cell r="AP75">
            <v>2.5000000000000001E-2</v>
          </cell>
          <cell r="AQ75">
            <v>3.1E-2</v>
          </cell>
          <cell r="AR75">
            <v>0.03</v>
          </cell>
          <cell r="AS75">
            <v>2.7999999999999997E-2</v>
          </cell>
          <cell r="AT75">
            <v>3.2000000000000001E-2</v>
          </cell>
          <cell r="AU75">
            <v>2.8999999999999998E-2</v>
          </cell>
          <cell r="AV75">
            <v>3.3000000000000002E-2</v>
          </cell>
          <cell r="AW75">
            <v>2.6000000000000002E-2</v>
          </cell>
          <cell r="AX75">
            <v>2.6000000000000002E-2</v>
          </cell>
          <cell r="AY75">
            <v>2.4E-2</v>
          </cell>
          <cell r="AZ75">
            <v>0.02</v>
          </cell>
          <cell r="BA75">
            <v>2.5000000000000001E-2</v>
          </cell>
          <cell r="BB75">
            <v>2.3E-2</v>
          </cell>
          <cell r="BC75">
            <v>2.5000000000000001E-2</v>
          </cell>
          <cell r="BD75">
            <v>2.4E-2</v>
          </cell>
          <cell r="BE75">
            <v>2.5000000000000001E-2</v>
          </cell>
          <cell r="BF75">
            <v>3.1E-2</v>
          </cell>
          <cell r="BG75">
            <v>2.7999999999999997E-2</v>
          </cell>
          <cell r="BH75">
            <v>2.8999999999999998E-2</v>
          </cell>
          <cell r="BI75">
            <v>0.04</v>
          </cell>
          <cell r="BJ75">
            <v>0.04</v>
          </cell>
          <cell r="BK75">
            <v>3.3000000000000002E-2</v>
          </cell>
          <cell r="BL75">
            <v>2.5000000000000001E-2</v>
          </cell>
          <cell r="BM75">
            <v>2.1000000000000001E-2</v>
          </cell>
          <cell r="BN75">
            <v>1.8000000000000002E-2</v>
          </cell>
          <cell r="BO75">
            <v>2.8999999999999998E-2</v>
          </cell>
          <cell r="BP75">
            <v>4.2999999999999997E-2</v>
          </cell>
          <cell r="BQ75">
            <v>4.4000000000000004E-2</v>
          </cell>
          <cell r="BR75">
            <v>0.05</v>
          </cell>
          <cell r="BS75">
            <v>3.7000000000000005E-2</v>
          </cell>
          <cell r="BT75">
            <v>2.4E-2</v>
          </cell>
          <cell r="BU75">
            <v>1.3999999999999999E-2</v>
          </cell>
          <cell r="BV75">
            <v>1.2E-2</v>
          </cell>
          <cell r="BW75">
            <v>2.1000000000000001E-2</v>
          </cell>
          <cell r="BX75">
            <v>2.8999999999999998E-2</v>
          </cell>
          <cell r="BY75">
            <v>3.1E-2</v>
          </cell>
          <cell r="BZ75">
            <v>2.8999999999999998E-2</v>
          </cell>
          <cell r="CA75">
            <v>2.7999999999999997E-2</v>
          </cell>
          <cell r="CB75">
            <v>3.3000000000000002E-2</v>
          </cell>
          <cell r="CC75">
            <v>3.5000000000000003E-2</v>
          </cell>
          <cell r="CD75">
            <v>3.4000000000000002E-2</v>
          </cell>
          <cell r="CE75">
            <v>0.03</v>
          </cell>
          <cell r="CF75">
            <v>1.6E-2</v>
          </cell>
          <cell r="CG75">
            <v>1.2E-2</v>
          </cell>
          <cell r="CH75">
            <v>0.02</v>
          </cell>
          <cell r="CI75">
            <v>2.2000000000000002E-2</v>
          </cell>
          <cell r="CJ75">
            <v>2.5000000000000001E-2</v>
          </cell>
          <cell r="CK75">
            <v>2.4E-2</v>
          </cell>
          <cell r="CL75">
            <v>2.2000000000000002E-2</v>
          </cell>
          <cell r="CM75">
            <v>2.7000000000000003E-2</v>
          </cell>
          <cell r="CN75">
            <v>2.8999999999999998E-2</v>
          </cell>
          <cell r="CO75">
            <v>0.03</v>
          </cell>
          <cell r="CP75">
            <v>2.3E-2</v>
          </cell>
          <cell r="CQ75">
            <v>1.7000000000000001E-2</v>
          </cell>
          <cell r="CR75">
            <v>1.3000000000000001E-2</v>
          </cell>
          <cell r="CS75">
            <v>1.4999999999999999E-2</v>
          </cell>
          <cell r="CT75">
            <v>1.4999999999999999E-2</v>
          </cell>
          <cell r="CU75">
            <v>1.7000000000000001E-2</v>
          </cell>
          <cell r="CV75">
            <v>1.3000000000000001E-2</v>
          </cell>
          <cell r="CW75">
            <v>0.01</v>
          </cell>
          <cell r="CX75">
            <v>1.3000000000000001E-2</v>
          </cell>
          <cell r="CY75">
            <v>1.4999999999999999E-2</v>
          </cell>
          <cell r="CZ75">
            <v>2.1000000000000001E-2</v>
          </cell>
          <cell r="DA75">
            <v>1.9E-2</v>
          </cell>
          <cell r="DB75">
            <v>1.8000000000000002E-2</v>
          </cell>
          <cell r="DC75">
            <v>1.9E-2</v>
          </cell>
          <cell r="DD75">
            <v>1.9E-2</v>
          </cell>
          <cell r="DE75">
            <v>2.1000000000000001E-2</v>
          </cell>
          <cell r="DF75">
            <v>1.9E-2</v>
          </cell>
          <cell r="DG75">
            <v>1.8000000000000002E-2</v>
          </cell>
          <cell r="DH75">
            <v>1.3000000000000001E-2</v>
          </cell>
          <cell r="DI75">
            <v>1.6E-2</v>
          </cell>
          <cell r="DJ75">
            <v>1.7000000000000001E-2</v>
          </cell>
          <cell r="DK75">
            <v>1.8000000000000002E-2</v>
          </cell>
          <cell r="DL75">
            <v>2.2000000000000002E-2</v>
          </cell>
          <cell r="DM75">
            <v>-3.0000000000000001E-3</v>
          </cell>
          <cell r="DN75">
            <v>6.9999999999999993E-3</v>
          </cell>
          <cell r="DO75">
            <v>9.0000000000000011E-3</v>
          </cell>
          <cell r="DP75">
            <v>1.1000000000000001E-2</v>
          </cell>
          <cell r="DQ75">
            <v>3.7999999999999999E-2</v>
          </cell>
          <cell r="DR75">
            <v>0.03</v>
          </cell>
          <cell r="DS75">
            <v>3.5000000000000003E-2</v>
          </cell>
          <cell r="DT75">
            <v>5.0999999999999997E-2</v>
          </cell>
          <cell r="DU75">
            <v>6.0999999999999999E-2</v>
          </cell>
          <cell r="DV75">
            <v>7.2999999999999995E-2</v>
          </cell>
          <cell r="DW75">
            <v>7.8E-2</v>
          </cell>
          <cell r="DX75">
            <v>7.0000000000000007E-2</v>
          </cell>
          <cell r="DY75">
            <v>0.06</v>
          </cell>
          <cell r="DZ75">
            <v>5.4000000000000006E-2</v>
          </cell>
          <cell r="EA75">
            <v>4.0999999999999995E-2</v>
          </cell>
          <cell r="EB75">
            <v>3.6000000000000004E-2</v>
          </cell>
          <cell r="EC75">
            <v>3.7999999999999999E-2</v>
          </cell>
          <cell r="ED75">
            <v>2.7999999999999997E-2</v>
          </cell>
          <cell r="EE75">
            <v>2.4E-2</v>
          </cell>
          <cell r="EF75">
            <v>2.4E-2</v>
          </cell>
          <cell r="EG75">
            <v>2.1000000000000001E-2</v>
          </cell>
          <cell r="EH75">
            <v>3.2000000000000001E-2</v>
          </cell>
          <cell r="EI75">
            <v>0.01</v>
          </cell>
          <cell r="EJ75">
            <v>2.8000000000000001E-2</v>
          </cell>
          <cell r="EK75">
            <v>2.7E-2</v>
          </cell>
          <cell r="EL75">
            <v>2.5000000000000001E-2</v>
          </cell>
          <cell r="EM75">
            <v>2.5000000000000001E-2</v>
          </cell>
          <cell r="EN75">
            <v>2.5000000000000001E-2</v>
          </cell>
          <cell r="EO75">
            <v>2.5000000000000001E-2</v>
          </cell>
          <cell r="EP75">
            <v>2.5000000000000001E-2</v>
          </cell>
          <cell r="EQ75">
            <v>2.5000000000000001E-2</v>
          </cell>
          <cell r="ER75">
            <v>2.5000000000000001E-2</v>
          </cell>
          <cell r="ES75">
            <v>2.5000000000000001E-2</v>
          </cell>
          <cell r="ET75">
            <v>2.5000000000000001E-2</v>
          </cell>
          <cell r="EU75">
            <v>2.5000000000000001E-2</v>
          </cell>
          <cell r="EV75">
            <v>2.5000000000000001E-2</v>
          </cell>
          <cell r="EW75">
            <v>2.5000000000000001E-2</v>
          </cell>
          <cell r="EX75">
            <v>2.5000000000000001E-2</v>
          </cell>
          <cell r="EY75">
            <v>2.5000000000000001E-2</v>
          </cell>
          <cell r="EZ75">
            <v>2.5000000000000001E-2</v>
          </cell>
          <cell r="FA75">
            <v>2.5000000000000001E-2</v>
          </cell>
          <cell r="FB75">
            <v>2.5000000000000001E-2</v>
          </cell>
          <cell r="FC75">
            <v>2.5000000000000001E-2</v>
          </cell>
          <cell r="FD75">
            <v>2.5000000000000001E-2</v>
          </cell>
          <cell r="FE75">
            <v>2.5000000000000001E-2</v>
          </cell>
          <cell r="FF75">
            <v>2.5000000000000001E-2</v>
          </cell>
          <cell r="FG75">
            <v>2.5000000000000001E-2</v>
          </cell>
          <cell r="FH75">
            <v>2.5000000000000001E-2</v>
          </cell>
          <cell r="FI75">
            <v>2.5000000000000001E-2</v>
          </cell>
          <cell r="FJ75">
            <v>2.5000000000000001E-2</v>
          </cell>
          <cell r="FK75">
            <v>2.5000000000000001E-2</v>
          </cell>
          <cell r="FL75">
            <v>2.5000000000000001E-2</v>
          </cell>
          <cell r="FM75">
            <v>2.5000000000000001E-2</v>
          </cell>
          <cell r="FN75">
            <v>2.5000000000000001E-2</v>
          </cell>
          <cell r="FO75">
            <v>2.5000000000000001E-2</v>
          </cell>
          <cell r="FP75">
            <v>2.5000000000000001E-2</v>
          </cell>
          <cell r="FQ75">
            <v>2.5000000000000001E-2</v>
          </cell>
          <cell r="FR75">
            <v>2.5000000000000001E-2</v>
          </cell>
          <cell r="FS75">
            <v>2.5000000000000001E-2</v>
          </cell>
          <cell r="FT75">
            <v>2.5000000000000001E-2</v>
          </cell>
          <cell r="FU75">
            <v>2.5000000000000001E-2</v>
          </cell>
        </row>
        <row r="76">
          <cell r="B76" t="str">
            <v>Target capital ratio</v>
          </cell>
        </row>
        <row r="78">
          <cell r="B78" t="str">
            <v>System volume growth (3mo)</v>
          </cell>
        </row>
        <row r="79">
          <cell r="A79" t="str">
            <v>3MoSystemAUHCg</v>
          </cell>
          <cell r="B79" t="str">
            <v>Australian housing</v>
          </cell>
          <cell r="D79">
            <v>2.6447229839134057E-2</v>
          </cell>
          <cell r="E79">
            <v>2.9699747226410445E-2</v>
          </cell>
          <cell r="F79">
            <v>3.0280888960947827E-2</v>
          </cell>
          <cell r="G79">
            <v>4.0256851649135728E-2</v>
          </cell>
          <cell r="H79">
            <v>3.6990675750982582E-2</v>
          </cell>
          <cell r="I79">
            <v>4.3286017484811312E-2</v>
          </cell>
          <cell r="J79">
            <v>4.3305734203385349E-2</v>
          </cell>
          <cell r="K79">
            <v>4.4990967918923097E-2</v>
          </cell>
          <cell r="L79">
            <v>5.2440319656710699E-2</v>
          </cell>
          <cell r="M79">
            <v>5.4486523131771714E-2</v>
          </cell>
          <cell r="N79">
            <v>4.8363271200830171E-2</v>
          </cell>
          <cell r="O79">
            <v>3.8632002322383174E-2</v>
          </cell>
          <cell r="P79">
            <v>3.4939791092913008E-2</v>
          </cell>
          <cell r="Q79">
            <v>2.291655634283285E-2</v>
          </cell>
          <cell r="R79">
            <v>2.5682333994439643E-2</v>
          </cell>
          <cell r="S79">
            <v>3.4556798308364556E-2</v>
          </cell>
          <cell r="T79">
            <v>2.938906939873287E-2</v>
          </cell>
          <cell r="U79">
            <v>2.4945338180931254E-2</v>
          </cell>
          <cell r="V79">
            <v>2.9897744297113782E-2</v>
          </cell>
          <cell r="W79">
            <v>2.4047289403414496E-2</v>
          </cell>
          <cell r="X79">
            <v>2.7852791595463833E-2</v>
          </cell>
          <cell r="Y79">
            <v>3.1821132719278111E-2</v>
          </cell>
          <cell r="Z79">
            <v>3.2354577453088007E-2</v>
          </cell>
          <cell r="AA79">
            <v>2.4624665549273672E-2</v>
          </cell>
          <cell r="AB79">
            <v>2.6980135985570364E-2</v>
          </cell>
          <cell r="AC79">
            <v>3.2058004561756448E-2</v>
          </cell>
          <cell r="AD79">
            <v>2.5036127881891357E-2</v>
          </cell>
          <cell r="AE79">
            <v>3.1017372478267191E-2</v>
          </cell>
          <cell r="AF79">
            <v>2.6833572261108607E-2</v>
          </cell>
          <cell r="AG79">
            <v>3.1987354993422201E-2</v>
          </cell>
          <cell r="AH79">
            <v>4.0396350068920173E-2</v>
          </cell>
          <cell r="AI79">
            <v>3.7562748925881628E-2</v>
          </cell>
          <cell r="AJ79">
            <v>4.5118593548579389E-2</v>
          </cell>
          <cell r="AK79">
            <v>3.6816127749241145E-2</v>
          </cell>
          <cell r="AL79">
            <v>2.8888128549387604E-2</v>
          </cell>
          <cell r="AM79">
            <v>2.4207846519223919E-2</v>
          </cell>
          <cell r="AN79">
            <v>3.1190159883006663E-2</v>
          </cell>
          <cell r="AO79">
            <v>3.5461230769255447E-2</v>
          </cell>
          <cell r="AP79">
            <v>3.9620780591983928E-2</v>
          </cell>
          <cell r="AQ79">
            <v>4.5551036045328619E-2</v>
          </cell>
          <cell r="AR79">
            <v>4.6652003813565157E-2</v>
          </cell>
          <cell r="AS79">
            <v>3.7199715282480783E-2</v>
          </cell>
          <cell r="AT79">
            <v>5.029540588427861E-2</v>
          </cell>
          <cell r="AU79">
            <v>3.863271308267846E-2</v>
          </cell>
          <cell r="AV79">
            <v>4.0629589485216444E-2</v>
          </cell>
          <cell r="AW79">
            <v>4.9230125247588852E-2</v>
          </cell>
          <cell r="AX79">
            <v>5.1496581805683173E-2</v>
          </cell>
          <cell r="AY79">
            <v>5.3368963164418304E-2</v>
          </cell>
          <cell r="AZ79">
            <v>4.9340464123147409E-2</v>
          </cell>
          <cell r="BA79">
            <v>3.88224453418895E-2</v>
          </cell>
          <cell r="BB79">
            <v>3.9213280212258228E-2</v>
          </cell>
          <cell r="BC79">
            <v>3.9594943562812679E-2</v>
          </cell>
          <cell r="BD79">
            <v>3.0374399978352784E-2</v>
          </cell>
          <cell r="BE79">
            <v>3.0084557033081216E-2</v>
          </cell>
          <cell r="BF79">
            <v>2.7235043439624906E-2</v>
          </cell>
          <cell r="BG79">
            <v>3.4017042836049338E-2</v>
          </cell>
          <cell r="BH79">
            <v>3.1311352639842971E-2</v>
          </cell>
          <cell r="BI79">
            <v>3.7788386373634353E-2</v>
          </cell>
          <cell r="BJ79">
            <v>3.4643243523051703E-2</v>
          </cell>
          <cell r="BK79">
            <v>2.6461412092120273E-2</v>
          </cell>
          <cell r="BL79">
            <v>2.9672814817619519E-2</v>
          </cell>
          <cell r="BM79">
            <v>3.3106727642933098E-2</v>
          </cell>
          <cell r="BN79">
            <v>2.4824547276508513E-2</v>
          </cell>
          <cell r="BO79">
            <v>2.582545540586989E-2</v>
          </cell>
          <cell r="BP79">
            <v>2.3743776312179055E-2</v>
          </cell>
          <cell r="BQ79">
            <v>1.831913977676991E-2</v>
          </cell>
          <cell r="BR79">
            <v>1.4252091707782633E-2</v>
          </cell>
          <cell r="BS79">
            <v>1.5179229217876511E-2</v>
          </cell>
          <cell r="BT79">
            <v>1.5602906729651256E-2</v>
          </cell>
          <cell r="BU79">
            <v>1.86591540210157E-2</v>
          </cell>
          <cell r="BV79">
            <v>2.0126061748432456E-2</v>
          </cell>
          <cell r="BW79">
            <v>2.0330963610193376E-2</v>
          </cell>
          <cell r="BX79">
            <v>2.0804579076316498E-2</v>
          </cell>
          <cell r="BY79">
            <v>1.6654876483758629E-2</v>
          </cell>
          <cell r="BZ79">
            <v>1.6417439755721741E-2</v>
          </cell>
          <cell r="CA79">
            <v>1.6099562828890246E-2</v>
          </cell>
          <cell r="CB79">
            <v>1.3874515514932906E-2</v>
          </cell>
          <cell r="CC79">
            <v>1.2874893423024281E-2</v>
          </cell>
          <cell r="CD79">
            <v>1.4117079490260975E-2</v>
          </cell>
          <cell r="CE79">
            <v>1.2033844482276956E-2</v>
          </cell>
          <cell r="CF79">
            <v>1.2671585225877635E-2</v>
          </cell>
          <cell r="CG79">
            <v>1.0511839749008267E-2</v>
          </cell>
          <cell r="CH79">
            <v>1.0948943778810394E-2</v>
          </cell>
          <cell r="CI79">
            <v>1.0413041118869426E-2</v>
          </cell>
          <cell r="CJ79">
            <v>1.1696654920734018E-2</v>
          </cell>
          <cell r="CK79">
            <v>1.236705212389988E-2</v>
          </cell>
          <cell r="CL79">
            <v>1.3715365173011307E-2</v>
          </cell>
          <cell r="CM79">
            <v>1.5459305434951442E-2</v>
          </cell>
          <cell r="CN79">
            <v>1.6056410775546759E-2</v>
          </cell>
          <cell r="CO79">
            <v>1.7591517781401445E-2</v>
          </cell>
          <cell r="CP79">
            <v>1.6767735304895837E-2</v>
          </cell>
          <cell r="CQ79">
            <v>1.8066652452652487E-2</v>
          </cell>
          <cell r="CR79">
            <v>1.7709830246990022E-2</v>
          </cell>
          <cell r="CS79">
            <v>1.8428902295341443E-2</v>
          </cell>
          <cell r="CT79">
            <v>1.8422998645567956E-2</v>
          </cell>
          <cell r="CU79">
            <v>1.740981089241922E-2</v>
          </cell>
          <cell r="CV79">
            <v>1.4678292334081799E-2</v>
          </cell>
          <cell r="CW79">
            <v>1.5034039791709253E-2</v>
          </cell>
          <cell r="CX79">
            <v>1.5695774485765979E-2</v>
          </cell>
          <cell r="CY79">
            <v>1.6399665223218118E-2</v>
          </cell>
          <cell r="CZ79">
            <v>1.6182874876405906E-2</v>
          </cell>
          <cell r="DA79">
            <v>1.656090922296638E-2</v>
          </cell>
          <cell r="DB79">
            <v>1.5097382999058384E-2</v>
          </cell>
          <cell r="DC79">
            <v>1.4123135642750473E-2</v>
          </cell>
          <cell r="DD79">
            <v>1.4284023489936626E-2</v>
          </cell>
          <cell r="DE79">
            <v>1.1564482508253704E-2</v>
          </cell>
          <cell r="DF79">
            <v>1.1551878275877225E-2</v>
          </cell>
          <cell r="DG79">
            <v>8.5994129128383889E-3</v>
          </cell>
          <cell r="DH79">
            <v>7.217563496257684E-3</v>
          </cell>
          <cell r="DI79">
            <v>6.6964133421609784E-3</v>
          </cell>
          <cell r="DJ79">
            <v>7.1032794091028251E-3</v>
          </cell>
          <cell r="DK79">
            <v>8.4080760718614478E-3</v>
          </cell>
          <cell r="DL79">
            <v>9.1588501667563271E-3</v>
          </cell>
          <cell r="DM79">
            <v>6.1953918543238284E-3</v>
          </cell>
          <cell r="DN79">
            <v>8.5322536625993539E-3</v>
          </cell>
          <cell r="DO79">
            <v>1.1141216695968792E-2</v>
          </cell>
          <cell r="DP79">
            <v>1.4877459989031339E-2</v>
          </cell>
          <cell r="DQ79">
            <v>1.8153101511475311E-2</v>
          </cell>
          <cell r="DR79">
            <v>1.9199616605253489E-2</v>
          </cell>
          <cell r="DS79">
            <v>2.0259671468420004E-2</v>
          </cell>
          <cell r="DT79">
            <v>1.9659809868530997E-2</v>
          </cell>
          <cell r="DU79">
            <v>1.7920095050807605E-2</v>
          </cell>
          <cell r="DV79">
            <v>1.4334107727999035E-2</v>
          </cell>
          <cell r="DW79">
            <v>1.1192207210688476E-2</v>
          </cell>
          <cell r="DX79">
            <v>1.0292721503670554E-2</v>
          </cell>
          <cell r="DY79">
            <v>9.8884239455618861E-3</v>
          </cell>
          <cell r="DZ79">
            <v>1.0014575228990186E-2</v>
          </cell>
          <cell r="EA79">
            <v>1.0868333633207827E-2</v>
          </cell>
          <cell r="EB79">
            <v>1.1826271872425798E-2</v>
          </cell>
          <cell r="EC79">
            <v>1.3540649167885999E-2</v>
          </cell>
          <cell r="ED79">
            <v>1.4035116400460179E-2</v>
          </cell>
          <cell r="EE79">
            <v>1.4539856975503973E-2</v>
          </cell>
          <cell r="EF79">
            <v>1.376264507416991E-2</v>
          </cell>
          <cell r="EG79">
            <v>1.5822689132960255E-2</v>
          </cell>
          <cell r="EH79">
            <v>1.7622229961168134E-2</v>
          </cell>
          <cell r="EI79">
            <v>1.9616748761806857E-2</v>
          </cell>
          <cell r="EJ79">
            <v>1.6E-2</v>
          </cell>
          <cell r="EK79">
            <v>1.4500000000000001E-2</v>
          </cell>
          <cell r="EL79">
            <v>1.4500000000000001E-2</v>
          </cell>
          <cell r="EM79">
            <v>1.4500000000000001E-2</v>
          </cell>
          <cell r="EN79">
            <v>1.4500000000000001E-2</v>
          </cell>
          <cell r="EO79">
            <v>1.4500000000000001E-2</v>
          </cell>
          <cell r="EP79">
            <v>1.4500000000000001E-2</v>
          </cell>
          <cell r="EQ79">
            <v>1.4500000000000001E-2</v>
          </cell>
          <cell r="ER79">
            <v>1.4500000000000001E-2</v>
          </cell>
          <cell r="ES79">
            <v>1.4500000000000001E-2</v>
          </cell>
          <cell r="ET79">
            <v>1.4500000000000001E-2</v>
          </cell>
          <cell r="EU79">
            <v>1.4500000000000001E-2</v>
          </cell>
          <cell r="EV79">
            <v>1.2500000000000001E-2</v>
          </cell>
          <cell r="EW79">
            <v>1.2500000000000001E-2</v>
          </cell>
          <cell r="EX79">
            <v>1.2500000000000001E-2</v>
          </cell>
          <cell r="EY79">
            <v>1.2500000000000001E-2</v>
          </cell>
          <cell r="EZ79">
            <v>0.01</v>
          </cell>
          <cell r="FA79">
            <v>0.01</v>
          </cell>
          <cell r="FB79">
            <v>0.01</v>
          </cell>
          <cell r="FC79">
            <v>0.01</v>
          </cell>
          <cell r="FD79">
            <v>0.01</v>
          </cell>
          <cell r="FE79">
            <v>0.01</v>
          </cell>
          <cell r="FF79">
            <v>0.01</v>
          </cell>
          <cell r="FG79">
            <v>0.01</v>
          </cell>
          <cell r="FH79">
            <v>0.01</v>
          </cell>
          <cell r="FI79">
            <v>0.01</v>
          </cell>
          <cell r="FJ79">
            <v>0.01</v>
          </cell>
          <cell r="FK79">
            <v>0.01</v>
          </cell>
          <cell r="FL79">
            <v>0.01</v>
          </cell>
          <cell r="FM79">
            <v>0.01</v>
          </cell>
          <cell r="FN79">
            <v>0.01</v>
          </cell>
          <cell r="FO79">
            <v>0.01</v>
          </cell>
          <cell r="FP79">
            <v>0.01</v>
          </cell>
          <cell r="FQ79">
            <v>0.01</v>
          </cell>
          <cell r="FR79">
            <v>0.01</v>
          </cell>
          <cell r="FS79">
            <v>0.01</v>
          </cell>
          <cell r="FT79">
            <v>0.01</v>
          </cell>
          <cell r="FU79">
            <v>0.01</v>
          </cell>
        </row>
        <row r="80">
          <cell r="A80" t="str">
            <v>3MoSystemAUBCg</v>
          </cell>
          <cell r="B80" t="str">
            <v>Australian business</v>
          </cell>
          <cell r="D80">
            <v>-1.6185188420262731E-2</v>
          </cell>
          <cell r="E80">
            <v>-1.3975016183885858E-2</v>
          </cell>
          <cell r="F80">
            <v>-1.2749160530807657E-2</v>
          </cell>
          <cell r="G80">
            <v>-2.7672379657232238E-2</v>
          </cell>
          <cell r="H80">
            <v>5.3688021109987716E-4</v>
          </cell>
          <cell r="I80">
            <v>-7.4825150068072999E-3</v>
          </cell>
          <cell r="J80">
            <v>-4.3470938319585262E-3</v>
          </cell>
          <cell r="K80">
            <v>-3.219192286038064E-3</v>
          </cell>
          <cell r="L80">
            <v>-2.2820778708827483E-3</v>
          </cell>
          <cell r="M80">
            <v>6.5897567417878555E-3</v>
          </cell>
          <cell r="N80">
            <v>8.6630665567979381E-3</v>
          </cell>
          <cell r="O80">
            <v>1.076617413626102E-2</v>
          </cell>
          <cell r="P80">
            <v>1.0294732180073041E-2</v>
          </cell>
          <cell r="Q80">
            <v>2.5473399166718647E-2</v>
          </cell>
          <cell r="R80">
            <v>2.3693185065090328E-2</v>
          </cell>
          <cell r="S80">
            <v>3.8891785309081772E-2</v>
          </cell>
          <cell r="T80">
            <v>4.3683836214568617E-2</v>
          </cell>
          <cell r="U80">
            <v>2.1908447643912865E-2</v>
          </cell>
          <cell r="V80">
            <v>2.4572256523677005E-2</v>
          </cell>
          <cell r="W80">
            <v>1.9034499056178822E-2</v>
          </cell>
          <cell r="X80">
            <v>1.5700038719529408E-2</v>
          </cell>
          <cell r="Y80">
            <v>3.0519016342077654E-2</v>
          </cell>
          <cell r="Z80">
            <v>3.2880066600138314E-2</v>
          </cell>
          <cell r="AA80">
            <v>3.2128876197894618E-2</v>
          </cell>
          <cell r="AB80">
            <v>1.3320604754656351E-2</v>
          </cell>
          <cell r="AC80">
            <v>2.1570005566274864E-2</v>
          </cell>
          <cell r="AD80">
            <v>2.219431274861372E-2</v>
          </cell>
          <cell r="AE80">
            <v>2.3257539860125798E-2</v>
          </cell>
          <cell r="AF80">
            <v>2.0474695309051327E-2</v>
          </cell>
          <cell r="AG80">
            <v>1.5283037699135527E-2</v>
          </cell>
          <cell r="AH80">
            <v>1.3723127554112313E-2</v>
          </cell>
          <cell r="AI80">
            <v>2.0465232023075597E-2</v>
          </cell>
          <cell r="AJ80">
            <v>2.3628927902352492E-2</v>
          </cell>
          <cell r="AK80">
            <v>2.6053617447861388E-2</v>
          </cell>
          <cell r="AL80">
            <v>2.1557690161388532E-2</v>
          </cell>
          <cell r="AM80">
            <v>1.1868295038063081E-2</v>
          </cell>
          <cell r="AN80">
            <v>2.407332776740434E-2</v>
          </cell>
          <cell r="AO80">
            <v>4.6628311540206635E-3</v>
          </cell>
          <cell r="AP80">
            <v>-6.6273127248671626E-3</v>
          </cell>
          <cell r="AQ80">
            <v>-1.3048917517000103E-4</v>
          </cell>
          <cell r="AR80">
            <v>6.8454099165877746E-3</v>
          </cell>
          <cell r="AS80">
            <v>1.7680345780443973E-2</v>
          </cell>
          <cell r="AT80">
            <v>2.245837932909911E-2</v>
          </cell>
          <cell r="AU80">
            <v>3.5105546589593306E-3</v>
          </cell>
          <cell r="AV80">
            <v>3.2325924009051654E-2</v>
          </cell>
          <cell r="AW80">
            <v>4.9230846606087564E-3</v>
          </cell>
          <cell r="AX80">
            <v>2.3727470451093691E-2</v>
          </cell>
          <cell r="AY80">
            <v>2.5994260126582125E-2</v>
          </cell>
          <cell r="AZ80">
            <v>4.9032050715676068E-3</v>
          </cell>
          <cell r="BA80">
            <v>2.8803664452951905E-2</v>
          </cell>
          <cell r="BB80">
            <v>2.348102192559276E-2</v>
          </cell>
          <cell r="BC80">
            <v>2.0880719770479006E-2</v>
          </cell>
          <cell r="BD80">
            <v>3.1282244473737952E-2</v>
          </cell>
          <cell r="BE80">
            <v>3.510426998224303E-2</v>
          </cell>
          <cell r="BF80">
            <v>3.7830102177404124E-2</v>
          </cell>
          <cell r="BG80">
            <v>4.0307250495885016E-2</v>
          </cell>
          <cell r="BH80">
            <v>4.281286289794739E-2</v>
          </cell>
          <cell r="BI80">
            <v>3.7298399069120691E-2</v>
          </cell>
          <cell r="BJ80">
            <v>3.2633031966955661E-2</v>
          </cell>
          <cell r="BK80">
            <v>3.9126635082594508E-2</v>
          </cell>
          <cell r="BL80">
            <v>4.9683851472470897E-2</v>
          </cell>
          <cell r="BM80">
            <v>5.9384848333800866E-2</v>
          </cell>
          <cell r="BN80">
            <v>5.7487334445244009E-2</v>
          </cell>
          <cell r="BO80">
            <v>5.5065590761410377E-2</v>
          </cell>
          <cell r="BP80">
            <v>2.8990350120147168E-2</v>
          </cell>
          <cell r="BQ80">
            <v>1.7234595633705663E-2</v>
          </cell>
          <cell r="BR80">
            <v>3.0646844846142551E-2</v>
          </cell>
          <cell r="BS80">
            <v>9.9816150591440778E-3</v>
          </cell>
          <cell r="BT80">
            <v>-7.4273639894085752E-3</v>
          </cell>
          <cell r="BU80">
            <v>-2.0595892035167873E-2</v>
          </cell>
          <cell r="BV80">
            <v>-2.172569314832884E-2</v>
          </cell>
          <cell r="BW80">
            <v>-1.7535116010381824E-2</v>
          </cell>
          <cell r="BX80">
            <v>-3.1933054230249835E-3</v>
          </cell>
          <cell r="BY80">
            <v>5.6839256576002306E-4</v>
          </cell>
          <cell r="BZ80">
            <v>-1.5274507015876293E-2</v>
          </cell>
          <cell r="CA80">
            <v>-3.7371996432624677E-3</v>
          </cell>
          <cell r="CB80">
            <v>1.0553344316363233E-2</v>
          </cell>
          <cell r="CC80">
            <v>-1.7379487764082047E-2</v>
          </cell>
          <cell r="CD80">
            <v>9.4369449846674058E-3</v>
          </cell>
          <cell r="CE80">
            <v>7.3147710935710375E-3</v>
          </cell>
          <cell r="CF80">
            <v>1.0597871313788865E-2</v>
          </cell>
          <cell r="CG80">
            <v>1.6329791497455615E-2</v>
          </cell>
          <cell r="CH80">
            <v>5.6316378019938274E-3</v>
          </cell>
          <cell r="CI80">
            <v>-4.7639492011808393E-4</v>
          </cell>
          <cell r="CJ80">
            <v>-1.1629029768621679E-3</v>
          </cell>
          <cell r="CK80">
            <v>8.5609709835079428E-3</v>
          </cell>
          <cell r="CL80">
            <v>3.3502401759331057E-3</v>
          </cell>
          <cell r="CM80">
            <v>5.2326602224701535E-3</v>
          </cell>
          <cell r="CN80">
            <v>8.5217742669665419E-3</v>
          </cell>
          <cell r="CO80">
            <v>1.7105342128643342E-2</v>
          </cell>
          <cell r="CP80">
            <v>6.4406898397313395E-3</v>
          </cell>
          <cell r="CQ80">
            <v>1.3799119470677024E-2</v>
          </cell>
          <cell r="CR80">
            <v>1.6031091346346615E-2</v>
          </cell>
          <cell r="CS80">
            <v>7.9852320714137726E-3</v>
          </cell>
          <cell r="CT80">
            <v>2.4464608312284808E-2</v>
          </cell>
          <cell r="CU80">
            <v>1.4625306017883588E-2</v>
          </cell>
          <cell r="CV80">
            <v>1.690005403770134E-2</v>
          </cell>
          <cell r="CW80">
            <v>9.0478299971326059E-3</v>
          </cell>
          <cell r="CX80">
            <v>7.658183791715123E-3</v>
          </cell>
          <cell r="CY80">
            <v>2.0954107486579998E-2</v>
          </cell>
          <cell r="CZ80">
            <v>-4.2089148627615369E-3</v>
          </cell>
          <cell r="DA80">
            <v>1.6773753627359778E-2</v>
          </cell>
          <cell r="DB80">
            <v>7.575881990204536E-3</v>
          </cell>
          <cell r="DC80">
            <v>1.0652603465132415E-2</v>
          </cell>
          <cell r="DD80">
            <v>3.2899417534322239E-3</v>
          </cell>
          <cell r="DE80">
            <v>9.4406446807069333E-3</v>
          </cell>
          <cell r="DF80">
            <v>1.9804406377684547E-2</v>
          </cell>
          <cell r="DG80">
            <v>1.4507869713494159E-2</v>
          </cell>
          <cell r="DH80">
            <v>3.9786720022763067E-3</v>
          </cell>
          <cell r="DI80">
            <v>1.5845213765428579E-3</v>
          </cell>
          <cell r="DJ80">
            <v>9.8992068534480282E-3</v>
          </cell>
          <cell r="DK80">
            <v>3.1972498366434898E-3</v>
          </cell>
          <cell r="DL80">
            <v>3.3644789764252225E-2</v>
          </cell>
          <cell r="DM80">
            <v>-1.5864765281707771E-2</v>
          </cell>
          <cell r="DN80">
            <v>-1.0157051292571273E-2</v>
          </cell>
          <cell r="DO80">
            <v>-4.6629811837131108E-3</v>
          </cell>
          <cell r="DP80">
            <v>6.7863344558858341E-3</v>
          </cell>
          <cell r="DQ80">
            <v>1.5376486272493439E-2</v>
          </cell>
          <cell r="DR80">
            <v>2.3826566835390972E-2</v>
          </cell>
          <cell r="DS80">
            <v>2.8310838061026633E-2</v>
          </cell>
          <cell r="DT80">
            <v>2.151456801128826E-2</v>
          </cell>
          <cell r="DU80">
            <v>4.0632413208641083E-2</v>
          </cell>
          <cell r="DV80">
            <v>3.6878990034217685E-2</v>
          </cell>
          <cell r="DW80">
            <v>1.2428800854181743E-2</v>
          </cell>
          <cell r="DX80">
            <v>1.111438617579541E-2</v>
          </cell>
          <cell r="DY80">
            <v>1.8601492035993816E-2</v>
          </cell>
          <cell r="DZ80">
            <v>2.2663837769799411E-2</v>
          </cell>
          <cell r="EA80">
            <v>9.903617940928422E-3</v>
          </cell>
          <cell r="EB80">
            <v>2.3785555620031928E-2</v>
          </cell>
          <cell r="EC80">
            <v>1.9776880951135833E-2</v>
          </cell>
          <cell r="ED80">
            <v>2.039362421424995E-2</v>
          </cell>
          <cell r="EE80">
            <v>2.6510332698320038E-2</v>
          </cell>
          <cell r="EF80">
            <v>1.6063878104000118E-2</v>
          </cell>
          <cell r="EG80">
            <v>2.0918096188802027E-2</v>
          </cell>
          <cell r="EH80">
            <v>2.7792547654543975E-2</v>
          </cell>
          <cell r="EI80">
            <v>2.9033416187000061E-2</v>
          </cell>
          <cell r="EJ80">
            <v>0.02</v>
          </cell>
          <cell r="EK80">
            <v>0.02</v>
          </cell>
          <cell r="EL80">
            <v>1.4999999999999999E-2</v>
          </cell>
          <cell r="EM80">
            <v>1.4999999999999999E-2</v>
          </cell>
          <cell r="EN80">
            <v>1.4999999999999999E-2</v>
          </cell>
          <cell r="EO80">
            <v>1.4999999999999999E-2</v>
          </cell>
          <cell r="EP80">
            <v>0.01</v>
          </cell>
          <cell r="EQ80">
            <v>0.01</v>
          </cell>
          <cell r="ER80">
            <v>0.01</v>
          </cell>
          <cell r="ES80">
            <v>0.01</v>
          </cell>
          <cell r="ET80">
            <v>0.01</v>
          </cell>
          <cell r="EU80">
            <v>0.01</v>
          </cell>
          <cell r="EV80">
            <v>0.01</v>
          </cell>
          <cell r="EW80">
            <v>0.01</v>
          </cell>
          <cell r="EX80">
            <v>0.01</v>
          </cell>
          <cell r="EY80">
            <v>0.01</v>
          </cell>
          <cell r="EZ80">
            <v>0.01</v>
          </cell>
          <cell r="FA80">
            <v>0.01</v>
          </cell>
          <cell r="FB80">
            <v>0.01</v>
          </cell>
          <cell r="FC80">
            <v>0.01</v>
          </cell>
          <cell r="FD80">
            <v>0.01</v>
          </cell>
          <cell r="FE80">
            <v>0.01</v>
          </cell>
          <cell r="FF80">
            <v>0.01</v>
          </cell>
          <cell r="FG80">
            <v>0.01</v>
          </cell>
          <cell r="FH80">
            <v>0.01</v>
          </cell>
          <cell r="FI80">
            <v>0.01</v>
          </cell>
          <cell r="FJ80">
            <v>0.01</v>
          </cell>
          <cell r="FK80">
            <v>0.01</v>
          </cell>
          <cell r="FL80">
            <v>0.01</v>
          </cell>
          <cell r="FM80">
            <v>0.01</v>
          </cell>
          <cell r="FN80">
            <v>0.01</v>
          </cell>
          <cell r="FO80">
            <v>0.01</v>
          </cell>
          <cell r="FP80">
            <v>0.01</v>
          </cell>
          <cell r="FQ80">
            <v>0.01</v>
          </cell>
          <cell r="FR80">
            <v>0.01</v>
          </cell>
          <cell r="FS80">
            <v>0.01</v>
          </cell>
          <cell r="FT80">
            <v>0.01</v>
          </cell>
          <cell r="FU80">
            <v>0.01</v>
          </cell>
        </row>
        <row r="81">
          <cell r="A81" t="str">
            <v>3MoSystemAUPCg</v>
          </cell>
          <cell r="B81" t="str">
            <v>Australian personal</v>
          </cell>
          <cell r="D81">
            <v>-6.7645561521026965E-3</v>
          </cell>
          <cell r="E81">
            <v>-1.3028540048630632E-2</v>
          </cell>
          <cell r="F81">
            <v>-2.4133734517317595E-4</v>
          </cell>
          <cell r="G81">
            <v>1.8767509439492347E-3</v>
          </cell>
          <cell r="H81">
            <v>-6.9641152944610596E-5</v>
          </cell>
          <cell r="I81">
            <v>-6.8909607149497676E-3</v>
          </cell>
          <cell r="J81">
            <v>6.6657605185600488E-3</v>
          </cell>
          <cell r="K81">
            <v>8.1939007528322172E-3</v>
          </cell>
          <cell r="L81">
            <v>9.8774160141295031E-3</v>
          </cell>
          <cell r="M81">
            <v>1.5592956314465223E-2</v>
          </cell>
          <cell r="N81">
            <v>1.4792323293824516E-2</v>
          </cell>
          <cell r="O81">
            <v>2.4267692393810991E-2</v>
          </cell>
          <cell r="P81">
            <v>2.4979874094333665E-2</v>
          </cell>
          <cell r="Q81">
            <v>3.3558414111374057E-2</v>
          </cell>
          <cell r="R81">
            <v>2.5628287424976248E-2</v>
          </cell>
          <cell r="S81">
            <v>1.5419369870144806E-2</v>
          </cell>
          <cell r="T81">
            <v>2.3213283288271214E-2</v>
          </cell>
          <cell r="U81">
            <v>3.6110943050731814E-2</v>
          </cell>
          <cell r="V81">
            <v>3.6362446184882602E-2</v>
          </cell>
          <cell r="W81">
            <v>1.492212179705632E-2</v>
          </cell>
          <cell r="X81">
            <v>1.8574865109723726E-2</v>
          </cell>
          <cell r="Y81">
            <v>1.4858585877375319E-2</v>
          </cell>
          <cell r="Z81">
            <v>2.4440227032610062E-2</v>
          </cell>
          <cell r="AA81">
            <v>4.0653172330398224E-2</v>
          </cell>
          <cell r="AB81">
            <v>2.6028040032864519E-2</v>
          </cell>
          <cell r="AC81">
            <v>2.1842200379640131E-2</v>
          </cell>
          <cell r="AD81">
            <v>3.3499801377963045E-2</v>
          </cell>
          <cell r="AE81">
            <v>3.8418120231812125E-2</v>
          </cell>
          <cell r="AF81">
            <v>4.6486716991239074E-2</v>
          </cell>
          <cell r="AG81">
            <v>3.5082559689550763E-2</v>
          </cell>
          <cell r="AH81">
            <v>3.7442188266877841E-2</v>
          </cell>
          <cell r="AI81">
            <v>3.5691517138008111E-2</v>
          </cell>
          <cell r="AJ81">
            <v>3.8012510434905389E-2</v>
          </cell>
          <cell r="AK81">
            <v>4.0943452050115736E-2</v>
          </cell>
          <cell r="AL81">
            <v>1.2320694952614009E-2</v>
          </cell>
          <cell r="AM81">
            <v>4.4369480793924998E-2</v>
          </cell>
          <cell r="AN81">
            <v>2.4231543605863326E-2</v>
          </cell>
          <cell r="AO81">
            <v>2.193293815942976E-2</v>
          </cell>
          <cell r="AP81">
            <v>1.4163177397873428E-2</v>
          </cell>
          <cell r="AQ81">
            <v>2.230557964899349E-2</v>
          </cell>
          <cell r="AR81">
            <v>2.2421691444482583E-2</v>
          </cell>
          <cell r="AS81">
            <v>3.0984346658995188E-2</v>
          </cell>
          <cell r="AT81">
            <v>2.5925554860771749E-2</v>
          </cell>
          <cell r="AU81">
            <v>1.4808491338694774E-2</v>
          </cell>
          <cell r="AV81">
            <v>3.2130798151041029E-2</v>
          </cell>
          <cell r="AW81">
            <v>4.5617309502319348E-2</v>
          </cell>
          <cell r="AX81">
            <v>3.592347561415643E-2</v>
          </cell>
          <cell r="AY81">
            <v>2.5447160693798487E-2</v>
          </cell>
          <cell r="AZ81">
            <v>3.2024826012033492E-2</v>
          </cell>
          <cell r="BA81">
            <v>1.906975253188814E-2</v>
          </cell>
          <cell r="BB81">
            <v>3.2861313371904233E-2</v>
          </cell>
          <cell r="BC81">
            <v>4.2416576091019564E-2</v>
          </cell>
          <cell r="BD81">
            <v>2.6458623715435392E-2</v>
          </cell>
          <cell r="BE81">
            <v>2.6647719023921823E-2</v>
          </cell>
          <cell r="BF81">
            <v>2.7961166940273952E-2</v>
          </cell>
          <cell r="BG81">
            <v>1.4692801626090546E-2</v>
          </cell>
          <cell r="BH81">
            <v>2.7616706829205029E-2</v>
          </cell>
          <cell r="BI81">
            <v>2.3728785809644881E-2</v>
          </cell>
          <cell r="BJ81">
            <v>4.1353201401598927E-2</v>
          </cell>
          <cell r="BK81">
            <v>1.7239516190927118E-2</v>
          </cell>
          <cell r="BL81">
            <v>3.055020583769319E-2</v>
          </cell>
          <cell r="BM81">
            <v>6.3617121121336995E-2</v>
          </cell>
          <cell r="BN81">
            <v>2.726030871279983E-3</v>
          </cell>
          <cell r="BO81">
            <v>3.4186964902543915E-2</v>
          </cell>
          <cell r="BP81">
            <v>-1.2593255594068875E-3</v>
          </cell>
          <cell r="BQ81">
            <v>-2.5180458074304246E-3</v>
          </cell>
          <cell r="BR81">
            <v>-9.0032756105109524E-3</v>
          </cell>
          <cell r="BS81">
            <v>-3.8165701177244049E-2</v>
          </cell>
          <cell r="BT81">
            <v>-1.8470953300682824E-2</v>
          </cell>
          <cell r="BU81">
            <v>-6.7021760637849814E-3</v>
          </cell>
          <cell r="BV81">
            <v>7.681749174972774E-3</v>
          </cell>
          <cell r="BW81">
            <v>1.5465785844542612E-2</v>
          </cell>
          <cell r="BX81">
            <v>6.8820800456987907E-3</v>
          </cell>
          <cell r="BY81">
            <v>-6.1737005099626874E-4</v>
          </cell>
          <cell r="BZ81">
            <v>6.1801458061188086E-3</v>
          </cell>
          <cell r="CA81">
            <v>1.5014868104223922E-4</v>
          </cell>
          <cell r="CB81">
            <v>4.4564951850580847E-3</v>
          </cell>
          <cell r="CC81">
            <v>-4.2376007087958634E-3</v>
          </cell>
          <cell r="CD81">
            <v>-7.488182406725219E-3</v>
          </cell>
          <cell r="CE81">
            <v>-2.0557071337733435E-3</v>
          </cell>
          <cell r="CF81">
            <v>1.0722573174581917E-4</v>
          </cell>
          <cell r="CG81">
            <v>-2.3635374651831409E-3</v>
          </cell>
          <cell r="CH81">
            <v>-2.9421162143937751E-3</v>
          </cell>
          <cell r="CI81">
            <v>1.8934862800845664E-3</v>
          </cell>
          <cell r="CJ81">
            <v>2.8048147290078429E-3</v>
          </cell>
          <cell r="CK81">
            <v>9.1998997416742334E-4</v>
          </cell>
          <cell r="CL81">
            <v>1.2521428109004695E-3</v>
          </cell>
          <cell r="CM81">
            <v>1.7386736482840615E-3</v>
          </cell>
          <cell r="CN81">
            <v>-5.9026105531434503E-5</v>
          </cell>
          <cell r="CO81">
            <v>4.2254002138548685E-3</v>
          </cell>
          <cell r="CP81">
            <v>5.1452587566918062E-3</v>
          </cell>
          <cell r="CQ81">
            <v>1.5063739592153791E-3</v>
          </cell>
          <cell r="CR81">
            <v>2.5105645616121386E-3</v>
          </cell>
          <cell r="CS81">
            <v>-2.0136278072913072E-4</v>
          </cell>
          <cell r="CT81">
            <v>1.0731065833224918E-4</v>
          </cell>
          <cell r="CU81">
            <v>-2.5902831874339283E-3</v>
          </cell>
          <cell r="CV81">
            <v>-2.0664909982917035E-3</v>
          </cell>
          <cell r="CW81">
            <v>-1.745697423246706E-3</v>
          </cell>
          <cell r="CX81">
            <v>-2.9718443328926591E-3</v>
          </cell>
          <cell r="CY81">
            <v>-2.0822518501839582E-3</v>
          </cell>
          <cell r="CZ81">
            <v>-3.6114206232222834E-3</v>
          </cell>
          <cell r="DA81">
            <v>-7.5557384317559428E-4</v>
          </cell>
          <cell r="DB81">
            <v>-2.3852330378942854E-3</v>
          </cell>
          <cell r="DC81">
            <v>-5.4740293016534158E-3</v>
          </cell>
          <cell r="DD81">
            <v>-2.9319491783386109E-3</v>
          </cell>
          <cell r="DE81">
            <v>-2.092858337949588E-3</v>
          </cell>
          <cell r="DF81">
            <v>-3.5114091365253675E-3</v>
          </cell>
          <cell r="DG81">
            <v>-1.3175979690661199E-2</v>
          </cell>
          <cell r="DH81">
            <v>-9.7701918606212246E-3</v>
          </cell>
          <cell r="DI81">
            <v>-8.5617373582483891E-3</v>
          </cell>
          <cell r="DJ81">
            <v>-1.1813693312713314E-2</v>
          </cell>
          <cell r="DK81">
            <v>-2.0028085081412517E-2</v>
          </cell>
          <cell r="DL81">
            <v>-2.8375602963418012E-2</v>
          </cell>
          <cell r="DM81">
            <v>-5.2138717756465613E-2</v>
          </cell>
          <cell r="DN81">
            <v>-3.5437306247879996E-2</v>
          </cell>
          <cell r="DO81">
            <v>-1.4660048299211303E-2</v>
          </cell>
          <cell r="DP81">
            <v>-9.1728158767581114E-3</v>
          </cell>
          <cell r="DQ81">
            <v>-4.4242547559977252E-3</v>
          </cell>
          <cell r="DR81">
            <v>-2.6835944232908582E-2</v>
          </cell>
          <cell r="DS81">
            <v>3.462640991646726E-3</v>
          </cell>
          <cell r="DT81">
            <v>-4.1128835061170488E-3</v>
          </cell>
          <cell r="DU81">
            <v>3.036288291313749E-4</v>
          </cell>
          <cell r="DV81">
            <v>-2.5038234511063351E-3</v>
          </cell>
          <cell r="DW81">
            <v>2.3849367865460547E-3</v>
          </cell>
          <cell r="DX81">
            <v>-1.4616947458955254E-3</v>
          </cell>
          <cell r="DY81">
            <v>5.7269859986144311E-3</v>
          </cell>
          <cell r="DZ81">
            <v>1.2268011716026983E-2</v>
          </cell>
          <cell r="EA81">
            <v>2.0883937539231123E-3</v>
          </cell>
          <cell r="EB81">
            <v>1.2006069995250002E-2</v>
          </cell>
          <cell r="EC81">
            <v>2.0676718806080796E-3</v>
          </cell>
          <cell r="ED81">
            <v>7.1824532097750637E-3</v>
          </cell>
          <cell r="EE81">
            <v>4.7914949579488386E-3</v>
          </cell>
          <cell r="EF81">
            <v>8.6686088097078784E-3</v>
          </cell>
          <cell r="EG81">
            <v>1.6221147207199804E-2</v>
          </cell>
          <cell r="EH81">
            <v>1.3932006493184046E-2</v>
          </cell>
          <cell r="EI81">
            <v>6.9868095668801367E-4</v>
          </cell>
          <cell r="EJ81">
            <v>0.01</v>
          </cell>
          <cell r="EK81">
            <v>0.01</v>
          </cell>
          <cell r="EL81">
            <v>7.4999999999999997E-3</v>
          </cell>
          <cell r="EM81">
            <v>5.0000000000000001E-3</v>
          </cell>
          <cell r="EN81">
            <v>5.0000000000000001E-3</v>
          </cell>
          <cell r="EO81">
            <v>5.0000000000000001E-3</v>
          </cell>
          <cell r="EP81">
            <v>5.0000000000000001E-3</v>
          </cell>
          <cell r="EQ81">
            <v>5.0000000000000001E-3</v>
          </cell>
          <cell r="ER81">
            <v>5.0000000000000001E-3</v>
          </cell>
          <cell r="ES81">
            <v>5.0000000000000001E-3</v>
          </cell>
          <cell r="ET81">
            <v>5.0000000000000001E-3</v>
          </cell>
          <cell r="EU81">
            <v>5.0000000000000001E-3</v>
          </cell>
          <cell r="EV81">
            <v>5.0000000000000001E-3</v>
          </cell>
          <cell r="EW81">
            <v>5.0000000000000001E-3</v>
          </cell>
          <cell r="EX81">
            <v>5.0000000000000001E-3</v>
          </cell>
          <cell r="EY81">
            <v>5.0000000000000001E-3</v>
          </cell>
          <cell r="EZ81">
            <v>5.0000000000000001E-3</v>
          </cell>
          <cell r="FA81">
            <v>5.0000000000000001E-3</v>
          </cell>
          <cell r="FB81">
            <v>5.0000000000000001E-3</v>
          </cell>
          <cell r="FC81">
            <v>5.0000000000000001E-3</v>
          </cell>
          <cell r="FD81">
            <v>5.0000000000000001E-3</v>
          </cell>
          <cell r="FE81">
            <v>5.0000000000000001E-3</v>
          </cell>
          <cell r="FF81">
            <v>5.0000000000000001E-3</v>
          </cell>
          <cell r="FG81">
            <v>5.0000000000000001E-3</v>
          </cell>
          <cell r="FH81">
            <v>5.0000000000000001E-3</v>
          </cell>
          <cell r="FI81">
            <v>5.0000000000000001E-3</v>
          </cell>
          <cell r="FJ81">
            <v>5.0000000000000001E-3</v>
          </cell>
          <cell r="FK81">
            <v>5.0000000000000001E-3</v>
          </cell>
          <cell r="FL81">
            <v>5.0000000000000001E-3</v>
          </cell>
          <cell r="FM81">
            <v>5.0000000000000001E-3</v>
          </cell>
          <cell r="FN81">
            <v>5.0000000000000001E-3</v>
          </cell>
          <cell r="FO81">
            <v>5.0000000000000001E-3</v>
          </cell>
          <cell r="FP81">
            <v>5.0000000000000001E-3</v>
          </cell>
          <cell r="FQ81">
            <v>5.0000000000000001E-3</v>
          </cell>
          <cell r="FR81">
            <v>5.0000000000000001E-3</v>
          </cell>
          <cell r="FS81">
            <v>5.0000000000000001E-3</v>
          </cell>
          <cell r="FT81">
            <v>5.0000000000000001E-3</v>
          </cell>
          <cell r="FU81">
            <v>5.0000000000000001E-3</v>
          </cell>
        </row>
        <row r="82">
          <cell r="A82" t="str">
            <v>3MoSystemNZHCg</v>
          </cell>
          <cell r="B82" t="str">
            <v>New Zealand housing</v>
          </cell>
          <cell r="AD82">
            <v>3.5239091386321197E-2</v>
          </cell>
          <cell r="AE82">
            <v>2.7001755258263094E-2</v>
          </cell>
          <cell r="AF82">
            <v>2.9438525382823766E-2</v>
          </cell>
          <cell r="AG82">
            <v>2.5834864688995873E-2</v>
          </cell>
          <cell r="AH82">
            <v>2.4302481157728817E-2</v>
          </cell>
          <cell r="AI82">
            <v>2.1014197511517896E-2</v>
          </cell>
          <cell r="AJ82">
            <v>1.7375869318984272E-2</v>
          </cell>
          <cell r="AK82">
            <v>1.4704546471917102E-2</v>
          </cell>
          <cell r="AL82">
            <v>1.2166210889234419E-2</v>
          </cell>
          <cell r="AM82">
            <v>2.137167292236053E-2</v>
          </cell>
          <cell r="AN82">
            <v>1.6238109465056105E-2</v>
          </cell>
          <cell r="AO82">
            <v>1.9695290028259205E-2</v>
          </cell>
          <cell r="AP82">
            <v>1.3859000307493874E-2</v>
          </cell>
          <cell r="AQ82">
            <v>2.0587856457434883E-2</v>
          </cell>
          <cell r="AR82">
            <v>2.2382215727853261E-2</v>
          </cell>
          <cell r="AS82">
            <v>2.282024879355582E-2</v>
          </cell>
          <cell r="AT82">
            <v>1.8841848321830001E-2</v>
          </cell>
          <cell r="AU82">
            <v>2.9450740535814202E-2</v>
          </cell>
          <cell r="AV82">
            <v>3.3874577710194309E-2</v>
          </cell>
          <cell r="AW82">
            <v>3.5798591812386205E-2</v>
          </cell>
          <cell r="AX82">
            <v>3.8843777249805811E-2</v>
          </cell>
          <cell r="AY82">
            <v>4.5546414241751432E-2</v>
          </cell>
          <cell r="AZ82">
            <v>3.9911326765093902E-2</v>
          </cell>
          <cell r="BA82">
            <v>3.8127121402333986E-2</v>
          </cell>
          <cell r="BB82">
            <v>3.4070428437227074E-2</v>
          </cell>
          <cell r="BC82">
            <v>3.9779406600653822E-2</v>
          </cell>
          <cell r="BD82">
            <v>3.8994672095326921E-2</v>
          </cell>
          <cell r="BE82">
            <v>3.8294072412040858E-2</v>
          </cell>
          <cell r="BF82">
            <v>3.6928093674248208E-2</v>
          </cell>
          <cell r="BG82">
            <v>3.8130676955879572E-2</v>
          </cell>
          <cell r="BH82">
            <v>3.0575280209643507E-2</v>
          </cell>
          <cell r="BI82">
            <v>3.2754789139979312E-2</v>
          </cell>
          <cell r="BJ82">
            <v>2.9643439113220538E-2</v>
          </cell>
          <cell r="BK82">
            <v>3.5019966685748694E-2</v>
          </cell>
          <cell r="BL82">
            <v>3.7402435067966033E-2</v>
          </cell>
          <cell r="BM82">
            <v>3.4738658221793228E-2</v>
          </cell>
          <cell r="BN82">
            <v>2.3797776428347017E-2</v>
          </cell>
          <cell r="BO82">
            <v>2.6665514166128501E-2</v>
          </cell>
          <cell r="BP82">
            <v>2.2531961574812742E-2</v>
          </cell>
          <cell r="BQ82">
            <v>1.0119595216191435E-2</v>
          </cell>
          <cell r="BR82">
            <v>7.1394548841894334E-3</v>
          </cell>
          <cell r="BS82">
            <v>3.8721799996541684E-3</v>
          </cell>
          <cell r="BT82">
            <v>8.9948006825515403E-3</v>
          </cell>
          <cell r="BU82">
            <v>9.9690274128765299E-3</v>
          </cell>
          <cell r="BV82">
            <v>7.7059127179313069E-3</v>
          </cell>
          <cell r="BW82">
            <v>8.1211675645962433E-3</v>
          </cell>
          <cell r="BX82">
            <v>7.7143457323394227E-3</v>
          </cell>
          <cell r="BY82">
            <v>5.0832399196958367E-3</v>
          </cell>
          <cell r="BZ82">
            <v>4.1358427061646275E-3</v>
          </cell>
          <cell r="CA82">
            <v>7.1883583659637651E-4</v>
          </cell>
          <cell r="CB82">
            <v>4.8877309187034257E-3</v>
          </cell>
          <cell r="CC82">
            <v>4.6385181574191137E-3</v>
          </cell>
          <cell r="CD82">
            <v>1.7492394047196047E-3</v>
          </cell>
          <cell r="CE82">
            <v>4.9927257453852292E-4</v>
          </cell>
          <cell r="CF82">
            <v>7.4361694481206442E-3</v>
          </cell>
          <cell r="CG82">
            <v>8.6564888549467423E-3</v>
          </cell>
          <cell r="CH82">
            <v>7.7920106024964575E-3</v>
          </cell>
          <cell r="CI82">
            <v>1.2181269008535001E-2</v>
          </cell>
          <cell r="CJ82">
            <v>1.5450460882436845E-2</v>
          </cell>
          <cell r="CK82">
            <v>1.5217753195503558E-2</v>
          </cell>
          <cell r="CL82">
            <v>1.3979488143628149E-2</v>
          </cell>
          <cell r="CM82">
            <v>1.266528092071173E-2</v>
          </cell>
          <cell r="CN82">
            <v>1.3450254935826189E-2</v>
          </cell>
          <cell r="CO82">
            <v>1.1956233157998319E-2</v>
          </cell>
          <cell r="CP82">
            <v>8.1373374943352061E-3</v>
          </cell>
          <cell r="CQ82">
            <v>1.1669710366424058E-2</v>
          </cell>
          <cell r="CR82">
            <v>1.6504007996298808E-2</v>
          </cell>
          <cell r="CS82">
            <v>1.625792686094929E-2</v>
          </cell>
          <cell r="CT82">
            <v>2.0479060784661662E-2</v>
          </cell>
          <cell r="CU82">
            <v>1.872686806414392E-2</v>
          </cell>
          <cell r="CV82">
            <v>1.9147827819268048E-2</v>
          </cell>
          <cell r="CW82">
            <v>2.6525457800229191E-2</v>
          </cell>
          <cell r="CX82">
            <v>2.1673282686397455E-2</v>
          </cell>
          <cell r="CY82">
            <v>2.0530868746022835E-2</v>
          </cell>
          <cell r="CZ82">
            <v>1.5633680726142796E-2</v>
          </cell>
          <cell r="DA82">
            <v>1.5411028613622646E-2</v>
          </cell>
          <cell r="DB82">
            <v>1.2656618484831572E-2</v>
          </cell>
          <cell r="DC82">
            <v>1.4149102456601836E-2</v>
          </cell>
          <cell r="DD82">
            <v>1.4396657972200355E-2</v>
          </cell>
          <cell r="DE82">
            <v>1.6075327707032239E-2</v>
          </cell>
          <cell r="DF82">
            <v>1.3650254157308694E-2</v>
          </cell>
          <cell r="DG82">
            <v>1.5199479123549242E-2</v>
          </cell>
          <cell r="DH82">
            <v>1.6038424121477046E-2</v>
          </cell>
          <cell r="DI82">
            <v>1.6872378181166159E-2</v>
          </cell>
          <cell r="DJ82">
            <v>1.6722487565495436E-2</v>
          </cell>
          <cell r="DK82">
            <v>1.8214072516431257E-2</v>
          </cell>
          <cell r="DL82">
            <v>1.7093244278614694E-2</v>
          </cell>
          <cell r="DM82">
            <v>8.7493555480746554E-3</v>
          </cell>
          <cell r="DN82">
            <v>2.2570460222097521E-2</v>
          </cell>
          <cell r="DO82">
            <v>3.2327077673137694E-2</v>
          </cell>
          <cell r="DP82">
            <v>3.1215699139902409E-2</v>
          </cell>
          <cell r="DQ82">
            <v>2.8107227428765258E-2</v>
          </cell>
          <cell r="DR82">
            <v>1.9542568721011788E-2</v>
          </cell>
          <cell r="DS82">
            <v>2.22090136801667E-2</v>
          </cell>
          <cell r="DT82">
            <v>1.4432118979465836E-2</v>
          </cell>
          <cell r="DU82">
            <v>1.125522792159539E-2</v>
          </cell>
          <cell r="DV82">
            <v>8.1912972107702764E-3</v>
          </cell>
          <cell r="DW82">
            <v>1.0590677024320039E-2</v>
          </cell>
          <cell r="DX82">
            <v>5.0558516500758266E-3</v>
          </cell>
          <cell r="DY82">
            <v>7.4675173361620217E-3</v>
          </cell>
          <cell r="DZ82">
            <v>7.5857510717813881E-3</v>
          </cell>
          <cell r="EA82">
            <v>8.3075850845406585E-3</v>
          </cell>
          <cell r="EB82">
            <v>7.7333975311018044E-3</v>
          </cell>
          <cell r="EC82">
            <v>7.8944233399713681E-3</v>
          </cell>
          <cell r="ED82">
            <v>8.7668355330803305E-3</v>
          </cell>
          <cell r="EE82">
            <v>1.3490614763723263E-2</v>
          </cell>
          <cell r="EF82">
            <v>1.1211848199267127E-2</v>
          </cell>
          <cell r="EG82">
            <v>1.466530718198622E-2</v>
          </cell>
          <cell r="EH82">
            <v>1.3575066398347824E-2</v>
          </cell>
          <cell r="EI82">
            <v>1.6375312908211814E-2</v>
          </cell>
          <cell r="EJ82">
            <v>0.01</v>
          </cell>
          <cell r="EK82">
            <v>0.01</v>
          </cell>
          <cell r="EL82">
            <v>0.01</v>
          </cell>
          <cell r="EM82">
            <v>0.01</v>
          </cell>
          <cell r="EN82">
            <v>0.01</v>
          </cell>
          <cell r="EO82">
            <v>0.01</v>
          </cell>
          <cell r="EP82">
            <v>0.01</v>
          </cell>
          <cell r="EQ82">
            <v>0.01</v>
          </cell>
          <cell r="ER82">
            <v>0.01</v>
          </cell>
          <cell r="ES82">
            <v>0.01</v>
          </cell>
          <cell r="ET82">
            <v>0.01</v>
          </cell>
          <cell r="EU82">
            <v>0.01</v>
          </cell>
          <cell r="EV82">
            <v>0.01</v>
          </cell>
          <cell r="EW82">
            <v>0.01</v>
          </cell>
          <cell r="EX82">
            <v>0.01</v>
          </cell>
          <cell r="EY82">
            <v>0.01</v>
          </cell>
          <cell r="EZ82">
            <v>0.01</v>
          </cell>
          <cell r="FA82">
            <v>0.01</v>
          </cell>
          <cell r="FB82">
            <v>0.01</v>
          </cell>
          <cell r="FC82">
            <v>0.01</v>
          </cell>
          <cell r="FD82">
            <v>0.01</v>
          </cell>
          <cell r="FE82">
            <v>0.01</v>
          </cell>
          <cell r="FF82">
            <v>0.01</v>
          </cell>
          <cell r="FG82">
            <v>0.01</v>
          </cell>
          <cell r="FH82">
            <v>0.01</v>
          </cell>
          <cell r="FI82">
            <v>0.01</v>
          </cell>
          <cell r="FJ82">
            <v>0.01</v>
          </cell>
          <cell r="FK82">
            <v>0.01</v>
          </cell>
          <cell r="FL82">
            <v>0.01</v>
          </cell>
          <cell r="FM82">
            <v>0.01</v>
          </cell>
          <cell r="FN82">
            <v>0.01</v>
          </cell>
          <cell r="FO82">
            <v>0.01</v>
          </cell>
          <cell r="FP82">
            <v>0.01</v>
          </cell>
          <cell r="FQ82">
            <v>0.01</v>
          </cell>
          <cell r="FR82">
            <v>0.01</v>
          </cell>
          <cell r="FS82">
            <v>0.01</v>
          </cell>
          <cell r="FT82">
            <v>0.01</v>
          </cell>
          <cell r="FU82">
            <v>0.01</v>
          </cell>
        </row>
        <row r="83">
          <cell r="A83" t="str">
            <v>3MoSystemNZNHCg</v>
          </cell>
          <cell r="B83" t="str">
            <v>New Zealand non-housing</v>
          </cell>
          <cell r="AD83">
            <v>-4.0964974245727426E-4</v>
          </cell>
          <cell r="AE83">
            <v>3.5417887269958426E-2</v>
          </cell>
          <cell r="AF83">
            <v>-4.6013829804907314E-3</v>
          </cell>
          <cell r="AG83">
            <v>3.6858207659979492E-2</v>
          </cell>
          <cell r="AH83">
            <v>5.514441685772864E-3</v>
          </cell>
          <cell r="AI83">
            <v>4.8490246283048322E-2</v>
          </cell>
          <cell r="AJ83">
            <v>2.5340089186090431E-2</v>
          </cell>
          <cell r="AK83">
            <v>7.1985028262304684E-3</v>
          </cell>
          <cell r="AL83">
            <v>-2.6497165658915578E-2</v>
          </cell>
          <cell r="AM83">
            <v>3.8754559762570917E-2</v>
          </cell>
          <cell r="AN83">
            <v>-1.0746815404893195E-2</v>
          </cell>
          <cell r="AO83">
            <v>1.6504553502485253E-2</v>
          </cell>
          <cell r="AP83">
            <v>3.1779186049862629E-2</v>
          </cell>
          <cell r="AQ83">
            <v>2.1774311957921455E-2</v>
          </cell>
          <cell r="AR83">
            <v>3.003607732533764E-2</v>
          </cell>
          <cell r="AS83">
            <v>-1.7945890426257494E-3</v>
          </cell>
          <cell r="AT83">
            <v>1.8704816325698648E-3</v>
          </cell>
          <cell r="AU83">
            <v>4.3277834099623824E-2</v>
          </cell>
          <cell r="AV83">
            <v>4.024714082384806E-3</v>
          </cell>
          <cell r="AW83">
            <v>7.5467709884025069E-4</v>
          </cell>
          <cell r="AX83">
            <v>-1.679906113136953E-3</v>
          </cell>
          <cell r="AY83">
            <v>2.8705576898551799E-2</v>
          </cell>
          <cell r="AZ83">
            <v>2.1095084125759556E-2</v>
          </cell>
          <cell r="BA83">
            <v>2.27102501013976E-2</v>
          </cell>
          <cell r="BB83">
            <v>2.6470775503186772E-3</v>
          </cell>
          <cell r="BC83">
            <v>5.8131253606096722E-2</v>
          </cell>
          <cell r="BD83">
            <v>3.379922145454306E-2</v>
          </cell>
          <cell r="BE83">
            <v>4.6827201564767496E-2</v>
          </cell>
          <cell r="BF83">
            <v>2.0501942146461172E-2</v>
          </cell>
          <cell r="BG83">
            <v>3.73806730788242E-2</v>
          </cell>
          <cell r="BH83">
            <v>2.4077205870123519E-2</v>
          </cell>
          <cell r="BI83">
            <v>3.3255577080520959E-2</v>
          </cell>
          <cell r="BJ83">
            <v>3.395583554060444E-2</v>
          </cell>
          <cell r="BK83">
            <v>4.8788081738548872E-2</v>
          </cell>
          <cell r="BL83">
            <v>1.740020998989511E-2</v>
          </cell>
          <cell r="BM83">
            <v>5.6478040908155336E-2</v>
          </cell>
          <cell r="BN83">
            <v>4.0433124097072115E-2</v>
          </cell>
          <cell r="BO83">
            <v>3.6951696714470295E-2</v>
          </cell>
          <cell r="BP83">
            <v>2.5466087870328336E-2</v>
          </cell>
          <cell r="BQ83">
            <v>4.3500200854179161E-2</v>
          </cell>
          <cell r="BR83">
            <v>3.948378940641617E-2</v>
          </cell>
          <cell r="BS83">
            <v>2.5202511821592166E-2</v>
          </cell>
          <cell r="BT83">
            <v>-1.2653180001456432E-2</v>
          </cell>
          <cell r="BU83">
            <v>-9.150627180029125E-3</v>
          </cell>
          <cell r="BV83">
            <v>2.0633350192700295E-3</v>
          </cell>
          <cell r="BW83">
            <v>-1.5532845161635556E-2</v>
          </cell>
          <cell r="BX83">
            <v>-1.2977897103463754E-2</v>
          </cell>
          <cell r="BY83">
            <v>1.4035198436634921E-3</v>
          </cell>
          <cell r="BZ83">
            <v>3.3102702556473407E-3</v>
          </cell>
          <cell r="CA83">
            <v>1.3794570608388623E-2</v>
          </cell>
          <cell r="CB83">
            <v>-5.9930147424540614E-3</v>
          </cell>
          <cell r="CC83">
            <v>2.4731182698880527E-3</v>
          </cell>
          <cell r="CD83">
            <v>4.392159776205995E-3</v>
          </cell>
          <cell r="CE83">
            <v>4.5717544640815344E-2</v>
          </cell>
          <cell r="CF83">
            <v>5.7605602971897429E-3</v>
          </cell>
          <cell r="CG83">
            <v>8.3056602416826664E-3</v>
          </cell>
          <cell r="CH83">
            <v>3.4947574644086377E-3</v>
          </cell>
          <cell r="CI83">
            <v>2.9219748987315164E-2</v>
          </cell>
          <cell r="CJ83">
            <v>-5.3553985420229377E-4</v>
          </cell>
          <cell r="CK83">
            <v>5.8104070424711551E-3</v>
          </cell>
          <cell r="CL83">
            <v>4.3408767605304099E-3</v>
          </cell>
          <cell r="CM83">
            <v>2.0480361330088348E-2</v>
          </cell>
          <cell r="CN83">
            <v>-8.194489562166507E-3</v>
          </cell>
          <cell r="CO83">
            <v>9.0575348489698726E-3</v>
          </cell>
          <cell r="CP83">
            <v>1.2199744754418873E-2</v>
          </cell>
          <cell r="CQ83">
            <v>1.9618493569592665E-2</v>
          </cell>
          <cell r="CR83">
            <v>1.8564469488178359E-2</v>
          </cell>
          <cell r="CS83">
            <v>2.3713014564618939E-2</v>
          </cell>
          <cell r="CT83">
            <v>1.9840304674945131E-3</v>
          </cell>
          <cell r="CU83">
            <v>2.9411809305129655E-2</v>
          </cell>
          <cell r="CV83">
            <v>1.7638333641751602E-2</v>
          </cell>
          <cell r="CW83">
            <v>3.4704413919521837E-3</v>
          </cell>
          <cell r="CX83">
            <v>1.7845976237601535E-2</v>
          </cell>
          <cell r="CY83">
            <v>5.7649919448639064E-3</v>
          </cell>
          <cell r="CZ83">
            <v>7.1230724522672872E-3</v>
          </cell>
          <cell r="DA83">
            <v>1.0227855274735909E-2</v>
          </cell>
          <cell r="DB83">
            <v>8.8586191939656889E-3</v>
          </cell>
          <cell r="DC83">
            <v>9.8033800401595705E-3</v>
          </cell>
          <cell r="DD83">
            <v>3.6584728948212408E-3</v>
          </cell>
          <cell r="DE83">
            <v>2.7257175310466675E-2</v>
          </cell>
          <cell r="DF83">
            <v>6.1704111084119884E-3</v>
          </cell>
          <cell r="DG83">
            <v>7.8563416712187362E-3</v>
          </cell>
          <cell r="DH83">
            <v>1.528740002114537E-2</v>
          </cell>
          <cell r="DI83">
            <v>1.0040175416835995E-2</v>
          </cell>
          <cell r="DJ83">
            <v>2.1675969843331089E-2</v>
          </cell>
          <cell r="DK83">
            <v>-9.5654585387903168E-3</v>
          </cell>
          <cell r="DL83">
            <v>3.3999563668910326E-2</v>
          </cell>
          <cell r="DM83">
            <v>-3.0159356925694714E-2</v>
          </cell>
          <cell r="DN83">
            <v>-2.3989241977821929E-2</v>
          </cell>
          <cell r="DO83">
            <v>-2.4860266549520116E-4</v>
          </cell>
          <cell r="DP83">
            <v>-1.8174439425215461E-2</v>
          </cell>
          <cell r="DQ83">
            <v>4.2092905465134223E-3</v>
          </cell>
          <cell r="DR83">
            <v>-1.007855289731352E-3</v>
          </cell>
          <cell r="DS83">
            <v>9.7318180959558021E-3</v>
          </cell>
          <cell r="DT83">
            <v>1.0579873164848763E-3</v>
          </cell>
          <cell r="DU83">
            <v>2.5864697571158057E-2</v>
          </cell>
          <cell r="DV83">
            <v>2.962100130042078E-2</v>
          </cell>
          <cell r="DW83">
            <v>-1.7723602179476883E-2</v>
          </cell>
          <cell r="DX83">
            <v>-2.7174162879948227E-3</v>
          </cell>
          <cell r="DY83">
            <v>7.2690970976576619E-3</v>
          </cell>
          <cell r="DZ83">
            <v>2.0374535458564935E-3</v>
          </cell>
          <cell r="EA83">
            <v>8.0364049321719477E-3</v>
          </cell>
          <cell r="EB83">
            <v>4.2875159272743879E-3</v>
          </cell>
          <cell r="EC83">
            <v>-6.3414979508158442E-4</v>
          </cell>
          <cell r="ED83">
            <v>1.1930741286855451E-2</v>
          </cell>
          <cell r="EE83">
            <v>2.0184659842902741E-2</v>
          </cell>
          <cell r="EF83">
            <v>-6.7891334024909877E-3</v>
          </cell>
          <cell r="EG83">
            <v>-2.4940836368274599E-3</v>
          </cell>
          <cell r="EH83">
            <v>2.7138886126540696E-2</v>
          </cell>
          <cell r="EI83">
            <v>5.601556448936007E-3</v>
          </cell>
          <cell r="EJ83">
            <v>5.601556448936007E-3</v>
          </cell>
          <cell r="EK83">
            <v>5.601556448936007E-3</v>
          </cell>
          <cell r="EL83">
            <v>5.601556448936007E-3</v>
          </cell>
          <cell r="EM83">
            <v>5.601556448936007E-3</v>
          </cell>
          <cell r="EN83">
            <v>5.601556448936007E-3</v>
          </cell>
          <cell r="EO83">
            <v>5.601556448936007E-3</v>
          </cell>
          <cell r="EP83">
            <v>5.601556448936007E-3</v>
          </cell>
          <cell r="EQ83">
            <v>5.601556448936007E-3</v>
          </cell>
          <cell r="ER83">
            <v>5.601556448936007E-3</v>
          </cell>
          <cell r="ES83">
            <v>5.601556448936007E-3</v>
          </cell>
          <cell r="ET83">
            <v>5.601556448936007E-3</v>
          </cell>
          <cell r="EU83">
            <v>5.601556448936007E-3</v>
          </cell>
          <cell r="EV83">
            <v>5.601556448936007E-3</v>
          </cell>
          <cell r="EW83">
            <v>5.601556448936007E-3</v>
          </cell>
          <cell r="EX83">
            <v>5.601556448936007E-3</v>
          </cell>
          <cell r="EY83">
            <v>5.601556448936007E-3</v>
          </cell>
          <cell r="EZ83">
            <v>5.601556448936007E-3</v>
          </cell>
          <cell r="FA83">
            <v>5.601556448936007E-3</v>
          </cell>
          <cell r="FB83">
            <v>5.601556448936007E-3</v>
          </cell>
          <cell r="FC83">
            <v>5.601556448936007E-3</v>
          </cell>
          <cell r="FD83">
            <v>5.601556448936007E-3</v>
          </cell>
          <cell r="FE83">
            <v>5.601556448936007E-3</v>
          </cell>
          <cell r="FF83">
            <v>5.601556448936007E-3</v>
          </cell>
          <cell r="FG83">
            <v>5.601556448936007E-3</v>
          </cell>
          <cell r="FH83">
            <v>5.601556448936007E-3</v>
          </cell>
          <cell r="FI83">
            <v>5.601556448936007E-3</v>
          </cell>
          <cell r="FJ83">
            <v>5.601556448936007E-3</v>
          </cell>
          <cell r="FK83">
            <v>5.601556448936007E-3</v>
          </cell>
          <cell r="FL83">
            <v>5.601556448936007E-3</v>
          </cell>
          <cell r="FM83">
            <v>5.601556448936007E-3</v>
          </cell>
          <cell r="FN83">
            <v>5.601556448936007E-3</v>
          </cell>
          <cell r="FO83">
            <v>5.601556448936007E-3</v>
          </cell>
          <cell r="FP83">
            <v>5.601556448936007E-3</v>
          </cell>
          <cell r="FQ83">
            <v>5.601556448936007E-3</v>
          </cell>
          <cell r="FR83">
            <v>5.601556448936007E-3</v>
          </cell>
          <cell r="FS83">
            <v>5.601556448936007E-3</v>
          </cell>
          <cell r="FT83">
            <v>5.601556448936007E-3</v>
          </cell>
          <cell r="FU83">
            <v>5.601556448936007E-3</v>
          </cell>
        </row>
        <row r="84">
          <cell r="A84" t="str">
            <v>3MoSystemUKHCg</v>
          </cell>
          <cell r="B84" t="str">
            <v>UK housing</v>
          </cell>
          <cell r="J84" t="e">
            <v>#REF!</v>
          </cell>
          <cell r="K84" t="e">
            <v>#REF!</v>
          </cell>
          <cell r="L84" t="e">
            <v>#REF!</v>
          </cell>
          <cell r="M84" t="e">
            <v>#REF!</v>
          </cell>
          <cell r="N84" t="e">
            <v>#REF!</v>
          </cell>
          <cell r="O84" t="e">
            <v>#REF!</v>
          </cell>
          <cell r="P84" t="e">
            <v>#REF!</v>
          </cell>
          <cell r="Q84" t="e">
            <v>#REF!</v>
          </cell>
          <cell r="R84" t="e">
            <v>#REF!</v>
          </cell>
          <cell r="S84" t="e">
            <v>#REF!</v>
          </cell>
          <cell r="T84" t="e">
            <v>#REF!</v>
          </cell>
          <cell r="U84" t="e">
            <v>#REF!</v>
          </cell>
          <cell r="V84" t="e">
            <v>#REF!</v>
          </cell>
          <cell r="W84" t="e">
            <v>#REF!</v>
          </cell>
          <cell r="X84" t="e">
            <v>#REF!</v>
          </cell>
          <cell r="Y84" t="e">
            <v>#REF!</v>
          </cell>
          <cell r="Z84" t="e">
            <v>#REF!</v>
          </cell>
          <cell r="AA84" t="e">
            <v>#REF!</v>
          </cell>
          <cell r="AB84" t="e">
            <v>#REF!</v>
          </cell>
          <cell r="AC84" t="e">
            <v>#REF!</v>
          </cell>
          <cell r="AD84" t="e">
            <v>#REF!</v>
          </cell>
          <cell r="AE84" t="e">
            <v>#REF!</v>
          </cell>
          <cell r="AF84" t="e">
            <v>#REF!</v>
          </cell>
          <cell r="AG84" t="e">
            <v>#REF!</v>
          </cell>
          <cell r="AH84" t="e">
            <v>#REF!</v>
          </cell>
          <cell r="AI84" t="e">
            <v>#REF!</v>
          </cell>
          <cell r="AJ84" t="e">
            <v>#REF!</v>
          </cell>
          <cell r="AK84" t="e">
            <v>#REF!</v>
          </cell>
          <cell r="AL84" t="e">
            <v>#REF!</v>
          </cell>
          <cell r="AM84" t="e">
            <v>#REF!</v>
          </cell>
          <cell r="AN84" t="e">
            <v>#REF!</v>
          </cell>
          <cell r="AO84" t="e">
            <v>#REF!</v>
          </cell>
          <cell r="AP84" t="e">
            <v>#REF!</v>
          </cell>
          <cell r="AQ84" t="e">
            <v>#REF!</v>
          </cell>
          <cell r="AR84" t="e">
            <v>#REF!</v>
          </cell>
          <cell r="AS84" t="e">
            <v>#REF!</v>
          </cell>
          <cell r="AT84" t="e">
            <v>#REF!</v>
          </cell>
          <cell r="AU84" t="e">
            <v>#REF!</v>
          </cell>
          <cell r="AV84" t="e">
            <v>#REF!</v>
          </cell>
          <cell r="AW84" t="e">
            <v>#REF!</v>
          </cell>
          <cell r="AX84" t="e">
            <v>#REF!</v>
          </cell>
          <cell r="AY84" t="e">
            <v>#REF!</v>
          </cell>
          <cell r="AZ84" t="e">
            <v>#REF!</v>
          </cell>
          <cell r="BA84" t="e">
            <v>#REF!</v>
          </cell>
          <cell r="BB84" t="e">
            <v>#REF!</v>
          </cell>
          <cell r="BC84" t="e">
            <v>#REF!</v>
          </cell>
          <cell r="BD84" t="e">
            <v>#REF!</v>
          </cell>
          <cell r="BE84" t="e">
            <v>#REF!</v>
          </cell>
          <cell r="BF84" t="e">
            <v>#REF!</v>
          </cell>
          <cell r="BG84" t="e">
            <v>#REF!</v>
          </cell>
          <cell r="BH84" t="e">
            <v>#REF!</v>
          </cell>
          <cell r="BI84" t="e">
            <v>#REF!</v>
          </cell>
          <cell r="BJ84" t="e">
            <v>#REF!</v>
          </cell>
          <cell r="BK84" t="e">
            <v>#REF!</v>
          </cell>
          <cell r="BL84" t="e">
            <v>#REF!</v>
          </cell>
          <cell r="BM84" t="e">
            <v>#REF!</v>
          </cell>
          <cell r="BN84" t="e">
            <v>#REF!</v>
          </cell>
          <cell r="BO84" t="e">
            <v>#REF!</v>
          </cell>
          <cell r="BP84" t="e">
            <v>#REF!</v>
          </cell>
          <cell r="BQ84" t="e">
            <v>#REF!</v>
          </cell>
          <cell r="BR84" t="e">
            <v>#REF!</v>
          </cell>
          <cell r="BS84" t="e">
            <v>#REF!</v>
          </cell>
          <cell r="BT84" t="e">
            <v>#REF!</v>
          </cell>
          <cell r="BU84" t="e">
            <v>#REF!</v>
          </cell>
          <cell r="BV84" t="e">
            <v>#REF!</v>
          </cell>
          <cell r="BW84" t="e">
            <v>#REF!</v>
          </cell>
          <cell r="BX84" t="e">
            <v>#REF!</v>
          </cell>
          <cell r="BY84" t="e">
            <v>#REF!</v>
          </cell>
          <cell r="BZ84" t="e">
            <v>#REF!</v>
          </cell>
          <cell r="CA84" t="e">
            <v>#REF!</v>
          </cell>
          <cell r="CB84" t="e">
            <v>#REF!</v>
          </cell>
          <cell r="CC84" t="e">
            <v>#REF!</v>
          </cell>
          <cell r="CD84" t="e">
            <v>#REF!</v>
          </cell>
          <cell r="CE84" t="e">
            <v>#REF!</v>
          </cell>
          <cell r="CF84" t="e">
            <v>#REF!</v>
          </cell>
          <cell r="CG84" t="e">
            <v>#REF!</v>
          </cell>
          <cell r="CH84" t="e">
            <v>#REF!</v>
          </cell>
          <cell r="CI84" t="e">
            <v>#REF!</v>
          </cell>
          <cell r="CJ84" t="e">
            <v>#REF!</v>
          </cell>
          <cell r="CK84" t="e">
            <v>#REF!</v>
          </cell>
          <cell r="CL84" t="e">
            <v>#REF!</v>
          </cell>
          <cell r="CM84" t="e">
            <v>#REF!</v>
          </cell>
          <cell r="CN84" t="e">
            <v>#REF!</v>
          </cell>
          <cell r="CO84" t="e">
            <v>#REF!</v>
          </cell>
          <cell r="CP84" t="e">
            <v>#REF!</v>
          </cell>
          <cell r="CQ84" t="e">
            <v>#REF!</v>
          </cell>
          <cell r="CR84" t="e">
            <v>#REF!</v>
          </cell>
          <cell r="CS84" t="e">
            <v>#REF!</v>
          </cell>
          <cell r="CT84" t="e">
            <v>#REF!</v>
          </cell>
          <cell r="CU84" t="e">
            <v>#REF!</v>
          </cell>
          <cell r="CV84" t="e">
            <v>#REF!</v>
          </cell>
          <cell r="CW84" t="e">
            <v>#REF!</v>
          </cell>
        </row>
        <row r="85">
          <cell r="A85" t="str">
            <v>3MoSystemUKNHCg</v>
          </cell>
          <cell r="B85" t="str">
            <v>UK non-housing</v>
          </cell>
          <cell r="AA85" t="e">
            <v>#REF!</v>
          </cell>
          <cell r="AB85" t="e">
            <v>#REF!</v>
          </cell>
          <cell r="AC85" t="e">
            <v>#REF!</v>
          </cell>
          <cell r="AD85" t="e">
            <v>#REF!</v>
          </cell>
          <cell r="AE85" t="e">
            <v>#REF!</v>
          </cell>
          <cell r="AF85" t="e">
            <v>#REF!</v>
          </cell>
          <cell r="AG85" t="e">
            <v>#REF!</v>
          </cell>
          <cell r="AH85" t="e">
            <v>#REF!</v>
          </cell>
          <cell r="AI85" t="e">
            <v>#REF!</v>
          </cell>
          <cell r="AJ85" t="e">
            <v>#REF!</v>
          </cell>
          <cell r="AK85" t="e">
            <v>#REF!</v>
          </cell>
          <cell r="AL85" t="e">
            <v>#REF!</v>
          </cell>
          <cell r="AM85" t="e">
            <v>#REF!</v>
          </cell>
          <cell r="AN85" t="e">
            <v>#REF!</v>
          </cell>
          <cell r="AO85" t="e">
            <v>#REF!</v>
          </cell>
          <cell r="AP85" t="e">
            <v>#REF!</v>
          </cell>
          <cell r="AQ85" t="e">
            <v>#REF!</v>
          </cell>
          <cell r="AR85" t="e">
            <v>#REF!</v>
          </cell>
          <cell r="AS85" t="e">
            <v>#REF!</v>
          </cell>
          <cell r="AT85" t="e">
            <v>#REF!</v>
          </cell>
          <cell r="AU85" t="e">
            <v>#REF!</v>
          </cell>
          <cell r="AV85" t="e">
            <v>#REF!</v>
          </cell>
          <cell r="AW85" t="e">
            <v>#REF!</v>
          </cell>
          <cell r="AX85" t="e">
            <v>#REF!</v>
          </cell>
          <cell r="AY85" t="e">
            <v>#REF!</v>
          </cell>
          <cell r="AZ85" t="e">
            <v>#REF!</v>
          </cell>
          <cell r="BA85" t="e">
            <v>#REF!</v>
          </cell>
          <cell r="BB85" t="e">
            <v>#REF!</v>
          </cell>
          <cell r="BC85" t="e">
            <v>#REF!</v>
          </cell>
          <cell r="BD85" t="e">
            <v>#REF!</v>
          </cell>
          <cell r="BE85" t="e">
            <v>#REF!</v>
          </cell>
          <cell r="BF85" t="e">
            <v>#REF!</v>
          </cell>
          <cell r="BG85" t="e">
            <v>#REF!</v>
          </cell>
          <cell r="BH85" t="e">
            <v>#REF!</v>
          </cell>
          <cell r="BI85" t="e">
            <v>#REF!</v>
          </cell>
          <cell r="BJ85" t="e">
            <v>#REF!</v>
          </cell>
          <cell r="BK85" t="e">
            <v>#REF!</v>
          </cell>
          <cell r="BL85" t="e">
            <v>#REF!</v>
          </cell>
          <cell r="BM85" t="e">
            <v>#REF!</v>
          </cell>
          <cell r="BN85" t="e">
            <v>#REF!</v>
          </cell>
          <cell r="BO85" t="e">
            <v>#REF!</v>
          </cell>
          <cell r="BP85" t="e">
            <v>#REF!</v>
          </cell>
          <cell r="BQ85" t="e">
            <v>#REF!</v>
          </cell>
          <cell r="BR85" t="e">
            <v>#REF!</v>
          </cell>
          <cell r="BS85" t="e">
            <v>#REF!</v>
          </cell>
          <cell r="BT85" t="e">
            <v>#REF!</v>
          </cell>
          <cell r="BU85" t="e">
            <v>#REF!</v>
          </cell>
          <cell r="BV85" t="e">
            <v>#REF!</v>
          </cell>
          <cell r="BW85" t="e">
            <v>#REF!</v>
          </cell>
          <cell r="BX85" t="e">
            <v>#REF!</v>
          </cell>
          <cell r="BY85" t="e">
            <v>#REF!</v>
          </cell>
          <cell r="BZ85" t="e">
            <v>#REF!</v>
          </cell>
          <cell r="CA85" t="e">
            <v>#REF!</v>
          </cell>
          <cell r="CB85" t="e">
            <v>#REF!</v>
          </cell>
          <cell r="CC85" t="e">
            <v>#REF!</v>
          </cell>
          <cell r="CD85" t="e">
            <v>#REF!</v>
          </cell>
          <cell r="CE85" t="e">
            <v>#REF!</v>
          </cell>
          <cell r="CF85" t="e">
            <v>#REF!</v>
          </cell>
          <cell r="CG85" t="e">
            <v>#REF!</v>
          </cell>
          <cell r="CH85" t="e">
            <v>#REF!</v>
          </cell>
          <cell r="CI85" t="e">
            <v>#REF!</v>
          </cell>
          <cell r="CJ85" t="e">
            <v>#REF!</v>
          </cell>
          <cell r="CK85" t="e">
            <v>#REF!</v>
          </cell>
          <cell r="CL85" t="e">
            <v>#REF!</v>
          </cell>
          <cell r="CM85" t="e">
            <v>#REF!</v>
          </cell>
          <cell r="CN85" t="e">
            <v>#REF!</v>
          </cell>
          <cell r="CO85" t="e">
            <v>#REF!</v>
          </cell>
          <cell r="CP85" t="e">
            <v>#REF!</v>
          </cell>
          <cell r="CQ85" t="e">
            <v>#REF!</v>
          </cell>
          <cell r="CR85" t="e">
            <v>#REF!</v>
          </cell>
          <cell r="CS85" t="e">
            <v>#REF!</v>
          </cell>
          <cell r="CT85" t="e">
            <v>#REF!</v>
          </cell>
          <cell r="CU85" t="e">
            <v>#REF!</v>
          </cell>
          <cell r="CV85" t="e">
            <v>#REF!</v>
          </cell>
          <cell r="CW85" t="e">
            <v>#REF!</v>
          </cell>
        </row>
        <row r="87">
          <cell r="B87" t="str">
            <v>System volume growth (6mo)</v>
          </cell>
        </row>
        <row r="88">
          <cell r="A88" t="str">
            <v>6MoSystemAUHCg</v>
          </cell>
          <cell r="B88" t="str">
            <v>Australian housing</v>
          </cell>
          <cell r="D88">
            <v>6.2807456476395185E-2</v>
          </cell>
          <cell r="E88">
            <v>5.6932453106605774E-2</v>
          </cell>
          <cell r="F88">
            <v>6.0879970935289185E-2</v>
          </cell>
          <cell r="G88">
            <v>7.1756753864788081E-2</v>
          </cell>
          <cell r="H88">
            <v>7.8736655546226997E-2</v>
          </cell>
          <cell r="I88">
            <v>8.1877872273125943E-2</v>
          </cell>
          <cell r="J88">
            <v>8.8466284456117025E-2</v>
          </cell>
          <cell r="K88">
            <v>9.024506902055851E-2</v>
          </cell>
          <cell r="L88">
            <v>9.9790628314966767E-2</v>
          </cell>
          <cell r="M88">
            <v>0.10978413347849525</v>
          </cell>
          <cell r="N88">
            <v>0.10548494082761417</v>
          </cell>
          <cell r="O88">
            <v>8.8863643528561909E-2</v>
          </cell>
          <cell r="P88">
            <v>7.4921587505941245E-2</v>
          </cell>
          <cell r="Q88">
            <v>5.8657047126933426E-2</v>
          </cell>
          <cell r="R88">
            <v>4.9187440991271592E-2</v>
          </cell>
          <cell r="S88">
            <v>6.1126631538737985E-2</v>
          </cell>
          <cell r="T88">
            <v>6.4961459850779946E-2</v>
          </cell>
          <cell r="U88">
            <v>5.5067527854638421E-2</v>
          </cell>
          <cell r="V88">
            <v>5.5588891820383735E-2</v>
          </cell>
          <cell r="W88">
            <v>5.4663993410150269E-2</v>
          </cell>
          <cell r="X88">
            <v>5.2569865139067584E-2</v>
          </cell>
          <cell r="Y88">
            <v>6.0560231692703637E-2</v>
          </cell>
          <cell r="Z88">
            <v>6.5205269475576921E-2</v>
          </cell>
          <cell r="AA88">
            <v>5.7775963651132134E-2</v>
          </cell>
          <cell r="AB88">
            <v>5.2269178359962698E-2</v>
          </cell>
          <cell r="AC88">
            <v>5.9903069869829073E-2</v>
          </cell>
          <cell r="AD88">
            <v>5.7896740745494002E-2</v>
          </cell>
          <cell r="AE88">
            <v>5.68300552640848E-2</v>
          </cell>
          <cell r="AF88">
            <v>5.8683251645121004E-2</v>
          </cell>
          <cell r="AG88">
            <v>5.9679262256188581E-2</v>
          </cell>
          <cell r="AH88">
            <v>7.3675877452435534E-2</v>
          </cell>
          <cell r="AI88">
            <v>7.9476496949962616E-2</v>
          </cell>
          <cell r="AJ88">
            <v>8.4376120875815364E-2</v>
          </cell>
          <cell r="AK88">
            <v>8.3595813201770883E-2</v>
          </cell>
          <cell r="AL88">
            <v>6.676780532973936E-2</v>
          </cell>
          <cell r="AM88">
            <v>5.379529445076292E-2</v>
          </cell>
          <cell r="AN88">
            <v>5.6153053005588482E-2</v>
          </cell>
          <cell r="AO88">
            <v>6.7757432109603499E-2</v>
          </cell>
          <cell r="AP88">
            <v>7.6487013005069882E-2</v>
          </cell>
          <cell r="AQ88">
            <v>8.6976584242201907E-2</v>
          </cell>
          <cell r="AR88">
            <v>9.4328086966191993E-2</v>
          </cell>
          <cell r="AS88">
            <v>8.5587160355268033E-2</v>
          </cell>
          <cell r="AT88">
            <v>8.9366095945671464E-2</v>
          </cell>
          <cell r="AU88">
            <v>9.0871166951861149E-2</v>
          </cell>
          <cell r="AV88">
            <v>8.0831933841144052E-2</v>
          </cell>
          <cell r="AW88">
            <v>9.1859914511920771E-2</v>
          </cell>
          <cell r="AX88">
            <v>0.10326189022538834</v>
          </cell>
          <cell r="AY88">
            <v>0.10761386414758235</v>
          </cell>
          <cell r="AZ88">
            <v>0.1053426766998693</v>
          </cell>
          <cell r="BA88">
            <v>9.007842693660105E-2</v>
          </cell>
          <cell r="BB88">
            <v>7.9558080981864343E-2</v>
          </cell>
          <cell r="BC88">
            <v>8.0360871391988109E-2</v>
          </cell>
          <cell r="BD88">
            <v>7.117201619406277E-2</v>
          </cell>
          <cell r="BE88">
            <v>6.1372757379928089E-2</v>
          </cell>
          <cell r="BF88">
            <v>5.8138954690363898E-2</v>
          </cell>
          <cell r="BG88">
            <v>6.2178541915001606E-2</v>
          </cell>
          <cell r="BH88">
            <v>6.6393515099896439E-2</v>
          </cell>
          <cell r="BI88">
            <v>7.0282944504912681E-2</v>
          </cell>
          <cell r="BJ88">
            <v>7.374074216817128E-2</v>
          </cell>
          <cell r="BK88">
            <v>6.2021364758243047E-2</v>
          </cell>
          <cell r="BL88">
            <v>5.6919411490562011E-2</v>
          </cell>
          <cell r="BM88">
            <v>6.3761912259118647E-2</v>
          </cell>
          <cell r="BN88">
            <v>5.875313444498409E-2</v>
          </cell>
          <cell r="BO88">
            <v>5.1291107921038748E-2</v>
          </cell>
          <cell r="BP88">
            <v>5.0182425554365917E-2</v>
          </cell>
          <cell r="BQ88">
            <v>4.2497881646039959E-2</v>
          </cell>
          <cell r="BR88">
            <v>3.2832317544658762E-2</v>
          </cell>
          <cell r="BS88">
            <v>2.964765669252567E-2</v>
          </cell>
          <cell r="BT88">
            <v>3.1018976045242397E-2</v>
          </cell>
          <cell r="BU88">
            <v>3.4553197790511136E-2</v>
          </cell>
          <cell r="BV88">
            <v>3.9160751055448806E-2</v>
          </cell>
          <cell r="BW88">
            <v>4.0866207587649583E-2</v>
          </cell>
          <cell r="BX88">
            <v>4.1558519826635942E-2</v>
          </cell>
          <cell r="BY88">
            <v>3.7805953254887781E-2</v>
          </cell>
          <cell r="BZ88">
            <v>3.3345746670791376E-2</v>
          </cell>
          <cell r="CA88">
            <v>3.2781316187448839E-2</v>
          </cell>
          <cell r="CB88">
            <v>3.0197451978076328E-2</v>
          </cell>
          <cell r="CC88">
            <v>2.69280418465081E-2</v>
          </cell>
          <cell r="CD88">
            <v>2.717372880716673E-2</v>
          </cell>
          <cell r="CE88">
            <v>2.632080671166781E-2</v>
          </cell>
          <cell r="CF88">
            <v>2.4857917594106382E-2</v>
          </cell>
          <cell r="CG88">
            <v>2.3316626648146155E-2</v>
          </cell>
          <cell r="CH88">
            <v>2.1575877070242555E-2</v>
          </cell>
          <cell r="CI88">
            <v>2.1475996699456879E-2</v>
          </cell>
          <cell r="CJ88">
            <v>2.2231493788246182E-2</v>
          </cell>
          <cell r="CK88">
            <v>2.4208360185713929E-2</v>
          </cell>
          <cell r="CL88">
            <v>2.6252035932903928E-2</v>
          </cell>
          <cell r="CM88">
            <v>2.9386700627324291E-2</v>
          </cell>
          <cell r="CN88">
            <v>3.1763937168866496E-2</v>
          </cell>
          <cell r="CO88">
            <v>3.3930385192611823E-2</v>
          </cell>
          <cell r="CP88">
            <v>3.4654223000067041E-2</v>
          </cell>
          <cell r="CQ88">
            <v>3.5137324603719877E-2</v>
          </cell>
          <cell r="CR88">
            <v>3.6096440047710399E-2</v>
          </cell>
          <cell r="CS88">
            <v>3.6465105273620457E-2</v>
          </cell>
          <cell r="CT88">
            <v>3.7191416582935677E-2</v>
          </cell>
          <cell r="CU88">
            <v>3.6153550460477746E-2</v>
          </cell>
          <cell r="CV88">
            <v>3.234364952026092E-2</v>
          </cell>
          <cell r="CW88">
            <v>2.9933006156816155E-2</v>
          </cell>
          <cell r="CX88">
            <v>3.0965785175655736E-2</v>
          </cell>
          <cell r="CY88">
            <v>3.2352845155969812E-2</v>
          </cell>
          <cell r="CZ88">
            <v>3.284793382994633E-2</v>
          </cell>
          <cell r="DA88">
            <v>3.3011787221167266E-2</v>
          </cell>
          <cell r="DB88">
            <v>3.1908318611376663E-2</v>
          </cell>
          <cell r="DC88">
            <v>2.9433741029755378E-2</v>
          </cell>
          <cell r="DD88">
            <v>2.8608894333959745E-2</v>
          </cell>
          <cell r="DE88">
            <v>2.6013693337987087E-2</v>
          </cell>
          <cell r="DF88">
            <v>2.3249952278389774E-2</v>
          </cell>
          <cell r="DG88">
            <v>2.0250630559928595E-2</v>
          </cell>
          <cell r="DH88">
            <v>1.5879043217825073E-2</v>
          </cell>
          <cell r="DI88">
            <v>1.3962308626912945E-2</v>
          </cell>
          <cell r="DJ88">
            <v>1.3847259246271948E-2</v>
          </cell>
          <cell r="DK88">
            <v>1.5571080394595649E-2</v>
          </cell>
          <cell r="DL88">
            <v>1.7643934547550755E-2</v>
          </cell>
          <cell r="DM88">
            <v>1.5410984686798246E-2</v>
          </cell>
          <cell r="DN88">
            <v>1.4780506171763408E-2</v>
          </cell>
          <cell r="DO88">
            <v>1.9768530045528143E-2</v>
          </cell>
          <cell r="DP88">
            <v>2.6184429690623512E-2</v>
          </cell>
          <cell r="DQ88">
            <v>3.3300633541920144E-2</v>
          </cell>
          <cell r="DR88">
            <v>3.7701250705945322E-2</v>
          </cell>
          <cell r="DS88">
            <v>3.9848265998415622E-2</v>
          </cell>
          <cell r="DT88">
            <v>4.0317782626018817E-2</v>
          </cell>
          <cell r="DU88">
            <v>3.7932210580863712E-2</v>
          </cell>
          <cell r="DV88">
            <v>3.2511071351760901E-2</v>
          </cell>
          <cell r="DW88">
            <v>2.5686745242559317E-2</v>
          </cell>
          <cell r="DX88">
            <v>2.1600126986190293E-2</v>
          </cell>
          <cell r="DY88">
            <v>2.0282924243014255E-2</v>
          </cell>
          <cell r="DZ88">
            <v>2.0002027540050982E-2</v>
          </cell>
          <cell r="EA88">
            <v>2.0991750606981663E-2</v>
          </cell>
          <cell r="EB88">
            <v>2.2823137373980007E-2</v>
          </cell>
          <cell r="EC88">
            <v>2.5527056438700235E-2</v>
          </cell>
          <cell r="ED88">
            <v>2.7765810155555126E-2</v>
          </cell>
          <cell r="EE88">
            <v>2.8779041961061624E-2</v>
          </cell>
          <cell r="EF88">
            <v>2.8502608940657259E-2</v>
          </cell>
          <cell r="EG88">
            <v>2.9803096261785678E-2</v>
          </cell>
          <cell r="EH88">
            <v>3.3723750160633559E-2</v>
          </cell>
          <cell r="EI88">
            <v>3.7584669580746022E-2</v>
          </cell>
          <cell r="EJ88">
            <v>3.5930616741995713E-2</v>
          </cell>
          <cell r="EK88">
            <v>3.0731999999999982E-2</v>
          </cell>
          <cell r="EL88">
            <v>2.9210249999999993E-2</v>
          </cell>
          <cell r="EM88">
            <v>2.9210249999999993E-2</v>
          </cell>
          <cell r="EN88">
            <v>2.9210249999999993E-2</v>
          </cell>
          <cell r="EO88">
            <v>2.9210249999999993E-2</v>
          </cell>
          <cell r="EP88">
            <v>2.9210249999999993E-2</v>
          </cell>
          <cell r="EQ88">
            <v>2.9210249999999993E-2</v>
          </cell>
          <cell r="ER88">
            <v>2.9210249999999993E-2</v>
          </cell>
          <cell r="ES88">
            <v>2.9210249999999993E-2</v>
          </cell>
          <cell r="ET88">
            <v>2.9210249999999993E-2</v>
          </cell>
          <cell r="EU88">
            <v>2.9210249999999993E-2</v>
          </cell>
          <cell r="EV88">
            <v>2.7181249999999935E-2</v>
          </cell>
          <cell r="EW88">
            <v>2.5156249999999991E-2</v>
          </cell>
          <cell r="EX88">
            <v>2.5156249999999991E-2</v>
          </cell>
          <cell r="EY88">
            <v>2.5156249999999991E-2</v>
          </cell>
          <cell r="EZ88">
            <v>2.2624999999999895E-2</v>
          </cell>
          <cell r="FA88">
            <v>2.0100000000000007E-2</v>
          </cell>
          <cell r="FB88">
            <v>2.0100000000000007E-2</v>
          </cell>
          <cell r="FC88">
            <v>2.0100000000000007E-2</v>
          </cell>
          <cell r="FD88">
            <v>2.0100000000000007E-2</v>
          </cell>
          <cell r="FE88">
            <v>2.0100000000000007E-2</v>
          </cell>
          <cell r="FF88">
            <v>2.0100000000000007E-2</v>
          </cell>
          <cell r="FG88">
            <v>2.0100000000000007E-2</v>
          </cell>
          <cell r="FH88">
            <v>2.0100000000000007E-2</v>
          </cell>
          <cell r="FI88">
            <v>2.0100000000000007E-2</v>
          </cell>
          <cell r="FJ88">
            <v>2.0100000000000007E-2</v>
          </cell>
          <cell r="FK88">
            <v>2.0100000000000007E-2</v>
          </cell>
          <cell r="FL88">
            <v>2.0100000000000007E-2</v>
          </cell>
          <cell r="FM88">
            <v>2.0100000000000007E-2</v>
          </cell>
          <cell r="FN88">
            <v>2.0100000000000007E-2</v>
          </cell>
          <cell r="FO88">
            <v>2.0100000000000007E-2</v>
          </cell>
          <cell r="FP88">
            <v>2.0100000000000007E-2</v>
          </cell>
          <cell r="FQ88">
            <v>2.0100000000000007E-2</v>
          </cell>
          <cell r="FR88">
            <v>2.0100000000000007E-2</v>
          </cell>
          <cell r="FS88">
            <v>2.0100000000000007E-2</v>
          </cell>
          <cell r="FT88">
            <v>2.0100000000000007E-2</v>
          </cell>
          <cell r="FU88">
            <v>2.0100000000000007E-2</v>
          </cell>
        </row>
        <row r="89">
          <cell r="A89" t="str">
            <v>6MoSystemAUBCg</v>
          </cell>
          <cell r="B89" t="str">
            <v>Australian business</v>
          </cell>
          <cell r="D89">
            <v>-3.3295841711464158E-2</v>
          </cell>
          <cell r="E89">
            <v>-2.993401633403614E-2</v>
          </cell>
          <cell r="F89">
            <v>-2.6546006989944582E-2</v>
          </cell>
          <cell r="G89">
            <v>-4.0068740577520308E-2</v>
          </cell>
          <cell r="H89">
            <v>-2.7150356199164283E-2</v>
          </cell>
          <cell r="I89">
            <v>-6.9496520099436854E-3</v>
          </cell>
          <cell r="J89">
            <v>-1.1797081643932228E-2</v>
          </cell>
          <cell r="K89">
            <v>-7.5522919870660843E-3</v>
          </cell>
          <cell r="L89">
            <v>-5.493923709442794E-3</v>
          </cell>
          <cell r="M89">
            <v>4.2926405328702621E-3</v>
          </cell>
          <cell r="N89">
            <v>1.5309910799833126E-2</v>
          </cell>
          <cell r="O89">
            <v>1.9522508776163461E-2</v>
          </cell>
          <cell r="P89">
            <v>2.1171741195670668E-2</v>
          </cell>
          <cell r="Q89">
            <v>3.6030373168929097E-2</v>
          </cell>
          <cell r="R89">
            <v>4.9770130192503093E-2</v>
          </cell>
          <cell r="S89">
            <v>6.3506440641011741E-2</v>
          </cell>
          <cell r="T89">
            <v>8.4274563903184538E-2</v>
          </cell>
          <cell r="U89">
            <v>6.6549328897073545E-2</v>
          </cell>
          <cell r="V89">
            <v>4.701904416313174E-2</v>
          </cell>
          <cell r="W89">
            <v>4.4074476173463717E-2</v>
          </cell>
          <cell r="X89">
            <v>3.5033380147897253E-2</v>
          </cell>
          <cell r="Y89">
            <v>4.6698204799859422E-2</v>
          </cell>
          <cell r="Z89">
            <v>6.4402550232113942E-2</v>
          </cell>
          <cell r="AA89">
            <v>6.6065342387207515E-2</v>
          </cell>
          <cell r="AB89">
            <v>4.5877457013594469E-2</v>
          </cell>
          <cell r="AC89">
            <v>3.5177935839635577E-2</v>
          </cell>
          <cell r="AD89">
            <v>4.4243049764415732E-2</v>
          </cell>
          <cell r="AE89">
            <v>4.5968037722158295E-2</v>
          </cell>
          <cell r="AF89">
            <v>4.4208426211451046E-2</v>
          </cell>
          <cell r="AG89">
            <v>3.6070648548473416E-2</v>
          </cell>
          <cell r="AH89">
            <v>2.9215896329007451E-2</v>
          </cell>
          <cell r="AI89">
            <v>3.4469206566665189E-2</v>
          </cell>
          <cell r="AJ89">
            <v>4.4577731417406063E-2</v>
          </cell>
          <cell r="AK89">
            <v>5.0298164398484779E-2</v>
          </cell>
          <cell r="AL89">
            <v>4.817296342177424E-2</v>
          </cell>
          <cell r="AM89">
            <v>3.3681838226626182E-2</v>
          </cell>
          <cell r="AN89">
            <v>3.6227332161959058E-2</v>
          </cell>
          <cell r="AO89">
            <v>2.8848408784119872E-2</v>
          </cell>
          <cell r="AP89">
            <v>-1.9953836110875312E-3</v>
          </cell>
          <cell r="AQ89">
            <v>-6.7569371074661655E-3</v>
          </cell>
          <cell r="AR89">
            <v>6.7140274895243213E-3</v>
          </cell>
          <cell r="AS89">
            <v>2.4646784911365627E-2</v>
          </cell>
          <cell r="AT89">
            <v>4.0535797021749698E-2</v>
          </cell>
          <cell r="AU89">
            <v>2.6047775356244696E-2</v>
          </cell>
          <cell r="AV89">
            <v>3.5949960591146191E-2</v>
          </cell>
          <cell r="AW89">
            <v>3.7408151930289568E-2</v>
          </cell>
          <cell r="AX89">
            <v>2.8767367457515292E-2</v>
          </cell>
          <cell r="AY89">
            <v>5.0338508616727173E-2</v>
          </cell>
          <cell r="AZ89">
            <v>3.1024920386234056E-2</v>
          </cell>
          <cell r="BA89">
            <v>3.3848099798144959E-2</v>
          </cell>
          <cell r="BB89">
            <v>5.2961025855101873E-2</v>
          </cell>
          <cell r="BC89">
            <v>4.4852042334824427E-2</v>
          </cell>
          <cell r="BD89">
            <v>5.2816160024864667E-2</v>
          </cell>
          <cell r="BE89">
            <v>6.7484654811637679E-2</v>
          </cell>
          <cell r="BF89">
            <v>7.4262370279938761E-2</v>
          </cell>
          <cell r="BG89">
            <v>7.9662180078038825E-2</v>
          </cell>
          <cell r="BH89">
            <v>8.48457821831059E-2</v>
          </cell>
          <cell r="BI89">
            <v>8.1708113212727293E-2</v>
          </cell>
          <cell r="BJ89">
            <v>7.114859088521519E-2</v>
          </cell>
          <cell r="BK89">
            <v>7.303648778295968E-2</v>
          </cell>
          <cell r="BL89">
            <v>9.0754448481126668E-2</v>
          </cell>
          <cell r="BM89">
            <v>0.11201916779060372</v>
          </cell>
          <cell r="BN89">
            <v>0.12028605941619031</v>
          </cell>
          <cell r="BO89">
            <v>0.11571849923918066</v>
          </cell>
          <cell r="BP89">
            <v>8.565231163730358E-2</v>
          </cell>
          <cell r="BQ89">
            <v>4.6724582715452989E-2</v>
          </cell>
          <cell r="BR89">
            <v>4.8409626458220556E-2</v>
          </cell>
          <cell r="BS89">
            <v>4.0934364913318255E-2</v>
          </cell>
          <cell r="BT89">
            <v>2.4801139814889517E-3</v>
          </cell>
          <cell r="BU89">
            <v>-2.787028283774462E-2</v>
          </cell>
          <cell r="BV89">
            <v>-4.1874125153024577E-2</v>
          </cell>
          <cell r="BW89">
            <v>-3.8879846608948831E-2</v>
          </cell>
          <cell r="BX89">
            <v>-2.0672426452357451E-2</v>
          </cell>
          <cell r="BY89">
            <v>-2.6267279083277417E-3</v>
          </cell>
          <cell r="BZ89">
            <v>-1.4714796366349758E-2</v>
          </cell>
          <cell r="CA89">
            <v>-1.8954622776967911E-2</v>
          </cell>
          <cell r="CB89">
            <v>6.7767047184863483E-3</v>
          </cell>
          <cell r="CC89">
            <v>-7.0095551661353284E-3</v>
          </cell>
          <cell r="CD89">
            <v>-8.1065520493061038E-3</v>
          </cell>
          <cell r="CE89">
            <v>1.682074517062393E-2</v>
          </cell>
          <cell r="CF89">
            <v>1.799016341009918E-2</v>
          </cell>
          <cell r="CG89">
            <v>2.7100723840115748E-2</v>
          </cell>
          <cell r="CH89">
            <v>2.2053392770545299E-2</v>
          </cell>
          <cell r="CI89">
            <v>5.1525599982349402E-3</v>
          </cell>
          <cell r="CJ89">
            <v>-1.6387438959093448E-3</v>
          </cell>
          <cell r="CK89">
            <v>7.3881124280041899E-3</v>
          </cell>
          <cell r="CL89">
            <v>1.193989246837468E-2</v>
          </cell>
          <cell r="CM89">
            <v>8.6004310669076656E-3</v>
          </cell>
          <cell r="CN89">
            <v>1.3799026038668227E-2</v>
          </cell>
          <cell r="CO89">
            <v>2.5772884259989581E-2</v>
          </cell>
          <cell r="CP89">
            <v>2.3656202171627783E-2</v>
          </cell>
          <cell r="CQ89">
            <v>2.0328685158980342E-2</v>
          </cell>
          <cell r="CR89">
            <v>3.0051425761757233E-2</v>
          </cell>
          <cell r="CS89">
            <v>2.4144335402519035E-2</v>
          </cell>
          <cell r="CT89">
            <v>3.2645195958608708E-2</v>
          </cell>
          <cell r="CU89">
            <v>3.944771671334335E-2</v>
          </cell>
          <cell r="CV89">
            <v>3.1772528517604925E-2</v>
          </cell>
          <cell r="CW89">
            <v>2.610079285070932E-2</v>
          </cell>
          <cell r="CX89">
            <v>1.677530373388203E-2</v>
          </cell>
          <cell r="CY89">
            <v>2.8772761684618731E-2</v>
          </cell>
          <cell r="CZ89">
            <v>1.665699856938252E-2</v>
          </cell>
          <cell r="DA89">
            <v>1.249423946365158E-2</v>
          </cell>
          <cell r="DB89">
            <v>2.447671159557796E-2</v>
          </cell>
          <cell r="DC89">
            <v>1.8309188322077397E-2</v>
          </cell>
          <cell r="DD89">
            <v>1.3977591663487221E-2</v>
          </cell>
          <cell r="DE89">
            <v>1.2761645605253502E-2</v>
          </cell>
          <cell r="DF89">
            <v>2.9432017422115431E-2</v>
          </cell>
          <cell r="DG89">
            <v>3.4599595838659347E-2</v>
          </cell>
          <cell r="DH89">
            <v>1.8544263770812197E-2</v>
          </cell>
          <cell r="DI89">
            <v>5.5694976696569753E-3</v>
          </cell>
          <cell r="DJ89">
            <v>1.1499413734860964E-2</v>
          </cell>
          <cell r="DK89">
            <v>1.3128106927586813E-2</v>
          </cell>
          <cell r="DL89">
            <v>3.6949610399473309E-2</v>
          </cell>
          <cell r="DM89">
            <v>1.7246257789982122E-2</v>
          </cell>
          <cell r="DN89">
            <v>-2.5860677339568094E-2</v>
          </cell>
          <cell r="DO89">
            <v>-1.4772670337225069E-2</v>
          </cell>
          <cell r="DP89">
            <v>2.0917087222984687E-3</v>
          </cell>
          <cell r="DQ89">
            <v>2.2267170706980366E-2</v>
          </cell>
          <cell r="DR89">
            <v>3.9569421985749642E-2</v>
          </cell>
          <cell r="DS89">
            <v>5.2811954971644592E-2</v>
          </cell>
          <cell r="DT89">
            <v>5.0434501523235475E-2</v>
          </cell>
          <cell r="DU89">
            <v>6.302117003736929E-2</v>
          </cell>
          <cell r="DV89">
            <v>7.900988560464639E-2</v>
          </cell>
          <cell r="DW89">
            <v>4.9766152511238282E-2</v>
          </cell>
          <cell r="DX89">
            <v>2.3681325522372454E-2</v>
          </cell>
          <cell r="DY89">
            <v>2.9922622377723362E-2</v>
          </cell>
          <cell r="DZ89">
            <v>4.1686911003573357E-2</v>
          </cell>
          <cell r="EA89">
            <v>3.279190970107515E-2</v>
          </cell>
          <cell r="EB89">
            <v>3.3924736616333773E-2</v>
          </cell>
          <cell r="EC89">
            <v>4.4032840673021933E-2</v>
          </cell>
          <cell r="ED89">
            <v>4.0573827443633359E-2</v>
          </cell>
          <cell r="EE89">
            <v>4.7444598675414174E-2</v>
          </cell>
          <cell r="EF89">
            <v>4.300006955528235E-2</v>
          </cell>
          <cell r="EG89">
            <v>3.7318000040146959E-2</v>
          </cell>
          <cell r="EH89">
            <v>4.9292011028515548E-2</v>
          </cell>
          <cell r="EI89">
            <v>5.7632876444495551E-2</v>
          </cell>
          <cell r="EJ89">
            <v>4.9614084510740009E-2</v>
          </cell>
          <cell r="EK89">
            <v>4.0399999999999991E-2</v>
          </cell>
          <cell r="EL89">
            <v>3.5299999999999887E-2</v>
          </cell>
          <cell r="EM89">
            <v>3.0224999999999724E-2</v>
          </cell>
          <cell r="EN89">
            <v>3.0224999999999724E-2</v>
          </cell>
          <cell r="EO89">
            <v>3.0224999999999724E-2</v>
          </cell>
          <cell r="EP89">
            <v>2.5150000000000006E-2</v>
          </cell>
          <cell r="EQ89">
            <v>2.0100000000000007E-2</v>
          </cell>
          <cell r="ER89">
            <v>2.0100000000000007E-2</v>
          </cell>
          <cell r="ES89">
            <v>2.0100000000000007E-2</v>
          </cell>
          <cell r="ET89">
            <v>2.0100000000000007E-2</v>
          </cell>
          <cell r="EU89">
            <v>2.0100000000000007E-2</v>
          </cell>
          <cell r="EV89">
            <v>2.0100000000000007E-2</v>
          </cell>
          <cell r="EW89">
            <v>2.0100000000000007E-2</v>
          </cell>
          <cell r="EX89">
            <v>2.0100000000000007E-2</v>
          </cell>
          <cell r="EY89">
            <v>2.0100000000000007E-2</v>
          </cell>
          <cell r="EZ89">
            <v>2.0100000000000007E-2</v>
          </cell>
          <cell r="FA89">
            <v>2.0100000000000007E-2</v>
          </cell>
          <cell r="FB89">
            <v>2.0100000000000007E-2</v>
          </cell>
          <cell r="FC89">
            <v>2.0100000000000007E-2</v>
          </cell>
          <cell r="FD89">
            <v>2.0100000000000007E-2</v>
          </cell>
          <cell r="FE89">
            <v>2.0100000000000007E-2</v>
          </cell>
          <cell r="FF89">
            <v>2.0100000000000007E-2</v>
          </cell>
          <cell r="FG89">
            <v>2.0100000000000007E-2</v>
          </cell>
          <cell r="FH89">
            <v>2.0100000000000007E-2</v>
          </cell>
          <cell r="FI89">
            <v>2.0100000000000007E-2</v>
          </cell>
          <cell r="FJ89">
            <v>2.0100000000000007E-2</v>
          </cell>
          <cell r="FK89">
            <v>2.0100000000000007E-2</v>
          </cell>
          <cell r="FL89">
            <v>2.0100000000000007E-2</v>
          </cell>
          <cell r="FM89">
            <v>2.0100000000000007E-2</v>
          </cell>
          <cell r="FN89">
            <v>2.0100000000000007E-2</v>
          </cell>
          <cell r="FO89">
            <v>2.0100000000000007E-2</v>
          </cell>
          <cell r="FP89">
            <v>2.0100000000000007E-2</v>
          </cell>
          <cell r="FQ89">
            <v>2.0100000000000007E-2</v>
          </cell>
          <cell r="FR89">
            <v>2.0100000000000007E-2</v>
          </cell>
          <cell r="FS89">
            <v>2.0100000000000007E-2</v>
          </cell>
          <cell r="FT89">
            <v>2.0100000000000007E-2</v>
          </cell>
          <cell r="FU89">
            <v>2.0100000000000007E-2</v>
          </cell>
        </row>
        <row r="90">
          <cell r="A90" t="str">
            <v>6MoSystemAUPCg</v>
          </cell>
          <cell r="B90" t="str">
            <v>Australian personal</v>
          </cell>
          <cell r="D90">
            <v>-2.3835661488468163E-2</v>
          </cell>
          <cell r="E90">
            <v>-1.9704963909994544E-2</v>
          </cell>
          <cell r="F90">
            <v>-1.3266733120537055E-2</v>
          </cell>
          <cell r="G90">
            <v>1.6349606686858476E-3</v>
          </cell>
          <cell r="H90">
            <v>1.806979091905081E-3</v>
          </cell>
          <cell r="I90">
            <v>-6.9601219734453101E-3</v>
          </cell>
          <cell r="J90">
            <v>-2.7113369025844047E-4</v>
          </cell>
          <cell r="K90">
            <v>1.4914279851523604E-2</v>
          </cell>
          <cell r="L90">
            <v>1.8152251333475977E-2</v>
          </cell>
          <cell r="M90">
            <v>2.5624390445002865E-2</v>
          </cell>
          <cell r="N90">
            <v>3.0615935659199955E-2</v>
          </cell>
          <cell r="O90">
            <v>3.9418991239119627E-2</v>
          </cell>
          <cell r="P90">
            <v>4.9853770388701868E-2</v>
          </cell>
          <cell r="Q90">
            <v>5.9376573165015323E-2</v>
          </cell>
          <cell r="R90">
            <v>6.0046746218723079E-2</v>
          </cell>
          <cell r="S90">
            <v>4.144282933806509E-2</v>
          </cell>
          <cell r="T90">
            <v>3.8990587359338358E-2</v>
          </cell>
          <cell r="U90">
            <v>6.0162479889846354E-2</v>
          </cell>
          <cell r="V90">
            <v>7.3786471458982206E-2</v>
          </cell>
          <cell r="W90">
            <v>5.1827172832748625E-2</v>
          </cell>
          <cell r="X90">
            <v>3.3774163306311111E-2</v>
          </cell>
          <cell r="Y90">
            <v>3.3709447215492627E-2</v>
          </cell>
          <cell r="Z90">
            <v>3.9661960122211903E-2</v>
          </cell>
          <cell r="AA90">
            <v>6.60869721243591E-2</v>
          </cell>
          <cell r="AB90">
            <v>6.7739334760141379E-2</v>
          </cell>
          <cell r="AC90">
            <v>4.8438750078392045E-2</v>
          </cell>
          <cell r="AD90">
            <v>5.6073711131978898E-2</v>
          </cell>
          <cell r="AE90">
            <v>7.3204921006855495E-2</v>
          </cell>
          <cell r="AF90">
            <v>8.6690769505602727E-2</v>
          </cell>
          <cell r="AG90">
            <v>8.3200149704406368E-2</v>
          </cell>
          <cell r="AH90">
            <v>7.3838315761208584E-2</v>
          </cell>
          <cell r="AI90">
            <v>7.4470073909097767E-2</v>
          </cell>
          <cell r="AJ90">
            <v>7.5060751740559706E-2</v>
          </cell>
          <cell r="AK90">
            <v>8.0512325883317359E-2</v>
          </cell>
          <cell r="AL90">
            <v>5.3768598785746358E-2</v>
          </cell>
          <cell r="AM90">
            <v>5.7236838584606931E-2</v>
          </cell>
          <cell r="AN90">
            <v>6.9676165408415702E-2</v>
          </cell>
          <cell r="AO90">
            <v>4.6695950712707823E-2</v>
          </cell>
          <cell r="AP90">
            <v>3.6406755651311906E-2</v>
          </cell>
          <cell r="AQ90">
            <v>3.6784674928397987E-2</v>
          </cell>
          <cell r="AR90">
            <v>4.5227399917856292E-2</v>
          </cell>
          <cell r="AS90">
            <v>5.4100759563874723E-2</v>
          </cell>
          <cell r="AT90">
            <v>5.771318789890012E-2</v>
          </cell>
          <cell r="AU90">
            <v>4.1117964554073128E-2</v>
          </cell>
          <cell r="AV90">
            <v>4.7415098135860756E-2</v>
          </cell>
          <cell r="AW90">
            <v>7.9213828217173043E-2</v>
          </cell>
          <cell r="AX90">
            <v>8.317951742196561E-2</v>
          </cell>
          <cell r="AY90">
            <v>6.2284786764588151E-2</v>
          </cell>
          <cell r="AZ90">
            <v>5.8286927599551008E-2</v>
          </cell>
          <cell r="BA90">
            <v>5.1705284050848066E-2</v>
          </cell>
          <cell r="BB90">
            <v>5.2557723017667479E-2</v>
          </cell>
          <cell r="BC90">
            <v>7.6671753862013858E-2</v>
          </cell>
          <cell r="BD90">
            <v>6.9997484032544577E-2</v>
          </cell>
          <cell r="BE90">
            <v>5.3811404709885879E-2</v>
          </cell>
          <cell r="BF90">
            <v>5.5353987284401107E-2</v>
          </cell>
          <cell r="BG90">
            <v>4.3064796445451581E-2</v>
          </cell>
          <cell r="BH90">
            <v>4.2715275250303053E-2</v>
          </cell>
          <cell r="BI90">
            <v>5.2000803559967945E-2</v>
          </cell>
          <cell r="BJ90">
            <v>6.606324846984557E-2</v>
          </cell>
          <cell r="BK90">
            <v>5.9305626777635512E-2</v>
          </cell>
          <cell r="BL90">
            <v>4.8316392796795116E-2</v>
          </cell>
          <cell r="BM90">
            <v>9.6110843104088448E-2</v>
          </cell>
          <cell r="BN90">
            <v>6.6516574228735692E-2</v>
          </cell>
          <cell r="BO90">
            <v>3.7006190495543434E-2</v>
          </cell>
          <cell r="BP90">
            <v>3.2884586824436735E-2</v>
          </cell>
          <cell r="BQ90">
            <v>-3.7742003273921743E-3</v>
          </cell>
          <cell r="BR90">
            <v>-1.1498650757536977E-2</v>
          </cell>
          <cell r="BS90">
            <v>-4.6825360461187786E-2</v>
          </cell>
          <cell r="BT90">
            <v>-5.5931697593794238E-2</v>
          </cell>
          <cell r="BU90">
            <v>-2.504933378338059E-2</v>
          </cell>
          <cell r="BV90">
            <v>9.2808867573945797E-4</v>
          </cell>
          <cell r="BW90">
            <v>2.3266339307167039E-2</v>
          </cell>
          <cell r="BX90">
            <v>2.2454302666393255E-2</v>
          </cell>
          <cell r="BY90">
            <v>6.2604612045937813E-3</v>
          </cell>
          <cell r="BZ90">
            <v>5.5589603181911418E-3</v>
          </cell>
          <cell r="CA90">
            <v>6.3312224279026275E-3</v>
          </cell>
          <cell r="CB90">
            <v>4.6073130029744558E-3</v>
          </cell>
          <cell r="CC90">
            <v>2.0000962910726727E-4</v>
          </cell>
          <cell r="CD90">
            <v>-1.1694051188446686E-2</v>
          </cell>
          <cell r="CE90">
            <v>-9.528496030505873E-3</v>
          </cell>
          <cell r="CF90">
            <v>-1.9487018267291267E-3</v>
          </cell>
          <cell r="CG90">
            <v>-2.256565165471569E-3</v>
          </cell>
          <cell r="CH90">
            <v>-5.298699877677393E-3</v>
          </cell>
          <cell r="CI90">
            <v>-1.0542007909956075E-3</v>
          </cell>
          <cell r="CJ90">
            <v>4.7036118872998411E-3</v>
          </cell>
          <cell r="CK90">
            <v>3.7273851046053519E-3</v>
          </cell>
          <cell r="CL90">
            <v>2.1732847439002168E-3</v>
          </cell>
          <cell r="CM90">
            <v>2.9929935268935282E-3</v>
          </cell>
          <cell r="CN90">
            <v>1.6795449156183917E-3</v>
          </cell>
          <cell r="CO90">
            <v>4.1661246994046941E-3</v>
          </cell>
          <cell r="CP90">
            <v>9.3923997479976595E-3</v>
          </cell>
          <cell r="CQ90">
            <v>6.6593833997117269E-3</v>
          </cell>
          <cell r="CR90">
            <v>4.0207203699058613E-3</v>
          </cell>
          <cell r="CS90">
            <v>2.3086962466216665E-3</v>
          </cell>
          <cell r="CT90">
            <v>-9.4073730769528296E-5</v>
          </cell>
          <cell r="CU90">
            <v>-2.4832504940958122E-3</v>
          </cell>
          <cell r="CV90">
            <v>-4.6514213888356748E-3</v>
          </cell>
          <cell r="CW90">
            <v>-3.8085809535275406E-3</v>
          </cell>
          <cell r="CX90">
            <v>-4.7123538151451205E-3</v>
          </cell>
          <cell r="CY90">
            <v>-5.0479080547159993E-3</v>
          </cell>
          <cell r="CZ90">
            <v>-5.6861525861319206E-3</v>
          </cell>
          <cell r="DA90">
            <v>-4.3642657714382249E-3</v>
          </cell>
          <cell r="DB90">
            <v>-3.1390046613766209E-3</v>
          </cell>
          <cell r="DC90">
            <v>-7.8462055040069423E-3</v>
          </cell>
          <cell r="DD90">
            <v>-8.3899289042788094E-3</v>
          </cell>
          <cell r="DE90">
            <v>-5.0186713620039569E-3</v>
          </cell>
          <cell r="DF90">
            <v>-5.596918592585487E-3</v>
          </cell>
          <cell r="DG90">
            <v>-1.6641122571718125E-2</v>
          </cell>
          <cell r="DH90">
            <v>-2.2817439701753095E-2</v>
          </cell>
          <cell r="DI90">
            <v>-1.8248279402219292E-2</v>
          </cell>
          <cell r="DJ90">
            <v>-2.0274284931587339E-2</v>
          </cell>
          <cell r="DK90">
            <v>-3.1605172739333165E-2</v>
          </cell>
          <cell r="DL90">
            <v>-4.7835379054442795E-2</v>
          </cell>
          <cell r="DM90">
            <v>-7.9034853165804386E-2</v>
          </cell>
          <cell r="DN90">
            <v>-8.5728368295838062E-2</v>
          </cell>
          <cell r="DO90">
            <v>-4.9577841925903421E-2</v>
          </cell>
          <cell r="DP90">
            <v>-2.369839025217646E-2</v>
          </cell>
          <cell r="DQ90">
            <v>-1.3556487758487279E-2</v>
          </cell>
          <cell r="DR90">
            <v>-3.1141469935002219E-2</v>
          </cell>
          <cell r="DS90">
            <v>-2.3466226481812402E-2</v>
          </cell>
          <cell r="DT90">
            <v>-6.6448395349250067E-4</v>
          </cell>
          <cell r="DU90">
            <v>-3.8105034669889681E-3</v>
          </cell>
          <cell r="DV90">
            <v>-2.2009548549577485E-3</v>
          </cell>
          <cell r="DW90">
            <v>-1.2485812521589867E-4</v>
          </cell>
          <cell r="DX90">
            <v>9.1975599108029549E-4</v>
          </cell>
          <cell r="DY90">
            <v>4.2569201473749985E-3</v>
          </cell>
          <cell r="DZ90">
            <v>1.8065256445970235E-2</v>
          </cell>
          <cell r="EA90">
            <v>1.4382025908990848E-2</v>
          </cell>
          <cell r="EB90">
            <v>1.4119537150760308E-2</v>
          </cell>
          <cell r="EC90">
            <v>1.4098566489183728E-2</v>
          </cell>
          <cell r="ED90">
            <v>9.2649760469187825E-3</v>
          </cell>
          <cell r="EE90">
            <v>1.2008362856064325E-2</v>
          </cell>
          <cell r="EF90">
            <v>1.3501639363060702E-2</v>
          </cell>
          <cell r="EG90">
            <v>2.5030370796491619E-2</v>
          </cell>
          <cell r="EH90">
            <v>3.0379146828601433E-2</v>
          </cell>
          <cell r="EI90">
            <v>1.4640421477497334E-2</v>
          </cell>
          <cell r="EJ90">
            <v>1.0705667766254923E-2</v>
          </cell>
          <cell r="EK90">
            <v>2.0100000000000007E-2</v>
          </cell>
          <cell r="EL90">
            <v>1.7575000000000118E-2</v>
          </cell>
          <cell r="EM90">
            <v>1.2537499999999868E-2</v>
          </cell>
          <cell r="EN90">
            <v>1.0024999999999729E-2</v>
          </cell>
          <cell r="EO90">
            <v>1.0024999999999729E-2</v>
          </cell>
          <cell r="EP90">
            <v>1.0024999999999729E-2</v>
          </cell>
          <cell r="EQ90">
            <v>1.0024999999999729E-2</v>
          </cell>
          <cell r="ER90">
            <v>1.0024999999999729E-2</v>
          </cell>
          <cell r="ES90">
            <v>1.0024999999999729E-2</v>
          </cell>
          <cell r="ET90">
            <v>1.0024999999999729E-2</v>
          </cell>
          <cell r="EU90">
            <v>1.0024999999999729E-2</v>
          </cell>
          <cell r="EV90">
            <v>1.0024999999999729E-2</v>
          </cell>
          <cell r="EW90">
            <v>1.0024999999999729E-2</v>
          </cell>
          <cell r="EX90">
            <v>1.0024999999999729E-2</v>
          </cell>
          <cell r="EY90">
            <v>1.0024999999999729E-2</v>
          </cell>
          <cell r="EZ90">
            <v>1.0024999999999729E-2</v>
          </cell>
          <cell r="FA90">
            <v>1.0024999999999729E-2</v>
          </cell>
          <cell r="FB90">
            <v>1.0024999999999729E-2</v>
          </cell>
          <cell r="FC90">
            <v>1.0024999999999729E-2</v>
          </cell>
          <cell r="FD90">
            <v>1.0024999999999729E-2</v>
          </cell>
          <cell r="FE90">
            <v>1.0024999999999729E-2</v>
          </cell>
          <cell r="FF90">
            <v>1.0024999999999729E-2</v>
          </cell>
          <cell r="FG90">
            <v>1.0024999999999729E-2</v>
          </cell>
          <cell r="FH90">
            <v>1.0024999999999729E-2</v>
          </cell>
          <cell r="FI90">
            <v>1.0024999999999729E-2</v>
          </cell>
          <cell r="FJ90">
            <v>1.0024999999999729E-2</v>
          </cell>
          <cell r="FK90">
            <v>1.0024999999999729E-2</v>
          </cell>
          <cell r="FL90">
            <v>1.0024999999999729E-2</v>
          </cell>
          <cell r="FM90">
            <v>1.0024999999999729E-2</v>
          </cell>
          <cell r="FN90">
            <v>1.0024999999999729E-2</v>
          </cell>
          <cell r="FO90">
            <v>1.0024999999999729E-2</v>
          </cell>
          <cell r="FP90">
            <v>1.0024999999999729E-2</v>
          </cell>
          <cell r="FQ90">
            <v>1.0024999999999729E-2</v>
          </cell>
          <cell r="FR90">
            <v>1.0024999999999729E-2</v>
          </cell>
          <cell r="FS90">
            <v>1.0024999999999729E-2</v>
          </cell>
          <cell r="FT90">
            <v>1.0024999999999729E-2</v>
          </cell>
          <cell r="FU90">
            <v>1.0024999999999729E-2</v>
          </cell>
        </row>
        <row r="91">
          <cell r="A91" t="str">
            <v>6MoSystemNZHCg</v>
          </cell>
          <cell r="B91" t="str">
            <v>New Zealand housing</v>
          </cell>
          <cell r="AE91">
            <v>6.3192363965721476E-2</v>
          </cell>
          <cell r="AF91">
            <v>5.7235172498638187E-2</v>
          </cell>
          <cell r="AG91">
            <v>5.6033930391728548E-2</v>
          </cell>
          <cell r="AH91">
            <v>5.0765197159041708E-2</v>
          </cell>
          <cell r="AI91">
            <v>4.5827375808315196E-2</v>
          </cell>
          <cell r="AJ91">
            <v>3.875520678030564E-2</v>
          </cell>
          <cell r="AK91">
            <v>3.2335920068792268E-2</v>
          </cell>
          <cell r="AL91">
            <v>2.7049655974559439E-2</v>
          </cell>
          <cell r="AM91">
            <v>3.3797896091424251E-2</v>
          </cell>
          <cell r="AN91">
            <v>3.7956817951781519E-2</v>
          </cell>
          <cell r="AO91">
            <v>3.6253213768740356E-2</v>
          </cell>
          <cell r="AP91">
            <v>3.382724736631082E-2</v>
          </cell>
          <cell r="AQ91">
            <v>3.4732183873902978E-2</v>
          </cell>
          <cell r="AR91">
            <v>4.3430874029892541E-2</v>
          </cell>
          <cell r="AS91">
            <v>4.5713232252869718E-2</v>
          </cell>
          <cell r="AT91">
            <v>4.2092072781820589E-2</v>
          </cell>
          <cell r="AU91">
            <v>4.8847495243785621E-2</v>
          </cell>
          <cell r="AV91">
            <v>6.4322949644911587E-2</v>
          </cell>
          <cell r="AW91">
            <v>7.088583170284446E-2</v>
          </cell>
          <cell r="AX91">
            <v>7.6032921588409019E-2</v>
          </cell>
          <cell r="AY91">
            <v>8.6159386260891355E-2</v>
          </cell>
          <cell r="AZ91">
            <v>8.727555882862624E-2</v>
          </cell>
          <cell r="BA91">
            <v>7.9560152168328901E-2</v>
          </cell>
          <cell r="BB91">
            <v>7.3496557200816826E-2</v>
          </cell>
          <cell r="BC91">
            <v>7.5205136463744049E-2</v>
          </cell>
          <cell r="BD91">
            <v>8.0325263612520015E-2</v>
          </cell>
          <cell r="BE91">
            <v>7.8782009304269929E-2</v>
          </cell>
          <cell r="BF91">
            <v>7.6636293179489279E-2</v>
          </cell>
          <cell r="BG91">
            <v>7.6466863840616961E-2</v>
          </cell>
          <cell r="BH91">
            <v>6.9871813298032492E-2</v>
          </cell>
          <cell r="BI91">
            <v>6.4331556205785567E-2</v>
          </cell>
          <cell r="BJ91">
            <v>6.3369192850737166E-2</v>
          </cell>
          <cell r="BK91">
            <v>6.5701518049165131E-2</v>
          </cell>
          <cell r="BL91">
            <v>7.3732233783760925E-2</v>
          </cell>
          <cell r="BM91">
            <v>7.3440403698248335E-2</v>
          </cell>
          <cell r="BN91">
            <v>5.9363137471923455E-2</v>
          </cell>
          <cell r="BO91">
            <v>5.1097870538947987E-2</v>
          </cell>
          <cell r="BP91">
            <v>4.9798302081505152E-2</v>
          </cell>
          <cell r="BQ91">
            <v>3.2879571121567919E-2</v>
          </cell>
          <cell r="BR91">
            <v>1.733129849387316E-2</v>
          </cell>
          <cell r="BS91">
            <v>1.1039280138254837E-2</v>
          </cell>
          <cell r="BT91">
            <v>1.2901810169509753E-2</v>
          </cell>
          <cell r="BU91">
            <v>1.9053497510005846E-2</v>
          </cell>
          <cell r="BV91">
            <v>1.7751760585934306E-2</v>
          </cell>
          <cell r="BW91">
            <v>1.5889661290948043E-2</v>
          </cell>
          <cell r="BX91">
            <v>1.5898162791279091E-2</v>
          </cell>
          <cell r="BY91">
            <v>1.283679952221628E-2</v>
          </cell>
          <cell r="BZ91">
            <v>9.240106106606083E-3</v>
          </cell>
          <cell r="CA91">
            <v>4.8576515347127369E-3</v>
          </cell>
          <cell r="CB91">
            <v>5.6100802314438258E-3</v>
          </cell>
          <cell r="CC91">
            <v>9.54892090473769E-3</v>
          </cell>
          <cell r="CD91">
            <v>6.3958714408791639E-3</v>
          </cell>
          <cell r="CE91">
            <v>2.2493853265190822E-3</v>
          </cell>
          <cell r="CF91">
            <v>7.9391546981242289E-3</v>
          </cell>
          <cell r="CG91">
            <v>1.6157029421018487E-2</v>
          </cell>
          <cell r="CH91">
            <v>1.6515950910381383E-2</v>
          </cell>
          <cell r="CI91">
            <v>2.0068196188298026E-2</v>
          </cell>
          <cell r="CJ91">
            <v>2.7819936111286747E-2</v>
          </cell>
          <cell r="CK91">
            <v>3.0903335378405838E-2</v>
          </cell>
          <cell r="CL91">
            <v>2.9409977739500937E-2</v>
          </cell>
          <cell r="CM91">
            <v>2.6821823208806661E-2</v>
          </cell>
          <cell r="CN91">
            <v>2.6285887113755235E-2</v>
          </cell>
          <cell r="CO91">
            <v>2.5567302477871756E-2</v>
          </cell>
          <cell r="CP91">
            <v>2.0190862556701106E-2</v>
          </cell>
          <cell r="CQ91">
            <v>1.9902008232472124E-2</v>
          </cell>
          <cell r="CR91">
            <v>2.836631535592482E-2</v>
          </cell>
          <cell r="CS91">
            <v>3.3030255812164233E-2</v>
          </cell>
          <cell r="CT91">
            <v>3.7069934718028996E-2</v>
          </cell>
          <cell r="CU91">
            <v>3.9589437518197768E-2</v>
          </cell>
          <cell r="CV91">
            <v>3.8233274728698419E-2</v>
          </cell>
          <cell r="CW91">
            <v>4.6181190518283177E-2</v>
          </cell>
          <cell r="CX91">
            <v>4.877363423191694E-2</v>
          </cell>
          <cell r="CY91">
            <v>4.2649122754550017E-2</v>
          </cell>
          <cell r="CZ91">
            <v>3.6485522519171143E-2</v>
          </cell>
          <cell r="DA91">
            <v>3.12856404407722E-2</v>
          </cell>
          <cell r="DB91">
            <v>2.826269860807562E-2</v>
          </cell>
          <cell r="DC91">
            <v>2.6984800733129255E-2</v>
          </cell>
          <cell r="DD91">
            <v>2.8749460217483591E-2</v>
          </cell>
          <cell r="DE91">
            <v>3.0703416674021655E-2</v>
          </cell>
          <cell r="DF91">
            <v>2.9945014173203832E-2</v>
          </cell>
          <cell r="DG91">
            <v>2.9057210033953007E-2</v>
          </cell>
          <cell r="DH91">
            <v>3.1481678937635316E-2</v>
          </cell>
          <cell r="DI91">
            <v>3.3181408659850753E-2</v>
          </cell>
          <cell r="DJ91">
            <v>3.3877013880996287E-2</v>
          </cell>
          <cell r="DK91">
            <v>3.5241144683099801E-2</v>
          </cell>
          <cell r="DL91">
            <v>3.5618654385877635E-2</v>
          </cell>
          <cell r="DM91">
            <v>2.5992154698353032E-2</v>
          </cell>
          <cell r="DN91">
            <v>3.1517292751539028E-2</v>
          </cell>
          <cell r="DO91">
            <v>5.562717491595337E-2</v>
          </cell>
          <cell r="DP91">
            <v>6.4551889143756869E-2</v>
          </cell>
          <cell r="DQ91">
            <v>6.0200313323740762E-2</v>
          </cell>
          <cell r="DR91">
            <v>4.8199083573360779E-2</v>
          </cell>
          <cell r="DS91">
            <v>4.2185603577249209E-2</v>
          </cell>
          <cell r="DT91">
            <v>3.6961655787481451E-2</v>
          </cell>
          <cell r="DU91">
            <v>2.5849783689566808E-2</v>
          </cell>
          <cell r="DV91">
            <v>1.9538720049446567E-2</v>
          </cell>
          <cell r="DW91">
            <v>1.8868725618259807E-2</v>
          </cell>
          <cell r="DX91">
            <v>1.5700073566304873E-2</v>
          </cell>
          <cell r="DY91">
            <v>1.256112364608386E-2</v>
          </cell>
          <cell r="DZ91">
            <v>1.5109915135579577E-2</v>
          </cell>
          <cell r="EA91">
            <v>1.5956355428780933E-2</v>
          </cell>
          <cell r="EB91">
            <v>1.6105228473624722E-2</v>
          </cell>
          <cell r="EC91">
            <v>1.5688871585039843E-2</v>
          </cell>
          <cell r="ED91">
            <v>1.6730467984101827E-2</v>
          </cell>
          <cell r="EE91">
            <v>2.2375720297677315E-2</v>
          </cell>
          <cell r="EF91">
            <v>2.4853717687836063E-2</v>
          </cell>
          <cell r="EG91">
            <v>2.6041580579173607E-2</v>
          </cell>
          <cell r="EH91">
            <v>2.8439456099081717E-2</v>
          </cell>
          <cell r="EI91">
            <v>3.0172675266582294E-2</v>
          </cell>
          <cell r="EJ91">
            <v>2.6539066037293946E-2</v>
          </cell>
          <cell r="EK91">
            <v>2.0100000000000007E-2</v>
          </cell>
          <cell r="EL91">
            <v>2.0100000000000007E-2</v>
          </cell>
          <cell r="EM91">
            <v>2.0100000000000007E-2</v>
          </cell>
          <cell r="EN91">
            <v>2.0100000000000007E-2</v>
          </cell>
          <cell r="EO91">
            <v>2.0100000000000007E-2</v>
          </cell>
          <cell r="EP91">
            <v>2.0100000000000007E-2</v>
          </cell>
          <cell r="EQ91">
            <v>2.0100000000000007E-2</v>
          </cell>
          <cell r="ER91">
            <v>2.0100000000000007E-2</v>
          </cell>
          <cell r="ES91">
            <v>2.0100000000000007E-2</v>
          </cell>
          <cell r="ET91">
            <v>2.0100000000000007E-2</v>
          </cell>
          <cell r="EU91">
            <v>2.0100000000000007E-2</v>
          </cell>
          <cell r="EV91">
            <v>2.0100000000000007E-2</v>
          </cell>
          <cell r="EW91">
            <v>2.0100000000000007E-2</v>
          </cell>
          <cell r="EX91">
            <v>2.0100000000000007E-2</v>
          </cell>
          <cell r="EY91">
            <v>2.0100000000000007E-2</v>
          </cell>
          <cell r="EZ91">
            <v>2.0100000000000007E-2</v>
          </cell>
          <cell r="FA91">
            <v>2.0100000000000007E-2</v>
          </cell>
          <cell r="FB91">
            <v>2.0100000000000007E-2</v>
          </cell>
          <cell r="FC91">
            <v>2.0100000000000007E-2</v>
          </cell>
          <cell r="FD91">
            <v>2.0100000000000007E-2</v>
          </cell>
          <cell r="FE91">
            <v>2.0100000000000007E-2</v>
          </cell>
          <cell r="FF91">
            <v>2.0100000000000007E-2</v>
          </cell>
          <cell r="FG91">
            <v>2.0100000000000007E-2</v>
          </cell>
          <cell r="FH91">
            <v>2.0100000000000007E-2</v>
          </cell>
          <cell r="FI91">
            <v>2.0100000000000007E-2</v>
          </cell>
          <cell r="FJ91">
            <v>2.0100000000000007E-2</v>
          </cell>
          <cell r="FK91">
            <v>2.0100000000000007E-2</v>
          </cell>
          <cell r="FL91">
            <v>2.0100000000000007E-2</v>
          </cell>
          <cell r="FM91">
            <v>2.0100000000000007E-2</v>
          </cell>
          <cell r="FN91">
            <v>2.0100000000000007E-2</v>
          </cell>
          <cell r="FO91">
            <v>2.0100000000000007E-2</v>
          </cell>
          <cell r="FP91">
            <v>2.0100000000000007E-2</v>
          </cell>
          <cell r="FQ91">
            <v>2.0100000000000007E-2</v>
          </cell>
          <cell r="FR91">
            <v>2.0100000000000007E-2</v>
          </cell>
          <cell r="FS91">
            <v>2.0100000000000007E-2</v>
          </cell>
          <cell r="FT91">
            <v>2.0100000000000007E-2</v>
          </cell>
          <cell r="FU91">
            <v>2.0100000000000007E-2</v>
          </cell>
        </row>
        <row r="92">
          <cell r="A92" t="str">
            <v>6MoSystemNZNHCg</v>
          </cell>
          <cell r="B92" t="str">
            <v>New Zealand non-housing</v>
          </cell>
          <cell r="AE92">
            <v>3.4993728599102658E-2</v>
          </cell>
          <cell r="AF92">
            <v>3.0653533025778668E-2</v>
          </cell>
          <cell r="AG92">
            <v>3.208722595007063E-2</v>
          </cell>
          <cell r="AH92">
            <v>4.2575901782535563E-2</v>
          </cell>
          <cell r="AI92">
            <v>5.4272084604277904E-2</v>
          </cell>
          <cell r="AJ92">
            <v>7.5059082634606478E-2</v>
          </cell>
          <cell r="AK92">
            <v>3.2721002715943914E-2</v>
          </cell>
          <cell r="AL92">
            <v>-1.9489402754567786E-2</v>
          </cell>
          <cell r="AM92">
            <v>1.1230508113588167E-2</v>
          </cell>
          <cell r="AN92">
            <v>2.7591256257811558E-2</v>
          </cell>
          <cell r="AO92">
            <v>5.5803667077607422E-3</v>
          </cell>
          <cell r="AP92">
            <v>4.880824082877333E-2</v>
          </cell>
          <cell r="AQ92">
            <v>5.424546791860263E-2</v>
          </cell>
          <cell r="AR92">
            <v>5.2464404200933235E-2</v>
          </cell>
          <cell r="AS92">
            <v>2.8187585867460285E-2</v>
          </cell>
          <cell r="AT92">
            <v>7.2535844101828673E-5</v>
          </cell>
          <cell r="AU92">
            <v>4.5229266125974332E-2</v>
          </cell>
          <cell r="AV92">
            <v>4.7476729090364378E-2</v>
          </cell>
          <cell r="AW92">
            <v>4.7824285407722655E-3</v>
          </cell>
          <cell r="AX92">
            <v>-9.2649680096856812E-4</v>
          </cell>
          <cell r="AY92">
            <v>2.6977448111301872E-2</v>
          </cell>
          <cell r="AZ92">
            <v>5.0406207583864715E-2</v>
          </cell>
          <cell r="BA92">
            <v>4.4284408863562996E-2</v>
          </cell>
          <cell r="BB92">
            <v>2.5417443444921917E-2</v>
          </cell>
          <cell r="BC92">
            <v>6.0932209092807943E-2</v>
          </cell>
          <cell r="BD92">
            <v>9.3895266174702355E-2</v>
          </cell>
          <cell r="BE92">
            <v>8.2209145975094669E-2</v>
          </cell>
          <cell r="BF92">
            <v>6.8289192288590206E-2</v>
          </cell>
          <cell r="BG92">
            <v>5.8648991622143098E-2</v>
          </cell>
          <cell r="BH92">
            <v>6.2357901110230429E-2</v>
          </cell>
          <cell r="BI92">
            <v>5.8133484326342133E-2</v>
          </cell>
          <cell r="BJ92">
            <v>6.8340633527279593E-2</v>
          </cell>
          <cell r="BK92">
            <v>8.440055735900899E-2</v>
          </cell>
          <cell r="BL92">
            <v>6.703721459569878E-2</v>
          </cell>
          <cell r="BM92">
            <v>7.4860980669670063E-2</v>
          </cell>
          <cell r="BN92">
            <v>9.9194748642026376E-2</v>
          </cell>
          <cell r="BO92">
            <v>7.8878893350396106E-2</v>
          </cell>
          <cell r="BP92">
            <v>6.3358799740287131E-2</v>
          </cell>
          <cell r="BQ92">
            <v>7.0074068661836852E-2</v>
          </cell>
          <cell r="BR92">
            <v>8.4701543030258453E-2</v>
          </cell>
          <cell r="BS92">
            <v>6.5681391897284946E-2</v>
          </cell>
          <cell r="BT92">
            <v>1.2230439901568246E-2</v>
          </cell>
          <cell r="BU92">
            <v>-2.1688022648650329E-2</v>
          </cell>
          <cell r="BV92">
            <v>-7.1061729702678322E-3</v>
          </cell>
          <cell r="BW92">
            <v>-1.3501559605736402E-2</v>
          </cell>
          <cell r="BX92">
            <v>-2.8309158598867623E-2</v>
          </cell>
          <cell r="BY92">
            <v>-1.1592591995913892E-2</v>
          </cell>
          <cell r="BZ92">
            <v>4.7184361293026722E-3</v>
          </cell>
          <cell r="CA92">
            <v>1.7150504620810247E-2</v>
          </cell>
          <cell r="CB92">
            <v>7.7188848009126509E-3</v>
          </cell>
          <cell r="CC92">
            <v>-3.5347179068171419E-3</v>
          </cell>
          <cell r="CD92">
            <v>6.8761403766810503E-3</v>
          </cell>
          <cell r="CE92">
            <v>5.0310503177659616E-2</v>
          </cell>
          <cell r="CF92">
            <v>5.1741463610547989E-2</v>
          </cell>
          <cell r="CG92">
            <v>1.411406579550234E-2</v>
          </cell>
          <cell r="CH92">
            <v>1.1829443974217702E-2</v>
          </cell>
          <cell r="CI92">
            <v>3.281662238760541E-2</v>
          </cell>
          <cell r="CJ92">
            <v>2.8668560793000397E-2</v>
          </cell>
          <cell r="CK92">
            <v>5.2717554837284908E-3</v>
          </cell>
          <cell r="CL92">
            <v>1.0176506063901192E-2</v>
          </cell>
          <cell r="CM92">
            <v>2.4910140815163739E-2</v>
          </cell>
          <cell r="CN92">
            <v>1.2118045660773014E-2</v>
          </cell>
          <cell r="CO92">
            <v>7.8882341202435313E-4</v>
          </cell>
          <cell r="CP92">
            <v>2.1367779216650451E-2</v>
          </cell>
          <cell r="CQ92">
            <v>3.2057578938026854E-2</v>
          </cell>
          <cell r="CR92">
            <v>3.8547169983047747E-2</v>
          </cell>
          <cell r="CS92">
            <v>4.2717703588154743E-2</v>
          </cell>
          <cell r="CT92">
            <v>2.5744092375485916E-2</v>
          </cell>
          <cell r="CU92">
            <v>3.1454193698389643E-2</v>
          </cell>
          <cell r="CV92">
            <v>4.7568918252412828E-2</v>
          </cell>
          <cell r="CW92">
            <v>2.1169987836859194E-2</v>
          </cell>
          <cell r="CX92">
            <v>2.137835104416852E-2</v>
          </cell>
          <cell r="CY92">
            <v>2.3713850091723554E-2</v>
          </cell>
          <cell r="CZ92">
            <v>1.292912885244113E-2</v>
          </cell>
          <cell r="DA92">
            <v>1.742378148115642E-2</v>
          </cell>
          <cell r="DB92">
            <v>1.9177079143751552E-2</v>
          </cell>
          <cell r="DC92">
            <v>1.8748843644714741E-2</v>
          </cell>
          <cell r="DD92">
            <v>1.3497718335135245E-2</v>
          </cell>
          <cell r="DE92">
            <v>3.1015367842350594E-2</v>
          </cell>
          <cell r="DF92">
            <v>3.3595774396198319E-2</v>
          </cell>
          <cell r="DG92">
            <v>1.4075229637550368E-2</v>
          </cell>
          <cell r="DH92">
            <v>2.3263844730194716E-2</v>
          </cell>
          <cell r="DI92">
            <v>2.5481063615860888E-2</v>
          </cell>
          <cell r="DJ92">
            <v>3.1933775799724229E-2</v>
          </cell>
          <cell r="DK92">
            <v>1.1903170713716493E-2</v>
          </cell>
          <cell r="DL92">
            <v>2.4108883713508167E-2</v>
          </cell>
          <cell r="DM92">
            <v>2.8148017672069425E-3</v>
          </cell>
          <cell r="DN92">
            <v>-5.3425098792330594E-2</v>
          </cell>
          <cell r="DO92">
            <v>-2.4231880853818222E-2</v>
          </cell>
          <cell r="DP92">
            <v>-1.8418523876625681E-2</v>
          </cell>
          <cell r="DQ92">
            <v>-1.4041650374762682E-2</v>
          </cell>
          <cell r="DR92">
            <v>3.1971929010388145E-3</v>
          </cell>
          <cell r="DS92">
            <v>8.7141545418776278E-3</v>
          </cell>
          <cell r="DT92">
            <v>1.0800101552552732E-2</v>
          </cell>
          <cell r="DU92">
            <v>2.6950049409617982E-2</v>
          </cell>
          <cell r="DV92">
            <v>5.6251837111969127E-2</v>
          </cell>
          <cell r="DW92">
            <v>1.1372408277737556E-2</v>
          </cell>
          <cell r="DX92">
            <v>-2.0392856062227294E-2</v>
          </cell>
          <cell r="DY92">
            <v>4.5319276468105407E-3</v>
          </cell>
          <cell r="DZ92">
            <v>9.3213610911708766E-3</v>
          </cell>
          <cell r="EA92">
            <v>1.0090232279753364E-2</v>
          </cell>
          <cell r="EB92">
            <v>1.2358377073591109E-2</v>
          </cell>
          <cell r="EC92">
            <v>3.6506472048463134E-3</v>
          </cell>
          <cell r="ED92">
            <v>1.1289025614631631E-2</v>
          </cell>
          <cell r="EE92">
            <v>3.235621908430697E-2</v>
          </cell>
          <cell r="EF92">
            <v>1.3258490092054487E-2</v>
          </cell>
          <cell r="EG92">
            <v>-9.2662843727909783E-3</v>
          </cell>
          <cell r="EH92">
            <v>2.4577115837903341E-2</v>
          </cell>
          <cell r="EI92">
            <v>3.2892462578075765E-2</v>
          </cell>
          <cell r="EJ92">
            <v>1.1234490332522551E-2</v>
          </cell>
          <cell r="EK92">
            <v>1.1234490332522551E-2</v>
          </cell>
          <cell r="EL92">
            <v>1.1234490332522551E-2</v>
          </cell>
          <cell r="EM92">
            <v>1.1234490332522551E-2</v>
          </cell>
          <cell r="EN92">
            <v>1.1234490332522551E-2</v>
          </cell>
          <cell r="EO92">
            <v>1.1234490332522551E-2</v>
          </cell>
          <cell r="EP92">
            <v>1.1234490332522551E-2</v>
          </cell>
          <cell r="EQ92">
            <v>1.1234490332522551E-2</v>
          </cell>
          <cell r="ER92">
            <v>1.1234490332522551E-2</v>
          </cell>
          <cell r="ES92">
            <v>1.1234490332522551E-2</v>
          </cell>
          <cell r="ET92">
            <v>1.1234490332522551E-2</v>
          </cell>
          <cell r="EU92">
            <v>1.1234490332522551E-2</v>
          </cell>
          <cell r="EV92">
            <v>1.1234490332522551E-2</v>
          </cell>
          <cell r="EW92">
            <v>1.1234490332522551E-2</v>
          </cell>
          <cell r="EX92">
            <v>1.1234490332522551E-2</v>
          </cell>
          <cell r="EY92">
            <v>1.1234490332522551E-2</v>
          </cell>
          <cell r="EZ92">
            <v>1.1234490332522551E-2</v>
          </cell>
          <cell r="FA92">
            <v>1.1234490332522551E-2</v>
          </cell>
          <cell r="FB92">
            <v>1.1234490332522551E-2</v>
          </cell>
          <cell r="FC92">
            <v>1.1234490332522551E-2</v>
          </cell>
          <cell r="FD92">
            <v>1.1234490332522551E-2</v>
          </cell>
          <cell r="FE92">
            <v>1.1234490332522551E-2</v>
          </cell>
          <cell r="FF92">
            <v>1.1234490332522551E-2</v>
          </cell>
          <cell r="FG92">
            <v>1.1234490332522551E-2</v>
          </cell>
          <cell r="FH92">
            <v>1.1234490332522551E-2</v>
          </cell>
          <cell r="FI92">
            <v>1.1234490332522551E-2</v>
          </cell>
          <cell r="FJ92">
            <v>1.1234490332522551E-2</v>
          </cell>
          <cell r="FK92">
            <v>1.1234490332522551E-2</v>
          </cell>
          <cell r="FL92">
            <v>1.1234490332522551E-2</v>
          </cell>
          <cell r="FM92">
            <v>1.1234490332522551E-2</v>
          </cell>
          <cell r="FN92">
            <v>1.1234490332522551E-2</v>
          </cell>
          <cell r="FO92">
            <v>1.1234490332522551E-2</v>
          </cell>
          <cell r="FP92">
            <v>1.1234490332522551E-2</v>
          </cell>
          <cell r="FQ92">
            <v>1.1234490332522551E-2</v>
          </cell>
          <cell r="FR92">
            <v>1.1234490332522551E-2</v>
          </cell>
          <cell r="FS92">
            <v>1.1234490332522551E-2</v>
          </cell>
          <cell r="FT92">
            <v>1.1234490332522551E-2</v>
          </cell>
          <cell r="FU92">
            <v>1.1234490332522551E-2</v>
          </cell>
        </row>
        <row r="93">
          <cell r="A93" t="str">
            <v>6MoSystemUKHCg</v>
          </cell>
          <cell r="B93" t="str">
            <v>UK housing</v>
          </cell>
          <cell r="K93" t="e">
            <v>#REF!</v>
          </cell>
          <cell r="L93" t="e">
            <v>#REF!</v>
          </cell>
          <cell r="M93" t="e">
            <v>#REF!</v>
          </cell>
          <cell r="N93" t="e">
            <v>#REF!</v>
          </cell>
          <cell r="O93" t="e">
            <v>#REF!</v>
          </cell>
          <cell r="P93" t="e">
            <v>#REF!</v>
          </cell>
          <cell r="Q93" t="e">
            <v>#REF!</v>
          </cell>
          <cell r="R93" t="e">
            <v>#REF!</v>
          </cell>
          <cell r="S93" t="e">
            <v>#REF!</v>
          </cell>
          <cell r="T93" t="e">
            <v>#REF!</v>
          </cell>
          <cell r="U93" t="e">
            <v>#REF!</v>
          </cell>
          <cell r="V93" t="e">
            <v>#REF!</v>
          </cell>
          <cell r="W93" t="e">
            <v>#REF!</v>
          </cell>
          <cell r="X93" t="e">
            <v>#REF!</v>
          </cell>
          <cell r="Y93" t="e">
            <v>#REF!</v>
          </cell>
          <cell r="Z93" t="e">
            <v>#REF!</v>
          </cell>
          <cell r="AA93" t="e">
            <v>#REF!</v>
          </cell>
          <cell r="AB93" t="e">
            <v>#REF!</v>
          </cell>
          <cell r="AC93" t="e">
            <v>#REF!</v>
          </cell>
          <cell r="AD93" t="e">
            <v>#REF!</v>
          </cell>
          <cell r="AE93" t="e">
            <v>#REF!</v>
          </cell>
          <cell r="AF93" t="e">
            <v>#REF!</v>
          </cell>
          <cell r="AG93" t="e">
            <v>#REF!</v>
          </cell>
          <cell r="AH93" t="e">
            <v>#REF!</v>
          </cell>
          <cell r="AI93" t="e">
            <v>#REF!</v>
          </cell>
          <cell r="AJ93" t="e">
            <v>#REF!</v>
          </cell>
          <cell r="AK93" t="e">
            <v>#REF!</v>
          </cell>
          <cell r="AL93" t="e">
            <v>#REF!</v>
          </cell>
          <cell r="AM93" t="e">
            <v>#REF!</v>
          </cell>
          <cell r="AN93" t="e">
            <v>#REF!</v>
          </cell>
          <cell r="AO93" t="e">
            <v>#REF!</v>
          </cell>
          <cell r="AP93" t="e">
            <v>#REF!</v>
          </cell>
          <cell r="AQ93" t="e">
            <v>#REF!</v>
          </cell>
          <cell r="AR93" t="e">
            <v>#REF!</v>
          </cell>
          <cell r="AS93" t="e">
            <v>#REF!</v>
          </cell>
          <cell r="AT93" t="e">
            <v>#REF!</v>
          </cell>
          <cell r="AU93" t="e">
            <v>#REF!</v>
          </cell>
          <cell r="AV93" t="e">
            <v>#REF!</v>
          </cell>
          <cell r="AW93" t="e">
            <v>#REF!</v>
          </cell>
          <cell r="AX93" t="e">
            <v>#REF!</v>
          </cell>
          <cell r="AY93" t="e">
            <v>#REF!</v>
          </cell>
          <cell r="AZ93" t="e">
            <v>#REF!</v>
          </cell>
          <cell r="BA93" t="e">
            <v>#REF!</v>
          </cell>
          <cell r="BB93" t="e">
            <v>#REF!</v>
          </cell>
          <cell r="BC93" t="e">
            <v>#REF!</v>
          </cell>
          <cell r="BD93" t="e">
            <v>#REF!</v>
          </cell>
          <cell r="BE93" t="e">
            <v>#REF!</v>
          </cell>
          <cell r="BF93" t="e">
            <v>#REF!</v>
          </cell>
          <cell r="BG93" t="e">
            <v>#REF!</v>
          </cell>
          <cell r="BH93" t="e">
            <v>#REF!</v>
          </cell>
          <cell r="BI93" t="e">
            <v>#REF!</v>
          </cell>
          <cell r="BJ93" t="e">
            <v>#REF!</v>
          </cell>
          <cell r="BK93" t="e">
            <v>#REF!</v>
          </cell>
          <cell r="BL93" t="e">
            <v>#REF!</v>
          </cell>
          <cell r="BM93" t="e">
            <v>#REF!</v>
          </cell>
          <cell r="BN93" t="e">
            <v>#REF!</v>
          </cell>
          <cell r="BO93" t="e">
            <v>#REF!</v>
          </cell>
          <cell r="BP93" t="e">
            <v>#REF!</v>
          </cell>
          <cell r="BQ93" t="e">
            <v>#REF!</v>
          </cell>
          <cell r="BR93" t="e">
            <v>#REF!</v>
          </cell>
          <cell r="BS93" t="e">
            <v>#REF!</v>
          </cell>
          <cell r="BT93" t="e">
            <v>#REF!</v>
          </cell>
          <cell r="BU93" t="e">
            <v>#REF!</v>
          </cell>
          <cell r="BV93" t="e">
            <v>#REF!</v>
          </cell>
          <cell r="BW93" t="e">
            <v>#REF!</v>
          </cell>
          <cell r="BX93" t="e">
            <v>#REF!</v>
          </cell>
          <cell r="BY93" t="e">
            <v>#REF!</v>
          </cell>
          <cell r="BZ93" t="e">
            <v>#REF!</v>
          </cell>
          <cell r="CA93" t="e">
            <v>#REF!</v>
          </cell>
          <cell r="CB93" t="e">
            <v>#REF!</v>
          </cell>
          <cell r="CC93" t="e">
            <v>#REF!</v>
          </cell>
          <cell r="CD93" t="e">
            <v>#REF!</v>
          </cell>
          <cell r="CE93" t="e">
            <v>#REF!</v>
          </cell>
          <cell r="CF93" t="e">
            <v>#REF!</v>
          </cell>
          <cell r="CG93" t="e">
            <v>#REF!</v>
          </cell>
          <cell r="CH93" t="e">
            <v>#REF!</v>
          </cell>
          <cell r="CI93" t="e">
            <v>#REF!</v>
          </cell>
          <cell r="CJ93" t="e">
            <v>#REF!</v>
          </cell>
          <cell r="CK93" t="e">
            <v>#REF!</v>
          </cell>
          <cell r="CL93" t="e">
            <v>#REF!</v>
          </cell>
          <cell r="CM93" t="e">
            <v>#REF!</v>
          </cell>
          <cell r="CN93" t="e">
            <v>#REF!</v>
          </cell>
          <cell r="CO93" t="e">
            <v>#REF!</v>
          </cell>
          <cell r="CP93" t="e">
            <v>#REF!</v>
          </cell>
          <cell r="CQ93" t="e">
            <v>#REF!</v>
          </cell>
          <cell r="CR93" t="e">
            <v>#REF!</v>
          </cell>
          <cell r="CS93" t="e">
            <v>#REF!</v>
          </cell>
          <cell r="CT93" t="e">
            <v>#REF!</v>
          </cell>
          <cell r="CU93" t="e">
            <v>#REF!</v>
          </cell>
          <cell r="CV93" t="e">
            <v>#REF!</v>
          </cell>
          <cell r="CW93" t="e">
            <v>#REF!</v>
          </cell>
        </row>
        <row r="94">
          <cell r="A94" t="str">
            <v>6MoSystemUKNHCg</v>
          </cell>
          <cell r="B94" t="str">
            <v>UK non-housing</v>
          </cell>
          <cell r="AA94" t="e">
            <v>#REF!</v>
          </cell>
          <cell r="AB94" t="e">
            <v>#REF!</v>
          </cell>
          <cell r="AC94" t="e">
            <v>#REF!</v>
          </cell>
          <cell r="AD94" t="e">
            <v>#REF!</v>
          </cell>
          <cell r="AE94" t="e">
            <v>#REF!</v>
          </cell>
          <cell r="AF94" t="e">
            <v>#REF!</v>
          </cell>
          <cell r="AG94" t="e">
            <v>#REF!</v>
          </cell>
          <cell r="AH94" t="e">
            <v>#REF!</v>
          </cell>
          <cell r="AI94" t="e">
            <v>#REF!</v>
          </cell>
          <cell r="AJ94" t="e">
            <v>#REF!</v>
          </cell>
          <cell r="AK94" t="e">
            <v>#REF!</v>
          </cell>
          <cell r="AL94" t="e">
            <v>#REF!</v>
          </cell>
          <cell r="AM94" t="e">
            <v>#REF!</v>
          </cell>
          <cell r="AN94" t="e">
            <v>#REF!</v>
          </cell>
          <cell r="AO94" t="e">
            <v>#REF!</v>
          </cell>
          <cell r="AP94" t="e">
            <v>#REF!</v>
          </cell>
          <cell r="AQ94" t="e">
            <v>#REF!</v>
          </cell>
          <cell r="AR94" t="e">
            <v>#REF!</v>
          </cell>
          <cell r="AS94" t="e">
            <v>#REF!</v>
          </cell>
          <cell r="AT94" t="e">
            <v>#REF!</v>
          </cell>
          <cell r="AU94" t="e">
            <v>#REF!</v>
          </cell>
          <cell r="AV94" t="e">
            <v>#REF!</v>
          </cell>
          <cell r="AW94" t="e">
            <v>#REF!</v>
          </cell>
          <cell r="AX94" t="e">
            <v>#REF!</v>
          </cell>
          <cell r="AY94" t="e">
            <v>#REF!</v>
          </cell>
          <cell r="AZ94" t="e">
            <v>#REF!</v>
          </cell>
          <cell r="BA94" t="e">
            <v>#REF!</v>
          </cell>
          <cell r="BB94" t="e">
            <v>#REF!</v>
          </cell>
          <cell r="BC94" t="e">
            <v>#REF!</v>
          </cell>
          <cell r="BD94" t="e">
            <v>#REF!</v>
          </cell>
          <cell r="BE94" t="e">
            <v>#REF!</v>
          </cell>
          <cell r="BF94" t="e">
            <v>#REF!</v>
          </cell>
          <cell r="BG94" t="e">
            <v>#REF!</v>
          </cell>
          <cell r="BH94" t="e">
            <v>#REF!</v>
          </cell>
          <cell r="BI94" t="e">
            <v>#REF!</v>
          </cell>
          <cell r="BJ94" t="e">
            <v>#REF!</v>
          </cell>
          <cell r="BK94" t="e">
            <v>#REF!</v>
          </cell>
          <cell r="BL94" t="e">
            <v>#REF!</v>
          </cell>
          <cell r="BM94" t="e">
            <v>#REF!</v>
          </cell>
          <cell r="BN94" t="e">
            <v>#REF!</v>
          </cell>
          <cell r="BO94" t="e">
            <v>#REF!</v>
          </cell>
          <cell r="BP94" t="e">
            <v>#REF!</v>
          </cell>
          <cell r="BQ94" t="e">
            <v>#REF!</v>
          </cell>
          <cell r="BR94" t="e">
            <v>#REF!</v>
          </cell>
          <cell r="BS94" t="e">
            <v>#REF!</v>
          </cell>
          <cell r="BT94" t="e">
            <v>#REF!</v>
          </cell>
          <cell r="BU94" t="e">
            <v>#REF!</v>
          </cell>
          <cell r="BV94" t="e">
            <v>#REF!</v>
          </cell>
          <cell r="BW94" t="e">
            <v>#REF!</v>
          </cell>
          <cell r="BX94" t="e">
            <v>#REF!</v>
          </cell>
          <cell r="BY94" t="e">
            <v>#REF!</v>
          </cell>
          <cell r="BZ94" t="e">
            <v>#REF!</v>
          </cell>
          <cell r="CA94" t="e">
            <v>#REF!</v>
          </cell>
          <cell r="CB94" t="e">
            <v>#REF!</v>
          </cell>
          <cell r="CC94" t="e">
            <v>#REF!</v>
          </cell>
          <cell r="CD94" t="e">
            <v>#REF!</v>
          </cell>
          <cell r="CE94" t="e">
            <v>#REF!</v>
          </cell>
          <cell r="CF94" t="e">
            <v>#REF!</v>
          </cell>
          <cell r="CG94" t="e">
            <v>#REF!</v>
          </cell>
          <cell r="CH94" t="e">
            <v>#REF!</v>
          </cell>
          <cell r="CI94" t="e">
            <v>#REF!</v>
          </cell>
          <cell r="CJ94" t="e">
            <v>#REF!</v>
          </cell>
          <cell r="CK94" t="e">
            <v>#REF!</v>
          </cell>
          <cell r="CL94" t="e">
            <v>#REF!</v>
          </cell>
          <cell r="CM94" t="e">
            <v>#REF!</v>
          </cell>
          <cell r="CN94" t="e">
            <v>#REF!</v>
          </cell>
          <cell r="CO94" t="e">
            <v>#REF!</v>
          </cell>
          <cell r="CP94" t="e">
            <v>#REF!</v>
          </cell>
          <cell r="CQ94" t="e">
            <v>#REF!</v>
          </cell>
          <cell r="CR94" t="e">
            <v>#REF!</v>
          </cell>
          <cell r="CS94" t="e">
            <v>#REF!</v>
          </cell>
          <cell r="CT94" t="e">
            <v>#REF!</v>
          </cell>
          <cell r="CU94" t="e">
            <v>#REF!</v>
          </cell>
          <cell r="CV94" t="e">
            <v>#REF!</v>
          </cell>
          <cell r="CW94" t="e">
            <v>#REF!</v>
          </cell>
        </row>
        <row r="96">
          <cell r="B96" t="str">
            <v>System volume growth (12mo)</v>
          </cell>
        </row>
        <row r="97">
          <cell r="A97" t="str">
            <v>12MoSystemAUHCg</v>
          </cell>
          <cell r="B97" t="str">
            <v>Australian housing</v>
          </cell>
          <cell r="D97">
            <v>0.11468739095120985</v>
          </cell>
          <cell r="E97">
            <v>0.12082280708391992</v>
          </cell>
          <cell r="F97">
            <v>0.12751114353648685</v>
          </cell>
          <cell r="G97">
            <v>0.13277449499588312</v>
          </cell>
          <cell r="H97">
            <v>0.1444101117827119</v>
          </cell>
          <cell r="I97">
            <v>0.15950991646558932</v>
          </cell>
          <cell r="J97">
            <v>0.17416847936902013</v>
          </cell>
          <cell r="K97">
            <v>0.17951201552822904</v>
          </cell>
          <cell r="L97">
            <v>0.19708501888165064</v>
          </cell>
          <cell r="M97">
            <v>0.20993667920218287</v>
          </cell>
          <cell r="N97">
            <v>0.21580197766553552</v>
          </cell>
          <cell r="O97">
            <v>0.20840359510958195</v>
          </cell>
          <cell r="P97">
            <v>0.1883096275583305</v>
          </cell>
          <cell r="Q97">
            <v>0.15273316958182104</v>
          </cell>
          <cell r="R97">
            <v>0.12779422966163367</v>
          </cell>
          <cell r="S97">
            <v>0.12336918637255012</v>
          </cell>
          <cell r="T97">
            <v>0.11734418881516895</v>
          </cell>
          <cell r="U97">
            <v>0.11956025187829609</v>
          </cell>
          <cell r="V97">
            <v>0.12416148723530294</v>
          </cell>
          <cell r="W97">
            <v>0.11274173224454787</v>
          </cell>
          <cell r="X97">
            <v>0.11108105750567931</v>
          </cell>
          <cell r="Y97">
            <v>0.11853468920902156</v>
          </cell>
          <cell r="Z97">
            <v>0.12120296683733243</v>
          </cell>
          <cell r="AA97">
            <v>0.12183512108881756</v>
          </cell>
          <cell r="AB97">
            <v>0.12088267369576776</v>
          </cell>
          <cell r="AC97">
            <v>0.12113999110835148</v>
          </cell>
          <cell r="AD97">
            <v>0.11319213417394348</v>
          </cell>
          <cell r="AE97">
            <v>0.12013741990510463</v>
          </cell>
          <cell r="AF97">
            <v>0.11997756139721538</v>
          </cell>
          <cell r="AG97">
            <v>0.11990089329241214</v>
          </cell>
          <cell r="AH97">
            <v>0.13668266915427263</v>
          </cell>
          <cell r="AI97">
            <v>0.14389885791083135</v>
          </cell>
          <cell r="AJ97">
            <v>0.16426848306980937</v>
          </cell>
          <cell r="AK97">
            <v>0.16971621254469427</v>
          </cell>
          <cell r="AL97">
            <v>0.15677753461866972</v>
          </cell>
          <cell r="AM97">
            <v>0.14188816903857382</v>
          </cell>
          <cell r="AN97">
            <v>0.12667007444707545</v>
          </cell>
          <cell r="AO97">
            <v>0.12519775757192986</v>
          </cell>
          <cell r="AP97">
            <v>0.13693504530617107</v>
          </cell>
          <cell r="AQ97">
            <v>0.16062732635372168</v>
          </cell>
          <cell r="AR97">
            <v>0.17802997358578843</v>
          </cell>
          <cell r="AS97">
            <v>0.18000782346016031</v>
          </cell>
          <cell r="AT97">
            <v>0.19212391578205579</v>
          </cell>
          <cell r="AU97">
            <v>0.18423573244470837</v>
          </cell>
          <cell r="AV97">
            <v>0.17742166414193772</v>
          </cell>
          <cell r="AW97">
            <v>0.19107849909157815</v>
          </cell>
          <cell r="AX97">
            <v>0.1924406823455429</v>
          </cell>
          <cell r="AY97">
            <v>0.20935917902039747</v>
          </cell>
          <cell r="AZ97">
            <v>0.21948245084268803</v>
          </cell>
          <cell r="BA97">
            <v>0.20738597868316647</v>
          </cell>
          <cell r="BB97">
            <v>0.19328161888546802</v>
          </cell>
          <cell r="BC97">
            <v>0.17767807921083389</v>
          </cell>
          <cell r="BD97">
            <v>0.15639240620393702</v>
          </cell>
          <cell r="BE97">
            <v>0.14666559703469684</v>
          </cell>
          <cell r="BF97">
            <v>0.13344883750915515</v>
          </cell>
          <cell r="BG97">
            <v>0.12736736786211655</v>
          </cell>
          <cell r="BH97">
            <v>0.12839251935638707</v>
          </cell>
          <cell r="BI97">
            <v>0.13683157743072272</v>
          </cell>
          <cell r="BJ97">
            <v>0.14503016434668781</v>
          </cell>
          <cell r="BK97">
            <v>0.13666335340057834</v>
          </cell>
          <cell r="BL97">
            <v>0.13485743330582256</v>
          </cell>
          <cell r="BM97">
            <v>0.12973787783526758</v>
          </cell>
          <cell r="BN97">
            <v>0.11901673977138059</v>
          </cell>
          <cell r="BO97">
            <v>0.11832343930309186</v>
          </cell>
          <cell r="BP97">
            <v>0.11188393479472092</v>
          </cell>
          <cell r="BQ97">
            <v>9.5968753001001161E-2</v>
          </cell>
          <cell r="BR97">
            <v>8.4662348429986878E-2</v>
          </cell>
          <cell r="BS97">
            <v>7.3405500943767077E-2</v>
          </cell>
          <cell r="BT97">
            <v>6.4869718461328718E-2</v>
          </cell>
          <cell r="BU97">
            <v>6.5225275828758811E-2</v>
          </cell>
          <cell r="BV97">
            <v>7.1394453499593835E-2</v>
          </cell>
          <cell r="BW97">
            <v>7.6831463531884969E-2</v>
          </cell>
          <cell r="BX97">
            <v>8.2346733731248248E-2</v>
          </cell>
          <cell r="BY97">
            <v>8.0217146776300444E-2</v>
          </cell>
          <cell r="BZ97">
            <v>7.6290066371579313E-2</v>
          </cell>
          <cell r="CA97">
            <v>7.1826598349752802E-2</v>
          </cell>
          <cell r="CB97">
            <v>6.4550155232632189E-2</v>
          </cell>
          <cell r="CC97">
            <v>6.0592094688036058E-2</v>
          </cell>
          <cell r="CD97">
            <v>5.8191758155962781E-2</v>
          </cell>
          <cell r="CE97">
            <v>5.3957616342741543E-2</v>
          </cell>
          <cell r="CF97">
            <v>5.2707128712686346E-2</v>
          </cell>
          <cell r="CG97">
            <v>5.0251145782987727E-2</v>
          </cell>
          <cell r="CH97">
            <v>4.6970126038581084E-2</v>
          </cell>
          <cell r="CI97">
            <v>4.5293371144541128E-2</v>
          </cell>
          <cell r="CJ97">
            <v>4.4287034835551964E-2</v>
          </cell>
          <cell r="CK97">
            <v>4.6204255548618178E-2</v>
          </cell>
          <cell r="CL97">
            <v>4.9067151694921707E-2</v>
          </cell>
          <cell r="CM97">
            <v>5.4306464646493913E-2</v>
          </cell>
          <cell r="CN97">
            <v>5.8849841121697777E-2</v>
          </cell>
          <cell r="CO97">
            <v>6.4314187891761465E-2</v>
          </cell>
          <cell r="CP97">
            <v>6.7518914730944068E-2</v>
          </cell>
          <cell r="CQ97">
            <v>7.0259932754773935E-2</v>
          </cell>
          <cell r="CR97">
            <v>7.2001557130699334E-2</v>
          </cell>
          <cell r="CS97">
            <v>7.2883716118048225E-2</v>
          </cell>
          <cell r="CT97">
            <v>7.463033436962152E-2</v>
          </cell>
          <cell r="CU97">
            <v>7.3936998757654582E-2</v>
          </cell>
          <cell r="CV97">
            <v>7.073797224631706E-2</v>
          </cell>
          <cell r="CW97">
            <v>6.7168741065817716E-2</v>
          </cell>
          <cell r="CX97">
            <v>6.4310981198757888E-2</v>
          </cell>
          <cell r="CY97">
            <v>6.325426922603028E-2</v>
          </cell>
          <cell r="CZ97">
            <v>6.4830881068044688E-2</v>
          </cell>
          <cell r="DA97">
            <v>6.6432657617425228E-2</v>
          </cell>
          <cell r="DB97">
            <v>6.5804374779694363E-2</v>
          </cell>
          <cell r="DC97">
            <v>6.3417188646919476E-2</v>
          </cell>
          <cell r="DD97">
            <v>6.1430074660863809E-2</v>
          </cell>
          <cell r="DE97">
            <v>5.6213114680680132E-2</v>
          </cell>
          <cell r="DF97">
            <v>5.2524002040351236E-2</v>
          </cell>
          <cell r="DG97">
            <v>4.6791117591202358E-2</v>
          </cell>
          <cell r="DH97">
            <v>3.9498182493255429E-2</v>
          </cell>
          <cell r="DI97">
            <v>3.4495684740608823E-2</v>
          </cell>
          <cell r="DJ97">
            <v>2.9946183692117101E-2</v>
          </cell>
          <cell r="DK97">
            <v>2.9750797251632433E-2</v>
          </cell>
          <cell r="DL97">
            <v>3.1735513929626924E-2</v>
          </cell>
          <cell r="DM97">
            <v>3.1222030762912079E-2</v>
          </cell>
          <cell r="DN97">
            <v>3.2685227002788642E-2</v>
          </cell>
          <cell r="DO97">
            <v>3.5484167246138343E-2</v>
          </cell>
          <cell r="DP97">
            <v>4.1351954987032924E-2</v>
          </cell>
          <cell r="DQ97">
            <v>5.3727468162157122E-2</v>
          </cell>
          <cell r="DR97">
            <v>6.4872866144927155E-2</v>
          </cell>
          <cell r="DS97">
            <v>7.447587204362982E-2</v>
          </cell>
          <cell r="DT97">
            <v>7.9539064162655881E-2</v>
          </cell>
          <cell r="DU97">
            <v>7.9292009396413121E-2</v>
          </cell>
          <cell r="DV97">
            <v>7.4139628285478931E-2</v>
          </cell>
          <cell r="DW97">
            <v>6.459331085310116E-2</v>
          </cell>
          <cell r="DX97">
            <v>5.4813441607606483E-2</v>
          </cell>
          <cell r="DY97">
            <v>4.6490671793377958E-2</v>
          </cell>
          <cell r="DZ97">
            <v>4.2034200861087667E-2</v>
          </cell>
          <cell r="EA97">
            <v>4.1700448937285417E-2</v>
          </cell>
          <cell r="EB97">
            <v>4.3281673936336196E-2</v>
          </cell>
          <cell r="EC97">
            <v>4.7054664648173761E-2</v>
          </cell>
          <cell r="ED97">
            <v>5.1222650429014971E-2</v>
          </cell>
          <cell r="EE97">
            <v>5.5040742628153172E-2</v>
          </cell>
          <cell r="EF97">
            <v>5.7059817124996526E-2</v>
          </cell>
          <cell r="EG97">
            <v>5.9439842780734997E-2</v>
          </cell>
          <cell r="EH97">
            <v>6.3187573964131438E-2</v>
          </cell>
          <cell r="EI97">
            <v>6.8507905368014432E-2</v>
          </cell>
          <cell r="EJ97">
            <v>7.0866082044753975E-2</v>
          </cell>
          <cell r="EK97">
            <v>6.9471721646301443E-2</v>
          </cell>
          <cell r="EL97">
            <v>6.6190409039683429E-2</v>
          </cell>
          <cell r="EM97">
            <v>6.0839939402999921E-2</v>
          </cell>
          <cell r="EN97">
            <v>5.9273738705062362E-2</v>
          </cell>
          <cell r="EO97">
            <v>5.9273738705062362E-2</v>
          </cell>
          <cell r="EP97">
            <v>5.9273738705062362E-2</v>
          </cell>
          <cell r="EQ97">
            <v>5.9273738705062362E-2</v>
          </cell>
          <cell r="ER97">
            <v>5.9273738705062362E-2</v>
          </cell>
          <cell r="ES97">
            <v>5.9273738705062362E-2</v>
          </cell>
          <cell r="ET97">
            <v>5.9273738705062362E-2</v>
          </cell>
          <cell r="EU97">
            <v>5.9273738705062362E-2</v>
          </cell>
          <cell r="EV97">
            <v>5.7185471107812358E-2</v>
          </cell>
          <cell r="EW97">
            <v>5.5101320351562233E-2</v>
          </cell>
          <cell r="EX97">
            <v>5.3021278320312337E-2</v>
          </cell>
          <cell r="EY97">
            <v>5.0945336914062223E-2</v>
          </cell>
          <cell r="EZ97">
            <v>4.8350410156249746E-2</v>
          </cell>
          <cell r="FA97">
            <v>4.5761890624999912E-2</v>
          </cell>
          <cell r="FB97">
            <v>4.3179762500000107E-2</v>
          </cell>
          <cell r="FC97">
            <v>4.0604010000000024E-2</v>
          </cell>
          <cell r="FD97">
            <v>4.0604010000000024E-2</v>
          </cell>
          <cell r="FE97">
            <v>4.0604010000000024E-2</v>
          </cell>
          <cell r="FF97">
            <v>4.0604010000000024E-2</v>
          </cell>
          <cell r="FG97">
            <v>4.0604010000000024E-2</v>
          </cell>
          <cell r="FH97">
            <v>4.0604010000000024E-2</v>
          </cell>
          <cell r="FI97">
            <v>4.0604010000000024E-2</v>
          </cell>
          <cell r="FJ97">
            <v>4.0604010000000024E-2</v>
          </cell>
          <cell r="FK97">
            <v>4.0604010000000024E-2</v>
          </cell>
          <cell r="FL97">
            <v>4.0604010000000024E-2</v>
          </cell>
          <cell r="FM97">
            <v>4.0604010000000024E-2</v>
          </cell>
          <cell r="FN97">
            <v>4.0604010000000024E-2</v>
          </cell>
          <cell r="FO97">
            <v>4.0604010000000024E-2</v>
          </cell>
          <cell r="FP97">
            <v>4.0604010000000024E-2</v>
          </cell>
          <cell r="FQ97">
            <v>4.0604010000000024E-2</v>
          </cell>
          <cell r="FR97">
            <v>4.0604010000000024E-2</v>
          </cell>
          <cell r="FS97">
            <v>4.0604010000000024E-2</v>
          </cell>
          <cell r="FT97">
            <v>4.0604010000000024E-2</v>
          </cell>
          <cell r="FU97">
            <v>4.0604010000000024E-2</v>
          </cell>
        </row>
        <row r="98">
          <cell r="A98" t="str">
            <v>12MoSystemAUBCg</v>
          </cell>
          <cell r="B98" t="str">
            <v>Australian business</v>
          </cell>
          <cell r="D98">
            <v>-5.7930307969056398E-2</v>
          </cell>
          <cell r="E98">
            <v>-5.7336531936571289E-2</v>
          </cell>
          <cell r="F98">
            <v>-5.8957977054600159E-2</v>
          </cell>
          <cell r="G98">
            <v>-6.8803338576624795E-2</v>
          </cell>
          <cell r="H98">
            <v>-5.2975629643666311E-2</v>
          </cell>
          <cell r="I98">
            <v>-4.6739928783973594E-2</v>
          </cell>
          <cell r="J98">
            <v>-3.8627142874353093E-2</v>
          </cell>
          <cell r="K98">
            <v>-1.4449458195822107E-2</v>
          </cell>
          <cell r="L98">
            <v>-1.7226193086829045E-2</v>
          </cell>
          <cell r="M98">
            <v>-3.2920707288955908E-3</v>
          </cell>
          <cell r="N98">
            <v>9.7318756084576741E-3</v>
          </cell>
          <cell r="O98">
            <v>2.3898952421509856E-2</v>
          </cell>
          <cell r="P98">
            <v>3.6805789464686933E-2</v>
          </cell>
          <cell r="Q98">
            <v>5.625628522149162E-2</v>
          </cell>
          <cell r="R98">
            <v>7.1995591703884365E-2</v>
          </cell>
          <cell r="S98">
            <v>0.10182497456486717</v>
          </cell>
          <cell r="T98">
            <v>0.13823905011306525</v>
          </cell>
          <cell r="U98">
            <v>0.13428208054338664</v>
          </cell>
          <cell r="V98">
            <v>0.13525611750830913</v>
          </cell>
          <cell r="W98">
            <v>0.11355693188137161</v>
          </cell>
          <cell r="X98">
            <v>8.369966035938671E-2</v>
          </cell>
          <cell r="Y98">
            <v>9.283087988811832E-2</v>
          </cell>
          <cell r="Z98">
            <v>0.10169216940478677</v>
          </cell>
          <cell r="AA98">
            <v>0.1158486800760372</v>
          </cell>
          <cell r="AB98">
            <v>0.11323463247554821</v>
          </cell>
          <cell r="AC98">
            <v>0.10356732060256357</v>
          </cell>
          <cell r="AD98">
            <v>9.2150265391727229E-2</v>
          </cell>
          <cell r="AE98">
            <v>8.2763034243457767E-2</v>
          </cell>
          <cell r="AF98">
            <v>9.0407391576746723E-2</v>
          </cell>
          <cell r="AG98">
            <v>8.3696783203770497E-2</v>
          </cell>
          <cell r="AH98">
            <v>7.471591133752109E-2</v>
          </cell>
          <cell r="AI98">
            <v>7.1783181750949554E-2</v>
          </cell>
          <cell r="AJ98">
            <v>7.5096006126087245E-2</v>
          </cell>
          <cell r="AK98">
            <v>8.6501108783725744E-2</v>
          </cell>
          <cell r="AL98">
            <v>9.4898136264176744E-2</v>
          </cell>
          <cell r="AM98">
            <v>8.5674137261476879E-2</v>
          </cell>
          <cell r="AN98">
            <v>8.6145473530839775E-2</v>
          </cell>
          <cell r="AO98">
            <v>6.3501914448508279E-2</v>
          </cell>
          <cell r="AP98">
            <v>3.4159661126002216E-2</v>
          </cell>
          <cell r="AQ98">
            <v>2.1896544792848749E-2</v>
          </cell>
          <cell r="AR98">
            <v>4.7052468180195373E-3</v>
          </cell>
          <cell r="AS98">
            <v>1.7723311028352562E-2</v>
          </cell>
          <cell r="AT98">
            <v>4.752198296678789E-2</v>
          </cell>
          <cell r="AU98">
            <v>5.1336554184235439E-2</v>
          </cell>
          <cell r="AV98">
            <v>7.7943017918358448E-2</v>
          </cell>
          <cell r="AW98">
            <v>6.4430326424506523E-2</v>
          </cell>
          <cell r="AX98">
            <v>6.575151377507038E-2</v>
          </cell>
          <cell r="AY98">
            <v>8.962973112529582E-2</v>
          </cell>
          <cell r="AZ98">
            <v>6.068479312884012E-2</v>
          </cell>
          <cell r="BA98">
            <v>8.5890471278220706E-2</v>
          </cell>
          <cell r="BB98">
            <v>8.5629057852063539E-2</v>
          </cell>
          <cell r="BC98">
            <v>8.0218298538069721E-2</v>
          </cell>
          <cell r="BD98">
            <v>0.10857438389661045</v>
          </cell>
          <cell r="BE98">
            <v>0.11536352174102449</v>
          </cell>
          <cell r="BF98">
            <v>0.13100078353733391</v>
          </cell>
          <cell r="BG98">
            <v>0.15252280961378539</v>
          </cell>
          <cell r="BH98">
            <v>0.16540900135621772</v>
          </cell>
          <cell r="BI98">
            <v>0.1678793397193552</v>
          </cell>
          <cell r="BJ98">
            <v>0.16203103091320295</v>
          </cell>
          <cell r="BK98">
            <v>0.1607122746081171</v>
          </cell>
          <cell r="BL98">
            <v>0.16836009049233902</v>
          </cell>
          <cell r="BM98">
            <v>0.19323714215335919</v>
          </cell>
          <cell r="BN98">
            <v>0.22195700287960166</v>
          </cell>
          <cell r="BO98">
            <v>0.24070035701253456</v>
          </cell>
          <cell r="BP98">
            <v>0.2162411501002324</v>
          </cell>
          <cell r="BQ98">
            <v>0.16784998054404277</v>
          </cell>
          <cell r="BR98">
            <v>0.13820833450716874</v>
          </cell>
          <cell r="BS98">
            <v>8.9571588748068157E-2</v>
          </cell>
          <cell r="BT98">
            <v>5.1009801831127577E-2</v>
          </cell>
          <cell r="BU98">
            <v>1.1923229747655917E-2</v>
          </cell>
          <cell r="BV98">
            <v>-3.9497863774790254E-2</v>
          </cell>
          <cell r="BW98">
            <v>-6.5666537125014024E-2</v>
          </cell>
          <cell r="BX98">
            <v>-6.1680911832899366E-2</v>
          </cell>
          <cell r="BY98">
            <v>-4.140444773911723E-2</v>
          </cell>
          <cell r="BZ98">
            <v>-3.508303227306242E-2</v>
          </cell>
          <cell r="CA98">
            <v>-2.1531562048655584E-2</v>
          </cell>
          <cell r="CB98">
            <v>-8.0378094778308373E-3</v>
          </cell>
          <cell r="CC98">
            <v>-2.5831314469094702E-2</v>
          </cell>
          <cell r="CD98">
            <v>-1.3847830403430628E-3</v>
          </cell>
          <cell r="CE98">
            <v>9.693284063279517E-3</v>
          </cell>
          <cell r="CF98">
            <v>9.7377731647338983E-3</v>
          </cell>
          <cell r="CG98">
            <v>4.4377323380393241E-2</v>
          </cell>
          <cell r="CH98">
            <v>4.0440300320333744E-2</v>
          </cell>
          <cell r="CI98">
            <v>3.2392921943932285E-2</v>
          </cell>
          <cell r="CJ98">
            <v>2.0378509011848678E-2</v>
          </cell>
          <cell r="CK98">
            <v>1.2578740118798226E-2</v>
          </cell>
          <cell r="CL98">
            <v>1.0281582146564938E-2</v>
          </cell>
          <cell r="CM98">
            <v>1.6052084446563031E-2</v>
          </cell>
          <cell r="CN98">
            <v>2.5903677394112812E-2</v>
          </cell>
          <cell r="CO98">
            <v>3.4594973241370619E-2</v>
          </cell>
          <cell r="CP98">
            <v>3.7781660760038083E-2</v>
          </cell>
          <cell r="CQ98">
            <v>4.662549826872997E-2</v>
          </cell>
          <cell r="CR98">
            <v>5.4418530536750831E-2</v>
          </cell>
          <cell r="CS98">
            <v>4.4963843154270267E-2</v>
          </cell>
          <cell r="CT98">
            <v>6.3677656403194005E-2</v>
          </cell>
          <cell r="CU98">
            <v>6.4544491019052463E-2</v>
          </cell>
          <cell r="CV98">
            <v>6.5454944895771305E-2</v>
          </cell>
          <cell r="CW98">
            <v>6.6578126246421343E-2</v>
          </cell>
          <cell r="CX98">
            <v>4.9080826067763095E-2</v>
          </cell>
          <cell r="CY98">
            <v>5.5624546427801347E-2</v>
          </cell>
          <cell r="CZ98">
            <v>3.3711728513560635E-2</v>
          </cell>
          <cell r="DA98">
            <v>4.1626494922788471E-2</v>
          </cell>
          <cell r="DB98">
            <v>4.1541418714991396E-2</v>
          </cell>
          <cell r="DC98">
            <v>3.1032187169010017E-2</v>
          </cell>
          <cell r="DD98">
            <v>3.8796428739013233E-2</v>
          </cell>
          <cell r="DE98">
            <v>3.1304489300017169E-2</v>
          </cell>
          <cell r="DF98">
            <v>4.3820997806961692E-2</v>
          </cell>
          <cell r="DG98">
            <v>4.7802789224090869E-2</v>
          </cell>
          <cell r="DH98">
            <v>4.8522076287310645E-2</v>
          </cell>
          <cell r="DI98">
            <v>4.0361795876710849E-2</v>
          </cell>
          <cell r="DJ98">
            <v>3.0256925667182077E-2</v>
          </cell>
          <cell r="DK98">
            <v>1.8770721558183601E-2</v>
          </cell>
          <cell r="DL98">
            <v>4.8873922991659935E-2</v>
          </cell>
          <cell r="DM98">
            <v>3.0600775433936578E-2</v>
          </cell>
          <cell r="DN98">
            <v>1.0133391107541412E-2</v>
          </cell>
          <cell r="DO98">
            <v>2.2188141718748611E-3</v>
          </cell>
          <cell r="DP98">
            <v>-2.3823061621625397E-2</v>
          </cell>
          <cell r="DQ98">
            <v>7.1655547975584266E-3</v>
          </cell>
          <cell r="DR98">
            <v>4.1743898413151515E-2</v>
          </cell>
          <cell r="DS98">
            <v>7.6255098495347839E-2</v>
          </cell>
          <cell r="DT98">
            <v>9.1999587582399123E-2</v>
          </cell>
          <cell r="DU98">
            <v>0.11916139620328803</v>
          </cell>
          <cell r="DV98">
            <v>0.13342921132376007</v>
          </cell>
          <cell r="DW98">
            <v>0.1159236437081239</v>
          </cell>
          <cell r="DX98">
            <v>0.10456226994750818</v>
          </cell>
          <cell r="DY98">
            <v>8.1177908677747337E-2</v>
          </cell>
          <cell r="DZ98">
            <v>6.635543783544362E-2</v>
          </cell>
          <cell r="EA98">
            <v>6.3695752009828244E-2</v>
          </cell>
          <cell r="EB98">
            <v>7.7025865096051804E-2</v>
          </cell>
          <cell r="EC98">
            <v>7.8268671309328575E-2</v>
          </cell>
          <cell r="ED98">
            <v>7.5875020469508891E-2</v>
          </cell>
          <cell r="EE98">
            <v>9.3566559802706242E-2</v>
          </cell>
          <cell r="EF98">
            <v>8.5318574401115801E-2</v>
          </cell>
          <cell r="EG98">
            <v>8.65331362508346E-2</v>
          </cell>
          <cell r="EH98">
            <v>9.4411640486543824E-2</v>
          </cell>
          <cell r="EI98">
            <v>9.7101620170111591E-2</v>
          </cell>
          <cell r="EJ98">
            <v>0.10135167354012875</v>
          </cell>
          <cell r="EK98">
            <v>0.10036124465285301</v>
          </cell>
          <cell r="EL98">
            <v>8.6665461693969048E-2</v>
          </cell>
          <cell r="EM98">
            <v>7.1846089999999974E-2</v>
          </cell>
          <cell r="EN98">
            <v>6.6591942499999668E-2</v>
          </cell>
          <cell r="EO98">
            <v>6.136355062499943E-2</v>
          </cell>
          <cell r="EP98">
            <v>5.6135158749999636E-2</v>
          </cell>
          <cell r="EQ98">
            <v>5.093252249999991E-2</v>
          </cell>
          <cell r="ER98">
            <v>4.5755515000000191E-2</v>
          </cell>
          <cell r="ES98">
            <v>4.0604010000000024E-2</v>
          </cell>
          <cell r="ET98">
            <v>4.0604010000000024E-2</v>
          </cell>
          <cell r="EU98">
            <v>4.0604010000000024E-2</v>
          </cell>
          <cell r="EV98">
            <v>4.0604010000000024E-2</v>
          </cell>
          <cell r="EW98">
            <v>4.0604010000000024E-2</v>
          </cell>
          <cell r="EX98">
            <v>4.0604010000000024E-2</v>
          </cell>
          <cell r="EY98">
            <v>4.0604010000000024E-2</v>
          </cell>
          <cell r="EZ98">
            <v>4.0604010000000024E-2</v>
          </cell>
          <cell r="FA98">
            <v>4.0604010000000024E-2</v>
          </cell>
          <cell r="FB98">
            <v>4.0604010000000024E-2</v>
          </cell>
          <cell r="FC98">
            <v>4.0604010000000024E-2</v>
          </cell>
          <cell r="FD98">
            <v>4.0604010000000024E-2</v>
          </cell>
          <cell r="FE98">
            <v>4.0604010000000024E-2</v>
          </cell>
          <cell r="FF98">
            <v>4.0604010000000024E-2</v>
          </cell>
          <cell r="FG98">
            <v>4.0604010000000024E-2</v>
          </cell>
          <cell r="FH98">
            <v>4.0604010000000024E-2</v>
          </cell>
          <cell r="FI98">
            <v>4.0604010000000024E-2</v>
          </cell>
          <cell r="FJ98">
            <v>4.0604010000000024E-2</v>
          </cell>
          <cell r="FK98">
            <v>4.0604010000000024E-2</v>
          </cell>
          <cell r="FL98">
            <v>4.0604010000000024E-2</v>
          </cell>
          <cell r="FM98">
            <v>4.0604010000000024E-2</v>
          </cell>
          <cell r="FN98">
            <v>4.0604010000000024E-2</v>
          </cell>
          <cell r="FO98">
            <v>4.0604010000000024E-2</v>
          </cell>
          <cell r="FP98">
            <v>4.0604010000000024E-2</v>
          </cell>
          <cell r="FQ98">
            <v>4.0604010000000024E-2</v>
          </cell>
          <cell r="FR98">
            <v>4.0604010000000024E-2</v>
          </cell>
          <cell r="FS98">
            <v>4.0604010000000024E-2</v>
          </cell>
          <cell r="FT98">
            <v>4.0604010000000024E-2</v>
          </cell>
          <cell r="FU98">
            <v>4.0604010000000024E-2</v>
          </cell>
        </row>
        <row r="99">
          <cell r="A99" t="str">
            <v>12MoSystemAUPCg</v>
          </cell>
          <cell r="B99" t="str">
            <v>Australian personal</v>
          </cell>
          <cell r="D99">
            <v>-4.9203187174602474E-2</v>
          </cell>
          <cell r="E99">
            <v>-5.1446486942879129E-2</v>
          </cell>
          <cell r="F99">
            <v>-3.6786173249286236E-2</v>
          </cell>
          <cell r="G99">
            <v>-1.8102220082279685E-2</v>
          </cell>
          <cell r="H99">
            <v>-1.1483726737998468E-2</v>
          </cell>
          <cell r="I99">
            <v>-5.3365408304351103E-3</v>
          </cell>
          <cell r="J99">
            <v>1.5353554687371762E-3</v>
          </cell>
          <cell r="K99">
            <v>7.8503526711655169E-3</v>
          </cell>
          <cell r="L99">
            <v>1.7876195956326946E-2</v>
          </cell>
          <cell r="M99">
            <v>4.0920839626647831E-2</v>
          </cell>
          <cell r="N99">
            <v>4.9323935151570852E-2</v>
          </cell>
          <cell r="O99">
            <v>6.6053469306581958E-2</v>
          </cell>
          <cell r="P99">
            <v>8.1996025874490966E-2</v>
          </cell>
          <cell r="Q99">
            <v>0.10113612902153557</v>
          </cell>
          <cell r="R99">
            <v>0.11289407330600178</v>
          </cell>
          <cell r="S99">
            <v>0.10328013569143725</v>
          </cell>
          <cell r="T99">
            <v>0.10137859148214655</v>
          </cell>
          <cell r="U99">
            <v>0.10409861261454134</v>
          </cell>
          <cell r="V99">
            <v>0.11565403667967944</v>
          </cell>
          <cell r="W99">
            <v>0.11510770396589297</v>
          </cell>
          <cell r="X99">
            <v>0.11005271110214544</v>
          </cell>
          <cell r="Y99">
            <v>8.7283685395174823E-2</v>
          </cell>
          <cell r="Z99">
            <v>7.4775672946739258E-2</v>
          </cell>
          <cell r="AA99">
            <v>0.10202417463830947</v>
          </cell>
          <cell r="AB99">
            <v>0.1100879696763155</v>
          </cell>
          <cell r="AC99">
            <v>0.11772689252892053</v>
          </cell>
          <cell r="AD99">
            <v>0.12761144178173267</v>
          </cell>
          <cell r="AE99">
            <v>0.12518962595840688</v>
          </cell>
          <cell r="AF99">
            <v>0.14762555380464759</v>
          </cell>
          <cell r="AG99">
            <v>0.16249573109813142</v>
          </cell>
          <cell r="AH99">
            <v>0.1669301856791483</v>
          </cell>
          <cell r="AI99">
            <v>0.16386614491123885</v>
          </cell>
          <cell r="AJ99">
            <v>0.15444142699006091</v>
          </cell>
          <cell r="AK99">
            <v>0.16097815865153886</v>
          </cell>
          <cell r="AL99">
            <v>0.13286526197120097</v>
          </cell>
          <cell r="AM99">
            <v>0.14235743546857904</v>
          </cell>
          <cell r="AN99">
            <v>0.12719115397693637</v>
          </cell>
          <cell r="AO99">
            <v>0.10660551789081296</v>
          </cell>
          <cell r="AP99">
            <v>0.10861960418847216</v>
          </cell>
          <cell r="AQ99">
            <v>8.5198321008545186E-2</v>
          </cell>
          <cell r="AR99">
            <v>8.3280738466721585E-2</v>
          </cell>
          <cell r="AS99">
            <v>9.2875513346209151E-2</v>
          </cell>
          <cell r="AT99">
            <v>0.10555080524639404</v>
          </cell>
          <cell r="AU99">
            <v>9.7443237232043747E-2</v>
          </cell>
          <cell r="AV99">
            <v>0.10786476250272091</v>
          </cell>
          <cell r="AW99">
            <v>0.12358890415207213</v>
          </cell>
          <cell r="AX99">
            <v>0.13453858053928291</v>
          </cell>
          <cell r="AY99">
            <v>0.14643243138107409</v>
          </cell>
          <cell r="AZ99">
            <v>0.14631472353125607</v>
          </cell>
          <cell r="BA99">
            <v>0.11721052340714566</v>
          </cell>
          <cell r="BB99">
            <v>0.1139080788135467</v>
          </cell>
          <cell r="BC99">
            <v>0.13234137272497404</v>
          </cell>
          <cell r="BD99">
            <v>0.12623411542792828</v>
          </cell>
          <cell r="BE99">
            <v>0.13460897334878519</v>
          </cell>
          <cell r="BF99">
            <v>0.12922611115802329</v>
          </cell>
          <cell r="BG99">
            <v>9.9193578345612821E-2</v>
          </cell>
          <cell r="BH99">
            <v>0.10043372333775903</v>
          </cell>
          <cell r="BI99">
            <v>9.7305004025729711E-2</v>
          </cell>
          <cell r="BJ99">
            <v>0.11160043356246717</v>
          </cell>
          <cell r="BK99">
            <v>0.11439037058566835</v>
          </cell>
          <cell r="BL99">
            <v>0.11757157912914205</v>
          </cell>
          <cell r="BM99">
            <v>0.16111638367213854</v>
          </cell>
          <cell r="BN99">
            <v>0.11804680795346334</v>
          </cell>
          <cell r="BO99">
            <v>0.13667372976822922</v>
          </cell>
          <cell r="BP99">
            <v>0.10158853111366174</v>
          </cell>
          <cell r="BQ99">
            <v>3.3092321391867685E-2</v>
          </cell>
          <cell r="BR99">
            <v>2.1007807687699831E-2</v>
          </cell>
          <cell r="BS99">
            <v>-5.0422832497797006E-2</v>
          </cell>
          <cell r="BT99">
            <v>-6.6787209294423944E-2</v>
          </cell>
          <cell r="BU99">
            <v>-7.0701750160849119E-2</v>
          </cell>
          <cell r="BV99">
            <v>-5.5055518493206342E-2</v>
          </cell>
          <cell r="BW99">
            <v>-2.3658007754361332E-3</v>
          </cell>
          <cell r="BX99">
            <v>2.3403230926158702E-2</v>
          </cell>
          <cell r="BY99">
            <v>2.9672458526366352E-2</v>
          </cell>
          <cell r="BZ99">
            <v>2.8138085562079418E-2</v>
          </cell>
          <cell r="CA99">
            <v>1.2631320004883984E-2</v>
          </cell>
          <cell r="CB99">
            <v>1.0191885191322747E-2</v>
          </cell>
          <cell r="CC99">
            <v>6.5324983624595045E-3</v>
          </cell>
          <cell r="CD99">
            <v>-7.1406163395700828E-3</v>
          </cell>
          <cell r="CE99">
            <v>-9.3303921923558741E-3</v>
          </cell>
          <cell r="CF99">
            <v>-1.3619964796262929E-2</v>
          </cell>
          <cell r="CG99">
            <v>-1.1763559523755629E-2</v>
          </cell>
          <cell r="CH99">
            <v>-7.2370761182756205E-3</v>
          </cell>
          <cell r="CI99">
            <v>-3.3083870836847495E-3</v>
          </cell>
          <cell r="CJ99">
            <v>-6.2001101810937875E-4</v>
          </cell>
          <cell r="CK99">
            <v>2.6692549012838906E-3</v>
          </cell>
          <cell r="CL99">
            <v>6.8871189191561655E-3</v>
          </cell>
          <cell r="CM99">
            <v>6.7315346709895252E-3</v>
          </cell>
          <cell r="CN99">
            <v>3.8564797888602786E-3</v>
          </cell>
          <cell r="CO99">
            <v>7.1715874105555688E-3</v>
          </cell>
          <cell r="CP99">
            <v>1.1087719620858083E-2</v>
          </cell>
          <cell r="CQ99">
            <v>1.085325192078046E-2</v>
          </cell>
          <cell r="CR99">
            <v>1.345088433089292E-2</v>
          </cell>
          <cell r="CS99">
            <v>8.9834541397928458E-3</v>
          </cell>
          <cell r="CT99">
            <v>3.9262683949707888E-3</v>
          </cell>
          <cell r="CU99">
            <v>-1.8028731856911673E-4</v>
          </cell>
          <cell r="CV99">
            <v>-4.7450575430418862E-3</v>
          </cell>
          <cell r="CW99">
            <v>-6.2823737870887353E-3</v>
          </cell>
          <cell r="CX99">
            <v>-9.3418560606531864E-3</v>
          </cell>
          <cell r="CY99">
            <v>-8.8372636417711758E-3</v>
          </cell>
          <cell r="CZ99">
            <v>-1.037171123844427E-2</v>
          </cell>
          <cell r="DA99">
            <v>-9.390143413813612E-3</v>
          </cell>
          <cell r="DB99">
            <v>-8.8073083880352288E-3</v>
          </cell>
          <cell r="DC99">
            <v>-1.2176228349328411E-2</v>
          </cell>
          <cell r="DD99">
            <v>-1.1502597539716386E-2</v>
          </cell>
          <cell r="DE99">
            <v>-1.2825499339147561E-2</v>
          </cell>
          <cell r="DF99">
            <v>-1.3939889747789591E-2</v>
          </cell>
          <cell r="DG99">
            <v>-2.157627760843972E-2</v>
          </cell>
          <cell r="DH99">
            <v>-2.8286650941836466E-2</v>
          </cell>
          <cell r="DI99">
            <v>-3.4585730119682134E-2</v>
          </cell>
          <cell r="DJ99">
            <v>-4.2629117359417767E-2</v>
          </cell>
          <cell r="DK99">
            <v>-4.9276712118849882E-2</v>
          </cell>
          <cell r="DL99">
            <v>-6.7139835881269816E-2</v>
          </cell>
          <cell r="DM99">
            <v>-0.10814211571840449</v>
          </cell>
          <cell r="DN99">
            <v>-0.12946289835713043</v>
          </cell>
          <cell r="DO99">
            <v>-0.12469431763481664</v>
          </cell>
          <cell r="DP99">
            <v>-0.10739513422045732</v>
          </cell>
          <cell r="DQ99">
            <v>-6.2462228277229803E-2</v>
          </cell>
          <cell r="DR99">
            <v>-5.4101857479632705E-2</v>
          </cell>
          <cell r="DS99">
            <v>-3.6704594628261034E-2</v>
          </cell>
          <cell r="DT99">
            <v>-3.178526088143474E-2</v>
          </cell>
          <cell r="DU99">
            <v>-2.7187311811435522E-2</v>
          </cell>
          <cell r="DV99">
            <v>-2.8639763092666026E-3</v>
          </cell>
          <cell r="DW99">
            <v>-3.9348858198857695E-3</v>
          </cell>
          <cell r="DX99">
            <v>-1.283223205291173E-3</v>
          </cell>
          <cell r="DY99">
            <v>4.1315305110902756E-3</v>
          </cell>
          <cell r="DZ99">
            <v>1.9001628064897025E-2</v>
          </cell>
          <cell r="EA99">
            <v>1.8700169192217952E-2</v>
          </cell>
          <cell r="EB99">
            <v>3.2439866656257532E-2</v>
          </cell>
          <cell r="EC99">
            <v>2.8683358346701882E-2</v>
          </cell>
          <cell r="ED99">
            <v>2.351533037117437E-2</v>
          </cell>
          <cell r="EE99">
            <v>2.627623004740065E-2</v>
          </cell>
          <cell r="EF99">
            <v>2.2891707775272163E-2</v>
          </cell>
          <cell r="EG99">
            <v>3.7339307427501911E-2</v>
          </cell>
          <cell r="EH99">
            <v>4.4290954476299715E-2</v>
          </cell>
          <cell r="EI99">
            <v>4.003724745218773E-2</v>
          </cell>
          <cell r="EJ99">
            <v>4.1410043647825745E-2</v>
          </cell>
          <cell r="EK99">
            <v>3.5034693949195006E-2</v>
          </cell>
          <cell r="EL99">
            <v>2.846881987724692E-2</v>
          </cell>
          <cell r="EM99">
            <v>3.2889503749999882E-2</v>
          </cell>
          <cell r="EN99">
            <v>2.7776189374999927E-2</v>
          </cell>
          <cell r="EO99">
            <v>2.2688188437499646E-2</v>
          </cell>
          <cell r="EP99">
            <v>2.0150500624999568E-2</v>
          </cell>
          <cell r="EQ99">
            <v>2.0150500624999568E-2</v>
          </cell>
          <cell r="ER99">
            <v>2.0150500624999568E-2</v>
          </cell>
          <cell r="ES99">
            <v>2.0150500624999568E-2</v>
          </cell>
          <cell r="ET99">
            <v>2.0150500624999568E-2</v>
          </cell>
          <cell r="EU99">
            <v>2.0150500624999568E-2</v>
          </cell>
          <cell r="EV99">
            <v>2.0150500624999568E-2</v>
          </cell>
          <cell r="EW99">
            <v>2.0150500624999568E-2</v>
          </cell>
          <cell r="EX99">
            <v>2.0150500624999568E-2</v>
          </cell>
          <cell r="EY99">
            <v>2.0150500624999568E-2</v>
          </cell>
          <cell r="EZ99">
            <v>2.0150500624999568E-2</v>
          </cell>
          <cell r="FA99">
            <v>2.0150500624999568E-2</v>
          </cell>
          <cell r="FB99">
            <v>2.0150500624999568E-2</v>
          </cell>
          <cell r="FC99">
            <v>2.0150500624999568E-2</v>
          </cell>
          <cell r="FD99">
            <v>2.0150500624999568E-2</v>
          </cell>
          <cell r="FE99">
            <v>2.0150500624999568E-2</v>
          </cell>
          <cell r="FF99">
            <v>2.0150500624999568E-2</v>
          </cell>
          <cell r="FG99">
            <v>2.0150500624999568E-2</v>
          </cell>
          <cell r="FH99">
            <v>2.0150500624999568E-2</v>
          </cell>
          <cell r="FI99">
            <v>2.0150500624999568E-2</v>
          </cell>
          <cell r="FJ99">
            <v>2.0150500624999568E-2</v>
          </cell>
          <cell r="FK99">
            <v>2.0150500624999568E-2</v>
          </cell>
          <cell r="FL99">
            <v>2.0150500624999568E-2</v>
          </cell>
          <cell r="FM99">
            <v>2.0150500624999568E-2</v>
          </cell>
          <cell r="FN99">
            <v>2.0150500624999568E-2</v>
          </cell>
          <cell r="FO99">
            <v>2.0150500624999568E-2</v>
          </cell>
          <cell r="FP99">
            <v>2.0150500624999568E-2</v>
          </cell>
          <cell r="FQ99">
            <v>2.0150500624999568E-2</v>
          </cell>
          <cell r="FR99">
            <v>2.0150500624999568E-2</v>
          </cell>
          <cell r="FS99">
            <v>2.0150500624999568E-2</v>
          </cell>
          <cell r="FT99">
            <v>2.0150500624999568E-2</v>
          </cell>
          <cell r="FU99">
            <v>2.0150500624999568E-2</v>
          </cell>
        </row>
        <row r="100">
          <cell r="A100" t="str">
            <v>12MoSystemNZHCg</v>
          </cell>
          <cell r="B100" t="str">
            <v>New Zealand housing</v>
          </cell>
          <cell r="AG100">
            <v>0.10400000000000001</v>
          </cell>
          <cell r="AH100">
            <v>0.111</v>
          </cell>
          <cell r="AI100">
            <v>0.10400000000000001</v>
          </cell>
          <cell r="AJ100">
            <v>9.0999999999999998E-2</v>
          </cell>
          <cell r="AK100">
            <v>0.08</v>
          </cell>
          <cell r="AL100">
            <v>6.7000000000000004E-2</v>
          </cell>
          <cell r="AM100">
            <v>6.7000000000000004E-2</v>
          </cell>
          <cell r="AN100">
            <v>6.6000000000000003E-2</v>
          </cell>
          <cell r="AO100">
            <v>7.0999999999999994E-2</v>
          </cell>
          <cell r="AP100">
            <v>7.2999999999999995E-2</v>
          </cell>
          <cell r="AQ100">
            <v>7.2000000000000008E-2</v>
          </cell>
          <cell r="AR100">
            <v>7.9000000000000001E-2</v>
          </cell>
          <cell r="AS100">
            <v>8.199999999999999E-2</v>
          </cell>
          <cell r="AT100">
            <v>8.6999999999999994E-2</v>
          </cell>
          <cell r="AU100">
            <v>9.6999999999999989E-2</v>
          </cell>
          <cell r="AV100">
            <v>0.109</v>
          </cell>
          <cell r="AW100">
            <v>0.12300000000000001</v>
          </cell>
          <cell r="AX100">
            <v>0.14499999999999999</v>
          </cell>
          <cell r="AY100">
            <v>0.16300000000000001</v>
          </cell>
          <cell r="AZ100">
            <v>0.17</v>
          </cell>
          <cell r="BA100">
            <v>0.17300000000000001</v>
          </cell>
          <cell r="BB100">
            <v>0.16699999999999998</v>
          </cell>
          <cell r="BC100">
            <v>0.161</v>
          </cell>
          <cell r="BD100">
            <v>0.16</v>
          </cell>
          <cell r="BE100">
            <v>0.16</v>
          </cell>
          <cell r="BF100">
            <v>0.16300000000000001</v>
          </cell>
          <cell r="BG100">
            <v>0.161</v>
          </cell>
          <cell r="BH100">
            <v>0.152</v>
          </cell>
          <cell r="BI100">
            <v>0.14599999999999999</v>
          </cell>
          <cell r="BJ100">
            <v>0.13800000000000001</v>
          </cell>
          <cell r="BK100">
            <v>0.13400000000000001</v>
          </cell>
          <cell r="BL100">
            <v>0.14199999999999999</v>
          </cell>
          <cell r="BM100">
            <v>0.14400000000000002</v>
          </cell>
          <cell r="BN100">
            <v>0.13800000000000001</v>
          </cell>
          <cell r="BO100">
            <v>0.128</v>
          </cell>
          <cell r="BP100">
            <v>0.11199999999999999</v>
          </cell>
          <cell r="BQ100">
            <v>8.5999999999999993E-2</v>
          </cell>
          <cell r="BR100">
            <v>6.8000000000000005E-2</v>
          </cell>
          <cell r="BS100">
            <v>4.4000000000000004E-2</v>
          </cell>
          <cell r="BT100">
            <v>0.03</v>
          </cell>
          <cell r="BU100">
            <v>0.03</v>
          </cell>
          <cell r="BV100">
            <v>3.1E-2</v>
          </cell>
          <cell r="BW100">
            <v>3.5000000000000003E-2</v>
          </cell>
          <cell r="BX100">
            <v>3.4000000000000002E-2</v>
          </cell>
          <cell r="BY100">
            <v>2.8999999999999998E-2</v>
          </cell>
          <cell r="BZ100">
            <v>2.5000000000000001E-2</v>
          </cell>
          <cell r="CA100">
            <v>1.8000000000000002E-2</v>
          </cell>
          <cell r="CB100">
            <v>1.4999999999999999E-2</v>
          </cell>
          <cell r="CC100">
            <v>1.3999999999999999E-2</v>
          </cell>
          <cell r="CD100">
            <v>1.2E-2</v>
          </cell>
          <cell r="CE100">
            <v>1.2E-2</v>
          </cell>
          <cell r="CF100">
            <v>1.3999999999999999E-2</v>
          </cell>
          <cell r="CG100">
            <v>1.8000000000000002E-2</v>
          </cell>
          <cell r="CH100">
            <v>2.5000000000000001E-2</v>
          </cell>
          <cell r="CI100">
            <v>3.7000000000000005E-2</v>
          </cell>
          <cell r="CJ100">
            <v>4.4999999999999998E-2</v>
          </cell>
          <cell r="CK100">
            <v>5.2000000000000005E-2</v>
          </cell>
          <cell r="CL100">
            <v>5.7999999999999996E-2</v>
          </cell>
          <cell r="CM100">
            <v>5.9000000000000004E-2</v>
          </cell>
          <cell r="CN100">
            <v>5.5999999999999994E-2</v>
          </cell>
          <cell r="CO100">
            <v>5.2999999999999999E-2</v>
          </cell>
          <cell r="CP100">
            <v>4.7E-2</v>
          </cell>
          <cell r="CQ100">
            <v>4.5999999999999999E-2</v>
          </cell>
          <cell r="CR100">
            <v>4.9000000000000002E-2</v>
          </cell>
          <cell r="CS100">
            <v>5.4000000000000006E-2</v>
          </cell>
          <cell r="CT100">
            <v>6.6000000000000003E-2</v>
          </cell>
          <cell r="CU100">
            <v>7.400000000000001E-2</v>
          </cell>
          <cell r="CV100">
            <v>7.6999999999999999E-2</v>
          </cell>
          <cell r="CW100">
            <v>8.8000000000000009E-2</v>
          </cell>
          <cell r="CX100">
            <v>9.0999999999999998E-2</v>
          </cell>
          <cell r="CY100">
            <v>9.3000000000000013E-2</v>
          </cell>
          <cell r="CZ100">
            <v>8.900000000000001E-2</v>
          </cell>
          <cell r="DA100">
            <v>7.6999999999999999E-2</v>
          </cell>
          <cell r="DB100">
            <v>6.6000000000000003E-2</v>
          </cell>
          <cell r="DC100">
            <v>5.9000000000000004E-2</v>
          </cell>
          <cell r="DD100">
            <v>5.7999999999999996E-2</v>
          </cell>
          <cell r="DE100">
            <v>5.9000000000000004E-2</v>
          </cell>
          <cell r="DF100">
            <v>0.06</v>
          </cell>
          <cell r="DG100">
            <v>6.0999999999999999E-2</v>
          </cell>
          <cell r="DH100">
            <v>6.2E-2</v>
          </cell>
          <cell r="DI100">
            <v>6.3E-2</v>
          </cell>
          <cell r="DJ100">
            <v>6.6000000000000003E-2</v>
          </cell>
          <cell r="DK100">
            <v>7.0000000000000007E-2</v>
          </cell>
          <cell r="DL100">
            <v>7.0999999999999994E-2</v>
          </cell>
          <cell r="DM100">
            <v>6.2E-2</v>
          </cell>
          <cell r="DN100">
            <v>6.8000000000000005E-2</v>
          </cell>
          <cell r="DO100">
            <v>8.3000000000000004E-2</v>
          </cell>
          <cell r="DP100">
            <v>9.8000000000000004E-2</v>
          </cell>
          <cell r="DQ100">
            <v>0.11900000000000001</v>
          </cell>
          <cell r="DR100">
            <v>0.11599999999999999</v>
          </cell>
          <cell r="DS100">
            <v>0.105</v>
          </cell>
          <cell r="DT100">
            <v>8.6999999999999994E-2</v>
          </cell>
          <cell r="DU100">
            <v>6.9000000000000006E-2</v>
          </cell>
          <cell r="DV100">
            <v>5.7000000000000002E-2</v>
          </cell>
          <cell r="DW100">
            <v>4.4000000000000004E-2</v>
          </cell>
          <cell r="DX100">
            <v>3.5000000000000003E-2</v>
          </cell>
          <cell r="DY100">
            <v>3.1E-2</v>
          </cell>
          <cell r="DZ100">
            <v>0.03</v>
          </cell>
          <cell r="EA100">
            <v>2.8999999999999998E-2</v>
          </cell>
          <cell r="EB100">
            <v>3.1E-2</v>
          </cell>
          <cell r="EC100">
            <v>3.2000000000000001E-2</v>
          </cell>
          <cell r="ED100">
            <v>3.3000000000000002E-2</v>
          </cell>
          <cell r="EE100">
            <v>3.7999999999999999E-2</v>
          </cell>
          <cell r="EF100">
            <v>4.2000000000000003E-2</v>
          </cell>
          <cell r="EG100">
            <v>4.9000000000000002E-2</v>
          </cell>
          <cell r="EH100">
            <v>5.4000000000000048E-2</v>
          </cell>
          <cell r="EI100">
            <v>5.6999999999999718E-2</v>
          </cell>
          <cell r="EJ100">
            <v>5.5733278739853898E-2</v>
          </cell>
          <cell r="EK100">
            <v>5.0879146039440659E-2</v>
          </cell>
          <cell r="EL100">
            <v>4.7172501264643563E-2</v>
          </cell>
          <cell r="EM100">
            <v>4.0604010000000024E-2</v>
          </cell>
          <cell r="EN100">
            <v>4.0604010000000024E-2</v>
          </cell>
          <cell r="EO100">
            <v>4.0604010000000024E-2</v>
          </cell>
          <cell r="EP100">
            <v>4.0604010000000024E-2</v>
          </cell>
          <cell r="EQ100">
            <v>4.0604010000000024E-2</v>
          </cell>
          <cell r="ER100">
            <v>4.0604010000000024E-2</v>
          </cell>
          <cell r="ES100">
            <v>4.0604010000000024E-2</v>
          </cell>
          <cell r="ET100">
            <v>4.0604010000000024E-2</v>
          </cell>
          <cell r="EU100">
            <v>4.0604010000000024E-2</v>
          </cell>
          <cell r="EV100">
            <v>4.0604010000000024E-2</v>
          </cell>
          <cell r="EW100">
            <v>4.0604010000000024E-2</v>
          </cell>
          <cell r="EX100">
            <v>4.0604010000000024E-2</v>
          </cell>
          <cell r="EY100">
            <v>4.0604010000000024E-2</v>
          </cell>
          <cell r="EZ100">
            <v>4.0604010000000024E-2</v>
          </cell>
          <cell r="FA100">
            <v>4.0604010000000024E-2</v>
          </cell>
          <cell r="FB100">
            <v>4.0604010000000024E-2</v>
          </cell>
          <cell r="FC100">
            <v>4.0604010000000024E-2</v>
          </cell>
          <cell r="FD100">
            <v>4.0604010000000024E-2</v>
          </cell>
          <cell r="FE100">
            <v>4.0604010000000024E-2</v>
          </cell>
          <cell r="FF100">
            <v>4.0604010000000024E-2</v>
          </cell>
          <cell r="FG100">
            <v>4.0604010000000024E-2</v>
          </cell>
          <cell r="FH100">
            <v>4.0604010000000024E-2</v>
          </cell>
          <cell r="FI100">
            <v>4.0604010000000024E-2</v>
          </cell>
          <cell r="FJ100">
            <v>4.0604010000000024E-2</v>
          </cell>
          <cell r="FK100">
            <v>4.0604010000000024E-2</v>
          </cell>
          <cell r="FL100">
            <v>4.0604010000000024E-2</v>
          </cell>
          <cell r="FM100">
            <v>4.0604010000000024E-2</v>
          </cell>
          <cell r="FN100">
            <v>4.0604010000000024E-2</v>
          </cell>
          <cell r="FO100">
            <v>4.0604010000000024E-2</v>
          </cell>
          <cell r="FP100">
            <v>4.0604010000000024E-2</v>
          </cell>
          <cell r="FQ100">
            <v>4.0604010000000024E-2</v>
          </cell>
          <cell r="FR100">
            <v>4.0604010000000024E-2</v>
          </cell>
          <cell r="FS100">
            <v>4.0604010000000024E-2</v>
          </cell>
          <cell r="FT100">
            <v>4.0604010000000024E-2</v>
          </cell>
          <cell r="FU100">
            <v>4.0604010000000024E-2</v>
          </cell>
        </row>
        <row r="101">
          <cell r="A101" t="str">
            <v>12MoSystemNZNHCg</v>
          </cell>
          <cell r="B101" t="str">
            <v>New Zealand non-housing</v>
          </cell>
          <cell r="AG101">
            <v>6.820380622556832E-2</v>
          </cell>
          <cell r="AH101">
            <v>7.4534536619707659E-2</v>
          </cell>
          <cell r="AI101">
            <v>8.8100751195827373E-2</v>
          </cell>
          <cell r="AJ101">
            <v>0.12083069254728042</v>
          </cell>
          <cell r="AK101">
            <v>8.8768924347958342E-2</v>
          </cell>
          <cell r="AL101">
            <v>5.4106823188184494E-2</v>
          </cell>
          <cell r="AM101">
            <v>4.4318984316018328E-2</v>
          </cell>
          <cell r="AN101">
            <v>7.5641163975308512E-3</v>
          </cell>
          <cell r="AO101">
            <v>1.687354517493711E-2</v>
          </cell>
          <cell r="AP101">
            <v>7.7746177766784497E-2</v>
          </cell>
          <cell r="AQ101">
            <v>6.0128544229583358E-2</v>
          </cell>
          <cell r="AR101">
            <v>0.10383334030488388</v>
          </cell>
          <cell r="AS101">
            <v>8.3962102570939154E-2</v>
          </cell>
          <cell r="AT101">
            <v>5.2540745594878979E-2</v>
          </cell>
          <cell r="AU101">
            <v>7.4691755816082894E-2</v>
          </cell>
          <cell r="AV101">
            <v>4.7552708699085899E-2</v>
          </cell>
          <cell r="AW101">
            <v>5.0228000399945794E-2</v>
          </cell>
          <cell r="AX101">
            <v>4.6506245251773271E-2</v>
          </cell>
          <cell r="AY101">
            <v>3.188889436987874E-2</v>
          </cell>
          <cell r="AZ101">
            <v>4.943300959282082E-2</v>
          </cell>
          <cell r="BA101">
            <v>7.2456537317121539E-2</v>
          </cell>
          <cell r="BB101">
            <v>7.7104847959322376E-2</v>
          </cell>
          <cell r="BC101">
            <v>0.10791496481679719</v>
          </cell>
          <cell r="BD101">
            <v>0.12169928723736569</v>
          </cell>
          <cell r="BE101">
            <v>0.14815053993979821</v>
          </cell>
          <cell r="BF101">
            <v>0.16859649035008517</v>
          </cell>
          <cell r="BG101">
            <v>0.14567962111079469</v>
          </cell>
          <cell r="BH101">
            <v>0.13490546409844995</v>
          </cell>
          <cell r="BI101">
            <v>0.12019194618370686</v>
          </cell>
          <cell r="BJ101">
            <v>0.13496011310481437</v>
          </cell>
          <cell r="BK101">
            <v>0.14744054016371555</v>
          </cell>
          <cell r="BL101">
            <v>0.13995921383835253</v>
          </cell>
          <cell r="BM101">
            <v>0.16557984652164115</v>
          </cell>
          <cell r="BN101">
            <v>0.1728817028892071</v>
          </cell>
          <cell r="BO101">
            <v>0.15964482533041502</v>
          </cell>
          <cell r="BP101">
            <v>0.16883840859681176</v>
          </cell>
          <cell r="BQ101">
            <v>0.15448032700083836</v>
          </cell>
          <cell r="BR101">
            <v>0.15342693087309311</v>
          </cell>
          <cell r="BS101">
            <v>0.1403580229247372</v>
          </cell>
          <cell r="BT101">
            <v>9.7967920063428485E-2</v>
          </cell>
          <cell r="BU101">
            <v>4.2568869733571324E-2</v>
          </cell>
          <cell r="BV101">
            <v>5.0373553098574941E-3</v>
          </cell>
          <cell r="BW101">
            <v>-3.4896760123865445E-2</v>
          </cell>
          <cell r="BX101">
            <v>-3.5214161791489063E-2</v>
          </cell>
          <cell r="BY101">
            <v>-2.4937633529832581E-2</v>
          </cell>
          <cell r="BZ101">
            <v>-2.372429742628801E-2</v>
          </cell>
          <cell r="CA101">
            <v>5.3590938223033735E-3</v>
          </cell>
          <cell r="CB101">
            <v>1.2473741995137733E-2</v>
          </cell>
          <cell r="CC101">
            <v>1.3555164518199048E-2</v>
          </cell>
          <cell r="CD101">
            <v>1.4648101313036177E-2</v>
          </cell>
          <cell r="CE101">
            <v>4.6597951834359552E-2</v>
          </cell>
          <cell r="CF101">
            <v>5.8973385554309976E-2</v>
          </cell>
          <cell r="CG101">
            <v>6.5134654725216512E-2</v>
          </cell>
          <cell r="CH101">
            <v>6.4182980329690498E-2</v>
          </cell>
          <cell r="CI101">
            <v>4.7393864150672593E-2</v>
          </cell>
          <cell r="CJ101">
            <v>4.0837137900940235E-2</v>
          </cell>
          <cell r="CK101">
            <v>3.82613790803632E-2</v>
          </cell>
          <cell r="CL101">
            <v>3.9136812639654961E-2</v>
          </cell>
          <cell r="CM101">
            <v>3.0313216470335025E-2</v>
          </cell>
          <cell r="CN101">
            <v>2.2417871089823738E-2</v>
          </cell>
          <cell r="CO101">
            <v>2.5718613929460066E-2</v>
          </cell>
          <cell r="CP101">
            <v>3.3744760601640111E-2</v>
          </cell>
          <cell r="CQ101">
            <v>3.2871690118850383E-2</v>
          </cell>
          <cell r="CR101">
            <v>6.0738616617322494E-2</v>
          </cell>
          <cell r="CS101">
            <v>7.6144708681010309E-2</v>
          </cell>
          <cell r="CT101">
            <v>6.5283624263390738E-2</v>
          </cell>
          <cell r="CU101">
            <v>7.5515548209556638E-2</v>
          </cell>
          <cell r="CV101">
            <v>7.4537629253590643E-2</v>
          </cell>
          <cell r="CW101">
            <v>5.3290066433262062E-2</v>
          </cell>
          <cell r="CX101">
            <v>6.9964214329772734E-2</v>
          </cell>
          <cell r="CY101">
            <v>4.5385859846589716E-2</v>
          </cell>
          <cell r="CZ101">
            <v>3.4583883351912537E-2</v>
          </cell>
          <cell r="DA101">
            <v>4.1550816514954958E-2</v>
          </cell>
          <cell r="DB101">
            <v>3.2354150923455727E-2</v>
          </cell>
          <cell r="DC101">
            <v>3.649930088056097E-2</v>
          </cell>
          <cell r="DD101">
            <v>3.2933644291659681E-2</v>
          </cell>
          <cell r="DE101">
            <v>5.034571376932484E-2</v>
          </cell>
          <cell r="DF101">
            <v>4.7546959031384395E-2</v>
          </cell>
          <cell r="DG101">
            <v>4.5527145904575184E-2</v>
          </cell>
          <cell r="DH101">
            <v>5.7641186005537026E-2</v>
          </cell>
          <cell r="DI101">
            <v>3.9914945075213648E-2</v>
          </cell>
          <cell r="DJ101">
            <v>5.5940522931772652E-2</v>
          </cell>
          <cell r="DK101">
            <v>3.7687539779764023E-2</v>
          </cell>
          <cell r="DL101">
            <v>5.6812547200521202E-2</v>
          </cell>
          <cell r="DM101">
            <v>1.4751477546883773E-2</v>
          </cell>
          <cell r="DN101">
            <v>-3.0604234572989553E-2</v>
          </cell>
          <cell r="DO101">
            <v>-2.1485287027661282E-2</v>
          </cell>
          <cell r="DP101">
            <v>-7.0859611211238738E-2</v>
          </cell>
          <cell r="DQ101">
            <v>-3.7933275629708718E-2</v>
          </cell>
          <cell r="DR101">
            <v>-1.5280218549372893E-2</v>
          </cell>
          <cell r="DS101">
            <v>-5.4498569442736899E-3</v>
          </cell>
          <cell r="DT101">
            <v>1.403182446160578E-2</v>
          </cell>
          <cell r="DU101">
            <v>3.5899050846962322E-2</v>
          </cell>
          <cell r="DV101">
            <v>6.7659464217848742E-2</v>
          </cell>
          <cell r="DW101">
            <v>3.8628944652346897E-2</v>
          </cell>
          <cell r="DX101">
            <v>3.4711845432281452E-2</v>
          </cell>
          <cell r="DY101">
            <v>1.5955874856032892E-2</v>
          </cell>
          <cell r="DZ101">
            <v>-1.1261584146092685E-2</v>
          </cell>
          <cell r="EA101">
            <v>1.4667888129195283E-2</v>
          </cell>
          <cell r="EB101">
            <v>2.179493505996577E-2</v>
          </cell>
          <cell r="EC101">
            <v>1.377771536286776E-2</v>
          </cell>
          <cell r="ED101">
            <v>2.3786916723561813E-2</v>
          </cell>
          <cell r="EE101">
            <v>3.6124987429912769E-2</v>
          </cell>
          <cell r="EF101">
            <v>2.4697191140946595E-2</v>
          </cell>
          <cell r="EG101">
            <v>2.279011278425247E-2</v>
          </cell>
          <cell r="EH101">
            <v>3.8161461376785777E-2</v>
          </cell>
          <cell r="EI101">
            <v>2.3321387293314899E-2</v>
          </cell>
          <cell r="EJ101">
            <v>3.6087717540708164E-2</v>
          </cell>
          <cell r="EK101">
            <v>4.4496482963444661E-2</v>
          </cell>
          <cell r="EL101">
            <v>2.2595194438076893E-2</v>
          </cell>
          <cell r="EM101">
            <v>2.2595194438076893E-2</v>
          </cell>
          <cell r="EN101">
            <v>2.2595194438076893E-2</v>
          </cell>
          <cell r="EO101">
            <v>2.2595194438076893E-2</v>
          </cell>
          <cell r="EP101">
            <v>2.2595194438076893E-2</v>
          </cell>
          <cell r="EQ101">
            <v>2.2595194438076893E-2</v>
          </cell>
          <cell r="ER101">
            <v>2.2595194438076893E-2</v>
          </cell>
          <cell r="ES101">
            <v>2.2595194438076893E-2</v>
          </cell>
          <cell r="ET101">
            <v>2.2595194438076893E-2</v>
          </cell>
          <cell r="EU101">
            <v>2.2595194438076893E-2</v>
          </cell>
          <cell r="EV101">
            <v>2.2595194438076893E-2</v>
          </cell>
          <cell r="EW101">
            <v>2.2595194438076893E-2</v>
          </cell>
          <cell r="EX101">
            <v>2.2595194438076893E-2</v>
          </cell>
          <cell r="EY101">
            <v>2.2595194438076893E-2</v>
          </cell>
          <cell r="EZ101">
            <v>2.2595194438076893E-2</v>
          </cell>
          <cell r="FA101">
            <v>2.2595194438076893E-2</v>
          </cell>
          <cell r="FB101">
            <v>2.2595194438076893E-2</v>
          </cell>
          <cell r="FC101">
            <v>2.2595194438076893E-2</v>
          </cell>
          <cell r="FD101">
            <v>2.2595194438076893E-2</v>
          </cell>
          <cell r="FE101">
            <v>2.2595194438076893E-2</v>
          </cell>
          <cell r="FF101">
            <v>2.2595194438076893E-2</v>
          </cell>
          <cell r="FG101">
            <v>2.2595194438076893E-2</v>
          </cell>
          <cell r="FH101">
            <v>2.2595194438076893E-2</v>
          </cell>
          <cell r="FI101">
            <v>2.2595194438076893E-2</v>
          </cell>
          <cell r="FJ101">
            <v>2.2595194438076893E-2</v>
          </cell>
          <cell r="FK101">
            <v>2.2595194438076893E-2</v>
          </cell>
          <cell r="FL101">
            <v>2.2595194438076893E-2</v>
          </cell>
          <cell r="FM101">
            <v>2.2595194438076893E-2</v>
          </cell>
          <cell r="FN101">
            <v>2.2595194438076893E-2</v>
          </cell>
          <cell r="FO101">
            <v>2.2595194438076893E-2</v>
          </cell>
          <cell r="FP101">
            <v>2.2595194438076893E-2</v>
          </cell>
          <cell r="FQ101">
            <v>2.2595194438076893E-2</v>
          </cell>
          <cell r="FR101">
            <v>2.2595194438076893E-2</v>
          </cell>
          <cell r="FS101">
            <v>2.2595194438076893E-2</v>
          </cell>
          <cell r="FT101">
            <v>2.2595194438076893E-2</v>
          </cell>
          <cell r="FU101">
            <v>2.2595194438076893E-2</v>
          </cell>
        </row>
        <row r="102">
          <cell r="A102" t="str">
            <v>12MoSystemUKHCg</v>
          </cell>
          <cell r="B102" t="str">
            <v>UK housing</v>
          </cell>
          <cell r="M102" t="e">
            <v>#REF!</v>
          </cell>
          <cell r="N102" t="e">
            <v>#REF!</v>
          </cell>
          <cell r="O102" t="e">
            <v>#REF!</v>
          </cell>
          <cell r="P102" t="e">
            <v>#REF!</v>
          </cell>
          <cell r="Q102" t="e">
            <v>#REF!</v>
          </cell>
          <cell r="R102" t="e">
            <v>#REF!</v>
          </cell>
          <cell r="S102" t="e">
            <v>#REF!</v>
          </cell>
          <cell r="T102" t="e">
            <v>#REF!</v>
          </cell>
          <cell r="U102" t="e">
            <v>#REF!</v>
          </cell>
          <cell r="V102" t="e">
            <v>#REF!</v>
          </cell>
          <cell r="W102" t="e">
            <v>#REF!</v>
          </cell>
          <cell r="X102" t="e">
            <v>#REF!</v>
          </cell>
          <cell r="Y102" t="e">
            <v>#REF!</v>
          </cell>
          <cell r="Z102" t="e">
            <v>#REF!</v>
          </cell>
          <cell r="AA102" t="e">
            <v>#REF!</v>
          </cell>
          <cell r="AB102" t="e">
            <v>#REF!</v>
          </cell>
          <cell r="AC102" t="e">
            <v>#REF!</v>
          </cell>
          <cell r="AD102" t="e">
            <v>#REF!</v>
          </cell>
          <cell r="AE102" t="e">
            <v>#REF!</v>
          </cell>
          <cell r="AF102" t="e">
            <v>#REF!</v>
          </cell>
          <cell r="AG102" t="e">
            <v>#REF!</v>
          </cell>
          <cell r="AH102" t="e">
            <v>#REF!</v>
          </cell>
          <cell r="AI102" t="e">
            <v>#REF!</v>
          </cell>
          <cell r="AJ102" t="e">
            <v>#REF!</v>
          </cell>
          <cell r="AK102" t="e">
            <v>#REF!</v>
          </cell>
          <cell r="AL102" t="e">
            <v>#REF!</v>
          </cell>
          <cell r="AM102" t="e">
            <v>#REF!</v>
          </cell>
          <cell r="AN102" t="e">
            <v>#REF!</v>
          </cell>
          <cell r="AO102" t="e">
            <v>#REF!</v>
          </cell>
          <cell r="AP102" t="e">
            <v>#REF!</v>
          </cell>
          <cell r="AQ102" t="e">
            <v>#REF!</v>
          </cell>
          <cell r="AR102" t="e">
            <v>#REF!</v>
          </cell>
          <cell r="AS102" t="e">
            <v>#REF!</v>
          </cell>
          <cell r="AT102" t="e">
            <v>#REF!</v>
          </cell>
          <cell r="AU102" t="e">
            <v>#REF!</v>
          </cell>
          <cell r="AV102" t="e">
            <v>#REF!</v>
          </cell>
          <cell r="AW102" t="e">
            <v>#REF!</v>
          </cell>
          <cell r="AX102" t="e">
            <v>#REF!</v>
          </cell>
          <cell r="AY102" t="e">
            <v>#REF!</v>
          </cell>
          <cell r="AZ102" t="e">
            <v>#REF!</v>
          </cell>
          <cell r="BA102" t="e">
            <v>#REF!</v>
          </cell>
          <cell r="BB102" t="e">
            <v>#REF!</v>
          </cell>
          <cell r="BC102" t="e">
            <v>#REF!</v>
          </cell>
          <cell r="BD102" t="e">
            <v>#REF!</v>
          </cell>
          <cell r="BE102" t="e">
            <v>#REF!</v>
          </cell>
          <cell r="BF102" t="e">
            <v>#REF!</v>
          </cell>
          <cell r="BG102" t="e">
            <v>#REF!</v>
          </cell>
          <cell r="BH102" t="e">
            <v>#REF!</v>
          </cell>
          <cell r="BI102" t="e">
            <v>#REF!</v>
          </cell>
          <cell r="BJ102" t="e">
            <v>#REF!</v>
          </cell>
          <cell r="BK102" t="e">
            <v>#REF!</v>
          </cell>
          <cell r="BL102" t="e">
            <v>#REF!</v>
          </cell>
          <cell r="BM102" t="e">
            <v>#REF!</v>
          </cell>
          <cell r="BN102" t="e">
            <v>#REF!</v>
          </cell>
          <cell r="BO102" t="e">
            <v>#REF!</v>
          </cell>
          <cell r="BP102" t="e">
            <v>#REF!</v>
          </cell>
          <cell r="BQ102" t="e">
            <v>#REF!</v>
          </cell>
          <cell r="BR102" t="e">
            <v>#REF!</v>
          </cell>
          <cell r="BS102" t="e">
            <v>#REF!</v>
          </cell>
          <cell r="BT102" t="e">
            <v>#REF!</v>
          </cell>
          <cell r="BU102" t="e">
            <v>#REF!</v>
          </cell>
          <cell r="BV102" t="e">
            <v>#REF!</v>
          </cell>
          <cell r="BW102" t="e">
            <v>#REF!</v>
          </cell>
          <cell r="BX102" t="e">
            <v>#REF!</v>
          </cell>
          <cell r="BY102" t="e">
            <v>#REF!</v>
          </cell>
          <cell r="BZ102" t="e">
            <v>#REF!</v>
          </cell>
          <cell r="CA102" t="e">
            <v>#REF!</v>
          </cell>
          <cell r="CB102" t="e">
            <v>#REF!</v>
          </cell>
          <cell r="CC102" t="e">
            <v>#REF!</v>
          </cell>
          <cell r="CD102" t="e">
            <v>#REF!</v>
          </cell>
          <cell r="CE102" t="e">
            <v>#REF!</v>
          </cell>
          <cell r="CF102" t="e">
            <v>#REF!</v>
          </cell>
          <cell r="CG102" t="e">
            <v>#REF!</v>
          </cell>
          <cell r="CH102" t="e">
            <v>#REF!</v>
          </cell>
          <cell r="CI102" t="e">
            <v>#REF!</v>
          </cell>
          <cell r="CJ102" t="e">
            <v>#REF!</v>
          </cell>
          <cell r="CK102" t="e">
            <v>#REF!</v>
          </cell>
          <cell r="CL102" t="e">
            <v>#REF!</v>
          </cell>
          <cell r="CM102" t="e">
            <v>#REF!</v>
          </cell>
          <cell r="CN102" t="e">
            <v>#REF!</v>
          </cell>
          <cell r="CO102" t="e">
            <v>#REF!</v>
          </cell>
          <cell r="CP102" t="e">
            <v>#REF!</v>
          </cell>
          <cell r="CQ102" t="e">
            <v>#REF!</v>
          </cell>
          <cell r="CR102" t="e">
            <v>#REF!</v>
          </cell>
          <cell r="CS102" t="e">
            <v>#REF!</v>
          </cell>
          <cell r="CT102" t="e">
            <v>#REF!</v>
          </cell>
          <cell r="CU102" t="e">
            <v>#REF!</v>
          </cell>
          <cell r="CV102" t="e">
            <v>#REF!</v>
          </cell>
          <cell r="CW102" t="e">
            <v>#REF!</v>
          </cell>
        </row>
        <row r="103">
          <cell r="A103" t="str">
            <v>12MoSystemUKNHCg</v>
          </cell>
          <cell r="B103" t="str">
            <v>UK non-housing</v>
          </cell>
          <cell r="AD103" t="e">
            <v>#REF!</v>
          </cell>
          <cell r="AE103" t="e">
            <v>#REF!</v>
          </cell>
          <cell r="AF103" t="e">
            <v>#REF!</v>
          </cell>
          <cell r="AG103" t="e">
            <v>#REF!</v>
          </cell>
          <cell r="AH103" t="e">
            <v>#REF!</v>
          </cell>
          <cell r="AI103" t="e">
            <v>#REF!</v>
          </cell>
          <cell r="AJ103" t="e">
            <v>#REF!</v>
          </cell>
          <cell r="AK103" t="e">
            <v>#REF!</v>
          </cell>
          <cell r="AL103" t="e">
            <v>#REF!</v>
          </cell>
          <cell r="AM103" t="e">
            <v>#REF!</v>
          </cell>
          <cell r="AN103" t="e">
            <v>#REF!</v>
          </cell>
          <cell r="AO103" t="e">
            <v>#REF!</v>
          </cell>
          <cell r="AP103" t="e">
            <v>#REF!</v>
          </cell>
          <cell r="AQ103" t="e">
            <v>#REF!</v>
          </cell>
          <cell r="AR103" t="e">
            <v>#REF!</v>
          </cell>
          <cell r="AS103" t="e">
            <v>#REF!</v>
          </cell>
          <cell r="AT103" t="e">
            <v>#REF!</v>
          </cell>
          <cell r="AU103" t="e">
            <v>#REF!</v>
          </cell>
          <cell r="AV103" t="e">
            <v>#REF!</v>
          </cell>
          <cell r="AW103" t="e">
            <v>#REF!</v>
          </cell>
          <cell r="AX103" t="e">
            <v>#REF!</v>
          </cell>
          <cell r="AY103" t="e">
            <v>#REF!</v>
          </cell>
          <cell r="AZ103" t="e">
            <v>#REF!</v>
          </cell>
          <cell r="BA103" t="e">
            <v>#REF!</v>
          </cell>
          <cell r="BB103" t="e">
            <v>#REF!</v>
          </cell>
          <cell r="BC103" t="e">
            <v>#REF!</v>
          </cell>
          <cell r="BD103" t="e">
            <v>#REF!</v>
          </cell>
          <cell r="BE103" t="e">
            <v>#REF!</v>
          </cell>
          <cell r="BF103" t="e">
            <v>#REF!</v>
          </cell>
          <cell r="BG103" t="e">
            <v>#REF!</v>
          </cell>
          <cell r="BH103" t="e">
            <v>#REF!</v>
          </cell>
          <cell r="BI103" t="e">
            <v>#REF!</v>
          </cell>
          <cell r="BJ103" t="e">
            <v>#REF!</v>
          </cell>
          <cell r="BK103" t="e">
            <v>#REF!</v>
          </cell>
          <cell r="BL103" t="e">
            <v>#REF!</v>
          </cell>
          <cell r="BM103" t="e">
            <v>#REF!</v>
          </cell>
          <cell r="BN103" t="e">
            <v>#REF!</v>
          </cell>
          <cell r="BO103" t="e">
            <v>#REF!</v>
          </cell>
          <cell r="BP103" t="e">
            <v>#REF!</v>
          </cell>
          <cell r="BQ103" t="e">
            <v>#REF!</v>
          </cell>
          <cell r="BR103" t="e">
            <v>#REF!</v>
          </cell>
          <cell r="BS103" t="e">
            <v>#REF!</v>
          </cell>
          <cell r="BT103" t="e">
            <v>#REF!</v>
          </cell>
          <cell r="BU103" t="e">
            <v>#REF!</v>
          </cell>
          <cell r="BV103" t="e">
            <v>#REF!</v>
          </cell>
          <cell r="BW103" t="e">
            <v>#REF!</v>
          </cell>
          <cell r="BX103" t="e">
            <v>#REF!</v>
          </cell>
          <cell r="BY103" t="e">
            <v>#REF!</v>
          </cell>
          <cell r="BZ103" t="e">
            <v>#REF!</v>
          </cell>
          <cell r="CA103" t="e">
            <v>#REF!</v>
          </cell>
          <cell r="CB103" t="e">
            <v>#REF!</v>
          </cell>
          <cell r="CC103" t="e">
            <v>#REF!</v>
          </cell>
          <cell r="CD103" t="e">
            <v>#REF!</v>
          </cell>
          <cell r="CE103" t="e">
            <v>#REF!</v>
          </cell>
          <cell r="CF103" t="e">
            <v>#REF!</v>
          </cell>
          <cell r="CG103" t="e">
            <v>#REF!</v>
          </cell>
          <cell r="CH103" t="e">
            <v>#REF!</v>
          </cell>
          <cell r="CI103" t="e">
            <v>#REF!</v>
          </cell>
          <cell r="CJ103" t="e">
            <v>#REF!</v>
          </cell>
          <cell r="CK103" t="e">
            <v>#REF!</v>
          </cell>
          <cell r="CL103" t="e">
            <v>#REF!</v>
          </cell>
          <cell r="CM103" t="e">
            <v>#REF!</v>
          </cell>
          <cell r="CN103" t="e">
            <v>#REF!</v>
          </cell>
          <cell r="CO103" t="e">
            <v>#REF!</v>
          </cell>
          <cell r="CP103" t="e">
            <v>#REF!</v>
          </cell>
          <cell r="CQ103" t="e">
            <v>#REF!</v>
          </cell>
          <cell r="CR103" t="e">
            <v>#REF!</v>
          </cell>
          <cell r="CS103" t="e">
            <v>#REF!</v>
          </cell>
          <cell r="CT103" t="e">
            <v>#REF!</v>
          </cell>
          <cell r="CU103" t="e">
            <v>#REF!</v>
          </cell>
          <cell r="CV103" t="e">
            <v>#REF!</v>
          </cell>
          <cell r="CW103" t="e">
            <v>#REF!</v>
          </cell>
        </row>
        <row r="105">
          <cell r="B105" t="str">
            <v>Net interest margins (6mo)</v>
          </cell>
        </row>
        <row r="106">
          <cell r="A106" t="str">
            <v>ASS_NIMAUHousing</v>
          </cell>
          <cell r="B106" t="str">
            <v>Australian housing</v>
          </cell>
          <cell r="D106">
            <v>2.9873641666666624E-2</v>
          </cell>
          <cell r="E106">
            <v>3.05678083333333E-2</v>
          </cell>
          <cell r="F106">
            <v>3.2933641666666638E-2</v>
          </cell>
          <cell r="G106">
            <v>3.296197499999997E-2</v>
          </cell>
          <cell r="H106">
            <v>3.2579474999999969E-2</v>
          </cell>
          <cell r="I106">
            <v>3.3996141666666639E-2</v>
          </cell>
          <cell r="J106">
            <v>3.6222461111111062E-2</v>
          </cell>
          <cell r="K106">
            <v>3.7214058333333279E-2</v>
          </cell>
          <cell r="L106">
            <v>3.6586072222222168E-2</v>
          </cell>
          <cell r="M106">
            <v>3.6077252777777735E-2</v>
          </cell>
          <cell r="N106">
            <v>3.3820863888888858E-2</v>
          </cell>
          <cell r="O106">
            <v>2.8043572222222184E-2</v>
          </cell>
          <cell r="P106">
            <v>2.3878711111111051E-2</v>
          </cell>
          <cell r="Q106">
            <v>2.5078433333333278E-2</v>
          </cell>
          <cell r="R106">
            <v>2.7042877777777728E-2</v>
          </cell>
          <cell r="S106">
            <v>2.8020169444444371E-2</v>
          </cell>
          <cell r="T106">
            <v>2.7832530555555492E-2</v>
          </cell>
          <cell r="U106">
            <v>2.5865655555555523E-2</v>
          </cell>
          <cell r="V106">
            <v>2.3577183333333303E-2</v>
          </cell>
          <cell r="W106">
            <v>2.2234822222222183E-2</v>
          </cell>
          <cell r="X106">
            <v>1.9095516666666632E-2</v>
          </cell>
          <cell r="Y106">
            <v>1.6000655555555555E-2</v>
          </cell>
          <cell r="Z106">
            <v>1.6487947222222233E-2</v>
          </cell>
          <cell r="AA106">
            <v>1.5968224999999975E-2</v>
          </cell>
          <cell r="AB106">
            <v>1.4596766666666646E-2</v>
          </cell>
          <cell r="AC106">
            <v>1.4256627777777742E-2</v>
          </cell>
          <cell r="AD106">
            <v>1.3597391666666566E-2</v>
          </cell>
          <cell r="AE106">
            <v>1.4363224999999931E-2</v>
          </cell>
          <cell r="AF106">
            <v>1.473079444444449E-2</v>
          </cell>
          <cell r="AG106">
            <v>1.36834333333333E-2</v>
          </cell>
          <cell r="AH106">
            <v>1.3169752777777707E-2</v>
          </cell>
          <cell r="AI106">
            <v>1.1590169444444447E-2</v>
          </cell>
          <cell r="AJ106">
            <v>1.0612252777777765E-2</v>
          </cell>
          <cell r="AK106">
            <v>1.1646627777777679E-2</v>
          </cell>
          <cell r="AL106">
            <v>1.1979058333333275E-2</v>
          </cell>
          <cell r="AM106">
            <v>1.3072877777777776E-2</v>
          </cell>
          <cell r="AN106">
            <v>1.6153849999999956E-2</v>
          </cell>
          <cell r="AO106">
            <v>1.6435933333333326E-2</v>
          </cell>
          <cell r="AP106">
            <v>1.5428502777777704E-2</v>
          </cell>
          <cell r="AQ106">
            <v>1.5919752777777671E-2</v>
          </cell>
          <cell r="AR106">
            <v>1.4608225000000013E-2</v>
          </cell>
          <cell r="AS106">
            <v>1.2329127777777829E-2</v>
          </cell>
          <cell r="AT106">
            <v>1.2194058333333356E-2</v>
          </cell>
          <cell r="AU106">
            <v>1.339829444444442E-2</v>
          </cell>
          <cell r="AV106">
            <v>1.4038988888888788E-2</v>
          </cell>
          <cell r="AW106">
            <v>1.4326245833333247E-2</v>
          </cell>
          <cell r="AX106">
            <v>1.399159305555555E-2</v>
          </cell>
          <cell r="AY106">
            <v>1.2691176388888933E-2</v>
          </cell>
          <cell r="AZ106">
            <v>1.1687204166666708E-2</v>
          </cell>
          <cell r="BA106">
            <v>2.9787097222221982E-3</v>
          </cell>
          <cell r="BB106">
            <v>6.9794333333333056E-3</v>
          </cell>
          <cell r="BC106">
            <v>9.817905555555546E-3</v>
          </cell>
          <cell r="BD106">
            <v>8.8399819444444153E-3</v>
          </cell>
          <cell r="BE106">
            <v>8.4945652777777235E-3</v>
          </cell>
          <cell r="BF106">
            <v>9.0907319444444041E-3</v>
          </cell>
          <cell r="BG106">
            <v>8.8003430555555311E-3</v>
          </cell>
          <cell r="BH106">
            <v>8.6306555555555331E-3</v>
          </cell>
          <cell r="BI106">
            <v>8.1543013888888613E-3</v>
          </cell>
          <cell r="BJ106">
            <v>7.5932944444444227E-3</v>
          </cell>
          <cell r="BK106">
            <v>7.6080930555555218E-3</v>
          </cell>
          <cell r="BL106">
            <v>8.0042944444444104E-3</v>
          </cell>
          <cell r="BM106">
            <v>8.3322527777777416E-3</v>
          </cell>
          <cell r="BN106">
            <v>7.3717180555555161E-3</v>
          </cell>
          <cell r="BO106">
            <v>5.800669444444408E-3</v>
          </cell>
          <cell r="BP106">
            <v>5.07039166666662E-3</v>
          </cell>
          <cell r="BQ106">
            <v>6.5584333333332905E-3</v>
          </cell>
          <cell r="BR106">
            <v>1.043110694444443E-2</v>
          </cell>
          <cell r="BS106">
            <v>1.5186329166666658E-2</v>
          </cell>
          <cell r="BT106">
            <v>1.8490780555555524E-2</v>
          </cell>
          <cell r="BU106">
            <v>1.7912606944444413E-2</v>
          </cell>
          <cell r="BV106">
            <v>1.6079843055555511E-2</v>
          </cell>
          <cell r="BW106">
            <v>1.5119099999999958E-2</v>
          </cell>
          <cell r="BX106">
            <v>1.5407926388888854E-2</v>
          </cell>
          <cell r="BY106">
            <v>1.6638620833333319E-2</v>
          </cell>
          <cell r="BZ106">
            <v>1.7582634722222209E-2</v>
          </cell>
          <cell r="CA106">
            <v>1.8763197222222194E-2</v>
          </cell>
          <cell r="CB106">
            <v>2.0047843055555539E-2</v>
          </cell>
          <cell r="CC106">
            <v>2.0380273611111093E-2</v>
          </cell>
          <cell r="CD106">
            <v>2.0428197222222177E-2</v>
          </cell>
          <cell r="CE106">
            <v>2.0964238888888844E-2</v>
          </cell>
          <cell r="CF106">
            <v>2.1541308333333276E-2</v>
          </cell>
          <cell r="CG106">
            <v>2.3648926388888832E-2</v>
          </cell>
          <cell r="CH106">
            <v>2.4829683333333352E-2</v>
          </cell>
          <cell r="CI106">
            <v>2.4509891666666665E-2</v>
          </cell>
          <cell r="CJ106">
            <v>2.4725933333333248E-2</v>
          </cell>
          <cell r="CK106">
            <v>2.3896943749999969E-2</v>
          </cell>
          <cell r="CL106">
            <v>2.3864336111111082E-2</v>
          </cell>
          <cell r="CM106">
            <v>2.3450377777777733E-2</v>
          </cell>
          <cell r="CN106">
            <v>2.2945099999999958E-2</v>
          </cell>
          <cell r="CO106">
            <v>2.2563849999999955E-2</v>
          </cell>
          <cell r="CP106">
            <v>2.2476488888888837E-2</v>
          </cell>
          <cell r="CQ106">
            <v>2.2263086111111042E-2</v>
          </cell>
          <cell r="CR106">
            <v>2.275336388888885E-2</v>
          </cell>
          <cell r="CS106">
            <v>2.3435030555555517E-2</v>
          </cell>
          <cell r="CT106">
            <v>2.3239197222222171E-2</v>
          </cell>
          <cell r="CU106">
            <v>2.3350794444444423E-2</v>
          </cell>
          <cell r="CV106">
            <v>2.357780833333328E-2</v>
          </cell>
          <cell r="CW106">
            <v>2.3983711111111066E-2</v>
          </cell>
          <cell r="CX106">
            <v>2.4674405555555532E-2</v>
          </cell>
          <cell r="CY106">
            <v>2.491537777777773E-2</v>
          </cell>
          <cell r="CZ106">
            <v>2.4835863888888823E-2</v>
          </cell>
          <cell r="DA106">
            <v>2.5169683333333182E-2</v>
          </cell>
          <cell r="DB106">
            <v>2.5204822222222079E-2</v>
          </cell>
          <cell r="DC106">
            <v>2.4891072222222196E-2</v>
          </cell>
          <cell r="DD106">
            <v>2.4386349999999956E-2</v>
          </cell>
          <cell r="DE106">
            <v>2.3145447222222105E-2</v>
          </cell>
          <cell r="DF106">
            <v>2.2852599999999938E-2</v>
          </cell>
          <cell r="DG106">
            <v>2.3711488888888865E-2</v>
          </cell>
          <cell r="DH106">
            <v>2.4508349999999936E-2</v>
          </cell>
          <cell r="DI106">
            <v>2.677534444444445E-2</v>
          </cell>
          <cell r="DJ106">
            <v>2.8899999999999999E-2</v>
          </cell>
          <cell r="DK106">
            <v>2.8250269273151052E-2</v>
          </cell>
          <cell r="DL106">
            <v>2.8065393242717618E-2</v>
          </cell>
          <cell r="DM106">
            <v>2.9505419585783208E-2</v>
          </cell>
          <cell r="DN106">
            <v>3.0314753095374888E-2</v>
          </cell>
          <cell r="DO106">
            <v>2.9879089617949012E-2</v>
          </cell>
          <cell r="DP106">
            <v>2.926148050862834E-2</v>
          </cell>
          <cell r="DQ106">
            <v>2.8448043234391363E-2</v>
          </cell>
          <cell r="DR106">
            <v>2.7664337659002766E-2</v>
          </cell>
          <cell r="DS106">
            <v>2.6836724461759387E-2</v>
          </cell>
          <cell r="DT106">
            <v>2.605436888822828E-2</v>
          </cell>
          <cell r="DU106">
            <v>2.2974869087428487E-2</v>
          </cell>
          <cell r="DV106">
            <v>2.0068221160826214E-2</v>
          </cell>
          <cell r="DW106">
            <v>2.0719381799387596E-2</v>
          </cell>
          <cell r="DX106">
            <v>2.1328954863088116E-2</v>
          </cell>
          <cell r="DY106">
            <v>2.0952050218593823E-2</v>
          </cell>
          <cell r="DZ106">
            <v>2.0941275720756852E-2</v>
          </cell>
          <cell r="EA106">
            <v>2.0858823983164562E-2</v>
          </cell>
          <cell r="EB106">
            <v>2.0868098554208837E-2</v>
          </cell>
          <cell r="EC106">
            <v>2.0805326121862575E-2</v>
          </cell>
          <cell r="ED106">
            <v>2.0805326121862575E-2</v>
          </cell>
          <cell r="EE106">
            <v>2.0805326121862575E-2</v>
          </cell>
        </row>
        <row r="107">
          <cell r="A107" t="str">
            <v>ASS_NIMAUSME</v>
          </cell>
          <cell r="B107" t="str">
            <v>Australian SME</v>
          </cell>
          <cell r="D107" t="e">
            <v>#N/A</v>
          </cell>
          <cell r="E107" t="e">
            <v>#N/A</v>
          </cell>
          <cell r="F107" t="e">
            <v>#N/A</v>
          </cell>
          <cell r="G107" t="e">
            <v>#N/A</v>
          </cell>
          <cell r="H107" t="e">
            <v>#N/A</v>
          </cell>
          <cell r="I107" t="e">
            <v>#N/A</v>
          </cell>
          <cell r="J107" t="e">
            <v>#N/A</v>
          </cell>
          <cell r="K107">
            <v>1.2493572248074994E-2</v>
          </cell>
          <cell r="L107">
            <v>2.8154784951932903E-2</v>
          </cell>
          <cell r="M107">
            <v>2.7436075255752805E-2</v>
          </cell>
          <cell r="N107">
            <v>2.4953242247678871E-2</v>
          </cell>
          <cell r="O107">
            <v>1.8855555811574359E-2</v>
          </cell>
          <cell r="P107">
            <v>1.7883069443715746E-2</v>
          </cell>
          <cell r="Q107">
            <v>2.230756501304533E-2</v>
          </cell>
          <cell r="R107">
            <v>2.3176687153658851E-2</v>
          </cell>
          <cell r="S107">
            <v>2.2804066879256804E-2</v>
          </cell>
          <cell r="T107">
            <v>2.1979719480412524E-2</v>
          </cell>
          <cell r="U107">
            <v>2.1052610872657612E-2</v>
          </cell>
          <cell r="V107">
            <v>2.8417139575273337E-2</v>
          </cell>
          <cell r="W107">
            <v>3.6804373148386471E-2</v>
          </cell>
          <cell r="X107">
            <v>3.5606463972488595E-2</v>
          </cell>
          <cell r="Y107">
            <v>3.528072648721825E-2</v>
          </cell>
          <cell r="Z107">
            <v>3.5373163160989679E-2</v>
          </cell>
          <cell r="AA107">
            <v>3.3205536632767874E-2</v>
          </cell>
          <cell r="AB107">
            <v>3.2726332487140353E-2</v>
          </cell>
          <cell r="AC107">
            <v>3.2151400386331186E-2</v>
          </cell>
          <cell r="AD107">
            <v>3.1483297432153334E-2</v>
          </cell>
          <cell r="AE107">
            <v>3.1542806382124589E-2</v>
          </cell>
          <cell r="AF107">
            <v>3.1041885039925776E-2</v>
          </cell>
          <cell r="AG107">
            <v>3.0174814067284284E-2</v>
          </cell>
          <cell r="AH107">
            <v>2.867361648840222E-2</v>
          </cell>
          <cell r="AI107">
            <v>2.6702929290382926E-2</v>
          </cell>
          <cell r="AJ107">
            <v>2.5573899810224454E-2</v>
          </cell>
          <cell r="AK107">
            <v>2.5525672293044588E-2</v>
          </cell>
          <cell r="AL107">
            <v>2.4692790971263145E-2</v>
          </cell>
          <cell r="AM107">
            <v>2.483234891036884E-2</v>
          </cell>
          <cell r="AN107">
            <v>2.6952019230113478E-2</v>
          </cell>
          <cell r="AO107">
            <v>2.6515636183866487E-2</v>
          </cell>
          <cell r="AP107">
            <v>2.6197480827113595E-2</v>
          </cell>
          <cell r="AQ107">
            <v>2.6298422710389069E-2</v>
          </cell>
          <cell r="AR107">
            <v>2.3956810034853671E-2</v>
          </cell>
          <cell r="AS107">
            <v>2.2058940843833752E-2</v>
          </cell>
          <cell r="AT107">
            <v>2.1905802315802636E-2</v>
          </cell>
          <cell r="AU107">
            <v>2.254133001474401E-2</v>
          </cell>
          <cell r="AV107">
            <v>2.2440773840474493E-2</v>
          </cell>
          <cell r="AW107">
            <v>2.2587906391744017E-2</v>
          </cell>
          <cell r="AX107">
            <v>2.1877184802169825E-2</v>
          </cell>
          <cell r="AY107">
            <v>1.9929990342290704E-2</v>
          </cell>
          <cell r="AZ107">
            <v>1.9410123615064334E-2</v>
          </cell>
          <cell r="BA107">
            <v>1.9661709918541215E-2</v>
          </cell>
          <cell r="BB107">
            <v>1.9572953769419033E-2</v>
          </cell>
          <cell r="BC107">
            <v>1.9244571097848051E-2</v>
          </cell>
          <cell r="BD107">
            <v>1.7478928887580736E-2</v>
          </cell>
          <cell r="BE107">
            <v>1.6857532300595168E-2</v>
          </cell>
          <cell r="BF107">
            <v>1.7565141392041683E-2</v>
          </cell>
          <cell r="BG107">
            <v>1.7149227409423817E-2</v>
          </cell>
          <cell r="BH107">
            <v>1.687164535966923E-2</v>
          </cell>
          <cell r="BI107">
            <v>1.5897354058396207E-2</v>
          </cell>
          <cell r="BJ107">
            <v>1.4950871234944541E-2</v>
          </cell>
          <cell r="BK107">
            <v>1.4866969304818678E-2</v>
          </cell>
          <cell r="BL107">
            <v>1.4397025036505973E-2</v>
          </cell>
          <cell r="BM107">
            <v>1.4207438097186831E-2</v>
          </cell>
          <cell r="BN107">
            <v>1.3361674348231878E-2</v>
          </cell>
          <cell r="BO107">
            <v>1.2143238194871731E-2</v>
          </cell>
          <cell r="BP107">
            <v>1.1405160783031998E-2</v>
          </cell>
          <cell r="BQ107">
            <v>1.1687509333655033E-2</v>
          </cell>
          <cell r="BR107">
            <v>1.5099215944443412E-2</v>
          </cell>
          <cell r="BS107">
            <v>2.1997480030668592E-2</v>
          </cell>
          <cell r="BT107">
            <v>2.6671259436659489E-2</v>
          </cell>
          <cell r="BU107">
            <v>2.7080497684543237E-2</v>
          </cell>
          <cell r="BV107">
            <v>2.6726162840427059E-2</v>
          </cell>
          <cell r="BW107">
            <v>2.6171740771211427E-2</v>
          </cell>
          <cell r="BX107">
            <v>2.6313070915424119E-2</v>
          </cell>
          <cell r="BY107">
            <v>2.6545840605477822E-2</v>
          </cell>
          <cell r="BZ107">
            <v>2.6908276271163101E-2</v>
          </cell>
          <cell r="CA107">
            <v>2.8502241144599427E-2</v>
          </cell>
          <cell r="CB107">
            <v>3.0174631443157462E-2</v>
          </cell>
          <cell r="CC107">
            <v>3.0917115179291077E-2</v>
          </cell>
          <cell r="CD107">
            <v>3.1848487022388072E-2</v>
          </cell>
          <cell r="CE107">
            <v>3.23548112542974E-2</v>
          </cell>
          <cell r="CF107">
            <v>3.2633245474479433E-2</v>
          </cell>
          <cell r="CG107">
            <v>3.4073607247926296E-2</v>
          </cell>
          <cell r="CH107">
            <v>3.5312886781760033E-2</v>
          </cell>
          <cell r="CI107">
            <v>3.530143649481654E-2</v>
          </cell>
          <cell r="CJ107">
            <v>3.4819712298446825E-2</v>
          </cell>
          <cell r="CK107">
            <v>3.5320725378313433E-2</v>
          </cell>
          <cell r="CL107">
            <v>3.5718445803580634E-2</v>
          </cell>
          <cell r="CM107">
            <v>3.5629129458359943E-2</v>
          </cell>
          <cell r="CN107">
            <v>3.5222716312464986E-2</v>
          </cell>
          <cell r="CO107">
            <v>3.5403413111693149E-2</v>
          </cell>
          <cell r="CP107">
            <v>3.4965744055591941E-2</v>
          </cell>
          <cell r="CQ107">
            <v>3.4256548680391408E-2</v>
          </cell>
          <cell r="CR107">
            <v>3.476672874466824E-2</v>
          </cell>
          <cell r="CS107">
            <v>3.494003822147751E-2</v>
          </cell>
          <cell r="CT107">
            <v>3.3973478780346955E-2</v>
          </cell>
          <cell r="CU107">
            <v>3.2946400854567903E-2</v>
          </cell>
          <cell r="CV107">
            <v>3.2424799556296069E-2</v>
          </cell>
          <cell r="CW107">
            <v>3.3033057755038397E-2</v>
          </cell>
          <cell r="CX107">
            <v>3.3443217158303007E-2</v>
          </cell>
          <cell r="CY107">
            <v>3.3172997416979877E-2</v>
          </cell>
          <cell r="CZ107">
            <v>3.2738938233455986E-2</v>
          </cell>
          <cell r="DA107">
            <v>3.2888242512773447E-2</v>
          </cell>
          <cell r="DB107">
            <v>3.2837831902301939E-2</v>
          </cell>
          <cell r="DC107">
            <v>3.2556594473240219E-2</v>
          </cell>
          <cell r="DD107">
            <v>3.1513483474842729E-2</v>
          </cell>
          <cell r="DE107">
            <v>3.0373643242260773E-2</v>
          </cell>
          <cell r="DF107">
            <v>3.054692454897312E-2</v>
          </cell>
          <cell r="DG107">
            <v>3.0589779429510022E-2</v>
          </cell>
          <cell r="DH107">
            <v>3.1203907504882E-2</v>
          </cell>
          <cell r="DI107">
            <v>3.3323039406147892E-2</v>
          </cell>
          <cell r="DJ107">
            <v>3.4299999999999997E-2</v>
          </cell>
          <cell r="DK107">
            <v>3.3672120612451943E-2</v>
          </cell>
          <cell r="DL107">
            <v>3.3532435182180353E-2</v>
          </cell>
          <cell r="DM107">
            <v>3.4699984042093325E-2</v>
          </cell>
          <cell r="DN107">
            <v>3.4820726722394058E-2</v>
          </cell>
          <cell r="DO107">
            <v>3.4129720277799501E-2</v>
          </cell>
          <cell r="DP107">
            <v>3.3579290462787327E-2</v>
          </cell>
          <cell r="DQ107">
            <v>3.2712703587712798E-2</v>
          </cell>
          <cell r="DR107">
            <v>3.1926173758044803E-2</v>
          </cell>
          <cell r="DS107">
            <v>3.1015078852221999E-2</v>
          </cell>
          <cell r="DT107">
            <v>2.9990526851627366E-2</v>
          </cell>
          <cell r="DU107">
            <v>2.5428800563193955E-2</v>
          </cell>
          <cell r="DV107">
            <v>2.0490667115181705E-2</v>
          </cell>
          <cell r="DW107">
            <v>2.0634596626374107E-2</v>
          </cell>
          <cell r="DX107">
            <v>2.1599427785411147E-2</v>
          </cell>
          <cell r="DY107">
            <v>2.0650919426219706E-2</v>
          </cell>
          <cell r="DZ107">
            <v>2.0455563257273882E-2</v>
          </cell>
          <cell r="EA107">
            <v>2.0848663812578726E-2</v>
          </cell>
          <cell r="EB107">
            <v>2.1223941903063214E-2</v>
          </cell>
          <cell r="EC107">
            <v>2.1617185607577083E-2</v>
          </cell>
          <cell r="ED107">
            <v>2.1617185607577083E-2</v>
          </cell>
          <cell r="EE107">
            <v>2.1617185607577083E-2</v>
          </cell>
        </row>
        <row r="108">
          <cell r="A108" t="str">
            <v>ASS_NIMAUInsto</v>
          </cell>
          <cell r="B108" t="str">
            <v>Australian institutional</v>
          </cell>
          <cell r="D108" t="e">
            <v>#N/A</v>
          </cell>
          <cell r="E108" t="e">
            <v>#N/A</v>
          </cell>
          <cell r="F108" t="e">
            <v>#N/A</v>
          </cell>
          <cell r="G108" t="e">
            <v>#N/A</v>
          </cell>
          <cell r="H108" t="e">
            <v>#N/A</v>
          </cell>
          <cell r="I108" t="e">
            <v>#N/A</v>
          </cell>
          <cell r="J108" t="e">
            <v>#N/A</v>
          </cell>
          <cell r="K108">
            <v>6.1947525053628518E-3</v>
          </cell>
          <cell r="L108">
            <v>1.3366348018432912E-2</v>
          </cell>
          <cell r="M108">
            <v>1.1878857619488767E-2</v>
          </cell>
          <cell r="N108">
            <v>1.0285122970384995E-2</v>
          </cell>
          <cell r="O108">
            <v>5.9028977429936916E-3</v>
          </cell>
          <cell r="P108">
            <v>6.0636236950549725E-3</v>
          </cell>
          <cell r="Q108">
            <v>1.0149000554201662E-2</v>
          </cell>
          <cell r="R108">
            <v>1.0230528052764573E-2</v>
          </cell>
          <cell r="S108">
            <v>9.8668981137028586E-3</v>
          </cell>
          <cell r="T108">
            <v>9.3056366501240301E-3</v>
          </cell>
          <cell r="U108">
            <v>8.4141929877692839E-3</v>
          </cell>
          <cell r="V108">
            <v>1.1802670879211767E-2</v>
          </cell>
          <cell r="W108">
            <v>1.645856367850497E-2</v>
          </cell>
          <cell r="X108">
            <v>1.5645207191782723E-2</v>
          </cell>
          <cell r="Y108">
            <v>1.6141856341443106E-2</v>
          </cell>
          <cell r="Z108">
            <v>1.7422514738054382E-2</v>
          </cell>
          <cell r="AA108">
            <v>1.4817926843355519E-2</v>
          </cell>
          <cell r="AB108">
            <v>1.3443762068712686E-2</v>
          </cell>
          <cell r="AC108">
            <v>1.2796997498259577E-2</v>
          </cell>
          <cell r="AD108">
            <v>1.2711671723974083E-2</v>
          </cell>
          <cell r="AE108">
            <v>1.3409286617566296E-2</v>
          </cell>
          <cell r="AF108">
            <v>1.2570723636901704E-2</v>
          </cell>
          <cell r="AG108">
            <v>1.1641537577916972E-2</v>
          </cell>
          <cell r="AH108">
            <v>1.1163735296157579E-2</v>
          </cell>
          <cell r="AI108">
            <v>1.0130437798989617E-2</v>
          </cell>
          <cell r="AJ108">
            <v>8.7701042148945474E-3</v>
          </cell>
          <cell r="AK108">
            <v>8.630446115322904E-3</v>
          </cell>
          <cell r="AL108">
            <v>8.2316549052307564E-3</v>
          </cell>
          <cell r="AM108">
            <v>8.9830520076338571E-3</v>
          </cell>
          <cell r="AN108">
            <v>1.2244813596300447E-2</v>
          </cell>
          <cell r="AO108">
            <v>1.2785930428537179E-2</v>
          </cell>
          <cell r="AP108">
            <v>1.2891318543784225E-2</v>
          </cell>
          <cell r="AQ108">
            <v>1.3069962220898651E-2</v>
          </cell>
          <cell r="AR108">
            <v>1.0406769744372324E-2</v>
          </cell>
          <cell r="AS108">
            <v>8.1472331093421779E-3</v>
          </cell>
          <cell r="AT108">
            <v>8.5330757236089239E-3</v>
          </cell>
          <cell r="AU108">
            <v>9.5459754879739789E-3</v>
          </cell>
          <cell r="AV108">
            <v>9.5590420089419204E-3</v>
          </cell>
          <cell r="AW108">
            <v>1.0117477787032952E-2</v>
          </cell>
          <cell r="AX108">
            <v>9.9834116614997137E-3</v>
          </cell>
          <cell r="AY108">
            <v>7.990918332989122E-3</v>
          </cell>
          <cell r="AZ108">
            <v>6.7679449546556303E-3</v>
          </cell>
          <cell r="BA108">
            <v>6.9542673185478965E-3</v>
          </cell>
          <cell r="BB108">
            <v>6.8904179019461942E-3</v>
          </cell>
          <cell r="BC108">
            <v>6.3877366173136496E-3</v>
          </cell>
          <cell r="BD108">
            <v>5.0977988134979502E-3</v>
          </cell>
          <cell r="BE108">
            <v>5.0320088258416773E-3</v>
          </cell>
          <cell r="BF108">
            <v>5.9190109459399676E-3</v>
          </cell>
          <cell r="BG108">
            <v>5.721484703329921E-3</v>
          </cell>
          <cell r="BH108">
            <v>5.8370913427853999E-3</v>
          </cell>
          <cell r="BI108">
            <v>4.8352217142259846E-3</v>
          </cell>
          <cell r="BJ108">
            <v>4.079538466653404E-3</v>
          </cell>
          <cell r="BK108">
            <v>4.088018902026952E-3</v>
          </cell>
          <cell r="BL108">
            <v>3.4812327419857236E-3</v>
          </cell>
          <cell r="BM108">
            <v>3.6484902544386688E-3</v>
          </cell>
          <cell r="BN108">
            <v>3.2702832531529002E-3</v>
          </cell>
          <cell r="BO108">
            <v>2.4376684944776017E-3</v>
          </cell>
          <cell r="BP108">
            <v>1.035647210948204E-3</v>
          </cell>
          <cell r="BQ108">
            <v>7.8174943656597606E-4</v>
          </cell>
          <cell r="BR108">
            <v>4.5806903803943533E-3</v>
          </cell>
          <cell r="BS108">
            <v>1.1146655179982173E-2</v>
          </cell>
          <cell r="BT108">
            <v>1.5647569322055493E-2</v>
          </cell>
          <cell r="BU108">
            <v>1.6357971911311359E-2</v>
          </cell>
          <cell r="BV108">
            <v>1.6003753693033168E-2</v>
          </cell>
          <cell r="BW108">
            <v>1.5066703239595164E-2</v>
          </cell>
          <cell r="BX108">
            <v>1.3883636615989264E-2</v>
          </cell>
          <cell r="BY108">
            <v>1.32574403600422E-2</v>
          </cell>
          <cell r="BZ108">
            <v>1.340749215056572E-2</v>
          </cell>
          <cell r="CA108">
            <v>1.4322394226318397E-2</v>
          </cell>
          <cell r="CB108">
            <v>1.524140746501404E-2</v>
          </cell>
          <cell r="CC108">
            <v>1.5404766536497111E-2</v>
          </cell>
          <cell r="CD108">
            <v>1.5814605414257471E-2</v>
          </cell>
          <cell r="CE108">
            <v>1.6743964406536388E-2</v>
          </cell>
          <cell r="CF108">
            <v>1.7551547542313944E-2</v>
          </cell>
          <cell r="CG108">
            <v>1.8806992692877139E-2</v>
          </cell>
          <cell r="CH108">
            <v>1.9849287805589394E-2</v>
          </cell>
          <cell r="CI108">
            <v>2.0035148886554693E-2</v>
          </cell>
          <cell r="CJ108">
            <v>1.9597128383604806E-2</v>
          </cell>
          <cell r="CK108">
            <v>1.9314497220474486E-2</v>
          </cell>
          <cell r="CL108">
            <v>1.9501090736962962E-2</v>
          </cell>
          <cell r="CM108">
            <v>1.8964537568443324E-2</v>
          </cell>
          <cell r="CN108">
            <v>1.8201204849672387E-2</v>
          </cell>
          <cell r="CO108">
            <v>1.9196195951896505E-2</v>
          </cell>
          <cell r="CP108">
            <v>1.8595218424045906E-2</v>
          </cell>
          <cell r="CQ108">
            <v>1.7900611008851347E-2</v>
          </cell>
          <cell r="CR108">
            <v>1.8149705688012246E-2</v>
          </cell>
          <cell r="CS108">
            <v>1.8113541812741746E-2</v>
          </cell>
          <cell r="CT108">
            <v>1.7107429014213277E-2</v>
          </cell>
          <cell r="CU108">
            <v>1.6024126926331178E-2</v>
          </cell>
          <cell r="CV108">
            <v>1.5709162814582817E-2</v>
          </cell>
          <cell r="CW108">
            <v>1.6361201619021576E-2</v>
          </cell>
          <cell r="CX108">
            <v>1.6469369285923269E-2</v>
          </cell>
          <cell r="CY108">
            <v>1.5947586731394653E-2</v>
          </cell>
          <cell r="CZ108">
            <v>1.5522141841090159E-2</v>
          </cell>
          <cell r="DA108">
            <v>1.5582303735037134E-2</v>
          </cell>
          <cell r="DB108">
            <v>1.5374235079751802E-2</v>
          </cell>
          <cell r="DC108">
            <v>1.4990216924481131E-2</v>
          </cell>
          <cell r="DD108">
            <v>1.4107791718530743E-2</v>
          </cell>
          <cell r="DE108">
            <v>1.3769765216046587E-2</v>
          </cell>
          <cell r="DF108">
            <v>1.4739378947506127E-2</v>
          </cell>
          <cell r="DG108">
            <v>1.4926457217797978E-2</v>
          </cell>
          <cell r="DH108">
            <v>1.5627528183324829E-2</v>
          </cell>
          <cell r="DI108">
            <v>1.7472537335659372E-2</v>
          </cell>
          <cell r="DJ108">
            <v>1.7399999999999999E-2</v>
          </cell>
          <cell r="DK108">
            <v>1.6816333333333336E-2</v>
          </cell>
          <cell r="DL108">
            <v>1.6623833333333334E-2</v>
          </cell>
          <cell r="DM108">
            <v>1.7353166666666666E-2</v>
          </cell>
          <cell r="DN108">
            <v>1.6908666666666666E-2</v>
          </cell>
          <cell r="DO108">
            <v>1.6255333333333333E-2</v>
          </cell>
          <cell r="DP108">
            <v>1.6063666666666667E-2</v>
          </cell>
          <cell r="DQ108">
            <v>1.5614500000000003E-2</v>
          </cell>
          <cell r="DR108">
            <v>1.52525E-2</v>
          </cell>
          <cell r="DS108">
            <v>1.4737166666666668E-2</v>
          </cell>
          <cell r="DT108">
            <v>1.4163666666666666E-2</v>
          </cell>
          <cell r="DU108">
            <v>1.0803166666666668E-2</v>
          </cell>
          <cell r="DV108">
            <v>7.9461666666666656E-3</v>
          </cell>
          <cell r="DW108">
            <v>9.9333333333333339E-3</v>
          </cell>
          <cell r="DX108">
            <v>1.1899499999999999E-2</v>
          </cell>
          <cell r="DY108">
            <v>1.2264333333333334E-2</v>
          </cell>
          <cell r="DZ108">
            <v>1.3303500000000001E-2</v>
          </cell>
          <cell r="EA108">
            <v>1.3824333333333334E-2</v>
          </cell>
          <cell r="EB108">
            <v>1.4035861321966568E-2</v>
          </cell>
          <cell r="EC108">
            <v>1.4453485514408504E-2</v>
          </cell>
          <cell r="ED108">
            <v>1.4453485514408504E-2</v>
          </cell>
          <cell r="EE108">
            <v>1.4453485514408504E-2</v>
          </cell>
        </row>
        <row r="109">
          <cell r="A109" t="str">
            <v>ASS_NIMAUPersonal</v>
          </cell>
          <cell r="B109" t="str">
            <v>Australian personal</v>
          </cell>
          <cell r="D109">
            <v>4.9896505725063683E-2</v>
          </cell>
          <cell r="E109">
            <v>5.0645544055657243E-2</v>
          </cell>
          <cell r="F109">
            <v>5.2829740652467816E-2</v>
          </cell>
          <cell r="G109">
            <v>5.2775710009410171E-2</v>
          </cell>
          <cell r="H109">
            <v>5.1933956911767082E-2</v>
          </cell>
          <cell r="I109">
            <v>5.2135341106150326E-2</v>
          </cell>
          <cell r="J109">
            <v>4.9004872993377552E-2</v>
          </cell>
          <cell r="K109">
            <v>4.3460129738482081E-2</v>
          </cell>
          <cell r="L109">
            <v>3.8877674699627912E-2</v>
          </cell>
          <cell r="M109">
            <v>3.4880678997188122E-2</v>
          </cell>
          <cell r="N109">
            <v>2.9959431317875179E-2</v>
          </cell>
          <cell r="O109">
            <v>1.9685032287483153E-2</v>
          </cell>
          <cell r="P109">
            <v>1.1999083499939271E-2</v>
          </cell>
          <cell r="Q109">
            <v>1.3897307181857922E-2</v>
          </cell>
          <cell r="R109">
            <v>1.6912246382950517E-2</v>
          </cell>
          <cell r="S109">
            <v>1.822255841123728E-2</v>
          </cell>
          <cell r="T109">
            <v>1.7429540249032531E-2</v>
          </cell>
          <cell r="U109">
            <v>1.4666523617908947E-2</v>
          </cell>
          <cell r="V109">
            <v>1.6368207651450188E-2</v>
          </cell>
          <cell r="W109">
            <v>2.1533232655971624E-2</v>
          </cell>
          <cell r="X109">
            <v>2.2237899204357703E-2</v>
          </cell>
          <cell r="Y109">
            <v>2.2883692151280347E-2</v>
          </cell>
          <cell r="Z109">
            <v>2.5444435381126354E-2</v>
          </cell>
          <cell r="AA109">
            <v>2.4085305949524585E-2</v>
          </cell>
          <cell r="AB109">
            <v>2.2181544602496509E-2</v>
          </cell>
          <cell r="AC109">
            <v>2.040628589746251E-2</v>
          </cell>
          <cell r="AD109">
            <v>1.7607193618867235E-2</v>
          </cell>
          <cell r="AE109">
            <v>1.8172045162823405E-2</v>
          </cell>
          <cell r="AF109">
            <v>1.8646231300562935E-2</v>
          </cell>
          <cell r="AG109">
            <v>1.6471887032980963E-2</v>
          </cell>
          <cell r="AH109">
            <v>1.5543819438844121E-2</v>
          </cell>
          <cell r="AI109">
            <v>1.3766328261544551E-2</v>
          </cell>
          <cell r="AJ109">
            <v>1.1665048506369693E-2</v>
          </cell>
          <cell r="AK109">
            <v>1.149211959175063E-2</v>
          </cell>
          <cell r="AL109">
            <v>1.0551065727938472E-2</v>
          </cell>
          <cell r="AM109">
            <v>1.1058168955816974E-2</v>
          </cell>
          <cell r="AN109">
            <v>1.573894388316343E-2</v>
          </cell>
          <cell r="AO109">
            <v>1.8635766098308963E-2</v>
          </cell>
          <cell r="AP109">
            <v>1.8730193848851322E-2</v>
          </cell>
          <cell r="AQ109">
            <v>2.095898584894347E-2</v>
          </cell>
          <cell r="AR109">
            <v>2.1581375229213023E-2</v>
          </cell>
          <cell r="AS109">
            <v>1.9173711396496998E-2</v>
          </cell>
          <cell r="AT109">
            <v>1.8717203925846228E-2</v>
          </cell>
          <cell r="AU109">
            <v>2.0128833264515748E-2</v>
          </cell>
          <cell r="AV109">
            <v>2.1694437593833563E-2</v>
          </cell>
          <cell r="AW109">
            <v>2.247326063061994E-2</v>
          </cell>
          <cell r="AX109">
            <v>2.1055072497303456E-2</v>
          </cell>
          <cell r="AY109">
            <v>1.7603788034111403E-2</v>
          </cell>
          <cell r="AZ109">
            <v>1.4999862262611366E-2</v>
          </cell>
          <cell r="BA109">
            <v>1.5193249894360321E-2</v>
          </cell>
          <cell r="BB109">
            <v>1.5766950521205317E-2</v>
          </cell>
          <cell r="BC109">
            <v>1.5666062258918416E-2</v>
          </cell>
          <cell r="BD109">
            <v>1.4347605755451902E-2</v>
          </cell>
          <cell r="BE109">
            <v>1.4007067780205176E-2</v>
          </cell>
          <cell r="BF109">
            <v>1.4931058796965616E-2</v>
          </cell>
          <cell r="BG109">
            <v>1.4801320878503013E-2</v>
          </cell>
          <cell r="BH109">
            <v>1.4859737964153887E-2</v>
          </cell>
          <cell r="BI109">
            <v>1.3926433757629177E-2</v>
          </cell>
          <cell r="BJ109">
            <v>1.2057686892376289E-2</v>
          </cell>
          <cell r="BK109">
            <v>1.1254514139820294E-2</v>
          </cell>
          <cell r="BL109">
            <v>1.0756606695925555E-2</v>
          </cell>
          <cell r="BM109">
            <v>9.7096577564007164E-3</v>
          </cell>
          <cell r="BN109">
            <v>8.6252253791488515E-3</v>
          </cell>
          <cell r="BO109">
            <v>8.0553150180827232E-3</v>
          </cell>
          <cell r="BP109">
            <v>7.9901286428591192E-3</v>
          </cell>
          <cell r="BQ109">
            <v>1.0201520200173654E-2</v>
          </cell>
          <cell r="BR109">
            <v>1.5817441263599179E-2</v>
          </cell>
          <cell r="BS109">
            <v>3.017232629464317E-2</v>
          </cell>
          <cell r="BT109">
            <v>4.6217900993245145E-2</v>
          </cell>
          <cell r="BU109">
            <v>5.0699940408169525E-2</v>
          </cell>
          <cell r="BV109">
            <v>4.9068265320456383E-2</v>
          </cell>
          <cell r="BW109">
            <v>4.6205490430322627E-2</v>
          </cell>
          <cell r="BX109">
            <v>4.4920333623463371E-2</v>
          </cell>
          <cell r="BY109">
            <v>4.5607568128101406E-2</v>
          </cell>
          <cell r="BZ109">
            <v>4.5912143564777935E-2</v>
          </cell>
          <cell r="CA109">
            <v>4.5919721677392111E-2</v>
          </cell>
          <cell r="CB109">
            <v>4.5818906078204741E-2</v>
          </cell>
          <cell r="CC109">
            <v>4.5852977655322924E-2</v>
          </cell>
          <cell r="CD109">
            <v>4.5951908405942099E-2</v>
          </cell>
          <cell r="CE109">
            <v>4.7479169678848201E-2</v>
          </cell>
          <cell r="CF109">
            <v>4.9110116765833503E-2</v>
          </cell>
          <cell r="CG109">
            <v>5.2863213445058982E-2</v>
          </cell>
          <cell r="CH109">
            <v>5.602576058690692E-2</v>
          </cell>
          <cell r="CI109">
            <v>5.719106706515209E-2</v>
          </cell>
          <cell r="CJ109">
            <v>5.949526133650658E-2</v>
          </cell>
          <cell r="CK109">
            <v>6.0971445207642042E-2</v>
          </cell>
          <cell r="CL109">
            <v>6.2473165828630009E-2</v>
          </cell>
          <cell r="CM109">
            <v>6.3403021973661502E-2</v>
          </cell>
          <cell r="CN109">
            <v>6.2953191456779869E-2</v>
          </cell>
          <cell r="CO109">
            <v>6.2475750323156554E-2</v>
          </cell>
          <cell r="CP109">
            <v>6.2076962662938634E-2</v>
          </cell>
          <cell r="CQ109">
            <v>6.0691182513120445E-2</v>
          </cell>
          <cell r="CR109">
            <v>6.1086688750458557E-2</v>
          </cell>
          <cell r="CS109">
            <v>6.3061193138813046E-2</v>
          </cell>
          <cell r="CT109">
            <v>6.3456004858359144E-2</v>
          </cell>
          <cell r="CU109">
            <v>6.2745247817979966E-2</v>
          </cell>
          <cell r="CV109">
            <v>6.1618824051398541E-2</v>
          </cell>
          <cell r="CW109">
            <v>6.2559540615919979E-2</v>
          </cell>
          <cell r="CX109">
            <v>6.472948790063851E-2</v>
          </cell>
          <cell r="CY109">
            <v>6.5622224154752523E-2</v>
          </cell>
          <cell r="CZ109">
            <v>6.6715858764929387E-2</v>
          </cell>
          <cell r="DA109">
            <v>6.6534907280107497E-2</v>
          </cell>
          <cell r="DB109">
            <v>6.4933720663044106E-2</v>
          </cell>
          <cell r="DC109">
            <v>6.3516017403794756E-2</v>
          </cell>
          <cell r="DD109">
            <v>6.2643651647930135E-2</v>
          </cell>
          <cell r="DE109">
            <v>6.0883479145981717E-2</v>
          </cell>
          <cell r="DF109">
            <v>6.0102091070292296E-2</v>
          </cell>
          <cell r="DG109">
            <v>5.991977299858231E-2</v>
          </cell>
          <cell r="DH109">
            <v>6.0771909715954614E-2</v>
          </cell>
          <cell r="DI109">
            <v>6.3927599172305755E-2</v>
          </cell>
          <cell r="DJ109">
            <v>6.7964945839474641E-2</v>
          </cell>
          <cell r="DK109">
            <v>6.5064945839474642E-2</v>
          </cell>
          <cell r="DL109">
            <v>6.4651928814098245E-2</v>
          </cell>
          <cell r="DM109">
            <v>6.7192655931039E-2</v>
          </cell>
          <cell r="DN109">
            <v>6.7364974378858841E-2</v>
          </cell>
          <cell r="DO109">
            <v>6.543315368452092E-2</v>
          </cell>
          <cell r="DP109">
            <v>6.4945367625723019E-2</v>
          </cell>
          <cell r="DQ109">
            <v>6.4049455243246622E-2</v>
          </cell>
          <cell r="DR109">
            <v>6.3182258410767342E-2</v>
          </cell>
          <cell r="DS109">
            <v>6.1699692125150675E-2</v>
          </cell>
          <cell r="DT109">
            <v>6.0273743392607299E-2</v>
          </cell>
          <cell r="DU109">
            <v>5.5344288326760784E-2</v>
          </cell>
          <cell r="DV109">
            <v>4.7778298419845988E-2</v>
          </cell>
          <cell r="DW109">
            <v>4.3797034590042229E-2</v>
          </cell>
          <cell r="DX109">
            <v>4.2396244113031729E-2</v>
          </cell>
          <cell r="DY109">
            <v>4.090926467368753E-2</v>
          </cell>
          <cell r="DZ109">
            <v>3.9998182793032432E-2</v>
          </cell>
          <cell r="EA109">
            <v>3.9797449907440212E-2</v>
          </cell>
          <cell r="EB109">
            <v>3.9969301790231088E-2</v>
          </cell>
          <cell r="EC109">
            <v>4.0862480625620173E-2</v>
          </cell>
          <cell r="ED109">
            <v>4.0862480625620173E-2</v>
          </cell>
          <cell r="EE109">
            <v>4.0862480625620173E-2</v>
          </cell>
        </row>
      </sheetData>
      <sheetData sheetId="1"/>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des"/>
    </sheetNames>
    <definedNames>
      <definedName name="IRESSRtd"/>
    </definedNames>
    <sheetDataSet>
      <sheetData sheetId="0"/>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Z"/>
      <sheetName val="CBA"/>
      <sheetName val="NAB"/>
      <sheetName val="WBC"/>
      <sheetName val="BEN"/>
      <sheetName val="BOQ"/>
      <sheetName val="JDO"/>
      <sheetName val="MQG - Divisional ROE Reco"/>
      <sheetName val="MQG - Consolidation Analysis"/>
      <sheetName val="MQG - Sum-of-the-Parts "/>
      <sheetName val="CBA 3Q"/>
    </sheetNames>
    <sheetDataSet>
      <sheetData sheetId="0" refreshError="1"/>
      <sheetData sheetId="1">
        <row r="9">
          <cell r="C9">
            <v>1.9182264344134139E-2</v>
          </cell>
          <cell r="D9">
            <v>1.8747634313552995E-2</v>
          </cell>
          <cell r="E9">
            <v>2.0985181549496353E-2</v>
          </cell>
          <cell r="F9">
            <v>2.0511215875562538E-2</v>
          </cell>
          <cell r="G9">
            <v>1.9886195039560049E-2</v>
          </cell>
          <cell r="H9">
            <v>2.000370581509928E-2</v>
          </cell>
          <cell r="I9">
            <v>2.0841868500441934E-2</v>
          </cell>
          <cell r="J9">
            <v>2.0804136328042792E-2</v>
          </cell>
          <cell r="K9">
            <v>2.043535258068711E-2</v>
          </cell>
          <cell r="L9">
            <v>2.0359979598231919E-2</v>
          </cell>
          <cell r="M9">
            <v>2.0456794373185858E-2</v>
          </cell>
          <cell r="N9">
            <v>2.0317345597955949E-2</v>
          </cell>
          <cell r="O9">
            <v>2.0226099071897582E-2</v>
          </cell>
          <cell r="P9">
            <v>2.0199727217929356E-2</v>
          </cell>
          <cell r="Q9">
            <v>2.016415892062659E-2</v>
          </cell>
          <cell r="R9">
            <v>2.0116271785994056E-2</v>
          </cell>
          <cell r="S9">
            <v>1.9938239805234344E-2</v>
          </cell>
          <cell r="T9">
            <v>1.9877553368743538E-2</v>
          </cell>
          <cell r="V9">
            <v>1.8959833155804982E-2</v>
          </cell>
          <cell r="W9">
            <v>2.0745995625128785E-2</v>
          </cell>
          <cell r="X9">
            <v>1.994446762541207E-2</v>
          </cell>
          <cell r="Y9">
            <v>2.0820197749844758E-2</v>
          </cell>
          <cell r="Z9">
            <v>2.039396460737081E-2</v>
          </cell>
          <cell r="AA9">
            <v>2.0384690890932745E-2</v>
          </cell>
          <cell r="AB9">
            <v>2.0211602625635289E-2</v>
          </cell>
          <cell r="AC9">
            <v>2.0138499304353807E-2</v>
          </cell>
          <cell r="AD9">
            <v>1.9906463494078049E-2</v>
          </cell>
        </row>
        <row r="10">
          <cell r="K10">
            <v>12695</v>
          </cell>
          <cell r="L10">
            <v>12937.741654554829</v>
          </cell>
          <cell r="M10">
            <v>13522.721796650812</v>
          </cell>
          <cell r="N10">
            <v>13544.442313266796</v>
          </cell>
          <cell r="O10">
            <v>13989.691392669571</v>
          </cell>
          <cell r="P10">
            <v>14132.153196692007</v>
          </cell>
          <cell r="Q10">
            <v>14627.181348904869</v>
          </cell>
          <cell r="R10">
            <v>14647.304457087286</v>
          </cell>
          <cell r="S10">
            <v>15061.656555931113</v>
          </cell>
          <cell r="T10">
            <v>15029.478608772919</v>
          </cell>
        </row>
        <row r="16">
          <cell r="L16">
            <v>-3.3759131138208232E-4</v>
          </cell>
          <cell r="M16">
            <v>-3.3931513454936858E-4</v>
          </cell>
          <cell r="N16">
            <v>-2.3978534389129083E-4</v>
          </cell>
          <cell r="O16">
            <v>-1.7699867996818063E-4</v>
          </cell>
          <cell r="P16">
            <v>-1.1381701932268698E-4</v>
          </cell>
          <cell r="Q16">
            <v>-1.1453237444128655E-4</v>
          </cell>
          <cell r="R16">
            <v>-1.1552166482961529E-4</v>
          </cell>
          <cell r="S16">
            <v>-1.1604249020986537E-4</v>
          </cell>
          <cell r="T16">
            <v>-1.1691568926539586E-4</v>
          </cell>
        </row>
        <row r="129">
          <cell r="L129">
            <v>1509.7871197218788</v>
          </cell>
          <cell r="M129">
            <v>1537.2842382298006</v>
          </cell>
          <cell r="N129">
            <v>1504.5745188718547</v>
          </cell>
          <cell r="O129">
            <v>1548.4616206991943</v>
          </cell>
          <cell r="P129">
            <v>1552.6544834053402</v>
          </cell>
          <cell r="Q129">
            <v>1595.1503749052977</v>
          </cell>
          <cell r="R129">
            <v>1588.391107129002</v>
          </cell>
          <cell r="S129">
            <v>1632.7017637474007</v>
          </cell>
          <cell r="T129">
            <v>1621.5612510237052</v>
          </cell>
        </row>
        <row r="130">
          <cell r="L130">
            <v>614.79999999999995</v>
          </cell>
          <cell r="M130">
            <v>572.85</v>
          </cell>
          <cell r="N130">
            <v>648.0200000000001</v>
          </cell>
          <cell r="O130">
            <v>561.39300000000003</v>
          </cell>
          <cell r="P130">
            <v>627.74250000000006</v>
          </cell>
          <cell r="Q130">
            <v>567.00693000000001</v>
          </cell>
          <cell r="R130">
            <v>595.16488500000025</v>
          </cell>
          <cell r="S130">
            <v>572.67699930000003</v>
          </cell>
          <cell r="T130">
            <v>597.92486985000028</v>
          </cell>
        </row>
        <row r="131">
          <cell r="L131">
            <v>69.680000000000007</v>
          </cell>
          <cell r="M131">
            <v>72.467200000000005</v>
          </cell>
          <cell r="N131">
            <v>75.365888000000012</v>
          </cell>
          <cell r="O131">
            <v>78.380523520000011</v>
          </cell>
          <cell r="P131">
            <v>81.515744460800008</v>
          </cell>
          <cell r="Q131">
            <v>84.776374239232013</v>
          </cell>
          <cell r="R131">
            <v>88.167429208801295</v>
          </cell>
          <cell r="S131">
            <v>91.694126377153353</v>
          </cell>
          <cell r="T131">
            <v>95.361891432239489</v>
          </cell>
        </row>
        <row r="132">
          <cell r="L132">
            <v>45.9</v>
          </cell>
          <cell r="M132">
            <v>46.817999999999998</v>
          </cell>
          <cell r="N132">
            <v>47.754359999999998</v>
          </cell>
          <cell r="O132">
            <v>48.7094472</v>
          </cell>
          <cell r="P132">
            <v>49.683636143999998</v>
          </cell>
          <cell r="Q132">
            <v>50.677308866879997</v>
          </cell>
          <cell r="R132">
            <v>51.690855044217599</v>
          </cell>
          <cell r="S132">
            <v>52.724672145101955</v>
          </cell>
          <cell r="T132">
            <v>53.779165588003998</v>
          </cell>
        </row>
        <row r="136">
          <cell r="K136">
            <v>2326</v>
          </cell>
          <cell r="L136">
            <v>2240.1671197218784</v>
          </cell>
          <cell r="M136">
            <v>2229.419438229801</v>
          </cell>
          <cell r="N136">
            <v>2275.7147668718544</v>
          </cell>
          <cell r="O136">
            <v>2236.9445914191942</v>
          </cell>
          <cell r="P136">
            <v>2311.5963640101404</v>
          </cell>
          <cell r="Q136">
            <v>2297.61098801141</v>
          </cell>
          <cell r="R136">
            <v>2323.4142763820214</v>
          </cell>
          <cell r="S136">
            <v>2349.797561569656</v>
          </cell>
          <cell r="T136">
            <v>2368.6271778939495</v>
          </cell>
        </row>
        <row r="178">
          <cell r="C178">
            <v>3358</v>
          </cell>
          <cell r="D178">
            <v>3174</v>
          </cell>
          <cell r="E178">
            <v>3517</v>
          </cell>
          <cell r="F178">
            <v>3640</v>
          </cell>
          <cell r="G178">
            <v>3719</v>
          </cell>
          <cell r="H178">
            <v>3729</v>
          </cell>
          <cell r="I178">
            <v>3970</v>
          </cell>
          <cell r="J178">
            <v>4000</v>
          </cell>
          <cell r="K178">
            <v>4139</v>
          </cell>
          <cell r="L178">
            <v>4111.8900000000003</v>
          </cell>
          <cell r="M178">
            <v>4361.7201321364701</v>
          </cell>
          <cell r="N178">
            <v>4343.1997001244999</v>
          </cell>
          <cell r="O178">
            <v>4560.2066290226157</v>
          </cell>
          <cell r="P178">
            <v>4502.1711240070617</v>
          </cell>
          <cell r="Q178">
            <v>4730.9559110735199</v>
          </cell>
          <cell r="R178">
            <v>4673.2992924071505</v>
          </cell>
          <cell r="S178">
            <v>4912.0262562490352</v>
          </cell>
          <cell r="T178">
            <v>4851.0614933323759</v>
          </cell>
          <cell r="V178">
            <v>6532</v>
          </cell>
          <cell r="W178">
            <v>7157</v>
          </cell>
          <cell r="X178">
            <v>7448</v>
          </cell>
          <cell r="Y178">
            <v>7970</v>
          </cell>
          <cell r="Z178">
            <v>8250.89</v>
          </cell>
          <cell r="AA178">
            <v>8704.91983226097</v>
          </cell>
          <cell r="AB178">
            <v>9062.3777530296775</v>
          </cell>
          <cell r="AC178">
            <v>9404.2552034806704</v>
          </cell>
          <cell r="AD178">
            <v>9763.0877495814111</v>
          </cell>
        </row>
        <row r="179">
          <cell r="C179">
            <v>960</v>
          </cell>
          <cell r="D179">
            <v>1007</v>
          </cell>
          <cell r="E179">
            <v>1020</v>
          </cell>
          <cell r="F179">
            <v>1010</v>
          </cell>
          <cell r="G179">
            <v>1106</v>
          </cell>
          <cell r="H179">
            <v>1119</v>
          </cell>
          <cell r="I179">
            <v>1187</v>
          </cell>
          <cell r="J179">
            <v>1202</v>
          </cell>
          <cell r="K179">
            <v>1321</v>
          </cell>
          <cell r="L179">
            <v>1393.141071215633</v>
          </cell>
          <cell r="M179">
            <v>1442.4260502193413</v>
          </cell>
          <cell r="N179">
            <v>1504.0323512312557</v>
          </cell>
          <cell r="O179">
            <v>1540.7510115192306</v>
          </cell>
          <cell r="P179">
            <v>1562.4976307015504</v>
          </cell>
          <cell r="Q179">
            <v>1570.7536916995987</v>
          </cell>
          <cell r="R179">
            <v>1594.1524991383546</v>
          </cell>
          <cell r="S179">
            <v>1603.7788001060123</v>
          </cell>
          <cell r="T179">
            <v>1626.1171828341267</v>
          </cell>
          <cell r="V179">
            <v>1967</v>
          </cell>
          <cell r="W179">
            <v>2030</v>
          </cell>
          <cell r="X179">
            <v>2225</v>
          </cell>
          <cell r="Y179">
            <v>2389</v>
          </cell>
          <cell r="Z179">
            <v>2714.141071215633</v>
          </cell>
          <cell r="AA179">
            <v>2946.4584014505972</v>
          </cell>
          <cell r="AB179">
            <v>3103.2486422207812</v>
          </cell>
          <cell r="AC179">
            <v>3164.9061908379535</v>
          </cell>
          <cell r="AD179">
            <v>3229.8959829401392</v>
          </cell>
        </row>
        <row r="180">
          <cell r="C180">
            <v>486</v>
          </cell>
          <cell r="D180">
            <v>489</v>
          </cell>
          <cell r="E180">
            <v>477</v>
          </cell>
          <cell r="F180">
            <v>471</v>
          </cell>
          <cell r="G180">
            <v>501</v>
          </cell>
          <cell r="H180">
            <v>494</v>
          </cell>
          <cell r="I180">
            <v>460</v>
          </cell>
          <cell r="J180">
            <v>497</v>
          </cell>
          <cell r="K180">
            <v>465</v>
          </cell>
          <cell r="L180">
            <v>463.25</v>
          </cell>
          <cell r="M180">
            <v>464.94874999999996</v>
          </cell>
          <cell r="N180">
            <v>462.14806666666669</v>
          </cell>
          <cell r="O180">
            <v>462.53979411111118</v>
          </cell>
          <cell r="P180">
            <v>458.16519205222227</v>
          </cell>
          <cell r="Q180">
            <v>457.7468439727445</v>
          </cell>
          <cell r="R180">
            <v>453.42431241247198</v>
          </cell>
          <cell r="S180">
            <v>452.99577457873511</v>
          </cell>
          <cell r="T180">
            <v>447.9890895195872</v>
          </cell>
          <cell r="V180">
            <v>975</v>
          </cell>
          <cell r="W180">
            <v>948</v>
          </cell>
          <cell r="X180">
            <v>995</v>
          </cell>
          <cell r="Y180">
            <v>957</v>
          </cell>
          <cell r="Z180">
            <v>928.25</v>
          </cell>
          <cell r="AA180">
            <v>927.09681666666665</v>
          </cell>
          <cell r="AB180">
            <v>920.70498616333339</v>
          </cell>
          <cell r="AC180">
            <v>911.17115638521648</v>
          </cell>
          <cell r="AD180">
            <v>900.9848640983223</v>
          </cell>
        </row>
        <row r="181">
          <cell r="C181">
            <v>784</v>
          </cell>
          <cell r="D181">
            <v>932</v>
          </cell>
          <cell r="E181">
            <v>759</v>
          </cell>
          <cell r="F181">
            <v>752</v>
          </cell>
          <cell r="G181">
            <v>685</v>
          </cell>
          <cell r="H181">
            <v>776</v>
          </cell>
          <cell r="I181">
            <v>755</v>
          </cell>
          <cell r="J181">
            <v>795</v>
          </cell>
          <cell r="K181">
            <v>795</v>
          </cell>
          <cell r="L181">
            <v>808.25</v>
          </cell>
          <cell r="M181">
            <v>820.37374999999997</v>
          </cell>
          <cell r="N181">
            <v>831.31206666666674</v>
          </cell>
          <cell r="O181">
            <v>841.01070744444451</v>
          </cell>
          <cell r="P181">
            <v>849.42081451888896</v>
          </cell>
          <cell r="Q181">
            <v>857.91502266407781</v>
          </cell>
          <cell r="R181">
            <v>866.49417289071857</v>
          </cell>
          <cell r="S181">
            <v>875.15911461962571</v>
          </cell>
          <cell r="T181">
            <v>883.91070576582194</v>
          </cell>
          <cell r="V181">
            <v>1716</v>
          </cell>
          <cell r="W181">
            <v>1511</v>
          </cell>
          <cell r="X181">
            <v>1461</v>
          </cell>
          <cell r="Y181">
            <v>1550</v>
          </cell>
          <cell r="Z181">
            <v>1603.25</v>
          </cell>
          <cell r="AA181">
            <v>1651.6858166666666</v>
          </cell>
          <cell r="AB181">
            <v>1690.4315219633336</v>
          </cell>
          <cell r="AC181">
            <v>1724.4091955547965</v>
          </cell>
          <cell r="AD181">
            <v>1759.0698203854477</v>
          </cell>
        </row>
        <row r="184">
          <cell r="L184">
            <v>0</v>
          </cell>
          <cell r="M184">
            <v>0</v>
          </cell>
          <cell r="N184">
            <v>0</v>
          </cell>
          <cell r="O184">
            <v>0</v>
          </cell>
          <cell r="P184">
            <v>0</v>
          </cell>
          <cell r="Q184">
            <v>0</v>
          </cell>
          <cell r="R184">
            <v>0</v>
          </cell>
          <cell r="S184">
            <v>0</v>
          </cell>
          <cell r="T184">
            <v>0</v>
          </cell>
        </row>
        <row r="186">
          <cell r="K186">
            <v>6890</v>
          </cell>
          <cell r="L186">
            <v>6776.5310712156333</v>
          </cell>
          <cell r="M186">
            <v>7089.4686823558104</v>
          </cell>
          <cell r="N186">
            <v>7140.6921846890891</v>
          </cell>
          <cell r="O186">
            <v>7404.5081420974029</v>
          </cell>
          <cell r="P186">
            <v>7372.2547612797234</v>
          </cell>
          <cell r="Q186">
            <v>7617.3714694099408</v>
          </cell>
          <cell r="R186">
            <v>7587.3702768486964</v>
          </cell>
          <cell r="S186">
            <v>7843.9599455534089</v>
          </cell>
          <cell r="T186">
            <v>7809.0784714519114</v>
          </cell>
        </row>
        <row r="210">
          <cell r="L210">
            <v>0.01</v>
          </cell>
          <cell r="M210">
            <v>0.02</v>
          </cell>
          <cell r="N210">
            <v>0.01</v>
          </cell>
          <cell r="O210">
            <v>0.02</v>
          </cell>
          <cell r="P210">
            <v>0</v>
          </cell>
          <cell r="Q210">
            <v>0.02</v>
          </cell>
          <cell r="R210">
            <v>0</v>
          </cell>
          <cell r="S210">
            <v>0.02</v>
          </cell>
          <cell r="T210">
            <v>0</v>
          </cell>
        </row>
        <row r="236">
          <cell r="L236">
            <v>576.91240496523449</v>
          </cell>
          <cell r="M236">
            <v>565.08145824175449</v>
          </cell>
          <cell r="N236">
            <v>552.54650868734905</v>
          </cell>
          <cell r="O236">
            <v>539.2841285674707</v>
          </cell>
          <cell r="P236">
            <v>550.06981113882</v>
          </cell>
          <cell r="Q236">
            <v>561.07120736159652</v>
          </cell>
          <cell r="R236">
            <v>572.29263150882832</v>
          </cell>
          <cell r="S236">
            <v>583.73848413900487</v>
          </cell>
          <cell r="T236">
            <v>595.41325382178502</v>
          </cell>
        </row>
        <row r="237">
          <cell r="L237">
            <v>-389.99616417337933</v>
          </cell>
          <cell r="M237">
            <v>-415.66398703624247</v>
          </cell>
          <cell r="N237">
            <v>-436.18238162449461</v>
          </cell>
          <cell r="O237">
            <v>-452.16180528713443</v>
          </cell>
          <cell r="P237">
            <v>-464.12566862981197</v>
          </cell>
          <cell r="Q237">
            <v>-475.92774113392585</v>
          </cell>
          <cell r="R237">
            <v>-487.61986269491786</v>
          </cell>
          <cell r="S237">
            <v>-499.24734686652494</v>
          </cell>
          <cell r="T237">
            <v>-510.8498889238889</v>
          </cell>
        </row>
        <row r="250">
          <cell r="L250">
            <v>231.34731410748557</v>
          </cell>
          <cell r="M250">
            <v>247.00624549856045</v>
          </cell>
          <cell r="N250">
            <v>262.95522078604603</v>
          </cell>
          <cell r="O250">
            <v>286.00532593514401</v>
          </cell>
          <cell r="P250">
            <v>309.49013766514531</v>
          </cell>
          <cell r="Q250">
            <v>249.97207266427648</v>
          </cell>
          <cell r="R250">
            <v>196.36695041515947</v>
          </cell>
          <cell r="S250">
            <v>169.99767421655233</v>
          </cell>
          <cell r="T250">
            <v>171.69765095871784</v>
          </cell>
        </row>
        <row r="253">
          <cell r="K253">
            <v>319</v>
          </cell>
          <cell r="L253">
            <v>398.98216418378195</v>
          </cell>
          <cell r="M253">
            <v>436.05551444817377</v>
          </cell>
          <cell r="N253">
            <v>469.66538917092953</v>
          </cell>
          <cell r="O253">
            <v>546.73993403828672</v>
          </cell>
          <cell r="P253">
            <v>557.29643846965223</v>
          </cell>
          <cell r="Q253">
            <v>514.52491278756179</v>
          </cell>
          <cell r="R253">
            <v>428.51542511175859</v>
          </cell>
          <cell r="S253">
            <v>378.40203092634636</v>
          </cell>
          <cell r="T253">
            <v>369.5447010210296</v>
          </cell>
        </row>
        <row r="264">
          <cell r="L264">
            <v>10023.714965071513</v>
          </cell>
          <cell r="M264">
            <v>11110.709972349458</v>
          </cell>
          <cell r="N264">
            <v>12265.06887991538</v>
          </cell>
          <cell r="O264">
            <v>13150.715322895192</v>
          </cell>
          <cell r="P264">
            <v>14061.998358537692</v>
          </cell>
          <cell r="Q264">
            <v>13780.426704124036</v>
          </cell>
          <cell r="R264">
            <v>13445.477290617797</v>
          </cell>
          <cell r="S264">
            <v>13091.644122158468</v>
          </cell>
          <cell r="T264">
            <v>12677.637830499547</v>
          </cell>
        </row>
        <row r="282">
          <cell r="L282">
            <v>1.3200263320639441E-2</v>
          </cell>
          <cell r="M282">
            <v>1.3039659502045954E-2</v>
          </cell>
          <cell r="N282">
            <v>1.2892450888513797E-2</v>
          </cell>
          <cell r="O282">
            <v>1.2843949884433237E-2</v>
          </cell>
          <cell r="P282">
            <v>1.2798205718521151E-2</v>
          </cell>
          <cell r="Q282">
            <v>1.2741711960002523E-2</v>
          </cell>
          <cell r="R282">
            <v>1.2690483723536448E-2</v>
          </cell>
          <cell r="S282">
            <v>1.2639783086015526E-2</v>
          </cell>
          <cell r="T282">
            <v>1.259460145396557E-2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BD594CB-61FE-4A62-AF85-B3E167FCCBF3}">
  <we:reference id="49825c50-e8d8-4c4a-9a2c-e6f24181e018" version="1.0.0.0" store="EXCatalog" storeType="EXCatalog"/>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ustomProperty" Target="../customProperty5.bin"/><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john.y.li@gs.com" TargetMode="External"/><Relationship Id="rId1" Type="http://schemas.openxmlformats.org/officeDocument/2006/relationships/hyperlink" Target="mailto:andrew.lyons@gs.com" TargetMode="External"/><Relationship Id="rId5" Type="http://schemas.openxmlformats.org/officeDocument/2006/relationships/drawing" Target="../drawings/drawing1.xml"/><Relationship Id="rId4" Type="http://schemas.openxmlformats.org/officeDocument/2006/relationships/customProperty" Target="../customProperty6.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6.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customProperty" Target="../customProperty15.bin"/></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ustomProperty" Target="../customProperty17.bin"/><Relationship Id="rId7" Type="http://schemas.openxmlformats.org/officeDocument/2006/relationships/vmlDrawing" Target="../drawings/vmlDrawing2.vml"/><Relationship Id="rId2" Type="http://schemas.openxmlformats.org/officeDocument/2006/relationships/customProperty" Target="../customProperty16.bin"/><Relationship Id="rId1" Type="http://schemas.openxmlformats.org/officeDocument/2006/relationships/printerSettings" Target="../printerSettings/printerSettings7.bin"/><Relationship Id="rId6" Type="http://schemas.openxmlformats.org/officeDocument/2006/relationships/drawing" Target="../drawings/drawing2.xml"/><Relationship Id="rId5" Type="http://schemas.openxmlformats.org/officeDocument/2006/relationships/customProperty" Target="../customProperty19.bin"/><Relationship Id="rId4" Type="http://schemas.openxmlformats.org/officeDocument/2006/relationships/customProperty" Target="../customProperty18.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vmlDrawing" Target="../drawings/vmlDrawing3.vml"/><Relationship Id="rId4" Type="http://schemas.openxmlformats.org/officeDocument/2006/relationships/customProperty" Target="../customProperty22.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9.bin"/><Relationship Id="rId4" Type="http://schemas.openxmlformats.org/officeDocument/2006/relationships/customProperty" Target="../customProperty25.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3.bin"/><Relationship Id="rId5" Type="http://schemas.openxmlformats.org/officeDocument/2006/relationships/comments" Target="../comments4.xm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P477"/>
  <sheetViews>
    <sheetView workbookViewId="0"/>
  </sheetViews>
  <sheetFormatPr defaultRowHeight="12.75"/>
  <sheetData>
    <row r="1" spans="1:16">
      <c r="A1">
        <v>1372598</v>
      </c>
      <c r="F1">
        <v>2006</v>
      </c>
      <c r="G1">
        <v>2007</v>
      </c>
      <c r="H1">
        <v>2008</v>
      </c>
      <c r="I1">
        <v>2009</v>
      </c>
      <c r="J1">
        <v>2010</v>
      </c>
      <c r="K1">
        <v>2011</v>
      </c>
      <c r="L1">
        <v>2012</v>
      </c>
      <c r="M1">
        <v>2013</v>
      </c>
      <c r="N1">
        <v>2014</v>
      </c>
      <c r="O1">
        <v>2015</v>
      </c>
      <c r="P1">
        <v>2016</v>
      </c>
    </row>
    <row r="2" spans="1:16" ht="15">
      <c r="A2" s="221" t="s">
        <v>2101</v>
      </c>
    </row>
    <row r="4" spans="1:16">
      <c r="B4" t="s">
        <v>1146</v>
      </c>
      <c r="D4" t="s">
        <v>1140</v>
      </c>
    </row>
    <row r="5" spans="1:16">
      <c r="B5" t="s">
        <v>1148</v>
      </c>
      <c r="D5" t="s">
        <v>1140</v>
      </c>
    </row>
    <row r="6" spans="1:16">
      <c r="B6" t="s">
        <v>1150</v>
      </c>
      <c r="D6" t="s">
        <v>1140</v>
      </c>
    </row>
    <row r="7" spans="1:16">
      <c r="B7" t="s">
        <v>1152</v>
      </c>
      <c r="D7" t="s">
        <v>1140</v>
      </c>
      <c r="E7">
        <v>63.169059801661</v>
      </c>
    </row>
    <row r="8" spans="1:16">
      <c r="B8" t="s">
        <v>1154</v>
      </c>
      <c r="D8" t="s">
        <v>1140</v>
      </c>
      <c r="E8" t="s">
        <v>1155</v>
      </c>
    </row>
    <row r="9" spans="1:16">
      <c r="B9" t="s">
        <v>1157</v>
      </c>
      <c r="D9" t="s">
        <v>1140</v>
      </c>
      <c r="E9">
        <v>1596.77712718513</v>
      </c>
    </row>
    <row r="10" spans="1:16">
      <c r="B10" t="s">
        <v>1159</v>
      </c>
      <c r="D10" t="s">
        <v>1140</v>
      </c>
      <c r="E10">
        <v>1</v>
      </c>
    </row>
    <row r="11" spans="1:16">
      <c r="B11" t="s">
        <v>1161</v>
      </c>
      <c r="D11" t="s">
        <v>1140</v>
      </c>
    </row>
    <row r="12" spans="1:16">
      <c r="B12" t="s">
        <v>1163</v>
      </c>
      <c r="D12" t="s">
        <v>1140</v>
      </c>
    </row>
    <row r="13" spans="1:16">
      <c r="B13" t="s">
        <v>1165</v>
      </c>
      <c r="D13" t="s">
        <v>1140</v>
      </c>
    </row>
    <row r="14" spans="1:16">
      <c r="B14" t="s">
        <v>1167</v>
      </c>
      <c r="D14" t="s">
        <v>1140</v>
      </c>
    </row>
    <row r="15" spans="1:16">
      <c r="B15" t="s">
        <v>1169</v>
      </c>
      <c r="D15" t="s">
        <v>1140</v>
      </c>
    </row>
    <row r="16" spans="1:16">
      <c r="B16" t="s">
        <v>1171</v>
      </c>
      <c r="D16" t="s">
        <v>1140</v>
      </c>
    </row>
    <row r="17" spans="2:16">
      <c r="B17" t="s">
        <v>1173</v>
      </c>
      <c r="D17" t="s">
        <v>1140</v>
      </c>
    </row>
    <row r="18" spans="2:16">
      <c r="B18" t="s">
        <v>1175</v>
      </c>
      <c r="D18" t="s">
        <v>1140</v>
      </c>
    </row>
    <row r="19" spans="2:16">
      <c r="B19" t="s">
        <v>1177</v>
      </c>
      <c r="D19" t="s">
        <v>1140</v>
      </c>
    </row>
    <row r="20" spans="2:16">
      <c r="B20" t="s">
        <v>1179</v>
      </c>
      <c r="D20" t="s">
        <v>1140</v>
      </c>
    </row>
    <row r="21" spans="2:16">
      <c r="B21" t="s">
        <v>1181</v>
      </c>
      <c r="D21" t="s">
        <v>1140</v>
      </c>
    </row>
    <row r="22" spans="2:16">
      <c r="B22" t="s">
        <v>1183</v>
      </c>
      <c r="D22" t="s">
        <v>1140</v>
      </c>
    </row>
    <row r="23" spans="2:16">
      <c r="B23" t="s">
        <v>1185</v>
      </c>
      <c r="D23" t="s">
        <v>1140</v>
      </c>
    </row>
    <row r="24" spans="2:16">
      <c r="B24" t="s">
        <v>1188</v>
      </c>
      <c r="D24" t="s">
        <v>1140</v>
      </c>
      <c r="F24">
        <v>16.240486612714001</v>
      </c>
      <c r="G24">
        <v>17.678989616732999</v>
      </c>
      <c r="H24">
        <v>18.61053115348</v>
      </c>
      <c r="I24">
        <v>19.741229191879</v>
      </c>
      <c r="J24">
        <v>22.023101251768999</v>
      </c>
      <c r="K24">
        <v>22.981614315897001</v>
      </c>
      <c r="L24">
        <v>25.187249696917</v>
      </c>
      <c r="M24">
        <v>26.778800404293001</v>
      </c>
      <c r="N24">
        <v>28.267235101741999</v>
      </c>
      <c r="O24">
        <v>29.613308091760999</v>
      </c>
      <c r="P24">
        <v>31.144281487672998</v>
      </c>
    </row>
    <row r="25" spans="2:16">
      <c r="B25" t="s">
        <v>1190</v>
      </c>
      <c r="D25" t="s">
        <v>1140</v>
      </c>
      <c r="F25">
        <v>2.2400000000000002</v>
      </c>
      <c r="G25">
        <v>2.56</v>
      </c>
      <c r="H25">
        <v>2.66</v>
      </c>
      <c r="I25">
        <v>2.2799999999999998</v>
      </c>
      <c r="J25">
        <v>2.9</v>
      </c>
      <c r="K25">
        <v>3.2</v>
      </c>
      <c r="L25">
        <v>3.34</v>
      </c>
      <c r="M25">
        <v>3.56</v>
      </c>
      <c r="N25">
        <v>3.73</v>
      </c>
      <c r="O25">
        <v>3.94</v>
      </c>
      <c r="P25">
        <v>4.1500000000000004</v>
      </c>
    </row>
    <row r="26" spans="2:16">
      <c r="B26" t="s">
        <v>1192</v>
      </c>
      <c r="D26" t="s">
        <v>1140</v>
      </c>
    </row>
    <row r="27" spans="2:16">
      <c r="B27" t="s">
        <v>1194</v>
      </c>
      <c r="D27" t="s">
        <v>1140</v>
      </c>
      <c r="F27">
        <v>3.103886397608</v>
      </c>
      <c r="G27">
        <v>3.421169504071</v>
      </c>
      <c r="H27">
        <v>3.4314685314690001</v>
      </c>
      <c r="I27">
        <v>2.8267515923570001</v>
      </c>
      <c r="J27">
        <v>3.7980535279810002</v>
      </c>
      <c r="K27">
        <v>4.2058647516459997</v>
      </c>
      <c r="L27">
        <v>4.3351222420989997</v>
      </c>
      <c r="M27">
        <v>4.5962538986860002</v>
      </c>
      <c r="N27">
        <v>4.8053821746520002</v>
      </c>
      <c r="O27">
        <v>5.0965971948369999</v>
      </c>
      <c r="P27">
        <v>5.3602106834730003</v>
      </c>
    </row>
    <row r="28" spans="2:16">
      <c r="B28" t="s">
        <v>1196</v>
      </c>
      <c r="D28" t="s">
        <v>1140</v>
      </c>
      <c r="F28">
        <v>0</v>
      </c>
      <c r="G28">
        <v>0</v>
      </c>
      <c r="H28">
        <v>0</v>
      </c>
      <c r="I28">
        <v>0</v>
      </c>
      <c r="J28">
        <v>0</v>
      </c>
      <c r="K28">
        <v>0</v>
      </c>
      <c r="L28">
        <v>0</v>
      </c>
      <c r="M28">
        <v>0</v>
      </c>
      <c r="N28">
        <v>0</v>
      </c>
      <c r="O28">
        <v>0</v>
      </c>
      <c r="P28">
        <v>0</v>
      </c>
    </row>
    <row r="29" spans="2:16">
      <c r="B29" t="s">
        <v>1198</v>
      </c>
      <c r="D29" t="s">
        <v>1140</v>
      </c>
    </row>
    <row r="30" spans="2:16">
      <c r="B30" t="s">
        <v>1200</v>
      </c>
      <c r="D30" t="s">
        <v>1140</v>
      </c>
      <c r="F30">
        <v>4053</v>
      </c>
      <c r="G30">
        <v>4472</v>
      </c>
      <c r="H30">
        <v>4685</v>
      </c>
      <c r="I30">
        <v>4251</v>
      </c>
      <c r="J30">
        <v>6054</v>
      </c>
      <c r="K30">
        <v>6793</v>
      </c>
      <c r="L30">
        <v>7071</v>
      </c>
      <c r="M30">
        <v>7593.8861661871897</v>
      </c>
      <c r="N30">
        <v>7969.4563691670792</v>
      </c>
      <c r="O30">
        <v>8463.9344699481408</v>
      </c>
      <c r="P30">
        <v>8911.5456443926196</v>
      </c>
    </row>
    <row r="31" spans="2:16">
      <c r="B31" t="s">
        <v>1202</v>
      </c>
      <c r="D31" t="s">
        <v>1140</v>
      </c>
      <c r="F31">
        <v>6087</v>
      </c>
      <c r="G31">
        <v>6770</v>
      </c>
      <c r="H31">
        <v>7320</v>
      </c>
      <c r="I31">
        <v>9244</v>
      </c>
      <c r="J31">
        <v>10458</v>
      </c>
      <c r="K31">
        <v>10768</v>
      </c>
      <c r="L31">
        <v>10954</v>
      </c>
      <c r="M31">
        <v>11762.4202033703</v>
      </c>
      <c r="N31">
        <v>12307.005377756899</v>
      </c>
      <c r="O31">
        <v>13073.1410649794</v>
      </c>
      <c r="P31">
        <v>13772.0996135685</v>
      </c>
    </row>
    <row r="32" spans="2:16">
      <c r="B32" t="s">
        <v>1204</v>
      </c>
      <c r="D32" t="s">
        <v>1140</v>
      </c>
      <c r="F32">
        <v>5689</v>
      </c>
      <c r="G32">
        <v>6336</v>
      </c>
      <c r="H32">
        <v>6390</v>
      </c>
      <c r="I32">
        <v>5852</v>
      </c>
      <c r="J32">
        <v>8383</v>
      </c>
      <c r="K32">
        <v>9488</v>
      </c>
      <c r="L32">
        <v>9865</v>
      </c>
      <c r="M32">
        <v>10598.363938793698</v>
      </c>
      <c r="N32">
        <v>11118.689288645401</v>
      </c>
      <c r="O32">
        <v>11803.752929854199</v>
      </c>
      <c r="P32">
        <v>12423.885834681199</v>
      </c>
    </row>
    <row r="33" spans="2:16">
      <c r="B33" t="s">
        <v>1206</v>
      </c>
      <c r="D33" t="s">
        <v>1140</v>
      </c>
      <c r="F33">
        <v>12081</v>
      </c>
      <c r="G33">
        <v>13197</v>
      </c>
      <c r="H33">
        <v>14341</v>
      </c>
      <c r="I33">
        <v>17466</v>
      </c>
      <c r="J33">
        <v>19059</v>
      </c>
      <c r="K33">
        <v>19659</v>
      </c>
      <c r="L33">
        <v>20150</v>
      </c>
      <c r="M33">
        <v>21239.821730535899</v>
      </c>
      <c r="N33">
        <v>22096.108486585701</v>
      </c>
      <c r="O33">
        <v>23265.588411412897</v>
      </c>
      <c r="P33">
        <v>24338.572360987695</v>
      </c>
    </row>
    <row r="34" spans="2:16">
      <c r="B34" t="s">
        <v>1208</v>
      </c>
      <c r="D34" t="s">
        <v>1140</v>
      </c>
      <c r="F34">
        <v>21343</v>
      </c>
      <c r="G34">
        <v>24444</v>
      </c>
      <c r="H34">
        <v>26137</v>
      </c>
      <c r="I34">
        <v>31442</v>
      </c>
      <c r="J34">
        <v>35570</v>
      </c>
      <c r="K34">
        <v>37287</v>
      </c>
      <c r="L34">
        <v>41572</v>
      </c>
      <c r="M34">
        <v>44562.932555550891</v>
      </c>
      <c r="N34">
        <v>46958.093153765301</v>
      </c>
      <c r="O34">
        <v>49124.168019891491</v>
      </c>
      <c r="P34">
        <v>51587.781076673891</v>
      </c>
    </row>
    <row r="35" spans="2:16">
      <c r="B35" t="s">
        <v>1210</v>
      </c>
      <c r="D35" t="s">
        <v>1140</v>
      </c>
    </row>
    <row r="36" spans="2:16">
      <c r="B36" t="s">
        <v>1213</v>
      </c>
      <c r="D36" t="s">
        <v>1140</v>
      </c>
      <c r="E36">
        <v>0</v>
      </c>
    </row>
    <row r="37" spans="2:16">
      <c r="B37" t="s">
        <v>1214</v>
      </c>
      <c r="D37" t="s">
        <v>1140</v>
      </c>
      <c r="E37">
        <v>62.303910170747002</v>
      </c>
    </row>
    <row r="38" spans="2:16">
      <c r="B38" t="s">
        <v>1216</v>
      </c>
      <c r="D38" t="s">
        <v>1140</v>
      </c>
      <c r="E38">
        <v>0.122</v>
      </c>
    </row>
    <row r="39" spans="2:16">
      <c r="B39" t="s">
        <v>1218</v>
      </c>
      <c r="D39" t="s">
        <v>1140</v>
      </c>
    </row>
    <row r="40" spans="2:16">
      <c r="B40" t="s">
        <v>1220</v>
      </c>
      <c r="D40" t="s">
        <v>1140</v>
      </c>
      <c r="E40">
        <v>2.5000000000000001E-2</v>
      </c>
    </row>
    <row r="41" spans="2:16">
      <c r="B41" t="s">
        <v>1222</v>
      </c>
      <c r="D41" t="s">
        <v>1140</v>
      </c>
      <c r="J41">
        <v>0</v>
      </c>
      <c r="K41">
        <v>0</v>
      </c>
      <c r="L41">
        <v>0</v>
      </c>
      <c r="M41">
        <v>0.98559735734599996</v>
      </c>
      <c r="N41">
        <v>0.87842901724300004</v>
      </c>
      <c r="O41">
        <v>0.782913562605</v>
      </c>
      <c r="P41">
        <v>0.69825066664299995</v>
      </c>
    </row>
    <row r="42" spans="2:16">
      <c r="B42" t="s">
        <v>1224</v>
      </c>
      <c r="D42" t="s">
        <v>1140</v>
      </c>
      <c r="J42">
        <v>3014</v>
      </c>
      <c r="K42">
        <v>4458</v>
      </c>
      <c r="L42">
        <v>3938</v>
      </c>
      <c r="M42">
        <v>1685.4272454119</v>
      </c>
      <c r="N42">
        <v>5145.3261668013502</v>
      </c>
      <c r="O42">
        <v>4837.8220995958</v>
      </c>
      <c r="P42">
        <v>4528.1547277608997</v>
      </c>
    </row>
    <row r="43" spans="2:16">
      <c r="B43" t="s">
        <v>1226</v>
      </c>
      <c r="D43" t="s">
        <v>1140</v>
      </c>
      <c r="E43">
        <v>16102.614243787501</v>
      </c>
    </row>
    <row r="44" spans="2:16">
      <c r="B44" t="s">
        <v>1228</v>
      </c>
      <c r="D44" t="s">
        <v>1140</v>
      </c>
      <c r="E44">
        <v>64219.027779418997</v>
      </c>
    </row>
    <row r="45" spans="2:16">
      <c r="B45" t="s">
        <v>1230</v>
      </c>
      <c r="D45" t="s">
        <v>1140</v>
      </c>
    </row>
    <row r="46" spans="2:16">
      <c r="B46" t="s">
        <v>1232</v>
      </c>
      <c r="D46" t="s">
        <v>1140</v>
      </c>
    </row>
    <row r="47" spans="2:16">
      <c r="B47" t="s">
        <v>1234</v>
      </c>
      <c r="D47" t="s">
        <v>1140</v>
      </c>
      <c r="E47">
        <v>80321.642023206499</v>
      </c>
    </row>
    <row r="48" spans="2:16">
      <c r="B48" t="s">
        <v>1236</v>
      </c>
      <c r="D48" t="s">
        <v>1140</v>
      </c>
      <c r="E48">
        <v>12.389295245745</v>
      </c>
    </row>
    <row r="49" spans="2:16">
      <c r="B49" t="s">
        <v>1238</v>
      </c>
      <c r="D49" t="s">
        <v>1140</v>
      </c>
      <c r="E49">
        <v>62.303910170747002</v>
      </c>
    </row>
    <row r="50" spans="2:16">
      <c r="B50" t="s">
        <v>1240</v>
      </c>
      <c r="D50" t="s">
        <v>1140</v>
      </c>
    </row>
    <row r="51" spans="2:16">
      <c r="B51" t="s">
        <v>1242</v>
      </c>
      <c r="D51" t="s">
        <v>1140</v>
      </c>
      <c r="E51">
        <v>49.914614925001999</v>
      </c>
    </row>
    <row r="52" spans="2:16">
      <c r="B52" t="s">
        <v>1244</v>
      </c>
      <c r="D52" t="s">
        <v>1140</v>
      </c>
    </row>
    <row r="53" spans="2:16">
      <c r="B53" t="s">
        <v>1246</v>
      </c>
      <c r="D53" t="s">
        <v>1140</v>
      </c>
      <c r="F53">
        <v>3928</v>
      </c>
      <c r="G53">
        <v>4470</v>
      </c>
      <c r="H53">
        <v>4791</v>
      </c>
      <c r="I53">
        <v>4723</v>
      </c>
      <c r="J53">
        <v>5664</v>
      </c>
      <c r="K53">
        <v>6394</v>
      </c>
      <c r="L53">
        <v>7090</v>
      </c>
      <c r="M53">
        <v>7514.8861661871897</v>
      </c>
      <c r="N53">
        <v>8009.4563691670792</v>
      </c>
      <c r="O53">
        <v>8503.9344699481499</v>
      </c>
      <c r="P53">
        <v>8951.5456443926196</v>
      </c>
    </row>
    <row r="54" spans="2:16">
      <c r="B54" t="s">
        <v>1248</v>
      </c>
      <c r="D54" t="s">
        <v>1140</v>
      </c>
      <c r="F54">
        <v>10.332020640822</v>
      </c>
      <c r="G54">
        <v>11.883128975192999</v>
      </c>
      <c r="H54">
        <v>12.649581041314001</v>
      </c>
      <c r="I54">
        <v>14.097303746367</v>
      </c>
      <c r="J54">
        <v>16.554130112959999</v>
      </c>
      <c r="K54">
        <v>17.652600119698</v>
      </c>
      <c r="L54">
        <v>19.797698311718001</v>
      </c>
      <c r="M54">
        <v>21.474859552811999</v>
      </c>
      <c r="N54">
        <v>22.963294250261001</v>
      </c>
      <c r="O54">
        <v>24.30936724028</v>
      </c>
      <c r="P54">
        <v>25.840340636192</v>
      </c>
    </row>
    <row r="55" spans="2:16">
      <c r="B55" t="s">
        <v>1250</v>
      </c>
      <c r="D55" t="s">
        <v>1140</v>
      </c>
      <c r="F55">
        <v>1</v>
      </c>
      <c r="G55">
        <v>1</v>
      </c>
      <c r="H55">
        <v>1</v>
      </c>
      <c r="I55">
        <v>1</v>
      </c>
      <c r="J55">
        <v>1</v>
      </c>
      <c r="K55">
        <v>1</v>
      </c>
      <c r="L55">
        <v>1</v>
      </c>
      <c r="M55">
        <v>1</v>
      </c>
      <c r="N55">
        <v>1</v>
      </c>
      <c r="O55">
        <v>1</v>
      </c>
      <c r="P55">
        <v>1</v>
      </c>
    </row>
    <row r="56" spans="2:16">
      <c r="B56" t="s">
        <v>1252</v>
      </c>
      <c r="D56" t="s">
        <v>1140</v>
      </c>
    </row>
    <row r="57" spans="2:16">
      <c r="B57" t="s">
        <v>1254</v>
      </c>
      <c r="D57" t="s">
        <v>1140</v>
      </c>
      <c r="F57">
        <v>19758</v>
      </c>
      <c r="G57">
        <v>23862</v>
      </c>
      <c r="H57">
        <v>29234</v>
      </c>
      <c r="I57">
        <v>34033</v>
      </c>
      <c r="J57">
        <v>32242</v>
      </c>
      <c r="K57">
        <v>37503</v>
      </c>
      <c r="L57">
        <v>38301</v>
      </c>
      <c r="M57">
        <v>34636.846539830294</v>
      </c>
      <c r="N57">
        <v>32745.970587039101</v>
      </c>
      <c r="O57">
        <v>36513.876036868496</v>
      </c>
      <c r="P57">
        <v>44254.367591500995</v>
      </c>
    </row>
    <row r="58" spans="2:16">
      <c r="B58" t="s">
        <v>1255</v>
      </c>
      <c r="D58" t="s">
        <v>1140</v>
      </c>
      <c r="F58">
        <v>-13244</v>
      </c>
      <c r="G58">
        <v>-16826</v>
      </c>
      <c r="H58">
        <v>-21327</v>
      </c>
      <c r="I58">
        <v>-23317</v>
      </c>
      <c r="J58">
        <v>-20374</v>
      </c>
      <c r="K58">
        <v>-24858</v>
      </c>
      <c r="L58">
        <v>-25144</v>
      </c>
      <c r="M58">
        <v>-20852.652412829397</v>
      </c>
      <c r="N58">
        <v>-18410.327465022801</v>
      </c>
      <c r="O58">
        <v>-21597.1506483618</v>
      </c>
      <c r="P58">
        <v>-28859.826125168001</v>
      </c>
    </row>
    <row r="59" spans="2:16">
      <c r="B59" t="s">
        <v>1256</v>
      </c>
      <c r="D59" t="s">
        <v>1140</v>
      </c>
      <c r="F59">
        <v>6514</v>
      </c>
      <c r="G59">
        <v>7036</v>
      </c>
      <c r="H59">
        <v>7907</v>
      </c>
      <c r="I59">
        <v>10716</v>
      </c>
      <c r="J59">
        <v>11868</v>
      </c>
      <c r="K59">
        <v>12645</v>
      </c>
      <c r="L59">
        <v>13157</v>
      </c>
      <c r="M59">
        <v>13784.194127000897</v>
      </c>
      <c r="N59">
        <v>14335.643122016299</v>
      </c>
      <c r="O59">
        <v>14916.7253885067</v>
      </c>
      <c r="P59">
        <v>15394.541466332999</v>
      </c>
    </row>
    <row r="60" spans="2:16">
      <c r="B60" t="s">
        <v>1259</v>
      </c>
      <c r="D60" t="s">
        <v>1140</v>
      </c>
      <c r="F60">
        <v>0</v>
      </c>
      <c r="G60">
        <v>0</v>
      </c>
      <c r="H60">
        <v>0</v>
      </c>
      <c r="I60">
        <v>0</v>
      </c>
      <c r="J60">
        <v>0</v>
      </c>
      <c r="K60">
        <v>0</v>
      </c>
      <c r="L60">
        <v>0</v>
      </c>
      <c r="M60">
        <v>0</v>
      </c>
      <c r="N60">
        <v>0</v>
      </c>
      <c r="O60">
        <v>0</v>
      </c>
      <c r="P60">
        <v>0</v>
      </c>
    </row>
    <row r="61" spans="2:16">
      <c r="B61" t="s">
        <v>1261</v>
      </c>
      <c r="D61" t="s">
        <v>1140</v>
      </c>
    </row>
    <row r="62" spans="2:16">
      <c r="B62" t="s">
        <v>1263</v>
      </c>
      <c r="D62" t="s">
        <v>1140</v>
      </c>
    </row>
    <row r="63" spans="2:16">
      <c r="B63" t="s">
        <v>1265</v>
      </c>
      <c r="D63" t="s">
        <v>1140</v>
      </c>
      <c r="F63">
        <v>505</v>
      </c>
      <c r="G63">
        <v>555</v>
      </c>
      <c r="H63">
        <v>546</v>
      </c>
      <c r="I63">
        <v>735</v>
      </c>
      <c r="J63">
        <v>597</v>
      </c>
      <c r="K63">
        <v>717</v>
      </c>
      <c r="L63">
        <v>522</v>
      </c>
      <c r="M63">
        <v>814.29660375885805</v>
      </c>
      <c r="N63">
        <v>649.80761140265804</v>
      </c>
      <c r="O63">
        <v>691.60123189855096</v>
      </c>
      <c r="P63">
        <v>734.11174910086504</v>
      </c>
    </row>
    <row r="64" spans="2:16">
      <c r="B64" t="s">
        <v>1267</v>
      </c>
      <c r="D64" t="s">
        <v>1140</v>
      </c>
      <c r="F64">
        <v>2435</v>
      </c>
      <c r="G64">
        <v>2625</v>
      </c>
      <c r="H64">
        <v>2803</v>
      </c>
      <c r="I64">
        <v>3502</v>
      </c>
      <c r="J64">
        <v>3441</v>
      </c>
      <c r="K64">
        <v>2928</v>
      </c>
      <c r="L64">
        <v>2994</v>
      </c>
      <c r="M64">
        <v>2996.5828233329689</v>
      </c>
      <c r="N64">
        <v>3128.44461593806</v>
      </c>
      <c r="O64">
        <v>3322.0163060783202</v>
      </c>
      <c r="P64">
        <v>3514.10517649853</v>
      </c>
    </row>
    <row r="65" spans="2:16">
      <c r="B65" t="s">
        <v>1268</v>
      </c>
      <c r="D65" t="s">
        <v>1140</v>
      </c>
      <c r="F65">
        <v>2627</v>
      </c>
      <c r="G65">
        <v>2981</v>
      </c>
      <c r="H65">
        <v>3085</v>
      </c>
      <c r="I65">
        <v>2513</v>
      </c>
      <c r="J65">
        <v>3153</v>
      </c>
      <c r="K65">
        <v>3369</v>
      </c>
      <c r="L65">
        <v>3477</v>
      </c>
      <c r="M65">
        <v>3644.74817644314</v>
      </c>
      <c r="N65">
        <v>3982.2131372287599</v>
      </c>
      <c r="O65">
        <v>4335.2454849293299</v>
      </c>
      <c r="P65">
        <v>4695.8139690552898</v>
      </c>
    </row>
    <row r="66" spans="2:16">
      <c r="B66" t="s">
        <v>1269</v>
      </c>
      <c r="D66" t="s">
        <v>1140</v>
      </c>
      <c r="F66">
        <v>5567</v>
      </c>
      <c r="G66">
        <v>6161</v>
      </c>
      <c r="H66">
        <v>6434</v>
      </c>
      <c r="I66">
        <v>6750</v>
      </c>
      <c r="J66">
        <v>7191</v>
      </c>
      <c r="K66">
        <v>7014</v>
      </c>
      <c r="L66">
        <v>6993</v>
      </c>
      <c r="M66">
        <v>7455.6276035349592</v>
      </c>
      <c r="N66">
        <v>7760.4653645694689</v>
      </c>
      <c r="O66">
        <v>8348.8630229061891</v>
      </c>
      <c r="P66">
        <v>8944.0308946546902</v>
      </c>
    </row>
    <row r="67" spans="2:16">
      <c r="B67" t="s">
        <v>1272</v>
      </c>
      <c r="D67" t="s">
        <v>1140</v>
      </c>
      <c r="F67">
        <v>12081</v>
      </c>
      <c r="G67">
        <v>13197</v>
      </c>
      <c r="H67">
        <v>14341</v>
      </c>
      <c r="I67">
        <v>17466</v>
      </c>
      <c r="J67">
        <v>19059</v>
      </c>
      <c r="K67">
        <v>19659</v>
      </c>
      <c r="L67">
        <v>20150</v>
      </c>
      <c r="M67">
        <v>21239.821730535899</v>
      </c>
      <c r="N67">
        <v>22096.108486585701</v>
      </c>
      <c r="O67">
        <v>23265.588411412897</v>
      </c>
      <c r="P67">
        <v>24338.572360987695</v>
      </c>
    </row>
    <row r="68" spans="2:16">
      <c r="B68" t="s">
        <v>1275</v>
      </c>
      <c r="D68" t="s">
        <v>1140</v>
      </c>
      <c r="F68">
        <v>-2823</v>
      </c>
      <c r="G68">
        <v>-3229</v>
      </c>
      <c r="H68">
        <v>-3661</v>
      </c>
      <c r="I68">
        <v>-4252</v>
      </c>
      <c r="J68">
        <v>-4583</v>
      </c>
      <c r="K68">
        <v>-4787</v>
      </c>
      <c r="L68">
        <v>-4947</v>
      </c>
      <c r="M68">
        <v>-5070.931628423099</v>
      </c>
      <c r="N68">
        <v>-5156.7253252826004</v>
      </c>
      <c r="O68">
        <v>-5336.4268683765504</v>
      </c>
      <c r="P68">
        <v>-5523.4441043828492</v>
      </c>
    </row>
    <row r="69" spans="2:16">
      <c r="B69" t="s">
        <v>1277</v>
      </c>
      <c r="D69" t="s">
        <v>1140</v>
      </c>
      <c r="F69">
        <v>0</v>
      </c>
      <c r="G69">
        <v>0</v>
      </c>
      <c r="H69">
        <v>0</v>
      </c>
      <c r="I69">
        <v>0</v>
      </c>
      <c r="J69">
        <v>0</v>
      </c>
      <c r="K69">
        <v>0</v>
      </c>
      <c r="L69">
        <v>0</v>
      </c>
      <c r="M69">
        <v>0</v>
      </c>
      <c r="N69">
        <v>0</v>
      </c>
      <c r="O69">
        <v>0</v>
      </c>
      <c r="P69">
        <v>0</v>
      </c>
    </row>
    <row r="70" spans="2:16">
      <c r="B70" t="s">
        <v>1279</v>
      </c>
      <c r="D70" t="s">
        <v>1140</v>
      </c>
      <c r="F70">
        <v>-5994</v>
      </c>
      <c r="G70">
        <v>-6427</v>
      </c>
      <c r="H70">
        <v>-7021</v>
      </c>
      <c r="I70">
        <v>-8222</v>
      </c>
      <c r="J70">
        <v>-8601</v>
      </c>
      <c r="K70">
        <v>-8891</v>
      </c>
      <c r="L70">
        <v>-9196</v>
      </c>
      <c r="M70">
        <v>-9477.401527165528</v>
      </c>
      <c r="N70">
        <v>-9789.1031088288692</v>
      </c>
      <c r="O70">
        <v>-10192.447346433501</v>
      </c>
      <c r="P70">
        <v>-10566.472747419301</v>
      </c>
    </row>
    <row r="71" spans="2:16">
      <c r="B71" t="s">
        <v>1282</v>
      </c>
      <c r="D71" t="s">
        <v>1140</v>
      </c>
      <c r="F71">
        <v>0</v>
      </c>
      <c r="G71">
        <v>0</v>
      </c>
      <c r="H71">
        <v>0</v>
      </c>
      <c r="I71">
        <v>0</v>
      </c>
      <c r="J71">
        <v>0</v>
      </c>
      <c r="K71">
        <v>0</v>
      </c>
      <c r="L71">
        <v>0</v>
      </c>
      <c r="M71">
        <v>0</v>
      </c>
      <c r="N71">
        <v>0</v>
      </c>
      <c r="O71">
        <v>0</v>
      </c>
      <c r="P71">
        <v>0</v>
      </c>
    </row>
    <row r="72" spans="2:16">
      <c r="B72" t="s">
        <v>1284</v>
      </c>
      <c r="D72" t="s">
        <v>1140</v>
      </c>
      <c r="F72">
        <v>-43</v>
      </c>
      <c r="G72">
        <v>-62</v>
      </c>
      <c r="H72">
        <v>-88</v>
      </c>
      <c r="I72">
        <v>-122</v>
      </c>
      <c r="J72">
        <v>-178</v>
      </c>
      <c r="K72">
        <v>-183</v>
      </c>
      <c r="L72">
        <v>-179</v>
      </c>
      <c r="M72">
        <v>-231.783867609906</v>
      </c>
      <c r="N72">
        <v>-266.973598002188</v>
      </c>
      <c r="O72">
        <v>-269.27662119042702</v>
      </c>
      <c r="P72">
        <v>-267.57770605424798</v>
      </c>
    </row>
    <row r="73" spans="2:16">
      <c r="B73" t="s">
        <v>1286</v>
      </c>
      <c r="D73" t="s">
        <v>1140</v>
      </c>
      <c r="F73">
        <v>-3128</v>
      </c>
      <c r="G73">
        <v>-3136</v>
      </c>
      <c r="H73">
        <v>-3272</v>
      </c>
      <c r="I73">
        <v>-3848</v>
      </c>
      <c r="J73">
        <v>-3840</v>
      </c>
      <c r="K73">
        <v>-3921</v>
      </c>
      <c r="L73">
        <v>-4070</v>
      </c>
      <c r="M73">
        <v>-4174.6860311325299</v>
      </c>
      <c r="N73">
        <v>-4365.4041855440792</v>
      </c>
      <c r="O73">
        <v>-4586.7438568665593</v>
      </c>
      <c r="P73">
        <v>-4775.4509369821899</v>
      </c>
    </row>
    <row r="74" spans="2:16">
      <c r="B74" t="s">
        <v>1288</v>
      </c>
      <c r="D74" t="s">
        <v>1140</v>
      </c>
      <c r="F74">
        <v>-398</v>
      </c>
      <c r="G74">
        <v>-434</v>
      </c>
      <c r="H74">
        <v>-930</v>
      </c>
      <c r="I74">
        <v>-3392</v>
      </c>
      <c r="J74">
        <v>-2075</v>
      </c>
      <c r="K74">
        <v>-1280</v>
      </c>
      <c r="L74">
        <v>-1089</v>
      </c>
      <c r="M74">
        <v>-1164.05626457668</v>
      </c>
      <c r="N74">
        <v>-1188.3160891114601</v>
      </c>
      <c r="O74">
        <v>-1269.38813512516</v>
      </c>
      <c r="P74">
        <v>-1348.2137788872401</v>
      </c>
    </row>
    <row r="75" spans="2:16">
      <c r="B75" t="s">
        <v>1290</v>
      </c>
      <c r="D75" t="s">
        <v>1140</v>
      </c>
    </row>
    <row r="76" spans="2:16">
      <c r="B76" t="s">
        <v>1292</v>
      </c>
      <c r="D76" t="s">
        <v>1140</v>
      </c>
    </row>
    <row r="77" spans="2:16">
      <c r="B77" t="s">
        <v>1294</v>
      </c>
      <c r="D77" t="s">
        <v>1140</v>
      </c>
      <c r="F77">
        <v>-398</v>
      </c>
      <c r="G77">
        <v>-434</v>
      </c>
      <c r="H77">
        <v>-930</v>
      </c>
      <c r="I77">
        <v>-3392</v>
      </c>
      <c r="J77">
        <v>-2075</v>
      </c>
      <c r="K77">
        <v>-1280</v>
      </c>
      <c r="L77">
        <v>-1089</v>
      </c>
      <c r="M77">
        <v>-1164.05626457668</v>
      </c>
      <c r="N77">
        <v>-1188.3160891114601</v>
      </c>
      <c r="O77">
        <v>-1269.38813512516</v>
      </c>
      <c r="P77">
        <v>-1348.2137788872401</v>
      </c>
    </row>
    <row r="78" spans="2:16">
      <c r="B78" t="s">
        <v>1297</v>
      </c>
      <c r="D78" t="s">
        <v>1140</v>
      </c>
      <c r="F78">
        <v>6087</v>
      </c>
      <c r="G78">
        <v>6770</v>
      </c>
      <c r="H78">
        <v>7320</v>
      </c>
      <c r="I78">
        <v>9244</v>
      </c>
      <c r="J78">
        <v>10458</v>
      </c>
      <c r="K78">
        <v>10768</v>
      </c>
      <c r="L78">
        <v>10954</v>
      </c>
      <c r="M78">
        <v>11762.4202033703</v>
      </c>
      <c r="N78">
        <v>12307.005377756899</v>
      </c>
      <c r="O78">
        <v>13073.1410649794</v>
      </c>
      <c r="P78">
        <v>13772.0996135685</v>
      </c>
    </row>
    <row r="79" spans="2:16">
      <c r="B79" t="s">
        <v>1300</v>
      </c>
      <c r="D79" t="s">
        <v>1140</v>
      </c>
      <c r="F79">
        <v>5689</v>
      </c>
      <c r="G79">
        <v>6336</v>
      </c>
      <c r="H79">
        <v>6390</v>
      </c>
      <c r="I79">
        <v>5852</v>
      </c>
      <c r="J79">
        <v>8383</v>
      </c>
      <c r="K79">
        <v>9488</v>
      </c>
      <c r="L79">
        <v>9865</v>
      </c>
      <c r="M79">
        <v>10598.363938793698</v>
      </c>
      <c r="N79">
        <v>11118.689288645401</v>
      </c>
      <c r="O79">
        <v>11803.752929854199</v>
      </c>
      <c r="P79">
        <v>12423.885834681199</v>
      </c>
    </row>
    <row r="80" spans="2:16">
      <c r="B80" t="s">
        <v>1303</v>
      </c>
      <c r="D80" t="s">
        <v>1140</v>
      </c>
      <c r="F80">
        <v>0</v>
      </c>
      <c r="G80">
        <v>0</v>
      </c>
      <c r="H80">
        <v>0</v>
      </c>
      <c r="I80">
        <v>0</v>
      </c>
      <c r="J80">
        <v>0</v>
      </c>
      <c r="K80">
        <v>0</v>
      </c>
      <c r="L80">
        <v>0</v>
      </c>
      <c r="M80">
        <v>0</v>
      </c>
      <c r="N80">
        <v>0</v>
      </c>
      <c r="O80">
        <v>0</v>
      </c>
      <c r="P80">
        <v>0</v>
      </c>
    </row>
    <row r="81" spans="2:16">
      <c r="B81" t="s">
        <v>1305</v>
      </c>
      <c r="D81" t="s">
        <v>1140</v>
      </c>
      <c r="F81">
        <v>0</v>
      </c>
      <c r="G81">
        <v>0</v>
      </c>
      <c r="H81">
        <v>0</v>
      </c>
      <c r="I81">
        <v>0</v>
      </c>
      <c r="J81">
        <v>0</v>
      </c>
      <c r="K81">
        <v>0</v>
      </c>
      <c r="L81">
        <v>0</v>
      </c>
      <c r="M81">
        <v>0</v>
      </c>
      <c r="N81">
        <v>0</v>
      </c>
      <c r="O81">
        <v>0</v>
      </c>
      <c r="P81">
        <v>0</v>
      </c>
    </row>
    <row r="82" spans="2:16">
      <c r="B82" t="s">
        <v>1306</v>
      </c>
      <c r="D82" t="s">
        <v>1140</v>
      </c>
    </row>
    <row r="83" spans="2:16">
      <c r="B83" t="s">
        <v>1308</v>
      </c>
      <c r="D83" t="s">
        <v>1140</v>
      </c>
    </row>
    <row r="84" spans="2:16">
      <c r="B84" t="s">
        <v>1310</v>
      </c>
      <c r="D84" t="s">
        <v>1140</v>
      </c>
      <c r="F84">
        <v>0</v>
      </c>
      <c r="G84">
        <v>0</v>
      </c>
      <c r="H84">
        <v>0</v>
      </c>
      <c r="I84">
        <v>0</v>
      </c>
      <c r="J84">
        <v>0</v>
      </c>
      <c r="K84">
        <v>0</v>
      </c>
      <c r="L84">
        <v>0</v>
      </c>
      <c r="M84">
        <v>0</v>
      </c>
      <c r="N84">
        <v>0</v>
      </c>
      <c r="O84">
        <v>0</v>
      </c>
      <c r="P84">
        <v>0</v>
      </c>
    </row>
    <row r="85" spans="2:16">
      <c r="B85" t="s">
        <v>1313</v>
      </c>
      <c r="D85" t="s">
        <v>1140</v>
      </c>
      <c r="F85">
        <v>5689</v>
      </c>
      <c r="G85">
        <v>6336</v>
      </c>
      <c r="H85">
        <v>6390</v>
      </c>
      <c r="I85">
        <v>5852</v>
      </c>
      <c r="J85">
        <v>8383</v>
      </c>
      <c r="K85">
        <v>9488</v>
      </c>
      <c r="L85">
        <v>9865</v>
      </c>
      <c r="M85">
        <v>10598.363938793698</v>
      </c>
      <c r="N85">
        <v>11118.689288645401</v>
      </c>
      <c r="O85">
        <v>11803.752929854199</v>
      </c>
      <c r="P85">
        <v>12423.885834681199</v>
      </c>
    </row>
    <row r="86" spans="2:16">
      <c r="B86" t="s">
        <v>1316</v>
      </c>
      <c r="D86" t="s">
        <v>1140</v>
      </c>
    </row>
    <row r="87" spans="2:16">
      <c r="B87" t="s">
        <v>1318</v>
      </c>
      <c r="D87" t="s">
        <v>1140</v>
      </c>
      <c r="F87">
        <v>5689</v>
      </c>
      <c r="G87">
        <v>6336</v>
      </c>
      <c r="H87">
        <v>6390</v>
      </c>
      <c r="I87">
        <v>5852</v>
      </c>
      <c r="J87">
        <v>8383</v>
      </c>
      <c r="K87">
        <v>9488</v>
      </c>
      <c r="L87">
        <v>9865</v>
      </c>
      <c r="M87">
        <v>10598.363938793698</v>
      </c>
      <c r="N87">
        <v>11118.689288645401</v>
      </c>
      <c r="O87">
        <v>11803.752929854199</v>
      </c>
      <c r="P87">
        <v>12423.885834681199</v>
      </c>
    </row>
    <row r="88" spans="2:16">
      <c r="B88" t="s">
        <v>1321</v>
      </c>
      <c r="D88" t="s">
        <v>1140</v>
      </c>
      <c r="F88">
        <v>-1605</v>
      </c>
      <c r="G88">
        <v>-1782</v>
      </c>
      <c r="H88">
        <v>-1626</v>
      </c>
      <c r="I88">
        <v>-1514</v>
      </c>
      <c r="J88">
        <v>-2266</v>
      </c>
      <c r="K88">
        <v>-2637</v>
      </c>
      <c r="L88">
        <v>-2736</v>
      </c>
      <c r="M88">
        <v>-2948.4777726064699</v>
      </c>
      <c r="N88">
        <v>-3093.2329194783301</v>
      </c>
      <c r="O88">
        <v>-3283.8184599061001</v>
      </c>
      <c r="P88">
        <v>-3456.3401902885998</v>
      </c>
    </row>
    <row r="89" spans="2:16">
      <c r="B89" t="s">
        <v>1323</v>
      </c>
      <c r="D89" t="s">
        <v>1140</v>
      </c>
      <c r="F89">
        <v>4084</v>
      </c>
      <c r="G89">
        <v>4554</v>
      </c>
      <c r="H89">
        <v>4764</v>
      </c>
      <c r="I89">
        <v>4338</v>
      </c>
      <c r="J89">
        <v>6117</v>
      </c>
      <c r="K89">
        <v>6851</v>
      </c>
      <c r="L89">
        <v>7129</v>
      </c>
      <c r="M89">
        <v>7649.8861661871897</v>
      </c>
      <c r="N89">
        <v>8025.4563691670792</v>
      </c>
      <c r="O89">
        <v>8519.9344699481408</v>
      </c>
      <c r="P89">
        <v>8967.5456443926196</v>
      </c>
    </row>
    <row r="90" spans="2:16">
      <c r="B90" t="s">
        <v>1326</v>
      </c>
      <c r="D90" t="s">
        <v>1140</v>
      </c>
      <c r="F90">
        <v>0</v>
      </c>
      <c r="G90">
        <v>0</v>
      </c>
      <c r="H90">
        <v>0</v>
      </c>
      <c r="I90">
        <v>0</v>
      </c>
      <c r="J90">
        <v>0</v>
      </c>
      <c r="K90">
        <v>0</v>
      </c>
      <c r="L90">
        <v>0</v>
      </c>
      <c r="M90">
        <v>0</v>
      </c>
      <c r="N90">
        <v>0</v>
      </c>
      <c r="O90">
        <v>0</v>
      </c>
      <c r="P90">
        <v>0</v>
      </c>
    </row>
    <row r="91" spans="2:16">
      <c r="B91" t="s">
        <v>1328</v>
      </c>
      <c r="D91" t="s">
        <v>1140</v>
      </c>
      <c r="F91">
        <v>4053</v>
      </c>
      <c r="G91">
        <v>4472</v>
      </c>
      <c r="H91">
        <v>4685</v>
      </c>
      <c r="I91">
        <v>4251</v>
      </c>
      <c r="J91">
        <v>6054</v>
      </c>
      <c r="K91">
        <v>6793</v>
      </c>
      <c r="L91">
        <v>7071</v>
      </c>
      <c r="M91">
        <v>7593.8861661871897</v>
      </c>
      <c r="N91">
        <v>7969.4563691670792</v>
      </c>
      <c r="O91">
        <v>8463.9344699481408</v>
      </c>
      <c r="P91">
        <v>8911.5456443926196</v>
      </c>
    </row>
    <row r="92" spans="2:16">
      <c r="B92" t="s">
        <v>1330</v>
      </c>
      <c r="D92" t="s">
        <v>1140</v>
      </c>
      <c r="F92">
        <v>-25</v>
      </c>
      <c r="G92">
        <v>5</v>
      </c>
      <c r="H92">
        <v>40</v>
      </c>
      <c r="I92">
        <v>686</v>
      </c>
      <c r="J92">
        <v>-194</v>
      </c>
      <c r="K92">
        <v>-7</v>
      </c>
      <c r="L92">
        <v>-43</v>
      </c>
      <c r="M92">
        <v>-45</v>
      </c>
      <c r="N92">
        <v>0</v>
      </c>
      <c r="O92">
        <v>0</v>
      </c>
      <c r="P92">
        <v>0</v>
      </c>
    </row>
    <row r="93" spans="2:16">
      <c r="B93" t="s">
        <v>1332</v>
      </c>
      <c r="D93" t="s">
        <v>1140</v>
      </c>
      <c r="F93">
        <v>-100</v>
      </c>
      <c r="G93">
        <v>-62</v>
      </c>
      <c r="H93">
        <v>18</v>
      </c>
      <c r="I93">
        <v>-271</v>
      </c>
      <c r="J93">
        <v>-243</v>
      </c>
      <c r="K93">
        <v>-434</v>
      </c>
      <c r="L93">
        <v>20</v>
      </c>
      <c r="M93">
        <v>-74</v>
      </c>
      <c r="N93">
        <v>0</v>
      </c>
      <c r="O93">
        <v>0</v>
      </c>
      <c r="P93">
        <v>0</v>
      </c>
    </row>
    <row r="94" spans="2:16">
      <c r="B94" t="s">
        <v>1333</v>
      </c>
      <c r="D94" t="s">
        <v>1140</v>
      </c>
      <c r="F94">
        <v>-31</v>
      </c>
      <c r="G94">
        <v>-27</v>
      </c>
      <c r="H94">
        <v>-31</v>
      </c>
      <c r="I94">
        <v>-30</v>
      </c>
      <c r="J94">
        <v>-16</v>
      </c>
      <c r="K94">
        <v>-16</v>
      </c>
      <c r="L94">
        <v>-16</v>
      </c>
      <c r="M94">
        <v>-16</v>
      </c>
      <c r="N94">
        <v>-16</v>
      </c>
      <c r="O94">
        <v>-16</v>
      </c>
      <c r="P94">
        <v>-16</v>
      </c>
    </row>
    <row r="95" spans="2:16">
      <c r="B95" t="s">
        <v>1335</v>
      </c>
      <c r="D95" t="s">
        <v>1140</v>
      </c>
    </row>
    <row r="96" spans="2:16">
      <c r="B96" t="s">
        <v>1337</v>
      </c>
      <c r="D96" t="s">
        <v>1140</v>
      </c>
      <c r="F96">
        <v>3928</v>
      </c>
      <c r="G96">
        <v>4470</v>
      </c>
      <c r="H96">
        <v>4791</v>
      </c>
      <c r="I96">
        <v>4723</v>
      </c>
      <c r="J96">
        <v>5664</v>
      </c>
      <c r="K96">
        <v>6394</v>
      </c>
      <c r="L96">
        <v>7090</v>
      </c>
      <c r="M96">
        <v>7514.8861661871897</v>
      </c>
      <c r="N96">
        <v>8009.4563691670792</v>
      </c>
      <c r="O96">
        <v>8503.9344699481499</v>
      </c>
      <c r="P96">
        <v>8951.5456443926196</v>
      </c>
    </row>
    <row r="97" spans="2:16">
      <c r="B97" t="s">
        <v>1340</v>
      </c>
      <c r="D97" t="s">
        <v>1140</v>
      </c>
      <c r="F97">
        <v>3.1590023382700001</v>
      </c>
      <c r="G97">
        <v>3.469356089992</v>
      </c>
      <c r="H97">
        <v>3.5681645087590002</v>
      </c>
      <c r="I97">
        <v>2.9479889042999998</v>
      </c>
      <c r="J97">
        <v>3.9542782495100002</v>
      </c>
      <c r="K97">
        <v>4.388242894057</v>
      </c>
      <c r="L97">
        <v>4.4952320406870001</v>
      </c>
      <c r="M97">
        <v>4.7453514259610001</v>
      </c>
      <c r="N97">
        <v>4.9669772229040001</v>
      </c>
      <c r="O97">
        <v>5.2751615393789999</v>
      </c>
      <c r="P97">
        <v>5.5541359643829997</v>
      </c>
    </row>
    <row r="98" spans="2:16">
      <c r="B98" t="s">
        <v>1343</v>
      </c>
      <c r="D98" t="s">
        <v>1140</v>
      </c>
      <c r="F98">
        <v>3.103886397608</v>
      </c>
      <c r="G98">
        <v>3.421169504071</v>
      </c>
      <c r="H98">
        <v>3.4314685314690001</v>
      </c>
      <c r="I98">
        <v>2.8267515923570001</v>
      </c>
      <c r="J98">
        <v>3.7980535279810002</v>
      </c>
      <c r="K98">
        <v>4.2058647516459997</v>
      </c>
      <c r="L98">
        <v>4.3351222420989997</v>
      </c>
      <c r="M98">
        <v>4.5962538986860002</v>
      </c>
      <c r="N98">
        <v>4.8053821746520002</v>
      </c>
      <c r="O98">
        <v>5.0965971948369999</v>
      </c>
      <c r="P98">
        <v>5.3602106834730003</v>
      </c>
    </row>
    <row r="99" spans="2:16">
      <c r="B99" t="s">
        <v>1345</v>
      </c>
      <c r="D99" t="s">
        <v>1140</v>
      </c>
      <c r="F99">
        <v>-2879.0253469600002</v>
      </c>
      <c r="G99">
        <v>-3318.1883425800002</v>
      </c>
      <c r="H99">
        <v>-3516.01761369</v>
      </c>
      <c r="I99">
        <v>-3409.07661689</v>
      </c>
      <c r="J99">
        <v>-4473.9488342000004</v>
      </c>
      <c r="K99">
        <v>-4974.795356399999</v>
      </c>
      <c r="L99">
        <v>-5302.8993290099988</v>
      </c>
      <c r="M99">
        <v>-5728.68379396</v>
      </c>
      <c r="N99">
        <v>-6002.2445369300003</v>
      </c>
      <c r="O99">
        <v>-6340.1725135399993</v>
      </c>
      <c r="P99">
        <v>-6678.1004901499991</v>
      </c>
    </row>
    <row r="100" spans="2:16">
      <c r="B100" t="s">
        <v>621</v>
      </c>
      <c r="D100" t="s">
        <v>1140</v>
      </c>
      <c r="F100">
        <v>2.2400000000000002</v>
      </c>
      <c r="G100">
        <v>2.56</v>
      </c>
      <c r="H100">
        <v>2.66</v>
      </c>
      <c r="I100">
        <v>2.2799999999999998</v>
      </c>
      <c r="J100">
        <v>2.9</v>
      </c>
      <c r="K100">
        <v>3.2</v>
      </c>
      <c r="L100">
        <v>3.34</v>
      </c>
      <c r="M100">
        <v>3.56</v>
      </c>
      <c r="N100">
        <v>3.73</v>
      </c>
      <c r="O100">
        <v>3.94</v>
      </c>
      <c r="P100">
        <v>4.1500000000000004</v>
      </c>
    </row>
    <row r="101" spans="2:16">
      <c r="B101" t="s">
        <v>1348</v>
      </c>
      <c r="D101" t="s">
        <v>1140</v>
      </c>
      <c r="F101">
        <v>1283</v>
      </c>
      <c r="G101">
        <v>1289</v>
      </c>
      <c r="H101">
        <v>1313</v>
      </c>
      <c r="I101">
        <v>1442</v>
      </c>
      <c r="J101">
        <v>1531</v>
      </c>
      <c r="K101">
        <v>1548</v>
      </c>
      <c r="L101">
        <v>1573</v>
      </c>
      <c r="M101">
        <v>1600.27898558639</v>
      </c>
      <c r="N101">
        <v>1604.4882051034399</v>
      </c>
      <c r="O101">
        <v>1604.4882051034399</v>
      </c>
      <c r="P101">
        <v>1604.4882051034399</v>
      </c>
    </row>
    <row r="102" spans="2:16">
      <c r="B102" t="s">
        <v>1350</v>
      </c>
      <c r="D102" t="s">
        <v>1140</v>
      </c>
      <c r="F102">
        <v>1338</v>
      </c>
      <c r="G102">
        <v>1351</v>
      </c>
      <c r="H102">
        <v>1430</v>
      </c>
      <c r="I102">
        <v>1570</v>
      </c>
      <c r="J102">
        <v>1644</v>
      </c>
      <c r="K102">
        <v>1671</v>
      </c>
      <c r="L102">
        <v>1677</v>
      </c>
      <c r="M102">
        <v>1693.5283249720701</v>
      </c>
      <c r="N102">
        <v>1697.9828185587201</v>
      </c>
      <c r="O102">
        <v>1697.9828185587201</v>
      </c>
      <c r="P102">
        <v>1697.9828185587201</v>
      </c>
    </row>
    <row r="103" spans="2:16">
      <c r="B103" t="s">
        <v>1352</v>
      </c>
      <c r="D103" t="s">
        <v>1140</v>
      </c>
      <c r="F103">
        <v>1282.9049090000001</v>
      </c>
      <c r="G103">
        <v>1300.583376</v>
      </c>
      <c r="H103">
        <v>1326.1308770000001</v>
      </c>
      <c r="I103">
        <v>1518.8010690000001</v>
      </c>
      <c r="J103">
        <v>1548.737374</v>
      </c>
      <c r="K103">
        <v>1558.637244</v>
      </c>
      <c r="L103">
        <v>1592.1547800000001</v>
      </c>
      <c r="M103">
        <v>1609.1808410000001</v>
      </c>
      <c r="N103">
        <v>1609.1808410000001</v>
      </c>
      <c r="O103">
        <v>1609.1808410000001</v>
      </c>
      <c r="P103">
        <v>1609.1808410000001</v>
      </c>
    </row>
    <row r="104" spans="2:16">
      <c r="B104" t="s">
        <v>1355</v>
      </c>
      <c r="D104" t="s">
        <v>1140</v>
      </c>
      <c r="F104">
        <v>800</v>
      </c>
      <c r="G104">
        <v>896</v>
      </c>
      <c r="H104">
        <v>976</v>
      </c>
      <c r="I104">
        <v>1428</v>
      </c>
      <c r="J104">
        <v>1435</v>
      </c>
      <c r="K104">
        <v>982</v>
      </c>
      <c r="L104">
        <v>997</v>
      </c>
      <c r="M104">
        <v>1005.90371555306</v>
      </c>
      <c r="N104">
        <v>1038.92794112398</v>
      </c>
      <c r="O104">
        <v>1105.7485805439901</v>
      </c>
      <c r="P104">
        <v>1173.7154115538401</v>
      </c>
    </row>
    <row r="105" spans="2:16">
      <c r="B105" t="s">
        <v>1357</v>
      </c>
      <c r="D105" t="s">
        <v>1140</v>
      </c>
      <c r="F105">
        <v>1635</v>
      </c>
      <c r="G105">
        <v>1729</v>
      </c>
      <c r="H105">
        <v>1827</v>
      </c>
      <c r="I105">
        <v>2074</v>
      </c>
      <c r="J105">
        <v>2006</v>
      </c>
      <c r="K105">
        <v>1946</v>
      </c>
      <c r="L105">
        <v>1997</v>
      </c>
      <c r="M105">
        <v>1990.6791077799101</v>
      </c>
      <c r="N105">
        <v>2089.51667481407</v>
      </c>
      <c r="O105">
        <v>2216.2677255343301</v>
      </c>
      <c r="P105">
        <v>2340.389764944689</v>
      </c>
    </row>
    <row r="106" spans="2:16">
      <c r="B106" t="s">
        <v>1359</v>
      </c>
      <c r="D106" t="s">
        <v>1140</v>
      </c>
    </row>
    <row r="107" spans="2:16">
      <c r="B107" t="s">
        <v>1361</v>
      </c>
      <c r="D107" t="s">
        <v>1140</v>
      </c>
      <c r="F107">
        <v>2386</v>
      </c>
      <c r="G107">
        <v>2840</v>
      </c>
      <c r="H107">
        <v>3122</v>
      </c>
      <c r="I107">
        <v>2491</v>
      </c>
      <c r="J107">
        <v>3079</v>
      </c>
      <c r="K107">
        <v>3018</v>
      </c>
      <c r="L107">
        <v>3066</v>
      </c>
      <c r="M107">
        <v>3264.3113270152489</v>
      </c>
      <c r="N107">
        <v>3583.33025232619</v>
      </c>
      <c r="O107">
        <v>3912.5461632709598</v>
      </c>
      <c r="P107">
        <v>4249.8581103660499</v>
      </c>
    </row>
    <row r="108" spans="2:16">
      <c r="B108" t="s">
        <v>1363</v>
      </c>
      <c r="D108" t="s">
        <v>1140</v>
      </c>
      <c r="F108">
        <v>0</v>
      </c>
      <c r="G108">
        <v>0</v>
      </c>
      <c r="H108">
        <v>0</v>
      </c>
      <c r="I108">
        <v>0</v>
      </c>
      <c r="J108">
        <v>0</v>
      </c>
      <c r="K108">
        <v>0</v>
      </c>
      <c r="L108">
        <v>0</v>
      </c>
      <c r="M108">
        <v>0</v>
      </c>
      <c r="N108">
        <v>0</v>
      </c>
      <c r="O108">
        <v>0</v>
      </c>
      <c r="P108">
        <v>0</v>
      </c>
    </row>
    <row r="109" spans="2:16">
      <c r="B109" t="s">
        <v>1365</v>
      </c>
      <c r="D109" t="s">
        <v>1140</v>
      </c>
      <c r="F109">
        <v>505</v>
      </c>
      <c r="G109">
        <v>555</v>
      </c>
      <c r="H109">
        <v>546</v>
      </c>
      <c r="I109">
        <v>735</v>
      </c>
      <c r="J109">
        <v>597</v>
      </c>
      <c r="K109">
        <v>717</v>
      </c>
      <c r="L109">
        <v>522</v>
      </c>
      <c r="M109">
        <v>814.29660375885805</v>
      </c>
      <c r="N109">
        <v>649.80761140265804</v>
      </c>
      <c r="O109">
        <v>691.60123189855096</v>
      </c>
      <c r="P109">
        <v>734.11174910086504</v>
      </c>
    </row>
    <row r="110" spans="2:16">
      <c r="B110" t="s">
        <v>1367</v>
      </c>
      <c r="D110" t="s">
        <v>1140</v>
      </c>
      <c r="F110">
        <v>4</v>
      </c>
      <c r="G110">
        <v>-15</v>
      </c>
      <c r="H110">
        <v>-15</v>
      </c>
      <c r="I110">
        <v>-11</v>
      </c>
      <c r="J110">
        <v>-4</v>
      </c>
      <c r="K110">
        <v>-6</v>
      </c>
      <c r="L110">
        <v>39</v>
      </c>
      <c r="M110">
        <v>-18</v>
      </c>
      <c r="N110">
        <v>-18</v>
      </c>
      <c r="O110">
        <v>-18</v>
      </c>
      <c r="P110">
        <v>-18</v>
      </c>
    </row>
    <row r="111" spans="2:16">
      <c r="B111" t="s">
        <v>1369</v>
      </c>
      <c r="D111" t="s">
        <v>1140</v>
      </c>
      <c r="F111">
        <v>0</v>
      </c>
      <c r="G111">
        <v>0</v>
      </c>
      <c r="H111">
        <v>0</v>
      </c>
      <c r="I111">
        <v>0</v>
      </c>
      <c r="J111">
        <v>0</v>
      </c>
      <c r="K111">
        <v>0</v>
      </c>
      <c r="L111">
        <v>0</v>
      </c>
      <c r="M111">
        <v>0</v>
      </c>
      <c r="N111">
        <v>0</v>
      </c>
      <c r="O111">
        <v>0</v>
      </c>
      <c r="P111">
        <v>0</v>
      </c>
    </row>
    <row r="112" spans="2:16">
      <c r="B112" t="s">
        <v>1371</v>
      </c>
      <c r="D112" t="s">
        <v>1140</v>
      </c>
    </row>
    <row r="113" spans="2:16">
      <c r="B113" t="s">
        <v>1373</v>
      </c>
      <c r="D113" t="s">
        <v>1140</v>
      </c>
      <c r="F113">
        <v>237</v>
      </c>
      <c r="G113">
        <v>156</v>
      </c>
      <c r="H113">
        <v>-22</v>
      </c>
      <c r="I113">
        <v>33</v>
      </c>
      <c r="J113">
        <v>78</v>
      </c>
      <c r="K113">
        <v>357</v>
      </c>
      <c r="L113">
        <v>372</v>
      </c>
      <c r="M113">
        <v>398.43684942789002</v>
      </c>
      <c r="N113">
        <v>416.882884902564</v>
      </c>
      <c r="O113">
        <v>440.69932165836201</v>
      </c>
      <c r="P113">
        <v>463.95585868924002</v>
      </c>
    </row>
    <row r="114" spans="2:16">
      <c r="B114" t="s">
        <v>1375</v>
      </c>
      <c r="D114" t="s">
        <v>1140</v>
      </c>
    </row>
    <row r="115" spans="2:16">
      <c r="B115" t="s">
        <v>1377</v>
      </c>
      <c r="D115" t="s">
        <v>1140</v>
      </c>
      <c r="F115">
        <v>-2419</v>
      </c>
      <c r="G115">
        <v>-2746</v>
      </c>
      <c r="H115">
        <v>-3097</v>
      </c>
      <c r="I115">
        <v>-3405</v>
      </c>
      <c r="J115">
        <v>-3845</v>
      </c>
      <c r="K115">
        <v>-4015</v>
      </c>
      <c r="L115">
        <v>-4136</v>
      </c>
      <c r="M115">
        <v>-4169.0810736021403</v>
      </c>
      <c r="N115">
        <v>-4239.6166090856996</v>
      </c>
      <c r="O115">
        <v>-4387.3587513797902</v>
      </c>
      <c r="P115">
        <v>-4541.1155117157004</v>
      </c>
    </row>
    <row r="116" spans="2:16">
      <c r="B116" t="s">
        <v>1379</v>
      </c>
      <c r="D116" t="s">
        <v>1140</v>
      </c>
      <c r="F116">
        <v>-365</v>
      </c>
      <c r="G116">
        <v>-394</v>
      </c>
      <c r="H116">
        <v>-458</v>
      </c>
      <c r="I116">
        <v>-722</v>
      </c>
      <c r="J116">
        <v>-608</v>
      </c>
      <c r="K116">
        <v>-616</v>
      </c>
      <c r="L116">
        <v>-626</v>
      </c>
      <c r="M116">
        <v>-710.88542845500103</v>
      </c>
      <c r="N116">
        <v>-712.67966707031701</v>
      </c>
      <c r="O116">
        <v>-731.62779310871599</v>
      </c>
      <c r="P116">
        <v>-751.52182889548101</v>
      </c>
    </row>
    <row r="117" spans="2:16">
      <c r="B117" t="s">
        <v>1381</v>
      </c>
      <c r="D117" t="s">
        <v>1140</v>
      </c>
      <c r="F117">
        <v>-39</v>
      </c>
      <c r="G117">
        <v>-89</v>
      </c>
      <c r="H117">
        <v>-106</v>
      </c>
      <c r="I117">
        <v>-125</v>
      </c>
      <c r="J117">
        <v>-130</v>
      </c>
      <c r="K117">
        <v>-156</v>
      </c>
      <c r="L117">
        <v>-185</v>
      </c>
      <c r="M117">
        <v>-190.965126365955</v>
      </c>
      <c r="N117">
        <v>-204.42904912659</v>
      </c>
      <c r="O117">
        <v>-217.440323888048</v>
      </c>
      <c r="P117">
        <v>-230.806763771671</v>
      </c>
    </row>
    <row r="118" spans="2:16">
      <c r="B118" t="s">
        <v>1383</v>
      </c>
      <c r="D118" t="s">
        <v>1140</v>
      </c>
    </row>
    <row r="119" spans="2:16">
      <c r="B119" t="s">
        <v>1385</v>
      </c>
      <c r="D119" t="s">
        <v>1140</v>
      </c>
      <c r="F119">
        <v>-621</v>
      </c>
      <c r="G119">
        <v>-688</v>
      </c>
      <c r="H119">
        <v>-767</v>
      </c>
      <c r="I119">
        <v>-910</v>
      </c>
      <c r="J119">
        <v>-977</v>
      </c>
      <c r="K119">
        <v>-993</v>
      </c>
      <c r="L119">
        <v>-1056</v>
      </c>
      <c r="M119">
        <v>-1073.64478114953</v>
      </c>
      <c r="N119">
        <v>-1116.99660277721</v>
      </c>
      <c r="O119">
        <v>-1170.4513515594199</v>
      </c>
      <c r="P119">
        <v>-1213.2925632593101</v>
      </c>
    </row>
    <row r="120" spans="2:16">
      <c r="B120" t="s">
        <v>1387</v>
      </c>
      <c r="D120" t="s">
        <v>1140</v>
      </c>
      <c r="F120">
        <v>-2507</v>
      </c>
      <c r="G120">
        <v>-2448</v>
      </c>
      <c r="H120">
        <v>-2505</v>
      </c>
      <c r="I120">
        <v>-2938</v>
      </c>
      <c r="J120">
        <v>-2863</v>
      </c>
      <c r="K120">
        <v>-2928</v>
      </c>
      <c r="L120">
        <v>-3014</v>
      </c>
      <c r="M120">
        <v>-3101.0412499829999</v>
      </c>
      <c r="N120">
        <v>-3248.4075827668698</v>
      </c>
      <c r="O120">
        <v>-3416.2925053071399</v>
      </c>
      <c r="P120">
        <v>-3562.1583737228798</v>
      </c>
    </row>
    <row r="121" spans="2:16">
      <c r="B121" t="s">
        <v>1389</v>
      </c>
      <c r="D121" t="s">
        <v>1140</v>
      </c>
      <c r="F121">
        <v>-43</v>
      </c>
      <c r="G121">
        <v>-62</v>
      </c>
      <c r="H121">
        <v>-88</v>
      </c>
      <c r="I121">
        <v>-122</v>
      </c>
      <c r="J121">
        <v>-178</v>
      </c>
      <c r="K121">
        <v>-183</v>
      </c>
      <c r="L121">
        <v>-179</v>
      </c>
      <c r="M121">
        <v>-231.783867609906</v>
      </c>
      <c r="N121">
        <v>-266.973598002188</v>
      </c>
      <c r="O121">
        <v>-269.27662119042702</v>
      </c>
      <c r="P121">
        <v>-267.57770605424798</v>
      </c>
    </row>
    <row r="122" spans="2:16">
      <c r="B122" t="s">
        <v>1391</v>
      </c>
      <c r="D122" t="s">
        <v>1140</v>
      </c>
    </row>
    <row r="123" spans="2:16">
      <c r="B123" t="s">
        <v>1393</v>
      </c>
      <c r="D123" t="s">
        <v>1140</v>
      </c>
      <c r="F123">
        <v>-43</v>
      </c>
      <c r="G123">
        <v>-62</v>
      </c>
      <c r="H123">
        <v>-88</v>
      </c>
      <c r="I123">
        <v>-122</v>
      </c>
      <c r="J123">
        <v>-178</v>
      </c>
      <c r="K123">
        <v>-183</v>
      </c>
      <c r="L123">
        <v>-179</v>
      </c>
      <c r="M123">
        <v>-231.783867609906</v>
      </c>
      <c r="N123">
        <v>-266.973598002188</v>
      </c>
      <c r="O123">
        <v>-269.27662119042702</v>
      </c>
      <c r="P123">
        <v>-267.57770605424798</v>
      </c>
    </row>
    <row r="124" spans="2:16">
      <c r="B124" t="s">
        <v>1395</v>
      </c>
      <c r="D124" t="s">
        <v>1140</v>
      </c>
      <c r="F124">
        <v>6087</v>
      </c>
      <c r="G124">
        <v>6770</v>
      </c>
      <c r="H124">
        <v>7320</v>
      </c>
      <c r="I124">
        <v>9244</v>
      </c>
      <c r="J124">
        <v>10458</v>
      </c>
      <c r="K124">
        <v>10768</v>
      </c>
      <c r="L124">
        <v>10954</v>
      </c>
      <c r="M124">
        <v>11762.4202033703</v>
      </c>
      <c r="N124">
        <v>12307.005377756899</v>
      </c>
      <c r="O124">
        <v>13073.1410649794</v>
      </c>
      <c r="P124">
        <v>13772.0996135685</v>
      </c>
    </row>
    <row r="125" spans="2:16">
      <c r="B125" t="s">
        <v>1397</v>
      </c>
      <c r="D125" t="s">
        <v>1140</v>
      </c>
      <c r="F125">
        <v>-440</v>
      </c>
      <c r="G125">
        <v>-507</v>
      </c>
      <c r="H125">
        <v>-303</v>
      </c>
      <c r="I125">
        <v>-2216</v>
      </c>
      <c r="J125">
        <v>-1174</v>
      </c>
      <c r="K125">
        <v>-1235</v>
      </c>
      <c r="L125">
        <v>-777</v>
      </c>
      <c r="M125">
        <v>-905.11004004842403</v>
      </c>
      <c r="N125">
        <v>-1361.8412088718001</v>
      </c>
      <c r="O125">
        <v>-1449.5964257288799</v>
      </c>
      <c r="P125">
        <v>-1538.09877171161</v>
      </c>
    </row>
    <row r="126" spans="2:16">
      <c r="B126" t="s">
        <v>1399</v>
      </c>
      <c r="D126" t="s">
        <v>1140</v>
      </c>
    </row>
    <row r="127" spans="2:16">
      <c r="B127" t="s">
        <v>1401</v>
      </c>
      <c r="D127" t="s">
        <v>1140</v>
      </c>
      <c r="F127">
        <v>42</v>
      </c>
      <c r="G127">
        <v>73</v>
      </c>
      <c r="H127">
        <v>-627</v>
      </c>
      <c r="I127">
        <v>-1176</v>
      </c>
      <c r="J127">
        <v>-901</v>
      </c>
      <c r="K127">
        <v>-45</v>
      </c>
      <c r="L127">
        <v>-312</v>
      </c>
      <c r="M127">
        <v>-258.94622452825803</v>
      </c>
      <c r="N127">
        <v>173.52511976033699</v>
      </c>
      <c r="O127">
        <v>180.20829060371901</v>
      </c>
      <c r="P127">
        <v>189.884992824374</v>
      </c>
    </row>
    <row r="128" spans="2:16">
      <c r="B128" t="s">
        <v>1403</v>
      </c>
      <c r="D128" t="s">
        <v>1140</v>
      </c>
      <c r="F128">
        <v>-35.714285714286</v>
      </c>
      <c r="G128">
        <v>7.1428571428570002</v>
      </c>
      <c r="H128">
        <v>57.142857142856997</v>
      </c>
      <c r="I128">
        <v>980</v>
      </c>
      <c r="J128">
        <v>-277.142857142857</v>
      </c>
      <c r="K128">
        <v>-10</v>
      </c>
      <c r="L128">
        <v>-61.428571428570997</v>
      </c>
      <c r="M128">
        <v>-64.285714285713993</v>
      </c>
      <c r="N128">
        <v>0</v>
      </c>
      <c r="O128">
        <v>0</v>
      </c>
      <c r="P128">
        <v>0</v>
      </c>
    </row>
    <row r="129" spans="2:16">
      <c r="B129" t="s">
        <v>1405</v>
      </c>
      <c r="D129" t="s">
        <v>1140</v>
      </c>
      <c r="F129">
        <v>10.714285714286</v>
      </c>
      <c r="G129">
        <v>-2.1428571428569998</v>
      </c>
      <c r="H129">
        <v>-17.142857142857</v>
      </c>
      <c r="I129">
        <v>-294</v>
      </c>
      <c r="J129">
        <v>83.142857142856997</v>
      </c>
      <c r="K129">
        <v>3</v>
      </c>
      <c r="L129">
        <v>18.428571428571001</v>
      </c>
      <c r="M129">
        <v>19.285714285714</v>
      </c>
      <c r="N129">
        <v>0</v>
      </c>
      <c r="O129">
        <v>0</v>
      </c>
      <c r="P129">
        <v>0</v>
      </c>
    </row>
    <row r="130" spans="2:16">
      <c r="B130" t="s">
        <v>1407</v>
      </c>
      <c r="D130" t="s">
        <v>1140</v>
      </c>
    </row>
    <row r="131" spans="2:16">
      <c r="B131" t="s">
        <v>1409</v>
      </c>
      <c r="D131" t="s">
        <v>1140</v>
      </c>
    </row>
    <row r="132" spans="2:16">
      <c r="B132" t="s">
        <v>1411</v>
      </c>
      <c r="D132" t="s">
        <v>1140</v>
      </c>
    </row>
    <row r="133" spans="2:16">
      <c r="B133" t="s">
        <v>1413</v>
      </c>
      <c r="D133" t="s">
        <v>1140</v>
      </c>
      <c r="F133">
        <v>-142.857142857143</v>
      </c>
      <c r="G133">
        <v>-88.571428571428996</v>
      </c>
      <c r="H133">
        <v>25.714285714286</v>
      </c>
      <c r="I133">
        <v>-387.142857142857</v>
      </c>
      <c r="J133">
        <v>-347.142857142857</v>
      </c>
      <c r="K133">
        <v>-620</v>
      </c>
      <c r="L133">
        <v>28.571428571428999</v>
      </c>
      <c r="M133">
        <v>-105.71428571428601</v>
      </c>
      <c r="N133">
        <v>0</v>
      </c>
      <c r="O133">
        <v>0</v>
      </c>
      <c r="P133">
        <v>0</v>
      </c>
    </row>
    <row r="134" spans="2:16">
      <c r="B134" t="s">
        <v>1415</v>
      </c>
      <c r="D134" t="s">
        <v>1140</v>
      </c>
    </row>
    <row r="135" spans="2:16">
      <c r="B135" t="s">
        <v>1417</v>
      </c>
      <c r="D135" t="s">
        <v>1140</v>
      </c>
      <c r="F135">
        <v>0</v>
      </c>
      <c r="G135">
        <v>0</v>
      </c>
      <c r="H135">
        <v>0</v>
      </c>
      <c r="I135">
        <v>0</v>
      </c>
      <c r="J135">
        <v>0</v>
      </c>
      <c r="K135">
        <v>0</v>
      </c>
      <c r="L135">
        <v>0</v>
      </c>
      <c r="M135">
        <v>0</v>
      </c>
      <c r="N135">
        <v>0</v>
      </c>
      <c r="O135">
        <v>0</v>
      </c>
      <c r="P135">
        <v>0</v>
      </c>
    </row>
    <row r="136" spans="2:16">
      <c r="B136" t="s">
        <v>1419</v>
      </c>
      <c r="D136" t="s">
        <v>1140</v>
      </c>
      <c r="F136">
        <v>-142.857142857143</v>
      </c>
      <c r="G136">
        <v>-88.571428571428996</v>
      </c>
      <c r="H136">
        <v>25.714285714286</v>
      </c>
      <c r="I136">
        <v>-387.142857142857</v>
      </c>
      <c r="J136">
        <v>-347.142857142857</v>
      </c>
      <c r="K136">
        <v>-620</v>
      </c>
      <c r="L136">
        <v>28.571428571428999</v>
      </c>
      <c r="M136">
        <v>-105.71428571428601</v>
      </c>
      <c r="N136">
        <v>0</v>
      </c>
      <c r="O136">
        <v>0</v>
      </c>
      <c r="P136">
        <v>0</v>
      </c>
    </row>
    <row r="137" spans="2:16">
      <c r="B137" t="s">
        <v>1421</v>
      </c>
      <c r="D137" t="s">
        <v>1140</v>
      </c>
    </row>
    <row r="138" spans="2:16">
      <c r="B138" t="s">
        <v>1423</v>
      </c>
      <c r="D138" t="s">
        <v>1140</v>
      </c>
    </row>
    <row r="139" spans="2:16">
      <c r="B139" t="s">
        <v>1425</v>
      </c>
      <c r="D139" t="s">
        <v>1140</v>
      </c>
    </row>
    <row r="140" spans="2:16">
      <c r="B140" t="s">
        <v>1427</v>
      </c>
      <c r="D140" t="s">
        <v>1140</v>
      </c>
      <c r="F140">
        <v>-100</v>
      </c>
      <c r="G140">
        <v>-62</v>
      </c>
      <c r="H140">
        <v>18</v>
      </c>
      <c r="I140">
        <v>-271</v>
      </c>
      <c r="J140">
        <v>-243</v>
      </c>
      <c r="K140">
        <v>-434</v>
      </c>
      <c r="L140">
        <v>20</v>
      </c>
      <c r="M140">
        <v>-74</v>
      </c>
      <c r="N140">
        <v>0</v>
      </c>
      <c r="O140">
        <v>0</v>
      </c>
      <c r="P140">
        <v>0</v>
      </c>
    </row>
    <row r="141" spans="2:16">
      <c r="B141" t="s">
        <v>1429</v>
      </c>
      <c r="D141" t="s">
        <v>1140</v>
      </c>
    </row>
    <row r="142" spans="2:16">
      <c r="B142" t="s">
        <v>1431</v>
      </c>
      <c r="D142" t="s">
        <v>1140</v>
      </c>
      <c r="F142">
        <v>0</v>
      </c>
      <c r="G142">
        <v>0</v>
      </c>
      <c r="H142">
        <v>0</v>
      </c>
      <c r="I142">
        <v>0</v>
      </c>
      <c r="J142">
        <v>0</v>
      </c>
      <c r="K142">
        <v>0</v>
      </c>
      <c r="L142">
        <v>0</v>
      </c>
      <c r="M142">
        <v>0</v>
      </c>
      <c r="N142">
        <v>0</v>
      </c>
      <c r="O142">
        <v>0</v>
      </c>
      <c r="P142">
        <v>0</v>
      </c>
    </row>
    <row r="143" spans="2:16">
      <c r="B143" t="s">
        <v>1433</v>
      </c>
      <c r="D143" t="s">
        <v>1140</v>
      </c>
      <c r="F143">
        <v>-100</v>
      </c>
      <c r="G143">
        <v>-62</v>
      </c>
      <c r="H143">
        <v>18</v>
      </c>
      <c r="I143">
        <v>-271</v>
      </c>
      <c r="J143">
        <v>-243</v>
      </c>
      <c r="K143">
        <v>-434</v>
      </c>
      <c r="L143">
        <v>20</v>
      </c>
      <c r="M143">
        <v>-74</v>
      </c>
      <c r="N143">
        <v>0</v>
      </c>
      <c r="O143">
        <v>0</v>
      </c>
      <c r="P143">
        <v>0</v>
      </c>
    </row>
    <row r="144" spans="2:16">
      <c r="B144" t="s">
        <v>1435</v>
      </c>
      <c r="D144" t="s">
        <v>1140</v>
      </c>
      <c r="F144">
        <v>5510.4285714285697</v>
      </c>
      <c r="G144">
        <v>6254.5714285714303</v>
      </c>
      <c r="H144">
        <v>6472.8571428571404</v>
      </c>
      <c r="I144">
        <v>6444.8571428571404</v>
      </c>
      <c r="J144">
        <v>7758.714285714289</v>
      </c>
      <c r="K144">
        <v>8858</v>
      </c>
      <c r="L144">
        <v>9832.1428571428605</v>
      </c>
      <c r="M144">
        <v>10428.363938793698</v>
      </c>
      <c r="N144">
        <v>11118.689288645401</v>
      </c>
      <c r="O144">
        <v>11803.752929854199</v>
      </c>
      <c r="P144">
        <v>12423.885834681199</v>
      </c>
    </row>
    <row r="145" spans="2:16">
      <c r="B145" t="s">
        <v>1437</v>
      </c>
      <c r="D145" t="s">
        <v>1140</v>
      </c>
      <c r="F145">
        <v>-1551.42857142857</v>
      </c>
      <c r="G145">
        <v>-1757.57142857143</v>
      </c>
      <c r="H145">
        <v>-1650.8571428571399</v>
      </c>
      <c r="I145">
        <v>-1691.8571428571399</v>
      </c>
      <c r="J145">
        <v>-2078.7142857142899</v>
      </c>
      <c r="K145">
        <v>-2448</v>
      </c>
      <c r="L145">
        <v>-2726.1428571428601</v>
      </c>
      <c r="M145">
        <v>-2897.4777726064699</v>
      </c>
      <c r="N145">
        <v>-3093.2329194783301</v>
      </c>
      <c r="O145">
        <v>-3283.8184599061001</v>
      </c>
      <c r="P145">
        <v>-3456.3401902885998</v>
      </c>
    </row>
    <row r="146" spans="2:16">
      <c r="B146" t="s">
        <v>1439</v>
      </c>
      <c r="D146" t="s">
        <v>1140</v>
      </c>
      <c r="F146">
        <v>3959</v>
      </c>
      <c r="G146">
        <v>4497</v>
      </c>
      <c r="H146">
        <v>4822</v>
      </c>
      <c r="I146">
        <v>4753</v>
      </c>
      <c r="J146">
        <v>5680</v>
      </c>
      <c r="K146">
        <v>6410</v>
      </c>
      <c r="L146">
        <v>7106</v>
      </c>
      <c r="M146">
        <v>7530.8861661871897</v>
      </c>
      <c r="N146">
        <v>8025.4563691670792</v>
      </c>
      <c r="O146">
        <v>8519.9344699481499</v>
      </c>
      <c r="P146">
        <v>8967.5456443926196</v>
      </c>
    </row>
    <row r="147" spans="2:16">
      <c r="B147" t="s">
        <v>1441</v>
      </c>
      <c r="D147" t="s">
        <v>1140</v>
      </c>
      <c r="F147">
        <v>4053</v>
      </c>
      <c r="G147">
        <v>4472</v>
      </c>
      <c r="H147">
        <v>4685</v>
      </c>
      <c r="I147">
        <v>4251</v>
      </c>
      <c r="J147">
        <v>6054</v>
      </c>
      <c r="K147">
        <v>6793</v>
      </c>
      <c r="L147">
        <v>7071</v>
      </c>
      <c r="M147">
        <v>7593.8861661871897</v>
      </c>
      <c r="N147">
        <v>7969.4563691670792</v>
      </c>
      <c r="O147">
        <v>8463.9344699481408</v>
      </c>
      <c r="P147">
        <v>8911.5456443926196</v>
      </c>
    </row>
    <row r="148" spans="2:16">
      <c r="B148" t="s">
        <v>1443</v>
      </c>
      <c r="D148" t="s">
        <v>1140</v>
      </c>
    </row>
    <row r="149" spans="2:16">
      <c r="B149" t="s">
        <v>1445</v>
      </c>
      <c r="D149" t="s">
        <v>1140</v>
      </c>
    </row>
    <row r="150" spans="2:16">
      <c r="B150" t="s">
        <v>1447</v>
      </c>
      <c r="D150" t="s">
        <v>1140</v>
      </c>
    </row>
    <row r="151" spans="2:16">
      <c r="B151" t="s">
        <v>1449</v>
      </c>
      <c r="D151" t="s">
        <v>1140</v>
      </c>
    </row>
    <row r="152" spans="2:16">
      <c r="B152" t="s">
        <v>1451</v>
      </c>
      <c r="D152" t="s">
        <v>1140</v>
      </c>
      <c r="F152">
        <v>100</v>
      </c>
      <c r="G152">
        <v>150</v>
      </c>
      <c r="H152">
        <v>222</v>
      </c>
      <c r="I152">
        <v>187</v>
      </c>
      <c r="J152">
        <v>190</v>
      </c>
      <c r="K152">
        <v>235</v>
      </c>
      <c r="L152">
        <v>199</v>
      </c>
      <c r="M152">
        <v>190</v>
      </c>
      <c r="N152">
        <v>190</v>
      </c>
      <c r="O152">
        <v>190</v>
      </c>
      <c r="P152">
        <v>190</v>
      </c>
    </row>
    <row r="153" spans="2:16">
      <c r="B153" t="s">
        <v>1453</v>
      </c>
      <c r="D153" t="s">
        <v>1140</v>
      </c>
      <c r="F153">
        <v>3.103886397608</v>
      </c>
      <c r="G153">
        <v>3.421169504071</v>
      </c>
      <c r="H153">
        <v>3.4314685314690001</v>
      </c>
      <c r="I153">
        <v>2.8267515923570001</v>
      </c>
      <c r="J153">
        <v>3.7980535279810002</v>
      </c>
      <c r="K153">
        <v>4.2058647516459997</v>
      </c>
      <c r="L153">
        <v>4.3351222420989997</v>
      </c>
      <c r="M153">
        <v>4.5962538986860002</v>
      </c>
      <c r="N153">
        <v>4.8053821746520002</v>
      </c>
      <c r="O153">
        <v>5.0965971948369999</v>
      </c>
      <c r="P153">
        <v>5.3602106834730003</v>
      </c>
    </row>
    <row r="154" spans="2:16">
      <c r="B154" t="s">
        <v>1455</v>
      </c>
      <c r="D154" t="s">
        <v>1140</v>
      </c>
      <c r="F154">
        <v>3.010463378176</v>
      </c>
      <c r="G154">
        <v>3.3789785344190002</v>
      </c>
      <c r="H154">
        <v>3.4720279720280001</v>
      </c>
      <c r="I154">
        <v>3.0910828025480002</v>
      </c>
      <c r="J154">
        <v>3.5322384428219999</v>
      </c>
      <c r="K154">
        <v>3.941950927588</v>
      </c>
      <c r="L154">
        <v>4.321407274896</v>
      </c>
      <c r="M154">
        <v>4.5259863996160004</v>
      </c>
      <c r="N154">
        <v>4.8053821746520002</v>
      </c>
      <c r="O154">
        <v>5.0965971948369999</v>
      </c>
      <c r="P154">
        <v>5.3602106834730003</v>
      </c>
    </row>
    <row r="155" spans="2:16">
      <c r="B155" t="s">
        <v>1457</v>
      </c>
      <c r="D155" t="s">
        <v>1140</v>
      </c>
      <c r="F155">
        <v>1</v>
      </c>
      <c r="G155">
        <v>1</v>
      </c>
      <c r="H155">
        <v>1</v>
      </c>
      <c r="I155">
        <v>1</v>
      </c>
      <c r="J155">
        <v>1</v>
      </c>
      <c r="K155">
        <v>1</v>
      </c>
      <c r="L155">
        <v>1</v>
      </c>
      <c r="M155">
        <v>1</v>
      </c>
      <c r="N155">
        <v>1</v>
      </c>
      <c r="O155">
        <v>1</v>
      </c>
      <c r="P155">
        <v>1</v>
      </c>
    </row>
    <row r="156" spans="2:16">
      <c r="B156" t="s">
        <v>1459</v>
      </c>
      <c r="D156" t="s">
        <v>1140</v>
      </c>
      <c r="F156">
        <v>0.3</v>
      </c>
      <c r="G156">
        <v>0.3</v>
      </c>
      <c r="H156">
        <v>0.3</v>
      </c>
      <c r="I156">
        <v>0.3</v>
      </c>
      <c r="J156">
        <v>0.3</v>
      </c>
      <c r="K156">
        <v>0.3</v>
      </c>
      <c r="L156">
        <v>0.3</v>
      </c>
      <c r="M156">
        <v>0.3</v>
      </c>
      <c r="N156">
        <v>0.3</v>
      </c>
      <c r="O156">
        <v>0.3</v>
      </c>
      <c r="P156">
        <v>0.3</v>
      </c>
    </row>
    <row r="157" spans="2:16">
      <c r="B157" t="s">
        <v>1461</v>
      </c>
      <c r="D157" t="s">
        <v>1140</v>
      </c>
      <c r="E157">
        <v>1.72</v>
      </c>
    </row>
    <row r="158" spans="2:16">
      <c r="B158" t="s">
        <v>1463</v>
      </c>
      <c r="D158" t="s">
        <v>1140</v>
      </c>
      <c r="E158" s="220">
        <v>41688</v>
      </c>
    </row>
    <row r="159" spans="2:16">
      <c r="B159" t="s">
        <v>1465</v>
      </c>
      <c r="D159" t="s">
        <v>1140</v>
      </c>
      <c r="E159">
        <v>1</v>
      </c>
    </row>
    <row r="160" spans="2:16">
      <c r="B160" t="s">
        <v>1467</v>
      </c>
      <c r="D160" t="s">
        <v>1140</v>
      </c>
      <c r="E160">
        <v>0.3</v>
      </c>
    </row>
    <row r="161" spans="2:16">
      <c r="B161" t="s">
        <v>1469</v>
      </c>
      <c r="D161" t="s">
        <v>1140</v>
      </c>
      <c r="E161" s="220">
        <v>1.92</v>
      </c>
    </row>
    <row r="162" spans="2:16">
      <c r="B162" t="s">
        <v>1471</v>
      </c>
      <c r="D162" t="s">
        <v>1140</v>
      </c>
      <c r="E162" s="220">
        <v>41505</v>
      </c>
    </row>
    <row r="163" spans="2:16">
      <c r="B163" t="s">
        <v>1473</v>
      </c>
      <c r="D163" t="s">
        <v>1140</v>
      </c>
      <c r="E163">
        <v>1</v>
      </c>
    </row>
    <row r="164" spans="2:16">
      <c r="B164" t="s">
        <v>1475</v>
      </c>
      <c r="D164" t="s">
        <v>1140</v>
      </c>
      <c r="E164">
        <v>0.3</v>
      </c>
    </row>
    <row r="165" spans="2:16">
      <c r="B165" t="s">
        <v>1477</v>
      </c>
      <c r="D165" t="s">
        <v>1140</v>
      </c>
      <c r="E165" s="220"/>
      <c r="F165">
        <v>2.2400000000000002</v>
      </c>
      <c r="G165">
        <v>2.56</v>
      </c>
      <c r="H165">
        <v>2.66</v>
      </c>
      <c r="I165">
        <v>2.2799999999999998</v>
      </c>
      <c r="J165">
        <v>2.9</v>
      </c>
      <c r="K165">
        <v>3.2</v>
      </c>
      <c r="L165">
        <v>3.34</v>
      </c>
      <c r="M165">
        <v>3.56</v>
      </c>
      <c r="N165">
        <v>3.73</v>
      </c>
      <c r="O165">
        <v>3.94</v>
      </c>
      <c r="P165">
        <v>4.1500000000000004</v>
      </c>
    </row>
    <row r="166" spans="2:16">
      <c r="B166" t="s">
        <v>1479</v>
      </c>
      <c r="D166" t="s">
        <v>1140</v>
      </c>
      <c r="F166">
        <v>0.181654676259</v>
      </c>
      <c r="G166">
        <v>0.25012893243899997</v>
      </c>
      <c r="H166">
        <v>0.30014785608700001</v>
      </c>
      <c r="I166">
        <v>0.29021179164299998</v>
      </c>
      <c r="J166">
        <v>0</v>
      </c>
      <c r="K166">
        <v>0.250170648464</v>
      </c>
      <c r="L166">
        <v>0.24992030602500001</v>
      </c>
      <c r="M166">
        <v>0.13573274244200001</v>
      </c>
      <c r="N166">
        <v>0</v>
      </c>
      <c r="O166">
        <v>0</v>
      </c>
      <c r="P166">
        <v>0</v>
      </c>
    </row>
    <row r="167" spans="2:16">
      <c r="B167" t="s">
        <v>1481</v>
      </c>
      <c r="D167" t="s">
        <v>1140</v>
      </c>
    </row>
    <row r="168" spans="2:16">
      <c r="B168" t="s">
        <v>1483</v>
      </c>
      <c r="D168" t="s">
        <v>1140</v>
      </c>
      <c r="F168">
        <v>56</v>
      </c>
      <c r="G168">
        <v>45</v>
      </c>
      <c r="H168">
        <v>118</v>
      </c>
      <c r="I168">
        <v>122</v>
      </c>
      <c r="J168">
        <v>124</v>
      </c>
      <c r="K168">
        <v>121</v>
      </c>
      <c r="L168">
        <v>104</v>
      </c>
      <c r="M168">
        <v>93</v>
      </c>
      <c r="N168">
        <v>93</v>
      </c>
      <c r="O168">
        <v>93</v>
      </c>
      <c r="P168">
        <v>93</v>
      </c>
    </row>
    <row r="169" spans="2:16">
      <c r="B169" t="s">
        <v>1485</v>
      </c>
      <c r="D169" t="s">
        <v>1140</v>
      </c>
    </row>
    <row r="170" spans="2:16">
      <c r="B170" t="s">
        <v>1487</v>
      </c>
      <c r="D170" t="s">
        <v>1140</v>
      </c>
    </row>
    <row r="171" spans="2:16">
      <c r="B171" t="s">
        <v>1489</v>
      </c>
      <c r="D171" t="s">
        <v>1140</v>
      </c>
      <c r="F171">
        <v>0</v>
      </c>
      <c r="G171">
        <v>0</v>
      </c>
      <c r="H171">
        <v>0</v>
      </c>
      <c r="I171">
        <v>0</v>
      </c>
      <c r="J171">
        <v>0</v>
      </c>
      <c r="K171">
        <v>0</v>
      </c>
      <c r="L171">
        <v>0</v>
      </c>
      <c r="M171">
        <v>0</v>
      </c>
      <c r="N171">
        <v>0</v>
      </c>
      <c r="O171">
        <v>0</v>
      </c>
      <c r="P171">
        <v>0</v>
      </c>
    </row>
    <row r="172" spans="2:16">
      <c r="B172" t="s">
        <v>1491</v>
      </c>
      <c r="D172" t="s">
        <v>1140</v>
      </c>
    </row>
    <row r="173" spans="2:16">
      <c r="B173" t="s">
        <v>1493</v>
      </c>
      <c r="D173" t="s">
        <v>1140</v>
      </c>
      <c r="F173">
        <v>1282.9049090000001</v>
      </c>
      <c r="G173">
        <v>1300.583376</v>
      </c>
      <c r="H173">
        <v>1326.1308770000001</v>
      </c>
      <c r="I173">
        <v>1518.8010690000001</v>
      </c>
      <c r="J173">
        <v>1548.737374</v>
      </c>
      <c r="K173">
        <v>1558.637244</v>
      </c>
      <c r="L173">
        <v>1592.1547800000001</v>
      </c>
      <c r="M173">
        <v>1609.1808410000001</v>
      </c>
      <c r="N173">
        <v>1609.1808410000001</v>
      </c>
      <c r="O173">
        <v>1609.1808410000001</v>
      </c>
      <c r="P173">
        <v>1609.1808410000001</v>
      </c>
    </row>
    <row r="174" spans="2:16">
      <c r="B174" t="s">
        <v>1495</v>
      </c>
      <c r="D174" t="s">
        <v>1140</v>
      </c>
      <c r="F174">
        <v>1338</v>
      </c>
      <c r="G174">
        <v>1351</v>
      </c>
      <c r="H174">
        <v>1430</v>
      </c>
      <c r="I174">
        <v>1570</v>
      </c>
      <c r="J174">
        <v>1644</v>
      </c>
      <c r="K174">
        <v>1671</v>
      </c>
      <c r="L174">
        <v>1677</v>
      </c>
      <c r="M174">
        <v>1693.5283249720701</v>
      </c>
      <c r="N174">
        <v>1697.9828185587201</v>
      </c>
      <c r="O174">
        <v>1697.9828185587201</v>
      </c>
      <c r="P174">
        <v>1697.9828185587201</v>
      </c>
    </row>
    <row r="175" spans="2:16">
      <c r="B175" t="s">
        <v>1497</v>
      </c>
      <c r="D175" t="s">
        <v>1140</v>
      </c>
      <c r="F175">
        <v>1277</v>
      </c>
      <c r="G175">
        <v>1286</v>
      </c>
      <c r="H175">
        <v>1311.0119870000001</v>
      </c>
      <c r="I175">
        <v>1487.80744</v>
      </c>
      <c r="J175">
        <v>1532.3529129999999</v>
      </c>
      <c r="K175">
        <v>1544.6364510000001</v>
      </c>
      <c r="L175">
        <v>1576.125595</v>
      </c>
      <c r="M175">
        <v>1589.6833300000001</v>
      </c>
      <c r="N175">
        <v>1589.6833300000001</v>
      </c>
      <c r="O175">
        <v>1589.6833300000001</v>
      </c>
      <c r="P175">
        <v>1589.6833300000001</v>
      </c>
    </row>
    <row r="176" spans="2:16">
      <c r="B176" t="s">
        <v>1499</v>
      </c>
      <c r="D176" t="s">
        <v>1140</v>
      </c>
      <c r="F176">
        <v>1338</v>
      </c>
      <c r="G176">
        <v>1351</v>
      </c>
      <c r="H176">
        <v>1430</v>
      </c>
      <c r="I176">
        <v>1570</v>
      </c>
      <c r="J176">
        <v>1644</v>
      </c>
      <c r="K176">
        <v>1671</v>
      </c>
      <c r="L176">
        <v>1677</v>
      </c>
      <c r="M176">
        <v>1693.5283249720701</v>
      </c>
      <c r="N176">
        <v>1697.9828185587201</v>
      </c>
      <c r="O176">
        <v>1697.9828185587201</v>
      </c>
      <c r="P176">
        <v>1697.9828185587201</v>
      </c>
    </row>
    <row r="177" spans="2:16">
      <c r="B177" t="s">
        <v>1501</v>
      </c>
      <c r="D177" t="s">
        <v>1140</v>
      </c>
      <c r="F177">
        <v>216438</v>
      </c>
      <c r="G177">
        <v>245347</v>
      </c>
      <c r="H177">
        <v>205501</v>
      </c>
      <c r="I177">
        <v>288836</v>
      </c>
      <c r="J177">
        <v>290821</v>
      </c>
      <c r="K177">
        <v>281711</v>
      </c>
      <c r="L177">
        <v>302787</v>
      </c>
      <c r="M177">
        <v>319276.39169608301</v>
      </c>
      <c r="N177">
        <v>338518.01385203993</v>
      </c>
      <c r="O177">
        <v>358130.421361805</v>
      </c>
      <c r="P177">
        <v>378823.62595889095</v>
      </c>
    </row>
    <row r="178" spans="2:16">
      <c r="B178" t="s">
        <v>1504</v>
      </c>
      <c r="D178" t="s">
        <v>1140</v>
      </c>
      <c r="F178">
        <v>100</v>
      </c>
      <c r="G178">
        <v>150</v>
      </c>
      <c r="H178">
        <v>222</v>
      </c>
      <c r="I178">
        <v>187</v>
      </c>
      <c r="J178">
        <v>190</v>
      </c>
      <c r="K178">
        <v>235</v>
      </c>
      <c r="L178">
        <v>199</v>
      </c>
      <c r="M178">
        <v>190</v>
      </c>
      <c r="N178">
        <v>190</v>
      </c>
      <c r="O178">
        <v>190</v>
      </c>
      <c r="P178">
        <v>190</v>
      </c>
    </row>
    <row r="179" spans="2:16">
      <c r="B179" t="s">
        <v>1506</v>
      </c>
      <c r="D179" t="s">
        <v>1140</v>
      </c>
      <c r="F179">
        <v>3.103886397608</v>
      </c>
      <c r="G179">
        <v>3.421169504071</v>
      </c>
      <c r="H179">
        <v>3.4314685314690001</v>
      </c>
      <c r="I179">
        <v>2.8267515923570001</v>
      </c>
      <c r="J179">
        <v>3.7980535279810002</v>
      </c>
      <c r="K179">
        <v>4.2058647516459997</v>
      </c>
      <c r="L179">
        <v>4.3351222420989997</v>
      </c>
      <c r="M179">
        <v>4.5962538986860002</v>
      </c>
      <c r="N179">
        <v>4.8053821746520002</v>
      </c>
      <c r="O179">
        <v>5.0965971948369999</v>
      </c>
      <c r="P179">
        <v>5.3602106834730003</v>
      </c>
    </row>
    <row r="180" spans="2:16">
      <c r="B180" t="s">
        <v>1508</v>
      </c>
      <c r="D180" t="s">
        <v>1140</v>
      </c>
      <c r="F180">
        <v>4053</v>
      </c>
      <c r="G180">
        <v>4472</v>
      </c>
      <c r="H180">
        <v>4685</v>
      </c>
      <c r="I180">
        <v>4251</v>
      </c>
      <c r="J180">
        <v>6054</v>
      </c>
      <c r="K180">
        <v>6793</v>
      </c>
      <c r="L180">
        <v>7071</v>
      </c>
      <c r="M180">
        <v>7593.8861661871897</v>
      </c>
      <c r="N180">
        <v>7969.4563691670792</v>
      </c>
      <c r="O180">
        <v>8463.9344699481408</v>
      </c>
      <c r="P180">
        <v>8911.5456443926196</v>
      </c>
    </row>
    <row r="181" spans="2:16">
      <c r="B181" t="s">
        <v>1510</v>
      </c>
      <c r="D181" t="s">
        <v>1140</v>
      </c>
      <c r="F181">
        <v>0</v>
      </c>
      <c r="G181">
        <v>0</v>
      </c>
      <c r="H181">
        <v>0</v>
      </c>
      <c r="I181">
        <v>0</v>
      </c>
      <c r="J181">
        <v>0</v>
      </c>
      <c r="K181">
        <v>0</v>
      </c>
      <c r="L181">
        <v>0</v>
      </c>
      <c r="M181">
        <v>0</v>
      </c>
      <c r="N181">
        <v>0</v>
      </c>
      <c r="O181">
        <v>0</v>
      </c>
      <c r="P181">
        <v>0</v>
      </c>
    </row>
    <row r="182" spans="2:16">
      <c r="B182" t="s">
        <v>1512</v>
      </c>
      <c r="D182" t="s">
        <v>1140</v>
      </c>
      <c r="F182">
        <v>0.28212339602699998</v>
      </c>
      <c r="G182">
        <v>0.28125</v>
      </c>
      <c r="H182">
        <v>0.25446009389699997</v>
      </c>
      <c r="I182">
        <v>0.25871496924100001</v>
      </c>
      <c r="J182">
        <v>0.27030895860699999</v>
      </c>
      <c r="K182">
        <v>0.27793001686300001</v>
      </c>
      <c r="L182">
        <v>0.27734414597099999</v>
      </c>
      <c r="M182">
        <v>0.278201219512</v>
      </c>
      <c r="N182">
        <v>0.278201219512</v>
      </c>
      <c r="O182">
        <v>0.278201219512</v>
      </c>
      <c r="P182">
        <v>0.278201219512</v>
      </c>
    </row>
    <row r="183" spans="2:16">
      <c r="B183" t="s">
        <v>1514</v>
      </c>
      <c r="D183" t="s">
        <v>1140</v>
      </c>
    </row>
    <row r="184" spans="2:16">
      <c r="B184" t="s">
        <v>1517</v>
      </c>
      <c r="D184" t="s">
        <v>1140</v>
      </c>
      <c r="F184">
        <v>5868</v>
      </c>
      <c r="G184">
        <v>10108</v>
      </c>
      <c r="H184">
        <v>7736</v>
      </c>
      <c r="I184">
        <v>11340</v>
      </c>
      <c r="J184">
        <v>10119</v>
      </c>
      <c r="K184">
        <v>13241</v>
      </c>
      <c r="L184">
        <v>19666</v>
      </c>
      <c r="M184">
        <v>19162.3376715864</v>
      </c>
      <c r="N184">
        <v>20361.710818735795</v>
      </c>
      <c r="O184">
        <v>21452.6044831621</v>
      </c>
      <c r="P184">
        <v>22613.631390459097</v>
      </c>
    </row>
    <row r="185" spans="2:16">
      <c r="B185" t="s">
        <v>1519</v>
      </c>
      <c r="D185" t="s">
        <v>1140</v>
      </c>
      <c r="F185">
        <v>7107</v>
      </c>
      <c r="G185">
        <v>5495</v>
      </c>
      <c r="H185">
        <v>6984</v>
      </c>
      <c r="I185">
        <v>14421</v>
      </c>
      <c r="J185">
        <v>10072</v>
      </c>
      <c r="K185">
        <v>10393</v>
      </c>
      <c r="L185">
        <v>10886</v>
      </c>
      <c r="M185">
        <v>9816.6671195417985</v>
      </c>
      <c r="N185">
        <v>10431.093560588199</v>
      </c>
      <c r="O185">
        <v>10989.9470861875</v>
      </c>
      <c r="P185">
        <v>11584.729145720099</v>
      </c>
    </row>
    <row r="186" spans="2:16">
      <c r="B186" t="s">
        <v>1521</v>
      </c>
      <c r="D186" t="s">
        <v>1140</v>
      </c>
      <c r="F186">
        <v>259176</v>
      </c>
      <c r="G186">
        <v>315465</v>
      </c>
      <c r="H186">
        <v>361250</v>
      </c>
      <c r="I186">
        <v>466601</v>
      </c>
      <c r="J186">
        <v>493434</v>
      </c>
      <c r="K186">
        <v>500036</v>
      </c>
      <c r="L186">
        <v>525664</v>
      </c>
      <c r="M186">
        <v>544105.68996192794</v>
      </c>
      <c r="N186">
        <v>578498.18875631003</v>
      </c>
      <c r="O186">
        <v>609548.66823711188</v>
      </c>
      <c r="P186">
        <v>642644.44090359495</v>
      </c>
    </row>
    <row r="187" spans="2:16">
      <c r="B187" t="s">
        <v>1523</v>
      </c>
      <c r="D187" t="s">
        <v>1140</v>
      </c>
      <c r="F187">
        <v>0</v>
      </c>
      <c r="G187">
        <v>0</v>
      </c>
      <c r="H187">
        <v>0</v>
      </c>
      <c r="I187">
        <v>0</v>
      </c>
      <c r="J187">
        <v>0</v>
      </c>
      <c r="K187">
        <v>0</v>
      </c>
      <c r="L187">
        <v>0</v>
      </c>
      <c r="M187">
        <v>0</v>
      </c>
      <c r="N187">
        <v>0</v>
      </c>
      <c r="O187">
        <v>0</v>
      </c>
      <c r="P187">
        <v>0</v>
      </c>
    </row>
    <row r="188" spans="2:16">
      <c r="B188" t="s">
        <v>1525</v>
      </c>
      <c r="D188" t="s">
        <v>1140</v>
      </c>
      <c r="F188">
        <v>27589</v>
      </c>
      <c r="G188">
        <v>33294</v>
      </c>
      <c r="H188">
        <v>34201</v>
      </c>
      <c r="I188">
        <v>46365</v>
      </c>
      <c r="J188">
        <v>54038</v>
      </c>
      <c r="K188">
        <v>64327</v>
      </c>
      <c r="L188">
        <v>73752</v>
      </c>
      <c r="M188">
        <v>77320.749681050103</v>
      </c>
      <c r="N188">
        <v>82160.265217947206</v>
      </c>
      <c r="O188">
        <v>86562.061982066603</v>
      </c>
      <c r="P188">
        <v>91246.849005999597</v>
      </c>
    </row>
    <row r="189" spans="2:16">
      <c r="B189" t="s">
        <v>1527</v>
      </c>
      <c r="D189" t="s">
        <v>1140</v>
      </c>
      <c r="F189">
        <v>293872</v>
      </c>
      <c r="G189">
        <v>354254</v>
      </c>
      <c r="H189">
        <v>402435</v>
      </c>
      <c r="I189">
        <v>527387</v>
      </c>
      <c r="J189">
        <v>557544</v>
      </c>
      <c r="K189">
        <v>574756</v>
      </c>
      <c r="L189">
        <v>610302</v>
      </c>
      <c r="M189">
        <v>631243.10676251899</v>
      </c>
      <c r="N189">
        <v>671089.54753484589</v>
      </c>
      <c r="O189">
        <v>707100.67730536603</v>
      </c>
      <c r="P189">
        <v>745476.01905531494</v>
      </c>
    </row>
    <row r="190" spans="2:16">
      <c r="B190" t="s">
        <v>1530</v>
      </c>
      <c r="D190" t="s">
        <v>1140</v>
      </c>
      <c r="F190">
        <v>1313</v>
      </c>
      <c r="G190">
        <v>1436</v>
      </c>
      <c r="H190">
        <v>1640</v>
      </c>
      <c r="I190">
        <v>2472</v>
      </c>
      <c r="J190">
        <v>2351</v>
      </c>
      <c r="K190">
        <v>2366</v>
      </c>
      <c r="L190">
        <v>2503</v>
      </c>
      <c r="M190">
        <v>2642.8705882455602</v>
      </c>
      <c r="N190">
        <v>2808.2881938246801</v>
      </c>
      <c r="O190">
        <v>2958.7443036181598</v>
      </c>
      <c r="P190">
        <v>3118.8731938425799</v>
      </c>
    </row>
    <row r="191" spans="2:16">
      <c r="B191" t="s">
        <v>1532</v>
      </c>
      <c r="D191" t="s">
        <v>1140</v>
      </c>
      <c r="F191">
        <v>7580</v>
      </c>
      <c r="G191">
        <v>7538</v>
      </c>
      <c r="H191">
        <v>7905</v>
      </c>
      <c r="I191">
        <v>8572</v>
      </c>
      <c r="J191">
        <v>8470</v>
      </c>
      <c r="K191">
        <v>8306</v>
      </c>
      <c r="L191">
        <v>8581</v>
      </c>
      <c r="M191">
        <v>8535</v>
      </c>
      <c r="N191">
        <v>8535</v>
      </c>
      <c r="O191">
        <v>8535</v>
      </c>
      <c r="P191">
        <v>8535</v>
      </c>
    </row>
    <row r="192" spans="2:16">
      <c r="B192" t="s">
        <v>1534</v>
      </c>
      <c r="D192" t="s">
        <v>1140</v>
      </c>
    </row>
    <row r="193" spans="2:16">
      <c r="B193" t="s">
        <v>1536</v>
      </c>
      <c r="D193" t="s">
        <v>1140</v>
      </c>
      <c r="F193">
        <v>7580</v>
      </c>
      <c r="G193">
        <v>7538</v>
      </c>
      <c r="H193">
        <v>7905</v>
      </c>
      <c r="I193">
        <v>8572</v>
      </c>
      <c r="J193">
        <v>8470</v>
      </c>
      <c r="K193">
        <v>8306</v>
      </c>
      <c r="L193">
        <v>8581</v>
      </c>
      <c r="M193">
        <v>8535</v>
      </c>
      <c r="N193">
        <v>8535</v>
      </c>
      <c r="O193">
        <v>8535</v>
      </c>
      <c r="P193">
        <v>8535</v>
      </c>
    </row>
    <row r="194" spans="2:16">
      <c r="B194" t="s">
        <v>1539</v>
      </c>
      <c r="D194" t="s">
        <v>1140</v>
      </c>
      <c r="F194">
        <v>0</v>
      </c>
      <c r="G194">
        <v>0</v>
      </c>
      <c r="H194">
        <v>0</v>
      </c>
      <c r="I194">
        <v>0</v>
      </c>
      <c r="J194">
        <v>0</v>
      </c>
      <c r="K194">
        <v>0</v>
      </c>
      <c r="L194">
        <v>0</v>
      </c>
      <c r="M194">
        <v>0</v>
      </c>
      <c r="N194">
        <v>0</v>
      </c>
      <c r="O194">
        <v>0</v>
      </c>
      <c r="P194">
        <v>0</v>
      </c>
    </row>
    <row r="195" spans="2:16">
      <c r="B195" t="s">
        <v>1541</v>
      </c>
      <c r="D195" t="s">
        <v>1140</v>
      </c>
      <c r="F195">
        <v>0</v>
      </c>
      <c r="G195">
        <v>0</v>
      </c>
      <c r="H195">
        <v>0</v>
      </c>
      <c r="I195">
        <v>0</v>
      </c>
      <c r="J195">
        <v>0</v>
      </c>
      <c r="K195">
        <v>0</v>
      </c>
      <c r="L195">
        <v>0</v>
      </c>
      <c r="M195">
        <v>0</v>
      </c>
      <c r="N195">
        <v>0</v>
      </c>
      <c r="O195">
        <v>0</v>
      </c>
      <c r="P195">
        <v>0</v>
      </c>
    </row>
    <row r="196" spans="2:16">
      <c r="B196" t="s">
        <v>1543</v>
      </c>
      <c r="D196" t="s">
        <v>1140</v>
      </c>
      <c r="F196">
        <v>0</v>
      </c>
      <c r="G196">
        <v>0</v>
      </c>
      <c r="H196">
        <v>0</v>
      </c>
      <c r="I196">
        <v>0</v>
      </c>
      <c r="J196">
        <v>0</v>
      </c>
      <c r="K196">
        <v>0</v>
      </c>
      <c r="L196">
        <v>0</v>
      </c>
      <c r="M196">
        <v>0</v>
      </c>
      <c r="N196">
        <v>0</v>
      </c>
      <c r="O196">
        <v>0</v>
      </c>
      <c r="P196">
        <v>0</v>
      </c>
    </row>
    <row r="197" spans="2:16">
      <c r="B197" t="s">
        <v>1545</v>
      </c>
      <c r="D197" t="s">
        <v>1140</v>
      </c>
      <c r="F197">
        <v>0</v>
      </c>
      <c r="G197">
        <v>0</v>
      </c>
      <c r="H197">
        <v>0</v>
      </c>
      <c r="I197">
        <v>0</v>
      </c>
      <c r="J197">
        <v>0</v>
      </c>
      <c r="K197">
        <v>0</v>
      </c>
      <c r="L197">
        <v>0</v>
      </c>
      <c r="M197">
        <v>0</v>
      </c>
      <c r="N197">
        <v>0</v>
      </c>
      <c r="O197">
        <v>0</v>
      </c>
      <c r="P197">
        <v>0</v>
      </c>
    </row>
    <row r="198" spans="2:16">
      <c r="B198" t="s">
        <v>1547</v>
      </c>
      <c r="D198" t="s">
        <v>1140</v>
      </c>
      <c r="F198">
        <v>0</v>
      </c>
      <c r="G198">
        <v>0</v>
      </c>
      <c r="H198">
        <v>0</v>
      </c>
      <c r="I198">
        <v>0</v>
      </c>
      <c r="J198">
        <v>0</v>
      </c>
      <c r="K198">
        <v>0</v>
      </c>
      <c r="L198">
        <v>0</v>
      </c>
      <c r="M198">
        <v>0</v>
      </c>
      <c r="N198">
        <v>0</v>
      </c>
      <c r="O198">
        <v>0</v>
      </c>
      <c r="P198">
        <v>0</v>
      </c>
    </row>
    <row r="199" spans="2:16">
      <c r="B199" t="s">
        <v>1549</v>
      </c>
      <c r="D199" t="s">
        <v>1140</v>
      </c>
      <c r="F199">
        <v>60470</v>
      </c>
      <c r="G199">
        <v>66821</v>
      </c>
      <c r="H199">
        <v>67856</v>
      </c>
      <c r="I199">
        <v>70601</v>
      </c>
      <c r="J199">
        <v>67846</v>
      </c>
      <c r="K199">
        <v>69230</v>
      </c>
      <c r="L199">
        <v>77177</v>
      </c>
      <c r="M199">
        <v>72214.078070204501</v>
      </c>
      <c r="N199">
        <v>76931.318520070694</v>
      </c>
      <c r="O199">
        <v>81453.226882302799</v>
      </c>
      <c r="P199">
        <v>86216.780738063593</v>
      </c>
    </row>
    <row r="200" spans="2:16">
      <c r="B200" t="s">
        <v>1550</v>
      </c>
      <c r="D200" t="s">
        <v>1140</v>
      </c>
      <c r="F200">
        <v>369103</v>
      </c>
      <c r="G200">
        <v>440157</v>
      </c>
      <c r="H200">
        <v>487572</v>
      </c>
      <c r="I200">
        <v>620372</v>
      </c>
      <c r="J200">
        <v>646330</v>
      </c>
      <c r="K200">
        <v>667899</v>
      </c>
      <c r="L200">
        <v>718229</v>
      </c>
      <c r="M200">
        <v>733797.39309255604</v>
      </c>
      <c r="N200">
        <v>779725.86506747687</v>
      </c>
      <c r="O200">
        <v>821500.25297444896</v>
      </c>
      <c r="P200">
        <v>865960.30437767995</v>
      </c>
    </row>
    <row r="201" spans="2:16">
      <c r="B201" t="s">
        <v>1552</v>
      </c>
      <c r="D201" t="s">
        <v>1140</v>
      </c>
      <c r="F201">
        <v>11184</v>
      </c>
      <c r="G201">
        <v>14386</v>
      </c>
      <c r="H201">
        <v>17672</v>
      </c>
      <c r="I201">
        <v>15109</v>
      </c>
      <c r="J201">
        <v>12608</v>
      </c>
      <c r="K201">
        <v>15899</v>
      </c>
      <c r="L201">
        <v>22126</v>
      </c>
      <c r="M201">
        <v>23866.6389872992</v>
      </c>
      <c r="N201">
        <v>25374.099635363695</v>
      </c>
      <c r="O201">
        <v>26745.646420046098</v>
      </c>
      <c r="P201">
        <v>28199.888612153201</v>
      </c>
    </row>
    <row r="202" spans="2:16">
      <c r="B202" t="s">
        <v>1554</v>
      </c>
      <c r="D202" t="s">
        <v>1140</v>
      </c>
      <c r="F202">
        <v>171817</v>
      </c>
      <c r="G202">
        <v>215715</v>
      </c>
      <c r="H202">
        <v>262117</v>
      </c>
      <c r="I202">
        <v>360147</v>
      </c>
      <c r="J202">
        <v>368903</v>
      </c>
      <c r="K202">
        <v>397084</v>
      </c>
      <c r="L202">
        <v>432410</v>
      </c>
      <c r="M202">
        <v>451267.42074348801</v>
      </c>
      <c r="N202">
        <v>479833.54628286901</v>
      </c>
      <c r="O202">
        <v>506456.24245947896</v>
      </c>
      <c r="P202">
        <v>534624.43208830198</v>
      </c>
    </row>
    <row r="203" spans="2:16">
      <c r="B203" t="s">
        <v>1556</v>
      </c>
      <c r="D203" t="s">
        <v>1140</v>
      </c>
      <c r="F203">
        <v>78591</v>
      </c>
      <c r="G203">
        <v>88525</v>
      </c>
      <c r="H203">
        <v>85817</v>
      </c>
      <c r="I203">
        <v>101819</v>
      </c>
      <c r="J203">
        <v>130210</v>
      </c>
      <c r="K203">
        <v>118652</v>
      </c>
      <c r="L203">
        <v>124712</v>
      </c>
      <c r="M203">
        <v>115520.786507567</v>
      </c>
      <c r="N203">
        <v>122753.383046499</v>
      </c>
      <c r="O203">
        <v>128695.17535494499</v>
      </c>
      <c r="P203">
        <v>135055.52482471999</v>
      </c>
    </row>
    <row r="204" spans="2:16">
      <c r="B204" t="s">
        <v>1558</v>
      </c>
      <c r="D204" t="s">
        <v>1140</v>
      </c>
      <c r="F204">
        <v>1410</v>
      </c>
      <c r="G204">
        <v>3353</v>
      </c>
      <c r="H204">
        <v>1589</v>
      </c>
      <c r="I204">
        <v>8574</v>
      </c>
      <c r="J204">
        <v>5760</v>
      </c>
      <c r="K204">
        <v>4063</v>
      </c>
      <c r="L204">
        <v>5245</v>
      </c>
      <c r="M204">
        <v>4706.0620376690904</v>
      </c>
      <c r="N204">
        <v>5003.96512746601</v>
      </c>
      <c r="O204">
        <v>5281.601079139009</v>
      </c>
      <c r="P204">
        <v>5575.3542768851894</v>
      </c>
    </row>
    <row r="205" spans="2:16">
      <c r="B205" t="s">
        <v>1560</v>
      </c>
      <c r="D205" t="s">
        <v>1140</v>
      </c>
      <c r="F205">
        <v>0</v>
      </c>
      <c r="G205">
        <v>0</v>
      </c>
      <c r="H205">
        <v>0</v>
      </c>
      <c r="I205">
        <v>0</v>
      </c>
      <c r="J205">
        <v>0</v>
      </c>
      <c r="K205">
        <v>0</v>
      </c>
      <c r="L205">
        <v>0</v>
      </c>
      <c r="M205">
        <v>0</v>
      </c>
      <c r="N205">
        <v>0</v>
      </c>
      <c r="O205">
        <v>0</v>
      </c>
      <c r="P205">
        <v>0</v>
      </c>
    </row>
    <row r="206" spans="2:16">
      <c r="B206" t="s">
        <v>1562</v>
      </c>
      <c r="D206" t="s">
        <v>1140</v>
      </c>
      <c r="F206">
        <v>263002</v>
      </c>
      <c r="G206">
        <v>321979</v>
      </c>
      <c r="H206">
        <v>367195</v>
      </c>
      <c r="I206">
        <v>485649</v>
      </c>
      <c r="J206">
        <v>517481</v>
      </c>
      <c r="K206">
        <v>535698</v>
      </c>
      <c r="L206">
        <v>584493</v>
      </c>
      <c r="M206">
        <v>595360.90827602288</v>
      </c>
      <c r="N206">
        <v>632964.9940921989</v>
      </c>
      <c r="O206">
        <v>667178.66531360883</v>
      </c>
      <c r="P206">
        <v>703455.19980206003</v>
      </c>
    </row>
    <row r="207" spans="2:16">
      <c r="B207" t="s">
        <v>1565</v>
      </c>
      <c r="D207" t="s">
        <v>1140</v>
      </c>
      <c r="F207">
        <v>0</v>
      </c>
      <c r="G207">
        <v>0</v>
      </c>
      <c r="H207">
        <v>0</v>
      </c>
      <c r="I207">
        <v>0</v>
      </c>
      <c r="J207">
        <v>0</v>
      </c>
      <c r="K207">
        <v>0</v>
      </c>
      <c r="L207">
        <v>0</v>
      </c>
      <c r="M207">
        <v>0</v>
      </c>
      <c r="N207">
        <v>0</v>
      </c>
      <c r="O207">
        <v>0</v>
      </c>
      <c r="P207">
        <v>0</v>
      </c>
    </row>
    <row r="208" spans="2:16">
      <c r="B208" t="s">
        <v>1567</v>
      </c>
      <c r="D208" t="s">
        <v>1140</v>
      </c>
      <c r="F208">
        <v>821</v>
      </c>
      <c r="G208">
        <v>878</v>
      </c>
      <c r="H208">
        <v>1174</v>
      </c>
      <c r="I208">
        <v>1243</v>
      </c>
      <c r="J208">
        <v>1197</v>
      </c>
      <c r="K208">
        <v>1277</v>
      </c>
      <c r="L208">
        <v>1224</v>
      </c>
      <c r="M208">
        <v>1243.19176632169</v>
      </c>
      <c r="N208">
        <v>1321.7140361195</v>
      </c>
      <c r="O208">
        <v>1393.15667497408</v>
      </c>
      <c r="P208">
        <v>1468.90684324985</v>
      </c>
    </row>
    <row r="209" spans="2:16">
      <c r="B209" t="s">
        <v>1569</v>
      </c>
      <c r="D209" t="s">
        <v>1140</v>
      </c>
      <c r="F209">
        <v>0</v>
      </c>
      <c r="G209">
        <v>0</v>
      </c>
      <c r="H209">
        <v>0</v>
      </c>
      <c r="I209">
        <v>0</v>
      </c>
      <c r="J209">
        <v>0</v>
      </c>
      <c r="K209">
        <v>0</v>
      </c>
      <c r="L209">
        <v>0</v>
      </c>
      <c r="M209">
        <v>0</v>
      </c>
      <c r="N209">
        <v>0</v>
      </c>
      <c r="O209">
        <v>0</v>
      </c>
      <c r="P209">
        <v>0</v>
      </c>
    </row>
    <row r="210" spans="2:16">
      <c r="B210" t="s">
        <v>1571</v>
      </c>
      <c r="D210" t="s">
        <v>1140</v>
      </c>
      <c r="F210">
        <v>0</v>
      </c>
      <c r="G210">
        <v>0</v>
      </c>
      <c r="H210">
        <v>0</v>
      </c>
      <c r="I210">
        <v>0</v>
      </c>
      <c r="J210">
        <v>0</v>
      </c>
      <c r="K210">
        <v>0</v>
      </c>
      <c r="L210">
        <v>0</v>
      </c>
      <c r="M210">
        <v>0</v>
      </c>
      <c r="N210">
        <v>0</v>
      </c>
      <c r="O210">
        <v>0</v>
      </c>
      <c r="P210">
        <v>0</v>
      </c>
    </row>
    <row r="211" spans="2:16">
      <c r="B211" t="s">
        <v>1573</v>
      </c>
      <c r="D211" t="s">
        <v>1140</v>
      </c>
      <c r="F211">
        <v>83937</v>
      </c>
      <c r="G211">
        <v>92856</v>
      </c>
      <c r="H211">
        <v>93066</v>
      </c>
      <c r="I211">
        <v>102038</v>
      </c>
      <c r="J211">
        <v>92082</v>
      </c>
      <c r="K211">
        <v>93637</v>
      </c>
      <c r="L211">
        <v>90940</v>
      </c>
      <c r="M211">
        <v>92630.360494660097</v>
      </c>
      <c r="N211">
        <v>98481.063785393402</v>
      </c>
      <c r="O211">
        <v>103804.26296597498</v>
      </c>
      <c r="P211">
        <v>109448.416655696</v>
      </c>
    </row>
    <row r="212" spans="2:16">
      <c r="B212" t="s">
        <v>1574</v>
      </c>
      <c r="D212" t="s">
        <v>1140</v>
      </c>
      <c r="F212">
        <v>347760</v>
      </c>
      <c r="G212">
        <v>415713</v>
      </c>
      <c r="H212">
        <v>461435</v>
      </c>
      <c r="I212">
        <v>588930</v>
      </c>
      <c r="J212">
        <v>610760</v>
      </c>
      <c r="K212">
        <v>630612</v>
      </c>
      <c r="L212">
        <v>676657</v>
      </c>
      <c r="M212">
        <v>689234.46053700498</v>
      </c>
      <c r="N212">
        <v>732767.77191371087</v>
      </c>
      <c r="O212">
        <v>772376.08495455806</v>
      </c>
      <c r="P212">
        <v>814372.52330100688</v>
      </c>
    </row>
    <row r="213" spans="2:16">
      <c r="B213" t="s">
        <v>1577</v>
      </c>
      <c r="D213" t="s">
        <v>1140</v>
      </c>
      <c r="F213">
        <v>0</v>
      </c>
      <c r="G213">
        <v>939</v>
      </c>
      <c r="H213">
        <v>939</v>
      </c>
      <c r="I213">
        <v>939</v>
      </c>
      <c r="J213">
        <v>939</v>
      </c>
      <c r="K213">
        <v>939</v>
      </c>
      <c r="L213">
        <v>939</v>
      </c>
      <c r="M213">
        <v>939</v>
      </c>
      <c r="N213">
        <v>939</v>
      </c>
      <c r="O213">
        <v>939</v>
      </c>
      <c r="P213">
        <v>939</v>
      </c>
    </row>
    <row r="214" spans="2:16">
      <c r="B214" t="s">
        <v>1579</v>
      </c>
      <c r="D214" t="s">
        <v>1140</v>
      </c>
      <c r="F214">
        <v>20835</v>
      </c>
      <c r="G214">
        <v>22993</v>
      </c>
      <c r="H214">
        <v>24680</v>
      </c>
      <c r="I214">
        <v>29983</v>
      </c>
      <c r="J214">
        <v>34108</v>
      </c>
      <c r="K214">
        <v>35820</v>
      </c>
      <c r="L214">
        <v>40102</v>
      </c>
      <c r="M214">
        <v>43091.932555550891</v>
      </c>
      <c r="N214">
        <v>45487.093153765301</v>
      </c>
      <c r="O214">
        <v>47653.168019891491</v>
      </c>
      <c r="P214">
        <v>50116.781076673891</v>
      </c>
    </row>
    <row r="215" spans="2:16">
      <c r="B215" t="s">
        <v>1580</v>
      </c>
      <c r="D215" t="s">
        <v>1140</v>
      </c>
    </row>
    <row r="216" spans="2:16">
      <c r="B216" t="s">
        <v>1581</v>
      </c>
      <c r="D216" t="s">
        <v>1140</v>
      </c>
      <c r="F216">
        <v>508</v>
      </c>
      <c r="G216">
        <v>512</v>
      </c>
      <c r="H216">
        <v>518</v>
      </c>
      <c r="I216">
        <v>520</v>
      </c>
      <c r="J216">
        <v>523</v>
      </c>
      <c r="K216">
        <v>528</v>
      </c>
      <c r="L216">
        <v>531</v>
      </c>
      <c r="M216">
        <v>532</v>
      </c>
      <c r="N216">
        <v>532</v>
      </c>
      <c r="O216">
        <v>532</v>
      </c>
      <c r="P216">
        <v>532</v>
      </c>
    </row>
    <row r="217" spans="2:16">
      <c r="B217" t="s">
        <v>1583</v>
      </c>
      <c r="D217" t="s">
        <v>1140</v>
      </c>
      <c r="F217">
        <v>21343</v>
      </c>
      <c r="G217">
        <v>24444</v>
      </c>
      <c r="H217">
        <v>26137</v>
      </c>
      <c r="I217">
        <v>31442</v>
      </c>
      <c r="J217">
        <v>35570</v>
      </c>
      <c r="K217">
        <v>37287</v>
      </c>
      <c r="L217">
        <v>41572</v>
      </c>
      <c r="M217">
        <v>44562.932555550891</v>
      </c>
      <c r="N217">
        <v>46958.093153765301</v>
      </c>
      <c r="O217">
        <v>49124.168019891491</v>
      </c>
      <c r="P217">
        <v>51587.781076673891</v>
      </c>
    </row>
    <row r="218" spans="2:16">
      <c r="B218" t="s">
        <v>1586</v>
      </c>
      <c r="D218" t="s">
        <v>1140</v>
      </c>
      <c r="F218">
        <v>369103</v>
      </c>
      <c r="G218">
        <v>440157</v>
      </c>
      <c r="H218">
        <v>487572</v>
      </c>
      <c r="I218">
        <v>620372</v>
      </c>
      <c r="J218">
        <v>646330</v>
      </c>
      <c r="K218">
        <v>667899</v>
      </c>
      <c r="L218">
        <v>718229</v>
      </c>
      <c r="M218">
        <v>733797.39309255604</v>
      </c>
      <c r="N218">
        <v>779725.86506747687</v>
      </c>
      <c r="O218">
        <v>821500.25297444896</v>
      </c>
      <c r="P218">
        <v>865960.30437767995</v>
      </c>
    </row>
    <row r="219" spans="2:16">
      <c r="B219" t="s">
        <v>1589</v>
      </c>
      <c r="D219" t="s">
        <v>1140</v>
      </c>
      <c r="F219">
        <v>16.240486612714001</v>
      </c>
      <c r="G219">
        <v>17.678989616732999</v>
      </c>
      <c r="H219">
        <v>18.61053115348</v>
      </c>
      <c r="I219">
        <v>19.741229191879</v>
      </c>
      <c r="J219">
        <v>22.023101251768999</v>
      </c>
      <c r="K219">
        <v>22.981614315897001</v>
      </c>
      <c r="L219">
        <v>25.187249696917</v>
      </c>
      <c r="M219">
        <v>26.778800404293001</v>
      </c>
      <c r="N219">
        <v>28.267235101741999</v>
      </c>
      <c r="O219">
        <v>29.613308091760999</v>
      </c>
      <c r="P219">
        <v>31.144281487672998</v>
      </c>
    </row>
    <row r="220" spans="2:16">
      <c r="B220" t="s">
        <v>1592</v>
      </c>
      <c r="D220" t="s">
        <v>1140</v>
      </c>
      <c r="F220">
        <v>16.240486612714001</v>
      </c>
      <c r="G220">
        <v>17.678989616732999</v>
      </c>
      <c r="H220">
        <v>18.61053115348</v>
      </c>
      <c r="I220">
        <v>19.741229191879</v>
      </c>
      <c r="J220">
        <v>22.023101251768999</v>
      </c>
      <c r="K220">
        <v>22.981614315897001</v>
      </c>
      <c r="L220">
        <v>25.187249696917</v>
      </c>
      <c r="M220">
        <v>26.778800404293001</v>
      </c>
      <c r="N220">
        <v>28.267235101741999</v>
      </c>
      <c r="O220">
        <v>29.613308091760999</v>
      </c>
      <c r="P220">
        <v>31.144281487672998</v>
      </c>
    </row>
    <row r="221" spans="2:16">
      <c r="B221" t="s">
        <v>1595</v>
      </c>
      <c r="D221" t="s">
        <v>1140</v>
      </c>
      <c r="F221">
        <v>10.332020640822</v>
      </c>
      <c r="G221">
        <v>11.883128975192999</v>
      </c>
      <c r="H221">
        <v>12.649581041314001</v>
      </c>
      <c r="I221">
        <v>14.097303746367</v>
      </c>
      <c r="J221">
        <v>16.554130112959999</v>
      </c>
      <c r="K221">
        <v>17.652600119698</v>
      </c>
      <c r="L221">
        <v>19.797698311718001</v>
      </c>
      <c r="M221">
        <v>21.474859552811999</v>
      </c>
      <c r="N221">
        <v>22.963294250261001</v>
      </c>
      <c r="O221">
        <v>24.30936724028</v>
      </c>
      <c r="P221">
        <v>25.840340636192</v>
      </c>
    </row>
    <row r="222" spans="2:16">
      <c r="B222" t="s">
        <v>1597</v>
      </c>
      <c r="D222" t="s">
        <v>1140</v>
      </c>
      <c r="E222">
        <v>20.68940864304</v>
      </c>
    </row>
    <row r="223" spans="2:16">
      <c r="B223" t="s">
        <v>1600</v>
      </c>
      <c r="D223" t="s">
        <v>1140</v>
      </c>
      <c r="F223">
        <v>243638.34794520497</v>
      </c>
      <c r="G223">
        <v>289205.038356164</v>
      </c>
      <c r="H223">
        <v>341385.24590163893</v>
      </c>
      <c r="I223">
        <v>447370.50136986293</v>
      </c>
      <c r="J223">
        <v>487902.29041095899</v>
      </c>
      <c r="K223">
        <v>510245</v>
      </c>
      <c r="L223">
        <v>528829.61748633895</v>
      </c>
      <c r="M223">
        <v>550080.40742421802</v>
      </c>
      <c r="N223">
        <v>576288.02841997088</v>
      </c>
      <c r="O223">
        <v>610220.95222156995</v>
      </c>
      <c r="P223">
        <v>643250.96512786997</v>
      </c>
    </row>
    <row r="224" spans="2:16">
      <c r="B224" t="s">
        <v>1602</v>
      </c>
      <c r="D224" t="s">
        <v>1140</v>
      </c>
      <c r="F224">
        <v>42024.115068493091</v>
      </c>
      <c r="G224">
        <v>56257.461643835602</v>
      </c>
      <c r="H224">
        <v>57156.754098360601</v>
      </c>
      <c r="I224">
        <v>76476.998630136994</v>
      </c>
      <c r="J224">
        <v>72086.7095890411</v>
      </c>
      <c r="K224">
        <v>81904.5</v>
      </c>
      <c r="L224">
        <v>95957.382513661185</v>
      </c>
      <c r="M224">
        <v>100459.313378789</v>
      </c>
      <c r="N224">
        <v>105590.36147491098</v>
      </c>
      <c r="O224">
        <v>112080.71660174298</v>
      </c>
      <c r="P224">
        <v>118370.83633826899</v>
      </c>
    </row>
    <row r="225" spans="2:16">
      <c r="B225" t="s">
        <v>1604</v>
      </c>
      <c r="D225" t="s">
        <v>1140</v>
      </c>
      <c r="F225">
        <v>285522</v>
      </c>
      <c r="G225">
        <v>345462.5</v>
      </c>
      <c r="H225">
        <v>398542</v>
      </c>
      <c r="I225">
        <v>523847.5</v>
      </c>
      <c r="J225">
        <v>559989</v>
      </c>
      <c r="K225">
        <v>592149.5</v>
      </c>
      <c r="L225">
        <v>624787</v>
      </c>
      <c r="M225">
        <v>650539.72055095201</v>
      </c>
      <c r="N225">
        <v>681878.38938585494</v>
      </c>
      <c r="O225">
        <v>722301.66828019684</v>
      </c>
      <c r="P225">
        <v>761621.80088890204</v>
      </c>
    </row>
    <row r="226" spans="2:16">
      <c r="B226" t="s">
        <v>1606</v>
      </c>
      <c r="D226" t="s">
        <v>1140</v>
      </c>
      <c r="F226">
        <v>163</v>
      </c>
      <c r="G226">
        <v>373.5</v>
      </c>
      <c r="H226">
        <v>552</v>
      </c>
      <c r="I226">
        <v>2446.5</v>
      </c>
      <c r="J226">
        <v>4713</v>
      </c>
      <c r="K226">
        <v>5256.5</v>
      </c>
      <c r="L226">
        <v>4898</v>
      </c>
      <c r="M226">
        <v>4383.8927330254801</v>
      </c>
      <c r="N226">
        <v>4247.91617006654</v>
      </c>
      <c r="O226">
        <v>4225.0455675838602</v>
      </c>
      <c r="P226">
        <v>4230.3190177299703</v>
      </c>
    </row>
    <row r="227" spans="2:16">
      <c r="B227" t="s">
        <v>1608</v>
      </c>
      <c r="D227" t="s">
        <v>1140</v>
      </c>
      <c r="F227">
        <v>285685</v>
      </c>
      <c r="G227">
        <v>345836</v>
      </c>
      <c r="H227">
        <v>399094</v>
      </c>
      <c r="I227">
        <v>526294</v>
      </c>
      <c r="J227">
        <v>564702</v>
      </c>
      <c r="K227">
        <v>597406</v>
      </c>
      <c r="L227">
        <v>629685</v>
      </c>
      <c r="M227">
        <v>654923.61328397784</v>
      </c>
      <c r="N227">
        <v>686126.30555592198</v>
      </c>
      <c r="O227">
        <v>726526.71384778002</v>
      </c>
      <c r="P227">
        <v>765852.11990663188</v>
      </c>
    </row>
    <row r="228" spans="2:16">
      <c r="B228" t="s">
        <v>1610</v>
      </c>
      <c r="D228" t="s">
        <v>1140</v>
      </c>
      <c r="F228">
        <v>-1382</v>
      </c>
      <c r="G228">
        <v>-1225</v>
      </c>
      <c r="H228">
        <v>-1489</v>
      </c>
      <c r="I228">
        <v>-3349.5</v>
      </c>
      <c r="J228">
        <v>-5203.5</v>
      </c>
      <c r="K228">
        <v>-5310.5</v>
      </c>
      <c r="L228">
        <v>-5006.5</v>
      </c>
      <c r="M228">
        <v>-4797.8533338689303</v>
      </c>
      <c r="N228">
        <v>-4828.4119531607903</v>
      </c>
      <c r="O228">
        <v>-4995.3528168653293</v>
      </c>
      <c r="P228">
        <v>-5182.6881359427898</v>
      </c>
    </row>
    <row r="229" spans="2:16">
      <c r="B229" t="s">
        <v>1612</v>
      </c>
      <c r="D229" t="s">
        <v>1140</v>
      </c>
      <c r="F229">
        <v>0</v>
      </c>
      <c r="G229">
        <v>0</v>
      </c>
      <c r="H229">
        <v>0</v>
      </c>
      <c r="I229">
        <v>0</v>
      </c>
      <c r="J229">
        <v>0</v>
      </c>
      <c r="K229">
        <v>0</v>
      </c>
      <c r="L229">
        <v>0</v>
      </c>
      <c r="M229">
        <v>-2.52054795E-4</v>
      </c>
      <c r="N229">
        <v>-5.0902696500000004E-4</v>
      </c>
      <c r="O229">
        <v>-5.4311622100000005E-4</v>
      </c>
      <c r="P229">
        <v>-5.7723744200000005E-4</v>
      </c>
    </row>
    <row r="230" spans="2:16">
      <c r="B230" t="s">
        <v>1614</v>
      </c>
      <c r="D230" t="s">
        <v>1140</v>
      </c>
      <c r="F230">
        <v>68946</v>
      </c>
      <c r="G230">
        <v>67682</v>
      </c>
      <c r="H230">
        <v>78389</v>
      </c>
      <c r="I230">
        <v>99458</v>
      </c>
      <c r="J230">
        <v>81168</v>
      </c>
      <c r="K230">
        <v>67867</v>
      </c>
      <c r="L230">
        <v>81906</v>
      </c>
      <c r="M230">
        <v>77335.550838263502</v>
      </c>
      <c r="N230">
        <v>80949.139600155802</v>
      </c>
      <c r="O230">
        <v>85605.167040857603</v>
      </c>
      <c r="P230">
        <v>90159.780867003486</v>
      </c>
    </row>
    <row r="231" spans="2:16">
      <c r="B231" t="s">
        <v>1616</v>
      </c>
      <c r="D231" t="s">
        <v>1140</v>
      </c>
      <c r="F231">
        <v>353414</v>
      </c>
      <c r="G231">
        <v>412285</v>
      </c>
      <c r="H231">
        <v>475738</v>
      </c>
      <c r="I231">
        <v>620798</v>
      </c>
      <c r="J231">
        <v>640417</v>
      </c>
      <c r="K231">
        <v>660105</v>
      </c>
      <c r="L231">
        <v>706746</v>
      </c>
      <c r="M231">
        <v>727508.45745450305</v>
      </c>
      <c r="N231">
        <v>762169.327917494</v>
      </c>
      <c r="O231">
        <v>807047.29249349097</v>
      </c>
      <c r="P231">
        <v>850731.1128968969</v>
      </c>
    </row>
    <row r="232" spans="2:16">
      <c r="B232" t="s">
        <v>1618</v>
      </c>
      <c r="D232" t="s">
        <v>1140</v>
      </c>
      <c r="F232">
        <v>273649</v>
      </c>
      <c r="G232">
        <v>332856</v>
      </c>
      <c r="H232">
        <v>384299</v>
      </c>
      <c r="I232">
        <v>505488</v>
      </c>
      <c r="J232">
        <v>539970</v>
      </c>
      <c r="K232">
        <v>568136</v>
      </c>
      <c r="L232">
        <v>599939</v>
      </c>
      <c r="M232">
        <v>619964.29301592801</v>
      </c>
      <c r="N232">
        <v>648978.17134330305</v>
      </c>
      <c r="O232">
        <v>687481.06510544196</v>
      </c>
      <c r="P232">
        <v>724653.24875106197</v>
      </c>
    </row>
    <row r="233" spans="2:16">
      <c r="B233" t="s">
        <v>1620</v>
      </c>
      <c r="D233" t="s">
        <v>1140</v>
      </c>
      <c r="F233">
        <v>0</v>
      </c>
      <c r="G233">
        <v>0</v>
      </c>
      <c r="H233">
        <v>0</v>
      </c>
      <c r="I233">
        <v>0</v>
      </c>
      <c r="J233">
        <v>0</v>
      </c>
      <c r="K233">
        <v>0</v>
      </c>
      <c r="L233">
        <v>0</v>
      </c>
      <c r="M233">
        <v>0</v>
      </c>
      <c r="N233">
        <v>0</v>
      </c>
      <c r="O233">
        <v>0</v>
      </c>
      <c r="P233">
        <v>0</v>
      </c>
    </row>
    <row r="234" spans="2:16">
      <c r="B234" t="s">
        <v>1622</v>
      </c>
      <c r="D234" t="s">
        <v>1140</v>
      </c>
      <c r="F234">
        <v>57772</v>
      </c>
      <c r="G234">
        <v>56671</v>
      </c>
      <c r="H234">
        <v>66033</v>
      </c>
      <c r="I234">
        <v>84143</v>
      </c>
      <c r="J234">
        <v>66913</v>
      </c>
      <c r="K234">
        <v>55900</v>
      </c>
      <c r="L234">
        <v>67558</v>
      </c>
      <c r="M234">
        <v>64622.723904025494</v>
      </c>
      <c r="N234">
        <v>68047.400388017093</v>
      </c>
      <c r="O234">
        <v>72179.427331129278</v>
      </c>
      <c r="P234">
        <v>76336.967574722294</v>
      </c>
    </row>
    <row r="235" spans="2:16">
      <c r="B235" t="s">
        <v>1624</v>
      </c>
      <c r="D235" t="s">
        <v>1140</v>
      </c>
      <c r="F235">
        <v>0</v>
      </c>
      <c r="G235">
        <v>469.5</v>
      </c>
      <c r="H235">
        <v>939</v>
      </c>
      <c r="I235">
        <v>939</v>
      </c>
      <c r="J235">
        <v>939</v>
      </c>
      <c r="K235">
        <v>939</v>
      </c>
      <c r="L235">
        <v>939</v>
      </c>
      <c r="M235">
        <v>939</v>
      </c>
      <c r="N235">
        <v>939</v>
      </c>
      <c r="O235">
        <v>939</v>
      </c>
      <c r="P235">
        <v>939</v>
      </c>
    </row>
    <row r="236" spans="2:16">
      <c r="B236" t="s">
        <v>1626</v>
      </c>
      <c r="D236" t="s">
        <v>1140</v>
      </c>
      <c r="F236">
        <v>19636</v>
      </c>
      <c r="G236">
        <v>21625</v>
      </c>
      <c r="H236">
        <v>24204</v>
      </c>
      <c r="I236">
        <v>28856</v>
      </c>
      <c r="J236">
        <v>32351</v>
      </c>
      <c r="K236">
        <v>34903</v>
      </c>
      <c r="L236">
        <v>38088</v>
      </c>
      <c r="M236">
        <v>41718.626835919698</v>
      </c>
      <c r="N236">
        <v>44204.7561861742</v>
      </c>
      <c r="O236">
        <v>46447.800056919696</v>
      </c>
      <c r="P236">
        <v>48801.8965711126</v>
      </c>
    </row>
    <row r="237" spans="2:16">
      <c r="B237" t="s">
        <v>1628</v>
      </c>
      <c r="D237" t="s">
        <v>1140</v>
      </c>
      <c r="F237">
        <v>12036</v>
      </c>
      <c r="G237">
        <v>12980</v>
      </c>
      <c r="H237">
        <v>14795</v>
      </c>
      <c r="I237">
        <v>20806</v>
      </c>
      <c r="J237">
        <v>24732</v>
      </c>
      <c r="K237">
        <v>29270</v>
      </c>
      <c r="L237">
        <v>29746</v>
      </c>
      <c r="M237">
        <v>34959.320268049603</v>
      </c>
      <c r="N237">
        <v>37148.134212618992</v>
      </c>
      <c r="O237">
        <v>39045.648742338701</v>
      </c>
      <c r="P237">
        <v>41198.871155569999</v>
      </c>
    </row>
    <row r="238" spans="2:16">
      <c r="B238" t="s">
        <v>1630</v>
      </c>
      <c r="D238" t="s">
        <v>1140</v>
      </c>
      <c r="F238">
        <v>261972</v>
      </c>
      <c r="G238">
        <v>318618</v>
      </c>
      <c r="H238">
        <v>365224</v>
      </c>
      <c r="I238">
        <v>473772</v>
      </c>
      <c r="J238">
        <v>501269</v>
      </c>
      <c r="K238">
        <v>507341</v>
      </c>
      <c r="L238">
        <v>532380</v>
      </c>
      <c r="M238">
        <v>550587.39662966598</v>
      </c>
      <c r="N238">
        <v>585135.30599489401</v>
      </c>
      <c r="O238">
        <v>616364.256632259</v>
      </c>
      <c r="P238">
        <v>649656.228780334</v>
      </c>
    </row>
    <row r="239" spans="2:16">
      <c r="B239" t="s">
        <v>1632</v>
      </c>
      <c r="D239" t="s">
        <v>1140</v>
      </c>
      <c r="F239">
        <v>171</v>
      </c>
      <c r="G239">
        <v>199</v>
      </c>
      <c r="H239">
        <v>279</v>
      </c>
      <c r="I239">
        <v>1729</v>
      </c>
      <c r="J239">
        <v>1992</v>
      </c>
      <c r="K239">
        <v>2125</v>
      </c>
      <c r="L239">
        <v>2008</v>
      </c>
      <c r="M239">
        <v>1852.65289226612</v>
      </c>
      <c r="N239">
        <v>1834.5383433516299</v>
      </c>
      <c r="O239">
        <v>1832.8012093111499</v>
      </c>
      <c r="P239">
        <v>1839.1156980784599</v>
      </c>
    </row>
    <row r="240" spans="2:16">
      <c r="B240" t="s">
        <v>1634</v>
      </c>
      <c r="D240" t="s">
        <v>1140</v>
      </c>
      <c r="F240">
        <v>1046</v>
      </c>
      <c r="G240">
        <v>1034</v>
      </c>
      <c r="H240">
        <v>1466</v>
      </c>
      <c r="I240">
        <v>3225</v>
      </c>
      <c r="J240">
        <v>3461</v>
      </c>
      <c r="K240">
        <v>3043</v>
      </c>
      <c r="L240">
        <v>2837</v>
      </c>
      <c r="M240">
        <v>2898.0537754717402</v>
      </c>
      <c r="N240">
        <v>3071.57889523208</v>
      </c>
      <c r="O240">
        <v>3251.7871858357989</v>
      </c>
      <c r="P240">
        <v>3441.6721786601702</v>
      </c>
    </row>
    <row r="241" spans="2:16">
      <c r="B241" t="s">
        <v>1636</v>
      </c>
      <c r="D241" t="s">
        <v>1140</v>
      </c>
      <c r="F241">
        <v>1579</v>
      </c>
      <c r="G241">
        <v>1920</v>
      </c>
      <c r="H241">
        <v>2229</v>
      </c>
      <c r="I241">
        <v>2217</v>
      </c>
      <c r="J241">
        <v>2382</v>
      </c>
      <c r="K241">
        <v>2137</v>
      </c>
      <c r="L241">
        <v>1871</v>
      </c>
      <c r="M241">
        <v>1731</v>
      </c>
      <c r="N241">
        <v>1731</v>
      </c>
      <c r="O241">
        <v>1731</v>
      </c>
      <c r="P241">
        <v>1731</v>
      </c>
    </row>
    <row r="242" spans="2:16">
      <c r="B242" t="s">
        <v>1637</v>
      </c>
      <c r="D242" t="s">
        <v>1140</v>
      </c>
      <c r="F242">
        <v>18310</v>
      </c>
      <c r="G242">
        <v>18721</v>
      </c>
      <c r="H242">
        <v>18278</v>
      </c>
      <c r="I242">
        <v>14728</v>
      </c>
      <c r="J242">
        <v>11569</v>
      </c>
      <c r="K242">
        <v>10734</v>
      </c>
      <c r="L242">
        <v>9717</v>
      </c>
      <c r="M242">
        <v>8114.2250000000004</v>
      </c>
      <c r="N242">
        <v>8535.5210488389494</v>
      </c>
      <c r="O242">
        <v>9112.9225270754505</v>
      </c>
      <c r="P242">
        <v>9672.123809907338</v>
      </c>
    </row>
    <row r="243" spans="2:16">
      <c r="B243" t="s">
        <v>1639</v>
      </c>
      <c r="D243" t="s">
        <v>1140</v>
      </c>
    </row>
    <row r="244" spans="2:16">
      <c r="B244" t="s">
        <v>1641</v>
      </c>
      <c r="D244" t="s">
        <v>1140</v>
      </c>
    </row>
    <row r="245" spans="2:16">
      <c r="B245" t="s">
        <v>1643</v>
      </c>
      <c r="D245" t="s">
        <v>1140</v>
      </c>
    </row>
    <row r="246" spans="2:16">
      <c r="B246" t="s">
        <v>1645</v>
      </c>
      <c r="D246" t="s">
        <v>1140</v>
      </c>
    </row>
    <row r="247" spans="2:16">
      <c r="B247" t="s">
        <v>1647</v>
      </c>
      <c r="D247" t="s">
        <v>1140</v>
      </c>
    </row>
    <row r="248" spans="2:16">
      <c r="B248" t="s">
        <v>1650</v>
      </c>
      <c r="D248" t="s">
        <v>1140</v>
      </c>
    </row>
    <row r="249" spans="2:16">
      <c r="B249" t="s">
        <v>1652</v>
      </c>
      <c r="D249" t="s">
        <v>1140</v>
      </c>
    </row>
    <row r="250" spans="2:16">
      <c r="B250" t="s">
        <v>1653</v>
      </c>
      <c r="D250" t="s">
        <v>1140</v>
      </c>
      <c r="F250">
        <v>18310</v>
      </c>
      <c r="G250">
        <v>18721</v>
      </c>
      <c r="H250">
        <v>18278</v>
      </c>
      <c r="I250">
        <v>14728</v>
      </c>
      <c r="J250">
        <v>11569</v>
      </c>
      <c r="K250">
        <v>10734</v>
      </c>
      <c r="L250">
        <v>9717</v>
      </c>
      <c r="M250">
        <v>8155</v>
      </c>
      <c r="N250">
        <v>8155</v>
      </c>
      <c r="O250">
        <v>8155</v>
      </c>
      <c r="P250">
        <v>8155</v>
      </c>
    </row>
    <row r="251" spans="2:16">
      <c r="B251" t="s">
        <v>1655</v>
      </c>
      <c r="D251" t="s">
        <v>1140</v>
      </c>
    </row>
    <row r="252" spans="2:16">
      <c r="B252" t="s">
        <v>1657</v>
      </c>
      <c r="D252" t="s">
        <v>1140</v>
      </c>
    </row>
    <row r="253" spans="2:16">
      <c r="B253" t="s">
        <v>1659</v>
      </c>
      <c r="D253" t="s">
        <v>1140</v>
      </c>
    </row>
    <row r="254" spans="2:16">
      <c r="B254" t="s">
        <v>1661</v>
      </c>
      <c r="D254" t="s">
        <v>1140</v>
      </c>
    </row>
    <row r="255" spans="2:16">
      <c r="B255" t="s">
        <v>1663</v>
      </c>
      <c r="D255" t="s">
        <v>1140</v>
      </c>
      <c r="F255">
        <v>14444</v>
      </c>
      <c r="G255">
        <v>14483</v>
      </c>
      <c r="H255">
        <v>15727</v>
      </c>
      <c r="I255">
        <v>21642</v>
      </c>
      <c r="J255">
        <v>23081</v>
      </c>
      <c r="K255">
        <v>23602</v>
      </c>
      <c r="L255">
        <v>25175</v>
      </c>
      <c r="M255">
        <v>26126</v>
      </c>
      <c r="N255">
        <v>26126</v>
      </c>
      <c r="O255">
        <v>26126</v>
      </c>
      <c r="P255">
        <v>26126</v>
      </c>
    </row>
    <row r="256" spans="2:16">
      <c r="B256" t="s">
        <v>1665</v>
      </c>
      <c r="D256" t="s">
        <v>1140</v>
      </c>
      <c r="F256">
        <v>1904</v>
      </c>
      <c r="G256">
        <v>2143</v>
      </c>
      <c r="H256">
        <v>1206</v>
      </c>
      <c r="I256">
        <v>516</v>
      </c>
      <c r="J256">
        <v>1089</v>
      </c>
      <c r="K256">
        <v>392</v>
      </c>
      <c r="L256">
        <v>1571</v>
      </c>
      <c r="M256">
        <v>1331.10296860373</v>
      </c>
      <c r="N256">
        <v>1614.22545889104</v>
      </c>
      <c r="O256">
        <v>1495.62028450908</v>
      </c>
      <c r="P256">
        <v>1532.6864861289</v>
      </c>
    </row>
    <row r="257" spans="2:16">
      <c r="B257" t="s">
        <v>1667</v>
      </c>
      <c r="D257" t="s">
        <v>1140</v>
      </c>
      <c r="F257">
        <v>4487</v>
      </c>
      <c r="G257">
        <v>6367</v>
      </c>
      <c r="H257">
        <v>7747</v>
      </c>
      <c r="I257">
        <v>7825</v>
      </c>
      <c r="J257">
        <v>9938</v>
      </c>
      <c r="K257">
        <v>11826</v>
      </c>
      <c r="L257">
        <v>13356</v>
      </c>
      <c r="M257">
        <v>15634.8295869472</v>
      </c>
      <c r="N257">
        <v>17746.867694874301</v>
      </c>
      <c r="O257">
        <v>20031.547735382399</v>
      </c>
      <c r="P257">
        <v>22458.094590544999</v>
      </c>
    </row>
    <row r="258" spans="2:16">
      <c r="B258" t="s">
        <v>1669</v>
      </c>
      <c r="D258" t="s">
        <v>1140</v>
      </c>
      <c r="F258">
        <v>20835</v>
      </c>
      <c r="G258">
        <v>22993</v>
      </c>
      <c r="H258">
        <v>24680</v>
      </c>
      <c r="I258">
        <v>29983</v>
      </c>
      <c r="J258">
        <v>34108</v>
      </c>
      <c r="K258">
        <v>35820</v>
      </c>
      <c r="L258">
        <v>40102</v>
      </c>
      <c r="M258">
        <v>43091.932555550891</v>
      </c>
      <c r="N258">
        <v>45487.093153765301</v>
      </c>
      <c r="O258">
        <v>47653.168019891491</v>
      </c>
      <c r="P258">
        <v>50116.781076673891</v>
      </c>
    </row>
    <row r="259" spans="2:16">
      <c r="B259" t="s">
        <v>1671</v>
      </c>
      <c r="D259" t="s">
        <v>1140</v>
      </c>
      <c r="F259">
        <v>21343</v>
      </c>
      <c r="G259">
        <v>24444</v>
      </c>
      <c r="H259">
        <v>26137</v>
      </c>
      <c r="I259">
        <v>31442</v>
      </c>
      <c r="J259">
        <v>35570</v>
      </c>
      <c r="K259">
        <v>37287</v>
      </c>
      <c r="L259">
        <v>41572</v>
      </c>
      <c r="M259">
        <v>44562.932555550891</v>
      </c>
      <c r="N259">
        <v>46958.093153765301</v>
      </c>
      <c r="O259">
        <v>49124.168019891491</v>
      </c>
      <c r="P259">
        <v>51587.781076673891</v>
      </c>
    </row>
    <row r="260" spans="2:16">
      <c r="B260" t="s">
        <v>1673</v>
      </c>
      <c r="D260" t="s">
        <v>1140</v>
      </c>
      <c r="F260">
        <v>13534</v>
      </c>
      <c r="G260">
        <v>16609</v>
      </c>
      <c r="H260">
        <v>17879</v>
      </c>
      <c r="I260">
        <v>22197</v>
      </c>
      <c r="J260">
        <v>26150</v>
      </c>
      <c r="K260">
        <v>27684</v>
      </c>
      <c r="L260">
        <v>31291</v>
      </c>
      <c r="M260">
        <v>34019.939958785602</v>
      </c>
      <c r="N260">
        <v>36271.923188848501</v>
      </c>
      <c r="O260">
        <v>38457.379998054399</v>
      </c>
      <c r="P260">
        <v>40929.364576851694</v>
      </c>
    </row>
    <row r="261" spans="2:16">
      <c r="B261" t="s">
        <v>1675</v>
      </c>
      <c r="D261" t="s">
        <v>1140</v>
      </c>
      <c r="F261">
        <v>326</v>
      </c>
      <c r="G261">
        <v>421</v>
      </c>
      <c r="H261">
        <v>683</v>
      </c>
      <c r="I261">
        <v>4210</v>
      </c>
      <c r="J261">
        <v>5216</v>
      </c>
      <c r="K261">
        <v>5297</v>
      </c>
      <c r="L261">
        <v>4499</v>
      </c>
      <c r="M261">
        <v>4268.7854660509702</v>
      </c>
      <c r="N261">
        <v>4227.0468740821098</v>
      </c>
      <c r="O261">
        <v>4223.0442610856098</v>
      </c>
      <c r="P261">
        <v>4237.5937743743398</v>
      </c>
    </row>
    <row r="262" spans="2:16">
      <c r="B262" t="s">
        <v>1677</v>
      </c>
      <c r="D262" t="s">
        <v>1140</v>
      </c>
      <c r="F262">
        <v>13026</v>
      </c>
      <c r="G262">
        <v>15158</v>
      </c>
      <c r="H262">
        <v>16422</v>
      </c>
      <c r="I262">
        <v>20738</v>
      </c>
      <c r="J262">
        <v>24688</v>
      </c>
      <c r="K262">
        <v>26217</v>
      </c>
      <c r="L262">
        <v>29821</v>
      </c>
      <c r="M262">
        <v>32548.939958785599</v>
      </c>
      <c r="N262">
        <v>34800.923188848501</v>
      </c>
      <c r="O262">
        <v>36986.379998054399</v>
      </c>
      <c r="P262">
        <v>39458.364576851694</v>
      </c>
    </row>
    <row r="263" spans="2:16">
      <c r="B263" t="s">
        <v>1679</v>
      </c>
      <c r="D263" t="s">
        <v>1140</v>
      </c>
      <c r="E263">
        <v>0.122</v>
      </c>
    </row>
    <row r="264" spans="2:16">
      <c r="B264" t="s">
        <v>2097</v>
      </c>
      <c r="D264" t="s">
        <v>1140</v>
      </c>
      <c r="F264">
        <v>0</v>
      </c>
      <c r="G264">
        <v>0</v>
      </c>
      <c r="H264">
        <v>0</v>
      </c>
      <c r="I264">
        <v>0</v>
      </c>
      <c r="J264">
        <v>0</v>
      </c>
      <c r="K264">
        <v>0</v>
      </c>
      <c r="L264">
        <v>0</v>
      </c>
      <c r="M264">
        <v>0</v>
      </c>
      <c r="N264">
        <v>0</v>
      </c>
      <c r="O264">
        <v>0</v>
      </c>
      <c r="P264">
        <v>0</v>
      </c>
    </row>
    <row r="265" spans="2:16">
      <c r="B265" t="s">
        <v>1681</v>
      </c>
      <c r="D265" t="s">
        <v>1140</v>
      </c>
      <c r="F265">
        <v>20835</v>
      </c>
      <c r="G265">
        <v>22993</v>
      </c>
      <c r="H265">
        <v>24680</v>
      </c>
      <c r="I265">
        <v>29983</v>
      </c>
      <c r="J265">
        <v>34108</v>
      </c>
      <c r="K265">
        <v>35820</v>
      </c>
      <c r="L265">
        <v>40102</v>
      </c>
      <c r="M265">
        <v>43091.932555550891</v>
      </c>
      <c r="N265">
        <v>45487.093153765301</v>
      </c>
      <c r="O265">
        <v>47653.168019891491</v>
      </c>
      <c r="P265">
        <v>50116.781076673891</v>
      </c>
    </row>
    <row r="266" spans="2:16">
      <c r="B266" t="s">
        <v>1683</v>
      </c>
      <c r="D266" t="s">
        <v>1140</v>
      </c>
      <c r="F266">
        <v>13255</v>
      </c>
      <c r="G266">
        <v>15455</v>
      </c>
      <c r="H266">
        <v>16775</v>
      </c>
      <c r="I266">
        <v>21411</v>
      </c>
      <c r="J266">
        <v>25638</v>
      </c>
      <c r="K266">
        <v>27514</v>
      </c>
      <c r="L266">
        <v>31521</v>
      </c>
      <c r="M266">
        <v>34556.932555550891</v>
      </c>
      <c r="N266">
        <v>36952.093153765301</v>
      </c>
      <c r="O266">
        <v>39118.168019891491</v>
      </c>
      <c r="P266">
        <v>41581.781076673898</v>
      </c>
    </row>
    <row r="267" spans="2:16">
      <c r="B267" t="s">
        <v>1685</v>
      </c>
      <c r="D267" t="s">
        <v>1140</v>
      </c>
      <c r="F267">
        <v>0</v>
      </c>
      <c r="G267">
        <v>0</v>
      </c>
      <c r="H267">
        <v>0</v>
      </c>
      <c r="I267">
        <v>0</v>
      </c>
      <c r="J267">
        <v>0</v>
      </c>
      <c r="K267">
        <v>0</v>
      </c>
      <c r="L267">
        <v>0</v>
      </c>
      <c r="M267">
        <v>0</v>
      </c>
      <c r="N267">
        <v>0</v>
      </c>
      <c r="O267">
        <v>0</v>
      </c>
      <c r="P267">
        <v>0</v>
      </c>
    </row>
    <row r="268" spans="2:16">
      <c r="B268" t="s">
        <v>1687</v>
      </c>
      <c r="D268" t="s">
        <v>1140</v>
      </c>
      <c r="F268">
        <v>0</v>
      </c>
      <c r="G268">
        <v>0</v>
      </c>
      <c r="H268">
        <v>0</v>
      </c>
      <c r="I268">
        <v>0</v>
      </c>
      <c r="J268">
        <v>0</v>
      </c>
      <c r="K268">
        <v>0</v>
      </c>
      <c r="L268">
        <v>0</v>
      </c>
      <c r="M268">
        <v>0</v>
      </c>
      <c r="N268">
        <v>0</v>
      </c>
      <c r="O268">
        <v>0</v>
      </c>
      <c r="P268">
        <v>0</v>
      </c>
    </row>
    <row r="269" spans="2:16">
      <c r="B269" t="s">
        <v>1689</v>
      </c>
      <c r="D269" t="s">
        <v>1140</v>
      </c>
      <c r="F269">
        <v>0</v>
      </c>
      <c r="G269">
        <v>0</v>
      </c>
      <c r="H269">
        <v>0</v>
      </c>
      <c r="I269">
        <v>0</v>
      </c>
      <c r="J269">
        <v>0</v>
      </c>
      <c r="K269">
        <v>0</v>
      </c>
      <c r="L269">
        <v>0</v>
      </c>
      <c r="M269">
        <v>0</v>
      </c>
      <c r="N269">
        <v>0</v>
      </c>
      <c r="O269">
        <v>0</v>
      </c>
      <c r="P269">
        <v>0</v>
      </c>
    </row>
    <row r="270" spans="2:16">
      <c r="B270" t="s">
        <v>1691</v>
      </c>
      <c r="D270" t="s">
        <v>1140</v>
      </c>
    </row>
    <row r="271" spans="2:16">
      <c r="B271" t="s">
        <v>1693</v>
      </c>
      <c r="D271" t="s">
        <v>1140</v>
      </c>
      <c r="F271">
        <v>0</v>
      </c>
      <c r="G271">
        <v>0</v>
      </c>
      <c r="H271">
        <v>0</v>
      </c>
      <c r="I271">
        <v>0</v>
      </c>
      <c r="J271">
        <v>0</v>
      </c>
      <c r="K271">
        <v>0</v>
      </c>
      <c r="L271">
        <v>0</v>
      </c>
      <c r="M271">
        <v>0</v>
      </c>
      <c r="N271">
        <v>0</v>
      </c>
      <c r="O271">
        <v>0</v>
      </c>
      <c r="P271">
        <v>0</v>
      </c>
    </row>
    <row r="272" spans="2:16">
      <c r="B272" t="s">
        <v>1695</v>
      </c>
      <c r="D272" t="s">
        <v>1140</v>
      </c>
      <c r="F272">
        <v>0</v>
      </c>
      <c r="G272">
        <v>0</v>
      </c>
      <c r="H272">
        <v>0</v>
      </c>
      <c r="I272">
        <v>0</v>
      </c>
      <c r="J272">
        <v>0</v>
      </c>
      <c r="K272">
        <v>0</v>
      </c>
      <c r="L272">
        <v>0</v>
      </c>
      <c r="M272">
        <v>0</v>
      </c>
      <c r="N272">
        <v>0</v>
      </c>
      <c r="O272">
        <v>0</v>
      </c>
      <c r="P272">
        <v>0</v>
      </c>
    </row>
    <row r="273" spans="2:16">
      <c r="B273" t="s">
        <v>1696</v>
      </c>
      <c r="D273" t="s">
        <v>1140</v>
      </c>
      <c r="F273">
        <v>508</v>
      </c>
      <c r="G273">
        <v>512</v>
      </c>
      <c r="H273">
        <v>518</v>
      </c>
      <c r="I273">
        <v>520</v>
      </c>
      <c r="J273">
        <v>523</v>
      </c>
      <c r="K273">
        <v>528</v>
      </c>
      <c r="L273">
        <v>531</v>
      </c>
      <c r="M273">
        <v>532</v>
      </c>
      <c r="N273">
        <v>532</v>
      </c>
      <c r="O273">
        <v>532</v>
      </c>
      <c r="P273">
        <v>532</v>
      </c>
    </row>
    <row r="274" spans="2:16">
      <c r="B274" t="s">
        <v>1699</v>
      </c>
      <c r="D274" t="s">
        <v>1140</v>
      </c>
      <c r="F274">
        <v>-1211.24896526</v>
      </c>
      <c r="G274">
        <v>-3048.0954940400002</v>
      </c>
      <c r="H274">
        <v>-3424.9066021200001</v>
      </c>
      <c r="I274">
        <v>-3691.43562935</v>
      </c>
      <c r="J274">
        <v>-3587.7165277499998</v>
      </c>
      <c r="K274">
        <v>-4677.4108734800002</v>
      </c>
      <c r="L274">
        <v>-5096.5924311299987</v>
      </c>
      <c r="M274">
        <v>-5775.6014958400001</v>
      </c>
      <c r="N274">
        <v>-5857.4182612399991</v>
      </c>
      <c r="O274">
        <v>-6179.2544294400004</v>
      </c>
      <c r="P274">
        <v>-6484.9987892299996</v>
      </c>
    </row>
    <row r="275" spans="2:16">
      <c r="B275" t="s">
        <v>1702</v>
      </c>
      <c r="D275" t="s">
        <v>1140</v>
      </c>
      <c r="F275">
        <v>0</v>
      </c>
      <c r="G275">
        <v>0</v>
      </c>
      <c r="H275">
        <v>0</v>
      </c>
      <c r="I275">
        <v>0</v>
      </c>
      <c r="J275">
        <v>0</v>
      </c>
      <c r="K275">
        <v>0</v>
      </c>
      <c r="L275">
        <v>0</v>
      </c>
      <c r="M275">
        <v>0</v>
      </c>
      <c r="N275">
        <v>0</v>
      </c>
      <c r="O275">
        <v>0</v>
      </c>
      <c r="P275">
        <v>0</v>
      </c>
    </row>
    <row r="276" spans="2:16">
      <c r="B276" t="s">
        <v>1705</v>
      </c>
      <c r="D276" t="s">
        <v>1140</v>
      </c>
      <c r="F276">
        <v>36.664000000000001</v>
      </c>
      <c r="G276">
        <v>37.872999999999998</v>
      </c>
      <c r="H276">
        <v>39.621000000000002</v>
      </c>
      <c r="I276">
        <v>44.218000000000004</v>
      </c>
      <c r="J276">
        <v>45.024999999999999</v>
      </c>
      <c r="K276">
        <v>46.06</v>
      </c>
      <c r="L276">
        <v>44.844000000000001</v>
      </c>
      <c r="M276">
        <v>43.863</v>
      </c>
      <c r="N276">
        <v>42.863</v>
      </c>
      <c r="O276">
        <v>43.063000000000002</v>
      </c>
      <c r="P276">
        <v>43.162999999999997</v>
      </c>
    </row>
    <row r="277" spans="2:16">
      <c r="B277" t="s">
        <v>1707</v>
      </c>
      <c r="D277" t="s">
        <v>1140</v>
      </c>
      <c r="E277">
        <v>0.95</v>
      </c>
    </row>
    <row r="278" spans="2:16">
      <c r="B278" t="s">
        <v>1709</v>
      </c>
      <c r="D278" t="s">
        <v>1140</v>
      </c>
    </row>
    <row r="279" spans="2:16">
      <c r="B279" t="s">
        <v>1711</v>
      </c>
      <c r="D279" t="s">
        <v>1140</v>
      </c>
      <c r="E279">
        <v>0.06</v>
      </c>
    </row>
    <row r="280" spans="2:16">
      <c r="B280" t="s">
        <v>1713</v>
      </c>
      <c r="D280" t="s">
        <v>1140</v>
      </c>
      <c r="E280">
        <v>6.5000000000000002E-2</v>
      </c>
    </row>
    <row r="281" spans="2:16">
      <c r="B281" t="s">
        <v>2102</v>
      </c>
      <c r="D281" t="s">
        <v>1140</v>
      </c>
      <c r="E281" t="s">
        <v>1140</v>
      </c>
    </row>
    <row r="282" spans="2:16">
      <c r="B282" t="s">
        <v>2103</v>
      </c>
      <c r="D282" t="s">
        <v>1140</v>
      </c>
      <c r="E282" t="s">
        <v>1140</v>
      </c>
    </row>
    <row r="283" spans="2:16">
      <c r="B283" t="s">
        <v>2104</v>
      </c>
      <c r="D283" t="s">
        <v>1140</v>
      </c>
      <c r="E283" t="s">
        <v>1140</v>
      </c>
    </row>
    <row r="284" spans="2:16">
      <c r="B284" t="s">
        <v>1716</v>
      </c>
      <c r="D284" t="s">
        <v>1140</v>
      </c>
      <c r="F284">
        <v>0</v>
      </c>
      <c r="G284">
        <v>559</v>
      </c>
      <c r="H284">
        <v>495</v>
      </c>
      <c r="I284">
        <v>758</v>
      </c>
      <c r="J284">
        <v>446</v>
      </c>
      <c r="K284">
        <v>510</v>
      </c>
      <c r="L284">
        <v>390</v>
      </c>
      <c r="M284">
        <v>432.50404618010498</v>
      </c>
      <c r="N284">
        <v>608.023157883463</v>
      </c>
      <c r="O284">
        <v>810.24298028180704</v>
      </c>
      <c r="P284">
        <v>1022.9060843344</v>
      </c>
    </row>
    <row r="285" spans="2:16">
      <c r="B285" t="s">
        <v>1718</v>
      </c>
      <c r="D285" t="s">
        <v>1140</v>
      </c>
    </row>
    <row r="286" spans="2:16">
      <c r="B286" t="s">
        <v>1719</v>
      </c>
      <c r="D286" t="s">
        <v>1140</v>
      </c>
    </row>
    <row r="287" spans="2:16">
      <c r="B287" t="s">
        <v>1721</v>
      </c>
      <c r="D287" t="s">
        <v>1140</v>
      </c>
      <c r="F287">
        <v>4053</v>
      </c>
      <c r="G287">
        <v>4527</v>
      </c>
      <c r="H287">
        <v>4733</v>
      </c>
      <c r="I287">
        <v>4308</v>
      </c>
      <c r="J287">
        <v>6101</v>
      </c>
      <c r="K287">
        <v>6835</v>
      </c>
      <c r="L287">
        <v>7113</v>
      </c>
      <c r="M287">
        <v>7633.8861661871897</v>
      </c>
      <c r="N287">
        <v>8009.4563691670792</v>
      </c>
      <c r="O287">
        <v>8503.9344699481499</v>
      </c>
      <c r="P287">
        <v>8951.5456443926196</v>
      </c>
    </row>
    <row r="288" spans="2:16">
      <c r="B288" t="s">
        <v>1723</v>
      </c>
      <c r="D288" t="s">
        <v>1140</v>
      </c>
      <c r="F288">
        <v>0</v>
      </c>
      <c r="G288">
        <v>-78.571428571428996</v>
      </c>
      <c r="H288">
        <v>-68.571428571428996</v>
      </c>
      <c r="I288">
        <v>-81.428571428571004</v>
      </c>
      <c r="J288">
        <v>-67.142857142856997</v>
      </c>
      <c r="K288">
        <v>-60</v>
      </c>
      <c r="L288">
        <v>-60</v>
      </c>
      <c r="M288">
        <v>-57.142857142856997</v>
      </c>
      <c r="N288">
        <v>-57.142857142856997</v>
      </c>
      <c r="O288">
        <v>-57.142857142856997</v>
      </c>
      <c r="P288">
        <v>-57.142857142856997</v>
      </c>
    </row>
    <row r="289" spans="2:16">
      <c r="B289" t="s">
        <v>1725</v>
      </c>
      <c r="D289" t="s">
        <v>1140</v>
      </c>
      <c r="F289">
        <v>0</v>
      </c>
      <c r="G289">
        <v>0</v>
      </c>
      <c r="H289">
        <v>0</v>
      </c>
      <c r="I289">
        <v>0</v>
      </c>
      <c r="J289">
        <v>0</v>
      </c>
      <c r="K289">
        <v>0</v>
      </c>
      <c r="L289">
        <v>0</v>
      </c>
      <c r="M289">
        <v>0</v>
      </c>
      <c r="N289">
        <v>0</v>
      </c>
      <c r="O289">
        <v>0</v>
      </c>
      <c r="P289">
        <v>0</v>
      </c>
    </row>
    <row r="290" spans="2:16">
      <c r="B290" t="s">
        <v>1727</v>
      </c>
      <c r="D290" t="s">
        <v>1140</v>
      </c>
    </row>
    <row r="291" spans="2:16">
      <c r="B291" t="s">
        <v>1729</v>
      </c>
      <c r="D291" t="s">
        <v>1140</v>
      </c>
    </row>
    <row r="292" spans="2:16">
      <c r="B292" t="s">
        <v>1731</v>
      </c>
      <c r="D292" t="s">
        <v>1140</v>
      </c>
    </row>
    <row r="293" spans="2:16">
      <c r="B293" t="s">
        <v>1733</v>
      </c>
      <c r="D293" t="s">
        <v>1140</v>
      </c>
    </row>
    <row r="294" spans="2:16">
      <c r="B294" t="s">
        <v>1735</v>
      </c>
      <c r="D294" t="s">
        <v>1140</v>
      </c>
    </row>
    <row r="295" spans="2:16">
      <c r="B295" t="s">
        <v>1737</v>
      </c>
      <c r="D295" t="s">
        <v>1140</v>
      </c>
    </row>
    <row r="296" spans="2:16">
      <c r="B296" t="s">
        <v>1739</v>
      </c>
      <c r="D296" t="s">
        <v>1140</v>
      </c>
    </row>
    <row r="297" spans="2:16">
      <c r="B297" t="s">
        <v>1741</v>
      </c>
      <c r="D297" t="s">
        <v>1140</v>
      </c>
    </row>
    <row r="298" spans="2:16">
      <c r="B298" t="s">
        <v>1743</v>
      </c>
      <c r="D298" t="s">
        <v>1140</v>
      </c>
    </row>
    <row r="299" spans="2:16">
      <c r="B299" t="s">
        <v>1746</v>
      </c>
      <c r="D299" t="s">
        <v>1140</v>
      </c>
    </row>
    <row r="300" spans="2:16">
      <c r="B300" t="s">
        <v>1748</v>
      </c>
      <c r="D300" t="s">
        <v>1140</v>
      </c>
    </row>
    <row r="301" spans="2:16">
      <c r="B301" t="s">
        <v>1750</v>
      </c>
      <c r="D301" t="s">
        <v>1140</v>
      </c>
    </row>
    <row r="302" spans="2:16">
      <c r="B302" t="s">
        <v>1752</v>
      </c>
      <c r="D302" t="s">
        <v>1140</v>
      </c>
    </row>
    <row r="303" spans="2:16">
      <c r="B303" t="s">
        <v>1754</v>
      </c>
      <c r="D303" t="s">
        <v>1140</v>
      </c>
    </row>
    <row r="304" spans="2:16">
      <c r="B304" t="s">
        <v>1756</v>
      </c>
      <c r="D304" t="s">
        <v>1140</v>
      </c>
    </row>
    <row r="305" spans="2:16">
      <c r="B305" t="s">
        <v>1759</v>
      </c>
      <c r="D305" t="s">
        <v>1140</v>
      </c>
      <c r="F305">
        <v>0</v>
      </c>
      <c r="G305">
        <v>0</v>
      </c>
      <c r="H305">
        <v>0</v>
      </c>
      <c r="I305">
        <v>0</v>
      </c>
      <c r="J305">
        <v>0</v>
      </c>
      <c r="K305">
        <v>0</v>
      </c>
      <c r="L305">
        <v>0</v>
      </c>
      <c r="M305">
        <v>0</v>
      </c>
      <c r="N305">
        <v>0</v>
      </c>
      <c r="O305">
        <v>0</v>
      </c>
      <c r="P305">
        <v>0</v>
      </c>
    </row>
    <row r="306" spans="2:16">
      <c r="B306" t="s">
        <v>1761</v>
      </c>
      <c r="D306" t="s">
        <v>1140</v>
      </c>
      <c r="F306">
        <v>0</v>
      </c>
      <c r="G306">
        <v>0</v>
      </c>
      <c r="H306">
        <v>0</v>
      </c>
      <c r="I306">
        <v>0</v>
      </c>
      <c r="J306">
        <v>0</v>
      </c>
      <c r="K306">
        <v>0</v>
      </c>
      <c r="L306">
        <v>0</v>
      </c>
      <c r="M306">
        <v>0</v>
      </c>
      <c r="N306">
        <v>0</v>
      </c>
      <c r="O306">
        <v>0</v>
      </c>
      <c r="P306">
        <v>0</v>
      </c>
    </row>
    <row r="307" spans="2:16">
      <c r="B307" t="s">
        <v>1764</v>
      </c>
      <c r="D307" t="s">
        <v>1140</v>
      </c>
      <c r="F307">
        <v>16354</v>
      </c>
      <c r="G307">
        <v>17512</v>
      </c>
      <c r="H307">
        <v>16791</v>
      </c>
      <c r="I307">
        <v>23311</v>
      </c>
      <c r="J307">
        <v>26601</v>
      </c>
      <c r="K307">
        <v>28213</v>
      </c>
      <c r="L307">
        <v>30299</v>
      </c>
      <c r="M307">
        <v>33506.939958785602</v>
      </c>
      <c r="N307">
        <v>35699.9638346192</v>
      </c>
      <c r="O307">
        <v>37822.820514506893</v>
      </c>
      <c r="P307">
        <v>40232.386600008504</v>
      </c>
    </row>
    <row r="308" spans="2:16">
      <c r="B308" t="s">
        <v>1766</v>
      </c>
      <c r="D308" t="s">
        <v>1140</v>
      </c>
      <c r="F308">
        <v>16073</v>
      </c>
      <c r="G308">
        <v>13793</v>
      </c>
      <c r="H308">
        <v>12597</v>
      </c>
      <c r="I308">
        <v>18353</v>
      </c>
      <c r="J308">
        <v>19950</v>
      </c>
      <c r="K308">
        <v>21575</v>
      </c>
      <c r="L308">
        <v>23664</v>
      </c>
      <c r="M308">
        <v>26775.939958785599</v>
      </c>
      <c r="N308">
        <v>28968.9638346192</v>
      </c>
      <c r="O308">
        <v>31091.820514506901</v>
      </c>
      <c r="P308">
        <v>33501.386600008504</v>
      </c>
    </row>
    <row r="309" spans="2:16">
      <c r="B309" t="s">
        <v>1768</v>
      </c>
      <c r="D309" t="s">
        <v>1140</v>
      </c>
    </row>
    <row r="310" spans="2:16">
      <c r="B310" t="s">
        <v>1770</v>
      </c>
      <c r="D310" t="s">
        <v>1140</v>
      </c>
      <c r="F310">
        <v>7.5559744592000003E-2</v>
      </c>
      <c r="G310">
        <v>7.1376458648000005E-2</v>
      </c>
      <c r="H310">
        <v>8.1707631592999999E-2</v>
      </c>
      <c r="I310">
        <v>8.0706698610999994E-2</v>
      </c>
      <c r="J310">
        <v>9.1468635345999999E-2</v>
      </c>
      <c r="K310">
        <v>0.10014873398599999</v>
      </c>
      <c r="L310">
        <v>0.100067043829</v>
      </c>
      <c r="M310">
        <v>0.104946500368</v>
      </c>
      <c r="N310">
        <v>0.105459568985</v>
      </c>
      <c r="O310">
        <v>0.105611861653</v>
      </c>
      <c r="P310">
        <v>0.106203477933</v>
      </c>
    </row>
    <row r="311" spans="2:16">
      <c r="B311" t="s">
        <v>1771</v>
      </c>
      <c r="D311" t="s">
        <v>1140</v>
      </c>
      <c r="F311">
        <v>4562</v>
      </c>
      <c r="G311">
        <v>6439</v>
      </c>
      <c r="H311">
        <v>7013</v>
      </c>
      <c r="I311">
        <v>6784</v>
      </c>
      <c r="J311">
        <v>6819</v>
      </c>
      <c r="K311">
        <v>4749</v>
      </c>
      <c r="L311">
        <v>2939</v>
      </c>
      <c r="M311">
        <v>4066.7378125117202</v>
      </c>
      <c r="N311">
        <v>4074.26654408985</v>
      </c>
      <c r="O311">
        <v>4082.0852382937901</v>
      </c>
      <c r="P311">
        <v>4090.32377542123</v>
      </c>
    </row>
    <row r="312" spans="2:16">
      <c r="B312" t="s">
        <v>1773</v>
      </c>
      <c r="D312" t="s">
        <v>1140</v>
      </c>
      <c r="F312">
        <v>2.1077629620999998E-2</v>
      </c>
      <c r="G312">
        <v>2.6244461925E-2</v>
      </c>
      <c r="H312">
        <v>3.4126354615999999E-2</v>
      </c>
      <c r="I312">
        <v>2.3487376920000001E-2</v>
      </c>
      <c r="J312">
        <v>2.3447412670000001E-2</v>
      </c>
      <c r="K312">
        <v>1.6857701687000001E-2</v>
      </c>
      <c r="L312">
        <v>9.7064933440000004E-3</v>
      </c>
      <c r="M312">
        <v>1.2737358346E-2</v>
      </c>
      <c r="N312">
        <v>1.2035597449000001E-2</v>
      </c>
      <c r="O312">
        <v>1.1398320262E-2</v>
      </c>
      <c r="P312">
        <v>1.0797435786000001E-2</v>
      </c>
    </row>
    <row r="313" spans="2:16">
      <c r="B313" t="s">
        <v>1775</v>
      </c>
      <c r="D313" t="s">
        <v>1140</v>
      </c>
      <c r="F313">
        <v>20916</v>
      </c>
      <c r="G313">
        <v>23951</v>
      </c>
      <c r="H313">
        <v>23804</v>
      </c>
      <c r="I313">
        <v>30095</v>
      </c>
      <c r="J313">
        <v>33420</v>
      </c>
      <c r="K313">
        <v>32962</v>
      </c>
      <c r="L313">
        <v>33238</v>
      </c>
      <c r="M313">
        <v>37573.677771297291</v>
      </c>
      <c r="N313">
        <v>39774.230378708999</v>
      </c>
      <c r="O313">
        <v>41904.905752800703</v>
      </c>
      <c r="P313">
        <v>44322.710375429691</v>
      </c>
    </row>
    <row r="314" spans="2:16">
      <c r="B314" t="s">
        <v>1777</v>
      </c>
      <c r="D314" t="s">
        <v>1140</v>
      </c>
      <c r="F314">
        <v>9.6637374213000005E-2</v>
      </c>
      <c r="G314">
        <v>9.7620920574E-2</v>
      </c>
      <c r="H314">
        <v>0.115833986209</v>
      </c>
      <c r="I314">
        <v>0.104194075531</v>
      </c>
      <c r="J314">
        <v>0.114916048016</v>
      </c>
      <c r="K314">
        <v>0.11700643567299999</v>
      </c>
      <c r="L314">
        <v>0.10977353717299999</v>
      </c>
      <c r="M314">
        <v>0.11768385871500001</v>
      </c>
      <c r="N314">
        <v>0.11749516643500001</v>
      </c>
      <c r="O314">
        <v>0.117010181915</v>
      </c>
      <c r="P314">
        <v>0.117000913719</v>
      </c>
    </row>
    <row r="315" spans="2:16">
      <c r="B315" t="s">
        <v>1779</v>
      </c>
      <c r="D315" t="s">
        <v>1140</v>
      </c>
      <c r="F315">
        <v>216438</v>
      </c>
      <c r="G315">
        <v>245347</v>
      </c>
      <c r="H315">
        <v>205501</v>
      </c>
      <c r="I315">
        <v>288836</v>
      </c>
      <c r="J315">
        <v>290821</v>
      </c>
      <c r="K315">
        <v>281711</v>
      </c>
      <c r="L315">
        <v>302787</v>
      </c>
      <c r="M315">
        <v>319276.39169608301</v>
      </c>
      <c r="N315">
        <v>338518.01385203993</v>
      </c>
      <c r="O315">
        <v>358130.421361805</v>
      </c>
      <c r="P315">
        <v>378823.62595889095</v>
      </c>
    </row>
    <row r="316" spans="2:16">
      <c r="B316" t="s">
        <v>1782</v>
      </c>
      <c r="D316" t="s">
        <v>1140</v>
      </c>
      <c r="F316">
        <v>167121</v>
      </c>
      <c r="G316">
        <v>192770</v>
      </c>
      <c r="H316">
        <v>215743</v>
      </c>
      <c r="I316">
        <v>292206</v>
      </c>
      <c r="J316">
        <v>323573</v>
      </c>
      <c r="K316">
        <v>335841</v>
      </c>
      <c r="L316">
        <v>352981</v>
      </c>
      <c r="M316">
        <v>368591.92118133302</v>
      </c>
      <c r="N316">
        <v>392494.36034750799</v>
      </c>
      <c r="O316">
        <v>411866.83625567902</v>
      </c>
      <c r="P316">
        <v>432686.75863757991</v>
      </c>
    </row>
    <row r="317" spans="2:16">
      <c r="B317" t="s">
        <v>1784</v>
      </c>
      <c r="D317" t="s">
        <v>1140</v>
      </c>
    </row>
    <row r="318" spans="2:16">
      <c r="B318" t="s">
        <v>1786</v>
      </c>
      <c r="D318" t="s">
        <v>1140</v>
      </c>
    </row>
    <row r="319" spans="2:16">
      <c r="B319" t="s">
        <v>1788</v>
      </c>
      <c r="D319" t="s">
        <v>1140</v>
      </c>
    </row>
    <row r="320" spans="2:16">
      <c r="B320" t="s">
        <v>1790</v>
      </c>
      <c r="D320" t="s">
        <v>1140</v>
      </c>
    </row>
    <row r="321" spans="2:16">
      <c r="B321" t="s">
        <v>1792</v>
      </c>
      <c r="D321" t="s">
        <v>1140</v>
      </c>
    </row>
    <row r="322" spans="2:16">
      <c r="B322" t="s">
        <v>1794</v>
      </c>
      <c r="D322" t="s">
        <v>1140</v>
      </c>
    </row>
    <row r="323" spans="2:16">
      <c r="B323" t="s">
        <v>1796</v>
      </c>
      <c r="D323" t="s">
        <v>1140</v>
      </c>
    </row>
    <row r="324" spans="2:16">
      <c r="B324" t="s">
        <v>1798</v>
      </c>
      <c r="D324" t="s">
        <v>1140</v>
      </c>
    </row>
    <row r="325" spans="2:16">
      <c r="B325" t="s">
        <v>1800</v>
      </c>
      <c r="D325" t="s">
        <v>1140</v>
      </c>
    </row>
    <row r="326" spans="2:16">
      <c r="B326" t="s">
        <v>1802</v>
      </c>
      <c r="D326" t="s">
        <v>1140</v>
      </c>
    </row>
    <row r="327" spans="2:16">
      <c r="B327" t="s">
        <v>1804</v>
      </c>
      <c r="D327" t="s">
        <v>1140</v>
      </c>
      <c r="F327">
        <v>94851</v>
      </c>
      <c r="G327">
        <v>125848</v>
      </c>
      <c r="H327">
        <v>149481</v>
      </c>
      <c r="I327">
        <v>181566</v>
      </c>
      <c r="J327">
        <v>177696</v>
      </c>
      <c r="K327">
        <v>171500</v>
      </c>
      <c r="L327">
        <v>179399</v>
      </c>
      <c r="M327">
        <v>181995.475448332</v>
      </c>
      <c r="N327">
        <v>192640.94564738599</v>
      </c>
      <c r="O327">
        <v>204497.42037658</v>
      </c>
      <c r="P327">
        <v>216969.470142754</v>
      </c>
    </row>
    <row r="328" spans="2:16">
      <c r="B328" t="s">
        <v>1806</v>
      </c>
      <c r="D328" t="s">
        <v>1140</v>
      </c>
      <c r="F328">
        <v>261972</v>
      </c>
      <c r="G328">
        <v>318618</v>
      </c>
      <c r="H328">
        <v>365224</v>
      </c>
      <c r="I328">
        <v>473772</v>
      </c>
      <c r="J328">
        <v>501269</v>
      </c>
      <c r="K328">
        <v>507341</v>
      </c>
      <c r="L328">
        <v>532380</v>
      </c>
      <c r="M328">
        <v>550587.39662966598</v>
      </c>
      <c r="N328">
        <v>585135.30599489401</v>
      </c>
      <c r="O328">
        <v>616364.256632259</v>
      </c>
      <c r="P328">
        <v>649656.228780334</v>
      </c>
    </row>
    <row r="329" spans="2:16">
      <c r="B329" t="s">
        <v>1808</v>
      </c>
      <c r="D329" t="s">
        <v>1140</v>
      </c>
      <c r="F329">
        <v>42218</v>
      </c>
      <c r="G329">
        <v>53340</v>
      </c>
      <c r="H329">
        <v>56069</v>
      </c>
      <c r="I329">
        <v>60399</v>
      </c>
      <c r="J329">
        <v>56323</v>
      </c>
      <c r="K329">
        <v>51728</v>
      </c>
      <c r="L329">
        <v>55255</v>
      </c>
      <c r="M329">
        <v>60062.462729665393</v>
      </c>
      <c r="N329">
        <v>66367.175477611701</v>
      </c>
      <c r="O329">
        <v>67608.895357201603</v>
      </c>
      <c r="P329">
        <v>71000.6455345656</v>
      </c>
    </row>
    <row r="330" spans="2:16">
      <c r="B330" t="s">
        <v>1810</v>
      </c>
      <c r="D330" t="s">
        <v>1140</v>
      </c>
    </row>
    <row r="331" spans="2:16">
      <c r="B331" t="s">
        <v>1812</v>
      </c>
      <c r="D331" t="s">
        <v>1140</v>
      </c>
    </row>
    <row r="332" spans="2:16">
      <c r="B332" t="s">
        <v>1815</v>
      </c>
      <c r="D332" t="s">
        <v>1140</v>
      </c>
      <c r="F332">
        <v>171</v>
      </c>
      <c r="G332">
        <v>199</v>
      </c>
      <c r="H332">
        <v>279</v>
      </c>
      <c r="I332">
        <v>1729</v>
      </c>
      <c r="J332">
        <v>1992</v>
      </c>
      <c r="K332">
        <v>2125</v>
      </c>
      <c r="L332">
        <v>2008</v>
      </c>
      <c r="M332">
        <v>1852.65289226612</v>
      </c>
      <c r="N332">
        <v>1834.5383433516299</v>
      </c>
      <c r="O332">
        <v>1832.8012093111499</v>
      </c>
      <c r="P332">
        <v>1839.1156980784599</v>
      </c>
    </row>
    <row r="333" spans="2:16">
      <c r="B333" t="s">
        <v>1817</v>
      </c>
      <c r="D333" t="s">
        <v>1140</v>
      </c>
      <c r="F333">
        <v>1046</v>
      </c>
      <c r="G333">
        <v>1034</v>
      </c>
      <c r="H333">
        <v>1466</v>
      </c>
      <c r="I333">
        <v>3225</v>
      </c>
      <c r="J333">
        <v>3461</v>
      </c>
      <c r="K333">
        <v>3043</v>
      </c>
      <c r="L333">
        <v>2837</v>
      </c>
      <c r="M333">
        <v>2898.0537754717402</v>
      </c>
      <c r="N333">
        <v>3071.57889523208</v>
      </c>
      <c r="O333">
        <v>3251.7871858357989</v>
      </c>
      <c r="P333">
        <v>3441.6721786601702</v>
      </c>
    </row>
    <row r="334" spans="2:16">
      <c r="B334" t="s">
        <v>1819</v>
      </c>
      <c r="D334" t="s">
        <v>1140</v>
      </c>
      <c r="F334">
        <v>1217</v>
      </c>
      <c r="G334">
        <v>1233</v>
      </c>
      <c r="H334">
        <v>1745</v>
      </c>
      <c r="I334">
        <v>4954</v>
      </c>
      <c r="J334">
        <v>5453</v>
      </c>
      <c r="K334">
        <v>5168</v>
      </c>
      <c r="L334">
        <v>4845</v>
      </c>
      <c r="M334">
        <v>4750.7066677378598</v>
      </c>
      <c r="N334">
        <v>4906.1172385837099</v>
      </c>
      <c r="O334">
        <v>5084.5883951469496</v>
      </c>
      <c r="P334">
        <v>5280.7878767386392</v>
      </c>
    </row>
    <row r="335" spans="2:16">
      <c r="B335" t="s">
        <v>1821</v>
      </c>
      <c r="D335" t="s">
        <v>1140</v>
      </c>
      <c r="F335">
        <v>-497</v>
      </c>
      <c r="G335">
        <v>-519</v>
      </c>
      <c r="H335">
        <v>-503</v>
      </c>
      <c r="I335">
        <v>-1143</v>
      </c>
      <c r="J335">
        <v>-2073</v>
      </c>
      <c r="K335">
        <v>-1975</v>
      </c>
      <c r="L335">
        <v>-1877</v>
      </c>
      <c r="M335">
        <v>-1549.90715043505</v>
      </c>
      <c r="N335">
        <v>-1114.56685197465</v>
      </c>
      <c r="O335">
        <v>-1177.1646884054901</v>
      </c>
      <c r="P335">
        <v>-1243.0923507142199</v>
      </c>
    </row>
    <row r="336" spans="2:16">
      <c r="B336" t="s">
        <v>1823</v>
      </c>
      <c r="D336" t="s">
        <v>1140</v>
      </c>
      <c r="F336">
        <v>127</v>
      </c>
      <c r="G336">
        <v>103</v>
      </c>
      <c r="H336">
        <v>77</v>
      </c>
      <c r="I336">
        <v>73</v>
      </c>
      <c r="J336">
        <v>77</v>
      </c>
      <c r="K336">
        <v>206</v>
      </c>
      <c r="L336">
        <v>228</v>
      </c>
      <c r="M336">
        <v>113.557553596231</v>
      </c>
      <c r="N336">
        <v>81.661333709033997</v>
      </c>
      <c r="O336">
        <v>86.247709843571002</v>
      </c>
      <c r="P336">
        <v>91.078053418666002</v>
      </c>
    </row>
    <row r="337" spans="2:16">
      <c r="B337" t="s">
        <v>1825</v>
      </c>
      <c r="D337" t="s">
        <v>1140</v>
      </c>
      <c r="F337">
        <v>-370</v>
      </c>
      <c r="G337">
        <v>-416</v>
      </c>
      <c r="H337">
        <v>-426</v>
      </c>
      <c r="I337">
        <v>-1070</v>
      </c>
      <c r="J337">
        <v>-1996</v>
      </c>
      <c r="K337">
        <v>-1769</v>
      </c>
      <c r="L337">
        <v>-1649</v>
      </c>
      <c r="M337">
        <v>-1436.3495968388199</v>
      </c>
      <c r="N337">
        <v>-1032.90551826561</v>
      </c>
      <c r="O337">
        <v>-1090.9169785619199</v>
      </c>
      <c r="P337">
        <v>-1152.01429729555</v>
      </c>
    </row>
    <row r="338" spans="2:16">
      <c r="B338" t="s">
        <v>1828</v>
      </c>
      <c r="D338" t="s">
        <v>1140</v>
      </c>
      <c r="F338">
        <v>285685</v>
      </c>
      <c r="G338">
        <v>345836</v>
      </c>
      <c r="H338">
        <v>399094</v>
      </c>
      <c r="I338">
        <v>526294</v>
      </c>
      <c r="J338">
        <v>564702</v>
      </c>
      <c r="K338">
        <v>597406</v>
      </c>
      <c r="L338">
        <v>629685</v>
      </c>
      <c r="M338">
        <v>654923.61328397784</v>
      </c>
      <c r="N338">
        <v>686126.30555592198</v>
      </c>
      <c r="O338">
        <v>726526.71384778002</v>
      </c>
      <c r="P338">
        <v>765852.11990663188</v>
      </c>
    </row>
    <row r="339" spans="2:16">
      <c r="B339" t="s">
        <v>1830</v>
      </c>
      <c r="D339" t="s">
        <v>1140</v>
      </c>
      <c r="F339">
        <v>6.9160088908999995E-2</v>
      </c>
      <c r="G339">
        <v>6.8998022184000002E-2</v>
      </c>
      <c r="H339">
        <v>7.3250913318999994E-2</v>
      </c>
      <c r="I339">
        <v>6.4665377147000005E-2</v>
      </c>
      <c r="J339">
        <v>5.7095600865999997E-2</v>
      </c>
      <c r="K339">
        <v>6.2776403317000004E-2</v>
      </c>
      <c r="L339">
        <v>6.0825650921E-2</v>
      </c>
      <c r="M339">
        <v>5.2886849453999997E-2</v>
      </c>
      <c r="N339">
        <v>4.7725863769000003E-2</v>
      </c>
      <c r="O339">
        <v>5.0258132758E-2</v>
      </c>
      <c r="P339">
        <v>5.7784481418000001E-2</v>
      </c>
    </row>
    <row r="340" spans="2:16">
      <c r="B340" t="s">
        <v>1832</v>
      </c>
      <c r="D340" t="s">
        <v>1140</v>
      </c>
      <c r="F340">
        <v>273649</v>
      </c>
      <c r="G340">
        <v>332856</v>
      </c>
      <c r="H340">
        <v>384299</v>
      </c>
      <c r="I340">
        <v>505488</v>
      </c>
      <c r="J340">
        <v>539970</v>
      </c>
      <c r="K340">
        <v>568136</v>
      </c>
      <c r="L340">
        <v>599939</v>
      </c>
      <c r="M340">
        <v>619964.29301592801</v>
      </c>
      <c r="N340">
        <v>648978.17134330305</v>
      </c>
      <c r="O340">
        <v>687481.06510544196</v>
      </c>
      <c r="P340">
        <v>724653.24875106197</v>
      </c>
    </row>
    <row r="341" spans="2:16">
      <c r="B341" t="s">
        <v>1834</v>
      </c>
      <c r="D341" t="s">
        <v>1140</v>
      </c>
      <c r="F341">
        <v>4.8397765019999997E-2</v>
      </c>
      <c r="G341">
        <v>5.0550388155999999E-2</v>
      </c>
      <c r="H341">
        <v>5.5495850887000001E-2</v>
      </c>
      <c r="I341">
        <v>4.6127702339000001E-2</v>
      </c>
      <c r="J341">
        <v>3.7731889331000003E-2</v>
      </c>
      <c r="K341">
        <v>4.3753608291000001E-2</v>
      </c>
      <c r="L341">
        <v>4.1910927611000001E-2</v>
      </c>
      <c r="M341">
        <v>3.3635247461000002E-2</v>
      </c>
      <c r="N341">
        <v>2.8368176740000001E-2</v>
      </c>
      <c r="O341">
        <v>3.1414902525000003E-2</v>
      </c>
      <c r="P341">
        <v>3.9825704465999999E-2</v>
      </c>
    </row>
    <row r="342" spans="2:16">
      <c r="B342" t="s">
        <v>1837</v>
      </c>
      <c r="D342" t="s">
        <v>1140</v>
      </c>
      <c r="F342">
        <v>2.0762323889000001E-2</v>
      </c>
      <c r="G342">
        <v>1.8447634027999999E-2</v>
      </c>
      <c r="H342">
        <v>1.7755062432E-2</v>
      </c>
      <c r="I342">
        <v>1.8537674806999999E-2</v>
      </c>
      <c r="J342">
        <v>1.9363875028999999E-2</v>
      </c>
      <c r="K342">
        <v>1.9022795025999999E-2</v>
      </c>
      <c r="L342">
        <v>1.8914723309999999E-2</v>
      </c>
      <c r="M342">
        <v>1.9251601992999998E-2</v>
      </c>
      <c r="N342">
        <v>1.9357687028999999E-2</v>
      </c>
      <c r="O342">
        <v>1.8843230233E-2</v>
      </c>
      <c r="P342">
        <v>1.7958776951999999E-2</v>
      </c>
    </row>
    <row r="343" spans="2:16">
      <c r="B343" t="s">
        <v>1839</v>
      </c>
      <c r="D343" t="s">
        <v>1140</v>
      </c>
      <c r="F343">
        <v>2.2801337137E-2</v>
      </c>
      <c r="G343">
        <v>2.0344903365E-2</v>
      </c>
      <c r="H343">
        <v>1.9812375029E-2</v>
      </c>
      <c r="I343">
        <v>2.0361242955000001E-2</v>
      </c>
      <c r="J343">
        <v>2.1016394487999999E-2</v>
      </c>
      <c r="K343">
        <v>2.1166509877999999E-2</v>
      </c>
      <c r="L343">
        <v>2.0894574270999999E-2</v>
      </c>
      <c r="M343">
        <v>2.104702571E-2</v>
      </c>
      <c r="N343">
        <v>2.0893592047999999E-2</v>
      </c>
      <c r="O343">
        <v>2.0531558033999999E-2</v>
      </c>
      <c r="P343">
        <v>2.0101193254000001E-2</v>
      </c>
    </row>
    <row r="344" spans="2:16">
      <c r="B344" t="s">
        <v>1842</v>
      </c>
      <c r="D344" t="s">
        <v>1140</v>
      </c>
      <c r="F344">
        <v>95673</v>
      </c>
      <c r="G344">
        <v>127343</v>
      </c>
      <c r="H344">
        <v>133673</v>
      </c>
      <c r="I344">
        <v>171758</v>
      </c>
      <c r="J344">
        <v>177332</v>
      </c>
      <c r="K344">
        <v>187344</v>
      </c>
      <c r="L344">
        <v>197796</v>
      </c>
      <c r="M344">
        <v>210664.40629730001</v>
      </c>
      <c r="N344">
        <v>223999.88233732298</v>
      </c>
      <c r="O344">
        <v>236428.11053699901</v>
      </c>
      <c r="P344">
        <v>249577.81882936598</v>
      </c>
    </row>
    <row r="345" spans="2:16">
      <c r="B345" t="s">
        <v>1844</v>
      </c>
      <c r="D345" t="s">
        <v>1140</v>
      </c>
      <c r="F345">
        <v>76144</v>
      </c>
      <c r="G345">
        <v>88372</v>
      </c>
      <c r="H345">
        <v>128444</v>
      </c>
      <c r="I345">
        <v>188389</v>
      </c>
      <c r="J345">
        <v>191571</v>
      </c>
      <c r="K345">
        <v>209740</v>
      </c>
      <c r="L345">
        <v>234614</v>
      </c>
      <c r="M345">
        <v>240603.01444618797</v>
      </c>
      <c r="N345">
        <v>255833.66394554597</v>
      </c>
      <c r="O345">
        <v>270028.13192248001</v>
      </c>
      <c r="P345">
        <v>285046.61325893702</v>
      </c>
    </row>
    <row r="346" spans="2:16">
      <c r="B346" t="s">
        <v>1846</v>
      </c>
      <c r="D346" t="s">
        <v>1140</v>
      </c>
    </row>
    <row r="347" spans="2:16">
      <c r="B347" t="s">
        <v>1848</v>
      </c>
      <c r="D347" t="s">
        <v>1140</v>
      </c>
      <c r="F347">
        <v>171817</v>
      </c>
      <c r="G347">
        <v>215715</v>
      </c>
      <c r="H347">
        <v>262117</v>
      </c>
      <c r="I347">
        <v>360147</v>
      </c>
      <c r="J347">
        <v>368903</v>
      </c>
      <c r="K347">
        <v>397084</v>
      </c>
      <c r="L347">
        <v>432410</v>
      </c>
      <c r="M347">
        <v>451267.42074348801</v>
      </c>
      <c r="N347">
        <v>479833.54628286901</v>
      </c>
      <c r="O347">
        <v>506456.24245947896</v>
      </c>
      <c r="P347">
        <v>534624.43208830198</v>
      </c>
    </row>
    <row r="348" spans="2:16">
      <c r="B348" t="s">
        <v>1851</v>
      </c>
      <c r="D348" t="s">
        <v>1140</v>
      </c>
    </row>
    <row r="349" spans="2:16">
      <c r="B349" t="s">
        <v>1853</v>
      </c>
      <c r="D349" t="s">
        <v>1140</v>
      </c>
    </row>
    <row r="350" spans="2:16">
      <c r="B350" t="s">
        <v>1855</v>
      </c>
      <c r="D350" t="s">
        <v>1140</v>
      </c>
    </row>
    <row r="351" spans="2:16">
      <c r="B351" t="s">
        <v>1857</v>
      </c>
      <c r="D351" t="s">
        <v>1140</v>
      </c>
    </row>
    <row r="352" spans="2:16">
      <c r="B352" t="s">
        <v>1859</v>
      </c>
      <c r="D352" t="s">
        <v>1140</v>
      </c>
    </row>
    <row r="353" spans="2:16">
      <c r="B353" t="s">
        <v>1862</v>
      </c>
      <c r="D353" t="s">
        <v>1140</v>
      </c>
    </row>
    <row r="354" spans="2:16">
      <c r="B354" t="s">
        <v>1864</v>
      </c>
      <c r="D354" t="s">
        <v>1140</v>
      </c>
    </row>
    <row r="355" spans="2:16">
      <c r="B355" t="s">
        <v>1866</v>
      </c>
      <c r="D355" t="s">
        <v>1140</v>
      </c>
    </row>
    <row r="356" spans="2:16">
      <c r="B356" t="s">
        <v>1868</v>
      </c>
      <c r="D356" t="s">
        <v>1140</v>
      </c>
    </row>
    <row r="357" spans="2:16">
      <c r="B357" t="s">
        <v>1870</v>
      </c>
      <c r="D357" t="s">
        <v>1140</v>
      </c>
    </row>
    <row r="358" spans="2:16">
      <c r="B358" t="s">
        <v>1872</v>
      </c>
      <c r="D358" t="s">
        <v>1140</v>
      </c>
    </row>
    <row r="359" spans="2:16">
      <c r="B359" t="s">
        <v>1874</v>
      </c>
      <c r="D359" t="s">
        <v>1140</v>
      </c>
    </row>
    <row r="360" spans="2:16">
      <c r="B360" t="s">
        <v>1875</v>
      </c>
      <c r="D360" t="s">
        <v>1140</v>
      </c>
      <c r="F360">
        <v>12081</v>
      </c>
      <c r="G360">
        <v>13197</v>
      </c>
      <c r="H360">
        <v>14341</v>
      </c>
      <c r="I360">
        <v>17466</v>
      </c>
      <c r="J360">
        <v>19059</v>
      </c>
      <c r="K360">
        <v>19659</v>
      </c>
      <c r="L360">
        <v>20150</v>
      </c>
      <c r="M360">
        <v>21239.821730535899</v>
      </c>
      <c r="N360">
        <v>22096.108486585701</v>
      </c>
      <c r="O360">
        <v>23265.588411412897</v>
      </c>
      <c r="P360">
        <v>24338.572360987695</v>
      </c>
    </row>
    <row r="361" spans="2:16">
      <c r="B361" t="s">
        <v>1877</v>
      </c>
      <c r="D361" t="s">
        <v>1140</v>
      </c>
    </row>
    <row r="362" spans="2:16">
      <c r="B362" t="s">
        <v>1879</v>
      </c>
      <c r="D362" t="s">
        <v>1140</v>
      </c>
    </row>
    <row r="363" spans="2:16">
      <c r="B363" t="s">
        <v>1881</v>
      </c>
      <c r="D363" t="s">
        <v>1140</v>
      </c>
    </row>
    <row r="364" spans="2:16">
      <c r="B364" t="s">
        <v>1883</v>
      </c>
      <c r="D364" t="s">
        <v>1140</v>
      </c>
    </row>
    <row r="365" spans="2:16">
      <c r="B365" t="s">
        <v>1885</v>
      </c>
      <c r="D365" t="s">
        <v>1140</v>
      </c>
    </row>
    <row r="366" spans="2:16">
      <c r="B366" t="s">
        <v>1887</v>
      </c>
      <c r="D366" t="s">
        <v>1140</v>
      </c>
    </row>
    <row r="367" spans="2:16">
      <c r="B367" t="s">
        <v>1889</v>
      </c>
      <c r="D367" t="s">
        <v>1140</v>
      </c>
    </row>
    <row r="368" spans="2:16">
      <c r="B368" t="s">
        <v>1892</v>
      </c>
      <c r="D368" t="s">
        <v>1140</v>
      </c>
    </row>
    <row r="369" spans="2:16">
      <c r="B369" t="s">
        <v>1894</v>
      </c>
      <c r="D369" t="s">
        <v>1140</v>
      </c>
    </row>
    <row r="370" spans="2:16">
      <c r="B370" t="s">
        <v>1896</v>
      </c>
      <c r="D370" t="s">
        <v>1140</v>
      </c>
    </row>
    <row r="371" spans="2:16">
      <c r="B371" t="s">
        <v>1898</v>
      </c>
      <c r="D371" t="s">
        <v>1140</v>
      </c>
    </row>
    <row r="372" spans="2:16">
      <c r="B372" t="s">
        <v>1900</v>
      </c>
      <c r="D372" t="s">
        <v>1140</v>
      </c>
    </row>
    <row r="373" spans="2:16">
      <c r="B373" t="s">
        <v>1902</v>
      </c>
      <c r="D373" t="s">
        <v>1140</v>
      </c>
    </row>
    <row r="374" spans="2:16">
      <c r="B374" t="s">
        <v>1904</v>
      </c>
      <c r="D374" t="s">
        <v>1140</v>
      </c>
    </row>
    <row r="375" spans="2:16">
      <c r="B375" t="s">
        <v>1906</v>
      </c>
      <c r="D375" t="s">
        <v>1140</v>
      </c>
      <c r="F375">
        <v>5689</v>
      </c>
      <c r="G375">
        <v>6336</v>
      </c>
      <c r="H375">
        <v>6390</v>
      </c>
      <c r="I375">
        <v>5852</v>
      </c>
      <c r="J375">
        <v>8383</v>
      </c>
      <c r="K375">
        <v>9488</v>
      </c>
      <c r="L375">
        <v>9865</v>
      </c>
      <c r="M375">
        <v>10598.363938793698</v>
      </c>
      <c r="N375">
        <v>11118.689288645401</v>
      </c>
      <c r="O375">
        <v>11803.752929854199</v>
      </c>
      <c r="P375">
        <v>12423.885834681199</v>
      </c>
    </row>
    <row r="376" spans="2:16">
      <c r="B376" t="s">
        <v>1908</v>
      </c>
      <c r="D376" t="s">
        <v>1140</v>
      </c>
    </row>
    <row r="377" spans="2:16">
      <c r="B377" t="s">
        <v>1910</v>
      </c>
      <c r="D377" t="s">
        <v>1140</v>
      </c>
    </row>
    <row r="378" spans="2:16">
      <c r="B378" t="s">
        <v>1912</v>
      </c>
      <c r="D378" t="s">
        <v>1140</v>
      </c>
    </row>
    <row r="379" spans="2:16">
      <c r="B379" t="s">
        <v>1914</v>
      </c>
      <c r="D379" t="s">
        <v>1140</v>
      </c>
    </row>
    <row r="380" spans="2:16">
      <c r="B380" t="s">
        <v>1916</v>
      </c>
      <c r="D380" t="s">
        <v>1140</v>
      </c>
    </row>
    <row r="381" spans="2:16">
      <c r="B381" t="s">
        <v>1918</v>
      </c>
      <c r="D381" t="s">
        <v>1140</v>
      </c>
    </row>
    <row r="382" spans="2:16">
      <c r="B382" t="s">
        <v>1920</v>
      </c>
      <c r="D382" t="s">
        <v>1140</v>
      </c>
    </row>
    <row r="383" spans="2:16">
      <c r="B383" t="s">
        <v>1923</v>
      </c>
      <c r="D383" t="s">
        <v>1140</v>
      </c>
      <c r="F383">
        <v>369103</v>
      </c>
      <c r="G383">
        <v>440157</v>
      </c>
      <c r="H383">
        <v>487572</v>
      </c>
      <c r="I383">
        <v>620372</v>
      </c>
      <c r="J383">
        <v>646330</v>
      </c>
      <c r="K383">
        <v>667899</v>
      </c>
      <c r="L383">
        <v>718229</v>
      </c>
      <c r="M383">
        <v>733797.39309255604</v>
      </c>
      <c r="N383">
        <v>779725.86506747687</v>
      </c>
      <c r="O383">
        <v>821500.25297444896</v>
      </c>
      <c r="P383">
        <v>865960.30437767995</v>
      </c>
    </row>
    <row r="384" spans="2:16">
      <c r="B384" t="s">
        <v>1925</v>
      </c>
      <c r="D384" t="s">
        <v>1140</v>
      </c>
    </row>
    <row r="385" spans="2:16">
      <c r="B385" t="s">
        <v>1927</v>
      </c>
      <c r="D385" t="s">
        <v>1140</v>
      </c>
    </row>
    <row r="386" spans="2:16">
      <c r="B386" t="s">
        <v>1929</v>
      </c>
      <c r="D386" t="s">
        <v>1140</v>
      </c>
    </row>
    <row r="387" spans="2:16">
      <c r="B387" t="s">
        <v>1931</v>
      </c>
      <c r="D387" t="s">
        <v>1140</v>
      </c>
    </row>
    <row r="388" spans="2:16">
      <c r="B388" t="s">
        <v>1933</v>
      </c>
      <c r="D388" t="s">
        <v>1140</v>
      </c>
    </row>
    <row r="389" spans="2:16">
      <c r="B389" t="s">
        <v>1935</v>
      </c>
      <c r="D389" t="s">
        <v>1140</v>
      </c>
    </row>
    <row r="390" spans="2:16">
      <c r="B390" t="s">
        <v>1936</v>
      </c>
      <c r="D390" t="s">
        <v>1140</v>
      </c>
      <c r="F390">
        <v>369103</v>
      </c>
      <c r="G390">
        <v>440157</v>
      </c>
      <c r="H390">
        <v>487572</v>
      </c>
      <c r="I390">
        <v>620372</v>
      </c>
      <c r="J390">
        <v>646330</v>
      </c>
      <c r="K390">
        <v>667899</v>
      </c>
      <c r="L390">
        <v>718229</v>
      </c>
      <c r="M390">
        <v>733797.39309255604</v>
      </c>
      <c r="N390">
        <v>779725.86506747687</v>
      </c>
      <c r="O390">
        <v>821500.25297444896</v>
      </c>
      <c r="P390">
        <v>865960.30437767995</v>
      </c>
    </row>
    <row r="391" spans="2:16">
      <c r="B391" t="s">
        <v>1938</v>
      </c>
      <c r="D391" t="s">
        <v>1140</v>
      </c>
    </row>
    <row r="392" spans="2:16">
      <c r="B392" t="s">
        <v>1940</v>
      </c>
      <c r="D392" t="s">
        <v>1140</v>
      </c>
    </row>
    <row r="393" spans="2:16">
      <c r="B393" t="s">
        <v>1942</v>
      </c>
      <c r="D393" t="s">
        <v>1140</v>
      </c>
    </row>
    <row r="394" spans="2:16">
      <c r="B394" t="s">
        <v>1944</v>
      </c>
      <c r="D394" t="s">
        <v>1140</v>
      </c>
    </row>
    <row r="395" spans="2:16">
      <c r="B395" t="s">
        <v>1946</v>
      </c>
      <c r="D395" t="s">
        <v>1140</v>
      </c>
    </row>
    <row r="396" spans="2:16">
      <c r="B396" t="s">
        <v>1948</v>
      </c>
      <c r="D396" t="s">
        <v>1140</v>
      </c>
    </row>
    <row r="397" spans="2:16">
      <c r="B397" t="s">
        <v>1950</v>
      </c>
      <c r="D397" t="s">
        <v>1140</v>
      </c>
    </row>
    <row r="398" spans="2:16">
      <c r="B398" t="s">
        <v>1953</v>
      </c>
      <c r="D398" t="s">
        <v>1140</v>
      </c>
    </row>
    <row r="399" spans="2:16">
      <c r="B399" t="s">
        <v>1955</v>
      </c>
      <c r="D399" t="s">
        <v>1140</v>
      </c>
    </row>
    <row r="400" spans="2:16">
      <c r="B400" t="s">
        <v>1957</v>
      </c>
      <c r="D400" t="s">
        <v>1140</v>
      </c>
    </row>
    <row r="401" spans="2:4">
      <c r="B401" t="s">
        <v>1959</v>
      </c>
      <c r="D401" t="s">
        <v>1140</v>
      </c>
    </row>
    <row r="402" spans="2:4">
      <c r="B402" t="s">
        <v>1961</v>
      </c>
      <c r="D402" t="s">
        <v>1140</v>
      </c>
    </row>
    <row r="403" spans="2:4">
      <c r="B403" t="s">
        <v>1963</v>
      </c>
      <c r="D403" t="s">
        <v>1140</v>
      </c>
    </row>
    <row r="404" spans="2:4">
      <c r="B404" t="s">
        <v>1965</v>
      </c>
      <c r="D404" t="s">
        <v>1140</v>
      </c>
    </row>
    <row r="405" spans="2:4">
      <c r="B405" t="s">
        <v>1967</v>
      </c>
      <c r="D405" t="s">
        <v>1140</v>
      </c>
    </row>
    <row r="406" spans="2:4">
      <c r="B406" t="s">
        <v>1969</v>
      </c>
      <c r="D406" t="s">
        <v>1140</v>
      </c>
    </row>
    <row r="407" spans="2:4">
      <c r="B407" t="s">
        <v>1971</v>
      </c>
      <c r="D407" t="s">
        <v>1140</v>
      </c>
    </row>
    <row r="408" spans="2:4">
      <c r="B408" t="s">
        <v>1973</v>
      </c>
      <c r="D408" t="s">
        <v>1140</v>
      </c>
    </row>
    <row r="409" spans="2:4">
      <c r="B409" t="s">
        <v>1975</v>
      </c>
      <c r="D409" t="s">
        <v>1140</v>
      </c>
    </row>
    <row r="410" spans="2:4">
      <c r="B410" t="s">
        <v>1977</v>
      </c>
      <c r="D410" t="s">
        <v>1140</v>
      </c>
    </row>
    <row r="411" spans="2:4">
      <c r="B411" t="s">
        <v>1979</v>
      </c>
      <c r="D411" t="s">
        <v>1140</v>
      </c>
    </row>
    <row r="412" spans="2:4">
      <c r="B412" t="s">
        <v>1981</v>
      </c>
      <c r="D412" t="s">
        <v>1140</v>
      </c>
    </row>
    <row r="413" spans="2:4">
      <c r="B413" t="s">
        <v>1983</v>
      </c>
      <c r="D413" t="s">
        <v>1140</v>
      </c>
    </row>
    <row r="414" spans="2:4">
      <c r="B414" t="s">
        <v>1985</v>
      </c>
      <c r="D414" t="s">
        <v>1140</v>
      </c>
    </row>
    <row r="415" spans="2:4">
      <c r="B415" t="s">
        <v>1987</v>
      </c>
      <c r="D415" t="s">
        <v>1140</v>
      </c>
    </row>
    <row r="416" spans="2:4">
      <c r="B416" t="s">
        <v>1989</v>
      </c>
      <c r="D416" t="s">
        <v>1140</v>
      </c>
    </row>
    <row r="417" spans="2:4">
      <c r="B417" t="s">
        <v>1991</v>
      </c>
      <c r="D417" t="s">
        <v>1140</v>
      </c>
    </row>
    <row r="418" spans="2:4">
      <c r="B418" t="s">
        <v>1993</v>
      </c>
      <c r="D418" t="s">
        <v>1140</v>
      </c>
    </row>
    <row r="419" spans="2:4">
      <c r="B419" t="s">
        <v>1995</v>
      </c>
      <c r="D419" t="s">
        <v>1140</v>
      </c>
    </row>
    <row r="420" spans="2:4">
      <c r="B420" t="s">
        <v>1997</v>
      </c>
      <c r="D420" t="s">
        <v>1140</v>
      </c>
    </row>
    <row r="421" spans="2:4">
      <c r="B421" t="s">
        <v>1999</v>
      </c>
      <c r="D421" t="s">
        <v>1140</v>
      </c>
    </row>
    <row r="422" spans="2:4">
      <c r="B422" t="s">
        <v>2001</v>
      </c>
      <c r="D422" t="s">
        <v>1140</v>
      </c>
    </row>
    <row r="423" spans="2:4">
      <c r="B423" t="s">
        <v>2003</v>
      </c>
      <c r="D423" t="s">
        <v>1140</v>
      </c>
    </row>
    <row r="424" spans="2:4">
      <c r="B424" t="s">
        <v>2005</v>
      </c>
      <c r="D424" t="s">
        <v>1140</v>
      </c>
    </row>
    <row r="425" spans="2:4">
      <c r="B425" t="s">
        <v>2007</v>
      </c>
      <c r="D425" t="s">
        <v>1140</v>
      </c>
    </row>
    <row r="426" spans="2:4">
      <c r="B426" t="s">
        <v>2009</v>
      </c>
      <c r="D426" t="s">
        <v>1140</v>
      </c>
    </row>
    <row r="427" spans="2:4">
      <c r="B427" t="s">
        <v>2011</v>
      </c>
      <c r="D427" t="s">
        <v>1140</v>
      </c>
    </row>
    <row r="428" spans="2:4">
      <c r="B428" t="s">
        <v>2013</v>
      </c>
      <c r="D428" t="s">
        <v>1140</v>
      </c>
    </row>
    <row r="429" spans="2:4">
      <c r="B429" t="s">
        <v>2015</v>
      </c>
      <c r="D429" t="s">
        <v>1140</v>
      </c>
    </row>
    <row r="430" spans="2:4">
      <c r="B430" t="s">
        <v>2017</v>
      </c>
      <c r="D430" t="s">
        <v>1140</v>
      </c>
    </row>
    <row r="431" spans="2:4">
      <c r="B431" t="s">
        <v>2019</v>
      </c>
      <c r="D431" t="s">
        <v>1140</v>
      </c>
    </row>
    <row r="432" spans="2:4">
      <c r="B432" t="s">
        <v>2021</v>
      </c>
      <c r="D432" t="s">
        <v>1140</v>
      </c>
    </row>
    <row r="433" spans="2:4">
      <c r="B433" t="s">
        <v>2023</v>
      </c>
      <c r="D433" t="s">
        <v>1140</v>
      </c>
    </row>
    <row r="434" spans="2:4">
      <c r="B434" t="s">
        <v>2025</v>
      </c>
      <c r="D434" t="s">
        <v>1140</v>
      </c>
    </row>
    <row r="435" spans="2:4">
      <c r="B435" t="s">
        <v>2027</v>
      </c>
      <c r="D435" t="s">
        <v>1140</v>
      </c>
    </row>
    <row r="436" spans="2:4">
      <c r="B436" t="s">
        <v>2029</v>
      </c>
      <c r="D436" t="s">
        <v>1140</v>
      </c>
    </row>
    <row r="437" spans="2:4">
      <c r="B437" t="s">
        <v>2031</v>
      </c>
      <c r="D437" t="s">
        <v>1140</v>
      </c>
    </row>
    <row r="438" spans="2:4">
      <c r="B438" t="s">
        <v>2033</v>
      </c>
      <c r="D438" t="s">
        <v>1140</v>
      </c>
    </row>
    <row r="439" spans="2:4">
      <c r="B439" t="s">
        <v>2035</v>
      </c>
      <c r="D439" t="s">
        <v>1140</v>
      </c>
    </row>
    <row r="440" spans="2:4">
      <c r="B440" t="s">
        <v>2037</v>
      </c>
      <c r="D440" t="s">
        <v>1140</v>
      </c>
    </row>
    <row r="441" spans="2:4">
      <c r="B441" t="s">
        <v>2039</v>
      </c>
      <c r="D441" t="s">
        <v>1140</v>
      </c>
    </row>
    <row r="442" spans="2:4">
      <c r="B442" t="s">
        <v>2041</v>
      </c>
      <c r="D442" t="s">
        <v>1140</v>
      </c>
    </row>
    <row r="443" spans="2:4">
      <c r="B443" t="s">
        <v>2042</v>
      </c>
      <c r="D443" t="s">
        <v>1140</v>
      </c>
    </row>
    <row r="444" spans="2:4">
      <c r="B444" t="s">
        <v>2043</v>
      </c>
      <c r="D444" t="s">
        <v>1140</v>
      </c>
    </row>
    <row r="445" spans="2:4">
      <c r="B445" t="s">
        <v>2044</v>
      </c>
      <c r="D445" t="s">
        <v>1140</v>
      </c>
    </row>
    <row r="446" spans="2:4">
      <c r="B446" t="s">
        <v>2045</v>
      </c>
      <c r="D446" t="s">
        <v>1140</v>
      </c>
    </row>
    <row r="447" spans="2:4">
      <c r="B447" t="s">
        <v>2046</v>
      </c>
      <c r="D447" t="s">
        <v>1140</v>
      </c>
    </row>
    <row r="448" spans="2:4">
      <c r="B448" t="s">
        <v>2047</v>
      </c>
      <c r="D448" t="s">
        <v>1140</v>
      </c>
    </row>
    <row r="449" spans="2:4">
      <c r="B449" t="s">
        <v>2048</v>
      </c>
      <c r="D449" t="s">
        <v>1140</v>
      </c>
    </row>
    <row r="450" spans="2:4">
      <c r="B450" t="s">
        <v>2049</v>
      </c>
      <c r="D450" t="s">
        <v>1140</v>
      </c>
    </row>
    <row r="451" spans="2:4">
      <c r="B451" t="s">
        <v>2050</v>
      </c>
      <c r="D451" t="s">
        <v>1140</v>
      </c>
    </row>
    <row r="452" spans="2:4">
      <c r="B452" t="s">
        <v>2051</v>
      </c>
      <c r="D452" t="s">
        <v>1140</v>
      </c>
    </row>
    <row r="453" spans="2:4">
      <c r="B453" t="s">
        <v>2052</v>
      </c>
      <c r="D453" t="s">
        <v>1140</v>
      </c>
    </row>
    <row r="454" spans="2:4">
      <c r="B454" t="s">
        <v>2053</v>
      </c>
      <c r="D454" t="s">
        <v>1140</v>
      </c>
    </row>
    <row r="455" spans="2:4">
      <c r="B455" t="s">
        <v>2054</v>
      </c>
      <c r="D455" t="s">
        <v>1140</v>
      </c>
    </row>
    <row r="456" spans="2:4">
      <c r="B456" t="s">
        <v>2055</v>
      </c>
      <c r="D456" t="s">
        <v>1140</v>
      </c>
    </row>
    <row r="457" spans="2:4">
      <c r="B457" t="s">
        <v>2056</v>
      </c>
      <c r="D457" t="s">
        <v>1140</v>
      </c>
    </row>
    <row r="458" spans="2:4">
      <c r="B458" t="s">
        <v>2057</v>
      </c>
      <c r="D458" t="s">
        <v>1140</v>
      </c>
    </row>
    <row r="459" spans="2:4">
      <c r="B459" t="s">
        <v>2059</v>
      </c>
      <c r="D459" t="s">
        <v>1140</v>
      </c>
    </row>
    <row r="460" spans="2:4">
      <c r="B460" t="s">
        <v>2061</v>
      </c>
      <c r="D460" t="s">
        <v>1140</v>
      </c>
    </row>
    <row r="461" spans="2:4">
      <c r="B461" t="s">
        <v>2063</v>
      </c>
      <c r="D461" t="s">
        <v>1140</v>
      </c>
    </row>
    <row r="462" spans="2:4">
      <c r="B462" t="s">
        <v>2065</v>
      </c>
      <c r="D462" t="s">
        <v>1140</v>
      </c>
    </row>
    <row r="463" spans="2:4">
      <c r="B463" t="s">
        <v>2067</v>
      </c>
      <c r="D463" t="s">
        <v>1140</v>
      </c>
    </row>
    <row r="464" spans="2:4">
      <c r="B464" t="s">
        <v>2069</v>
      </c>
      <c r="D464" t="s">
        <v>1140</v>
      </c>
    </row>
    <row r="465" spans="2:4">
      <c r="B465" t="s">
        <v>2071</v>
      </c>
      <c r="D465" t="s">
        <v>1140</v>
      </c>
    </row>
    <row r="466" spans="2:4">
      <c r="B466" t="s">
        <v>2073</v>
      </c>
      <c r="D466" t="s">
        <v>1140</v>
      </c>
    </row>
    <row r="467" spans="2:4">
      <c r="B467" t="s">
        <v>2075</v>
      </c>
      <c r="D467" t="s">
        <v>1140</v>
      </c>
    </row>
    <row r="468" spans="2:4">
      <c r="B468" t="s">
        <v>2077</v>
      </c>
      <c r="D468" t="s">
        <v>1140</v>
      </c>
    </row>
    <row r="469" spans="2:4">
      <c r="B469" t="s">
        <v>2079</v>
      </c>
      <c r="D469" t="s">
        <v>1140</v>
      </c>
    </row>
    <row r="470" spans="2:4">
      <c r="B470" t="s">
        <v>2081</v>
      </c>
      <c r="D470" t="s">
        <v>1140</v>
      </c>
    </row>
    <row r="471" spans="2:4">
      <c r="B471" t="s">
        <v>2083</v>
      </c>
      <c r="D471" t="s">
        <v>1140</v>
      </c>
    </row>
    <row r="472" spans="2:4">
      <c r="B472" t="s">
        <v>2085</v>
      </c>
      <c r="D472" t="s">
        <v>1140</v>
      </c>
    </row>
    <row r="473" spans="2:4">
      <c r="B473" t="s">
        <v>2087</v>
      </c>
      <c r="D473" t="s">
        <v>1140</v>
      </c>
    </row>
    <row r="474" spans="2:4">
      <c r="B474" t="s">
        <v>2089</v>
      </c>
      <c r="D474" t="s">
        <v>1140</v>
      </c>
    </row>
    <row r="475" spans="2:4">
      <c r="B475" t="s">
        <v>2091</v>
      </c>
      <c r="D475" t="s">
        <v>1140</v>
      </c>
    </row>
    <row r="476" spans="2:4">
      <c r="B476" t="s">
        <v>2093</v>
      </c>
      <c r="D476" t="s">
        <v>1140</v>
      </c>
    </row>
    <row r="477" spans="2:4">
      <c r="B477" t="s">
        <v>2095</v>
      </c>
      <c r="D477" t="s">
        <v>1140</v>
      </c>
    </row>
  </sheetData>
  <pageMargins left="0.7" right="0.7" top="0.75" bottom="0.75" header="0.3" footer="0.3"/>
  <pageSetup paperSize="9" orientation="portrait" horizontalDpi="300" verticalDpi="300" r:id="rId1"/>
  <customProperties>
    <customPr name="LIVENUMBERS" r:id="rId2"/>
    <customPr name="Password" r:id="rId3"/>
    <customPr name="Qube.Worksheet.Visibility" r:id="rId4"/>
    <customPr name="REORDER" r:id="rId5"/>
    <customPr name="SHEET_UNIQUE_ID" r:id="rId6"/>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J54"/>
  <sheetViews>
    <sheetView workbookViewId="0"/>
  </sheetViews>
  <sheetFormatPr defaultColWidth="0" defaultRowHeight="18" customHeight="1" zeroHeight="1"/>
  <cols>
    <col min="1" max="1" width="2.25" style="783" customWidth="1"/>
    <col min="2" max="2" width="51.375" style="783" bestFit="1" customWidth="1"/>
    <col min="3" max="3" width="16.125" style="783" customWidth="1"/>
    <col min="4" max="9" width="8" style="783" customWidth="1"/>
    <col min="10" max="10" width="2.25" style="783" customWidth="1"/>
    <col min="11" max="21" width="8" style="783" hidden="1" customWidth="1"/>
    <col min="22" max="16384" width="8" style="783" hidden="1"/>
  </cols>
  <sheetData>
    <row r="1" spans="2:9" ht="5.0999999999999996" customHeight="1"/>
    <row r="2" spans="2:9" ht="18" customHeight="1"/>
    <row r="3" spans="2:9" ht="18" customHeight="1"/>
    <row r="4" spans="2:9" ht="18" customHeight="1">
      <c r="B4" s="784" t="s">
        <v>2634</v>
      </c>
    </row>
    <row r="5" spans="2:9" ht="5.0999999999999996" customHeight="1"/>
    <row r="6" spans="2:9" ht="18" customHeight="1">
      <c r="B6" s="946" t="s">
        <v>2635</v>
      </c>
      <c r="C6" s="946"/>
      <c r="D6" s="946"/>
      <c r="E6" s="946"/>
      <c r="F6" s="946"/>
      <c r="G6" s="946"/>
      <c r="H6" s="946"/>
      <c r="I6" s="946"/>
    </row>
    <row r="7" spans="2:9" ht="18" customHeight="1">
      <c r="B7" s="785" t="s">
        <v>2111</v>
      </c>
      <c r="C7" s="786" t="s">
        <v>1076</v>
      </c>
    </row>
    <row r="8" spans="2:9" ht="18" customHeight="1">
      <c r="B8" s="785" t="s">
        <v>2636</v>
      </c>
      <c r="C8" s="787">
        <f>Summary!$G$10</f>
        <v>137.85257124487669</v>
      </c>
    </row>
    <row r="9" spans="2:9" ht="18" customHeight="1">
      <c r="B9" s="785" t="s">
        <v>2557</v>
      </c>
      <c r="C9" s="788">
        <v>3</v>
      </c>
    </row>
    <row r="10" spans="2:9" ht="18" customHeight="1">
      <c r="B10" s="785" t="s">
        <v>2637</v>
      </c>
      <c r="C10" s="789">
        <f>Summary!C6</f>
        <v>283752.21672000003</v>
      </c>
    </row>
    <row r="11" spans="2:9" ht="18" customHeight="1">
      <c r="B11" s="785" t="s">
        <v>2638</v>
      </c>
      <c r="C11" s="789">
        <f>C10/Summary!C5</f>
        <v>1673.4620000000002</v>
      </c>
    </row>
    <row r="12" spans="2:9" ht="18" customHeight="1">
      <c r="B12" s="785" t="s">
        <v>2639</v>
      </c>
      <c r="C12" s="786" t="s">
        <v>1140</v>
      </c>
    </row>
    <row r="13" spans="2:9" ht="18" customHeight="1">
      <c r="B13" s="785"/>
      <c r="C13" s="786"/>
    </row>
    <row r="14" spans="2:9" ht="18" customHeight="1">
      <c r="B14" s="785"/>
      <c r="C14" s="786"/>
    </row>
    <row r="15" spans="2:9" ht="5.0999999999999996" customHeight="1"/>
    <row r="16" spans="2:9" ht="18" customHeight="1">
      <c r="B16" s="946" t="s">
        <v>2640</v>
      </c>
      <c r="C16" s="946"/>
      <c r="D16" s="946"/>
      <c r="E16" s="946"/>
      <c r="F16" s="946"/>
      <c r="G16" s="946"/>
      <c r="H16" s="946"/>
      <c r="I16" s="946"/>
    </row>
    <row r="17" spans="2:4" ht="18" customHeight="1">
      <c r="B17" s="790"/>
    </row>
    <row r="18" spans="2:4" ht="18" customHeight="1">
      <c r="B18" s="791" t="s">
        <v>2641</v>
      </c>
      <c r="C18" s="792" t="s">
        <v>2642</v>
      </c>
      <c r="D18" s="793" t="s">
        <v>2643</v>
      </c>
    </row>
    <row r="19" spans="2:4" ht="18" customHeight="1">
      <c r="B19" s="791" t="s">
        <v>2644</v>
      </c>
      <c r="C19" s="792" t="s">
        <v>2645</v>
      </c>
      <c r="D19" s="793" t="s">
        <v>2646</v>
      </c>
    </row>
    <row r="20" spans="2:4" ht="18" customHeight="1">
      <c r="B20" s="791"/>
      <c r="C20" s="792"/>
      <c r="D20" s="793"/>
    </row>
    <row r="21" spans="2:4" ht="18" customHeight="1"/>
    <row r="22" spans="2:4" ht="18" customHeight="1"/>
    <row r="23" spans="2:4" ht="18" customHeight="1"/>
    <row r="24" spans="2:4" ht="18" customHeight="1"/>
    <row r="54" ht="18" customHeight="1"/>
  </sheetData>
  <mergeCells count="2">
    <mergeCell ref="B6:I6"/>
    <mergeCell ref="B16:I16"/>
  </mergeCells>
  <dataValidations count="2">
    <dataValidation type="list" allowBlank="1" showInputMessage="1" showErrorMessage="1" sqref="C9" xr:uid="{00000000-0002-0000-0400-000000000000}">
      <formula1>"1, 2, 3"</formula1>
    </dataValidation>
    <dataValidation type="list" allowBlank="1" showInputMessage="1" showErrorMessage="1" sqref="C7" xr:uid="{00000000-0002-0000-0400-000001000000}">
      <formula1>"Buy, Sell, Neutral, Not Rated, Rating Suspended"</formula1>
    </dataValidation>
  </dataValidations>
  <hyperlinks>
    <hyperlink ref="D18" r:id="rId1" xr:uid="{00000000-0004-0000-0400-000000000000}"/>
    <hyperlink ref="D19" r:id="rId2" xr:uid="{00000000-0004-0000-0400-000001000000}"/>
  </hyperlinks>
  <pageMargins left="0.7" right="0.7" top="0.75" bottom="0.75" header="0.3" footer="0.3"/>
  <pageSetup paperSize="9" orientation="portrait" r:id="rId3"/>
  <customProperties>
    <customPr name="Qube.Worksheet.Visibility" r:id="rId4"/>
  </customProperties>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
  <sheetViews>
    <sheetView workbookViewId="0"/>
  </sheetViews>
  <sheetFormatPr defaultRowHeight="12.75"/>
  <sheetData/>
  <pageMargins left="0.7" right="0.7" top="0.75" bottom="0.75" header="0.3" footer="0.3"/>
  <pageSetup paperSize="9" orientation="portrait" horizontalDpi="300" verticalDpi="300" r:id="rId1"/>
  <customProperties>
    <customPr name="Qube.Worksheet.Visibility" r:id="rId2"/>
    <customPr name="SHEET_UNIQUE_ID"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F1:P1"/>
  <sheetViews>
    <sheetView workbookViewId="0"/>
  </sheetViews>
  <sheetFormatPr defaultRowHeight="12.75"/>
  <cols>
    <col min="6" max="6" width="10" style="224" bestFit="1" customWidth="1"/>
    <col min="7" max="8" width="9.5" style="224" bestFit="1" customWidth="1"/>
    <col min="9" max="9" width="8.875" style="224" customWidth="1"/>
    <col min="10" max="12" width="9.625" style="224" bestFit="1" customWidth="1"/>
    <col min="13" max="16" width="9.5" style="224" bestFit="1" customWidth="1"/>
  </cols>
  <sheetData/>
  <dataValidations count="3">
    <dataValidation type="list" allowBlank="1" showInputMessage="1" showErrorMessage="1" sqref="F983055:I983055 F917519:I917519 F851983:I851983 F786447:I786447 F720911:I720911 F655375:I655375 F589839:I589839 F524303:I524303 F458767:I458767 F393231:I393231 F327695:I327695 F262159:I262159 F196623:I196623 F131087:I131087 F65551:I65551" xr:uid="{00000000-0002-0000-0700-000000000000}">
      <formula1>"6 months,12 months,18 months,2 years,1 month,3 months,9 months,3 years,(remove)"</formula1>
    </dataValidation>
    <dataValidation type="list" allowBlank="1" showInputMessage="1" showErrorMessage="1" sqref="F983053:I983053 F917517:I917517 F851981:I851981 F786445:I786445 F720909:I720909 F655373:I655373 F589837:I589837 F524301:I524301 F458765:I458765 F393229:I393229 F327693:I327693 F262157:I262157 F196621:I196621 F131085:I131085 F65549:I65549" xr:uid="{00000000-0002-0000-0700-000001000000}">
      <formula1>"Not Rated,Coverage Suspended,Rating Suspended,(remove)"</formula1>
    </dataValidation>
    <dataValidation type="list" allowBlank="1" showInputMessage="1" showErrorMessage="1" sqref="F983051:I983052 F917515:I917516 F851979:I851980 F786443:I786444 F720907:I720908 F655371:I655372 F589835:I589836 F524299:I524300 F458763:I458764 F393227:I393228 F327691:I327692 F262155:I262156 F196619:I196620 F131083:I131084 F65547:I65548" xr:uid="{00000000-0002-0000-0700-000002000000}">
      <formula1>"Buy,Sell,(remove)"</formula1>
    </dataValidation>
  </dataValidations>
  <pageMargins left="0.7" right="0.7" top="0.75" bottom="0.75" header="0.3" footer="0.3"/>
  <pageSetup paperSize="9" orientation="portrait" horizontalDpi="300" verticalDpi="300" r:id="rId1"/>
  <customProperties>
    <customPr name="Qube.Worksheet.Visibility" r:id="rId2"/>
    <customPr name="SHEET_UNIQUE_ID" r:id="rId3"/>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S7"/>
  <sheetViews>
    <sheetView workbookViewId="0"/>
  </sheetViews>
  <sheetFormatPr defaultColWidth="9" defaultRowHeight="15"/>
  <cols>
    <col min="1" max="1" width="22.875" style="377" customWidth="1"/>
    <col min="2" max="2" width="14" style="377" customWidth="1"/>
    <col min="3" max="3" width="23.375" style="377" customWidth="1"/>
    <col min="4" max="4" width="9.25" style="377" customWidth="1"/>
    <col min="5" max="5" width="55.5" style="377" customWidth="1"/>
    <col min="6" max="6" width="35.75" style="377" customWidth="1"/>
    <col min="7" max="7" width="26.125" style="377" customWidth="1"/>
    <col min="8" max="8" width="22.875" style="377" customWidth="1"/>
    <col min="9" max="16384" width="9" style="377"/>
  </cols>
  <sheetData>
    <row r="2" spans="1:19" ht="26.25">
      <c r="B2" s="947" t="s">
        <v>2434</v>
      </c>
      <c r="C2" s="947"/>
      <c r="D2" s="947"/>
      <c r="E2" s="947"/>
      <c r="F2" s="382" t="str">
        <f>HYPERLINK("[CBA_model.xlsm]CBA.AX_Exchange_Sheet!$A$1","CBA.AX_Exchange_Sheet")</f>
        <v>CBA.AX_Exchange_Sheet</v>
      </c>
    </row>
    <row r="3" spans="1:19" ht="23.25">
      <c r="B3" s="378" t="s">
        <v>2439</v>
      </c>
      <c r="C3" s="378"/>
      <c r="D3" s="378"/>
      <c r="E3" s="378"/>
      <c r="F3" s="383" t="str">
        <f>HYPERLINK("[CBA_model.xlsm]QP_CBA.AX_migrated!$A$1","QP_CBA.AX_migrated")</f>
        <v>QP_CBA.AX_migrated</v>
      </c>
    </row>
    <row r="5" spans="1:19" ht="26.25">
      <c r="A5" s="379"/>
      <c r="B5" s="948" t="s">
        <v>2435</v>
      </c>
      <c r="C5" s="949"/>
      <c r="D5" s="949"/>
      <c r="E5" s="949"/>
      <c r="F5" s="949"/>
      <c r="G5" s="379"/>
      <c r="H5" s="379"/>
      <c r="I5" s="379"/>
      <c r="J5" s="379"/>
      <c r="K5" s="379"/>
      <c r="L5" s="379"/>
      <c r="M5" s="379"/>
      <c r="N5" s="379"/>
      <c r="O5" s="379"/>
      <c r="P5" s="379"/>
      <c r="Q5" s="379"/>
      <c r="R5" s="379"/>
      <c r="S5" s="379"/>
    </row>
    <row r="6" spans="1:19">
      <c r="B6" s="380" t="s">
        <v>2436</v>
      </c>
      <c r="C6" s="950" t="s">
        <v>2437</v>
      </c>
      <c r="D6" s="951"/>
      <c r="E6" s="952" t="s">
        <v>2438</v>
      </c>
      <c r="F6" s="951"/>
    </row>
    <row r="7" spans="1:19">
      <c r="C7" s="381"/>
      <c r="D7" s="381"/>
    </row>
  </sheetData>
  <mergeCells count="4">
    <mergeCell ref="B2:E2"/>
    <mergeCell ref="B5:F5"/>
    <mergeCell ref="C6:D6"/>
    <mergeCell ref="E6:F6"/>
  </mergeCells>
  <conditionalFormatting sqref="B2:E2">
    <cfRule type="containsText" dxfId="0" priority="1" operator="containsText" text="error">
      <formula>NOT(ISERROR(SEARCH("error",B2)))</formula>
    </cfRule>
  </conditionalFormatting>
  <pageMargins left="0.7" right="0.7" top="0.75" bottom="0.75" header="0.3" footer="0.3"/>
  <pageSetup orientation="portrait" r:id="rId1"/>
  <customProperties>
    <customPr name="Qube.Worksheet.Visibility" r:id="rId2"/>
    <customPr name="SHEET_UNIQUE_ID" r:id="rId3"/>
  </customPropertie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AD537"/>
  <sheetViews>
    <sheetView workbookViewId="0"/>
  </sheetViews>
  <sheetFormatPr defaultColWidth="8" defaultRowHeight="12.75"/>
  <cols>
    <col min="1" max="1" width="3.25" style="224" customWidth="1"/>
    <col min="2" max="2" width="22.5" style="224" customWidth="1"/>
    <col min="3" max="3" width="34.25" style="224" bestFit="1" customWidth="1"/>
    <col min="4" max="4" width="8" style="224" customWidth="1"/>
    <col min="5" max="5" width="15.5" style="224" bestFit="1" customWidth="1"/>
    <col min="17" max="26" width="8.75" style="224" customWidth="1"/>
    <col min="27" max="27" width="8" style="224" customWidth="1"/>
    <col min="28" max="30" width="8.875" style="224" customWidth="1"/>
    <col min="31" max="259" width="8" style="224"/>
    <col min="260" max="260" width="3.25" style="224" customWidth="1"/>
    <col min="261" max="261" width="22.5" style="224" customWidth="1"/>
    <col min="262" max="262" width="34.25" style="224" bestFit="1" customWidth="1"/>
    <col min="263" max="263" width="8" style="224" customWidth="1"/>
    <col min="264" max="264" width="15.5" style="224" bestFit="1" customWidth="1"/>
    <col min="265" max="267" width="8.875" style="224" bestFit="1" customWidth="1"/>
    <col min="268" max="268" width="8.875" style="224" customWidth="1"/>
    <col min="269" max="274" width="8.875" style="224" bestFit="1" customWidth="1"/>
    <col min="275" max="284" width="8.75" style="224" customWidth="1"/>
    <col min="285" max="285" width="8" style="224" customWidth="1"/>
    <col min="286" max="286" width="8.875" style="224" customWidth="1"/>
    <col min="287" max="515" width="8" style="224"/>
    <col min="516" max="516" width="3.25" style="224" customWidth="1"/>
    <col min="517" max="517" width="22.5" style="224" customWidth="1"/>
    <col min="518" max="518" width="34.25" style="224" bestFit="1" customWidth="1"/>
    <col min="519" max="519" width="8" style="224" customWidth="1"/>
    <col min="520" max="520" width="15.5" style="224" bestFit="1" customWidth="1"/>
    <col min="521" max="523" width="8.875" style="224" bestFit="1" customWidth="1"/>
    <col min="524" max="524" width="8.875" style="224" customWidth="1"/>
    <col min="525" max="530" width="8.875" style="224" bestFit="1" customWidth="1"/>
    <col min="531" max="540" width="8.75" style="224" customWidth="1"/>
    <col min="541" max="541" width="8" style="224" customWidth="1"/>
    <col min="542" max="542" width="8.875" style="224" customWidth="1"/>
    <col min="543" max="771" width="8" style="224"/>
    <col min="772" max="772" width="3.25" style="224" customWidth="1"/>
    <col min="773" max="773" width="22.5" style="224" customWidth="1"/>
    <col min="774" max="774" width="34.25" style="224" bestFit="1" customWidth="1"/>
    <col min="775" max="775" width="8" style="224" customWidth="1"/>
    <col min="776" max="776" width="15.5" style="224" bestFit="1" customWidth="1"/>
    <col min="777" max="779" width="8.875" style="224" bestFit="1" customWidth="1"/>
    <col min="780" max="780" width="8.875" style="224" customWidth="1"/>
    <col min="781" max="786" width="8.875" style="224" bestFit="1" customWidth="1"/>
    <col min="787" max="796" width="8.75" style="224" customWidth="1"/>
    <col min="797" max="797" width="8" style="224" customWidth="1"/>
    <col min="798" max="798" width="8.875" style="224" customWidth="1"/>
    <col min="799" max="1027" width="8" style="224"/>
    <col min="1028" max="1028" width="3.25" style="224" customWidth="1"/>
    <col min="1029" max="1029" width="22.5" style="224" customWidth="1"/>
    <col min="1030" max="1030" width="34.25" style="224" bestFit="1" customWidth="1"/>
    <col min="1031" max="1031" width="8" style="224" customWidth="1"/>
    <col min="1032" max="1032" width="15.5" style="224" bestFit="1" customWidth="1"/>
    <col min="1033" max="1035" width="8.875" style="224" bestFit="1" customWidth="1"/>
    <col min="1036" max="1036" width="8.875" style="224" customWidth="1"/>
    <col min="1037" max="1042" width="8.875" style="224" bestFit="1" customWidth="1"/>
    <col min="1043" max="1052" width="8.75" style="224" customWidth="1"/>
    <col min="1053" max="1053" width="8" style="224" customWidth="1"/>
    <col min="1054" max="1054" width="8.875" style="224" customWidth="1"/>
    <col min="1055" max="1283" width="8" style="224"/>
    <col min="1284" max="1284" width="3.25" style="224" customWidth="1"/>
    <col min="1285" max="1285" width="22.5" style="224" customWidth="1"/>
    <col min="1286" max="1286" width="34.25" style="224" bestFit="1" customWidth="1"/>
    <col min="1287" max="1287" width="8" style="224" customWidth="1"/>
    <col min="1288" max="1288" width="15.5" style="224" bestFit="1" customWidth="1"/>
    <col min="1289" max="1291" width="8.875" style="224" bestFit="1" customWidth="1"/>
    <col min="1292" max="1292" width="8.875" style="224" customWidth="1"/>
    <col min="1293" max="1298" width="8.875" style="224" bestFit="1" customWidth="1"/>
    <col min="1299" max="1308" width="8.75" style="224" customWidth="1"/>
    <col min="1309" max="1309" width="8" style="224" customWidth="1"/>
    <col min="1310" max="1310" width="8.875" style="224" customWidth="1"/>
    <col min="1311" max="1539" width="8" style="224"/>
    <col min="1540" max="1540" width="3.25" style="224" customWidth="1"/>
    <col min="1541" max="1541" width="22.5" style="224" customWidth="1"/>
    <col min="1542" max="1542" width="34.25" style="224" bestFit="1" customWidth="1"/>
    <col min="1543" max="1543" width="8" style="224" customWidth="1"/>
    <col min="1544" max="1544" width="15.5" style="224" bestFit="1" customWidth="1"/>
    <col min="1545" max="1547" width="8.875" style="224" bestFit="1" customWidth="1"/>
    <col min="1548" max="1548" width="8.875" style="224" customWidth="1"/>
    <col min="1549" max="1554" width="8.875" style="224" bestFit="1" customWidth="1"/>
    <col min="1555" max="1564" width="8.75" style="224" customWidth="1"/>
    <col min="1565" max="1565" width="8" style="224" customWidth="1"/>
    <col min="1566" max="1566" width="8.875" style="224" customWidth="1"/>
    <col min="1567" max="1795" width="8" style="224"/>
    <col min="1796" max="1796" width="3.25" style="224" customWidth="1"/>
    <col min="1797" max="1797" width="22.5" style="224" customWidth="1"/>
    <col min="1798" max="1798" width="34.25" style="224" bestFit="1" customWidth="1"/>
    <col min="1799" max="1799" width="8" style="224" customWidth="1"/>
    <col min="1800" max="1800" width="15.5" style="224" bestFit="1" customWidth="1"/>
    <col min="1801" max="1803" width="8.875" style="224" bestFit="1" customWidth="1"/>
    <col min="1804" max="1804" width="8.875" style="224" customWidth="1"/>
    <col min="1805" max="1810" width="8.875" style="224" bestFit="1" customWidth="1"/>
    <col min="1811" max="1820" width="8.75" style="224" customWidth="1"/>
    <col min="1821" max="1821" width="8" style="224" customWidth="1"/>
    <col min="1822" max="1822" width="8.875" style="224" customWidth="1"/>
    <col min="1823" max="2051" width="8" style="224"/>
    <col min="2052" max="2052" width="3.25" style="224" customWidth="1"/>
    <col min="2053" max="2053" width="22.5" style="224" customWidth="1"/>
    <col min="2054" max="2054" width="34.25" style="224" bestFit="1" customWidth="1"/>
    <col min="2055" max="2055" width="8" style="224" customWidth="1"/>
    <col min="2056" max="2056" width="15.5" style="224" bestFit="1" customWidth="1"/>
    <col min="2057" max="2059" width="8.875" style="224" bestFit="1" customWidth="1"/>
    <col min="2060" max="2060" width="8.875" style="224" customWidth="1"/>
    <col min="2061" max="2066" width="8.875" style="224" bestFit="1" customWidth="1"/>
    <col min="2067" max="2076" width="8.75" style="224" customWidth="1"/>
    <col min="2077" max="2077" width="8" style="224" customWidth="1"/>
    <col min="2078" max="2078" width="8.875" style="224" customWidth="1"/>
    <col min="2079" max="2307" width="8" style="224"/>
    <col min="2308" max="2308" width="3.25" style="224" customWidth="1"/>
    <col min="2309" max="2309" width="22.5" style="224" customWidth="1"/>
    <col min="2310" max="2310" width="34.25" style="224" bestFit="1" customWidth="1"/>
    <col min="2311" max="2311" width="8" style="224" customWidth="1"/>
    <col min="2312" max="2312" width="15.5" style="224" bestFit="1" customWidth="1"/>
    <col min="2313" max="2315" width="8.875" style="224" bestFit="1" customWidth="1"/>
    <col min="2316" max="2316" width="8.875" style="224" customWidth="1"/>
    <col min="2317" max="2322" width="8.875" style="224" bestFit="1" customWidth="1"/>
    <col min="2323" max="2332" width="8.75" style="224" customWidth="1"/>
    <col min="2333" max="2333" width="8" style="224" customWidth="1"/>
    <col min="2334" max="2334" width="8.875" style="224" customWidth="1"/>
    <col min="2335" max="2563" width="8" style="224"/>
    <col min="2564" max="2564" width="3.25" style="224" customWidth="1"/>
    <col min="2565" max="2565" width="22.5" style="224" customWidth="1"/>
    <col min="2566" max="2566" width="34.25" style="224" bestFit="1" customWidth="1"/>
    <col min="2567" max="2567" width="8" style="224" customWidth="1"/>
    <col min="2568" max="2568" width="15.5" style="224" bestFit="1" customWidth="1"/>
    <col min="2569" max="2571" width="8.875" style="224" bestFit="1" customWidth="1"/>
    <col min="2572" max="2572" width="8.875" style="224" customWidth="1"/>
    <col min="2573" max="2578" width="8.875" style="224" bestFit="1" customWidth="1"/>
    <col min="2579" max="2588" width="8.75" style="224" customWidth="1"/>
    <col min="2589" max="2589" width="8" style="224" customWidth="1"/>
    <col min="2590" max="2590" width="8.875" style="224" customWidth="1"/>
    <col min="2591" max="2819" width="8" style="224"/>
    <col min="2820" max="2820" width="3.25" style="224" customWidth="1"/>
    <col min="2821" max="2821" width="22.5" style="224" customWidth="1"/>
    <col min="2822" max="2822" width="34.25" style="224" bestFit="1" customWidth="1"/>
    <col min="2823" max="2823" width="8" style="224" customWidth="1"/>
    <col min="2824" max="2824" width="15.5" style="224" bestFit="1" customWidth="1"/>
    <col min="2825" max="2827" width="8.875" style="224" bestFit="1" customWidth="1"/>
    <col min="2828" max="2828" width="8.875" style="224" customWidth="1"/>
    <col min="2829" max="2834" width="8.875" style="224" bestFit="1" customWidth="1"/>
    <col min="2835" max="2844" width="8.75" style="224" customWidth="1"/>
    <col min="2845" max="2845" width="8" style="224" customWidth="1"/>
    <col min="2846" max="2846" width="8.875" style="224" customWidth="1"/>
    <col min="2847" max="3075" width="8" style="224"/>
    <col min="3076" max="3076" width="3.25" style="224" customWidth="1"/>
    <col min="3077" max="3077" width="22.5" style="224" customWidth="1"/>
    <col min="3078" max="3078" width="34.25" style="224" bestFit="1" customWidth="1"/>
    <col min="3079" max="3079" width="8" style="224" customWidth="1"/>
    <col min="3080" max="3080" width="15.5" style="224" bestFit="1" customWidth="1"/>
    <col min="3081" max="3083" width="8.875" style="224" bestFit="1" customWidth="1"/>
    <col min="3084" max="3084" width="8.875" style="224" customWidth="1"/>
    <col min="3085" max="3090" width="8.875" style="224" bestFit="1" customWidth="1"/>
    <col min="3091" max="3100" width="8.75" style="224" customWidth="1"/>
    <col min="3101" max="3101" width="8" style="224" customWidth="1"/>
    <col min="3102" max="3102" width="8.875" style="224" customWidth="1"/>
    <col min="3103" max="3331" width="8" style="224"/>
    <col min="3332" max="3332" width="3.25" style="224" customWidth="1"/>
    <col min="3333" max="3333" width="22.5" style="224" customWidth="1"/>
    <col min="3334" max="3334" width="34.25" style="224" bestFit="1" customWidth="1"/>
    <col min="3335" max="3335" width="8" style="224" customWidth="1"/>
    <col min="3336" max="3336" width="15.5" style="224" bestFit="1" customWidth="1"/>
    <col min="3337" max="3339" width="8.875" style="224" bestFit="1" customWidth="1"/>
    <col min="3340" max="3340" width="8.875" style="224" customWidth="1"/>
    <col min="3341" max="3346" width="8.875" style="224" bestFit="1" customWidth="1"/>
    <col min="3347" max="3356" width="8.75" style="224" customWidth="1"/>
    <col min="3357" max="3357" width="8" style="224" customWidth="1"/>
    <col min="3358" max="3358" width="8.875" style="224" customWidth="1"/>
    <col min="3359" max="3587" width="8" style="224"/>
    <col min="3588" max="3588" width="3.25" style="224" customWidth="1"/>
    <col min="3589" max="3589" width="22.5" style="224" customWidth="1"/>
    <col min="3590" max="3590" width="34.25" style="224" bestFit="1" customWidth="1"/>
    <col min="3591" max="3591" width="8" style="224" customWidth="1"/>
    <col min="3592" max="3592" width="15.5" style="224" bestFit="1" customWidth="1"/>
    <col min="3593" max="3595" width="8.875" style="224" bestFit="1" customWidth="1"/>
    <col min="3596" max="3596" width="8.875" style="224" customWidth="1"/>
    <col min="3597" max="3602" width="8.875" style="224" bestFit="1" customWidth="1"/>
    <col min="3603" max="3612" width="8.75" style="224" customWidth="1"/>
    <col min="3613" max="3613" width="8" style="224" customWidth="1"/>
    <col min="3614" max="3614" width="8.875" style="224" customWidth="1"/>
    <col min="3615" max="3843" width="8" style="224"/>
    <col min="3844" max="3844" width="3.25" style="224" customWidth="1"/>
    <col min="3845" max="3845" width="22.5" style="224" customWidth="1"/>
    <col min="3846" max="3846" width="34.25" style="224" bestFit="1" customWidth="1"/>
    <col min="3847" max="3847" width="8" style="224" customWidth="1"/>
    <col min="3848" max="3848" width="15.5" style="224" bestFit="1" customWidth="1"/>
    <col min="3849" max="3851" width="8.875" style="224" bestFit="1" customWidth="1"/>
    <col min="3852" max="3852" width="8.875" style="224" customWidth="1"/>
    <col min="3853" max="3858" width="8.875" style="224" bestFit="1" customWidth="1"/>
    <col min="3859" max="3868" width="8.75" style="224" customWidth="1"/>
    <col min="3869" max="3869" width="8" style="224" customWidth="1"/>
    <col min="3870" max="3870" width="8.875" style="224" customWidth="1"/>
    <col min="3871" max="4099" width="8" style="224"/>
    <col min="4100" max="4100" width="3.25" style="224" customWidth="1"/>
    <col min="4101" max="4101" width="22.5" style="224" customWidth="1"/>
    <col min="4102" max="4102" width="34.25" style="224" bestFit="1" customWidth="1"/>
    <col min="4103" max="4103" width="8" style="224" customWidth="1"/>
    <col min="4104" max="4104" width="15.5" style="224" bestFit="1" customWidth="1"/>
    <col min="4105" max="4107" width="8.875" style="224" bestFit="1" customWidth="1"/>
    <col min="4108" max="4108" width="8.875" style="224" customWidth="1"/>
    <col min="4109" max="4114" width="8.875" style="224" bestFit="1" customWidth="1"/>
    <col min="4115" max="4124" width="8.75" style="224" customWidth="1"/>
    <col min="4125" max="4125" width="8" style="224" customWidth="1"/>
    <col min="4126" max="4126" width="8.875" style="224" customWidth="1"/>
    <col min="4127" max="4355" width="8" style="224"/>
    <col min="4356" max="4356" width="3.25" style="224" customWidth="1"/>
    <col min="4357" max="4357" width="22.5" style="224" customWidth="1"/>
    <col min="4358" max="4358" width="34.25" style="224" bestFit="1" customWidth="1"/>
    <col min="4359" max="4359" width="8" style="224" customWidth="1"/>
    <col min="4360" max="4360" width="15.5" style="224" bestFit="1" customWidth="1"/>
    <col min="4361" max="4363" width="8.875" style="224" bestFit="1" customWidth="1"/>
    <col min="4364" max="4364" width="8.875" style="224" customWidth="1"/>
    <col min="4365" max="4370" width="8.875" style="224" bestFit="1" customWidth="1"/>
    <col min="4371" max="4380" width="8.75" style="224" customWidth="1"/>
    <col min="4381" max="4381" width="8" style="224" customWidth="1"/>
    <col min="4382" max="4382" width="8.875" style="224" customWidth="1"/>
    <col min="4383" max="4611" width="8" style="224"/>
    <col min="4612" max="4612" width="3.25" style="224" customWidth="1"/>
    <col min="4613" max="4613" width="22.5" style="224" customWidth="1"/>
    <col min="4614" max="4614" width="34.25" style="224" bestFit="1" customWidth="1"/>
    <col min="4615" max="4615" width="8" style="224" customWidth="1"/>
    <col min="4616" max="4616" width="15.5" style="224" bestFit="1" customWidth="1"/>
    <col min="4617" max="4619" width="8.875" style="224" bestFit="1" customWidth="1"/>
    <col min="4620" max="4620" width="8.875" style="224" customWidth="1"/>
    <col min="4621" max="4626" width="8.875" style="224" bestFit="1" customWidth="1"/>
    <col min="4627" max="4636" width="8.75" style="224" customWidth="1"/>
    <col min="4637" max="4637" width="8" style="224" customWidth="1"/>
    <col min="4638" max="4638" width="8.875" style="224" customWidth="1"/>
    <col min="4639" max="4867" width="8" style="224"/>
    <col min="4868" max="4868" width="3.25" style="224" customWidth="1"/>
    <col min="4869" max="4869" width="22.5" style="224" customWidth="1"/>
    <col min="4870" max="4870" width="34.25" style="224" bestFit="1" customWidth="1"/>
    <col min="4871" max="4871" width="8" style="224" customWidth="1"/>
    <col min="4872" max="4872" width="15.5" style="224" bestFit="1" customWidth="1"/>
    <col min="4873" max="4875" width="8.875" style="224" bestFit="1" customWidth="1"/>
    <col min="4876" max="4876" width="8.875" style="224" customWidth="1"/>
    <col min="4877" max="4882" width="8.875" style="224" bestFit="1" customWidth="1"/>
    <col min="4883" max="4892" width="8.75" style="224" customWidth="1"/>
    <col min="4893" max="4893" width="8" style="224" customWidth="1"/>
    <col min="4894" max="4894" width="8.875" style="224" customWidth="1"/>
    <col min="4895" max="5123" width="8" style="224"/>
    <col min="5124" max="5124" width="3.25" style="224" customWidth="1"/>
    <col min="5125" max="5125" width="22.5" style="224" customWidth="1"/>
    <col min="5126" max="5126" width="34.25" style="224" bestFit="1" customWidth="1"/>
    <col min="5127" max="5127" width="8" style="224" customWidth="1"/>
    <col min="5128" max="5128" width="15.5" style="224" bestFit="1" customWidth="1"/>
    <col min="5129" max="5131" width="8.875" style="224" bestFit="1" customWidth="1"/>
    <col min="5132" max="5132" width="8.875" style="224" customWidth="1"/>
    <col min="5133" max="5138" width="8.875" style="224" bestFit="1" customWidth="1"/>
    <col min="5139" max="5148" width="8.75" style="224" customWidth="1"/>
    <col min="5149" max="5149" width="8" style="224" customWidth="1"/>
    <col min="5150" max="5150" width="8.875" style="224" customWidth="1"/>
    <col min="5151" max="5379" width="8" style="224"/>
    <col min="5380" max="5380" width="3.25" style="224" customWidth="1"/>
    <col min="5381" max="5381" width="22.5" style="224" customWidth="1"/>
    <col min="5382" max="5382" width="34.25" style="224" bestFit="1" customWidth="1"/>
    <col min="5383" max="5383" width="8" style="224" customWidth="1"/>
    <col min="5384" max="5384" width="15.5" style="224" bestFit="1" customWidth="1"/>
    <col min="5385" max="5387" width="8.875" style="224" bestFit="1" customWidth="1"/>
    <col min="5388" max="5388" width="8.875" style="224" customWidth="1"/>
    <col min="5389" max="5394" width="8.875" style="224" bestFit="1" customWidth="1"/>
    <col min="5395" max="5404" width="8.75" style="224" customWidth="1"/>
    <col min="5405" max="5405" width="8" style="224" customWidth="1"/>
    <col min="5406" max="5406" width="8.875" style="224" customWidth="1"/>
    <col min="5407" max="5635" width="8" style="224"/>
    <col min="5636" max="5636" width="3.25" style="224" customWidth="1"/>
    <col min="5637" max="5637" width="22.5" style="224" customWidth="1"/>
    <col min="5638" max="5638" width="34.25" style="224" bestFit="1" customWidth="1"/>
    <col min="5639" max="5639" width="8" style="224" customWidth="1"/>
    <col min="5640" max="5640" width="15.5" style="224" bestFit="1" customWidth="1"/>
    <col min="5641" max="5643" width="8.875" style="224" bestFit="1" customWidth="1"/>
    <col min="5644" max="5644" width="8.875" style="224" customWidth="1"/>
    <col min="5645" max="5650" width="8.875" style="224" bestFit="1" customWidth="1"/>
    <col min="5651" max="5660" width="8.75" style="224" customWidth="1"/>
    <col min="5661" max="5661" width="8" style="224" customWidth="1"/>
    <col min="5662" max="5662" width="8.875" style="224" customWidth="1"/>
    <col min="5663" max="5891" width="8" style="224"/>
    <col min="5892" max="5892" width="3.25" style="224" customWidth="1"/>
    <col min="5893" max="5893" width="22.5" style="224" customWidth="1"/>
    <col min="5894" max="5894" width="34.25" style="224" bestFit="1" customWidth="1"/>
    <col min="5895" max="5895" width="8" style="224" customWidth="1"/>
    <col min="5896" max="5896" width="15.5" style="224" bestFit="1" customWidth="1"/>
    <col min="5897" max="5899" width="8.875" style="224" bestFit="1" customWidth="1"/>
    <col min="5900" max="5900" width="8.875" style="224" customWidth="1"/>
    <col min="5901" max="5906" width="8.875" style="224" bestFit="1" customWidth="1"/>
    <col min="5907" max="5916" width="8.75" style="224" customWidth="1"/>
    <col min="5917" max="5917" width="8" style="224" customWidth="1"/>
    <col min="5918" max="5918" width="8.875" style="224" customWidth="1"/>
    <col min="5919" max="6147" width="8" style="224"/>
    <col min="6148" max="6148" width="3.25" style="224" customWidth="1"/>
    <col min="6149" max="6149" width="22.5" style="224" customWidth="1"/>
    <col min="6150" max="6150" width="34.25" style="224" bestFit="1" customWidth="1"/>
    <col min="6151" max="6151" width="8" style="224" customWidth="1"/>
    <col min="6152" max="6152" width="15.5" style="224" bestFit="1" customWidth="1"/>
    <col min="6153" max="6155" width="8.875" style="224" bestFit="1" customWidth="1"/>
    <col min="6156" max="6156" width="8.875" style="224" customWidth="1"/>
    <col min="6157" max="6162" width="8.875" style="224" bestFit="1" customWidth="1"/>
    <col min="6163" max="6172" width="8.75" style="224" customWidth="1"/>
    <col min="6173" max="6173" width="8" style="224" customWidth="1"/>
    <col min="6174" max="6174" width="8.875" style="224" customWidth="1"/>
    <col min="6175" max="6403" width="8" style="224"/>
    <col min="6404" max="6404" width="3.25" style="224" customWidth="1"/>
    <col min="6405" max="6405" width="22.5" style="224" customWidth="1"/>
    <col min="6406" max="6406" width="34.25" style="224" bestFit="1" customWidth="1"/>
    <col min="6407" max="6407" width="8" style="224" customWidth="1"/>
    <col min="6408" max="6408" width="15.5" style="224" bestFit="1" customWidth="1"/>
    <col min="6409" max="6411" width="8.875" style="224" bestFit="1" customWidth="1"/>
    <col min="6412" max="6412" width="8.875" style="224" customWidth="1"/>
    <col min="6413" max="6418" width="8.875" style="224" bestFit="1" customWidth="1"/>
    <col min="6419" max="6428" width="8.75" style="224" customWidth="1"/>
    <col min="6429" max="6429" width="8" style="224" customWidth="1"/>
    <col min="6430" max="6430" width="8.875" style="224" customWidth="1"/>
    <col min="6431" max="6659" width="8" style="224"/>
    <col min="6660" max="6660" width="3.25" style="224" customWidth="1"/>
    <col min="6661" max="6661" width="22.5" style="224" customWidth="1"/>
    <col min="6662" max="6662" width="34.25" style="224" bestFit="1" customWidth="1"/>
    <col min="6663" max="6663" width="8" style="224" customWidth="1"/>
    <col min="6664" max="6664" width="15.5" style="224" bestFit="1" customWidth="1"/>
    <col min="6665" max="6667" width="8.875" style="224" bestFit="1" customWidth="1"/>
    <col min="6668" max="6668" width="8.875" style="224" customWidth="1"/>
    <col min="6669" max="6674" width="8.875" style="224" bestFit="1" customWidth="1"/>
    <col min="6675" max="6684" width="8.75" style="224" customWidth="1"/>
    <col min="6685" max="6685" width="8" style="224" customWidth="1"/>
    <col min="6686" max="6686" width="8.875" style="224" customWidth="1"/>
    <col min="6687" max="6915" width="8" style="224"/>
    <col min="6916" max="6916" width="3.25" style="224" customWidth="1"/>
    <col min="6917" max="6917" width="22.5" style="224" customWidth="1"/>
    <col min="6918" max="6918" width="34.25" style="224" bestFit="1" customWidth="1"/>
    <col min="6919" max="6919" width="8" style="224" customWidth="1"/>
    <col min="6920" max="6920" width="15.5" style="224" bestFit="1" customWidth="1"/>
    <col min="6921" max="6923" width="8.875" style="224" bestFit="1" customWidth="1"/>
    <col min="6924" max="6924" width="8.875" style="224" customWidth="1"/>
    <col min="6925" max="6930" width="8.875" style="224" bestFit="1" customWidth="1"/>
    <col min="6931" max="6940" width="8.75" style="224" customWidth="1"/>
    <col min="6941" max="6941" width="8" style="224" customWidth="1"/>
    <col min="6942" max="6942" width="8.875" style="224" customWidth="1"/>
    <col min="6943" max="7171" width="8" style="224"/>
    <col min="7172" max="7172" width="3.25" style="224" customWidth="1"/>
    <col min="7173" max="7173" width="22.5" style="224" customWidth="1"/>
    <col min="7174" max="7174" width="34.25" style="224" bestFit="1" customWidth="1"/>
    <col min="7175" max="7175" width="8" style="224" customWidth="1"/>
    <col min="7176" max="7176" width="15.5" style="224" bestFit="1" customWidth="1"/>
    <col min="7177" max="7179" width="8.875" style="224" bestFit="1" customWidth="1"/>
    <col min="7180" max="7180" width="8.875" style="224" customWidth="1"/>
    <col min="7181" max="7186" width="8.875" style="224" bestFit="1" customWidth="1"/>
    <col min="7187" max="7196" width="8.75" style="224" customWidth="1"/>
    <col min="7197" max="7197" width="8" style="224" customWidth="1"/>
    <col min="7198" max="7198" width="8.875" style="224" customWidth="1"/>
    <col min="7199" max="7427" width="8" style="224"/>
    <col min="7428" max="7428" width="3.25" style="224" customWidth="1"/>
    <col min="7429" max="7429" width="22.5" style="224" customWidth="1"/>
    <col min="7430" max="7430" width="34.25" style="224" bestFit="1" customWidth="1"/>
    <col min="7431" max="7431" width="8" style="224" customWidth="1"/>
    <col min="7432" max="7432" width="15.5" style="224" bestFit="1" customWidth="1"/>
    <col min="7433" max="7435" width="8.875" style="224" bestFit="1" customWidth="1"/>
    <col min="7436" max="7436" width="8.875" style="224" customWidth="1"/>
    <col min="7437" max="7442" width="8.875" style="224" bestFit="1" customWidth="1"/>
    <col min="7443" max="7452" width="8.75" style="224" customWidth="1"/>
    <col min="7453" max="7453" width="8" style="224" customWidth="1"/>
    <col min="7454" max="7454" width="8.875" style="224" customWidth="1"/>
    <col min="7455" max="7683" width="8" style="224"/>
    <col min="7684" max="7684" width="3.25" style="224" customWidth="1"/>
    <col min="7685" max="7685" width="22.5" style="224" customWidth="1"/>
    <col min="7686" max="7686" width="34.25" style="224" bestFit="1" customWidth="1"/>
    <col min="7687" max="7687" width="8" style="224" customWidth="1"/>
    <col min="7688" max="7688" width="15.5" style="224" bestFit="1" customWidth="1"/>
    <col min="7689" max="7691" width="8.875" style="224" bestFit="1" customWidth="1"/>
    <col min="7692" max="7692" width="8.875" style="224" customWidth="1"/>
    <col min="7693" max="7698" width="8.875" style="224" bestFit="1" customWidth="1"/>
    <col min="7699" max="7708" width="8.75" style="224" customWidth="1"/>
    <col min="7709" max="7709" width="8" style="224" customWidth="1"/>
    <col min="7710" max="7710" width="8.875" style="224" customWidth="1"/>
    <col min="7711" max="7939" width="8" style="224"/>
    <col min="7940" max="7940" width="3.25" style="224" customWidth="1"/>
    <col min="7941" max="7941" width="22.5" style="224" customWidth="1"/>
    <col min="7942" max="7942" width="34.25" style="224" bestFit="1" customWidth="1"/>
    <col min="7943" max="7943" width="8" style="224" customWidth="1"/>
    <col min="7944" max="7944" width="15.5" style="224" bestFit="1" customWidth="1"/>
    <col min="7945" max="7947" width="8.875" style="224" bestFit="1" customWidth="1"/>
    <col min="7948" max="7948" width="8.875" style="224" customWidth="1"/>
    <col min="7949" max="7954" width="8.875" style="224" bestFit="1" customWidth="1"/>
    <col min="7955" max="7964" width="8.75" style="224" customWidth="1"/>
    <col min="7965" max="7965" width="8" style="224" customWidth="1"/>
    <col min="7966" max="7966" width="8.875" style="224" customWidth="1"/>
    <col min="7967" max="8195" width="8" style="224"/>
    <col min="8196" max="8196" width="3.25" style="224" customWidth="1"/>
    <col min="8197" max="8197" width="22.5" style="224" customWidth="1"/>
    <col min="8198" max="8198" width="34.25" style="224" bestFit="1" customWidth="1"/>
    <col min="8199" max="8199" width="8" style="224" customWidth="1"/>
    <col min="8200" max="8200" width="15.5" style="224" bestFit="1" customWidth="1"/>
    <col min="8201" max="8203" width="8.875" style="224" bestFit="1" customWidth="1"/>
    <col min="8204" max="8204" width="8.875" style="224" customWidth="1"/>
    <col min="8205" max="8210" width="8.875" style="224" bestFit="1" customWidth="1"/>
    <col min="8211" max="8220" width="8.75" style="224" customWidth="1"/>
    <col min="8221" max="8221" width="8" style="224" customWidth="1"/>
    <col min="8222" max="8222" width="8.875" style="224" customWidth="1"/>
    <col min="8223" max="8451" width="8" style="224"/>
    <col min="8452" max="8452" width="3.25" style="224" customWidth="1"/>
    <col min="8453" max="8453" width="22.5" style="224" customWidth="1"/>
    <col min="8454" max="8454" width="34.25" style="224" bestFit="1" customWidth="1"/>
    <col min="8455" max="8455" width="8" style="224" customWidth="1"/>
    <col min="8456" max="8456" width="15.5" style="224" bestFit="1" customWidth="1"/>
    <col min="8457" max="8459" width="8.875" style="224" bestFit="1" customWidth="1"/>
    <col min="8460" max="8460" width="8.875" style="224" customWidth="1"/>
    <col min="8461" max="8466" width="8.875" style="224" bestFit="1" customWidth="1"/>
    <col min="8467" max="8476" width="8.75" style="224" customWidth="1"/>
    <col min="8477" max="8477" width="8" style="224" customWidth="1"/>
    <col min="8478" max="8478" width="8.875" style="224" customWidth="1"/>
    <col min="8479" max="8707" width="8" style="224"/>
    <col min="8708" max="8708" width="3.25" style="224" customWidth="1"/>
    <col min="8709" max="8709" width="22.5" style="224" customWidth="1"/>
    <col min="8710" max="8710" width="34.25" style="224" bestFit="1" customWidth="1"/>
    <col min="8711" max="8711" width="8" style="224" customWidth="1"/>
    <col min="8712" max="8712" width="15.5" style="224" bestFit="1" customWidth="1"/>
    <col min="8713" max="8715" width="8.875" style="224" bestFit="1" customWidth="1"/>
    <col min="8716" max="8716" width="8.875" style="224" customWidth="1"/>
    <col min="8717" max="8722" width="8.875" style="224" bestFit="1" customWidth="1"/>
    <col min="8723" max="8732" width="8.75" style="224" customWidth="1"/>
    <col min="8733" max="8733" width="8" style="224" customWidth="1"/>
    <col min="8734" max="8734" width="8.875" style="224" customWidth="1"/>
    <col min="8735" max="8963" width="8" style="224"/>
    <col min="8964" max="8964" width="3.25" style="224" customWidth="1"/>
    <col min="8965" max="8965" width="22.5" style="224" customWidth="1"/>
    <col min="8966" max="8966" width="34.25" style="224" bestFit="1" customWidth="1"/>
    <col min="8967" max="8967" width="8" style="224" customWidth="1"/>
    <col min="8968" max="8968" width="15.5" style="224" bestFit="1" customWidth="1"/>
    <col min="8969" max="8971" width="8.875" style="224" bestFit="1" customWidth="1"/>
    <col min="8972" max="8972" width="8.875" style="224" customWidth="1"/>
    <col min="8973" max="8978" width="8.875" style="224" bestFit="1" customWidth="1"/>
    <col min="8979" max="8988" width="8.75" style="224" customWidth="1"/>
    <col min="8989" max="8989" width="8" style="224" customWidth="1"/>
    <col min="8990" max="8990" width="8.875" style="224" customWidth="1"/>
    <col min="8991" max="9219" width="8" style="224"/>
    <col min="9220" max="9220" width="3.25" style="224" customWidth="1"/>
    <col min="9221" max="9221" width="22.5" style="224" customWidth="1"/>
    <col min="9222" max="9222" width="34.25" style="224" bestFit="1" customWidth="1"/>
    <col min="9223" max="9223" width="8" style="224" customWidth="1"/>
    <col min="9224" max="9224" width="15.5" style="224" bestFit="1" customWidth="1"/>
    <col min="9225" max="9227" width="8.875" style="224" bestFit="1" customWidth="1"/>
    <col min="9228" max="9228" width="8.875" style="224" customWidth="1"/>
    <col min="9229" max="9234" width="8.875" style="224" bestFit="1" customWidth="1"/>
    <col min="9235" max="9244" width="8.75" style="224" customWidth="1"/>
    <col min="9245" max="9245" width="8" style="224" customWidth="1"/>
    <col min="9246" max="9246" width="8.875" style="224" customWidth="1"/>
    <col min="9247" max="9475" width="8" style="224"/>
    <col min="9476" max="9476" width="3.25" style="224" customWidth="1"/>
    <col min="9477" max="9477" width="22.5" style="224" customWidth="1"/>
    <col min="9478" max="9478" width="34.25" style="224" bestFit="1" customWidth="1"/>
    <col min="9479" max="9479" width="8" style="224" customWidth="1"/>
    <col min="9480" max="9480" width="15.5" style="224" bestFit="1" customWidth="1"/>
    <col min="9481" max="9483" width="8.875" style="224" bestFit="1" customWidth="1"/>
    <col min="9484" max="9484" width="8.875" style="224" customWidth="1"/>
    <col min="9485" max="9490" width="8.875" style="224" bestFit="1" customWidth="1"/>
    <col min="9491" max="9500" width="8.75" style="224" customWidth="1"/>
    <col min="9501" max="9501" width="8" style="224" customWidth="1"/>
    <col min="9502" max="9502" width="8.875" style="224" customWidth="1"/>
    <col min="9503" max="9731" width="8" style="224"/>
    <col min="9732" max="9732" width="3.25" style="224" customWidth="1"/>
    <col min="9733" max="9733" width="22.5" style="224" customWidth="1"/>
    <col min="9734" max="9734" width="34.25" style="224" bestFit="1" customWidth="1"/>
    <col min="9735" max="9735" width="8" style="224" customWidth="1"/>
    <col min="9736" max="9736" width="15.5" style="224" bestFit="1" customWidth="1"/>
    <col min="9737" max="9739" width="8.875" style="224" bestFit="1" customWidth="1"/>
    <col min="9740" max="9740" width="8.875" style="224" customWidth="1"/>
    <col min="9741" max="9746" width="8.875" style="224" bestFit="1" customWidth="1"/>
    <col min="9747" max="9756" width="8.75" style="224" customWidth="1"/>
    <col min="9757" max="9757" width="8" style="224" customWidth="1"/>
    <col min="9758" max="9758" width="8.875" style="224" customWidth="1"/>
    <col min="9759" max="9987" width="8" style="224"/>
    <col min="9988" max="9988" width="3.25" style="224" customWidth="1"/>
    <col min="9989" max="9989" width="22.5" style="224" customWidth="1"/>
    <col min="9990" max="9990" width="34.25" style="224" bestFit="1" customWidth="1"/>
    <col min="9991" max="9991" width="8" style="224" customWidth="1"/>
    <col min="9992" max="9992" width="15.5" style="224" bestFit="1" customWidth="1"/>
    <col min="9993" max="9995" width="8.875" style="224" bestFit="1" customWidth="1"/>
    <col min="9996" max="9996" width="8.875" style="224" customWidth="1"/>
    <col min="9997" max="10002" width="8.875" style="224" bestFit="1" customWidth="1"/>
    <col min="10003" max="10012" width="8.75" style="224" customWidth="1"/>
    <col min="10013" max="10013" width="8" style="224" customWidth="1"/>
    <col min="10014" max="10014" width="8.875" style="224" customWidth="1"/>
    <col min="10015" max="10243" width="8" style="224"/>
    <col min="10244" max="10244" width="3.25" style="224" customWidth="1"/>
    <col min="10245" max="10245" width="22.5" style="224" customWidth="1"/>
    <col min="10246" max="10246" width="34.25" style="224" bestFit="1" customWidth="1"/>
    <col min="10247" max="10247" width="8" style="224" customWidth="1"/>
    <col min="10248" max="10248" width="15.5" style="224" bestFit="1" customWidth="1"/>
    <col min="10249" max="10251" width="8.875" style="224" bestFit="1" customWidth="1"/>
    <col min="10252" max="10252" width="8.875" style="224" customWidth="1"/>
    <col min="10253" max="10258" width="8.875" style="224" bestFit="1" customWidth="1"/>
    <col min="10259" max="10268" width="8.75" style="224" customWidth="1"/>
    <col min="10269" max="10269" width="8" style="224" customWidth="1"/>
    <col min="10270" max="10270" width="8.875" style="224" customWidth="1"/>
    <col min="10271" max="10499" width="8" style="224"/>
    <col min="10500" max="10500" width="3.25" style="224" customWidth="1"/>
    <col min="10501" max="10501" width="22.5" style="224" customWidth="1"/>
    <col min="10502" max="10502" width="34.25" style="224" bestFit="1" customWidth="1"/>
    <col min="10503" max="10503" width="8" style="224" customWidth="1"/>
    <col min="10504" max="10504" width="15.5" style="224" bestFit="1" customWidth="1"/>
    <col min="10505" max="10507" width="8.875" style="224" bestFit="1" customWidth="1"/>
    <col min="10508" max="10508" width="8.875" style="224" customWidth="1"/>
    <col min="10509" max="10514" width="8.875" style="224" bestFit="1" customWidth="1"/>
    <col min="10515" max="10524" width="8.75" style="224" customWidth="1"/>
    <col min="10525" max="10525" width="8" style="224" customWidth="1"/>
    <col min="10526" max="10526" width="8.875" style="224" customWidth="1"/>
    <col min="10527" max="10755" width="8" style="224"/>
    <col min="10756" max="10756" width="3.25" style="224" customWidth="1"/>
    <col min="10757" max="10757" width="22.5" style="224" customWidth="1"/>
    <col min="10758" max="10758" width="34.25" style="224" bestFit="1" customWidth="1"/>
    <col min="10759" max="10759" width="8" style="224" customWidth="1"/>
    <col min="10760" max="10760" width="15.5" style="224" bestFit="1" customWidth="1"/>
    <col min="10761" max="10763" width="8.875" style="224" bestFit="1" customWidth="1"/>
    <col min="10764" max="10764" width="8.875" style="224" customWidth="1"/>
    <col min="10765" max="10770" width="8.875" style="224" bestFit="1" customWidth="1"/>
    <col min="10771" max="10780" width="8.75" style="224" customWidth="1"/>
    <col min="10781" max="10781" width="8" style="224" customWidth="1"/>
    <col min="10782" max="10782" width="8.875" style="224" customWidth="1"/>
    <col min="10783" max="11011" width="8" style="224"/>
    <col min="11012" max="11012" width="3.25" style="224" customWidth="1"/>
    <col min="11013" max="11013" width="22.5" style="224" customWidth="1"/>
    <col min="11014" max="11014" width="34.25" style="224" bestFit="1" customWidth="1"/>
    <col min="11015" max="11015" width="8" style="224" customWidth="1"/>
    <col min="11016" max="11016" width="15.5" style="224" bestFit="1" customWidth="1"/>
    <col min="11017" max="11019" width="8.875" style="224" bestFit="1" customWidth="1"/>
    <col min="11020" max="11020" width="8.875" style="224" customWidth="1"/>
    <col min="11021" max="11026" width="8.875" style="224" bestFit="1" customWidth="1"/>
    <col min="11027" max="11036" width="8.75" style="224" customWidth="1"/>
    <col min="11037" max="11037" width="8" style="224" customWidth="1"/>
    <col min="11038" max="11038" width="8.875" style="224" customWidth="1"/>
    <col min="11039" max="11267" width="8" style="224"/>
    <col min="11268" max="11268" width="3.25" style="224" customWidth="1"/>
    <col min="11269" max="11269" width="22.5" style="224" customWidth="1"/>
    <col min="11270" max="11270" width="34.25" style="224" bestFit="1" customWidth="1"/>
    <col min="11271" max="11271" width="8" style="224" customWidth="1"/>
    <col min="11272" max="11272" width="15.5" style="224" bestFit="1" customWidth="1"/>
    <col min="11273" max="11275" width="8.875" style="224" bestFit="1" customWidth="1"/>
    <col min="11276" max="11276" width="8.875" style="224" customWidth="1"/>
    <col min="11277" max="11282" width="8.875" style="224" bestFit="1" customWidth="1"/>
    <col min="11283" max="11292" width="8.75" style="224" customWidth="1"/>
    <col min="11293" max="11293" width="8" style="224" customWidth="1"/>
    <col min="11294" max="11294" width="8.875" style="224" customWidth="1"/>
    <col min="11295" max="11523" width="8" style="224"/>
    <col min="11524" max="11524" width="3.25" style="224" customWidth="1"/>
    <col min="11525" max="11525" width="22.5" style="224" customWidth="1"/>
    <col min="11526" max="11526" width="34.25" style="224" bestFit="1" customWidth="1"/>
    <col min="11527" max="11527" width="8" style="224" customWidth="1"/>
    <col min="11528" max="11528" width="15.5" style="224" bestFit="1" customWidth="1"/>
    <col min="11529" max="11531" width="8.875" style="224" bestFit="1" customWidth="1"/>
    <col min="11532" max="11532" width="8.875" style="224" customWidth="1"/>
    <col min="11533" max="11538" width="8.875" style="224" bestFit="1" customWidth="1"/>
    <col min="11539" max="11548" width="8.75" style="224" customWidth="1"/>
    <col min="11549" max="11549" width="8" style="224" customWidth="1"/>
    <col min="11550" max="11550" width="8.875" style="224" customWidth="1"/>
    <col min="11551" max="11779" width="8" style="224"/>
    <col min="11780" max="11780" width="3.25" style="224" customWidth="1"/>
    <col min="11781" max="11781" width="22.5" style="224" customWidth="1"/>
    <col min="11782" max="11782" width="34.25" style="224" bestFit="1" customWidth="1"/>
    <col min="11783" max="11783" width="8" style="224" customWidth="1"/>
    <col min="11784" max="11784" width="15.5" style="224" bestFit="1" customWidth="1"/>
    <col min="11785" max="11787" width="8.875" style="224" bestFit="1" customWidth="1"/>
    <col min="11788" max="11788" width="8.875" style="224" customWidth="1"/>
    <col min="11789" max="11794" width="8.875" style="224" bestFit="1" customWidth="1"/>
    <col min="11795" max="11804" width="8.75" style="224" customWidth="1"/>
    <col min="11805" max="11805" width="8" style="224" customWidth="1"/>
    <col min="11806" max="11806" width="8.875" style="224" customWidth="1"/>
    <col min="11807" max="12035" width="8" style="224"/>
    <col min="12036" max="12036" width="3.25" style="224" customWidth="1"/>
    <col min="12037" max="12037" width="22.5" style="224" customWidth="1"/>
    <col min="12038" max="12038" width="34.25" style="224" bestFit="1" customWidth="1"/>
    <col min="12039" max="12039" width="8" style="224" customWidth="1"/>
    <col min="12040" max="12040" width="15.5" style="224" bestFit="1" customWidth="1"/>
    <col min="12041" max="12043" width="8.875" style="224" bestFit="1" customWidth="1"/>
    <col min="12044" max="12044" width="8.875" style="224" customWidth="1"/>
    <col min="12045" max="12050" width="8.875" style="224" bestFit="1" customWidth="1"/>
    <col min="12051" max="12060" width="8.75" style="224" customWidth="1"/>
    <col min="12061" max="12061" width="8" style="224" customWidth="1"/>
    <col min="12062" max="12062" width="8.875" style="224" customWidth="1"/>
    <col min="12063" max="12291" width="8" style="224"/>
    <col min="12292" max="12292" width="3.25" style="224" customWidth="1"/>
    <col min="12293" max="12293" width="22.5" style="224" customWidth="1"/>
    <col min="12294" max="12294" width="34.25" style="224" bestFit="1" customWidth="1"/>
    <col min="12295" max="12295" width="8" style="224" customWidth="1"/>
    <col min="12296" max="12296" width="15.5" style="224" bestFit="1" customWidth="1"/>
    <col min="12297" max="12299" width="8.875" style="224" bestFit="1" customWidth="1"/>
    <col min="12300" max="12300" width="8.875" style="224" customWidth="1"/>
    <col min="12301" max="12306" width="8.875" style="224" bestFit="1" customWidth="1"/>
    <col min="12307" max="12316" width="8.75" style="224" customWidth="1"/>
    <col min="12317" max="12317" width="8" style="224" customWidth="1"/>
    <col min="12318" max="12318" width="8.875" style="224" customWidth="1"/>
    <col min="12319" max="12547" width="8" style="224"/>
    <col min="12548" max="12548" width="3.25" style="224" customWidth="1"/>
    <col min="12549" max="12549" width="22.5" style="224" customWidth="1"/>
    <col min="12550" max="12550" width="34.25" style="224" bestFit="1" customWidth="1"/>
    <col min="12551" max="12551" width="8" style="224" customWidth="1"/>
    <col min="12552" max="12552" width="15.5" style="224" bestFit="1" customWidth="1"/>
    <col min="12553" max="12555" width="8.875" style="224" bestFit="1" customWidth="1"/>
    <col min="12556" max="12556" width="8.875" style="224" customWidth="1"/>
    <col min="12557" max="12562" width="8.875" style="224" bestFit="1" customWidth="1"/>
    <col min="12563" max="12572" width="8.75" style="224" customWidth="1"/>
    <col min="12573" max="12573" width="8" style="224" customWidth="1"/>
    <col min="12574" max="12574" width="8.875" style="224" customWidth="1"/>
    <col min="12575" max="12803" width="8" style="224"/>
    <col min="12804" max="12804" width="3.25" style="224" customWidth="1"/>
    <col min="12805" max="12805" width="22.5" style="224" customWidth="1"/>
    <col min="12806" max="12806" width="34.25" style="224" bestFit="1" customWidth="1"/>
    <col min="12807" max="12807" width="8" style="224" customWidth="1"/>
    <col min="12808" max="12808" width="15.5" style="224" bestFit="1" customWidth="1"/>
    <col min="12809" max="12811" width="8.875" style="224" bestFit="1" customWidth="1"/>
    <col min="12812" max="12812" width="8.875" style="224" customWidth="1"/>
    <col min="12813" max="12818" width="8.875" style="224" bestFit="1" customWidth="1"/>
    <col min="12819" max="12828" width="8.75" style="224" customWidth="1"/>
    <col min="12829" max="12829" width="8" style="224" customWidth="1"/>
    <col min="12830" max="12830" width="8.875" style="224" customWidth="1"/>
    <col min="12831" max="13059" width="8" style="224"/>
    <col min="13060" max="13060" width="3.25" style="224" customWidth="1"/>
    <col min="13061" max="13061" width="22.5" style="224" customWidth="1"/>
    <col min="13062" max="13062" width="34.25" style="224" bestFit="1" customWidth="1"/>
    <col min="13063" max="13063" width="8" style="224" customWidth="1"/>
    <col min="13064" max="13064" width="15.5" style="224" bestFit="1" customWidth="1"/>
    <col min="13065" max="13067" width="8.875" style="224" bestFit="1" customWidth="1"/>
    <col min="13068" max="13068" width="8.875" style="224" customWidth="1"/>
    <col min="13069" max="13074" width="8.875" style="224" bestFit="1" customWidth="1"/>
    <col min="13075" max="13084" width="8.75" style="224" customWidth="1"/>
    <col min="13085" max="13085" width="8" style="224" customWidth="1"/>
    <col min="13086" max="13086" width="8.875" style="224" customWidth="1"/>
    <col min="13087" max="13315" width="8" style="224"/>
    <col min="13316" max="13316" width="3.25" style="224" customWidth="1"/>
    <col min="13317" max="13317" width="22.5" style="224" customWidth="1"/>
    <col min="13318" max="13318" width="34.25" style="224" bestFit="1" customWidth="1"/>
    <col min="13319" max="13319" width="8" style="224" customWidth="1"/>
    <col min="13320" max="13320" width="15.5" style="224" bestFit="1" customWidth="1"/>
    <col min="13321" max="13323" width="8.875" style="224" bestFit="1" customWidth="1"/>
    <col min="13324" max="13324" width="8.875" style="224" customWidth="1"/>
    <col min="13325" max="13330" width="8.875" style="224" bestFit="1" customWidth="1"/>
    <col min="13331" max="13340" width="8.75" style="224" customWidth="1"/>
    <col min="13341" max="13341" width="8" style="224" customWidth="1"/>
    <col min="13342" max="13342" width="8.875" style="224" customWidth="1"/>
    <col min="13343" max="13571" width="8" style="224"/>
    <col min="13572" max="13572" width="3.25" style="224" customWidth="1"/>
    <col min="13573" max="13573" width="22.5" style="224" customWidth="1"/>
    <col min="13574" max="13574" width="34.25" style="224" bestFit="1" customWidth="1"/>
    <col min="13575" max="13575" width="8" style="224" customWidth="1"/>
    <col min="13576" max="13576" width="15.5" style="224" bestFit="1" customWidth="1"/>
    <col min="13577" max="13579" width="8.875" style="224" bestFit="1" customWidth="1"/>
    <col min="13580" max="13580" width="8.875" style="224" customWidth="1"/>
    <col min="13581" max="13586" width="8.875" style="224" bestFit="1" customWidth="1"/>
    <col min="13587" max="13596" width="8.75" style="224" customWidth="1"/>
    <col min="13597" max="13597" width="8" style="224" customWidth="1"/>
    <col min="13598" max="13598" width="8.875" style="224" customWidth="1"/>
    <col min="13599" max="13827" width="8" style="224"/>
    <col min="13828" max="13828" width="3.25" style="224" customWidth="1"/>
    <col min="13829" max="13829" width="22.5" style="224" customWidth="1"/>
    <col min="13830" max="13830" width="34.25" style="224" bestFit="1" customWidth="1"/>
    <col min="13831" max="13831" width="8" style="224" customWidth="1"/>
    <col min="13832" max="13832" width="15.5" style="224" bestFit="1" customWidth="1"/>
    <col min="13833" max="13835" width="8.875" style="224" bestFit="1" customWidth="1"/>
    <col min="13836" max="13836" width="8.875" style="224" customWidth="1"/>
    <col min="13837" max="13842" width="8.875" style="224" bestFit="1" customWidth="1"/>
    <col min="13843" max="13852" width="8.75" style="224" customWidth="1"/>
    <col min="13853" max="13853" width="8" style="224" customWidth="1"/>
    <col min="13854" max="13854" width="8.875" style="224" customWidth="1"/>
    <col min="13855" max="14083" width="8" style="224"/>
    <col min="14084" max="14084" width="3.25" style="224" customWidth="1"/>
    <col min="14085" max="14085" width="22.5" style="224" customWidth="1"/>
    <col min="14086" max="14086" width="34.25" style="224" bestFit="1" customWidth="1"/>
    <col min="14087" max="14087" width="8" style="224" customWidth="1"/>
    <col min="14088" max="14088" width="15.5" style="224" bestFit="1" customWidth="1"/>
    <col min="14089" max="14091" width="8.875" style="224" bestFit="1" customWidth="1"/>
    <col min="14092" max="14092" width="8.875" style="224" customWidth="1"/>
    <col min="14093" max="14098" width="8.875" style="224" bestFit="1" customWidth="1"/>
    <col min="14099" max="14108" width="8.75" style="224" customWidth="1"/>
    <col min="14109" max="14109" width="8" style="224" customWidth="1"/>
    <col min="14110" max="14110" width="8.875" style="224" customWidth="1"/>
    <col min="14111" max="14339" width="8" style="224"/>
    <col min="14340" max="14340" width="3.25" style="224" customWidth="1"/>
    <col min="14341" max="14341" width="22.5" style="224" customWidth="1"/>
    <col min="14342" max="14342" width="34.25" style="224" bestFit="1" customWidth="1"/>
    <col min="14343" max="14343" width="8" style="224" customWidth="1"/>
    <col min="14344" max="14344" width="15.5" style="224" bestFit="1" customWidth="1"/>
    <col min="14345" max="14347" width="8.875" style="224" bestFit="1" customWidth="1"/>
    <col min="14348" max="14348" width="8.875" style="224" customWidth="1"/>
    <col min="14349" max="14354" width="8.875" style="224" bestFit="1" customWidth="1"/>
    <col min="14355" max="14364" width="8.75" style="224" customWidth="1"/>
    <col min="14365" max="14365" width="8" style="224" customWidth="1"/>
    <col min="14366" max="14366" width="8.875" style="224" customWidth="1"/>
    <col min="14367" max="14595" width="8" style="224"/>
    <col min="14596" max="14596" width="3.25" style="224" customWidth="1"/>
    <col min="14597" max="14597" width="22.5" style="224" customWidth="1"/>
    <col min="14598" max="14598" width="34.25" style="224" bestFit="1" customWidth="1"/>
    <col min="14599" max="14599" width="8" style="224" customWidth="1"/>
    <col min="14600" max="14600" width="15.5" style="224" bestFit="1" customWidth="1"/>
    <col min="14601" max="14603" width="8.875" style="224" bestFit="1" customWidth="1"/>
    <col min="14604" max="14604" width="8.875" style="224" customWidth="1"/>
    <col min="14605" max="14610" width="8.875" style="224" bestFit="1" customWidth="1"/>
    <col min="14611" max="14620" width="8.75" style="224" customWidth="1"/>
    <col min="14621" max="14621" width="8" style="224" customWidth="1"/>
    <col min="14622" max="14622" width="8.875" style="224" customWidth="1"/>
    <col min="14623" max="14851" width="8" style="224"/>
    <col min="14852" max="14852" width="3.25" style="224" customWidth="1"/>
    <col min="14853" max="14853" width="22.5" style="224" customWidth="1"/>
    <col min="14854" max="14854" width="34.25" style="224" bestFit="1" customWidth="1"/>
    <col min="14855" max="14855" width="8" style="224" customWidth="1"/>
    <col min="14856" max="14856" width="15.5" style="224" bestFit="1" customWidth="1"/>
    <col min="14857" max="14859" width="8.875" style="224" bestFit="1" customWidth="1"/>
    <col min="14860" max="14860" width="8.875" style="224" customWidth="1"/>
    <col min="14861" max="14866" width="8.875" style="224" bestFit="1" customWidth="1"/>
    <col min="14867" max="14876" width="8.75" style="224" customWidth="1"/>
    <col min="14877" max="14877" width="8" style="224" customWidth="1"/>
    <col min="14878" max="14878" width="8.875" style="224" customWidth="1"/>
    <col min="14879" max="15107" width="8" style="224"/>
    <col min="15108" max="15108" width="3.25" style="224" customWidth="1"/>
    <col min="15109" max="15109" width="22.5" style="224" customWidth="1"/>
    <col min="15110" max="15110" width="34.25" style="224" bestFit="1" customWidth="1"/>
    <col min="15111" max="15111" width="8" style="224" customWidth="1"/>
    <col min="15112" max="15112" width="15.5" style="224" bestFit="1" customWidth="1"/>
    <col min="15113" max="15115" width="8.875" style="224" bestFit="1" customWidth="1"/>
    <col min="15116" max="15116" width="8.875" style="224" customWidth="1"/>
    <col min="15117" max="15122" width="8.875" style="224" bestFit="1" customWidth="1"/>
    <col min="15123" max="15132" width="8.75" style="224" customWidth="1"/>
    <col min="15133" max="15133" width="8" style="224" customWidth="1"/>
    <col min="15134" max="15134" width="8.875" style="224" customWidth="1"/>
    <col min="15135" max="15363" width="8" style="224"/>
    <col min="15364" max="15364" width="3.25" style="224" customWidth="1"/>
    <col min="15365" max="15365" width="22.5" style="224" customWidth="1"/>
    <col min="15366" max="15366" width="34.25" style="224" bestFit="1" customWidth="1"/>
    <col min="15367" max="15367" width="8" style="224" customWidth="1"/>
    <col min="15368" max="15368" width="15.5" style="224" bestFit="1" customWidth="1"/>
    <col min="15369" max="15371" width="8.875" style="224" bestFit="1" customWidth="1"/>
    <col min="15372" max="15372" width="8.875" style="224" customWidth="1"/>
    <col min="15373" max="15378" width="8.875" style="224" bestFit="1" customWidth="1"/>
    <col min="15379" max="15388" width="8.75" style="224" customWidth="1"/>
    <col min="15389" max="15389" width="8" style="224" customWidth="1"/>
    <col min="15390" max="15390" width="8.875" style="224" customWidth="1"/>
    <col min="15391" max="15619" width="8" style="224"/>
    <col min="15620" max="15620" width="3.25" style="224" customWidth="1"/>
    <col min="15621" max="15621" width="22.5" style="224" customWidth="1"/>
    <col min="15622" max="15622" width="34.25" style="224" bestFit="1" customWidth="1"/>
    <col min="15623" max="15623" width="8" style="224" customWidth="1"/>
    <col min="15624" max="15624" width="15.5" style="224" bestFit="1" customWidth="1"/>
    <col min="15625" max="15627" width="8.875" style="224" bestFit="1" customWidth="1"/>
    <col min="15628" max="15628" width="8.875" style="224" customWidth="1"/>
    <col min="15629" max="15634" width="8.875" style="224" bestFit="1" customWidth="1"/>
    <col min="15635" max="15644" width="8.75" style="224" customWidth="1"/>
    <col min="15645" max="15645" width="8" style="224" customWidth="1"/>
    <col min="15646" max="15646" width="8.875" style="224" customWidth="1"/>
    <col min="15647" max="15875" width="8" style="224"/>
    <col min="15876" max="15876" width="3.25" style="224" customWidth="1"/>
    <col min="15877" max="15877" width="22.5" style="224" customWidth="1"/>
    <col min="15878" max="15878" width="34.25" style="224" bestFit="1" customWidth="1"/>
    <col min="15879" max="15879" width="8" style="224" customWidth="1"/>
    <col min="15880" max="15880" width="15.5" style="224" bestFit="1" customWidth="1"/>
    <col min="15881" max="15883" width="8.875" style="224" bestFit="1" customWidth="1"/>
    <col min="15884" max="15884" width="8.875" style="224" customWidth="1"/>
    <col min="15885" max="15890" width="8.875" style="224" bestFit="1" customWidth="1"/>
    <col min="15891" max="15900" width="8.75" style="224" customWidth="1"/>
    <col min="15901" max="15901" width="8" style="224" customWidth="1"/>
    <col min="15902" max="15902" width="8.875" style="224" customWidth="1"/>
    <col min="15903" max="16131" width="8" style="224"/>
    <col min="16132" max="16132" width="3.25" style="224" customWidth="1"/>
    <col min="16133" max="16133" width="22.5" style="224" customWidth="1"/>
    <col min="16134" max="16134" width="34.25" style="224" bestFit="1" customWidth="1"/>
    <col min="16135" max="16135" width="8" style="224" customWidth="1"/>
    <col min="16136" max="16136" width="15.5" style="224" bestFit="1" customWidth="1"/>
    <col min="16137" max="16139" width="8.875" style="224" bestFit="1" customWidth="1"/>
    <col min="16140" max="16140" width="8.875" style="224" customWidth="1"/>
    <col min="16141" max="16146" width="8.875" style="224" bestFit="1" customWidth="1"/>
    <col min="16147" max="16156" width="8.75" style="224" customWidth="1"/>
    <col min="16157" max="16157" width="8" style="224" customWidth="1"/>
    <col min="16158" max="16158" width="8.875" style="224" customWidth="1"/>
    <col min="16159" max="16384" width="8" style="224"/>
  </cols>
  <sheetData>
    <row r="1" spans="1:30" s="194" customFormat="1" ht="15.75">
      <c r="A1" s="222" t="s">
        <v>2100</v>
      </c>
      <c r="F1" s="194">
        <v>2006</v>
      </c>
      <c r="G1" s="194">
        <v>2007</v>
      </c>
      <c r="H1" s="194">
        <v>2008</v>
      </c>
      <c r="I1" s="194">
        <v>2009</v>
      </c>
      <c r="J1" s="194">
        <v>2010</v>
      </c>
      <c r="K1" s="194">
        <v>2011</v>
      </c>
      <c r="L1" s="194">
        <v>2012</v>
      </c>
      <c r="M1" s="194">
        <v>2013</v>
      </c>
      <c r="N1" s="194">
        <v>2014</v>
      </c>
      <c r="O1" s="194">
        <v>2015</v>
      </c>
      <c r="P1" s="194">
        <v>2016</v>
      </c>
      <c r="AB1" s="195"/>
      <c r="AC1" s="195"/>
      <c r="AD1" s="195"/>
    </row>
    <row r="2" spans="1:30" s="196" customFormat="1">
      <c r="F2" s="196" t="s">
        <v>1131</v>
      </c>
      <c r="G2" s="196" t="s">
        <v>1131</v>
      </c>
      <c r="H2" s="196" t="s">
        <v>1131</v>
      </c>
      <c r="I2" s="196" t="s">
        <v>1131</v>
      </c>
      <c r="J2" s="196" t="s">
        <v>1131</v>
      </c>
      <c r="K2" s="196" t="s">
        <v>1131</v>
      </c>
      <c r="L2" s="196" t="s">
        <v>1131</v>
      </c>
      <c r="M2" s="196" t="s">
        <v>1132</v>
      </c>
      <c r="N2" s="196" t="s">
        <v>1132</v>
      </c>
      <c r="O2" s="196" t="s">
        <v>1132</v>
      </c>
      <c r="P2" s="196" t="s">
        <v>1132</v>
      </c>
      <c r="AB2" s="197"/>
      <c r="AC2" s="197"/>
      <c r="AD2" s="197"/>
    </row>
    <row r="3" spans="1:30" s="223" customFormat="1">
      <c r="F3" s="223">
        <v>38898</v>
      </c>
      <c r="G3" s="223">
        <v>39263</v>
      </c>
      <c r="H3" s="223">
        <v>39629</v>
      </c>
      <c r="I3" s="223">
        <v>39994</v>
      </c>
      <c r="J3" s="223">
        <v>40359</v>
      </c>
      <c r="K3" s="223">
        <v>40724</v>
      </c>
      <c r="L3" s="223">
        <v>41090</v>
      </c>
      <c r="M3" s="223">
        <v>41455</v>
      </c>
      <c r="N3" s="223">
        <v>41820</v>
      </c>
      <c r="O3" s="223">
        <v>42185</v>
      </c>
      <c r="P3" s="223">
        <v>42551</v>
      </c>
      <c r="AB3" s="198"/>
      <c r="AC3" s="198"/>
      <c r="AD3" s="198"/>
    </row>
    <row r="4" spans="1:30">
      <c r="F4" s="224"/>
      <c r="G4" s="224"/>
      <c r="H4" s="224"/>
      <c r="I4" s="224"/>
      <c r="J4" s="224"/>
      <c r="K4" s="224"/>
      <c r="L4" s="224"/>
      <c r="M4" s="224"/>
      <c r="N4" s="224"/>
      <c r="O4" s="224"/>
      <c r="P4" s="224"/>
    </row>
    <row r="5" spans="1:30" s="199" customFormat="1" ht="15.75">
      <c r="A5" s="199" t="s">
        <v>1133</v>
      </c>
      <c r="D5" s="200"/>
      <c r="AB5" s="201"/>
      <c r="AC5" s="201"/>
      <c r="AD5" s="201"/>
    </row>
    <row r="6" spans="1:30">
      <c r="B6" s="224" t="s">
        <v>1134</v>
      </c>
      <c r="C6" s="224" t="s">
        <v>1135</v>
      </c>
      <c r="E6" s="242" t="s">
        <v>2098</v>
      </c>
      <c r="F6" s="224"/>
      <c r="G6" s="224"/>
      <c r="H6" s="224"/>
      <c r="I6" s="224"/>
      <c r="J6" s="224"/>
      <c r="K6" s="224"/>
      <c r="L6" s="224"/>
      <c r="M6" s="224"/>
      <c r="N6" s="224"/>
      <c r="O6" s="224"/>
      <c r="P6" s="224"/>
    </row>
    <row r="7" spans="1:30">
      <c r="B7" s="224" t="s">
        <v>1136</v>
      </c>
      <c r="C7" s="224" t="s">
        <v>1136</v>
      </c>
      <c r="E7" s="242" t="s">
        <v>2099</v>
      </c>
      <c r="F7" s="224"/>
      <c r="G7" s="224"/>
      <c r="H7" s="224"/>
      <c r="I7" s="224"/>
      <c r="J7" s="224"/>
      <c r="K7" s="224"/>
      <c r="L7" s="224"/>
      <c r="M7" s="224"/>
      <c r="N7" s="224"/>
      <c r="O7" s="224"/>
      <c r="P7" s="224"/>
    </row>
    <row r="8" spans="1:30">
      <c r="B8" s="224" t="s">
        <v>1137</v>
      </c>
      <c r="C8" s="224" t="s">
        <v>1137</v>
      </c>
      <c r="E8" s="242" t="s">
        <v>1138</v>
      </c>
      <c r="F8" s="224"/>
      <c r="G8" s="224"/>
      <c r="H8" s="224"/>
      <c r="I8" s="224"/>
      <c r="J8" s="224"/>
      <c r="K8" s="224"/>
      <c r="L8" s="224"/>
      <c r="M8" s="224"/>
      <c r="N8" s="224"/>
      <c r="O8" s="224"/>
      <c r="P8" s="224"/>
    </row>
    <row r="9" spans="1:30">
      <c r="B9" s="224" t="s">
        <v>1139</v>
      </c>
      <c r="C9" s="224" t="s">
        <v>1139</v>
      </c>
      <c r="E9" s="242" t="s">
        <v>1140</v>
      </c>
      <c r="F9" s="224"/>
      <c r="G9" s="224"/>
      <c r="H9" s="224"/>
      <c r="I9" s="224"/>
      <c r="J9" s="224"/>
      <c r="K9" s="224"/>
      <c r="L9" s="224"/>
      <c r="M9" s="224"/>
      <c r="N9" s="224"/>
      <c r="O9" s="224"/>
      <c r="P9" s="224"/>
    </row>
    <row r="10" spans="1:30">
      <c r="B10" s="224" t="s">
        <v>1141</v>
      </c>
      <c r="C10" s="224" t="s">
        <v>1141</v>
      </c>
      <c r="E10" s="242" t="s">
        <v>1140</v>
      </c>
      <c r="F10" s="224"/>
      <c r="G10" s="224"/>
      <c r="H10" s="224"/>
      <c r="I10" s="224"/>
      <c r="J10" s="224"/>
      <c r="K10" s="224"/>
      <c r="L10" s="224"/>
      <c r="M10" s="224"/>
      <c r="N10" s="224"/>
      <c r="O10" s="224"/>
      <c r="P10" s="224"/>
    </row>
    <row r="11" spans="1:30">
      <c r="B11" s="224" t="s">
        <v>1142</v>
      </c>
      <c r="C11" s="224" t="s">
        <v>1143</v>
      </c>
      <c r="E11" s="242" t="s">
        <v>1140</v>
      </c>
      <c r="F11" s="224"/>
      <c r="G11" s="224"/>
      <c r="H11" s="224"/>
      <c r="I11" s="224"/>
      <c r="J11" s="224"/>
      <c r="K11" s="224"/>
      <c r="L11" s="224"/>
      <c r="M11" s="224"/>
      <c r="N11" s="224"/>
      <c r="O11" s="224"/>
      <c r="P11" s="224"/>
    </row>
    <row r="12" spans="1:30">
      <c r="F12" s="224"/>
      <c r="G12" s="224"/>
      <c r="H12" s="224"/>
      <c r="I12" s="224"/>
      <c r="J12" s="224"/>
      <c r="K12" s="224"/>
      <c r="L12" s="224"/>
      <c r="M12" s="224"/>
      <c r="N12" s="224"/>
      <c r="O12" s="224"/>
      <c r="P12" s="224"/>
    </row>
    <row r="13" spans="1:30" s="199" customFormat="1" ht="15.75">
      <c r="A13" s="199" t="s">
        <v>1144</v>
      </c>
      <c r="D13" s="200"/>
      <c r="AB13" s="201"/>
      <c r="AC13" s="201"/>
      <c r="AD13" s="201"/>
    </row>
    <row r="14" spans="1:30">
      <c r="B14" s="224" t="s">
        <v>1145</v>
      </c>
      <c r="C14" s="224" t="s">
        <v>1146</v>
      </c>
    </row>
    <row r="15" spans="1:30">
      <c r="B15" s="224" t="s">
        <v>1147</v>
      </c>
      <c r="C15" s="224" t="s">
        <v>1148</v>
      </c>
    </row>
    <row r="16" spans="1:30">
      <c r="B16" s="224" t="s">
        <v>1149</v>
      </c>
      <c r="C16" s="224" t="s">
        <v>1150</v>
      </c>
    </row>
    <row r="17" spans="2:30">
      <c r="B17" s="224" t="s">
        <v>1151</v>
      </c>
      <c r="C17" s="224" t="s">
        <v>1152</v>
      </c>
      <c r="D17" s="224" t="s">
        <v>1140</v>
      </c>
    </row>
    <row r="18" spans="2:30">
      <c r="B18" s="224" t="s">
        <v>1153</v>
      </c>
      <c r="C18" s="224" t="s">
        <v>1154</v>
      </c>
    </row>
    <row r="19" spans="2:30">
      <c r="B19" s="224" t="s">
        <v>1156</v>
      </c>
      <c r="C19" s="224" t="s">
        <v>1157</v>
      </c>
      <c r="AB19" s="202" t="s">
        <v>1008</v>
      </c>
      <c r="AC19" s="202"/>
      <c r="AD19" s="202"/>
    </row>
    <row r="20" spans="2:30">
      <c r="B20" s="224" t="s">
        <v>1158</v>
      </c>
      <c r="C20" s="224" t="s">
        <v>1159</v>
      </c>
    </row>
    <row r="21" spans="2:30">
      <c r="B21" s="224" t="s">
        <v>1160</v>
      </c>
      <c r="C21" s="224" t="s">
        <v>1161</v>
      </c>
    </row>
    <row r="22" spans="2:30">
      <c r="B22" s="224" t="s">
        <v>1162</v>
      </c>
      <c r="C22" s="224" t="s">
        <v>1163</v>
      </c>
    </row>
    <row r="23" spans="2:30">
      <c r="B23" s="224" t="s">
        <v>1164</v>
      </c>
      <c r="C23" s="224" t="s">
        <v>1165</v>
      </c>
    </row>
    <row r="24" spans="2:30">
      <c r="B24" s="224" t="s">
        <v>1166</v>
      </c>
      <c r="C24" s="224" t="s">
        <v>1167</v>
      </c>
    </row>
    <row r="25" spans="2:30">
      <c r="B25" s="224" t="s">
        <v>1168</v>
      </c>
      <c r="C25" s="224" t="s">
        <v>1169</v>
      </c>
    </row>
    <row r="26" spans="2:30">
      <c r="B26" s="224" t="s">
        <v>1170</v>
      </c>
      <c r="C26" s="224" t="s">
        <v>1171</v>
      </c>
    </row>
    <row r="27" spans="2:30">
      <c r="B27" s="224" t="s">
        <v>1172</v>
      </c>
      <c r="C27" s="224" t="s">
        <v>1173</v>
      </c>
    </row>
    <row r="28" spans="2:30">
      <c r="B28" s="224" t="s">
        <v>1174</v>
      </c>
      <c r="C28" s="224" t="s">
        <v>1175</v>
      </c>
    </row>
    <row r="29" spans="2:30">
      <c r="B29" s="224" t="s">
        <v>1176</v>
      </c>
      <c r="C29" s="224" t="s">
        <v>1177</v>
      </c>
    </row>
    <row r="30" spans="2:30">
      <c r="B30" s="224" t="s">
        <v>1178</v>
      </c>
      <c r="C30" s="224" t="s">
        <v>1179</v>
      </c>
    </row>
    <row r="31" spans="2:30">
      <c r="B31" s="224" t="s">
        <v>1180</v>
      </c>
      <c r="C31" s="224" t="s">
        <v>1181</v>
      </c>
    </row>
    <row r="32" spans="2:30">
      <c r="B32" s="224" t="s">
        <v>1182</v>
      </c>
      <c r="C32" s="224" t="s">
        <v>1183</v>
      </c>
    </row>
    <row r="33" spans="1:30">
      <c r="B33" s="224" t="s">
        <v>1184</v>
      </c>
      <c r="C33" s="224" t="s">
        <v>1185</v>
      </c>
    </row>
    <row r="34" spans="1:30">
      <c r="F34" s="224"/>
      <c r="G34" s="224"/>
      <c r="H34" s="224"/>
      <c r="I34" s="224"/>
      <c r="J34" s="224"/>
      <c r="K34" s="224"/>
      <c r="L34" s="224"/>
      <c r="M34" s="224"/>
      <c r="N34" s="224"/>
      <c r="O34" s="224"/>
      <c r="P34" s="224"/>
    </row>
    <row r="35" spans="1:30" s="199" customFormat="1" ht="15.75">
      <c r="A35" s="199" t="s">
        <v>1186</v>
      </c>
      <c r="D35" s="200"/>
      <c r="AB35" s="201"/>
      <c r="AC35" s="201"/>
      <c r="AD35" s="201"/>
    </row>
    <row r="36" spans="1:30">
      <c r="A36" s="202"/>
      <c r="B36" s="224" t="s">
        <v>1187</v>
      </c>
      <c r="C36" s="224" t="s">
        <v>1188</v>
      </c>
      <c r="D36" s="224" t="s">
        <v>1140</v>
      </c>
      <c r="AB36" s="203"/>
      <c r="AC36" s="203"/>
      <c r="AD36" s="203"/>
    </row>
    <row r="37" spans="1:30">
      <c r="B37" s="224" t="s">
        <v>1189</v>
      </c>
      <c r="C37" s="224" t="s">
        <v>1190</v>
      </c>
      <c r="D37" s="224" t="s">
        <v>1140</v>
      </c>
      <c r="AB37" s="203"/>
      <c r="AC37" s="203"/>
      <c r="AD37" s="203"/>
    </row>
    <row r="38" spans="1:30">
      <c r="B38" s="224" t="s">
        <v>2500</v>
      </c>
      <c r="C38" s="224" t="s">
        <v>2501</v>
      </c>
      <c r="AB38" s="203" t="s">
        <v>2502</v>
      </c>
      <c r="AC38" s="203"/>
      <c r="AD38" s="203"/>
    </row>
    <row r="39" spans="1:30">
      <c r="B39" s="224" t="s">
        <v>1191</v>
      </c>
      <c r="C39" s="224" t="s">
        <v>1192</v>
      </c>
      <c r="D39" s="224" t="s">
        <v>1140</v>
      </c>
      <c r="AB39" s="203"/>
      <c r="AC39" s="203"/>
      <c r="AD39" s="203"/>
    </row>
    <row r="40" spans="1:30">
      <c r="B40" s="224" t="s">
        <v>1193</v>
      </c>
      <c r="C40" s="224" t="s">
        <v>1194</v>
      </c>
      <c r="D40" s="224" t="s">
        <v>1140</v>
      </c>
      <c r="AB40" s="203"/>
      <c r="AC40" s="203"/>
      <c r="AD40" s="203"/>
    </row>
    <row r="41" spans="1:30">
      <c r="B41" s="224" t="s">
        <v>1195</v>
      </c>
      <c r="C41" s="224" t="s">
        <v>1196</v>
      </c>
      <c r="D41" s="224" t="s">
        <v>1140</v>
      </c>
      <c r="AB41" s="204"/>
      <c r="AC41" s="204"/>
      <c r="AD41" s="204"/>
    </row>
    <row r="42" spans="1:30">
      <c r="B42" s="224" t="s">
        <v>1197</v>
      </c>
      <c r="C42" s="224" t="s">
        <v>1198</v>
      </c>
      <c r="D42" s="224" t="s">
        <v>1140</v>
      </c>
      <c r="AB42" s="204"/>
      <c r="AC42" s="204"/>
      <c r="AD42" s="204"/>
    </row>
    <row r="43" spans="1:30">
      <c r="B43" s="224" t="s">
        <v>1199</v>
      </c>
      <c r="C43" s="224" t="s">
        <v>1200</v>
      </c>
      <c r="D43" s="224" t="s">
        <v>1140</v>
      </c>
      <c r="AB43" s="204"/>
      <c r="AC43" s="204"/>
      <c r="AD43" s="204"/>
    </row>
    <row r="44" spans="1:30">
      <c r="B44" s="224" t="s">
        <v>1201</v>
      </c>
      <c r="C44" s="224" t="s">
        <v>1202</v>
      </c>
      <c r="D44" s="224" t="s">
        <v>1140</v>
      </c>
      <c r="AB44" s="204"/>
      <c r="AC44" s="204"/>
      <c r="AD44" s="204"/>
    </row>
    <row r="45" spans="1:30">
      <c r="B45" s="224" t="s">
        <v>1203</v>
      </c>
      <c r="C45" s="224" t="s">
        <v>1204</v>
      </c>
      <c r="D45" s="224" t="s">
        <v>1140</v>
      </c>
      <c r="AB45" s="204"/>
      <c r="AC45" s="204"/>
      <c r="AD45" s="204"/>
    </row>
    <row r="46" spans="1:30">
      <c r="B46" s="224" t="s">
        <v>1205</v>
      </c>
      <c r="C46" s="224" t="s">
        <v>1206</v>
      </c>
      <c r="D46" s="224" t="s">
        <v>1140</v>
      </c>
      <c r="AB46" s="203"/>
      <c r="AC46" s="203"/>
      <c r="AD46" s="203"/>
    </row>
    <row r="47" spans="1:30">
      <c r="B47" s="224" t="s">
        <v>1207</v>
      </c>
      <c r="C47" s="224" t="s">
        <v>1208</v>
      </c>
      <c r="D47" s="224" t="s">
        <v>1140</v>
      </c>
      <c r="AB47" s="204"/>
      <c r="AC47" s="204"/>
      <c r="AD47" s="204"/>
    </row>
    <row r="48" spans="1:30">
      <c r="B48" s="224" t="s">
        <v>1209</v>
      </c>
      <c r="C48" s="224" t="s">
        <v>1210</v>
      </c>
      <c r="D48" s="224" t="s">
        <v>1140</v>
      </c>
      <c r="AB48" s="203"/>
      <c r="AC48" s="203"/>
      <c r="AD48" s="203"/>
    </row>
    <row r="49" spans="1:30">
      <c r="F49" s="224"/>
      <c r="G49" s="224"/>
      <c r="H49" s="224"/>
      <c r="I49" s="224"/>
      <c r="J49" s="224"/>
      <c r="K49" s="224"/>
      <c r="L49" s="224"/>
      <c r="M49" s="224"/>
      <c r="N49" s="224"/>
      <c r="O49" s="224"/>
      <c r="P49" s="224"/>
    </row>
    <row r="50" spans="1:30" s="199" customFormat="1" ht="15.75">
      <c r="A50" s="199" t="s">
        <v>1211</v>
      </c>
      <c r="D50" s="200"/>
      <c r="AB50" s="201"/>
      <c r="AC50" s="201"/>
      <c r="AD50" s="201"/>
    </row>
    <row r="51" spans="1:30">
      <c r="B51" s="224" t="s">
        <v>1212</v>
      </c>
      <c r="C51" s="224" t="s">
        <v>1213</v>
      </c>
    </row>
    <row r="52" spans="1:30">
      <c r="B52" s="224" t="s">
        <v>747</v>
      </c>
      <c r="C52" s="224" t="s">
        <v>1214</v>
      </c>
      <c r="D52" s="224" t="s">
        <v>1140</v>
      </c>
    </row>
    <row r="53" spans="1:30">
      <c r="B53" s="224" t="s">
        <v>1215</v>
      </c>
      <c r="C53" s="224" t="s">
        <v>1216</v>
      </c>
    </row>
    <row r="54" spans="1:30">
      <c r="B54" s="224" t="s">
        <v>1217</v>
      </c>
      <c r="C54" s="224" t="s">
        <v>1218</v>
      </c>
    </row>
    <row r="55" spans="1:30">
      <c r="B55" s="224" t="s">
        <v>1219</v>
      </c>
      <c r="C55" s="224" t="s">
        <v>1220</v>
      </c>
    </row>
    <row r="56" spans="1:30">
      <c r="B56" s="224" t="s">
        <v>1221</v>
      </c>
      <c r="C56" s="224" t="s">
        <v>1222</v>
      </c>
    </row>
    <row r="57" spans="1:30">
      <c r="B57" s="224" t="s">
        <v>1223</v>
      </c>
      <c r="C57" s="224" t="s">
        <v>1224</v>
      </c>
      <c r="D57" s="224" t="s">
        <v>1140</v>
      </c>
      <c r="AB57" s="202" t="s">
        <v>894</v>
      </c>
    </row>
    <row r="58" spans="1:30">
      <c r="B58" s="224" t="s">
        <v>1225</v>
      </c>
      <c r="C58" s="224" t="s">
        <v>1226</v>
      </c>
      <c r="D58" s="224" t="s">
        <v>1140</v>
      </c>
    </row>
    <row r="59" spans="1:30">
      <c r="B59" s="224" t="s">
        <v>1227</v>
      </c>
      <c r="C59" s="224" t="s">
        <v>1228</v>
      </c>
      <c r="D59" s="224" t="s">
        <v>1140</v>
      </c>
    </row>
    <row r="60" spans="1:30">
      <c r="B60" s="224" t="s">
        <v>1229</v>
      </c>
      <c r="C60" s="224" t="s">
        <v>1230</v>
      </c>
      <c r="D60" s="224" t="s">
        <v>1140</v>
      </c>
    </row>
    <row r="61" spans="1:30">
      <c r="B61" s="224" t="s">
        <v>1231</v>
      </c>
      <c r="C61" s="224" t="s">
        <v>1232</v>
      </c>
      <c r="D61" s="224" t="s">
        <v>1140</v>
      </c>
    </row>
    <row r="62" spans="1:30">
      <c r="B62" s="224" t="s">
        <v>1233</v>
      </c>
      <c r="C62" s="224" t="s">
        <v>1234</v>
      </c>
      <c r="D62" s="224" t="s">
        <v>1140</v>
      </c>
    </row>
    <row r="63" spans="1:30">
      <c r="B63" s="224" t="s">
        <v>1235</v>
      </c>
      <c r="C63" s="224" t="s">
        <v>1236</v>
      </c>
      <c r="D63" s="224" t="s">
        <v>1140</v>
      </c>
    </row>
    <row r="64" spans="1:30">
      <c r="B64" s="224" t="s">
        <v>1237</v>
      </c>
      <c r="C64" s="224" t="s">
        <v>1238</v>
      </c>
      <c r="D64" s="224" t="s">
        <v>1140</v>
      </c>
    </row>
    <row r="65" spans="1:30">
      <c r="B65" s="224" t="s">
        <v>1239</v>
      </c>
      <c r="C65" s="224" t="s">
        <v>1240</v>
      </c>
      <c r="D65" s="224" t="s">
        <v>1140</v>
      </c>
      <c r="AB65" s="205"/>
      <c r="AC65" s="205"/>
      <c r="AD65" s="205"/>
    </row>
    <row r="66" spans="1:30">
      <c r="B66" s="224" t="s">
        <v>1241</v>
      </c>
      <c r="C66" s="224" t="s">
        <v>1242</v>
      </c>
      <c r="D66" s="224" t="s">
        <v>1140</v>
      </c>
    </row>
    <row r="67" spans="1:30">
      <c r="B67" s="224" t="s">
        <v>1243</v>
      </c>
      <c r="C67" s="224" t="s">
        <v>1244</v>
      </c>
      <c r="D67" s="224" t="s">
        <v>1140</v>
      </c>
      <c r="AB67" s="205"/>
      <c r="AC67" s="205"/>
      <c r="AD67" s="205"/>
    </row>
    <row r="68" spans="1:30">
      <c r="B68" s="224" t="s">
        <v>1245</v>
      </c>
      <c r="C68" s="224" t="s">
        <v>1246</v>
      </c>
      <c r="D68" s="224" t="s">
        <v>1140</v>
      </c>
      <c r="AB68" s="206" t="s">
        <v>833</v>
      </c>
      <c r="AC68" s="206"/>
      <c r="AD68" s="206"/>
    </row>
    <row r="69" spans="1:30">
      <c r="B69" s="224" t="s">
        <v>1247</v>
      </c>
      <c r="C69" s="224" t="s">
        <v>1248</v>
      </c>
      <c r="D69" s="224" t="s">
        <v>1140</v>
      </c>
      <c r="AB69" s="202" t="s">
        <v>963</v>
      </c>
      <c r="AC69" s="202"/>
      <c r="AD69" s="202"/>
    </row>
    <row r="70" spans="1:30">
      <c r="B70" s="224" t="s">
        <v>1249</v>
      </c>
      <c r="C70" s="224" t="s">
        <v>1250</v>
      </c>
      <c r="AB70" s="202" t="s">
        <v>904</v>
      </c>
      <c r="AC70" s="202"/>
      <c r="AD70" s="202"/>
    </row>
    <row r="71" spans="1:30">
      <c r="B71" s="224" t="s">
        <v>1251</v>
      </c>
      <c r="C71" s="224" t="s">
        <v>1252</v>
      </c>
    </row>
    <row r="72" spans="1:30">
      <c r="F72" s="224"/>
      <c r="G72" s="224"/>
      <c r="H72" s="224"/>
      <c r="I72" s="224"/>
      <c r="J72" s="224"/>
      <c r="K72" s="224"/>
      <c r="L72" s="224"/>
      <c r="M72" s="224"/>
      <c r="N72" s="224"/>
      <c r="O72" s="224"/>
      <c r="P72" s="224"/>
    </row>
    <row r="73" spans="1:30" s="199" customFormat="1" ht="15.75">
      <c r="A73" s="199" t="s">
        <v>1253</v>
      </c>
      <c r="D73" s="200"/>
      <c r="AB73" s="201"/>
      <c r="AC73" s="201"/>
      <c r="AD73" s="201"/>
    </row>
    <row r="74" spans="1:30">
      <c r="B74" s="224" t="s">
        <v>582</v>
      </c>
      <c r="C74" s="224" t="s">
        <v>1254</v>
      </c>
      <c r="D74" s="224" t="s">
        <v>1140</v>
      </c>
      <c r="AB74" s="202" t="s">
        <v>238</v>
      </c>
      <c r="AC74" s="202"/>
      <c r="AD74" s="202"/>
    </row>
    <row r="75" spans="1:30">
      <c r="B75" s="224" t="s">
        <v>481</v>
      </c>
      <c r="C75" s="224" t="s">
        <v>1255</v>
      </c>
      <c r="D75" s="224" t="s">
        <v>1140</v>
      </c>
      <c r="AB75" s="202" t="s">
        <v>239</v>
      </c>
      <c r="AC75" s="202"/>
      <c r="AD75" s="202"/>
    </row>
    <row r="76" spans="1:30">
      <c r="B76" s="224" t="s">
        <v>482</v>
      </c>
      <c r="C76" s="224" t="s">
        <v>1256</v>
      </c>
      <c r="D76" s="224" t="s">
        <v>1140</v>
      </c>
      <c r="Q76" s="207" t="e">
        <f>#REF!+#REF!-#REF!</f>
        <v>#REF!</v>
      </c>
      <c r="R76" s="207" t="e">
        <f>#REF!+#REF!-#REF!</f>
        <v>#REF!</v>
      </c>
      <c r="S76" s="207" t="e">
        <f>#REF!+#REF!-#REF!</f>
        <v>#REF!</v>
      </c>
      <c r="T76" s="207" t="e">
        <f>#REF!+#REF!-#REF!</f>
        <v>#REF!</v>
      </c>
      <c r="U76" s="207" t="e">
        <f>#REF!+#REF!-#REF!</f>
        <v>#REF!</v>
      </c>
      <c r="V76" s="207" t="e">
        <f>#REF!+#REF!-#REF!</f>
        <v>#REF!</v>
      </c>
      <c r="W76" s="207" t="e">
        <f>#REF!+#REF!-#REF!</f>
        <v>#REF!</v>
      </c>
      <c r="X76" s="207" t="e">
        <f>#REF!+#REF!-#REF!</f>
        <v>#REF!</v>
      </c>
      <c r="Y76" s="207" t="e">
        <f>#REF!+#REF!-#REF!</f>
        <v>#REF!</v>
      </c>
      <c r="Z76" s="207" t="e">
        <f>#REF!+#REF!-#REF!</f>
        <v>#REF!</v>
      </c>
      <c r="AA76" s="224" t="s">
        <v>1257</v>
      </c>
      <c r="AB76" s="202" t="s">
        <v>241</v>
      </c>
      <c r="AC76" s="202"/>
      <c r="AD76" s="202"/>
    </row>
    <row r="77" spans="1:30">
      <c r="B77" s="224" t="s">
        <v>1258</v>
      </c>
      <c r="C77" s="224" t="s">
        <v>1259</v>
      </c>
      <c r="D77" s="224" t="s">
        <v>1140</v>
      </c>
      <c r="AB77" s="202" t="s">
        <v>2228</v>
      </c>
    </row>
    <row r="78" spans="1:30">
      <c r="B78" s="224" t="s">
        <v>1260</v>
      </c>
      <c r="C78" s="224" t="s">
        <v>1261</v>
      </c>
      <c r="D78" s="224" t="s">
        <v>1140</v>
      </c>
    </row>
    <row r="79" spans="1:30">
      <c r="B79" s="224" t="s">
        <v>1262</v>
      </c>
      <c r="C79" s="224" t="s">
        <v>1263</v>
      </c>
      <c r="D79" s="224" t="s">
        <v>1140</v>
      </c>
    </row>
    <row r="80" spans="1:30">
      <c r="B80" s="224" t="s">
        <v>1264</v>
      </c>
      <c r="C80" s="224" t="s">
        <v>1265</v>
      </c>
      <c r="D80" s="224" t="s">
        <v>1140</v>
      </c>
      <c r="AB80" s="202" t="s">
        <v>996</v>
      </c>
      <c r="AC80" s="202"/>
      <c r="AD80" s="202"/>
    </row>
    <row r="81" spans="2:30">
      <c r="B81" s="224" t="s">
        <v>1266</v>
      </c>
      <c r="C81" s="224" t="s">
        <v>1267</v>
      </c>
      <c r="D81" s="224" t="s">
        <v>1140</v>
      </c>
      <c r="AB81" s="202" t="s">
        <v>994</v>
      </c>
      <c r="AC81" s="202" t="s">
        <v>995</v>
      </c>
      <c r="AD81" s="202"/>
    </row>
    <row r="82" spans="2:30">
      <c r="B82" s="224" t="s">
        <v>595</v>
      </c>
      <c r="C82" s="224" t="s">
        <v>1268</v>
      </c>
      <c r="D82" s="224" t="s">
        <v>1140</v>
      </c>
    </row>
    <row r="83" spans="2:30">
      <c r="B83" s="224" t="s">
        <v>529</v>
      </c>
      <c r="C83" s="224" t="s">
        <v>1269</v>
      </c>
      <c r="D83" s="224" t="s">
        <v>1140</v>
      </c>
      <c r="Q83" s="208" t="e">
        <f>#REF!+#REF!+#REF!+#REF!+#REF!+#REF!-#REF!</f>
        <v>#REF!</v>
      </c>
      <c r="R83" s="208" t="e">
        <f>#REF!+#REF!+#REF!+#REF!+#REF!+#REF!-#REF!</f>
        <v>#REF!</v>
      </c>
      <c r="S83" s="208" t="e">
        <f>#REF!+#REF!+#REF!+#REF!+#REF!+#REF!-#REF!</f>
        <v>#REF!</v>
      </c>
      <c r="T83" s="208" t="e">
        <f>#REF!+#REF!+#REF!+#REF!+#REF!+#REF!-#REF!</f>
        <v>#REF!</v>
      </c>
      <c r="U83" s="208" t="e">
        <f>#REF!+#REF!+#REF!+#REF!+#REF!+#REF!-#REF!</f>
        <v>#REF!</v>
      </c>
      <c r="V83" s="208" t="e">
        <f>#REF!+#REF!+#REF!+#REF!+#REF!+#REF!-#REF!</f>
        <v>#REF!</v>
      </c>
      <c r="W83" s="208" t="e">
        <f>#REF!+#REF!+#REF!+#REF!+#REF!+#REF!-#REF!</f>
        <v>#REF!</v>
      </c>
      <c r="X83" s="208" t="e">
        <f>#REF!+#REF!+#REF!+#REF!+#REF!+#REF!-#REF!</f>
        <v>#REF!</v>
      </c>
      <c r="Y83" s="208" t="e">
        <f>#REF!+#REF!+#REF!+#REF!+#REF!+#REF!-#REF!</f>
        <v>#REF!</v>
      </c>
      <c r="Z83" s="208" t="e">
        <f>#REF!+#REF!+#REF!+#REF!+#REF!+#REF!-#REF!</f>
        <v>#REF!</v>
      </c>
      <c r="AA83" s="224" t="s">
        <v>1270</v>
      </c>
      <c r="AB83" s="202" t="s">
        <v>993</v>
      </c>
    </row>
    <row r="84" spans="2:30">
      <c r="B84" s="224" t="s">
        <v>1271</v>
      </c>
      <c r="C84" s="224" t="s">
        <v>1272</v>
      </c>
      <c r="D84" s="224" t="s">
        <v>1140</v>
      </c>
      <c r="Q84" s="208" t="e">
        <f>#REF!+#REF!-#REF!</f>
        <v>#REF!</v>
      </c>
      <c r="R84" s="208" t="e">
        <f>#REF!+#REF!-#REF!</f>
        <v>#REF!</v>
      </c>
      <c r="S84" s="208" t="e">
        <f>#REF!+#REF!-#REF!</f>
        <v>#REF!</v>
      </c>
      <c r="T84" s="208" t="e">
        <f>#REF!+#REF!-#REF!</f>
        <v>#REF!</v>
      </c>
      <c r="U84" s="208" t="e">
        <f>#REF!+#REF!-#REF!</f>
        <v>#REF!</v>
      </c>
      <c r="V84" s="208" t="e">
        <f>#REF!+#REF!-#REF!</f>
        <v>#REF!</v>
      </c>
      <c r="W84" s="208" t="e">
        <f>#REF!+#REF!-#REF!</f>
        <v>#REF!</v>
      </c>
      <c r="X84" s="208" t="e">
        <f>#REF!+#REF!-#REF!</f>
        <v>#REF!</v>
      </c>
      <c r="Y84" s="208" t="e">
        <f>#REF!+#REF!-#REF!</f>
        <v>#REF!</v>
      </c>
      <c r="Z84" s="208" t="e">
        <f>#REF!+#REF!-#REF!</f>
        <v>#REF!</v>
      </c>
      <c r="AA84" s="224" t="s">
        <v>1273</v>
      </c>
      <c r="AB84" s="202" t="s">
        <v>810</v>
      </c>
    </row>
    <row r="85" spans="2:30">
      <c r="B85" s="224" t="s">
        <v>1274</v>
      </c>
      <c r="C85" s="224" t="s">
        <v>1275</v>
      </c>
      <c r="D85" s="224" t="s">
        <v>1140</v>
      </c>
      <c r="AB85" s="202" t="s">
        <v>669</v>
      </c>
    </row>
    <row r="86" spans="2:30">
      <c r="B86" s="224" t="s">
        <v>1276</v>
      </c>
      <c r="C86" s="224" t="s">
        <v>1277</v>
      </c>
      <c r="D86" s="224" t="s">
        <v>1140</v>
      </c>
      <c r="AB86" s="202" t="s">
        <v>2228</v>
      </c>
    </row>
    <row r="87" spans="2:30">
      <c r="B87" s="224" t="s">
        <v>1278</v>
      </c>
      <c r="C87" s="224" t="s">
        <v>1279</v>
      </c>
      <c r="D87" s="224" t="s">
        <v>1140</v>
      </c>
      <c r="Q87" s="209" t="e">
        <f>#REF!+#REF!+#REF!+#REF!+#REF!+#REF!-#REF!</f>
        <v>#REF!</v>
      </c>
      <c r="R87" s="209" t="e">
        <f>#REF!+#REF!+#REF!+#REF!+#REF!+#REF!-#REF!</f>
        <v>#REF!</v>
      </c>
      <c r="S87" s="209" t="e">
        <f>#REF!+#REF!+#REF!+#REF!+#REF!+#REF!-#REF!</f>
        <v>#REF!</v>
      </c>
      <c r="T87" s="209" t="e">
        <f>#REF!+#REF!+#REF!+#REF!+#REF!+#REF!-#REF!</f>
        <v>#REF!</v>
      </c>
      <c r="U87" s="209" t="e">
        <f>#REF!+#REF!+#REF!+#REF!+#REF!+#REF!-#REF!</f>
        <v>#REF!</v>
      </c>
      <c r="V87" s="209" t="e">
        <f>#REF!+#REF!+#REF!+#REF!+#REF!+#REF!-#REF!</f>
        <v>#REF!</v>
      </c>
      <c r="W87" s="209" t="e">
        <f>#REF!+#REF!+#REF!+#REF!+#REF!+#REF!-#REF!</f>
        <v>#REF!</v>
      </c>
      <c r="X87" s="209" t="e">
        <f>#REF!+#REF!+#REF!+#REF!+#REF!+#REF!-#REF!</f>
        <v>#REF!</v>
      </c>
      <c r="Y87" s="209" t="e">
        <f>#REF!+#REF!+#REF!+#REF!+#REF!+#REF!-#REF!</f>
        <v>#REF!</v>
      </c>
      <c r="Z87" s="209" t="e">
        <f>#REF!+#REF!+#REF!+#REF!+#REF!+#REF!-#REF!</f>
        <v>#REF!</v>
      </c>
      <c r="AA87" s="210" t="s">
        <v>1280</v>
      </c>
      <c r="AB87" s="202" t="s">
        <v>668</v>
      </c>
    </row>
    <row r="88" spans="2:30">
      <c r="B88" s="224" t="s">
        <v>1281</v>
      </c>
      <c r="C88" s="224" t="s">
        <v>1282</v>
      </c>
      <c r="D88" s="224" t="s">
        <v>1140</v>
      </c>
      <c r="AB88" s="202" t="s">
        <v>2228</v>
      </c>
    </row>
    <row r="89" spans="2:30">
      <c r="B89" s="224" t="s">
        <v>1283</v>
      </c>
      <c r="C89" s="224" t="s">
        <v>1284</v>
      </c>
      <c r="D89" s="224" t="s">
        <v>1140</v>
      </c>
      <c r="AB89" s="202" t="s">
        <v>671</v>
      </c>
    </row>
    <row r="90" spans="2:30">
      <c r="B90" s="224" t="s">
        <v>1285</v>
      </c>
      <c r="C90" s="224" t="s">
        <v>1286</v>
      </c>
      <c r="D90" s="224" t="s">
        <v>1140</v>
      </c>
      <c r="AB90" s="202"/>
    </row>
    <row r="91" spans="2:30">
      <c r="B91" s="224" t="s">
        <v>1287</v>
      </c>
      <c r="C91" s="224" t="s">
        <v>1288</v>
      </c>
      <c r="D91" s="224" t="s">
        <v>1140</v>
      </c>
      <c r="AB91" s="202" t="s">
        <v>679</v>
      </c>
    </row>
    <row r="92" spans="2:30">
      <c r="B92" s="224" t="s">
        <v>1289</v>
      </c>
      <c r="C92" s="224" t="s">
        <v>1290</v>
      </c>
      <c r="D92" s="224" t="s">
        <v>1140</v>
      </c>
    </row>
    <row r="93" spans="2:30">
      <c r="B93" s="224" t="s">
        <v>1291</v>
      </c>
      <c r="C93" s="224" t="s">
        <v>1292</v>
      </c>
      <c r="D93" s="224" t="s">
        <v>1140</v>
      </c>
    </row>
    <row r="94" spans="2:30">
      <c r="B94" s="224" t="s">
        <v>1293</v>
      </c>
      <c r="C94" s="224" t="s">
        <v>1294</v>
      </c>
      <c r="D94" s="224" t="s">
        <v>1140</v>
      </c>
      <c r="Q94" s="207" t="e">
        <f>#REF!+#REF!-#REF!</f>
        <v>#REF!</v>
      </c>
      <c r="R94" s="207" t="e">
        <f>#REF!+#REF!-#REF!</f>
        <v>#REF!</v>
      </c>
      <c r="S94" s="207" t="e">
        <f>#REF!+#REF!-#REF!</f>
        <v>#REF!</v>
      </c>
      <c r="T94" s="207" t="e">
        <f>#REF!+#REF!-#REF!</f>
        <v>#REF!</v>
      </c>
      <c r="U94" s="207" t="e">
        <f>#REF!+#REF!-#REF!</f>
        <v>#REF!</v>
      </c>
      <c r="V94" s="207" t="e">
        <f>#REF!+#REF!-#REF!</f>
        <v>#REF!</v>
      </c>
      <c r="W94" s="207" t="e">
        <f>#REF!+#REF!-#REF!</f>
        <v>#REF!</v>
      </c>
      <c r="X94" s="207" t="e">
        <f>#REF!+#REF!-#REF!</f>
        <v>#REF!</v>
      </c>
      <c r="Y94" s="207" t="e">
        <f>#REF!+#REF!-#REF!</f>
        <v>#REF!</v>
      </c>
      <c r="Z94" s="207" t="e">
        <f>#REF!+#REF!-#REF!</f>
        <v>#REF!</v>
      </c>
      <c r="AA94" s="224" t="s">
        <v>1295</v>
      </c>
      <c r="AB94" s="202" t="s">
        <v>679</v>
      </c>
    </row>
    <row r="95" spans="2:30">
      <c r="B95" s="224" t="s">
        <v>1296</v>
      </c>
      <c r="C95" s="224" t="s">
        <v>1297</v>
      </c>
      <c r="D95" s="224" t="s">
        <v>1140</v>
      </c>
      <c r="Q95" s="207" t="e">
        <f>#REF!+#REF!-#REF!</f>
        <v>#REF!</v>
      </c>
      <c r="R95" s="207" t="e">
        <f>#REF!+#REF!-#REF!</f>
        <v>#REF!</v>
      </c>
      <c r="S95" s="207" t="e">
        <f>#REF!+#REF!-#REF!</f>
        <v>#REF!</v>
      </c>
      <c r="T95" s="207" t="e">
        <f>#REF!+#REF!-#REF!</f>
        <v>#REF!</v>
      </c>
      <c r="U95" s="207" t="e">
        <f>#REF!+#REF!-#REF!</f>
        <v>#REF!</v>
      </c>
      <c r="V95" s="207" t="e">
        <f>#REF!+#REF!-#REF!</f>
        <v>#REF!</v>
      </c>
      <c r="W95" s="207" t="e">
        <f>#REF!+#REF!-#REF!</f>
        <v>#REF!</v>
      </c>
      <c r="X95" s="207" t="e">
        <f>#REF!+#REF!-#REF!</f>
        <v>#REF!</v>
      </c>
      <c r="Y95" s="207" t="e">
        <f>#REF!+#REF!-#REF!</f>
        <v>#REF!</v>
      </c>
      <c r="Z95" s="207" t="e">
        <f>#REF!+#REF!-#REF!</f>
        <v>#REF!</v>
      </c>
      <c r="AA95" s="224" t="s">
        <v>1298</v>
      </c>
      <c r="AB95" s="202" t="s">
        <v>100</v>
      </c>
    </row>
    <row r="96" spans="2:30">
      <c r="B96" s="224" t="s">
        <v>1299</v>
      </c>
      <c r="C96" s="224" t="s">
        <v>1300</v>
      </c>
      <c r="D96" s="224" t="s">
        <v>1140</v>
      </c>
      <c r="Q96" s="207" t="e">
        <f>#REF!+#REF!-#REF!</f>
        <v>#REF!</v>
      </c>
      <c r="R96" s="207" t="e">
        <f>#REF!+#REF!-#REF!</f>
        <v>#REF!</v>
      </c>
      <c r="S96" s="207" t="e">
        <f>#REF!+#REF!-#REF!</f>
        <v>#REF!</v>
      </c>
      <c r="T96" s="207" t="e">
        <f>#REF!+#REF!-#REF!</f>
        <v>#REF!</v>
      </c>
      <c r="U96" s="207" t="e">
        <f>#REF!+#REF!-#REF!</f>
        <v>#REF!</v>
      </c>
      <c r="V96" s="207" t="e">
        <f>#REF!+#REF!-#REF!</f>
        <v>#REF!</v>
      </c>
      <c r="W96" s="207" t="e">
        <f>#REF!+#REF!-#REF!</f>
        <v>#REF!</v>
      </c>
      <c r="X96" s="207" t="e">
        <f>#REF!+#REF!-#REF!</f>
        <v>#REF!</v>
      </c>
      <c r="Y96" s="207" t="e">
        <f>#REF!+#REF!-#REF!</f>
        <v>#REF!</v>
      </c>
      <c r="Z96" s="207" t="e">
        <f>#REF!+#REF!-#REF!</f>
        <v>#REF!</v>
      </c>
      <c r="AA96" s="224" t="s">
        <v>1301</v>
      </c>
      <c r="AB96" s="202" t="s">
        <v>288</v>
      </c>
    </row>
    <row r="97" spans="2:30">
      <c r="B97" s="224" t="s">
        <v>1302</v>
      </c>
      <c r="C97" s="224" t="s">
        <v>1303</v>
      </c>
      <c r="D97" s="224" t="s">
        <v>1140</v>
      </c>
    </row>
    <row r="98" spans="2:30">
      <c r="B98" s="224" t="s">
        <v>1304</v>
      </c>
      <c r="C98" s="224" t="s">
        <v>1305</v>
      </c>
      <c r="D98" s="224" t="s">
        <v>1140</v>
      </c>
    </row>
    <row r="99" spans="2:30">
      <c r="B99" s="224" t="s">
        <v>655</v>
      </c>
      <c r="C99" s="224" t="s">
        <v>1306</v>
      </c>
      <c r="D99" s="224" t="s">
        <v>1140</v>
      </c>
    </row>
    <row r="100" spans="2:30">
      <c r="B100" s="224" t="s">
        <v>1307</v>
      </c>
      <c r="C100" s="224" t="s">
        <v>1308</v>
      </c>
      <c r="D100" s="224" t="s">
        <v>1140</v>
      </c>
    </row>
    <row r="101" spans="2:30">
      <c r="B101" s="224" t="s">
        <v>1309</v>
      </c>
      <c r="C101" s="224" t="s">
        <v>1310</v>
      </c>
      <c r="D101" s="224" t="s">
        <v>1140</v>
      </c>
      <c r="Q101" s="207" t="e">
        <f>#REF!+#REF!-#REF!</f>
        <v>#REF!</v>
      </c>
      <c r="R101" s="207" t="e">
        <f>#REF!+#REF!-#REF!</f>
        <v>#REF!</v>
      </c>
      <c r="S101" s="207" t="e">
        <f>#REF!+#REF!-#REF!</f>
        <v>#REF!</v>
      </c>
      <c r="T101" s="207" t="e">
        <f>#REF!+#REF!-#REF!</f>
        <v>#REF!</v>
      </c>
      <c r="U101" s="207" t="e">
        <f>#REF!+#REF!-#REF!</f>
        <v>#REF!</v>
      </c>
      <c r="V101" s="207" t="e">
        <f>#REF!+#REF!-#REF!</f>
        <v>#REF!</v>
      </c>
      <c r="W101" s="207" t="e">
        <f>#REF!+#REF!-#REF!</f>
        <v>#REF!</v>
      </c>
      <c r="X101" s="207" t="e">
        <f>#REF!+#REF!-#REF!</f>
        <v>#REF!</v>
      </c>
      <c r="Y101" s="207" t="e">
        <f>#REF!+#REF!-#REF!</f>
        <v>#REF!</v>
      </c>
      <c r="Z101" s="207" t="e">
        <f>#REF!+#REF!-#REF!</f>
        <v>#REF!</v>
      </c>
      <c r="AA101" s="224" t="s">
        <v>1311</v>
      </c>
    </row>
    <row r="102" spans="2:30">
      <c r="B102" s="224" t="s">
        <v>1312</v>
      </c>
      <c r="C102" s="224" t="s">
        <v>1313</v>
      </c>
      <c r="D102" s="224" t="s">
        <v>1140</v>
      </c>
      <c r="Q102" s="207" t="e">
        <f>#REF!+#REF!+#REF!-#REF!</f>
        <v>#REF!</v>
      </c>
      <c r="R102" s="207" t="e">
        <f>#REF!+#REF!+#REF!-#REF!</f>
        <v>#REF!</v>
      </c>
      <c r="S102" s="207" t="e">
        <f>#REF!+#REF!+#REF!-#REF!</f>
        <v>#REF!</v>
      </c>
      <c r="T102" s="207" t="e">
        <f>#REF!+#REF!+#REF!-#REF!</f>
        <v>#REF!</v>
      </c>
      <c r="U102" s="207" t="e">
        <f>#REF!+#REF!+#REF!-#REF!</f>
        <v>#REF!</v>
      </c>
      <c r="V102" s="207" t="e">
        <f>#REF!+#REF!+#REF!-#REF!</f>
        <v>#REF!</v>
      </c>
      <c r="W102" s="207" t="e">
        <f>#REF!+#REF!+#REF!-#REF!</f>
        <v>#REF!</v>
      </c>
      <c r="X102" s="207" t="e">
        <f>#REF!+#REF!+#REF!-#REF!</f>
        <v>#REF!</v>
      </c>
      <c r="Y102" s="207" t="e">
        <f>#REF!+#REF!+#REF!-#REF!</f>
        <v>#REF!</v>
      </c>
      <c r="Z102" s="207" t="e">
        <f>#REF!+#REF!+#REF!-#REF!</f>
        <v>#REF!</v>
      </c>
      <c r="AA102" s="224" t="s">
        <v>1314</v>
      </c>
      <c r="AB102" s="202" t="s">
        <v>288</v>
      </c>
    </row>
    <row r="103" spans="2:30">
      <c r="B103" s="224" t="s">
        <v>1315</v>
      </c>
      <c r="C103" s="224" t="s">
        <v>1316</v>
      </c>
      <c r="D103" s="224" t="s">
        <v>1140</v>
      </c>
    </row>
    <row r="104" spans="2:30">
      <c r="B104" s="224" t="s">
        <v>1317</v>
      </c>
      <c r="C104" s="224" t="s">
        <v>1318</v>
      </c>
      <c r="D104" s="224" t="s">
        <v>1140</v>
      </c>
      <c r="Q104" s="207" t="e">
        <f>#REF!+#REF!-#REF!</f>
        <v>#REF!</v>
      </c>
      <c r="R104" s="207" t="e">
        <f>#REF!+#REF!-#REF!</f>
        <v>#REF!</v>
      </c>
      <c r="S104" s="207" t="e">
        <f>#REF!+#REF!-#REF!</f>
        <v>#REF!</v>
      </c>
      <c r="T104" s="207" t="e">
        <f>#REF!+#REF!-#REF!</f>
        <v>#REF!</v>
      </c>
      <c r="U104" s="207" t="e">
        <f>#REF!+#REF!-#REF!</f>
        <v>#REF!</v>
      </c>
      <c r="V104" s="207" t="e">
        <f>#REF!+#REF!-#REF!</f>
        <v>#REF!</v>
      </c>
      <c r="W104" s="207" t="e">
        <f>#REF!+#REF!-#REF!</f>
        <v>#REF!</v>
      </c>
      <c r="X104" s="207" t="e">
        <f>#REF!+#REF!-#REF!</f>
        <v>#REF!</v>
      </c>
      <c r="Y104" s="207" t="e">
        <f>#REF!+#REF!-#REF!</f>
        <v>#REF!</v>
      </c>
      <c r="Z104" s="207" t="e">
        <f>#REF!+#REF!-#REF!</f>
        <v>#REF!</v>
      </c>
      <c r="AA104" s="224" t="s">
        <v>1319</v>
      </c>
      <c r="AB104" s="202" t="s">
        <v>288</v>
      </c>
    </row>
    <row r="105" spans="2:30">
      <c r="B105" s="224" t="s">
        <v>1320</v>
      </c>
      <c r="C105" s="224" t="s">
        <v>1321</v>
      </c>
      <c r="D105" s="224" t="s">
        <v>1140</v>
      </c>
      <c r="AB105" s="202" t="s">
        <v>688</v>
      </c>
    </row>
    <row r="106" spans="2:30">
      <c r="B106" s="224" t="s">
        <v>1322</v>
      </c>
      <c r="C106" s="224" t="s">
        <v>1323</v>
      </c>
      <c r="D106" s="224" t="s">
        <v>1140</v>
      </c>
      <c r="Q106" s="207" t="e">
        <f>#REF!+#REF!-#REF!</f>
        <v>#REF!</v>
      </c>
      <c r="R106" s="207" t="e">
        <f>#REF!+#REF!-#REF!</f>
        <v>#REF!</v>
      </c>
      <c r="S106" s="207" t="e">
        <f>#REF!+#REF!-#REF!</f>
        <v>#REF!</v>
      </c>
      <c r="T106" s="207" t="e">
        <f>#REF!+#REF!-#REF!</f>
        <v>#REF!</v>
      </c>
      <c r="U106" s="207" t="e">
        <f>#REF!+#REF!-#REF!</f>
        <v>#REF!</v>
      </c>
      <c r="V106" s="207" t="e">
        <f>#REF!+#REF!-#REF!</f>
        <v>#REF!</v>
      </c>
      <c r="W106" s="207" t="e">
        <f>#REF!+#REF!-#REF!</f>
        <v>#REF!</v>
      </c>
      <c r="X106" s="207" t="e">
        <f>#REF!+#REF!-#REF!</f>
        <v>#REF!</v>
      </c>
      <c r="Y106" s="207" t="e">
        <f>#REF!+#REF!-#REF!</f>
        <v>#REF!</v>
      </c>
      <c r="Z106" s="207" t="e">
        <f>#REF!+#REF!-#REF!</f>
        <v>#REF!</v>
      </c>
      <c r="AA106" s="224" t="s">
        <v>1324</v>
      </c>
    </row>
    <row r="107" spans="2:30">
      <c r="B107" s="224" t="s">
        <v>1325</v>
      </c>
      <c r="C107" s="224" t="s">
        <v>1326</v>
      </c>
      <c r="D107" s="224" t="s">
        <v>1140</v>
      </c>
    </row>
    <row r="108" spans="2:30">
      <c r="B108" s="224" t="s">
        <v>1327</v>
      </c>
      <c r="C108" s="224" t="s">
        <v>1328</v>
      </c>
      <c r="D108" s="224" t="s">
        <v>1140</v>
      </c>
      <c r="Q108" s="211"/>
      <c r="R108" s="211"/>
      <c r="S108" s="211"/>
      <c r="T108" s="211"/>
      <c r="U108" s="211"/>
      <c r="AB108" s="202" t="s">
        <v>980</v>
      </c>
    </row>
    <row r="109" spans="2:30">
      <c r="B109" s="224" t="s">
        <v>1329</v>
      </c>
      <c r="C109" s="224" t="s">
        <v>1330</v>
      </c>
      <c r="D109" s="224" t="s">
        <v>1140</v>
      </c>
      <c r="AB109" s="202" t="s">
        <v>831</v>
      </c>
    </row>
    <row r="110" spans="2:30">
      <c r="B110" s="224" t="s">
        <v>1331</v>
      </c>
      <c r="C110" s="224" t="s">
        <v>1332</v>
      </c>
      <c r="D110" s="224" t="s">
        <v>1140</v>
      </c>
      <c r="AB110" s="202" t="s">
        <v>832</v>
      </c>
    </row>
    <row r="111" spans="2:30">
      <c r="B111" s="224" t="s">
        <v>1325</v>
      </c>
      <c r="C111" s="224" t="s">
        <v>1333</v>
      </c>
      <c r="D111" s="224" t="s">
        <v>1140</v>
      </c>
      <c r="AB111" s="206" t="s">
        <v>689</v>
      </c>
      <c r="AC111" s="206"/>
      <c r="AD111" s="206"/>
    </row>
    <row r="112" spans="2:30">
      <c r="B112" s="224" t="s">
        <v>1334</v>
      </c>
      <c r="C112" s="224" t="s">
        <v>1335</v>
      </c>
      <c r="D112" s="224" t="s">
        <v>1140</v>
      </c>
    </row>
    <row r="113" spans="1:30">
      <c r="B113" s="224" t="s">
        <v>1336</v>
      </c>
      <c r="C113" s="224" t="s">
        <v>1337</v>
      </c>
      <c r="D113" s="224" t="s">
        <v>1140</v>
      </c>
      <c r="Q113" s="207" t="e">
        <f>#REF!+#REF!+#REF!+#REF!+#REF!+#REF!-#REF!</f>
        <v>#REF!</v>
      </c>
      <c r="R113" s="207" t="e">
        <f>#REF!+#REF!+#REF!+#REF!+#REF!+#REF!-#REF!</f>
        <v>#REF!</v>
      </c>
      <c r="S113" s="207" t="e">
        <f>#REF!+#REF!+#REF!+#REF!+#REF!+#REF!-#REF!</f>
        <v>#REF!</v>
      </c>
      <c r="T113" s="207" t="e">
        <f>#REF!+#REF!+#REF!+#REF!+#REF!+#REF!-#REF!</f>
        <v>#REF!</v>
      </c>
      <c r="U113" s="207" t="e">
        <f>#REF!+#REF!+#REF!+#REF!+#REF!+#REF!-#REF!</f>
        <v>#REF!</v>
      </c>
      <c r="V113" s="207" t="e">
        <f>#REF!+#REF!+#REF!+#REF!+#REF!+#REF!-#REF!</f>
        <v>#REF!</v>
      </c>
      <c r="W113" s="207" t="e">
        <f>#REF!+#REF!+#REF!+#REF!+#REF!+#REF!-#REF!</f>
        <v>#REF!</v>
      </c>
      <c r="X113" s="207" t="e">
        <f>#REF!+#REF!+#REF!+#REF!+#REF!+#REF!-#REF!</f>
        <v>#REF!</v>
      </c>
      <c r="Y113" s="207" t="e">
        <f>#REF!+#REF!+#REF!+#REF!+#REF!+#REF!-#REF!</f>
        <v>#REF!</v>
      </c>
      <c r="Z113" s="207" t="e">
        <f>#REF!+#REF!+#REF!+#REF!+#REF!+#REF!-#REF!</f>
        <v>#REF!</v>
      </c>
      <c r="AA113" s="212" t="s">
        <v>1338</v>
      </c>
      <c r="AB113" s="202" t="s">
        <v>833</v>
      </c>
    </row>
    <row r="114" spans="1:30">
      <c r="B114" s="224" t="s">
        <v>1339</v>
      </c>
      <c r="C114" s="224" t="s">
        <v>1340</v>
      </c>
      <c r="D114" s="224" t="s">
        <v>1140</v>
      </c>
      <c r="Q114" s="224" t="e">
        <f>#REF!/#REF!-#REF!</f>
        <v>#REF!</v>
      </c>
      <c r="R114" s="224" t="e">
        <f>#REF!/#REF!-#REF!</f>
        <v>#REF!</v>
      </c>
      <c r="S114" s="224" t="e">
        <f>#REF!/#REF!-#REF!</f>
        <v>#REF!</v>
      </c>
      <c r="T114" s="224" t="e">
        <f>#REF!/#REF!-#REF!</f>
        <v>#REF!</v>
      </c>
      <c r="U114" s="224" t="e">
        <f>#REF!/#REF!-#REF!</f>
        <v>#REF!</v>
      </c>
      <c r="V114" s="224" t="e">
        <f>#REF!/#REF!-#REF!</f>
        <v>#REF!</v>
      </c>
      <c r="W114" s="224" t="e">
        <f>#REF!/#REF!-#REF!</f>
        <v>#REF!</v>
      </c>
      <c r="X114" s="224" t="e">
        <f>#REF!/#REF!-#REF!</f>
        <v>#REF!</v>
      </c>
      <c r="Y114" s="224" t="e">
        <f>#REF!/#REF!-#REF!</f>
        <v>#REF!</v>
      </c>
      <c r="Z114" s="224" t="e">
        <f>#REF!/#REF!-#REF!</f>
        <v>#REF!</v>
      </c>
      <c r="AA114" s="212" t="s">
        <v>1341</v>
      </c>
      <c r="AB114" s="202" t="s">
        <v>949</v>
      </c>
    </row>
    <row r="115" spans="1:30">
      <c r="B115" s="224" t="s">
        <v>2541</v>
      </c>
      <c r="C115" s="224" t="s">
        <v>2542</v>
      </c>
      <c r="AA115" s="212"/>
      <c r="AB115" s="202" t="s">
        <v>109</v>
      </c>
    </row>
    <row r="116" spans="1:30">
      <c r="B116" s="224" t="s">
        <v>2543</v>
      </c>
      <c r="C116" s="224" t="s">
        <v>2544</v>
      </c>
      <c r="AA116" s="212"/>
      <c r="AB116" s="202" t="s">
        <v>947</v>
      </c>
    </row>
    <row r="117" spans="1:30">
      <c r="B117" s="224" t="s">
        <v>1342</v>
      </c>
      <c r="C117" s="224" t="s">
        <v>1343</v>
      </c>
      <c r="D117" s="224" t="s">
        <v>1140</v>
      </c>
      <c r="AB117" s="202" t="s">
        <v>948</v>
      </c>
    </row>
    <row r="118" spans="1:30">
      <c r="B118" s="224" t="s">
        <v>1344</v>
      </c>
      <c r="C118" s="224" t="s">
        <v>1345</v>
      </c>
      <c r="D118" s="224" t="s">
        <v>1140</v>
      </c>
    </row>
    <row r="119" spans="1:30">
      <c r="B119" s="224" t="s">
        <v>1346</v>
      </c>
      <c r="C119" s="224" t="s">
        <v>621</v>
      </c>
      <c r="D119" s="224" t="s">
        <v>1140</v>
      </c>
      <c r="AB119" s="202" t="s">
        <v>766</v>
      </c>
    </row>
    <row r="120" spans="1:30">
      <c r="B120" s="224" t="s">
        <v>1347</v>
      </c>
      <c r="C120" s="224" t="s">
        <v>1348</v>
      </c>
      <c r="AB120" s="202" t="s">
        <v>1009</v>
      </c>
    </row>
    <row r="121" spans="1:30">
      <c r="B121" s="224" t="s">
        <v>1349</v>
      </c>
      <c r="C121" s="224" t="s">
        <v>1350</v>
      </c>
      <c r="AB121" s="202" t="s">
        <v>1016</v>
      </c>
    </row>
    <row r="122" spans="1:30">
      <c r="B122" s="224" t="s">
        <v>1351</v>
      </c>
      <c r="C122" s="224" t="s">
        <v>1352</v>
      </c>
      <c r="AB122" s="202" t="s">
        <v>1008</v>
      </c>
    </row>
    <row r="123" spans="1:30">
      <c r="F123" s="224"/>
      <c r="G123" s="224"/>
      <c r="H123" s="224"/>
      <c r="I123" s="224"/>
      <c r="J123" s="224"/>
      <c r="K123" s="224"/>
      <c r="L123" s="224"/>
      <c r="M123" s="224"/>
      <c r="N123" s="224"/>
      <c r="O123" s="224"/>
      <c r="P123" s="224"/>
    </row>
    <row r="124" spans="1:30" s="199" customFormat="1" ht="15.75">
      <c r="A124" s="199" t="s">
        <v>1353</v>
      </c>
      <c r="D124" s="200"/>
      <c r="AB124" s="201"/>
      <c r="AC124" s="201"/>
      <c r="AD124" s="201"/>
    </row>
    <row r="125" spans="1:30">
      <c r="B125" s="224" t="s">
        <v>1354</v>
      </c>
      <c r="C125" s="224" t="s">
        <v>1355</v>
      </c>
      <c r="D125" s="224" t="s">
        <v>1140</v>
      </c>
      <c r="AB125" s="202" t="s">
        <v>994</v>
      </c>
    </row>
    <row r="126" spans="1:30">
      <c r="B126" s="224" t="s">
        <v>1356</v>
      </c>
      <c r="C126" s="224" t="s">
        <v>1357</v>
      </c>
      <c r="D126" s="224" t="s">
        <v>1140</v>
      </c>
      <c r="AB126" s="202" t="s">
        <v>995</v>
      </c>
    </row>
    <row r="127" spans="1:30">
      <c r="B127" s="224" t="s">
        <v>1358</v>
      </c>
      <c r="C127" s="224" t="s">
        <v>1359</v>
      </c>
      <c r="D127" s="224" t="s">
        <v>1140</v>
      </c>
    </row>
    <row r="128" spans="1:30">
      <c r="B128" s="224" t="s">
        <v>1360</v>
      </c>
      <c r="C128" s="224" t="s">
        <v>1361</v>
      </c>
      <c r="D128" s="224" t="s">
        <v>1140</v>
      </c>
      <c r="AB128" s="202" t="s">
        <v>997</v>
      </c>
      <c r="AC128" s="202" t="s">
        <v>998</v>
      </c>
      <c r="AD128" s="202" t="s">
        <v>804</v>
      </c>
    </row>
    <row r="129" spans="2:30">
      <c r="B129" s="224" t="s">
        <v>1362</v>
      </c>
      <c r="C129" s="224" t="s">
        <v>1363</v>
      </c>
      <c r="D129" s="224" t="s">
        <v>1140</v>
      </c>
      <c r="AB129" s="202" t="s">
        <v>2232</v>
      </c>
    </row>
    <row r="130" spans="2:30">
      <c r="B130" s="224" t="s">
        <v>1364</v>
      </c>
      <c r="C130" s="224" t="s">
        <v>1365</v>
      </c>
      <c r="D130" s="224" t="s">
        <v>1140</v>
      </c>
      <c r="AB130" s="202" t="s">
        <v>996</v>
      </c>
    </row>
    <row r="131" spans="2:30">
      <c r="B131" s="224" t="s">
        <v>1366</v>
      </c>
      <c r="C131" s="224" t="s">
        <v>1367</v>
      </c>
      <c r="D131" s="224" t="s">
        <v>1140</v>
      </c>
      <c r="AB131" s="202" t="s">
        <v>2234</v>
      </c>
    </row>
    <row r="132" spans="2:30">
      <c r="B132" s="224" t="s">
        <v>1368</v>
      </c>
      <c r="C132" s="224" t="s">
        <v>1369</v>
      </c>
      <c r="D132" s="224" t="s">
        <v>1140</v>
      </c>
      <c r="AB132" s="202" t="s">
        <v>2236</v>
      </c>
    </row>
    <row r="133" spans="2:30">
      <c r="B133" s="224" t="s">
        <v>1370</v>
      </c>
      <c r="C133" s="224" t="s">
        <v>1371</v>
      </c>
      <c r="D133" s="224" t="s">
        <v>1140</v>
      </c>
    </row>
    <row r="134" spans="2:30">
      <c r="B134" s="224" t="s">
        <v>1372</v>
      </c>
      <c r="C134" s="224" t="s">
        <v>1373</v>
      </c>
      <c r="D134" s="224" t="s">
        <v>1140</v>
      </c>
      <c r="AB134" s="202" t="s">
        <v>806</v>
      </c>
      <c r="AC134" s="202" t="s">
        <v>808</v>
      </c>
    </row>
    <row r="135" spans="2:30">
      <c r="B135" s="224" t="s">
        <v>1374</v>
      </c>
      <c r="C135" s="224" t="s">
        <v>1375</v>
      </c>
      <c r="D135" s="224" t="s">
        <v>1140</v>
      </c>
    </row>
    <row r="136" spans="2:30">
      <c r="B136" s="224" t="s">
        <v>1376</v>
      </c>
      <c r="C136" s="224" t="s">
        <v>1377</v>
      </c>
      <c r="D136" s="224" t="s">
        <v>1140</v>
      </c>
      <c r="AB136" s="202" t="s">
        <v>2238</v>
      </c>
    </row>
    <row r="137" spans="2:30">
      <c r="B137" s="224" t="s">
        <v>1378</v>
      </c>
      <c r="C137" s="224" t="s">
        <v>1379</v>
      </c>
      <c r="D137" s="224" t="s">
        <v>1140</v>
      </c>
      <c r="AB137" s="202" t="s">
        <v>669</v>
      </c>
      <c r="AC137" s="202"/>
    </row>
    <row r="138" spans="2:30">
      <c r="B138" s="224" t="s">
        <v>1380</v>
      </c>
      <c r="C138" s="224" t="s">
        <v>1381</v>
      </c>
      <c r="D138" s="224" t="s">
        <v>1140</v>
      </c>
      <c r="AB138" s="202" t="s">
        <v>2240</v>
      </c>
    </row>
    <row r="139" spans="2:30">
      <c r="B139" s="224" t="s">
        <v>1382</v>
      </c>
      <c r="C139" s="224" t="s">
        <v>1383</v>
      </c>
      <c r="D139" s="224" t="s">
        <v>1140</v>
      </c>
    </row>
    <row r="140" spans="2:30">
      <c r="B140" s="224" t="s">
        <v>1384</v>
      </c>
      <c r="C140" s="224" t="s">
        <v>1385</v>
      </c>
      <c r="D140" s="224" t="s">
        <v>1140</v>
      </c>
      <c r="AB140" s="202" t="s">
        <v>2242</v>
      </c>
    </row>
    <row r="141" spans="2:30">
      <c r="B141" s="224" t="s">
        <v>1386</v>
      </c>
      <c r="C141" s="224" t="s">
        <v>1387</v>
      </c>
      <c r="D141" s="224" t="s">
        <v>1140</v>
      </c>
      <c r="AB141" s="202" t="s">
        <v>1</v>
      </c>
      <c r="AC141" s="202" t="s">
        <v>669</v>
      </c>
      <c r="AD141" s="202" t="s">
        <v>671</v>
      </c>
    </row>
    <row r="142" spans="2:30">
      <c r="B142" s="224" t="s">
        <v>1388</v>
      </c>
      <c r="C142" s="224" t="s">
        <v>1389</v>
      </c>
      <c r="D142" s="224" t="s">
        <v>1140</v>
      </c>
      <c r="AB142" s="202" t="s">
        <v>671</v>
      </c>
    </row>
    <row r="143" spans="2:30">
      <c r="B143" s="224" t="s">
        <v>1390</v>
      </c>
      <c r="C143" s="224" t="s">
        <v>1391</v>
      </c>
      <c r="D143" s="224" t="s">
        <v>1140</v>
      </c>
    </row>
    <row r="144" spans="2:30">
      <c r="B144" s="224" t="s">
        <v>1392</v>
      </c>
      <c r="C144" s="224" t="s">
        <v>1393</v>
      </c>
      <c r="D144" s="224" t="s">
        <v>1140</v>
      </c>
      <c r="AB144" s="202" t="s">
        <v>671</v>
      </c>
    </row>
    <row r="145" spans="2:28">
      <c r="B145" s="224" t="s">
        <v>1394</v>
      </c>
      <c r="C145" s="224" t="s">
        <v>1395</v>
      </c>
      <c r="D145" s="224" t="s">
        <v>1140</v>
      </c>
      <c r="AB145" s="202" t="s">
        <v>100</v>
      </c>
    </row>
    <row r="146" spans="2:28">
      <c r="B146" s="224" t="s">
        <v>1396</v>
      </c>
      <c r="C146" s="224" t="s">
        <v>1397</v>
      </c>
      <c r="D146" s="224" t="s">
        <v>1140</v>
      </c>
      <c r="AB146" s="202" t="s">
        <v>2244</v>
      </c>
    </row>
    <row r="147" spans="2:28">
      <c r="B147" s="224" t="s">
        <v>1398</v>
      </c>
      <c r="C147" s="224" t="s">
        <v>1399</v>
      </c>
      <c r="D147" s="224" t="s">
        <v>1140</v>
      </c>
    </row>
    <row r="148" spans="2:28">
      <c r="B148" s="224" t="s">
        <v>1400</v>
      </c>
      <c r="C148" s="224" t="s">
        <v>1401</v>
      </c>
      <c r="D148" s="224" t="s">
        <v>1140</v>
      </c>
      <c r="AB148" s="202" t="s">
        <v>2246</v>
      </c>
    </row>
    <row r="149" spans="2:28">
      <c r="B149" s="224" t="s">
        <v>1402</v>
      </c>
      <c r="C149" s="224" t="s">
        <v>1403</v>
      </c>
      <c r="D149" s="224" t="s">
        <v>1140</v>
      </c>
      <c r="AB149" s="202" t="s">
        <v>831</v>
      </c>
    </row>
    <row r="150" spans="2:28">
      <c r="B150" s="224" t="s">
        <v>1404</v>
      </c>
      <c r="C150" s="224" t="s">
        <v>1405</v>
      </c>
      <c r="D150" s="224" t="s">
        <v>1140</v>
      </c>
      <c r="W150" s="202"/>
      <c r="AB150" s="202" t="s">
        <v>831</v>
      </c>
    </row>
    <row r="151" spans="2:28">
      <c r="B151" s="224" t="s">
        <v>1406</v>
      </c>
      <c r="C151" s="224" t="s">
        <v>1407</v>
      </c>
      <c r="D151" s="224" t="s">
        <v>1140</v>
      </c>
      <c r="W151" s="202"/>
    </row>
    <row r="152" spans="2:28">
      <c r="B152" s="224" t="s">
        <v>1408</v>
      </c>
      <c r="C152" s="224" t="s">
        <v>1409</v>
      </c>
      <c r="D152" s="224" t="s">
        <v>1140</v>
      </c>
    </row>
    <row r="153" spans="2:28">
      <c r="B153" s="224" t="s">
        <v>1410</v>
      </c>
      <c r="C153" s="224" t="s">
        <v>1411</v>
      </c>
      <c r="D153" s="224" t="s">
        <v>1140</v>
      </c>
      <c r="AB153" s="202"/>
    </row>
    <row r="154" spans="2:28">
      <c r="B154" s="224" t="s">
        <v>1412</v>
      </c>
      <c r="C154" s="224" t="s">
        <v>1413</v>
      </c>
      <c r="D154" s="224" t="s">
        <v>1140</v>
      </c>
      <c r="AB154" s="202" t="s">
        <v>832</v>
      </c>
    </row>
    <row r="155" spans="2:28">
      <c r="B155" s="224" t="s">
        <v>1414</v>
      </c>
      <c r="C155" s="224" t="s">
        <v>1415</v>
      </c>
      <c r="D155" s="224" t="s">
        <v>1140</v>
      </c>
      <c r="AB155" s="202"/>
    </row>
    <row r="156" spans="2:28">
      <c r="B156" s="224" t="s">
        <v>1416</v>
      </c>
      <c r="C156" s="224" t="s">
        <v>1417</v>
      </c>
      <c r="D156" s="224" t="s">
        <v>1140</v>
      </c>
      <c r="AB156" s="202" t="s">
        <v>2228</v>
      </c>
    </row>
    <row r="157" spans="2:28">
      <c r="B157" s="224" t="s">
        <v>1418</v>
      </c>
      <c r="C157" s="224" t="s">
        <v>1419</v>
      </c>
      <c r="D157" s="224" t="s">
        <v>1140</v>
      </c>
      <c r="AB157" s="202" t="s">
        <v>832</v>
      </c>
    </row>
    <row r="158" spans="2:28">
      <c r="B158" s="224" t="s">
        <v>1420</v>
      </c>
      <c r="C158" s="224" t="s">
        <v>1421</v>
      </c>
      <c r="D158" s="224" t="s">
        <v>1140</v>
      </c>
    </row>
    <row r="159" spans="2:28">
      <c r="B159" s="224" t="s">
        <v>1422</v>
      </c>
      <c r="C159" s="224" t="s">
        <v>1423</v>
      </c>
      <c r="D159" s="224" t="s">
        <v>1140</v>
      </c>
    </row>
    <row r="160" spans="2:28">
      <c r="B160" s="224" t="s">
        <v>1424</v>
      </c>
      <c r="C160" s="224" t="s">
        <v>1425</v>
      </c>
      <c r="D160" s="224" t="s">
        <v>1140</v>
      </c>
    </row>
    <row r="161" spans="2:30">
      <c r="B161" s="224" t="s">
        <v>1426</v>
      </c>
      <c r="C161" s="224" t="s">
        <v>1427</v>
      </c>
      <c r="D161" s="224" t="s">
        <v>1140</v>
      </c>
      <c r="AB161" s="202" t="s">
        <v>832</v>
      </c>
    </row>
    <row r="162" spans="2:30">
      <c r="B162" s="224" t="s">
        <v>1428</v>
      </c>
      <c r="C162" s="224" t="s">
        <v>1429</v>
      </c>
      <c r="D162" s="224" t="s">
        <v>1140</v>
      </c>
    </row>
    <row r="163" spans="2:30">
      <c r="B163" s="224" t="s">
        <v>1430</v>
      </c>
      <c r="C163" s="224" t="s">
        <v>1431</v>
      </c>
      <c r="D163" s="224" t="s">
        <v>1140</v>
      </c>
      <c r="AB163" s="202" t="s">
        <v>2228</v>
      </c>
    </row>
    <row r="164" spans="2:30">
      <c r="B164" s="224" t="s">
        <v>1432</v>
      </c>
      <c r="C164" s="224" t="s">
        <v>1433</v>
      </c>
      <c r="D164" s="224" t="s">
        <v>1140</v>
      </c>
      <c r="AB164" s="202" t="s">
        <v>832</v>
      </c>
    </row>
    <row r="165" spans="2:30" ht="15">
      <c r="B165" s="224" t="s">
        <v>1434</v>
      </c>
      <c r="C165" s="224" t="s">
        <v>1435</v>
      </c>
      <c r="D165" s="224" t="s">
        <v>1140</v>
      </c>
      <c r="X165" s="214"/>
      <c r="AB165" s="202" t="s">
        <v>288</v>
      </c>
      <c r="AC165" s="202" t="s">
        <v>832</v>
      </c>
      <c r="AD165" s="202" t="s">
        <v>831</v>
      </c>
    </row>
    <row r="166" spans="2:30">
      <c r="B166" s="224" t="s">
        <v>1436</v>
      </c>
      <c r="C166" s="224" t="s">
        <v>1437</v>
      </c>
      <c r="D166" s="224" t="s">
        <v>1140</v>
      </c>
      <c r="AB166" s="202" t="s">
        <v>688</v>
      </c>
    </row>
    <row r="167" spans="2:30">
      <c r="B167" s="224" t="s">
        <v>1438</v>
      </c>
      <c r="C167" s="224" t="s">
        <v>1439</v>
      </c>
      <c r="D167" s="224" t="s">
        <v>1140</v>
      </c>
      <c r="AB167" s="202" t="s">
        <v>833</v>
      </c>
      <c r="AC167" s="202" t="s">
        <v>689</v>
      </c>
    </row>
    <row r="168" spans="2:30">
      <c r="B168" s="224" t="s">
        <v>1440</v>
      </c>
      <c r="C168" s="224" t="s">
        <v>1441</v>
      </c>
      <c r="D168" s="224" t="s">
        <v>1140</v>
      </c>
      <c r="AB168" s="202" t="s">
        <v>980</v>
      </c>
    </row>
    <row r="169" spans="2:30">
      <c r="B169" s="224" t="s">
        <v>1442</v>
      </c>
      <c r="C169" s="224" t="s">
        <v>1443</v>
      </c>
      <c r="D169" s="224" t="s">
        <v>1140</v>
      </c>
    </row>
    <row r="170" spans="2:30">
      <c r="B170" s="224" t="s">
        <v>1444</v>
      </c>
      <c r="C170" s="224" t="s">
        <v>1445</v>
      </c>
      <c r="D170" s="224" t="s">
        <v>1140</v>
      </c>
    </row>
    <row r="171" spans="2:30">
      <c r="B171" s="224" t="s">
        <v>1446</v>
      </c>
      <c r="C171" s="224" t="s">
        <v>1447</v>
      </c>
      <c r="D171" s="224" t="s">
        <v>1140</v>
      </c>
    </row>
    <row r="172" spans="2:30">
      <c r="B172" s="224" t="s">
        <v>1448</v>
      </c>
      <c r="C172" s="224" t="s">
        <v>1449</v>
      </c>
      <c r="D172" s="224" t="s">
        <v>1140</v>
      </c>
    </row>
    <row r="173" spans="2:30">
      <c r="B173" s="224" t="s">
        <v>1450</v>
      </c>
      <c r="C173" s="224" t="s">
        <v>1451</v>
      </c>
      <c r="D173" s="224" t="s">
        <v>1140</v>
      </c>
      <c r="AB173" s="202" t="s">
        <v>1017</v>
      </c>
    </row>
    <row r="174" spans="2:30">
      <c r="B174" s="224" t="s">
        <v>1452</v>
      </c>
      <c r="C174" s="224" t="s">
        <v>1453</v>
      </c>
      <c r="D174" s="224" t="s">
        <v>1140</v>
      </c>
      <c r="AB174" s="202" t="s">
        <v>109</v>
      </c>
    </row>
    <row r="175" spans="2:30">
      <c r="B175" s="224" t="s">
        <v>1454</v>
      </c>
      <c r="C175" s="224" t="s">
        <v>1455</v>
      </c>
      <c r="D175" s="224" t="s">
        <v>1140</v>
      </c>
      <c r="AB175" s="202" t="s">
        <v>948</v>
      </c>
    </row>
    <row r="176" spans="2:30">
      <c r="B176" s="224" t="s">
        <v>1456</v>
      </c>
      <c r="C176" s="224" t="s">
        <v>1457</v>
      </c>
      <c r="AB176" s="202" t="s">
        <v>904</v>
      </c>
    </row>
    <row r="177" spans="2:28">
      <c r="B177" s="224" t="s">
        <v>1458</v>
      </c>
      <c r="C177" s="224" t="s">
        <v>1459</v>
      </c>
      <c r="AB177" s="202" t="s">
        <v>727</v>
      </c>
    </row>
    <row r="178" spans="2:28">
      <c r="B178" s="224" t="s">
        <v>1460</v>
      </c>
      <c r="C178" s="224" t="s">
        <v>1461</v>
      </c>
      <c r="D178" s="224" t="s">
        <v>1140</v>
      </c>
      <c r="AB178" s="202" t="s">
        <v>766</v>
      </c>
    </row>
    <row r="179" spans="2:28">
      <c r="B179" s="224" t="s">
        <v>1462</v>
      </c>
      <c r="C179" s="224" t="s">
        <v>1463</v>
      </c>
    </row>
    <row r="180" spans="2:28">
      <c r="B180" s="224" t="s">
        <v>1464</v>
      </c>
      <c r="C180" s="224" t="s">
        <v>1465</v>
      </c>
      <c r="AB180" s="202" t="s">
        <v>904</v>
      </c>
    </row>
    <row r="181" spans="2:28">
      <c r="B181" s="224" t="s">
        <v>1466</v>
      </c>
      <c r="C181" s="224" t="s">
        <v>1467</v>
      </c>
      <c r="AB181" s="202" t="s">
        <v>727</v>
      </c>
    </row>
    <row r="182" spans="2:28">
      <c r="B182" s="224" t="s">
        <v>1468</v>
      </c>
      <c r="C182" s="224" t="s">
        <v>1469</v>
      </c>
      <c r="D182" s="224" t="s">
        <v>1140</v>
      </c>
      <c r="AB182" s="202" t="s">
        <v>766</v>
      </c>
    </row>
    <row r="183" spans="2:28">
      <c r="B183" s="224" t="s">
        <v>1470</v>
      </c>
      <c r="C183" s="224" t="s">
        <v>1471</v>
      </c>
    </row>
    <row r="184" spans="2:28">
      <c r="B184" s="224" t="s">
        <v>1472</v>
      </c>
      <c r="C184" s="224" t="s">
        <v>1473</v>
      </c>
      <c r="AB184" s="202" t="s">
        <v>904</v>
      </c>
    </row>
    <row r="185" spans="2:28">
      <c r="B185" s="224" t="s">
        <v>1474</v>
      </c>
      <c r="C185" s="224" t="s">
        <v>1475</v>
      </c>
      <c r="AB185" s="202" t="s">
        <v>727</v>
      </c>
    </row>
    <row r="186" spans="2:28">
      <c r="B186" s="224" t="s">
        <v>1476</v>
      </c>
      <c r="C186" s="224" t="s">
        <v>1477</v>
      </c>
      <c r="D186" s="224" t="s">
        <v>1140</v>
      </c>
      <c r="AB186" s="202" t="s">
        <v>766</v>
      </c>
    </row>
    <row r="187" spans="2:28">
      <c r="B187" s="224" t="s">
        <v>1478</v>
      </c>
      <c r="C187" s="224" t="s">
        <v>1479</v>
      </c>
      <c r="AB187" s="202" t="s">
        <v>1048</v>
      </c>
    </row>
    <row r="188" spans="2:28">
      <c r="B188" s="224" t="s">
        <v>1480</v>
      </c>
      <c r="C188" s="224" t="s">
        <v>1481</v>
      </c>
    </row>
    <row r="189" spans="2:28">
      <c r="B189" s="224" t="s">
        <v>1482</v>
      </c>
      <c r="C189" s="224" t="s">
        <v>1483</v>
      </c>
      <c r="AB189" s="202" t="s">
        <v>2224</v>
      </c>
    </row>
    <row r="190" spans="2:28">
      <c r="B190" s="224" t="s">
        <v>1484</v>
      </c>
      <c r="C190" s="224" t="s">
        <v>1485</v>
      </c>
    </row>
    <row r="191" spans="2:28">
      <c r="B191" s="224" t="s">
        <v>1486</v>
      </c>
      <c r="C191" s="224" t="s">
        <v>1487</v>
      </c>
    </row>
    <row r="192" spans="2:28">
      <c r="B192" s="224" t="s">
        <v>1488</v>
      </c>
      <c r="C192" s="224" t="s">
        <v>1489</v>
      </c>
      <c r="AB192" s="202" t="s">
        <v>2226</v>
      </c>
    </row>
    <row r="193" spans="1:30">
      <c r="B193" s="224" t="s">
        <v>1490</v>
      </c>
      <c r="C193" s="224" t="s">
        <v>1491</v>
      </c>
    </row>
    <row r="194" spans="1:30">
      <c r="B194" s="224" t="s">
        <v>1492</v>
      </c>
      <c r="C194" s="224" t="s">
        <v>1493</v>
      </c>
      <c r="AB194" s="202" t="s">
        <v>1008</v>
      </c>
    </row>
    <row r="195" spans="1:30">
      <c r="B195" s="224" t="s">
        <v>1494</v>
      </c>
      <c r="C195" s="224" t="s">
        <v>1495</v>
      </c>
      <c r="AB195" s="202" t="s">
        <v>1016</v>
      </c>
    </row>
    <row r="196" spans="1:30">
      <c r="B196" s="224" t="s">
        <v>1496</v>
      </c>
      <c r="C196" s="224" t="s">
        <v>1497</v>
      </c>
      <c r="AB196" s="202" t="s">
        <v>2223</v>
      </c>
    </row>
    <row r="197" spans="1:30">
      <c r="B197" s="224" t="s">
        <v>1498</v>
      </c>
      <c r="C197" s="224" t="s">
        <v>1499</v>
      </c>
      <c r="AB197" s="202" t="s">
        <v>1016</v>
      </c>
    </row>
    <row r="198" spans="1:30">
      <c r="B198" s="224" t="s">
        <v>1500</v>
      </c>
      <c r="C198" s="224" t="s">
        <v>1501</v>
      </c>
      <c r="D198" s="224" t="s">
        <v>1140</v>
      </c>
      <c r="AB198" s="202" t="s">
        <v>892</v>
      </c>
    </row>
    <row r="199" spans="1:30">
      <c r="F199" s="224"/>
      <c r="G199" s="224"/>
      <c r="H199" s="224"/>
      <c r="I199" s="224"/>
      <c r="J199" s="224"/>
      <c r="K199" s="224"/>
      <c r="L199" s="224"/>
      <c r="M199" s="224"/>
      <c r="N199" s="224"/>
      <c r="O199" s="224"/>
      <c r="P199" s="224"/>
    </row>
    <row r="200" spans="1:30" s="199" customFormat="1" ht="15.75">
      <c r="A200" s="199" t="s">
        <v>1502</v>
      </c>
      <c r="D200" s="200"/>
      <c r="AB200" s="201"/>
      <c r="AC200" s="201"/>
      <c r="AD200" s="201"/>
    </row>
    <row r="201" spans="1:30">
      <c r="B201" s="224" t="s">
        <v>1503</v>
      </c>
      <c r="C201" s="224" t="s">
        <v>1504</v>
      </c>
      <c r="D201" s="224" t="s">
        <v>1140</v>
      </c>
      <c r="AB201" s="202" t="s">
        <v>1017</v>
      </c>
    </row>
    <row r="202" spans="1:30">
      <c r="B202" s="224" t="s">
        <v>1505</v>
      </c>
      <c r="C202" s="224" t="s">
        <v>1506</v>
      </c>
      <c r="D202" s="224" t="s">
        <v>1140</v>
      </c>
      <c r="AB202" s="202" t="s">
        <v>109</v>
      </c>
    </row>
    <row r="203" spans="1:30">
      <c r="B203" s="224" t="s">
        <v>1507</v>
      </c>
      <c r="C203" s="224" t="s">
        <v>1508</v>
      </c>
      <c r="D203" s="224" t="s">
        <v>1140</v>
      </c>
      <c r="AB203" s="202" t="s">
        <v>980</v>
      </c>
    </row>
    <row r="204" spans="1:30">
      <c r="B204" s="224" t="s">
        <v>1509</v>
      </c>
      <c r="C204" s="224" t="s">
        <v>1510</v>
      </c>
      <c r="D204" s="224" t="s">
        <v>1140</v>
      </c>
    </row>
    <row r="205" spans="1:30">
      <c r="B205" s="224" t="s">
        <v>1511</v>
      </c>
      <c r="C205" s="224" t="s">
        <v>1512</v>
      </c>
      <c r="AB205" s="202" t="s">
        <v>503</v>
      </c>
    </row>
    <row r="206" spans="1:30">
      <c r="B206" s="224" t="s">
        <v>1513</v>
      </c>
      <c r="C206" s="224" t="s">
        <v>1514</v>
      </c>
      <c r="D206" s="224" t="s">
        <v>1140</v>
      </c>
    </row>
    <row r="207" spans="1:30">
      <c r="F207" s="224"/>
      <c r="G207" s="224"/>
      <c r="H207" s="224"/>
      <c r="I207" s="224"/>
      <c r="J207" s="224"/>
      <c r="K207" s="224"/>
      <c r="L207" s="224"/>
      <c r="M207" s="224"/>
      <c r="N207" s="224"/>
      <c r="O207" s="224"/>
      <c r="P207" s="224"/>
    </row>
    <row r="208" spans="1:30" s="199" customFormat="1" ht="15.75">
      <c r="A208" s="199" t="s">
        <v>1515</v>
      </c>
      <c r="D208" s="200"/>
      <c r="AB208" s="201"/>
      <c r="AC208" s="201"/>
      <c r="AD208" s="201"/>
    </row>
    <row r="209" spans="2:30">
      <c r="B209" s="224" t="s">
        <v>1516</v>
      </c>
      <c r="C209" s="224" t="s">
        <v>1517</v>
      </c>
      <c r="D209" s="224" t="s">
        <v>1140</v>
      </c>
      <c r="AB209" s="202" t="s">
        <v>901</v>
      </c>
    </row>
    <row r="210" spans="2:30">
      <c r="B210" s="224" t="s">
        <v>1518</v>
      </c>
      <c r="C210" s="224" t="s">
        <v>1519</v>
      </c>
      <c r="D210" s="224" t="s">
        <v>1140</v>
      </c>
      <c r="AB210" s="202" t="s">
        <v>759</v>
      </c>
    </row>
    <row r="211" spans="2:30">
      <c r="B211" s="224" t="s">
        <v>1520</v>
      </c>
      <c r="C211" s="224" t="s">
        <v>1521</v>
      </c>
      <c r="D211" s="224" t="s">
        <v>1140</v>
      </c>
      <c r="AB211" s="238" t="s">
        <v>606</v>
      </c>
      <c r="AC211" s="238" t="s">
        <v>875</v>
      </c>
      <c r="AD211" s="238" t="s">
        <v>2218</v>
      </c>
    </row>
    <row r="212" spans="2:30">
      <c r="B212" s="224" t="s">
        <v>1522</v>
      </c>
      <c r="C212" s="224" t="s">
        <v>1523</v>
      </c>
      <c r="D212" s="224" t="s">
        <v>1140</v>
      </c>
    </row>
    <row r="213" spans="2:30">
      <c r="B213" s="224" t="s">
        <v>1524</v>
      </c>
      <c r="C213" s="224" t="s">
        <v>1525</v>
      </c>
      <c r="D213" s="224" t="s">
        <v>1140</v>
      </c>
      <c r="AB213" s="202" t="s">
        <v>760</v>
      </c>
      <c r="AC213" s="202" t="s">
        <v>895</v>
      </c>
    </row>
    <row r="214" spans="2:30">
      <c r="B214" s="224" t="s">
        <v>1526</v>
      </c>
      <c r="C214" s="224" t="s">
        <v>1527</v>
      </c>
      <c r="D214" s="224" t="s">
        <v>1140</v>
      </c>
      <c r="Q214" s="215" t="e">
        <f>#REF!+#REF!+#REF!+#REF!-#REF!</f>
        <v>#REF!</v>
      </c>
      <c r="R214" s="215" t="e">
        <f>#REF!+#REF!+#REF!+#REF!-#REF!</f>
        <v>#REF!</v>
      </c>
      <c r="S214" s="215" t="e">
        <f>#REF!+#REF!+#REF!+#REF!-#REF!</f>
        <v>#REF!</v>
      </c>
      <c r="T214" s="215" t="e">
        <f>#REF!+#REF!+#REF!+#REF!-#REF!</f>
        <v>#REF!</v>
      </c>
      <c r="U214" s="215" t="e">
        <f>#REF!+#REF!+#REF!+#REF!-#REF!</f>
        <v>#REF!</v>
      </c>
      <c r="V214" s="215" t="e">
        <f>#REF!+#REF!+#REF!+#REF!-#REF!</f>
        <v>#REF!</v>
      </c>
      <c r="W214" s="215" t="e">
        <f>#REF!+#REF!+#REF!+#REF!-#REF!</f>
        <v>#REF!</v>
      </c>
      <c r="X214" s="215" t="e">
        <f>#REF!+#REF!+#REF!+#REF!-#REF!</f>
        <v>#REF!</v>
      </c>
      <c r="Y214" s="215" t="e">
        <f>#REF!+#REF!+#REF!+#REF!-#REF!</f>
        <v>#REF!</v>
      </c>
      <c r="Z214" s="215" t="e">
        <f>#REF!+#REF!+#REF!+#REF!-#REF!</f>
        <v>#REF!</v>
      </c>
      <c r="AA214" s="216" t="s">
        <v>1528</v>
      </c>
      <c r="AB214" s="202"/>
    </row>
    <row r="215" spans="2:30">
      <c r="B215" s="224" t="s">
        <v>1529</v>
      </c>
      <c r="C215" s="224" t="s">
        <v>1530</v>
      </c>
      <c r="D215" s="224" t="s">
        <v>1140</v>
      </c>
      <c r="AB215" s="202" t="s">
        <v>896</v>
      </c>
    </row>
    <row r="216" spans="2:30">
      <c r="B216" s="224" t="s">
        <v>1531</v>
      </c>
      <c r="C216" s="224" t="s">
        <v>1532</v>
      </c>
      <c r="D216" s="224" t="s">
        <v>1140</v>
      </c>
      <c r="AB216" s="202" t="s">
        <v>758</v>
      </c>
      <c r="AC216" s="202"/>
    </row>
    <row r="217" spans="2:30">
      <c r="B217" s="224" t="s">
        <v>1533</v>
      </c>
      <c r="C217" s="224" t="s">
        <v>1534</v>
      </c>
      <c r="D217" s="224" t="s">
        <v>1140</v>
      </c>
    </row>
    <row r="218" spans="2:30">
      <c r="B218" s="224" t="s">
        <v>1535</v>
      </c>
      <c r="C218" s="224" t="s">
        <v>1536</v>
      </c>
      <c r="D218" s="224" t="s">
        <v>1140</v>
      </c>
      <c r="Q218" s="211" t="e">
        <f>#REF!+#REF!-#REF!</f>
        <v>#REF!</v>
      </c>
      <c r="R218" s="211" t="e">
        <f>#REF!+#REF!-#REF!</f>
        <v>#REF!</v>
      </c>
      <c r="S218" s="211" t="e">
        <f>#REF!+#REF!-#REF!</f>
        <v>#REF!</v>
      </c>
      <c r="T218" s="211" t="e">
        <f>#REF!+#REF!-#REF!</f>
        <v>#REF!</v>
      </c>
      <c r="U218" s="211" t="e">
        <f>#REF!+#REF!-#REF!</f>
        <v>#REF!</v>
      </c>
      <c r="V218" s="211" t="e">
        <f>#REF!+#REF!-#REF!</f>
        <v>#REF!</v>
      </c>
      <c r="W218" s="211" t="e">
        <f>#REF!+#REF!-#REF!</f>
        <v>#REF!</v>
      </c>
      <c r="X218" s="211" t="e">
        <f>#REF!+#REF!-#REF!</f>
        <v>#REF!</v>
      </c>
      <c r="Y218" s="211" t="e">
        <f>#REF!+#REF!-#REF!</f>
        <v>#REF!</v>
      </c>
      <c r="Z218" s="211" t="e">
        <f>#REF!+#REF!-#REF!</f>
        <v>#REF!</v>
      </c>
      <c r="AA218" s="224" t="s">
        <v>1537</v>
      </c>
      <c r="AB218" s="202" t="s">
        <v>758</v>
      </c>
      <c r="AC218" s="202"/>
    </row>
    <row r="219" spans="2:30">
      <c r="B219" s="224" t="s">
        <v>1538</v>
      </c>
      <c r="C219" s="224" t="s">
        <v>1539</v>
      </c>
      <c r="D219" s="224" t="s">
        <v>1140</v>
      </c>
      <c r="AB219" s="202" t="s">
        <v>2228</v>
      </c>
    </row>
    <row r="220" spans="2:30">
      <c r="B220" s="224" t="s">
        <v>1540</v>
      </c>
      <c r="C220" s="224" t="s">
        <v>1541</v>
      </c>
      <c r="D220" s="224" t="s">
        <v>1140</v>
      </c>
    </row>
    <row r="221" spans="2:30">
      <c r="B221" s="224" t="s">
        <v>1542</v>
      </c>
      <c r="C221" s="224" t="s">
        <v>1543</v>
      </c>
      <c r="D221" s="224" t="s">
        <v>1140</v>
      </c>
    </row>
    <row r="222" spans="2:30">
      <c r="B222" s="224" t="s">
        <v>1544</v>
      </c>
      <c r="C222" s="224" t="s">
        <v>1545</v>
      </c>
      <c r="D222" s="224" t="s">
        <v>1140</v>
      </c>
      <c r="AB222" s="213"/>
      <c r="AC222" s="205"/>
      <c r="AD222" s="205"/>
    </row>
    <row r="223" spans="2:30">
      <c r="B223" s="224" t="s">
        <v>1546</v>
      </c>
      <c r="C223" s="224" t="s">
        <v>1547</v>
      </c>
      <c r="D223" s="224" t="s">
        <v>1140</v>
      </c>
    </row>
    <row r="224" spans="2:30">
      <c r="B224" s="224" t="s">
        <v>1548</v>
      </c>
      <c r="C224" s="224" t="s">
        <v>1549</v>
      </c>
      <c r="D224" s="224" t="s">
        <v>1140</v>
      </c>
      <c r="Q224" s="211"/>
      <c r="AB224" s="202" t="s">
        <v>1070</v>
      </c>
      <c r="AC224" s="202" t="s">
        <v>900</v>
      </c>
      <c r="AD224" s="202" t="s">
        <v>902</v>
      </c>
    </row>
    <row r="225" spans="2:30">
      <c r="B225" s="224" t="s">
        <v>493</v>
      </c>
      <c r="C225" s="224" t="s">
        <v>1550</v>
      </c>
      <c r="D225" s="224" t="s">
        <v>1140</v>
      </c>
      <c r="Q225" s="211" t="e">
        <f>#REF!+#REF!+#REF!+#REF!+#REF!+#REF!+#REF!+#REF!+#REF!+#REF!-#REF!</f>
        <v>#REF!</v>
      </c>
      <c r="R225" s="211" t="e">
        <f>#REF!+#REF!+#REF!+#REF!+#REF!+#REF!+#REF!+#REF!+#REF!+#REF!-#REF!</f>
        <v>#REF!</v>
      </c>
      <c r="S225" s="211" t="e">
        <f>#REF!+#REF!+#REF!+#REF!+#REF!+#REF!+#REF!+#REF!+#REF!+#REF!-#REF!</f>
        <v>#REF!</v>
      </c>
      <c r="T225" s="211" t="e">
        <f>#REF!+#REF!+#REF!+#REF!+#REF!+#REF!+#REF!+#REF!+#REF!+#REF!-#REF!</f>
        <v>#REF!</v>
      </c>
      <c r="U225" s="211" t="e">
        <f>#REF!+#REF!+#REF!+#REF!+#REF!+#REF!+#REF!+#REF!+#REF!+#REF!-#REF!</f>
        <v>#REF!</v>
      </c>
      <c r="V225" s="211" t="e">
        <f>#REF!+#REF!+#REF!+#REF!+#REF!+#REF!+#REF!+#REF!+#REF!+#REF!-#REF!</f>
        <v>#REF!</v>
      </c>
      <c r="W225" s="211" t="e">
        <f>#REF!+#REF!+#REF!+#REF!+#REF!+#REF!+#REF!+#REF!+#REF!+#REF!-#REF!</f>
        <v>#REF!</v>
      </c>
      <c r="X225" s="211" t="e">
        <f>#REF!+#REF!+#REF!+#REF!+#REF!+#REF!+#REF!+#REF!+#REF!+#REF!-#REF!</f>
        <v>#REF!</v>
      </c>
      <c r="Y225" s="211" t="e">
        <f>#REF!+#REF!+#REF!+#REF!+#REF!+#REF!+#REF!+#REF!+#REF!+#REF!-#REF!</f>
        <v>#REF!</v>
      </c>
      <c r="Z225" s="211" t="e">
        <f>#REF!+#REF!+#REF!+#REF!+#REF!+#REF!+#REF!+#REF!+#REF!+#REF!-#REF!</f>
        <v>#REF!</v>
      </c>
      <c r="AA225" s="224" t="s">
        <v>1551</v>
      </c>
      <c r="AB225" s="202" t="s">
        <v>757</v>
      </c>
    </row>
    <row r="226" spans="2:30">
      <c r="B226" s="224" t="s">
        <v>664</v>
      </c>
      <c r="C226" s="224" t="s">
        <v>1552</v>
      </c>
      <c r="D226" s="224" t="s">
        <v>1140</v>
      </c>
      <c r="AB226" s="202" t="s">
        <v>903</v>
      </c>
    </row>
    <row r="227" spans="2:30">
      <c r="B227" s="224" t="s">
        <v>1553</v>
      </c>
      <c r="C227" s="224" t="s">
        <v>1554</v>
      </c>
      <c r="D227" s="224" t="s">
        <v>1140</v>
      </c>
      <c r="AB227" s="202" t="s">
        <v>1054</v>
      </c>
    </row>
    <row r="228" spans="2:30">
      <c r="B228" s="224" t="s">
        <v>1555</v>
      </c>
      <c r="C228" s="224" t="s">
        <v>1556</v>
      </c>
      <c r="D228" s="224" t="s">
        <v>1140</v>
      </c>
      <c r="AB228" s="202" t="s">
        <v>1047</v>
      </c>
    </row>
    <row r="229" spans="2:30">
      <c r="B229" s="224" t="s">
        <v>1557</v>
      </c>
      <c r="C229" s="224" t="s">
        <v>1558</v>
      </c>
      <c r="D229" s="224" t="s">
        <v>1140</v>
      </c>
      <c r="AB229" s="202" t="s">
        <v>1072</v>
      </c>
    </row>
    <row r="230" spans="2:30">
      <c r="B230" s="224" t="s">
        <v>1559</v>
      </c>
      <c r="C230" s="224" t="s">
        <v>1560</v>
      </c>
      <c r="D230" s="224" t="s">
        <v>1140</v>
      </c>
    </row>
    <row r="231" spans="2:30">
      <c r="B231" s="224" t="s">
        <v>1561</v>
      </c>
      <c r="C231" s="224" t="s">
        <v>1562</v>
      </c>
      <c r="D231" s="224" t="s">
        <v>1140</v>
      </c>
      <c r="Q231" s="211" t="e">
        <f>#REF!+#REF!+#REF!+#REF!+#REF!-#REF!</f>
        <v>#REF!</v>
      </c>
      <c r="R231" s="211" t="e">
        <f>#REF!+#REF!+#REF!+#REF!+#REF!-#REF!</f>
        <v>#REF!</v>
      </c>
      <c r="S231" s="211" t="e">
        <f>#REF!+#REF!+#REF!+#REF!+#REF!-#REF!</f>
        <v>#REF!</v>
      </c>
      <c r="T231" s="211" t="e">
        <f>#REF!+#REF!+#REF!+#REF!+#REF!-#REF!</f>
        <v>#REF!</v>
      </c>
      <c r="U231" s="211" t="e">
        <f>#REF!+#REF!+#REF!+#REF!+#REF!-#REF!</f>
        <v>#REF!</v>
      </c>
      <c r="V231" s="211" t="e">
        <f>#REF!+#REF!+#REF!+#REF!+#REF!-#REF!</f>
        <v>#REF!</v>
      </c>
      <c r="W231" s="211" t="e">
        <f>#REF!+#REF!+#REF!+#REF!+#REF!-#REF!</f>
        <v>#REF!</v>
      </c>
      <c r="X231" s="211" t="e">
        <f>#REF!+#REF!+#REF!+#REF!+#REF!-#REF!</f>
        <v>#REF!</v>
      </c>
      <c r="Y231" s="211" t="e">
        <f>#REF!+#REF!+#REF!+#REF!+#REF!-#REF!</f>
        <v>#REF!</v>
      </c>
      <c r="Z231" s="211" t="e">
        <f>#REF!+#REF!+#REF!+#REF!+#REF!-#REF!</f>
        <v>#REF!</v>
      </c>
      <c r="AA231" s="224" t="s">
        <v>1563</v>
      </c>
      <c r="AB231" s="202" t="s">
        <v>979</v>
      </c>
      <c r="AC231" s="202" t="s">
        <v>937</v>
      </c>
      <c r="AD231" s="202" t="s">
        <v>938</v>
      </c>
    </row>
    <row r="232" spans="2:30">
      <c r="B232" s="224" t="s">
        <v>1564</v>
      </c>
      <c r="C232" s="224" t="s">
        <v>1565</v>
      </c>
      <c r="D232" s="224" t="s">
        <v>1140</v>
      </c>
      <c r="AB232" s="205"/>
      <c r="AC232" s="205"/>
      <c r="AD232" s="205"/>
    </row>
    <row r="233" spans="2:30">
      <c r="B233" s="224" t="s">
        <v>1566</v>
      </c>
      <c r="C233" s="224" t="s">
        <v>1567</v>
      </c>
      <c r="D233" s="224" t="s">
        <v>1140</v>
      </c>
      <c r="AB233" s="202" t="s">
        <v>937</v>
      </c>
    </row>
    <row r="234" spans="2:30">
      <c r="B234" s="224" t="s">
        <v>1568</v>
      </c>
      <c r="C234" s="224" t="s">
        <v>1569</v>
      </c>
      <c r="D234" s="224" t="s">
        <v>1140</v>
      </c>
    </row>
    <row r="235" spans="2:30">
      <c r="B235" s="224" t="s">
        <v>1570</v>
      </c>
      <c r="C235" s="224" t="s">
        <v>1571</v>
      </c>
      <c r="D235" s="224" t="s">
        <v>1140</v>
      </c>
    </row>
    <row r="236" spans="2:30">
      <c r="B236" s="224" t="s">
        <v>1572</v>
      </c>
      <c r="C236" s="224" t="s">
        <v>1573</v>
      </c>
      <c r="D236" s="224" t="s">
        <v>1140</v>
      </c>
      <c r="AB236" s="202" t="s">
        <v>938</v>
      </c>
    </row>
    <row r="237" spans="2:30">
      <c r="B237" s="224" t="s">
        <v>373</v>
      </c>
      <c r="C237" s="224" t="s">
        <v>1574</v>
      </c>
      <c r="D237" s="224" t="s">
        <v>1140</v>
      </c>
      <c r="Q237" s="211" t="e">
        <f>#REF!+#REF!+#REF!+#REF!+#REF!+#REF!-#REF!</f>
        <v>#REF!</v>
      </c>
      <c r="R237" s="211" t="e">
        <f>#REF!+#REF!+#REF!+#REF!+#REF!+#REF!-#REF!</f>
        <v>#REF!</v>
      </c>
      <c r="S237" s="211" t="e">
        <f>#REF!+#REF!+#REF!+#REF!+#REF!+#REF!-#REF!</f>
        <v>#REF!</v>
      </c>
      <c r="T237" s="211" t="e">
        <f>#REF!+#REF!+#REF!+#REF!+#REF!+#REF!-#REF!</f>
        <v>#REF!</v>
      </c>
      <c r="U237" s="211" t="e">
        <f>#REF!+#REF!+#REF!+#REF!+#REF!+#REF!-#REF!</f>
        <v>#REF!</v>
      </c>
      <c r="V237" s="211" t="e">
        <f>#REF!+#REF!+#REF!+#REF!+#REF!+#REF!-#REF!</f>
        <v>#REF!</v>
      </c>
      <c r="W237" s="211" t="e">
        <f>#REF!+#REF!+#REF!+#REF!+#REF!+#REF!-#REF!</f>
        <v>#REF!</v>
      </c>
      <c r="X237" s="211" t="e">
        <f>#REF!+#REF!+#REF!+#REF!+#REF!+#REF!-#REF!</f>
        <v>#REF!</v>
      </c>
      <c r="Y237" s="211" t="e">
        <f>#REF!+#REF!+#REF!+#REF!+#REF!+#REF!-#REF!</f>
        <v>#REF!</v>
      </c>
      <c r="Z237" s="211" t="e">
        <f>#REF!+#REF!+#REF!+#REF!+#REF!+#REF!-#REF!</f>
        <v>#REF!</v>
      </c>
      <c r="AA237" s="224" t="s">
        <v>1575</v>
      </c>
    </row>
    <row r="238" spans="2:30">
      <c r="B238" s="224" t="s">
        <v>1576</v>
      </c>
      <c r="C238" s="224" t="s">
        <v>1577</v>
      </c>
      <c r="D238" s="224" t="s">
        <v>1140</v>
      </c>
      <c r="AB238" s="202" t="s">
        <v>1006</v>
      </c>
    </row>
    <row r="239" spans="2:30">
      <c r="B239" s="224" t="s">
        <v>1578</v>
      </c>
      <c r="C239" s="224" t="s">
        <v>1579</v>
      </c>
      <c r="D239" s="224" t="s">
        <v>1140</v>
      </c>
      <c r="AB239" s="202" t="s">
        <v>1005</v>
      </c>
    </row>
    <row r="240" spans="2:30">
      <c r="B240" s="224" t="s">
        <v>1325</v>
      </c>
      <c r="C240" s="224" t="s">
        <v>1580</v>
      </c>
      <c r="D240" s="224" t="s">
        <v>1140</v>
      </c>
    </row>
    <row r="241" spans="1:30">
      <c r="B241" s="224" t="s">
        <v>1325</v>
      </c>
      <c r="C241" s="224" t="s">
        <v>1581</v>
      </c>
      <c r="D241" s="224" t="s">
        <v>1140</v>
      </c>
      <c r="AB241" s="202" t="s">
        <v>1007</v>
      </c>
    </row>
    <row r="242" spans="1:30">
      <c r="B242" s="224" t="s">
        <v>1582</v>
      </c>
      <c r="C242" s="224" t="s">
        <v>1583</v>
      </c>
      <c r="D242" s="224" t="s">
        <v>1140</v>
      </c>
      <c r="Q242" s="207" t="e">
        <f>#REF!+#REF!-#REF!</f>
        <v>#REF!</v>
      </c>
      <c r="R242" s="207" t="e">
        <f>#REF!+#REF!-#REF!</f>
        <v>#REF!</v>
      </c>
      <c r="S242" s="207" t="e">
        <f>#REF!+#REF!-#REF!</f>
        <v>#REF!</v>
      </c>
      <c r="T242" s="207" t="e">
        <f>#REF!+#REF!-#REF!</f>
        <v>#REF!</v>
      </c>
      <c r="U242" s="207" t="e">
        <f>#REF!+#REF!-#REF!</f>
        <v>#REF!</v>
      </c>
      <c r="V242" s="207" t="e">
        <f>#REF!+#REF!-#REF!</f>
        <v>#REF!</v>
      </c>
      <c r="W242" s="207" t="e">
        <f>#REF!+#REF!-#REF!</f>
        <v>#REF!</v>
      </c>
      <c r="X242" s="207" t="e">
        <f>#REF!+#REF!-#REF!</f>
        <v>#REF!</v>
      </c>
      <c r="Y242" s="207" t="e">
        <f>#REF!+#REF!-#REF!</f>
        <v>#REF!</v>
      </c>
      <c r="Z242" s="207" t="e">
        <f>#REF!+#REF!-#REF!</f>
        <v>#REF!</v>
      </c>
      <c r="AA242" s="224" t="s">
        <v>1584</v>
      </c>
      <c r="AB242" s="202" t="s">
        <v>979</v>
      </c>
    </row>
    <row r="243" spans="1:30">
      <c r="B243" s="224" t="s">
        <v>1585</v>
      </c>
      <c r="C243" s="224" t="s">
        <v>1586</v>
      </c>
      <c r="D243" s="224" t="s">
        <v>1140</v>
      </c>
      <c r="Q243" s="207" t="e">
        <f>#REF!-#REF!</f>
        <v>#REF!</v>
      </c>
      <c r="R243" s="207" t="e">
        <f>#REF!-#REF!</f>
        <v>#REF!</v>
      </c>
      <c r="S243" s="207" t="e">
        <f>#REF!-#REF!</f>
        <v>#REF!</v>
      </c>
      <c r="T243" s="207" t="e">
        <f>#REF!-#REF!</f>
        <v>#REF!</v>
      </c>
      <c r="U243" s="207" t="e">
        <f>#REF!-#REF!</f>
        <v>#REF!</v>
      </c>
      <c r="V243" s="207" t="e">
        <f>#REF!-#REF!</f>
        <v>#REF!</v>
      </c>
      <c r="W243" s="207" t="e">
        <f>#REF!-#REF!</f>
        <v>#REF!</v>
      </c>
      <c r="X243" s="207" t="e">
        <f>#REF!-#REF!</f>
        <v>#REF!</v>
      </c>
      <c r="Y243" s="207" t="e">
        <f>#REF!-#REF!</f>
        <v>#REF!</v>
      </c>
      <c r="Z243" s="207" t="e">
        <f>#REF!-#REF!</f>
        <v>#REF!</v>
      </c>
      <c r="AA243" s="224" t="s">
        <v>1587</v>
      </c>
      <c r="AB243" s="202" t="s">
        <v>757</v>
      </c>
      <c r="AC243" s="202"/>
    </row>
    <row r="244" spans="1:30">
      <c r="B244" s="224" t="s">
        <v>1588</v>
      </c>
      <c r="C244" s="224" t="s">
        <v>1589</v>
      </c>
      <c r="D244" s="224" t="s">
        <v>1140</v>
      </c>
      <c r="Q244" s="207" t="e">
        <f>#REF!/#REF!-#REF!</f>
        <v>#REF!</v>
      </c>
      <c r="R244" s="207" t="e">
        <f>#REF!/#REF!-#REF!</f>
        <v>#REF!</v>
      </c>
      <c r="S244" s="207" t="e">
        <f>#REF!/#REF!-#REF!</f>
        <v>#REF!</v>
      </c>
      <c r="T244" s="207" t="e">
        <f>#REF!/#REF!-#REF!</f>
        <v>#REF!</v>
      </c>
      <c r="U244" s="207" t="e">
        <f>#REF!/#REF!-#REF!</f>
        <v>#REF!</v>
      </c>
      <c r="V244" s="207" t="e">
        <f>#REF!/#REF!-#REF!</f>
        <v>#REF!</v>
      </c>
      <c r="W244" s="207" t="e">
        <f>#REF!/#REF!-#REF!</f>
        <v>#REF!</v>
      </c>
      <c r="X244" s="207" t="e">
        <f>#REF!/#REF!-#REF!</f>
        <v>#REF!</v>
      </c>
      <c r="Y244" s="207" t="e">
        <f>#REF!/#REF!-#REF!</f>
        <v>#REF!</v>
      </c>
      <c r="Z244" s="207" t="e">
        <f>#REF!/#REF!-#REF!</f>
        <v>#REF!</v>
      </c>
      <c r="AA244" s="212" t="s">
        <v>1590</v>
      </c>
      <c r="AB244" s="202" t="s">
        <v>962</v>
      </c>
    </row>
    <row r="245" spans="1:30">
      <c r="B245" s="224" t="s">
        <v>1591</v>
      </c>
      <c r="C245" s="224" t="s">
        <v>1592</v>
      </c>
      <c r="D245" s="224" t="s">
        <v>1140</v>
      </c>
      <c r="Q245" s="207" t="e">
        <f>#REF!/#REF!-#REF!</f>
        <v>#REF!</v>
      </c>
      <c r="R245" s="207" t="e">
        <f>#REF!/#REF!-#REF!</f>
        <v>#REF!</v>
      </c>
      <c r="S245" s="207" t="e">
        <f>#REF!/#REF!-#REF!</f>
        <v>#REF!</v>
      </c>
      <c r="T245" s="207" t="e">
        <f>#REF!/#REF!-#REF!</f>
        <v>#REF!</v>
      </c>
      <c r="U245" s="207" t="e">
        <f>#REF!/#REF!-#REF!</f>
        <v>#REF!</v>
      </c>
      <c r="V245" s="207" t="e">
        <f>#REF!/#REF!-#REF!</f>
        <v>#REF!</v>
      </c>
      <c r="W245" s="207" t="e">
        <f>#REF!/#REF!-#REF!</f>
        <v>#REF!</v>
      </c>
      <c r="X245" s="207" t="e">
        <f>#REF!/#REF!-#REF!</f>
        <v>#REF!</v>
      </c>
      <c r="Y245" s="207" t="e">
        <f>#REF!/#REF!-#REF!</f>
        <v>#REF!</v>
      </c>
      <c r="Z245" s="207" t="e">
        <f>#REF!/#REF!-#REF!</f>
        <v>#REF!</v>
      </c>
      <c r="AA245" s="212" t="s">
        <v>1593</v>
      </c>
      <c r="AB245" s="202" t="s">
        <v>962</v>
      </c>
    </row>
    <row r="246" spans="1:30">
      <c r="B246" s="224" t="s">
        <v>1594</v>
      </c>
      <c r="C246" s="224" t="s">
        <v>1595</v>
      </c>
      <c r="D246" s="224" t="s">
        <v>1140</v>
      </c>
      <c r="AB246" s="202" t="s">
        <v>963</v>
      </c>
    </row>
    <row r="247" spans="1:30">
      <c r="B247" s="224" t="s">
        <v>1596</v>
      </c>
      <c r="C247" s="224" t="s">
        <v>1597</v>
      </c>
      <c r="D247" s="224" t="s">
        <v>1140</v>
      </c>
      <c r="AB247" s="202" t="s">
        <v>963</v>
      </c>
    </row>
    <row r="248" spans="1:30">
      <c r="F248" s="224"/>
      <c r="G248" s="224"/>
      <c r="H248" s="224"/>
      <c r="I248" s="224"/>
      <c r="J248" s="224"/>
      <c r="K248" s="224"/>
      <c r="L248" s="224"/>
      <c r="M248" s="224"/>
      <c r="N248" s="224"/>
      <c r="O248" s="224"/>
      <c r="P248" s="224"/>
    </row>
    <row r="249" spans="1:30" s="199" customFormat="1" ht="15.75">
      <c r="A249" s="199" t="s">
        <v>1598</v>
      </c>
      <c r="D249" s="200"/>
      <c r="AB249" s="201"/>
      <c r="AC249" s="201"/>
      <c r="AD249" s="201"/>
    </row>
    <row r="250" spans="1:30">
      <c r="B250" s="224" t="s">
        <v>1599</v>
      </c>
      <c r="C250" s="224" t="s">
        <v>1600</v>
      </c>
      <c r="D250" s="224" t="s">
        <v>1140</v>
      </c>
      <c r="AB250" s="202" t="s">
        <v>335</v>
      </c>
    </row>
    <row r="251" spans="1:30">
      <c r="B251" s="224" t="s">
        <v>1601</v>
      </c>
      <c r="C251" s="224" t="s">
        <v>1602</v>
      </c>
      <c r="D251" s="224" t="s">
        <v>1140</v>
      </c>
      <c r="AB251" s="202" t="s">
        <v>919</v>
      </c>
    </row>
    <row r="252" spans="1:30">
      <c r="B252" s="224" t="s">
        <v>1603</v>
      </c>
      <c r="C252" s="224" t="s">
        <v>1604</v>
      </c>
      <c r="D252" s="224" t="s">
        <v>1140</v>
      </c>
    </row>
    <row r="253" spans="1:30">
      <c r="B253" s="224" t="s">
        <v>1605</v>
      </c>
      <c r="C253" s="224" t="s">
        <v>1606</v>
      </c>
      <c r="D253" s="224" t="s">
        <v>1140</v>
      </c>
      <c r="AB253" s="202" t="s">
        <v>2221</v>
      </c>
      <c r="AC253" s="202"/>
    </row>
    <row r="254" spans="1:30">
      <c r="B254" s="224" t="s">
        <v>1607</v>
      </c>
      <c r="C254" s="224" t="s">
        <v>1608</v>
      </c>
      <c r="D254" s="224" t="s">
        <v>1140</v>
      </c>
      <c r="AB254" s="202" t="s">
        <v>920</v>
      </c>
    </row>
    <row r="255" spans="1:30">
      <c r="B255" s="224" t="s">
        <v>1609</v>
      </c>
      <c r="C255" s="224" t="s">
        <v>1610</v>
      </c>
      <c r="D255" s="224" t="s">
        <v>1140</v>
      </c>
      <c r="AB255" s="202" t="s">
        <v>875</v>
      </c>
    </row>
    <row r="256" spans="1:30">
      <c r="B256" s="224" t="s">
        <v>1611</v>
      </c>
      <c r="C256" s="224" t="s">
        <v>1612</v>
      </c>
      <c r="D256" s="224" t="s">
        <v>1140</v>
      </c>
      <c r="AB256" s="202" t="s">
        <v>336</v>
      </c>
    </row>
    <row r="257" spans="2:30">
      <c r="B257" s="224" t="s">
        <v>1613</v>
      </c>
      <c r="C257" s="224" t="s">
        <v>1614</v>
      </c>
      <c r="D257" s="224" t="s">
        <v>1140</v>
      </c>
    </row>
    <row r="258" spans="2:30">
      <c r="B258" s="224" t="s">
        <v>1615</v>
      </c>
      <c r="C258" s="224" t="s">
        <v>1616</v>
      </c>
      <c r="D258" s="224" t="s">
        <v>1140</v>
      </c>
      <c r="AB258" s="202" t="s">
        <v>1053</v>
      </c>
    </row>
    <row r="259" spans="2:30">
      <c r="B259" s="224" t="s">
        <v>1617</v>
      </c>
      <c r="C259" s="224" t="s">
        <v>1618</v>
      </c>
      <c r="D259" s="224" t="s">
        <v>1140</v>
      </c>
      <c r="AB259" s="202" t="s">
        <v>943</v>
      </c>
      <c r="AC259" s="202"/>
    </row>
    <row r="260" spans="2:30">
      <c r="B260" s="224" t="s">
        <v>1619</v>
      </c>
      <c r="C260" s="224" t="s">
        <v>1620</v>
      </c>
      <c r="D260" s="224" t="s">
        <v>1140</v>
      </c>
      <c r="AB260" s="202" t="s">
        <v>2230</v>
      </c>
      <c r="AC260" s="202"/>
    </row>
    <row r="261" spans="2:30">
      <c r="B261" s="224" t="s">
        <v>1621</v>
      </c>
      <c r="C261" s="224" t="s">
        <v>1622</v>
      </c>
      <c r="D261" s="224" t="s">
        <v>1140</v>
      </c>
      <c r="AB261" s="202" t="s">
        <v>942</v>
      </c>
      <c r="AC261" s="202"/>
    </row>
    <row r="262" spans="2:30">
      <c r="B262" s="224" t="s">
        <v>1623</v>
      </c>
      <c r="C262" s="224" t="s">
        <v>1624</v>
      </c>
      <c r="D262" s="224" t="s">
        <v>1140</v>
      </c>
      <c r="AB262" s="202" t="s">
        <v>1006</v>
      </c>
      <c r="AC262" s="202"/>
    </row>
    <row r="263" spans="2:30">
      <c r="B263" s="224" t="s">
        <v>1625</v>
      </c>
      <c r="C263" s="224" t="s">
        <v>1626</v>
      </c>
      <c r="D263" s="224" t="s">
        <v>1140</v>
      </c>
      <c r="AB263" s="202" t="s">
        <v>944</v>
      </c>
    </row>
    <row r="264" spans="2:30">
      <c r="B264" s="224" t="s">
        <v>1627</v>
      </c>
      <c r="C264" s="224" t="s">
        <v>1628</v>
      </c>
      <c r="D264" s="224" t="s">
        <v>1140</v>
      </c>
      <c r="AB264" s="202" t="s">
        <v>922</v>
      </c>
    </row>
    <row r="265" spans="2:30">
      <c r="B265" s="224" t="s">
        <v>1629</v>
      </c>
      <c r="C265" s="224" t="s">
        <v>1630</v>
      </c>
      <c r="D265" s="224" t="s">
        <v>1140</v>
      </c>
      <c r="AB265" s="202" t="s">
        <v>606</v>
      </c>
      <c r="AC265" s="202" t="s">
        <v>608</v>
      </c>
    </row>
    <row r="266" spans="2:30">
      <c r="B266" s="224" t="s">
        <v>1631</v>
      </c>
      <c r="C266" s="224" t="s">
        <v>1632</v>
      </c>
      <c r="D266" s="224" t="s">
        <v>1140</v>
      </c>
      <c r="AB266" s="202" t="s">
        <v>710</v>
      </c>
    </row>
    <row r="267" spans="2:30">
      <c r="B267" s="224" t="s">
        <v>1633</v>
      </c>
      <c r="C267" s="224" t="s">
        <v>1634</v>
      </c>
      <c r="D267" s="224" t="s">
        <v>1140</v>
      </c>
      <c r="AB267" s="202" t="s">
        <v>711</v>
      </c>
    </row>
    <row r="268" spans="2:30">
      <c r="B268" s="224" t="s">
        <v>1635</v>
      </c>
      <c r="C268" s="224" t="s">
        <v>1636</v>
      </c>
      <c r="D268" s="224" t="s">
        <v>1140</v>
      </c>
      <c r="AB268" s="238" t="s">
        <v>2218</v>
      </c>
      <c r="AC268" s="239"/>
      <c r="AD268" s="239"/>
    </row>
    <row r="269" spans="2:30">
      <c r="B269" s="224" t="s">
        <v>344</v>
      </c>
      <c r="C269" s="224" t="s">
        <v>1637</v>
      </c>
      <c r="D269" s="224" t="s">
        <v>1140</v>
      </c>
      <c r="AB269" s="202" t="s">
        <v>607</v>
      </c>
    </row>
    <row r="270" spans="2:30">
      <c r="B270" s="224" t="s">
        <v>1638</v>
      </c>
      <c r="C270" s="224" t="s">
        <v>1639</v>
      </c>
      <c r="D270" s="224" t="s">
        <v>1140</v>
      </c>
    </row>
    <row r="271" spans="2:30">
      <c r="B271" s="224" t="s">
        <v>1640</v>
      </c>
      <c r="C271" s="224" t="s">
        <v>1641</v>
      </c>
      <c r="D271" s="224" t="s">
        <v>1140</v>
      </c>
    </row>
    <row r="272" spans="2:30">
      <c r="B272" s="224" t="s">
        <v>1642</v>
      </c>
      <c r="C272" s="224" t="s">
        <v>1643</v>
      </c>
      <c r="D272" s="224" t="s">
        <v>1140</v>
      </c>
    </row>
    <row r="273" spans="2:30">
      <c r="B273" s="224" t="s">
        <v>1644</v>
      </c>
      <c r="C273" s="224" t="s">
        <v>1645</v>
      </c>
      <c r="D273" s="224" t="s">
        <v>1140</v>
      </c>
    </row>
    <row r="274" spans="2:30">
      <c r="B274" s="224" t="s">
        <v>1646</v>
      </c>
      <c r="C274" s="224" t="s">
        <v>1647</v>
      </c>
      <c r="D274" s="224" t="s">
        <v>1140</v>
      </c>
    </row>
    <row r="275" spans="2:30">
      <c r="B275" s="224" t="s">
        <v>1648</v>
      </c>
      <c r="F275" s="227"/>
      <c r="G275" s="227"/>
      <c r="H275" s="227"/>
      <c r="I275" s="227"/>
      <c r="J275" s="227"/>
      <c r="K275" s="227"/>
      <c r="L275" s="227"/>
      <c r="M275" s="225"/>
      <c r="N275" s="225"/>
      <c r="O275" s="225"/>
      <c r="P275" s="225"/>
    </row>
    <row r="276" spans="2:30">
      <c r="B276" s="224" t="s">
        <v>1649</v>
      </c>
      <c r="C276" s="224" t="s">
        <v>1650</v>
      </c>
      <c r="D276" s="224" t="s">
        <v>1140</v>
      </c>
    </row>
    <row r="277" spans="2:30">
      <c r="B277" s="224" t="s">
        <v>1651</v>
      </c>
      <c r="C277" s="224" t="s">
        <v>1652</v>
      </c>
      <c r="D277" s="224" t="s">
        <v>1140</v>
      </c>
    </row>
    <row r="278" spans="2:30">
      <c r="B278" s="224" t="s">
        <v>344</v>
      </c>
      <c r="C278" s="224" t="s">
        <v>1653</v>
      </c>
      <c r="D278" s="224" t="s">
        <v>1140</v>
      </c>
      <c r="AB278" s="238" t="s">
        <v>2219</v>
      </c>
      <c r="AC278" s="239"/>
      <c r="AD278" s="239"/>
    </row>
    <row r="279" spans="2:30">
      <c r="B279" s="224" t="s">
        <v>1654</v>
      </c>
      <c r="C279" s="224" t="s">
        <v>1655</v>
      </c>
      <c r="D279" s="224" t="s">
        <v>1140</v>
      </c>
    </row>
    <row r="280" spans="2:30">
      <c r="B280" s="224" t="s">
        <v>1656</v>
      </c>
      <c r="C280" s="224" t="s">
        <v>1657</v>
      </c>
      <c r="D280" s="224" t="s">
        <v>1140</v>
      </c>
    </row>
    <row r="281" spans="2:30">
      <c r="B281" s="224" t="s">
        <v>1658</v>
      </c>
      <c r="C281" s="224" t="s">
        <v>1659</v>
      </c>
      <c r="D281" s="224" t="s">
        <v>1140</v>
      </c>
    </row>
    <row r="282" spans="2:30">
      <c r="B282" s="224" t="s">
        <v>1660</v>
      </c>
      <c r="C282" s="224" t="s">
        <v>1661</v>
      </c>
      <c r="D282" s="224" t="s">
        <v>1140</v>
      </c>
      <c r="AC282" s="202"/>
    </row>
    <row r="283" spans="2:30">
      <c r="B283" s="224" t="s">
        <v>1662</v>
      </c>
      <c r="C283" s="224" t="s">
        <v>1663</v>
      </c>
      <c r="D283" s="224" t="s">
        <v>1140</v>
      </c>
      <c r="AB283" s="202" t="s">
        <v>1005</v>
      </c>
      <c r="AC283" s="202" t="s">
        <v>939</v>
      </c>
      <c r="AD283" s="202" t="s">
        <v>940</v>
      </c>
    </row>
    <row r="284" spans="2:30">
      <c r="B284" s="224" t="s">
        <v>1664</v>
      </c>
      <c r="C284" s="224" t="s">
        <v>1665</v>
      </c>
      <c r="D284" s="224" t="s">
        <v>1140</v>
      </c>
      <c r="AB284" s="202" t="s">
        <v>939</v>
      </c>
    </row>
    <row r="285" spans="2:30">
      <c r="B285" s="224" t="s">
        <v>1666</v>
      </c>
      <c r="C285" s="224" t="s">
        <v>1667</v>
      </c>
      <c r="D285" s="224" t="s">
        <v>1140</v>
      </c>
      <c r="AB285" s="202" t="s">
        <v>940</v>
      </c>
    </row>
    <row r="286" spans="2:30">
      <c r="B286" s="224" t="s">
        <v>1668</v>
      </c>
      <c r="C286" s="224" t="s">
        <v>1669</v>
      </c>
      <c r="D286" s="224" t="s">
        <v>1140</v>
      </c>
      <c r="AB286" s="202" t="s">
        <v>1005</v>
      </c>
    </row>
    <row r="287" spans="2:30">
      <c r="B287" s="224" t="s">
        <v>1670</v>
      </c>
      <c r="C287" s="224" t="s">
        <v>1671</v>
      </c>
      <c r="D287" s="224" t="s">
        <v>1140</v>
      </c>
      <c r="AB287" s="202" t="s">
        <v>979</v>
      </c>
      <c r="AC287" s="202"/>
    </row>
    <row r="288" spans="2:30">
      <c r="B288" s="224" t="s">
        <v>1672</v>
      </c>
      <c r="C288" s="224" t="s">
        <v>1673</v>
      </c>
      <c r="D288" s="224" t="s">
        <v>1140</v>
      </c>
      <c r="AB288" s="202" t="s">
        <v>758</v>
      </c>
      <c r="AC288" s="202" t="s">
        <v>862</v>
      </c>
    </row>
    <row r="289" spans="1:30">
      <c r="B289" s="224" t="s">
        <v>1674</v>
      </c>
      <c r="C289" s="224" t="s">
        <v>1675</v>
      </c>
      <c r="D289" s="224" t="s">
        <v>1140</v>
      </c>
      <c r="AB289" s="202" t="s">
        <v>2221</v>
      </c>
      <c r="AC289" s="202"/>
    </row>
    <row r="290" spans="1:30">
      <c r="B290" s="224" t="s">
        <v>1676</v>
      </c>
      <c r="C290" s="224" t="s">
        <v>1677</v>
      </c>
      <c r="D290" s="224" t="s">
        <v>1140</v>
      </c>
      <c r="AB290" s="202" t="s">
        <v>1005</v>
      </c>
    </row>
    <row r="291" spans="1:30">
      <c r="F291" s="224"/>
      <c r="G291" s="224"/>
      <c r="H291" s="224"/>
      <c r="I291" s="224"/>
      <c r="J291" s="224"/>
      <c r="K291" s="224"/>
      <c r="L291" s="224"/>
      <c r="M291" s="224"/>
      <c r="N291" s="224"/>
      <c r="O291" s="224"/>
      <c r="P291" s="224"/>
    </row>
    <row r="292" spans="1:30" s="199" customFormat="1" ht="15.75">
      <c r="A292" s="199" t="s">
        <v>1678</v>
      </c>
      <c r="D292" s="200"/>
      <c r="AB292" s="201"/>
      <c r="AC292" s="201"/>
      <c r="AD292" s="201"/>
    </row>
    <row r="293" spans="1:30">
      <c r="B293" s="224" t="s">
        <v>1215</v>
      </c>
      <c r="C293" s="224" t="s">
        <v>1679</v>
      </c>
      <c r="D293" s="224" t="s">
        <v>1140</v>
      </c>
    </row>
    <row r="294" spans="1:30">
      <c r="B294" s="224" t="s">
        <v>1680</v>
      </c>
      <c r="C294" s="224" t="s">
        <v>1681</v>
      </c>
      <c r="D294" s="224" t="s">
        <v>1140</v>
      </c>
      <c r="AB294" s="202" t="s">
        <v>1005</v>
      </c>
    </row>
    <row r="295" spans="1:30">
      <c r="B295" s="224" t="s">
        <v>1682</v>
      </c>
      <c r="C295" s="224" t="s">
        <v>1683</v>
      </c>
      <c r="D295" s="224" t="s">
        <v>1140</v>
      </c>
      <c r="AB295" s="202" t="s">
        <v>758</v>
      </c>
    </row>
    <row r="296" spans="1:30">
      <c r="B296" s="224" t="s">
        <v>1684</v>
      </c>
      <c r="C296" s="224" t="s">
        <v>1685</v>
      </c>
      <c r="D296" s="224" t="s">
        <v>1140</v>
      </c>
    </row>
    <row r="297" spans="1:30">
      <c r="B297" s="224" t="s">
        <v>1686</v>
      </c>
      <c r="C297" s="224" t="s">
        <v>1687</v>
      </c>
      <c r="D297" s="224" t="s">
        <v>1140</v>
      </c>
    </row>
    <row r="298" spans="1:30">
      <c r="B298" s="224" t="s">
        <v>1688</v>
      </c>
      <c r="C298" s="224" t="s">
        <v>1689</v>
      </c>
      <c r="D298" s="224" t="s">
        <v>1140</v>
      </c>
    </row>
    <row r="299" spans="1:30">
      <c r="B299" s="224" t="s">
        <v>1690</v>
      </c>
      <c r="C299" s="224" t="s">
        <v>1691</v>
      </c>
      <c r="D299" s="224" t="s">
        <v>1140</v>
      </c>
    </row>
    <row r="300" spans="1:30">
      <c r="B300" s="224" t="s">
        <v>1692</v>
      </c>
      <c r="C300" s="224" t="s">
        <v>1693</v>
      </c>
      <c r="D300" s="224" t="s">
        <v>1140</v>
      </c>
    </row>
    <row r="301" spans="1:30">
      <c r="B301" s="224" t="s">
        <v>1694</v>
      </c>
      <c r="C301" s="224" t="s">
        <v>1695</v>
      </c>
      <c r="D301" s="224" t="s">
        <v>1140</v>
      </c>
    </row>
    <row r="302" spans="1:30">
      <c r="B302" s="224" t="s">
        <v>1325</v>
      </c>
      <c r="C302" s="224" t="s">
        <v>1696</v>
      </c>
      <c r="D302" s="224" t="s">
        <v>1140</v>
      </c>
      <c r="AB302" s="202" t="s">
        <v>1007</v>
      </c>
    </row>
    <row r="303" spans="1:30">
      <c r="F303" s="224"/>
      <c r="G303" s="224"/>
      <c r="H303" s="224"/>
      <c r="I303" s="224"/>
      <c r="J303" s="224"/>
      <c r="K303" s="224"/>
      <c r="L303" s="224"/>
      <c r="M303" s="224"/>
      <c r="N303" s="224"/>
      <c r="O303" s="224"/>
      <c r="P303" s="224"/>
    </row>
    <row r="304" spans="1:30" s="199" customFormat="1" ht="15.75">
      <c r="A304" s="199" t="s">
        <v>1697</v>
      </c>
      <c r="D304" s="200"/>
      <c r="AB304" s="201"/>
      <c r="AC304" s="201"/>
      <c r="AD304" s="201"/>
    </row>
    <row r="305" spans="1:30">
      <c r="B305" s="224" t="s">
        <v>1698</v>
      </c>
      <c r="C305" s="224" t="s">
        <v>1699</v>
      </c>
      <c r="D305" s="224" t="s">
        <v>1140</v>
      </c>
      <c r="AB305" s="202" t="s">
        <v>766</v>
      </c>
      <c r="AC305" s="202" t="s">
        <v>1008</v>
      </c>
    </row>
    <row r="306" spans="1:30">
      <c r="F306" s="224"/>
      <c r="G306" s="224"/>
      <c r="H306" s="224"/>
      <c r="I306" s="224"/>
      <c r="J306" s="224"/>
      <c r="K306" s="224"/>
      <c r="L306" s="224"/>
      <c r="M306" s="224"/>
      <c r="N306" s="224"/>
      <c r="O306" s="224"/>
      <c r="P306" s="224"/>
    </row>
    <row r="307" spans="1:30" s="199" customFormat="1" ht="15.75">
      <c r="A307" s="199" t="s">
        <v>1700</v>
      </c>
      <c r="D307" s="200"/>
      <c r="AB307" s="201"/>
      <c r="AC307" s="201"/>
      <c r="AD307" s="201"/>
    </row>
    <row r="308" spans="1:30">
      <c r="B308" s="224" t="s">
        <v>1701</v>
      </c>
      <c r="C308" s="224" t="s">
        <v>1702</v>
      </c>
      <c r="D308" s="224" t="s">
        <v>1140</v>
      </c>
      <c r="AB308" s="204"/>
      <c r="AC308" s="204"/>
      <c r="AD308" s="204"/>
    </row>
    <row r="309" spans="1:30">
      <c r="F309" s="224"/>
      <c r="G309" s="224"/>
      <c r="H309" s="224"/>
      <c r="I309" s="224"/>
      <c r="J309" s="224"/>
      <c r="K309" s="224"/>
      <c r="L309" s="224"/>
      <c r="M309" s="224"/>
      <c r="N309" s="224"/>
      <c r="O309" s="224"/>
      <c r="P309" s="224"/>
    </row>
    <row r="310" spans="1:30" s="199" customFormat="1" ht="15.75">
      <c r="A310" s="199" t="s">
        <v>1703</v>
      </c>
      <c r="D310" s="200"/>
      <c r="AB310" s="201"/>
      <c r="AC310" s="201"/>
      <c r="AD310" s="201"/>
    </row>
    <row r="311" spans="1:30">
      <c r="B311" s="224" t="s">
        <v>1704</v>
      </c>
      <c r="C311" s="224" t="s">
        <v>1705</v>
      </c>
      <c r="AB311" s="202" t="s">
        <v>840</v>
      </c>
    </row>
    <row r="312" spans="1:30">
      <c r="B312" s="224" t="s">
        <v>1706</v>
      </c>
      <c r="C312" s="224" t="s">
        <v>1707</v>
      </c>
    </row>
    <row r="313" spans="1:30">
      <c r="B313" s="224" t="s">
        <v>1708</v>
      </c>
      <c r="C313" s="224" t="s">
        <v>1709</v>
      </c>
      <c r="AB313" s="204"/>
      <c r="AC313" s="204"/>
      <c r="AD313" s="204"/>
    </row>
    <row r="314" spans="1:30">
      <c r="B314" s="224" t="s">
        <v>1710</v>
      </c>
      <c r="C314" s="224" t="s">
        <v>1711</v>
      </c>
    </row>
    <row r="315" spans="1:30">
      <c r="B315" s="224" t="s">
        <v>1712</v>
      </c>
      <c r="C315" s="224" t="s">
        <v>1713</v>
      </c>
    </row>
    <row r="316" spans="1:30">
      <c r="F316" s="224"/>
      <c r="G316" s="224"/>
      <c r="H316" s="224"/>
      <c r="I316" s="224"/>
      <c r="J316" s="224"/>
      <c r="K316" s="224"/>
      <c r="L316" s="224"/>
      <c r="M316" s="224"/>
      <c r="N316" s="224"/>
      <c r="O316" s="224"/>
      <c r="P316" s="224"/>
    </row>
    <row r="317" spans="1:30" s="199" customFormat="1" ht="15.75">
      <c r="A317" s="199" t="s">
        <v>1714</v>
      </c>
      <c r="D317" s="200"/>
      <c r="AB317" s="201"/>
      <c r="AC317" s="201"/>
      <c r="AD317" s="201"/>
    </row>
    <row r="318" spans="1:30">
      <c r="B318" s="224" t="s">
        <v>1715</v>
      </c>
      <c r="C318" s="224" t="s">
        <v>1716</v>
      </c>
      <c r="D318" s="224" t="s">
        <v>1140</v>
      </c>
      <c r="AB318" s="202" t="s">
        <v>768</v>
      </c>
    </row>
    <row r="319" spans="1:30">
      <c r="B319" s="224" t="s">
        <v>1717</v>
      </c>
      <c r="C319" s="224" t="s">
        <v>1718</v>
      </c>
      <c r="D319" s="224" t="s">
        <v>1140</v>
      </c>
    </row>
    <row r="320" spans="1:30">
      <c r="B320" s="224" t="s">
        <v>1526</v>
      </c>
      <c r="C320" s="224" t="s">
        <v>1719</v>
      </c>
      <c r="D320" s="224" t="s">
        <v>1140</v>
      </c>
    </row>
    <row r="321" spans="1:30">
      <c r="B321" s="224" t="s">
        <v>1720</v>
      </c>
      <c r="C321" s="224" t="s">
        <v>1721</v>
      </c>
      <c r="D321" s="224" t="s">
        <v>1140</v>
      </c>
      <c r="AB321" s="202" t="s">
        <v>332</v>
      </c>
      <c r="AC321" s="202" t="s">
        <v>958</v>
      </c>
    </row>
    <row r="322" spans="1:30">
      <c r="B322" s="224" t="s">
        <v>1722</v>
      </c>
      <c r="C322" s="224" t="s">
        <v>1723</v>
      </c>
      <c r="D322" s="224" t="s">
        <v>1140</v>
      </c>
      <c r="AB322" s="202" t="s">
        <v>690</v>
      </c>
    </row>
    <row r="323" spans="1:30">
      <c r="B323" s="224" t="s">
        <v>1724</v>
      </c>
      <c r="C323" s="224" t="s">
        <v>1725</v>
      </c>
      <c r="D323" s="224" t="s">
        <v>1140</v>
      </c>
    </row>
    <row r="324" spans="1:30">
      <c r="B324" s="224" t="s">
        <v>1726</v>
      </c>
      <c r="C324" s="224" t="s">
        <v>1727</v>
      </c>
      <c r="AB324" s="205"/>
      <c r="AC324" s="205"/>
      <c r="AD324" s="205"/>
    </row>
    <row r="325" spans="1:30">
      <c r="B325" s="224" t="s">
        <v>1728</v>
      </c>
      <c r="C325" s="224" t="s">
        <v>1729</v>
      </c>
      <c r="AB325" s="205"/>
      <c r="AC325" s="205"/>
      <c r="AD325" s="205"/>
    </row>
    <row r="326" spans="1:30">
      <c r="B326" s="224" t="s">
        <v>1730</v>
      </c>
      <c r="C326" s="224" t="s">
        <v>1731</v>
      </c>
      <c r="AB326" s="205"/>
      <c r="AC326" s="205"/>
      <c r="AD326" s="205"/>
    </row>
    <row r="327" spans="1:30">
      <c r="B327" s="224" t="s">
        <v>1732</v>
      </c>
      <c r="C327" s="224" t="s">
        <v>1733</v>
      </c>
      <c r="AB327" s="205"/>
      <c r="AC327" s="205"/>
      <c r="AD327" s="205"/>
    </row>
    <row r="328" spans="1:30">
      <c r="B328" s="224" t="s">
        <v>1734</v>
      </c>
      <c r="C328" s="224" t="s">
        <v>1735</v>
      </c>
      <c r="D328" s="224" t="s">
        <v>1140</v>
      </c>
      <c r="AB328" s="205"/>
      <c r="AC328" s="205"/>
      <c r="AD328" s="205"/>
    </row>
    <row r="329" spans="1:30">
      <c r="B329" s="224" t="s">
        <v>1736</v>
      </c>
      <c r="C329" s="224" t="s">
        <v>1737</v>
      </c>
      <c r="D329" s="224" t="s">
        <v>1140</v>
      </c>
      <c r="AB329" s="205"/>
      <c r="AC329" s="205"/>
      <c r="AD329" s="205"/>
    </row>
    <row r="330" spans="1:30">
      <c r="B330" s="224" t="s">
        <v>1738</v>
      </c>
      <c r="C330" s="224" t="s">
        <v>1739</v>
      </c>
      <c r="D330" s="224" t="s">
        <v>1140</v>
      </c>
      <c r="AB330" s="205"/>
      <c r="AC330" s="205"/>
      <c r="AD330" s="205"/>
    </row>
    <row r="331" spans="1:30">
      <c r="B331" s="224" t="s">
        <v>1740</v>
      </c>
      <c r="C331" s="224" t="s">
        <v>1741</v>
      </c>
      <c r="D331" s="224" t="s">
        <v>1140</v>
      </c>
      <c r="AB331" s="205"/>
      <c r="AC331" s="205"/>
      <c r="AD331" s="205"/>
    </row>
    <row r="332" spans="1:30">
      <c r="B332" s="224" t="s">
        <v>1742</v>
      </c>
      <c r="C332" s="224" t="s">
        <v>1743</v>
      </c>
      <c r="AB332" s="205"/>
      <c r="AC332" s="205"/>
      <c r="AD332" s="205"/>
    </row>
    <row r="333" spans="1:30">
      <c r="F333" s="224"/>
      <c r="G333" s="224"/>
      <c r="H333" s="224"/>
      <c r="I333" s="224"/>
      <c r="J333" s="224"/>
      <c r="K333" s="224"/>
      <c r="L333" s="224"/>
      <c r="M333" s="224"/>
      <c r="N333" s="224"/>
      <c r="O333" s="224"/>
      <c r="P333" s="224"/>
    </row>
    <row r="334" spans="1:30" s="199" customFormat="1" ht="15.75">
      <c r="A334" s="199" t="s">
        <v>1744</v>
      </c>
      <c r="D334" s="200"/>
      <c r="AB334" s="201"/>
      <c r="AC334" s="201"/>
      <c r="AD334" s="201"/>
    </row>
    <row r="335" spans="1:30">
      <c r="B335" s="224" t="s">
        <v>1745</v>
      </c>
      <c r="C335" s="224" t="s">
        <v>1746</v>
      </c>
      <c r="AB335" s="204"/>
      <c r="AC335" s="204"/>
      <c r="AD335" s="204"/>
    </row>
    <row r="336" spans="1:30">
      <c r="B336" s="224" t="s">
        <v>1747</v>
      </c>
      <c r="C336" s="224" t="s">
        <v>1748</v>
      </c>
      <c r="AB336" s="204"/>
      <c r="AC336" s="204"/>
      <c r="AD336" s="204"/>
    </row>
    <row r="337" spans="1:30">
      <c r="B337" s="224" t="s">
        <v>1749</v>
      </c>
      <c r="C337" s="224" t="s">
        <v>1750</v>
      </c>
      <c r="AB337" s="204"/>
      <c r="AC337" s="204"/>
      <c r="AD337" s="204"/>
    </row>
    <row r="338" spans="1:30">
      <c r="B338" s="224" t="s">
        <v>1751</v>
      </c>
      <c r="C338" s="224" t="s">
        <v>1752</v>
      </c>
      <c r="AB338" s="226"/>
      <c r="AC338" s="226"/>
      <c r="AD338" s="226"/>
    </row>
    <row r="339" spans="1:30">
      <c r="B339" s="224" t="s">
        <v>1753</v>
      </c>
      <c r="C339" s="224" t="s">
        <v>1754</v>
      </c>
      <c r="AB339" s="226"/>
      <c r="AC339" s="226"/>
      <c r="AD339" s="226"/>
    </row>
    <row r="340" spans="1:30">
      <c r="B340" s="224" t="s">
        <v>1755</v>
      </c>
      <c r="C340" s="224" t="s">
        <v>1756</v>
      </c>
      <c r="AB340" s="226"/>
      <c r="AC340" s="226"/>
      <c r="AD340" s="226"/>
    </row>
    <row r="341" spans="1:30">
      <c r="F341" s="224"/>
      <c r="G341" s="224"/>
      <c r="H341" s="224"/>
      <c r="I341" s="224"/>
      <c r="J341" s="224"/>
      <c r="K341" s="224"/>
      <c r="L341" s="224"/>
      <c r="M341" s="224"/>
      <c r="N341" s="224"/>
      <c r="O341" s="224"/>
      <c r="P341" s="224"/>
    </row>
    <row r="342" spans="1:30" s="199" customFormat="1" ht="15.75">
      <c r="A342" s="199" t="s">
        <v>1757</v>
      </c>
      <c r="D342" s="200"/>
      <c r="AB342" s="201"/>
      <c r="AC342" s="201"/>
      <c r="AD342" s="201"/>
    </row>
    <row r="343" spans="1:30">
      <c r="B343" s="224" t="s">
        <v>1758</v>
      </c>
      <c r="C343" s="224" t="s">
        <v>1759</v>
      </c>
      <c r="D343" s="224" t="s">
        <v>1140</v>
      </c>
      <c r="AB343" s="202" t="s">
        <v>876</v>
      </c>
      <c r="AC343" s="204" t="s">
        <v>877</v>
      </c>
      <c r="AD343" s="204"/>
    </row>
    <row r="344" spans="1:30">
      <c r="B344" s="224" t="s">
        <v>1760</v>
      </c>
      <c r="C344" s="224" t="s">
        <v>1761</v>
      </c>
      <c r="D344" s="224" t="s">
        <v>1140</v>
      </c>
      <c r="AB344" s="204"/>
      <c r="AC344" s="204"/>
      <c r="AD344" s="204"/>
    </row>
    <row r="345" spans="1:30">
      <c r="F345" s="224"/>
      <c r="G345" s="224"/>
      <c r="H345" s="224"/>
      <c r="I345" s="224"/>
      <c r="J345" s="224"/>
      <c r="K345" s="224"/>
      <c r="L345" s="224"/>
      <c r="M345" s="224"/>
      <c r="N345" s="224"/>
      <c r="O345" s="224"/>
      <c r="P345" s="224"/>
    </row>
    <row r="346" spans="1:30" s="199" customFormat="1" ht="15.75">
      <c r="A346" s="199" t="s">
        <v>1762</v>
      </c>
      <c r="D346" s="200"/>
      <c r="AB346" s="201"/>
      <c r="AC346" s="201"/>
      <c r="AD346" s="201"/>
    </row>
    <row r="347" spans="1:30">
      <c r="B347" s="224" t="s">
        <v>1763</v>
      </c>
      <c r="C347" s="224" t="s">
        <v>1764</v>
      </c>
      <c r="D347" s="224" t="s">
        <v>1140</v>
      </c>
      <c r="AB347" s="202" t="s">
        <v>1044</v>
      </c>
    </row>
    <row r="348" spans="1:30">
      <c r="B348" s="224" t="s">
        <v>1765</v>
      </c>
      <c r="C348" s="224" t="s">
        <v>1766</v>
      </c>
      <c r="D348" s="224" t="s">
        <v>1140</v>
      </c>
      <c r="AB348" s="202" t="s">
        <v>1018</v>
      </c>
    </row>
    <row r="349" spans="1:30">
      <c r="B349" s="224" t="s">
        <v>1767</v>
      </c>
      <c r="C349" s="224" t="s">
        <v>1768</v>
      </c>
      <c r="D349" s="224" t="s">
        <v>1140</v>
      </c>
    </row>
    <row r="350" spans="1:30">
      <c r="B350" s="224" t="s">
        <v>1769</v>
      </c>
      <c r="C350" s="224" t="s">
        <v>1770</v>
      </c>
      <c r="AB350" s="202" t="s">
        <v>955</v>
      </c>
    </row>
    <row r="351" spans="1:30">
      <c r="B351" s="224" t="s">
        <v>2523</v>
      </c>
      <c r="C351" s="224" t="s">
        <v>2524</v>
      </c>
      <c r="AB351" s="202" t="s">
        <v>2432</v>
      </c>
    </row>
    <row r="352" spans="1:30">
      <c r="B352" s="224" t="s">
        <v>577</v>
      </c>
      <c r="C352" s="224" t="s">
        <v>1771</v>
      </c>
      <c r="D352" s="224" t="s">
        <v>1140</v>
      </c>
      <c r="AB352" s="202" t="s">
        <v>740</v>
      </c>
      <c r="AC352" s="202" t="s">
        <v>741</v>
      </c>
    </row>
    <row r="353" spans="1:30">
      <c r="B353" s="224" t="s">
        <v>1772</v>
      </c>
      <c r="C353" s="224" t="s">
        <v>1773</v>
      </c>
    </row>
    <row r="354" spans="1:30">
      <c r="B354" s="224" t="s">
        <v>1774</v>
      </c>
      <c r="C354" s="224" t="s">
        <v>1775</v>
      </c>
      <c r="D354" s="224" t="s">
        <v>1140</v>
      </c>
      <c r="AB354" s="202" t="s">
        <v>742</v>
      </c>
    </row>
    <row r="355" spans="1:30">
      <c r="B355" s="224" t="s">
        <v>1776</v>
      </c>
      <c r="C355" s="224" t="s">
        <v>1777</v>
      </c>
      <c r="Q355" s="224" t="e">
        <f>#REF!/#REF!-#REF!</f>
        <v>#REF!</v>
      </c>
      <c r="R355" s="224" t="e">
        <f>#REF!/#REF!-#REF!</f>
        <v>#REF!</v>
      </c>
      <c r="S355" s="224" t="e">
        <f>#REF!/#REF!-#REF!</f>
        <v>#REF!</v>
      </c>
      <c r="T355" s="224" t="e">
        <f>#REF!/#REF!-#REF!</f>
        <v>#REF!</v>
      </c>
      <c r="U355" s="224" t="e">
        <f>#REF!/#REF!-#REF!</f>
        <v>#REF!</v>
      </c>
      <c r="V355" s="224" t="e">
        <f>#REF!/#REF!-#REF!</f>
        <v>#REF!</v>
      </c>
      <c r="W355" s="224" t="e">
        <f>#REF!/#REF!-#REF!</f>
        <v>#REF!</v>
      </c>
      <c r="X355" s="224" t="e">
        <f>#REF!/#REF!-#REF!</f>
        <v>#REF!</v>
      </c>
      <c r="Y355" s="224" t="e">
        <f>#REF!/#REF!-#REF!</f>
        <v>#REF!</v>
      </c>
      <c r="Z355" s="224" t="e">
        <f>#REF!/#REF!-#REF!</f>
        <v>#REF!</v>
      </c>
      <c r="AA355" s="212" t="s">
        <v>1778</v>
      </c>
      <c r="AB355" s="202" t="s">
        <v>956</v>
      </c>
    </row>
    <row r="356" spans="1:30">
      <c r="B356" s="224" t="s">
        <v>720</v>
      </c>
      <c r="C356" s="224" t="s">
        <v>1779</v>
      </c>
      <c r="D356" s="224" t="s">
        <v>1140</v>
      </c>
      <c r="AB356" s="202" t="s">
        <v>892</v>
      </c>
    </row>
    <row r="357" spans="1:30">
      <c r="F357" s="224"/>
      <c r="G357" s="224"/>
      <c r="H357" s="224"/>
      <c r="I357" s="224"/>
      <c r="J357" s="224"/>
      <c r="K357" s="224"/>
      <c r="L357" s="224"/>
      <c r="M357" s="224"/>
      <c r="N357" s="224"/>
      <c r="O357" s="224"/>
      <c r="P357" s="224"/>
    </row>
    <row r="358" spans="1:30" s="199" customFormat="1" ht="15.75">
      <c r="A358" s="199" t="s">
        <v>1780</v>
      </c>
      <c r="D358" s="200"/>
      <c r="AB358" s="201"/>
      <c r="AC358" s="201"/>
      <c r="AD358" s="201"/>
    </row>
    <row r="359" spans="1:30">
      <c r="B359" s="224" t="s">
        <v>1781</v>
      </c>
      <c r="C359" s="224" t="s">
        <v>1782</v>
      </c>
      <c r="D359" s="224" t="s">
        <v>1140</v>
      </c>
      <c r="AB359" s="202" t="s">
        <v>886</v>
      </c>
    </row>
    <row r="360" spans="1:30">
      <c r="B360" s="224" t="s">
        <v>1783</v>
      </c>
      <c r="C360" s="224" t="s">
        <v>1784</v>
      </c>
      <c r="D360" s="224" t="s">
        <v>1140</v>
      </c>
    </row>
    <row r="361" spans="1:30">
      <c r="B361" s="224" t="s">
        <v>1785</v>
      </c>
      <c r="C361" s="224" t="s">
        <v>1786</v>
      </c>
      <c r="D361" s="224" t="s">
        <v>1140</v>
      </c>
    </row>
    <row r="362" spans="1:30">
      <c r="B362" s="224" t="s">
        <v>1787</v>
      </c>
      <c r="C362" s="224" t="s">
        <v>1788</v>
      </c>
      <c r="D362" s="224" t="s">
        <v>1140</v>
      </c>
      <c r="AB362" s="202" t="s">
        <v>735</v>
      </c>
    </row>
    <row r="363" spans="1:30">
      <c r="B363" s="224" t="s">
        <v>1789</v>
      </c>
      <c r="C363" s="224" t="s">
        <v>1790</v>
      </c>
      <c r="D363" s="224" t="s">
        <v>1140</v>
      </c>
    </row>
    <row r="364" spans="1:30">
      <c r="B364" s="224" t="s">
        <v>1791</v>
      </c>
      <c r="C364" s="224" t="s">
        <v>1792</v>
      </c>
      <c r="D364" s="224" t="s">
        <v>1140</v>
      </c>
    </row>
    <row r="365" spans="1:30">
      <c r="B365" s="224" t="s">
        <v>1793</v>
      </c>
      <c r="C365" s="224" t="s">
        <v>1794</v>
      </c>
      <c r="D365" s="224" t="s">
        <v>1140</v>
      </c>
    </row>
    <row r="366" spans="1:30">
      <c r="B366" s="224" t="s">
        <v>1795</v>
      </c>
      <c r="C366" s="224" t="s">
        <v>1796</v>
      </c>
      <c r="D366" s="224" t="s">
        <v>1140</v>
      </c>
    </row>
    <row r="367" spans="1:30">
      <c r="B367" s="224" t="s">
        <v>1797</v>
      </c>
      <c r="C367" s="224" t="s">
        <v>1798</v>
      </c>
      <c r="D367" s="224" t="s">
        <v>1140</v>
      </c>
    </row>
    <row r="368" spans="1:30">
      <c r="B368" s="224" t="s">
        <v>1799</v>
      </c>
      <c r="C368" s="224" t="s">
        <v>1800</v>
      </c>
      <c r="D368" s="224" t="s">
        <v>1140</v>
      </c>
    </row>
    <row r="369" spans="1:30">
      <c r="B369" s="224" t="s">
        <v>1801</v>
      </c>
      <c r="C369" s="224" t="s">
        <v>1802</v>
      </c>
      <c r="D369" s="224" t="s">
        <v>1140</v>
      </c>
    </row>
    <row r="370" spans="1:30">
      <c r="B370" s="224" t="s">
        <v>1803</v>
      </c>
      <c r="C370" s="224" t="s">
        <v>1804</v>
      </c>
      <c r="D370" s="224" t="s">
        <v>1140</v>
      </c>
      <c r="AB370" s="202" t="s">
        <v>605</v>
      </c>
    </row>
    <row r="371" spans="1:30">
      <c r="B371" s="224" t="s">
        <v>1805</v>
      </c>
      <c r="C371" s="224" t="s">
        <v>1806</v>
      </c>
      <c r="D371" s="224" t="s">
        <v>1140</v>
      </c>
      <c r="AB371" s="202" t="s">
        <v>609</v>
      </c>
    </row>
    <row r="372" spans="1:30">
      <c r="B372" s="224" t="s">
        <v>1807</v>
      </c>
      <c r="C372" s="224" t="s">
        <v>1808</v>
      </c>
      <c r="D372" s="224" t="s">
        <v>1140</v>
      </c>
      <c r="AB372" s="202" t="s">
        <v>602</v>
      </c>
      <c r="AC372" s="202" t="s">
        <v>597</v>
      </c>
    </row>
    <row r="373" spans="1:30">
      <c r="B373" s="224" t="s">
        <v>1809</v>
      </c>
      <c r="C373" s="224" t="s">
        <v>1810</v>
      </c>
      <c r="D373" s="224" t="s">
        <v>1140</v>
      </c>
    </row>
    <row r="374" spans="1:30">
      <c r="B374" s="224" t="s">
        <v>1811</v>
      </c>
      <c r="C374" s="224" t="s">
        <v>1812</v>
      </c>
      <c r="D374" s="224" t="s">
        <v>1140</v>
      </c>
    </row>
    <row r="375" spans="1:30">
      <c r="F375" s="224"/>
      <c r="G375" s="224"/>
      <c r="H375" s="224"/>
      <c r="I375" s="224"/>
      <c r="J375" s="224"/>
      <c r="K375" s="224"/>
      <c r="L375" s="224"/>
      <c r="M375" s="224"/>
      <c r="N375" s="224"/>
      <c r="O375" s="224"/>
      <c r="P375" s="224"/>
    </row>
    <row r="376" spans="1:30" s="199" customFormat="1" ht="15.75">
      <c r="A376" s="199" t="s">
        <v>1813</v>
      </c>
      <c r="D376" s="200"/>
      <c r="AB376" s="201"/>
      <c r="AC376" s="201"/>
      <c r="AD376" s="201"/>
    </row>
    <row r="377" spans="1:30">
      <c r="B377" s="224" t="s">
        <v>1814</v>
      </c>
      <c r="C377" s="224" t="s">
        <v>1815</v>
      </c>
      <c r="D377" s="224" t="s">
        <v>1140</v>
      </c>
      <c r="AB377" s="202" t="s">
        <v>710</v>
      </c>
    </row>
    <row r="378" spans="1:30">
      <c r="B378" s="224" t="s">
        <v>1816</v>
      </c>
      <c r="C378" s="224" t="s">
        <v>1817</v>
      </c>
      <c r="D378" s="224" t="s">
        <v>1140</v>
      </c>
      <c r="AB378" s="202" t="s">
        <v>711</v>
      </c>
    </row>
    <row r="379" spans="1:30">
      <c r="B379" s="224" t="s">
        <v>1818</v>
      </c>
      <c r="C379" s="224" t="s">
        <v>1819</v>
      </c>
      <c r="D379" s="224" t="s">
        <v>1140</v>
      </c>
      <c r="AB379" s="202" t="s">
        <v>875</v>
      </c>
    </row>
    <row r="380" spans="1:30">
      <c r="B380" s="224" t="s">
        <v>1820</v>
      </c>
      <c r="C380" s="224" t="s">
        <v>1821</v>
      </c>
      <c r="D380" s="224" t="s">
        <v>1140</v>
      </c>
      <c r="AB380" s="202" t="s">
        <v>2248</v>
      </c>
    </row>
    <row r="381" spans="1:30">
      <c r="B381" s="224" t="s">
        <v>1822</v>
      </c>
      <c r="C381" s="224" t="s">
        <v>1823</v>
      </c>
      <c r="D381" s="224" t="s">
        <v>1140</v>
      </c>
    </row>
    <row r="382" spans="1:30">
      <c r="B382" s="224" t="s">
        <v>1824</v>
      </c>
      <c r="C382" s="224" t="s">
        <v>1825</v>
      </c>
      <c r="D382" s="224" t="s">
        <v>1140</v>
      </c>
      <c r="AB382" s="202" t="s">
        <v>683</v>
      </c>
    </row>
    <row r="383" spans="1:30">
      <c r="F383" s="224"/>
      <c r="G383" s="224"/>
      <c r="H383" s="224"/>
      <c r="I383" s="224"/>
      <c r="J383" s="224"/>
      <c r="K383" s="224"/>
      <c r="L383" s="224"/>
      <c r="M383" s="224"/>
      <c r="N383" s="224"/>
      <c r="O383" s="224"/>
      <c r="P383" s="224"/>
    </row>
    <row r="384" spans="1:30" s="199" customFormat="1" ht="15.75">
      <c r="A384" s="199" t="s">
        <v>1826</v>
      </c>
      <c r="D384" s="200"/>
      <c r="AB384" s="201"/>
      <c r="AC384" s="201"/>
      <c r="AD384" s="201"/>
    </row>
    <row r="385" spans="1:30">
      <c r="B385" s="224" t="s">
        <v>1827</v>
      </c>
      <c r="C385" s="224" t="s">
        <v>1828</v>
      </c>
      <c r="D385" s="224" t="s">
        <v>1140</v>
      </c>
      <c r="AB385" s="202" t="s">
        <v>920</v>
      </c>
    </row>
    <row r="386" spans="1:30">
      <c r="B386" s="224" t="s">
        <v>1829</v>
      </c>
      <c r="C386" s="224" t="s">
        <v>1830</v>
      </c>
      <c r="Q386" s="240"/>
      <c r="R386" s="240"/>
      <c r="S386" s="240"/>
      <c r="T386" s="240"/>
      <c r="U386" s="240"/>
      <c r="V386" s="240"/>
      <c r="W386" s="240"/>
      <c r="X386" s="240"/>
      <c r="Y386" s="240"/>
      <c r="Z386" s="240"/>
      <c r="AA386" s="240"/>
      <c r="AB386" s="202" t="s">
        <v>238</v>
      </c>
      <c r="AC386" s="202"/>
    </row>
    <row r="387" spans="1:30">
      <c r="B387" s="224" t="s">
        <v>1831</v>
      </c>
      <c r="C387" s="224" t="s">
        <v>1832</v>
      </c>
      <c r="D387" s="224" t="s">
        <v>1140</v>
      </c>
      <c r="AB387" s="202" t="s">
        <v>943</v>
      </c>
      <c r="AC387" s="202" t="s">
        <v>942</v>
      </c>
      <c r="AD387" s="202"/>
    </row>
    <row r="388" spans="1:30">
      <c r="B388" s="224" t="s">
        <v>1833</v>
      </c>
      <c r="C388" s="224" t="s">
        <v>1834</v>
      </c>
      <c r="Q388" s="217" t="e">
        <f>-#REF!/#REF!-#REF!</f>
        <v>#REF!</v>
      </c>
      <c r="R388" s="217" t="e">
        <f>-#REF!/#REF!-#REF!</f>
        <v>#REF!</v>
      </c>
      <c r="S388" s="217" t="e">
        <f>-#REF!/#REF!-#REF!</f>
        <v>#REF!</v>
      </c>
      <c r="T388" s="217" t="e">
        <f>-#REF!/#REF!-#REF!</f>
        <v>#REF!</v>
      </c>
      <c r="U388" s="217" t="e">
        <f>-#REF!/#REF!-#REF!</f>
        <v>#REF!</v>
      </c>
      <c r="V388" s="217" t="e">
        <f>-#REF!/#REF!-#REF!</f>
        <v>#REF!</v>
      </c>
      <c r="W388" s="217" t="e">
        <f>-#REF!/#REF!-#REF!</f>
        <v>#REF!</v>
      </c>
      <c r="X388" s="217" t="e">
        <f>-#REF!/#REF!-#REF!</f>
        <v>#REF!</v>
      </c>
      <c r="Y388" s="217" t="e">
        <f>-#REF!/#REF!-#REF!</f>
        <v>#REF!</v>
      </c>
      <c r="Z388" s="217" t="e">
        <f>-#REF!/#REF!-#REF!</f>
        <v>#REF!</v>
      </c>
      <c r="AA388" s="212" t="s">
        <v>1835</v>
      </c>
      <c r="AB388" s="202" t="s">
        <v>239</v>
      </c>
      <c r="AC388" s="202"/>
    </row>
    <row r="389" spans="1:30">
      <c r="B389" s="224" t="s">
        <v>1836</v>
      </c>
      <c r="C389" s="224" t="s">
        <v>1837</v>
      </c>
      <c r="Q389" s="217" t="e">
        <f>#REF!-#REF!-#REF!</f>
        <v>#REF!</v>
      </c>
      <c r="R389" s="217" t="e">
        <f>#REF!-#REF!-#REF!</f>
        <v>#REF!</v>
      </c>
      <c r="S389" s="217" t="e">
        <f>#REF!-#REF!-#REF!</f>
        <v>#REF!</v>
      </c>
      <c r="T389" s="217" t="e">
        <f>#REF!-#REF!-#REF!</f>
        <v>#REF!</v>
      </c>
      <c r="U389" s="217" t="e">
        <f>#REF!-#REF!-#REF!</f>
        <v>#REF!</v>
      </c>
      <c r="V389" s="217" t="e">
        <f>#REF!-#REF!-#REF!</f>
        <v>#REF!</v>
      </c>
      <c r="W389" s="217" t="e">
        <f>#REF!-#REF!-#REF!</f>
        <v>#REF!</v>
      </c>
      <c r="X389" s="217" t="e">
        <f>#REF!-#REF!-#REF!</f>
        <v>#REF!</v>
      </c>
      <c r="Y389" s="217" t="e">
        <f>#REF!-#REF!-#REF!</f>
        <v>#REF!</v>
      </c>
      <c r="Z389" s="217" t="e">
        <f>#REF!-#REF!-#REF!</f>
        <v>#REF!</v>
      </c>
      <c r="AA389" s="212" t="s">
        <v>1838</v>
      </c>
    </row>
    <row r="390" spans="1:30">
      <c r="B390" s="224" t="s">
        <v>528</v>
      </c>
      <c r="C390" s="224" t="s">
        <v>1839</v>
      </c>
      <c r="AB390" s="202" t="s">
        <v>924</v>
      </c>
    </row>
    <row r="391" spans="1:30">
      <c r="F391" s="224"/>
      <c r="G391" s="224"/>
      <c r="H391" s="224"/>
      <c r="I391" s="224"/>
      <c r="J391" s="224"/>
      <c r="K391" s="224"/>
      <c r="L391" s="224"/>
      <c r="M391" s="224"/>
      <c r="N391" s="224"/>
      <c r="O391" s="224"/>
      <c r="P391" s="224"/>
    </row>
    <row r="392" spans="1:30" s="199" customFormat="1" ht="15.75">
      <c r="A392" s="199" t="s">
        <v>1840</v>
      </c>
      <c r="D392" s="200"/>
      <c r="AB392" s="201"/>
      <c r="AC392" s="201"/>
      <c r="AD392" s="201"/>
    </row>
    <row r="393" spans="1:30">
      <c r="B393" s="224" t="s">
        <v>1841</v>
      </c>
      <c r="C393" s="224" t="s">
        <v>1842</v>
      </c>
      <c r="D393" s="224" t="s">
        <v>1140</v>
      </c>
      <c r="AB393" s="202" t="s">
        <v>617</v>
      </c>
      <c r="AC393" s="204"/>
      <c r="AD393" s="204"/>
    </row>
    <row r="394" spans="1:30">
      <c r="B394" s="224" t="s">
        <v>1843</v>
      </c>
      <c r="C394" s="224" t="s">
        <v>1844</v>
      </c>
      <c r="D394" s="224" t="s">
        <v>1140</v>
      </c>
      <c r="AB394" s="202" t="s">
        <v>618</v>
      </c>
      <c r="AC394" s="204"/>
      <c r="AD394" s="204"/>
    </row>
    <row r="395" spans="1:30">
      <c r="B395" s="224" t="s">
        <v>1845</v>
      </c>
      <c r="C395" s="224" t="s">
        <v>1846</v>
      </c>
      <c r="D395" s="224" t="s">
        <v>1140</v>
      </c>
      <c r="AB395" s="202"/>
      <c r="AC395" s="204"/>
      <c r="AD395" s="204"/>
    </row>
    <row r="396" spans="1:30">
      <c r="B396" s="224" t="s">
        <v>1847</v>
      </c>
      <c r="C396" s="224" t="s">
        <v>1848</v>
      </c>
      <c r="D396" s="224" t="s">
        <v>1140</v>
      </c>
      <c r="AB396" s="202" t="s">
        <v>1054</v>
      </c>
      <c r="AC396" s="204"/>
      <c r="AD396" s="204"/>
    </row>
    <row r="397" spans="1:30">
      <c r="F397" s="224"/>
      <c r="G397" s="224"/>
      <c r="H397" s="224"/>
      <c r="I397" s="224"/>
      <c r="J397" s="224"/>
      <c r="K397" s="224"/>
      <c r="L397" s="224"/>
      <c r="M397" s="224"/>
      <c r="N397" s="224"/>
      <c r="O397" s="224"/>
      <c r="P397" s="224"/>
    </row>
    <row r="398" spans="1:30" s="199" customFormat="1" ht="15.75">
      <c r="A398" s="199" t="s">
        <v>1849</v>
      </c>
      <c r="D398" s="200"/>
      <c r="AB398" s="201"/>
      <c r="AC398" s="201"/>
      <c r="AD398" s="201"/>
    </row>
    <row r="399" spans="1:30">
      <c r="B399" s="224" t="s">
        <v>1850</v>
      </c>
      <c r="C399" s="224" t="s">
        <v>1851</v>
      </c>
      <c r="D399" s="224" t="s">
        <v>1140</v>
      </c>
      <c r="AB399" s="204"/>
      <c r="AC399" s="204"/>
      <c r="AD399" s="204"/>
    </row>
    <row r="400" spans="1:30">
      <c r="B400" s="224" t="s">
        <v>1852</v>
      </c>
      <c r="C400" s="224" t="s">
        <v>1853</v>
      </c>
      <c r="D400" s="224" t="s">
        <v>1140</v>
      </c>
      <c r="AB400" s="204"/>
      <c r="AC400" s="204"/>
      <c r="AD400" s="204"/>
    </row>
    <row r="401" spans="1:30">
      <c r="B401" s="224" t="s">
        <v>1854</v>
      </c>
      <c r="C401" s="224" t="s">
        <v>1855</v>
      </c>
      <c r="D401" s="224" t="s">
        <v>1140</v>
      </c>
      <c r="AB401" s="204"/>
      <c r="AC401" s="204"/>
      <c r="AD401" s="204"/>
    </row>
    <row r="402" spans="1:30">
      <c r="B402" s="224" t="s">
        <v>1856</v>
      </c>
      <c r="C402" s="224" t="s">
        <v>1857</v>
      </c>
      <c r="AB402" s="226"/>
      <c r="AC402" s="226"/>
      <c r="AD402" s="226"/>
    </row>
    <row r="403" spans="1:30">
      <c r="B403" s="224" t="s">
        <v>1858</v>
      </c>
      <c r="C403" s="224" t="s">
        <v>1859</v>
      </c>
      <c r="D403" s="224" t="s">
        <v>1140</v>
      </c>
      <c r="AB403" s="204"/>
      <c r="AC403" s="204"/>
      <c r="AD403" s="204"/>
    </row>
    <row r="404" spans="1:30">
      <c r="F404" s="224"/>
      <c r="G404" s="224"/>
      <c r="H404" s="224"/>
      <c r="I404" s="224"/>
      <c r="J404" s="224"/>
      <c r="K404" s="224"/>
      <c r="L404" s="224"/>
      <c r="M404" s="224"/>
      <c r="N404" s="224"/>
      <c r="O404" s="224"/>
      <c r="P404" s="224"/>
    </row>
    <row r="405" spans="1:30" s="199" customFormat="1" ht="15.75">
      <c r="A405" s="199" t="s">
        <v>1860</v>
      </c>
      <c r="D405" s="200"/>
      <c r="AB405" s="201"/>
      <c r="AC405" s="201"/>
      <c r="AD405" s="201"/>
    </row>
    <row r="406" spans="1:30">
      <c r="B406" s="224" t="s">
        <v>1861</v>
      </c>
      <c r="C406" s="224" t="s">
        <v>1862</v>
      </c>
      <c r="D406" s="224" t="s">
        <v>1140</v>
      </c>
    </row>
    <row r="407" spans="1:30">
      <c r="B407" s="224" t="s">
        <v>1863</v>
      </c>
      <c r="C407" s="224" t="s">
        <v>1864</v>
      </c>
      <c r="D407" s="224" t="s">
        <v>1140</v>
      </c>
    </row>
    <row r="408" spans="1:30">
      <c r="B408" s="224" t="s">
        <v>1865</v>
      </c>
      <c r="C408" s="224" t="s">
        <v>1866</v>
      </c>
      <c r="D408" s="224" t="s">
        <v>1140</v>
      </c>
    </row>
    <row r="409" spans="1:30">
      <c r="B409" s="224" t="s">
        <v>1867</v>
      </c>
      <c r="C409" s="224" t="s">
        <v>1868</v>
      </c>
      <c r="D409" s="224" t="s">
        <v>1140</v>
      </c>
    </row>
    <row r="410" spans="1:30">
      <c r="B410" s="224" t="s">
        <v>1869</v>
      </c>
      <c r="C410" s="224" t="s">
        <v>1870</v>
      </c>
      <c r="D410" s="224" t="s">
        <v>1140</v>
      </c>
    </row>
    <row r="411" spans="1:30">
      <c r="B411" s="224" t="s">
        <v>1871</v>
      </c>
      <c r="C411" s="224" t="s">
        <v>1872</v>
      </c>
      <c r="D411" s="224" t="s">
        <v>1140</v>
      </c>
    </row>
    <row r="412" spans="1:30">
      <c r="B412" s="224" t="s">
        <v>1873</v>
      </c>
      <c r="C412" s="224" t="s">
        <v>1874</v>
      </c>
      <c r="D412" s="224" t="s">
        <v>1140</v>
      </c>
    </row>
    <row r="413" spans="1:30">
      <c r="B413" s="224" t="s">
        <v>636</v>
      </c>
      <c r="C413" s="224" t="s">
        <v>1875</v>
      </c>
      <c r="D413" s="224" t="s">
        <v>1140</v>
      </c>
      <c r="AB413" s="202" t="s">
        <v>810</v>
      </c>
    </row>
    <row r="414" spans="1:30">
      <c r="B414" s="224" t="s">
        <v>1876</v>
      </c>
      <c r="C414" s="224" t="s">
        <v>1877</v>
      </c>
    </row>
    <row r="415" spans="1:30">
      <c r="B415" s="224" t="s">
        <v>1878</v>
      </c>
      <c r="C415" s="224" t="s">
        <v>1879</v>
      </c>
    </row>
    <row r="416" spans="1:30">
      <c r="B416" s="224" t="s">
        <v>1880</v>
      </c>
      <c r="C416" s="224" t="s">
        <v>1881</v>
      </c>
    </row>
    <row r="417" spans="1:30">
      <c r="B417" s="224" t="s">
        <v>1882</v>
      </c>
      <c r="C417" s="224" t="s">
        <v>1883</v>
      </c>
    </row>
    <row r="418" spans="1:30">
      <c r="B418" s="224" t="s">
        <v>1884</v>
      </c>
      <c r="C418" s="224" t="s">
        <v>1885</v>
      </c>
    </row>
    <row r="419" spans="1:30">
      <c r="B419" s="224" t="s">
        <v>1886</v>
      </c>
      <c r="C419" s="224" t="s">
        <v>1887</v>
      </c>
    </row>
    <row r="420" spans="1:30">
      <c r="B420" s="224" t="s">
        <v>1888</v>
      </c>
      <c r="C420" s="224" t="s">
        <v>1889</v>
      </c>
    </row>
    <row r="421" spans="1:30">
      <c r="F421" s="224"/>
      <c r="G421" s="224"/>
      <c r="H421" s="224"/>
      <c r="I421" s="224"/>
      <c r="J421" s="224"/>
      <c r="K421" s="224"/>
      <c r="L421" s="224"/>
      <c r="M421" s="224"/>
      <c r="N421" s="224"/>
      <c r="O421" s="224"/>
      <c r="P421" s="224"/>
    </row>
    <row r="422" spans="1:30" s="199" customFormat="1" ht="15.75">
      <c r="A422" s="199" t="s">
        <v>1890</v>
      </c>
      <c r="D422" s="200"/>
      <c r="AB422" s="201"/>
      <c r="AC422" s="201"/>
      <c r="AD422" s="201"/>
    </row>
    <row r="423" spans="1:30">
      <c r="B423" s="224" t="s">
        <v>1891</v>
      </c>
      <c r="C423" s="224" t="s">
        <v>1892</v>
      </c>
      <c r="D423" s="224" t="s">
        <v>1140</v>
      </c>
      <c r="AB423" s="204"/>
      <c r="AC423" s="204"/>
      <c r="AD423" s="204"/>
    </row>
    <row r="424" spans="1:30">
      <c r="B424" s="224" t="s">
        <v>1893</v>
      </c>
      <c r="C424" s="224" t="s">
        <v>1894</v>
      </c>
      <c r="D424" s="224" t="s">
        <v>1140</v>
      </c>
      <c r="AB424" s="204"/>
      <c r="AC424" s="204"/>
      <c r="AD424" s="204"/>
    </row>
    <row r="425" spans="1:30">
      <c r="B425" s="224" t="s">
        <v>1895</v>
      </c>
      <c r="C425" s="224" t="s">
        <v>1896</v>
      </c>
      <c r="D425" s="224" t="s">
        <v>1140</v>
      </c>
      <c r="AB425" s="204"/>
      <c r="AC425" s="204"/>
      <c r="AD425" s="204"/>
    </row>
    <row r="426" spans="1:30">
      <c r="B426" s="224" t="s">
        <v>1897</v>
      </c>
      <c r="C426" s="224" t="s">
        <v>1898</v>
      </c>
      <c r="D426" s="224" t="s">
        <v>1140</v>
      </c>
      <c r="AB426" s="204"/>
      <c r="AC426" s="204"/>
      <c r="AD426" s="204"/>
    </row>
    <row r="427" spans="1:30">
      <c r="B427" s="224" t="s">
        <v>1899</v>
      </c>
      <c r="C427" s="224" t="s">
        <v>1900</v>
      </c>
      <c r="D427" s="224" t="s">
        <v>1140</v>
      </c>
      <c r="AB427" s="204"/>
      <c r="AC427" s="204"/>
      <c r="AD427" s="204"/>
    </row>
    <row r="428" spans="1:30">
      <c r="B428" s="224" t="s">
        <v>1901</v>
      </c>
      <c r="C428" s="224" t="s">
        <v>1902</v>
      </c>
      <c r="D428" s="224" t="s">
        <v>1140</v>
      </c>
      <c r="AB428" s="204"/>
      <c r="AC428" s="204"/>
      <c r="AD428" s="204"/>
    </row>
    <row r="429" spans="1:30">
      <c r="B429" s="224" t="s">
        <v>1903</v>
      </c>
      <c r="C429" s="224" t="s">
        <v>1904</v>
      </c>
      <c r="D429" s="224" t="s">
        <v>1140</v>
      </c>
      <c r="AB429" s="204"/>
      <c r="AC429" s="204"/>
      <c r="AD429" s="204"/>
    </row>
    <row r="430" spans="1:30">
      <c r="B430" s="224" t="s">
        <v>1905</v>
      </c>
      <c r="C430" s="224" t="s">
        <v>1906</v>
      </c>
      <c r="D430" s="224" t="s">
        <v>1140</v>
      </c>
      <c r="AB430" s="204"/>
      <c r="AC430" s="204"/>
      <c r="AD430" s="204"/>
    </row>
    <row r="431" spans="1:30">
      <c r="B431" s="224" t="s">
        <v>1907</v>
      </c>
      <c r="C431" s="224" t="s">
        <v>1908</v>
      </c>
      <c r="AB431" s="226"/>
      <c r="AC431" s="226"/>
      <c r="AD431" s="226"/>
    </row>
    <row r="432" spans="1:30">
      <c r="B432" s="224" t="s">
        <v>1909</v>
      </c>
      <c r="C432" s="224" t="s">
        <v>1910</v>
      </c>
      <c r="AB432" s="226"/>
      <c r="AC432" s="226"/>
      <c r="AD432" s="226"/>
    </row>
    <row r="433" spans="1:30">
      <c r="B433" s="224" t="s">
        <v>1911</v>
      </c>
      <c r="C433" s="224" t="s">
        <v>1912</v>
      </c>
      <c r="AB433" s="226"/>
      <c r="AC433" s="226"/>
      <c r="AD433" s="226"/>
    </row>
    <row r="434" spans="1:30">
      <c r="B434" s="224" t="s">
        <v>1913</v>
      </c>
      <c r="C434" s="224" t="s">
        <v>1914</v>
      </c>
      <c r="AB434" s="226"/>
      <c r="AC434" s="226"/>
      <c r="AD434" s="226"/>
    </row>
    <row r="435" spans="1:30">
      <c r="B435" s="224" t="s">
        <v>1915</v>
      </c>
      <c r="C435" s="224" t="s">
        <v>1916</v>
      </c>
      <c r="AB435" s="226"/>
      <c r="AC435" s="226"/>
      <c r="AD435" s="226"/>
    </row>
    <row r="436" spans="1:30">
      <c r="B436" s="224" t="s">
        <v>1917</v>
      </c>
      <c r="C436" s="224" t="s">
        <v>1918</v>
      </c>
      <c r="AB436" s="226"/>
      <c r="AC436" s="226"/>
      <c r="AD436" s="226"/>
    </row>
    <row r="437" spans="1:30">
      <c r="B437" s="224" t="s">
        <v>1919</v>
      </c>
      <c r="C437" s="224" t="s">
        <v>1920</v>
      </c>
      <c r="AB437" s="226"/>
      <c r="AC437" s="226"/>
      <c r="AD437" s="226"/>
    </row>
    <row r="438" spans="1:30">
      <c r="F438" s="224"/>
      <c r="G438" s="224"/>
      <c r="H438" s="224"/>
      <c r="I438" s="224"/>
      <c r="J438" s="224"/>
      <c r="K438" s="224"/>
      <c r="L438" s="224"/>
      <c r="M438" s="224"/>
      <c r="N438" s="224"/>
      <c r="O438" s="224"/>
      <c r="P438" s="224"/>
    </row>
    <row r="439" spans="1:30" s="199" customFormat="1" ht="15.75">
      <c r="A439" s="199" t="s">
        <v>1921</v>
      </c>
      <c r="D439" s="200"/>
      <c r="AB439" s="201"/>
      <c r="AC439" s="201"/>
      <c r="AD439" s="201"/>
    </row>
    <row r="440" spans="1:30">
      <c r="B440" s="224" t="s">
        <v>1922</v>
      </c>
      <c r="C440" s="224" t="s">
        <v>1923</v>
      </c>
      <c r="D440" s="224" t="s">
        <v>1140</v>
      </c>
      <c r="AB440" s="204"/>
      <c r="AC440" s="204"/>
      <c r="AD440" s="204"/>
    </row>
    <row r="441" spans="1:30">
      <c r="B441" s="224" t="s">
        <v>1924</v>
      </c>
      <c r="C441" s="224" t="s">
        <v>1925</v>
      </c>
      <c r="D441" s="224" t="s">
        <v>1140</v>
      </c>
      <c r="AB441" s="204"/>
      <c r="AC441" s="204"/>
      <c r="AD441" s="204"/>
    </row>
    <row r="442" spans="1:30">
      <c r="B442" s="224" t="s">
        <v>1926</v>
      </c>
      <c r="C442" s="224" t="s">
        <v>1927</v>
      </c>
      <c r="D442" s="224" t="s">
        <v>1140</v>
      </c>
      <c r="AB442" s="204"/>
      <c r="AC442" s="204"/>
      <c r="AD442" s="204"/>
    </row>
    <row r="443" spans="1:30">
      <c r="B443" s="224" t="s">
        <v>1928</v>
      </c>
      <c r="C443" s="224" t="s">
        <v>1929</v>
      </c>
      <c r="D443" s="224" t="s">
        <v>1140</v>
      </c>
      <c r="AB443" s="204"/>
      <c r="AC443" s="204"/>
      <c r="AD443" s="204"/>
    </row>
    <row r="444" spans="1:30">
      <c r="B444" s="224" t="s">
        <v>1930</v>
      </c>
      <c r="C444" s="224" t="s">
        <v>1931</v>
      </c>
      <c r="D444" s="224" t="s">
        <v>1140</v>
      </c>
      <c r="AB444" s="204"/>
      <c r="AC444" s="204"/>
      <c r="AD444" s="204"/>
    </row>
    <row r="445" spans="1:30">
      <c r="B445" s="224" t="s">
        <v>1932</v>
      </c>
      <c r="C445" s="224" t="s">
        <v>1933</v>
      </c>
      <c r="D445" s="224" t="s">
        <v>1140</v>
      </c>
      <c r="AB445" s="204"/>
      <c r="AC445" s="204"/>
      <c r="AD445" s="204"/>
    </row>
    <row r="446" spans="1:30">
      <c r="B446" s="224" t="s">
        <v>1934</v>
      </c>
      <c r="C446" s="224" t="s">
        <v>1935</v>
      </c>
      <c r="D446" s="224" t="s">
        <v>1140</v>
      </c>
      <c r="AB446" s="204"/>
      <c r="AC446" s="204"/>
      <c r="AD446" s="204"/>
    </row>
    <row r="447" spans="1:30">
      <c r="B447" s="224" t="s">
        <v>493</v>
      </c>
      <c r="C447" s="224" t="s">
        <v>1936</v>
      </c>
      <c r="D447" s="224" t="s">
        <v>1140</v>
      </c>
      <c r="AB447" s="204"/>
      <c r="AC447" s="204"/>
      <c r="AD447" s="204"/>
    </row>
    <row r="448" spans="1:30">
      <c r="B448" s="224" t="s">
        <v>1937</v>
      </c>
      <c r="C448" s="224" t="s">
        <v>1938</v>
      </c>
      <c r="AB448" s="226"/>
      <c r="AC448" s="226"/>
      <c r="AD448" s="226"/>
    </row>
    <row r="449" spans="1:30">
      <c r="B449" s="224" t="s">
        <v>1939</v>
      </c>
      <c r="C449" s="224" t="s">
        <v>1940</v>
      </c>
      <c r="AB449" s="226"/>
      <c r="AC449" s="226"/>
      <c r="AD449" s="226"/>
    </row>
    <row r="450" spans="1:30">
      <c r="B450" s="224" t="s">
        <v>1941</v>
      </c>
      <c r="C450" s="224" t="s">
        <v>1942</v>
      </c>
      <c r="AB450" s="226"/>
      <c r="AC450" s="226"/>
      <c r="AD450" s="226"/>
    </row>
    <row r="451" spans="1:30">
      <c r="B451" s="224" t="s">
        <v>1943</v>
      </c>
      <c r="C451" s="224" t="s">
        <v>1944</v>
      </c>
      <c r="AB451" s="226"/>
      <c r="AC451" s="226"/>
      <c r="AD451" s="226"/>
    </row>
    <row r="452" spans="1:30">
      <c r="B452" s="224" t="s">
        <v>1945</v>
      </c>
      <c r="C452" s="224" t="s">
        <v>1946</v>
      </c>
      <c r="AB452" s="226"/>
      <c r="AC452" s="226"/>
      <c r="AD452" s="226"/>
    </row>
    <row r="453" spans="1:30">
      <c r="B453" s="224" t="s">
        <v>1947</v>
      </c>
      <c r="C453" s="224" t="s">
        <v>1948</v>
      </c>
      <c r="AB453" s="226"/>
      <c r="AC453" s="226"/>
      <c r="AD453" s="226"/>
    </row>
    <row r="454" spans="1:30">
      <c r="B454" s="224" t="s">
        <v>1949</v>
      </c>
      <c r="C454" s="224" t="s">
        <v>1950</v>
      </c>
      <c r="AB454" s="226"/>
      <c r="AC454" s="226"/>
      <c r="AD454" s="226"/>
    </row>
    <row r="455" spans="1:30">
      <c r="F455" s="224"/>
      <c r="G455" s="224"/>
      <c r="H455" s="224"/>
      <c r="I455" s="224"/>
      <c r="J455" s="224"/>
      <c r="K455" s="224"/>
      <c r="L455" s="224"/>
      <c r="M455" s="224"/>
      <c r="N455" s="224"/>
      <c r="O455" s="224"/>
      <c r="P455" s="224"/>
    </row>
    <row r="456" spans="1:30" s="199" customFormat="1" ht="15.75">
      <c r="A456" s="199" t="s">
        <v>1951</v>
      </c>
      <c r="D456" s="200"/>
      <c r="AB456" s="201"/>
      <c r="AC456" s="201"/>
      <c r="AD456" s="201"/>
    </row>
    <row r="457" spans="1:30">
      <c r="B457" s="224" t="s">
        <v>1952</v>
      </c>
      <c r="C457" s="224" t="s">
        <v>1953</v>
      </c>
      <c r="AB457" s="218"/>
      <c r="AC457" s="218"/>
      <c r="AD457" s="218"/>
    </row>
    <row r="458" spans="1:30">
      <c r="B458" s="224" t="s">
        <v>1954</v>
      </c>
      <c r="C458" s="224" t="s">
        <v>1955</v>
      </c>
      <c r="AB458" s="218"/>
      <c r="AC458" s="218"/>
      <c r="AD458" s="218"/>
    </row>
    <row r="459" spans="1:30">
      <c r="B459" s="224" t="s">
        <v>1956</v>
      </c>
      <c r="C459" s="224" t="s">
        <v>1957</v>
      </c>
      <c r="AB459" s="218"/>
      <c r="AC459" s="218"/>
      <c r="AD459" s="218"/>
    </row>
    <row r="460" spans="1:30">
      <c r="B460" s="224" t="s">
        <v>1958</v>
      </c>
      <c r="C460" s="224" t="s">
        <v>1959</v>
      </c>
      <c r="AB460" s="218"/>
      <c r="AC460" s="218"/>
      <c r="AD460" s="218"/>
    </row>
    <row r="461" spans="1:30">
      <c r="B461" s="224" t="s">
        <v>1960</v>
      </c>
      <c r="C461" s="224" t="s">
        <v>1961</v>
      </c>
      <c r="AB461" s="218"/>
      <c r="AC461" s="218"/>
      <c r="AD461" s="218"/>
    </row>
    <row r="462" spans="1:30">
      <c r="B462" s="224" t="s">
        <v>1962</v>
      </c>
      <c r="C462" s="224" t="s">
        <v>1963</v>
      </c>
      <c r="AB462" s="218"/>
      <c r="AC462" s="218"/>
      <c r="AD462" s="218"/>
    </row>
    <row r="463" spans="1:30">
      <c r="B463" s="224" t="s">
        <v>1964</v>
      </c>
      <c r="C463" s="224" t="s">
        <v>1965</v>
      </c>
      <c r="AB463" s="218"/>
      <c r="AC463" s="218"/>
      <c r="AD463" s="218"/>
    </row>
    <row r="464" spans="1:30">
      <c r="B464" s="224" t="s">
        <v>1966</v>
      </c>
      <c r="C464" s="224" t="s">
        <v>1967</v>
      </c>
      <c r="AB464" s="218"/>
      <c r="AC464" s="218"/>
      <c r="AD464" s="218"/>
    </row>
    <row r="465" spans="2:30">
      <c r="B465" s="224" t="s">
        <v>1968</v>
      </c>
      <c r="C465" s="224" t="s">
        <v>1969</v>
      </c>
      <c r="AB465" s="218"/>
      <c r="AC465" s="218"/>
      <c r="AD465" s="218"/>
    </row>
    <row r="466" spans="2:30">
      <c r="B466" s="224" t="s">
        <v>1970</v>
      </c>
      <c r="C466" s="224" t="s">
        <v>1971</v>
      </c>
      <c r="AB466" s="218"/>
      <c r="AC466" s="218"/>
      <c r="AD466" s="218"/>
    </row>
    <row r="467" spans="2:30">
      <c r="B467" s="224" t="s">
        <v>1972</v>
      </c>
      <c r="C467" s="224" t="s">
        <v>1973</v>
      </c>
      <c r="AB467" s="218"/>
      <c r="AC467" s="218"/>
      <c r="AD467" s="218"/>
    </row>
    <row r="468" spans="2:30">
      <c r="B468" s="224" t="s">
        <v>1974</v>
      </c>
      <c r="C468" s="224" t="s">
        <v>1975</v>
      </c>
      <c r="AB468" s="218"/>
      <c r="AC468" s="218"/>
      <c r="AD468" s="218"/>
    </row>
    <row r="469" spans="2:30">
      <c r="B469" s="224" t="s">
        <v>1976</v>
      </c>
      <c r="C469" s="224" t="s">
        <v>1977</v>
      </c>
      <c r="AB469" s="218"/>
      <c r="AC469" s="218"/>
      <c r="AD469" s="218"/>
    </row>
    <row r="470" spans="2:30">
      <c r="B470" s="224" t="s">
        <v>1978</v>
      </c>
      <c r="C470" s="224" t="s">
        <v>1979</v>
      </c>
      <c r="AB470" s="218"/>
      <c r="AC470" s="218"/>
      <c r="AD470" s="218"/>
    </row>
    <row r="471" spans="2:30">
      <c r="B471" s="224" t="s">
        <v>1980</v>
      </c>
      <c r="C471" s="224" t="s">
        <v>1981</v>
      </c>
      <c r="AB471" s="218"/>
      <c r="AC471" s="218"/>
      <c r="AD471" s="218"/>
    </row>
    <row r="472" spans="2:30">
      <c r="B472" s="224" t="s">
        <v>1982</v>
      </c>
      <c r="C472" s="224" t="s">
        <v>1983</v>
      </c>
      <c r="AB472" s="218"/>
      <c r="AC472" s="218"/>
      <c r="AD472" s="218"/>
    </row>
    <row r="473" spans="2:30">
      <c r="B473" s="224" t="s">
        <v>1984</v>
      </c>
      <c r="C473" s="224" t="s">
        <v>1985</v>
      </c>
      <c r="AB473" s="218"/>
      <c r="AC473" s="218"/>
      <c r="AD473" s="218"/>
    </row>
    <row r="474" spans="2:30">
      <c r="B474" s="224" t="s">
        <v>1986</v>
      </c>
      <c r="C474" s="224" t="s">
        <v>1987</v>
      </c>
      <c r="AB474" s="218"/>
      <c r="AC474" s="218"/>
      <c r="AD474" s="218"/>
    </row>
    <row r="475" spans="2:30">
      <c r="B475" s="224" t="s">
        <v>1988</v>
      </c>
      <c r="C475" s="224" t="s">
        <v>1989</v>
      </c>
      <c r="AB475" s="218"/>
      <c r="AC475" s="218"/>
      <c r="AD475" s="218"/>
    </row>
    <row r="476" spans="2:30">
      <c r="B476" s="224" t="s">
        <v>1990</v>
      </c>
      <c r="C476" s="224" t="s">
        <v>1991</v>
      </c>
      <c r="AB476" s="218"/>
      <c r="AC476" s="218"/>
      <c r="AD476" s="218"/>
    </row>
    <row r="477" spans="2:30">
      <c r="B477" s="224" t="s">
        <v>1992</v>
      </c>
      <c r="C477" s="224" t="s">
        <v>1993</v>
      </c>
      <c r="AB477" s="218"/>
      <c r="AC477" s="218"/>
      <c r="AD477" s="218"/>
    </row>
    <row r="478" spans="2:30">
      <c r="B478" s="224" t="s">
        <v>1994</v>
      </c>
      <c r="C478" s="224" t="s">
        <v>1995</v>
      </c>
      <c r="AB478" s="218"/>
      <c r="AC478" s="218"/>
      <c r="AD478" s="218"/>
    </row>
    <row r="479" spans="2:30">
      <c r="B479" s="224" t="s">
        <v>1996</v>
      </c>
      <c r="C479" s="224" t="s">
        <v>1997</v>
      </c>
      <c r="AB479" s="218"/>
      <c r="AC479" s="218"/>
      <c r="AD479" s="218"/>
    </row>
    <row r="480" spans="2:30">
      <c r="B480" s="224" t="s">
        <v>1998</v>
      </c>
      <c r="C480" s="224" t="s">
        <v>1999</v>
      </c>
      <c r="AB480" s="218"/>
      <c r="AC480" s="218"/>
      <c r="AD480" s="218"/>
    </row>
    <row r="481" spans="2:30">
      <c r="B481" s="224" t="s">
        <v>2000</v>
      </c>
      <c r="C481" s="224" t="s">
        <v>2001</v>
      </c>
      <c r="AB481" s="218"/>
      <c r="AC481" s="218"/>
      <c r="AD481" s="218"/>
    </row>
    <row r="482" spans="2:30">
      <c r="B482" s="224" t="s">
        <v>2002</v>
      </c>
      <c r="C482" s="224" t="s">
        <v>2003</v>
      </c>
      <c r="AB482" s="218"/>
      <c r="AC482" s="218"/>
      <c r="AD482" s="218"/>
    </row>
    <row r="483" spans="2:30">
      <c r="B483" s="224" t="s">
        <v>2004</v>
      </c>
      <c r="C483" s="224" t="s">
        <v>2005</v>
      </c>
      <c r="AB483" s="218"/>
      <c r="AC483" s="218"/>
      <c r="AD483" s="218"/>
    </row>
    <row r="484" spans="2:30">
      <c r="B484" s="224" t="s">
        <v>2006</v>
      </c>
      <c r="C484" s="224" t="s">
        <v>2007</v>
      </c>
      <c r="AB484" s="218"/>
      <c r="AC484" s="218"/>
      <c r="AD484" s="218"/>
    </row>
    <row r="485" spans="2:30">
      <c r="B485" s="224" t="s">
        <v>2008</v>
      </c>
      <c r="C485" s="224" t="s">
        <v>2009</v>
      </c>
      <c r="AB485" s="218"/>
      <c r="AC485" s="218"/>
      <c r="AD485" s="218"/>
    </row>
    <row r="486" spans="2:30">
      <c r="B486" s="224" t="s">
        <v>2010</v>
      </c>
      <c r="C486" s="224" t="s">
        <v>2011</v>
      </c>
      <c r="AB486" s="218"/>
      <c r="AC486" s="218"/>
      <c r="AD486" s="218"/>
    </row>
    <row r="487" spans="2:30">
      <c r="B487" s="224" t="s">
        <v>2012</v>
      </c>
      <c r="C487" s="224" t="s">
        <v>2013</v>
      </c>
      <c r="AB487" s="218"/>
      <c r="AC487" s="218"/>
      <c r="AD487" s="218"/>
    </row>
    <row r="488" spans="2:30">
      <c r="B488" s="224" t="s">
        <v>2014</v>
      </c>
      <c r="C488" s="224" t="s">
        <v>2015</v>
      </c>
      <c r="AB488" s="218"/>
      <c r="AC488" s="218"/>
      <c r="AD488" s="218"/>
    </row>
    <row r="489" spans="2:30">
      <c r="B489" s="224" t="s">
        <v>2016</v>
      </c>
      <c r="C489" s="224" t="s">
        <v>2017</v>
      </c>
      <c r="AB489" s="218"/>
      <c r="AC489" s="218"/>
      <c r="AD489" s="218"/>
    </row>
    <row r="490" spans="2:30">
      <c r="B490" s="224" t="s">
        <v>2018</v>
      </c>
      <c r="C490" s="224" t="s">
        <v>2019</v>
      </c>
      <c r="AB490" s="218"/>
      <c r="AC490" s="218"/>
      <c r="AD490" s="218"/>
    </row>
    <row r="491" spans="2:30">
      <c r="B491" s="224" t="s">
        <v>2020</v>
      </c>
      <c r="C491" s="224" t="s">
        <v>2021</v>
      </c>
      <c r="AB491" s="218"/>
      <c r="AC491" s="218"/>
      <c r="AD491" s="218"/>
    </row>
    <row r="492" spans="2:30">
      <c r="B492" s="224" t="s">
        <v>2022</v>
      </c>
      <c r="C492" s="224" t="s">
        <v>2023</v>
      </c>
      <c r="AB492" s="218"/>
      <c r="AC492" s="218"/>
      <c r="AD492" s="218"/>
    </row>
    <row r="493" spans="2:30">
      <c r="B493" s="224" t="s">
        <v>2024</v>
      </c>
      <c r="C493" s="224" t="s">
        <v>2025</v>
      </c>
      <c r="AB493" s="218"/>
      <c r="AC493" s="218"/>
      <c r="AD493" s="218"/>
    </row>
    <row r="494" spans="2:30">
      <c r="B494" s="224" t="s">
        <v>2026</v>
      </c>
      <c r="C494" s="224" t="s">
        <v>2027</v>
      </c>
      <c r="AB494" s="218"/>
      <c r="AC494" s="218"/>
      <c r="AD494" s="218"/>
    </row>
    <row r="495" spans="2:30">
      <c r="B495" s="224" t="s">
        <v>2028</v>
      </c>
      <c r="C495" s="224" t="s">
        <v>2029</v>
      </c>
      <c r="AB495" s="218"/>
      <c r="AC495" s="218"/>
      <c r="AD495" s="218"/>
    </row>
    <row r="496" spans="2:30">
      <c r="B496" s="224" t="s">
        <v>2030</v>
      </c>
      <c r="C496" s="224" t="s">
        <v>2031</v>
      </c>
      <c r="AB496" s="218"/>
      <c r="AC496" s="218"/>
      <c r="AD496" s="218"/>
    </row>
    <row r="497" spans="2:30">
      <c r="B497" s="224" t="s">
        <v>2032</v>
      </c>
      <c r="C497" s="224" t="s">
        <v>2033</v>
      </c>
      <c r="AB497" s="218"/>
      <c r="AC497" s="218"/>
      <c r="AD497" s="218"/>
    </row>
    <row r="498" spans="2:30">
      <c r="B498" s="224" t="s">
        <v>2034</v>
      </c>
      <c r="C498" s="224" t="s">
        <v>2035</v>
      </c>
      <c r="AB498" s="218"/>
      <c r="AC498" s="218"/>
      <c r="AD498" s="218"/>
    </row>
    <row r="499" spans="2:30">
      <c r="B499" s="224" t="s">
        <v>2036</v>
      </c>
      <c r="C499" s="224" t="s">
        <v>2037</v>
      </c>
      <c r="AB499" s="218"/>
      <c r="AC499" s="218"/>
      <c r="AD499" s="218"/>
    </row>
    <row r="500" spans="2:30">
      <c r="B500" s="224" t="s">
        <v>2038</v>
      </c>
      <c r="C500" s="224" t="s">
        <v>2039</v>
      </c>
      <c r="AB500" s="218"/>
      <c r="AC500" s="218"/>
      <c r="AD500" s="218"/>
    </row>
    <row r="501" spans="2:30">
      <c r="B501" s="224" t="s">
        <v>2040</v>
      </c>
      <c r="C501" s="224" t="s">
        <v>2041</v>
      </c>
      <c r="AB501" s="218"/>
      <c r="AC501" s="218"/>
      <c r="AD501" s="218"/>
    </row>
    <row r="502" spans="2:30">
      <c r="B502" s="224" t="s">
        <v>2386</v>
      </c>
      <c r="C502" s="224" t="s">
        <v>2042</v>
      </c>
      <c r="AB502" s="218"/>
      <c r="AC502" s="218"/>
      <c r="AD502" s="218"/>
    </row>
    <row r="503" spans="2:30">
      <c r="B503" s="224" t="s">
        <v>2387</v>
      </c>
      <c r="C503" s="224" t="s">
        <v>2043</v>
      </c>
      <c r="AB503" s="218"/>
      <c r="AC503" s="218"/>
      <c r="AD503" s="218"/>
    </row>
    <row r="504" spans="2:30">
      <c r="B504" s="224" t="s">
        <v>2388</v>
      </c>
      <c r="C504" s="224" t="s">
        <v>2044</v>
      </c>
      <c r="AB504" s="218"/>
      <c r="AC504" s="218"/>
      <c r="AD504" s="218"/>
    </row>
    <row r="505" spans="2:30">
      <c r="B505" s="224" t="s">
        <v>2389</v>
      </c>
      <c r="C505" s="224" t="s">
        <v>2045</v>
      </c>
      <c r="AB505" s="218"/>
      <c r="AC505" s="218"/>
      <c r="AD505" s="218"/>
    </row>
    <row r="506" spans="2:30">
      <c r="B506" s="224" t="s">
        <v>2390</v>
      </c>
      <c r="C506" s="224" t="s">
        <v>2046</v>
      </c>
      <c r="AB506" s="218"/>
      <c r="AC506" s="218"/>
      <c r="AD506" s="218"/>
    </row>
    <row r="507" spans="2:30">
      <c r="B507" s="224" t="s">
        <v>2391</v>
      </c>
      <c r="C507" s="224" t="s">
        <v>2047</v>
      </c>
      <c r="AB507" s="218"/>
      <c r="AC507" s="218"/>
      <c r="AD507" s="218"/>
    </row>
    <row r="508" spans="2:30">
      <c r="B508" s="224" t="s">
        <v>2392</v>
      </c>
      <c r="C508" s="224" t="s">
        <v>2048</v>
      </c>
      <c r="AB508" s="218"/>
      <c r="AC508" s="218"/>
      <c r="AD508" s="218"/>
    </row>
    <row r="509" spans="2:30">
      <c r="B509" s="224" t="s">
        <v>2393</v>
      </c>
      <c r="C509" s="224" t="s">
        <v>2049</v>
      </c>
      <c r="AB509" s="218"/>
      <c r="AC509" s="218"/>
      <c r="AD509" s="218"/>
    </row>
    <row r="510" spans="2:30">
      <c r="B510" s="224" t="s">
        <v>2394</v>
      </c>
      <c r="C510" s="224" t="s">
        <v>2050</v>
      </c>
      <c r="AB510" s="218"/>
      <c r="AC510" s="218"/>
      <c r="AD510" s="218"/>
    </row>
    <row r="511" spans="2:30">
      <c r="B511" s="224" t="s">
        <v>2395</v>
      </c>
      <c r="C511" s="224" t="s">
        <v>2051</v>
      </c>
      <c r="AB511" s="218"/>
      <c r="AC511" s="218"/>
      <c r="AD511" s="218"/>
    </row>
    <row r="512" spans="2:30">
      <c r="B512" s="224" t="s">
        <v>2396</v>
      </c>
      <c r="C512" s="224" t="s">
        <v>2052</v>
      </c>
      <c r="AB512" s="218"/>
      <c r="AC512" s="218"/>
      <c r="AD512" s="218"/>
    </row>
    <row r="513" spans="2:30">
      <c r="B513" s="224" t="s">
        <v>2397</v>
      </c>
      <c r="C513" s="224" t="s">
        <v>2053</v>
      </c>
      <c r="AB513" s="218"/>
      <c r="AC513" s="218"/>
      <c r="AD513" s="218"/>
    </row>
    <row r="514" spans="2:30">
      <c r="B514" s="224" t="s">
        <v>2398</v>
      </c>
      <c r="C514" s="224" t="s">
        <v>2054</v>
      </c>
      <c r="AB514" s="218"/>
      <c r="AC514" s="218"/>
      <c r="AD514" s="218"/>
    </row>
    <row r="515" spans="2:30">
      <c r="B515" s="224" t="s">
        <v>2399</v>
      </c>
      <c r="C515" s="224" t="s">
        <v>2055</v>
      </c>
      <c r="AB515" s="218"/>
      <c r="AC515" s="218"/>
      <c r="AD515" s="218"/>
    </row>
    <row r="516" spans="2:30">
      <c r="B516" s="224" t="s">
        <v>2400</v>
      </c>
      <c r="C516" s="224" t="s">
        <v>2056</v>
      </c>
      <c r="AB516" s="218"/>
      <c r="AC516" s="218"/>
      <c r="AD516" s="218"/>
    </row>
    <row r="517" spans="2:30">
      <c r="B517" s="224" t="s">
        <v>2401</v>
      </c>
      <c r="C517" s="224" t="s">
        <v>2057</v>
      </c>
      <c r="AB517" s="218"/>
      <c r="AC517" s="218"/>
      <c r="AD517" s="218"/>
    </row>
    <row r="518" spans="2:30">
      <c r="B518" s="224" t="s">
        <v>2058</v>
      </c>
      <c r="C518" s="224" t="s">
        <v>2059</v>
      </c>
      <c r="AB518" s="218"/>
      <c r="AC518" s="218"/>
      <c r="AD518" s="218"/>
    </row>
    <row r="519" spans="2:30">
      <c r="B519" s="224" t="s">
        <v>2060</v>
      </c>
      <c r="C519" s="224" t="s">
        <v>2061</v>
      </c>
      <c r="AB519" s="218"/>
      <c r="AC519" s="218"/>
      <c r="AD519" s="218"/>
    </row>
    <row r="520" spans="2:30">
      <c r="B520" s="224" t="s">
        <v>2062</v>
      </c>
      <c r="C520" s="224" t="s">
        <v>2063</v>
      </c>
      <c r="AB520" s="218"/>
      <c r="AC520" s="218"/>
      <c r="AD520" s="218"/>
    </row>
    <row r="521" spans="2:30">
      <c r="B521" s="224" t="s">
        <v>2064</v>
      </c>
      <c r="C521" s="224" t="s">
        <v>2065</v>
      </c>
      <c r="AB521" s="218"/>
      <c r="AC521" s="218"/>
      <c r="AD521" s="218"/>
    </row>
    <row r="522" spans="2:30">
      <c r="B522" s="224" t="s">
        <v>2066</v>
      </c>
      <c r="C522" s="224" t="s">
        <v>2067</v>
      </c>
      <c r="AB522" s="218"/>
      <c r="AC522" s="218"/>
      <c r="AD522" s="218"/>
    </row>
    <row r="523" spans="2:30">
      <c r="B523" s="224" t="s">
        <v>2068</v>
      </c>
      <c r="C523" s="224" t="s">
        <v>2069</v>
      </c>
      <c r="AB523" s="218"/>
      <c r="AC523" s="218"/>
      <c r="AD523" s="218"/>
    </row>
    <row r="524" spans="2:30">
      <c r="B524" s="224" t="s">
        <v>2070</v>
      </c>
      <c r="C524" s="224" t="s">
        <v>2071</v>
      </c>
      <c r="AB524" s="218"/>
      <c r="AC524" s="218"/>
      <c r="AD524" s="218"/>
    </row>
    <row r="525" spans="2:30">
      <c r="B525" s="224" t="s">
        <v>2072</v>
      </c>
      <c r="C525" s="224" t="s">
        <v>2073</v>
      </c>
      <c r="AB525" s="218"/>
      <c r="AC525" s="218"/>
      <c r="AD525" s="218"/>
    </row>
    <row r="526" spans="2:30">
      <c r="B526" s="224" t="s">
        <v>2074</v>
      </c>
      <c r="C526" s="224" t="s">
        <v>2075</v>
      </c>
      <c r="AB526" s="218"/>
      <c r="AC526" s="218"/>
      <c r="AD526" s="218"/>
    </row>
    <row r="527" spans="2:30">
      <c r="B527" s="224" t="s">
        <v>2076</v>
      </c>
      <c r="C527" s="224" t="s">
        <v>2077</v>
      </c>
      <c r="AB527" s="218"/>
      <c r="AC527" s="218"/>
      <c r="AD527" s="218"/>
    </row>
    <row r="528" spans="2:30">
      <c r="B528" s="224" t="s">
        <v>2078</v>
      </c>
      <c r="C528" s="224" t="s">
        <v>2079</v>
      </c>
      <c r="AB528" s="218"/>
      <c r="AC528" s="218"/>
      <c r="AD528" s="218"/>
    </row>
    <row r="529" spans="2:30">
      <c r="B529" s="224" t="s">
        <v>2080</v>
      </c>
      <c r="C529" s="224" t="s">
        <v>2081</v>
      </c>
      <c r="AB529" s="218"/>
      <c r="AC529" s="218"/>
      <c r="AD529" s="218"/>
    </row>
    <row r="530" spans="2:30">
      <c r="B530" s="224" t="s">
        <v>2082</v>
      </c>
      <c r="C530" s="224" t="s">
        <v>2083</v>
      </c>
      <c r="AB530" s="218"/>
      <c r="AC530" s="218"/>
      <c r="AD530" s="218"/>
    </row>
    <row r="531" spans="2:30">
      <c r="B531" s="224" t="s">
        <v>2084</v>
      </c>
      <c r="C531" s="224" t="s">
        <v>2085</v>
      </c>
      <c r="AB531" s="218"/>
      <c r="AC531" s="218"/>
      <c r="AD531" s="218"/>
    </row>
    <row r="532" spans="2:30">
      <c r="B532" s="224" t="s">
        <v>2086</v>
      </c>
      <c r="C532" s="224" t="s">
        <v>2087</v>
      </c>
      <c r="AB532" s="218"/>
      <c r="AC532" s="218"/>
      <c r="AD532" s="218"/>
    </row>
    <row r="533" spans="2:30">
      <c r="B533" s="224" t="s">
        <v>2088</v>
      </c>
      <c r="C533" s="224" t="s">
        <v>2089</v>
      </c>
      <c r="AB533" s="218"/>
      <c r="AC533" s="218"/>
      <c r="AD533" s="218"/>
    </row>
    <row r="534" spans="2:30">
      <c r="B534" s="224" t="s">
        <v>2090</v>
      </c>
      <c r="C534" s="224" t="s">
        <v>2091</v>
      </c>
      <c r="AB534" s="218"/>
      <c r="AC534" s="218"/>
      <c r="AD534" s="218"/>
    </row>
    <row r="535" spans="2:30">
      <c r="B535" s="224" t="s">
        <v>2092</v>
      </c>
      <c r="C535" s="224" t="s">
        <v>2093</v>
      </c>
      <c r="AB535" s="218"/>
      <c r="AC535" s="218"/>
      <c r="AD535" s="218"/>
    </row>
    <row r="536" spans="2:30">
      <c r="B536" s="224" t="s">
        <v>2094</v>
      </c>
      <c r="C536" s="224" t="s">
        <v>2095</v>
      </c>
      <c r="AB536" s="218"/>
      <c r="AC536" s="218"/>
      <c r="AD536" s="218"/>
    </row>
    <row r="537" spans="2:30" s="219" customFormat="1" ht="11.25">
      <c r="B537" s="219" t="s">
        <v>2096</v>
      </c>
      <c r="C537" s="219" t="s">
        <v>2097</v>
      </c>
      <c r="D537" s="219" t="s">
        <v>1140</v>
      </c>
    </row>
  </sheetData>
  <sheetProtection formatCells="0" formatColumns="0" formatRows="0"/>
  <dataValidations disablePrompts="1" count="3">
    <dataValidation type="list" allowBlank="1" showInputMessage="1" showErrorMessage="1" sqref="WVP983059:WVT983059 WLT983059:WLX983059 WBX983059:WCB983059 VSB983059:VSF983059 VIF983059:VIJ983059 UYJ983059:UYN983059 UON983059:UOR983059 UER983059:UEV983059 TUV983059:TUZ983059 TKZ983059:TLD983059 TBD983059:TBH983059 SRH983059:SRL983059 SHL983059:SHP983059 RXP983059:RXT983059 RNT983059:RNX983059 RDX983059:REB983059 QUB983059:QUF983059 QKF983059:QKJ983059 QAJ983059:QAN983059 PQN983059:PQR983059 PGR983059:PGV983059 OWV983059:OWZ983059 OMZ983059:OND983059 ODD983059:ODH983059 NTH983059:NTL983059 NJL983059:NJP983059 MZP983059:MZT983059 MPT983059:MPX983059 MFX983059:MGB983059 LWB983059:LWF983059 LMF983059:LMJ983059 LCJ983059:LCN983059 KSN983059:KSR983059 KIR983059:KIV983059 JYV983059:JYZ983059 JOZ983059:JPD983059 JFD983059:JFH983059 IVH983059:IVL983059 ILL983059:ILP983059 IBP983059:IBT983059 HRT983059:HRX983059 HHX983059:HIB983059 GYB983059:GYF983059 GOF983059:GOJ983059 GEJ983059:GEN983059 FUN983059:FUR983059 FKR983059:FKV983059 FAV983059:FAZ983059 EQZ983059:ERD983059 EHD983059:EHH983059 DXH983059:DXL983059 DNL983059:DNP983059 DDP983059:DDT983059 CTT983059:CTX983059 CJX983059:CKB983059 CAB983059:CAF983059 BQF983059:BQJ983059 BGJ983059:BGN983059 AWN983059:AWR983059 AMR983059:AMV983059 ACV983059:ACZ983059 SZ983059:TD983059 JD983059:JH983059 WVP917523:WVT917523 WLT917523:WLX917523 WBX917523:WCB917523 VSB917523:VSF917523 VIF917523:VIJ917523 UYJ917523:UYN917523 UON917523:UOR917523 UER917523:UEV917523 TUV917523:TUZ917523 TKZ917523:TLD917523 TBD917523:TBH917523 SRH917523:SRL917523 SHL917523:SHP917523 RXP917523:RXT917523 RNT917523:RNX917523 RDX917523:REB917523 QUB917523:QUF917523 QKF917523:QKJ917523 QAJ917523:QAN917523 PQN917523:PQR917523 PGR917523:PGV917523 OWV917523:OWZ917523 OMZ917523:OND917523 ODD917523:ODH917523 NTH917523:NTL917523 NJL917523:NJP917523 MZP917523:MZT917523 MPT917523:MPX917523 MFX917523:MGB917523 LWB917523:LWF917523 LMF917523:LMJ917523 LCJ917523:LCN917523 KSN917523:KSR917523 KIR917523:KIV917523 JYV917523:JYZ917523 JOZ917523:JPD917523 JFD917523:JFH917523 IVH917523:IVL917523 ILL917523:ILP917523 IBP917523:IBT917523 HRT917523:HRX917523 HHX917523:HIB917523 GYB917523:GYF917523 GOF917523:GOJ917523 GEJ917523:GEN917523 FUN917523:FUR917523 FKR917523:FKV917523 FAV917523:FAZ917523 EQZ917523:ERD917523 EHD917523:EHH917523 DXH917523:DXL917523 DNL917523:DNP917523 DDP917523:DDT917523 CTT917523:CTX917523 CJX917523:CKB917523 CAB917523:CAF917523 BQF917523:BQJ917523 BGJ917523:BGN917523 AWN917523:AWR917523 AMR917523:AMV917523 ACV917523:ACZ917523 SZ917523:TD917523 JD917523:JH917523 WVP851987:WVT851987 WLT851987:WLX851987 WBX851987:WCB851987 VSB851987:VSF851987 VIF851987:VIJ851987 UYJ851987:UYN851987 UON851987:UOR851987 UER851987:UEV851987 TUV851987:TUZ851987 TKZ851987:TLD851987 TBD851987:TBH851987 SRH851987:SRL851987 SHL851987:SHP851987 RXP851987:RXT851987 RNT851987:RNX851987 RDX851987:REB851987 QUB851987:QUF851987 QKF851987:QKJ851987 QAJ851987:QAN851987 PQN851987:PQR851987 PGR851987:PGV851987 OWV851987:OWZ851987 OMZ851987:OND851987 ODD851987:ODH851987 NTH851987:NTL851987 NJL851987:NJP851987 MZP851987:MZT851987 MPT851987:MPX851987 MFX851987:MGB851987 LWB851987:LWF851987 LMF851987:LMJ851987 LCJ851987:LCN851987 KSN851987:KSR851987 KIR851987:KIV851987 JYV851987:JYZ851987 JOZ851987:JPD851987 JFD851987:JFH851987 IVH851987:IVL851987 ILL851987:ILP851987 IBP851987:IBT851987 HRT851987:HRX851987 HHX851987:HIB851987 GYB851987:GYF851987 GOF851987:GOJ851987 GEJ851987:GEN851987 FUN851987:FUR851987 FKR851987:FKV851987 FAV851987:FAZ851987 EQZ851987:ERD851987 EHD851987:EHH851987 DXH851987:DXL851987 DNL851987:DNP851987 DDP851987:DDT851987 CTT851987:CTX851987 CJX851987:CKB851987 CAB851987:CAF851987 BQF851987:BQJ851987 BGJ851987:BGN851987 AWN851987:AWR851987 AMR851987:AMV851987 ACV851987:ACZ851987 SZ851987:TD851987 JD851987:JH851987 WVP786451:WVT786451 WLT786451:WLX786451 WBX786451:WCB786451 VSB786451:VSF786451 VIF786451:VIJ786451 UYJ786451:UYN786451 UON786451:UOR786451 UER786451:UEV786451 TUV786451:TUZ786451 TKZ786451:TLD786451 TBD786451:TBH786451 SRH786451:SRL786451 SHL786451:SHP786451 RXP786451:RXT786451 RNT786451:RNX786451 RDX786451:REB786451 QUB786451:QUF786451 QKF786451:QKJ786451 QAJ786451:QAN786451 PQN786451:PQR786451 PGR786451:PGV786451 OWV786451:OWZ786451 OMZ786451:OND786451 ODD786451:ODH786451 NTH786451:NTL786451 NJL786451:NJP786451 MZP786451:MZT786451 MPT786451:MPX786451 MFX786451:MGB786451 LWB786451:LWF786451 LMF786451:LMJ786451 LCJ786451:LCN786451 KSN786451:KSR786451 KIR786451:KIV786451 JYV786451:JYZ786451 JOZ786451:JPD786451 JFD786451:JFH786451 IVH786451:IVL786451 ILL786451:ILP786451 IBP786451:IBT786451 HRT786451:HRX786451 HHX786451:HIB786451 GYB786451:GYF786451 GOF786451:GOJ786451 GEJ786451:GEN786451 FUN786451:FUR786451 FKR786451:FKV786451 FAV786451:FAZ786451 EQZ786451:ERD786451 EHD786451:EHH786451 DXH786451:DXL786451 DNL786451:DNP786451 DDP786451:DDT786451 CTT786451:CTX786451 CJX786451:CKB786451 CAB786451:CAF786451 BQF786451:BQJ786451 BGJ786451:BGN786451 AWN786451:AWR786451 AMR786451:AMV786451 ACV786451:ACZ786451 SZ786451:TD786451 JD786451:JH786451 WVP720915:WVT720915 WLT720915:WLX720915 WBX720915:WCB720915 VSB720915:VSF720915 VIF720915:VIJ720915 UYJ720915:UYN720915 UON720915:UOR720915 UER720915:UEV720915 TUV720915:TUZ720915 TKZ720915:TLD720915 TBD720915:TBH720915 SRH720915:SRL720915 SHL720915:SHP720915 RXP720915:RXT720915 RNT720915:RNX720915 RDX720915:REB720915 QUB720915:QUF720915 QKF720915:QKJ720915 QAJ720915:QAN720915 PQN720915:PQR720915 PGR720915:PGV720915 OWV720915:OWZ720915 OMZ720915:OND720915 ODD720915:ODH720915 NTH720915:NTL720915 NJL720915:NJP720915 MZP720915:MZT720915 MPT720915:MPX720915 MFX720915:MGB720915 LWB720915:LWF720915 LMF720915:LMJ720915 LCJ720915:LCN720915 KSN720915:KSR720915 KIR720915:KIV720915 JYV720915:JYZ720915 JOZ720915:JPD720915 JFD720915:JFH720915 IVH720915:IVL720915 ILL720915:ILP720915 IBP720915:IBT720915 HRT720915:HRX720915 HHX720915:HIB720915 GYB720915:GYF720915 GOF720915:GOJ720915 GEJ720915:GEN720915 FUN720915:FUR720915 FKR720915:FKV720915 FAV720915:FAZ720915 EQZ720915:ERD720915 EHD720915:EHH720915 DXH720915:DXL720915 DNL720915:DNP720915 DDP720915:DDT720915 CTT720915:CTX720915 CJX720915:CKB720915 CAB720915:CAF720915 BQF720915:BQJ720915 BGJ720915:BGN720915 AWN720915:AWR720915 AMR720915:AMV720915 ACV720915:ACZ720915 SZ720915:TD720915 JD720915:JH720915 WVP655379:WVT655379 WLT655379:WLX655379 WBX655379:WCB655379 VSB655379:VSF655379 VIF655379:VIJ655379 UYJ655379:UYN655379 UON655379:UOR655379 UER655379:UEV655379 TUV655379:TUZ655379 TKZ655379:TLD655379 TBD655379:TBH655379 SRH655379:SRL655379 SHL655379:SHP655379 RXP655379:RXT655379 RNT655379:RNX655379 RDX655379:REB655379 QUB655379:QUF655379 QKF655379:QKJ655379 QAJ655379:QAN655379 PQN655379:PQR655379 PGR655379:PGV655379 OWV655379:OWZ655379 OMZ655379:OND655379 ODD655379:ODH655379 NTH655379:NTL655379 NJL655379:NJP655379 MZP655379:MZT655379 MPT655379:MPX655379 MFX655379:MGB655379 LWB655379:LWF655379 LMF655379:LMJ655379 LCJ655379:LCN655379 KSN655379:KSR655379 KIR655379:KIV655379 JYV655379:JYZ655379 JOZ655379:JPD655379 JFD655379:JFH655379 IVH655379:IVL655379 ILL655379:ILP655379 IBP655379:IBT655379 HRT655379:HRX655379 HHX655379:HIB655379 GYB655379:GYF655379 GOF655379:GOJ655379 GEJ655379:GEN655379 FUN655379:FUR655379 FKR655379:FKV655379 FAV655379:FAZ655379 EQZ655379:ERD655379 EHD655379:EHH655379 DXH655379:DXL655379 DNL655379:DNP655379 DDP655379:DDT655379 CTT655379:CTX655379 CJX655379:CKB655379 CAB655379:CAF655379 BQF655379:BQJ655379 BGJ655379:BGN655379 AWN655379:AWR655379 AMR655379:AMV655379 ACV655379:ACZ655379 SZ655379:TD655379 JD655379:JH655379 WVP589843:WVT589843 WLT589843:WLX589843 WBX589843:WCB589843 VSB589843:VSF589843 VIF589843:VIJ589843 UYJ589843:UYN589843 UON589843:UOR589843 UER589843:UEV589843 TUV589843:TUZ589843 TKZ589843:TLD589843 TBD589843:TBH589843 SRH589843:SRL589843 SHL589843:SHP589843 RXP589843:RXT589843 RNT589843:RNX589843 RDX589843:REB589843 QUB589843:QUF589843 QKF589843:QKJ589843 QAJ589843:QAN589843 PQN589843:PQR589843 PGR589843:PGV589843 OWV589843:OWZ589843 OMZ589843:OND589843 ODD589843:ODH589843 NTH589843:NTL589843 NJL589843:NJP589843 MZP589843:MZT589843 MPT589843:MPX589843 MFX589843:MGB589843 LWB589843:LWF589843 LMF589843:LMJ589843 LCJ589843:LCN589843 KSN589843:KSR589843 KIR589843:KIV589843 JYV589843:JYZ589843 JOZ589843:JPD589843 JFD589843:JFH589843 IVH589843:IVL589843 ILL589843:ILP589843 IBP589843:IBT589843 HRT589843:HRX589843 HHX589843:HIB589843 GYB589843:GYF589843 GOF589843:GOJ589843 GEJ589843:GEN589843 FUN589843:FUR589843 FKR589843:FKV589843 FAV589843:FAZ589843 EQZ589843:ERD589843 EHD589843:EHH589843 DXH589843:DXL589843 DNL589843:DNP589843 DDP589843:DDT589843 CTT589843:CTX589843 CJX589843:CKB589843 CAB589843:CAF589843 BQF589843:BQJ589843 BGJ589843:BGN589843 AWN589843:AWR589843 AMR589843:AMV589843 ACV589843:ACZ589843 SZ589843:TD589843 JD589843:JH589843 WVP524307:WVT524307 WLT524307:WLX524307 WBX524307:WCB524307 VSB524307:VSF524307 VIF524307:VIJ524307 UYJ524307:UYN524307 UON524307:UOR524307 UER524307:UEV524307 TUV524307:TUZ524307 TKZ524307:TLD524307 TBD524307:TBH524307 SRH524307:SRL524307 SHL524307:SHP524307 RXP524307:RXT524307 RNT524307:RNX524307 RDX524307:REB524307 QUB524307:QUF524307 QKF524307:QKJ524307 QAJ524307:QAN524307 PQN524307:PQR524307 PGR524307:PGV524307 OWV524307:OWZ524307 OMZ524307:OND524307 ODD524307:ODH524307 NTH524307:NTL524307 NJL524307:NJP524307 MZP524307:MZT524307 MPT524307:MPX524307 MFX524307:MGB524307 LWB524307:LWF524307 LMF524307:LMJ524307 LCJ524307:LCN524307 KSN524307:KSR524307 KIR524307:KIV524307 JYV524307:JYZ524307 JOZ524307:JPD524307 JFD524307:JFH524307 IVH524307:IVL524307 ILL524307:ILP524307 IBP524307:IBT524307 HRT524307:HRX524307 HHX524307:HIB524307 GYB524307:GYF524307 GOF524307:GOJ524307 GEJ524307:GEN524307 FUN524307:FUR524307 FKR524307:FKV524307 FAV524307:FAZ524307 EQZ524307:ERD524307 EHD524307:EHH524307 DXH524307:DXL524307 DNL524307:DNP524307 DDP524307:DDT524307 CTT524307:CTX524307 CJX524307:CKB524307 CAB524307:CAF524307 BQF524307:BQJ524307 BGJ524307:BGN524307 AWN524307:AWR524307 AMR524307:AMV524307 ACV524307:ACZ524307 SZ524307:TD524307 JD524307:JH524307 WVP458771:WVT458771 WLT458771:WLX458771 WBX458771:WCB458771 VSB458771:VSF458771 VIF458771:VIJ458771 UYJ458771:UYN458771 UON458771:UOR458771 UER458771:UEV458771 TUV458771:TUZ458771 TKZ458771:TLD458771 TBD458771:TBH458771 SRH458771:SRL458771 SHL458771:SHP458771 RXP458771:RXT458771 RNT458771:RNX458771 RDX458771:REB458771 QUB458771:QUF458771 QKF458771:QKJ458771 QAJ458771:QAN458771 PQN458771:PQR458771 PGR458771:PGV458771 OWV458771:OWZ458771 OMZ458771:OND458771 ODD458771:ODH458771 NTH458771:NTL458771 NJL458771:NJP458771 MZP458771:MZT458771 MPT458771:MPX458771 MFX458771:MGB458771 LWB458771:LWF458771 LMF458771:LMJ458771 LCJ458771:LCN458771 KSN458771:KSR458771 KIR458771:KIV458771 JYV458771:JYZ458771 JOZ458771:JPD458771 JFD458771:JFH458771 IVH458771:IVL458771 ILL458771:ILP458771 IBP458771:IBT458771 HRT458771:HRX458771 HHX458771:HIB458771 GYB458771:GYF458771 GOF458771:GOJ458771 GEJ458771:GEN458771 FUN458771:FUR458771 FKR458771:FKV458771 FAV458771:FAZ458771 EQZ458771:ERD458771 EHD458771:EHH458771 DXH458771:DXL458771 DNL458771:DNP458771 DDP458771:DDT458771 CTT458771:CTX458771 CJX458771:CKB458771 CAB458771:CAF458771 BQF458771:BQJ458771 BGJ458771:BGN458771 AWN458771:AWR458771 AMR458771:AMV458771 ACV458771:ACZ458771 SZ458771:TD458771 JD458771:JH458771 WVP393235:WVT393235 WLT393235:WLX393235 WBX393235:WCB393235 VSB393235:VSF393235 VIF393235:VIJ393235 UYJ393235:UYN393235 UON393235:UOR393235 UER393235:UEV393235 TUV393235:TUZ393235 TKZ393235:TLD393235 TBD393235:TBH393235 SRH393235:SRL393235 SHL393235:SHP393235 RXP393235:RXT393235 RNT393235:RNX393235 RDX393235:REB393235 QUB393235:QUF393235 QKF393235:QKJ393235 QAJ393235:QAN393235 PQN393235:PQR393235 PGR393235:PGV393235 OWV393235:OWZ393235 OMZ393235:OND393235 ODD393235:ODH393235 NTH393235:NTL393235 NJL393235:NJP393235 MZP393235:MZT393235 MPT393235:MPX393235 MFX393235:MGB393235 LWB393235:LWF393235 LMF393235:LMJ393235 LCJ393235:LCN393235 KSN393235:KSR393235 KIR393235:KIV393235 JYV393235:JYZ393235 JOZ393235:JPD393235 JFD393235:JFH393235 IVH393235:IVL393235 ILL393235:ILP393235 IBP393235:IBT393235 HRT393235:HRX393235 HHX393235:HIB393235 GYB393235:GYF393235 GOF393235:GOJ393235 GEJ393235:GEN393235 FUN393235:FUR393235 FKR393235:FKV393235 FAV393235:FAZ393235 EQZ393235:ERD393235 EHD393235:EHH393235 DXH393235:DXL393235 DNL393235:DNP393235 DDP393235:DDT393235 CTT393235:CTX393235 CJX393235:CKB393235 CAB393235:CAF393235 BQF393235:BQJ393235 BGJ393235:BGN393235 AWN393235:AWR393235 AMR393235:AMV393235 ACV393235:ACZ393235 SZ393235:TD393235 JD393235:JH393235 WVP327699:WVT327699 WLT327699:WLX327699 WBX327699:WCB327699 VSB327699:VSF327699 VIF327699:VIJ327699 UYJ327699:UYN327699 UON327699:UOR327699 UER327699:UEV327699 TUV327699:TUZ327699 TKZ327699:TLD327699 TBD327699:TBH327699 SRH327699:SRL327699 SHL327699:SHP327699 RXP327699:RXT327699 RNT327699:RNX327699 RDX327699:REB327699 QUB327699:QUF327699 QKF327699:QKJ327699 QAJ327699:QAN327699 PQN327699:PQR327699 PGR327699:PGV327699 OWV327699:OWZ327699 OMZ327699:OND327699 ODD327699:ODH327699 NTH327699:NTL327699 NJL327699:NJP327699 MZP327699:MZT327699 MPT327699:MPX327699 MFX327699:MGB327699 LWB327699:LWF327699 LMF327699:LMJ327699 LCJ327699:LCN327699 KSN327699:KSR327699 KIR327699:KIV327699 JYV327699:JYZ327699 JOZ327699:JPD327699 JFD327699:JFH327699 IVH327699:IVL327699 ILL327699:ILP327699 IBP327699:IBT327699 HRT327699:HRX327699 HHX327699:HIB327699 GYB327699:GYF327699 GOF327699:GOJ327699 GEJ327699:GEN327699 FUN327699:FUR327699 FKR327699:FKV327699 FAV327699:FAZ327699 EQZ327699:ERD327699 EHD327699:EHH327699 DXH327699:DXL327699 DNL327699:DNP327699 DDP327699:DDT327699 CTT327699:CTX327699 CJX327699:CKB327699 CAB327699:CAF327699 BQF327699:BQJ327699 BGJ327699:BGN327699 AWN327699:AWR327699 AMR327699:AMV327699 ACV327699:ACZ327699 SZ327699:TD327699 JD327699:JH327699 WVP262163:WVT262163 WLT262163:WLX262163 WBX262163:WCB262163 VSB262163:VSF262163 VIF262163:VIJ262163 UYJ262163:UYN262163 UON262163:UOR262163 UER262163:UEV262163 TUV262163:TUZ262163 TKZ262163:TLD262163 TBD262163:TBH262163 SRH262163:SRL262163 SHL262163:SHP262163 RXP262163:RXT262163 RNT262163:RNX262163 RDX262163:REB262163 QUB262163:QUF262163 QKF262163:QKJ262163 QAJ262163:QAN262163 PQN262163:PQR262163 PGR262163:PGV262163 OWV262163:OWZ262163 OMZ262163:OND262163 ODD262163:ODH262163 NTH262163:NTL262163 NJL262163:NJP262163 MZP262163:MZT262163 MPT262163:MPX262163 MFX262163:MGB262163 LWB262163:LWF262163 LMF262163:LMJ262163 LCJ262163:LCN262163 KSN262163:KSR262163 KIR262163:KIV262163 JYV262163:JYZ262163 JOZ262163:JPD262163 JFD262163:JFH262163 IVH262163:IVL262163 ILL262163:ILP262163 IBP262163:IBT262163 HRT262163:HRX262163 HHX262163:HIB262163 GYB262163:GYF262163 GOF262163:GOJ262163 GEJ262163:GEN262163 FUN262163:FUR262163 FKR262163:FKV262163 FAV262163:FAZ262163 EQZ262163:ERD262163 EHD262163:EHH262163 DXH262163:DXL262163 DNL262163:DNP262163 DDP262163:DDT262163 CTT262163:CTX262163 CJX262163:CKB262163 CAB262163:CAF262163 BQF262163:BQJ262163 BGJ262163:BGN262163 AWN262163:AWR262163 AMR262163:AMV262163 ACV262163:ACZ262163 SZ262163:TD262163 JD262163:JH262163 WVP196627:WVT196627 WLT196627:WLX196627 WBX196627:WCB196627 VSB196627:VSF196627 VIF196627:VIJ196627 UYJ196627:UYN196627 UON196627:UOR196627 UER196627:UEV196627 TUV196627:TUZ196627 TKZ196627:TLD196627 TBD196627:TBH196627 SRH196627:SRL196627 SHL196627:SHP196627 RXP196627:RXT196627 RNT196627:RNX196627 RDX196627:REB196627 QUB196627:QUF196627 QKF196627:QKJ196627 QAJ196627:QAN196627 PQN196627:PQR196627 PGR196627:PGV196627 OWV196627:OWZ196627 OMZ196627:OND196627 ODD196627:ODH196627 NTH196627:NTL196627 NJL196627:NJP196627 MZP196627:MZT196627 MPT196627:MPX196627 MFX196627:MGB196627 LWB196627:LWF196627 LMF196627:LMJ196627 LCJ196627:LCN196627 KSN196627:KSR196627 KIR196627:KIV196627 JYV196627:JYZ196627 JOZ196627:JPD196627 JFD196627:JFH196627 IVH196627:IVL196627 ILL196627:ILP196627 IBP196627:IBT196627 HRT196627:HRX196627 HHX196627:HIB196627 GYB196627:GYF196627 GOF196627:GOJ196627 GEJ196627:GEN196627 FUN196627:FUR196627 FKR196627:FKV196627 FAV196627:FAZ196627 EQZ196627:ERD196627 EHD196627:EHH196627 DXH196627:DXL196627 DNL196627:DNP196627 DDP196627:DDT196627 CTT196627:CTX196627 CJX196627:CKB196627 CAB196627:CAF196627 BQF196627:BQJ196627 BGJ196627:BGN196627 AWN196627:AWR196627 AMR196627:AMV196627 ACV196627:ACZ196627 SZ196627:TD196627 JD196627:JH196627 WVP131091:WVT131091 WLT131091:WLX131091 WBX131091:WCB131091 VSB131091:VSF131091 VIF131091:VIJ131091 UYJ131091:UYN131091 UON131091:UOR131091 UER131091:UEV131091 TUV131091:TUZ131091 TKZ131091:TLD131091 TBD131091:TBH131091 SRH131091:SRL131091 SHL131091:SHP131091 RXP131091:RXT131091 RNT131091:RNX131091 RDX131091:REB131091 QUB131091:QUF131091 QKF131091:QKJ131091 QAJ131091:QAN131091 PQN131091:PQR131091 PGR131091:PGV131091 OWV131091:OWZ131091 OMZ131091:OND131091 ODD131091:ODH131091 NTH131091:NTL131091 NJL131091:NJP131091 MZP131091:MZT131091 MPT131091:MPX131091 MFX131091:MGB131091 LWB131091:LWF131091 LMF131091:LMJ131091 LCJ131091:LCN131091 KSN131091:KSR131091 KIR131091:KIV131091 JYV131091:JYZ131091 JOZ131091:JPD131091 JFD131091:JFH131091 IVH131091:IVL131091 ILL131091:ILP131091 IBP131091:IBT131091 HRT131091:HRX131091 HHX131091:HIB131091 GYB131091:GYF131091 GOF131091:GOJ131091 GEJ131091:GEN131091 FUN131091:FUR131091 FKR131091:FKV131091 FAV131091:FAZ131091 EQZ131091:ERD131091 EHD131091:EHH131091 DXH131091:DXL131091 DNL131091:DNP131091 DDP131091:DDT131091 CTT131091:CTX131091 CJX131091:CKB131091 CAB131091:CAF131091 BQF131091:BQJ131091 BGJ131091:BGN131091 AWN131091:AWR131091 AMR131091:AMV131091 ACV131091:ACZ131091 SZ131091:TD131091 JD131091:JH131091 WVP65555:WVT65555 WLT65555:WLX65555 WBX65555:WCB65555 VSB65555:VSF65555 VIF65555:VIJ65555 UYJ65555:UYN65555 UON65555:UOR65555 UER65555:UEV65555 TUV65555:TUZ65555 TKZ65555:TLD65555 TBD65555:TBH65555 SRH65555:SRL65555 SHL65555:SHP65555 RXP65555:RXT65555 RNT65555:RNX65555 RDX65555:REB65555 QUB65555:QUF65555 QKF65555:QKJ65555 QAJ65555:QAN65555 PQN65555:PQR65555 PGR65555:PGV65555 OWV65555:OWZ65555 OMZ65555:OND65555 ODD65555:ODH65555 NTH65555:NTL65555 NJL65555:NJP65555 MZP65555:MZT65555 MPT65555:MPX65555 MFX65555:MGB65555 LWB65555:LWF65555 LMF65555:LMJ65555 LCJ65555:LCN65555 KSN65555:KSR65555 KIR65555:KIV65555 JYV65555:JYZ65555 JOZ65555:JPD65555 JFD65555:JFH65555 IVH65555:IVL65555 ILL65555:ILP65555 IBP65555:IBT65555 HRT65555:HRX65555 HHX65555:HIB65555 GYB65555:GYF65555 GOF65555:GOJ65555 GEJ65555:GEN65555 FUN65555:FUR65555 FKR65555:FKV65555 FAV65555:FAZ65555 EQZ65555:ERD65555 EHD65555:EHH65555 DXH65555:DXL65555 DNL65555:DNP65555 DDP65555:DDT65555 CTT65555:CTX65555 CJX65555:CKB65555 CAB65555:CAF65555 BQF65555:BQJ65555 BGJ65555:BGN65555 AWN65555:AWR65555 AMR65555:AMV65555 ACV65555:ACZ65555 SZ65555:TD65555 JD65555:JH65555 JD18:JH18 WVP18:WVT18 WLT18:WLX18 WBX18:WCB18 VSB18:VSF18 VIF18:VIJ18 UYJ18:UYN18 UON18:UOR18 UER18:UEV18 TUV18:TUZ18 TKZ18:TLD18 TBD18:TBH18 SRH18:SRL18 SHL18:SHP18 RXP18:RXT18 RNT18:RNX18 RDX18:REB18 QUB18:QUF18 QKF18:QKJ18 QAJ18:QAN18 PQN18:PQR18 PGR18:PGV18 OWV18:OWZ18 OMZ18:OND18 ODD18:ODH18 NTH18:NTL18 NJL18:NJP18 MZP18:MZT18 MPT18:MPX18 MFX18:MGB18 LWB18:LWF18 LMF18:LMJ18 LCJ18:LCN18 KSN18:KSR18 KIR18:KIV18 JYV18:JYZ18 JOZ18:JPD18 JFD18:JFH18 IVH18:IVL18 ILL18:ILP18 IBP18:IBT18 HRT18:HRX18 HHX18:HIB18 GYB18:GYF18 GOF18:GOJ18 GEJ18:GEN18 FUN18:FUR18 FKR18:FKV18 FAV18:FAZ18 EQZ18:ERD18 EHD18:EHH18 DXH18:DXL18 DNL18:DNP18 DDP18:DDT18 CTT18:CTX18 CJX18:CKB18 CAB18:CAF18 BQF18:BQJ18 BGJ18:BGN18 AWN18:AWR18 AMR18:AMV18 ACV18:ACZ18 SZ18:TD18 E65555 E131091 E196627 E262163 E327699 E393235 E458771 E524307 E589843 E655379 E720915 E786451 E851987 E917523 E983059" xr:uid="{00000000-0002-0000-0900-000000000000}">
      <formula1>"6 months,12 months,18 months,2 years,1 month,3 months,9 months,3 years,(remove)"</formula1>
    </dataValidation>
    <dataValidation type="list" allowBlank="1" showInputMessage="1" showErrorMessage="1" sqref="WVP983057:WVT983057 WLT983057:WLX983057 WBX983057:WCB983057 VSB983057:VSF983057 VIF983057:VIJ983057 UYJ983057:UYN983057 UON983057:UOR983057 UER983057:UEV983057 TUV983057:TUZ983057 TKZ983057:TLD983057 TBD983057:TBH983057 SRH983057:SRL983057 SHL983057:SHP983057 RXP983057:RXT983057 RNT983057:RNX983057 RDX983057:REB983057 QUB983057:QUF983057 QKF983057:QKJ983057 QAJ983057:QAN983057 PQN983057:PQR983057 PGR983057:PGV983057 OWV983057:OWZ983057 OMZ983057:OND983057 ODD983057:ODH983057 NTH983057:NTL983057 NJL983057:NJP983057 MZP983057:MZT983057 MPT983057:MPX983057 MFX983057:MGB983057 LWB983057:LWF983057 LMF983057:LMJ983057 LCJ983057:LCN983057 KSN983057:KSR983057 KIR983057:KIV983057 JYV983057:JYZ983057 JOZ983057:JPD983057 JFD983057:JFH983057 IVH983057:IVL983057 ILL983057:ILP983057 IBP983057:IBT983057 HRT983057:HRX983057 HHX983057:HIB983057 GYB983057:GYF983057 GOF983057:GOJ983057 GEJ983057:GEN983057 FUN983057:FUR983057 FKR983057:FKV983057 FAV983057:FAZ983057 EQZ983057:ERD983057 EHD983057:EHH983057 DXH983057:DXL983057 DNL983057:DNP983057 DDP983057:DDT983057 CTT983057:CTX983057 CJX983057:CKB983057 CAB983057:CAF983057 BQF983057:BQJ983057 BGJ983057:BGN983057 AWN983057:AWR983057 AMR983057:AMV983057 ACV983057:ACZ983057 SZ983057:TD983057 JD983057:JH983057 WVP917521:WVT917521 WLT917521:WLX917521 WBX917521:WCB917521 VSB917521:VSF917521 VIF917521:VIJ917521 UYJ917521:UYN917521 UON917521:UOR917521 UER917521:UEV917521 TUV917521:TUZ917521 TKZ917521:TLD917521 TBD917521:TBH917521 SRH917521:SRL917521 SHL917521:SHP917521 RXP917521:RXT917521 RNT917521:RNX917521 RDX917521:REB917521 QUB917521:QUF917521 QKF917521:QKJ917521 QAJ917521:QAN917521 PQN917521:PQR917521 PGR917521:PGV917521 OWV917521:OWZ917521 OMZ917521:OND917521 ODD917521:ODH917521 NTH917521:NTL917521 NJL917521:NJP917521 MZP917521:MZT917521 MPT917521:MPX917521 MFX917521:MGB917521 LWB917521:LWF917521 LMF917521:LMJ917521 LCJ917521:LCN917521 KSN917521:KSR917521 KIR917521:KIV917521 JYV917521:JYZ917521 JOZ917521:JPD917521 JFD917521:JFH917521 IVH917521:IVL917521 ILL917521:ILP917521 IBP917521:IBT917521 HRT917521:HRX917521 HHX917521:HIB917521 GYB917521:GYF917521 GOF917521:GOJ917521 GEJ917521:GEN917521 FUN917521:FUR917521 FKR917521:FKV917521 FAV917521:FAZ917521 EQZ917521:ERD917521 EHD917521:EHH917521 DXH917521:DXL917521 DNL917521:DNP917521 DDP917521:DDT917521 CTT917521:CTX917521 CJX917521:CKB917521 CAB917521:CAF917521 BQF917521:BQJ917521 BGJ917521:BGN917521 AWN917521:AWR917521 AMR917521:AMV917521 ACV917521:ACZ917521 SZ917521:TD917521 JD917521:JH917521 WVP851985:WVT851985 WLT851985:WLX851985 WBX851985:WCB851985 VSB851985:VSF851985 VIF851985:VIJ851985 UYJ851985:UYN851985 UON851985:UOR851985 UER851985:UEV851985 TUV851985:TUZ851985 TKZ851985:TLD851985 TBD851985:TBH851985 SRH851985:SRL851985 SHL851985:SHP851985 RXP851985:RXT851985 RNT851985:RNX851985 RDX851985:REB851985 QUB851985:QUF851985 QKF851985:QKJ851985 QAJ851985:QAN851985 PQN851985:PQR851985 PGR851985:PGV851985 OWV851985:OWZ851985 OMZ851985:OND851985 ODD851985:ODH851985 NTH851985:NTL851985 NJL851985:NJP851985 MZP851985:MZT851985 MPT851985:MPX851985 MFX851985:MGB851985 LWB851985:LWF851985 LMF851985:LMJ851985 LCJ851985:LCN851985 KSN851985:KSR851985 KIR851985:KIV851985 JYV851985:JYZ851985 JOZ851985:JPD851985 JFD851985:JFH851985 IVH851985:IVL851985 ILL851985:ILP851985 IBP851985:IBT851985 HRT851985:HRX851985 HHX851985:HIB851985 GYB851985:GYF851985 GOF851985:GOJ851985 GEJ851985:GEN851985 FUN851985:FUR851985 FKR851985:FKV851985 FAV851985:FAZ851985 EQZ851985:ERD851985 EHD851985:EHH851985 DXH851985:DXL851985 DNL851985:DNP851985 DDP851985:DDT851985 CTT851985:CTX851985 CJX851985:CKB851985 CAB851985:CAF851985 BQF851985:BQJ851985 BGJ851985:BGN851985 AWN851985:AWR851985 AMR851985:AMV851985 ACV851985:ACZ851985 SZ851985:TD851985 JD851985:JH851985 WVP786449:WVT786449 WLT786449:WLX786449 WBX786449:WCB786449 VSB786449:VSF786449 VIF786449:VIJ786449 UYJ786449:UYN786449 UON786449:UOR786449 UER786449:UEV786449 TUV786449:TUZ786449 TKZ786449:TLD786449 TBD786449:TBH786449 SRH786449:SRL786449 SHL786449:SHP786449 RXP786449:RXT786449 RNT786449:RNX786449 RDX786449:REB786449 QUB786449:QUF786449 QKF786449:QKJ786449 QAJ786449:QAN786449 PQN786449:PQR786449 PGR786449:PGV786449 OWV786449:OWZ786449 OMZ786449:OND786449 ODD786449:ODH786449 NTH786449:NTL786449 NJL786449:NJP786449 MZP786449:MZT786449 MPT786449:MPX786449 MFX786449:MGB786449 LWB786449:LWF786449 LMF786449:LMJ786449 LCJ786449:LCN786449 KSN786449:KSR786449 KIR786449:KIV786449 JYV786449:JYZ786449 JOZ786449:JPD786449 JFD786449:JFH786449 IVH786449:IVL786449 ILL786449:ILP786449 IBP786449:IBT786449 HRT786449:HRX786449 HHX786449:HIB786449 GYB786449:GYF786449 GOF786449:GOJ786449 GEJ786449:GEN786449 FUN786449:FUR786449 FKR786449:FKV786449 FAV786449:FAZ786449 EQZ786449:ERD786449 EHD786449:EHH786449 DXH786449:DXL786449 DNL786449:DNP786449 DDP786449:DDT786449 CTT786449:CTX786449 CJX786449:CKB786449 CAB786449:CAF786449 BQF786449:BQJ786449 BGJ786449:BGN786449 AWN786449:AWR786449 AMR786449:AMV786449 ACV786449:ACZ786449 SZ786449:TD786449 JD786449:JH786449 WVP720913:WVT720913 WLT720913:WLX720913 WBX720913:WCB720913 VSB720913:VSF720913 VIF720913:VIJ720913 UYJ720913:UYN720913 UON720913:UOR720913 UER720913:UEV720913 TUV720913:TUZ720913 TKZ720913:TLD720913 TBD720913:TBH720913 SRH720913:SRL720913 SHL720913:SHP720913 RXP720913:RXT720913 RNT720913:RNX720913 RDX720913:REB720913 QUB720913:QUF720913 QKF720913:QKJ720913 QAJ720913:QAN720913 PQN720913:PQR720913 PGR720913:PGV720913 OWV720913:OWZ720913 OMZ720913:OND720913 ODD720913:ODH720913 NTH720913:NTL720913 NJL720913:NJP720913 MZP720913:MZT720913 MPT720913:MPX720913 MFX720913:MGB720913 LWB720913:LWF720913 LMF720913:LMJ720913 LCJ720913:LCN720913 KSN720913:KSR720913 KIR720913:KIV720913 JYV720913:JYZ720913 JOZ720913:JPD720913 JFD720913:JFH720913 IVH720913:IVL720913 ILL720913:ILP720913 IBP720913:IBT720913 HRT720913:HRX720913 HHX720913:HIB720913 GYB720913:GYF720913 GOF720913:GOJ720913 GEJ720913:GEN720913 FUN720913:FUR720913 FKR720913:FKV720913 FAV720913:FAZ720913 EQZ720913:ERD720913 EHD720913:EHH720913 DXH720913:DXL720913 DNL720913:DNP720913 DDP720913:DDT720913 CTT720913:CTX720913 CJX720913:CKB720913 CAB720913:CAF720913 BQF720913:BQJ720913 BGJ720913:BGN720913 AWN720913:AWR720913 AMR720913:AMV720913 ACV720913:ACZ720913 SZ720913:TD720913 JD720913:JH720913 WVP655377:WVT655377 WLT655377:WLX655377 WBX655377:WCB655377 VSB655377:VSF655377 VIF655377:VIJ655377 UYJ655377:UYN655377 UON655377:UOR655377 UER655377:UEV655377 TUV655377:TUZ655377 TKZ655377:TLD655377 TBD655377:TBH655377 SRH655377:SRL655377 SHL655377:SHP655377 RXP655377:RXT655377 RNT655377:RNX655377 RDX655377:REB655377 QUB655377:QUF655377 QKF655377:QKJ655377 QAJ655377:QAN655377 PQN655377:PQR655377 PGR655377:PGV655377 OWV655377:OWZ655377 OMZ655377:OND655377 ODD655377:ODH655377 NTH655377:NTL655377 NJL655377:NJP655377 MZP655377:MZT655377 MPT655377:MPX655377 MFX655377:MGB655377 LWB655377:LWF655377 LMF655377:LMJ655377 LCJ655377:LCN655377 KSN655377:KSR655377 KIR655377:KIV655377 JYV655377:JYZ655377 JOZ655377:JPD655377 JFD655377:JFH655377 IVH655377:IVL655377 ILL655377:ILP655377 IBP655377:IBT655377 HRT655377:HRX655377 HHX655377:HIB655377 GYB655377:GYF655377 GOF655377:GOJ655377 GEJ655377:GEN655377 FUN655377:FUR655377 FKR655377:FKV655377 FAV655377:FAZ655377 EQZ655377:ERD655377 EHD655377:EHH655377 DXH655377:DXL655377 DNL655377:DNP655377 DDP655377:DDT655377 CTT655377:CTX655377 CJX655377:CKB655377 CAB655377:CAF655377 BQF655377:BQJ655377 BGJ655377:BGN655377 AWN655377:AWR655377 AMR655377:AMV655377 ACV655377:ACZ655377 SZ655377:TD655377 JD655377:JH655377 WVP589841:WVT589841 WLT589841:WLX589841 WBX589841:WCB589841 VSB589841:VSF589841 VIF589841:VIJ589841 UYJ589841:UYN589841 UON589841:UOR589841 UER589841:UEV589841 TUV589841:TUZ589841 TKZ589841:TLD589841 TBD589841:TBH589841 SRH589841:SRL589841 SHL589841:SHP589841 RXP589841:RXT589841 RNT589841:RNX589841 RDX589841:REB589841 QUB589841:QUF589841 QKF589841:QKJ589841 QAJ589841:QAN589841 PQN589841:PQR589841 PGR589841:PGV589841 OWV589841:OWZ589841 OMZ589841:OND589841 ODD589841:ODH589841 NTH589841:NTL589841 NJL589841:NJP589841 MZP589841:MZT589841 MPT589841:MPX589841 MFX589841:MGB589841 LWB589841:LWF589841 LMF589841:LMJ589841 LCJ589841:LCN589841 KSN589841:KSR589841 KIR589841:KIV589841 JYV589841:JYZ589841 JOZ589841:JPD589841 JFD589841:JFH589841 IVH589841:IVL589841 ILL589841:ILP589841 IBP589841:IBT589841 HRT589841:HRX589841 HHX589841:HIB589841 GYB589841:GYF589841 GOF589841:GOJ589841 GEJ589841:GEN589841 FUN589841:FUR589841 FKR589841:FKV589841 FAV589841:FAZ589841 EQZ589841:ERD589841 EHD589841:EHH589841 DXH589841:DXL589841 DNL589841:DNP589841 DDP589841:DDT589841 CTT589841:CTX589841 CJX589841:CKB589841 CAB589841:CAF589841 BQF589841:BQJ589841 BGJ589841:BGN589841 AWN589841:AWR589841 AMR589841:AMV589841 ACV589841:ACZ589841 SZ589841:TD589841 JD589841:JH589841 WVP524305:WVT524305 WLT524305:WLX524305 WBX524305:WCB524305 VSB524305:VSF524305 VIF524305:VIJ524305 UYJ524305:UYN524305 UON524305:UOR524305 UER524305:UEV524305 TUV524305:TUZ524305 TKZ524305:TLD524305 TBD524305:TBH524305 SRH524305:SRL524305 SHL524305:SHP524305 RXP524305:RXT524305 RNT524305:RNX524305 RDX524305:REB524305 QUB524305:QUF524305 QKF524305:QKJ524305 QAJ524305:QAN524305 PQN524305:PQR524305 PGR524305:PGV524305 OWV524305:OWZ524305 OMZ524305:OND524305 ODD524305:ODH524305 NTH524305:NTL524305 NJL524305:NJP524305 MZP524305:MZT524305 MPT524305:MPX524305 MFX524305:MGB524305 LWB524305:LWF524305 LMF524305:LMJ524305 LCJ524305:LCN524305 KSN524305:KSR524305 KIR524305:KIV524305 JYV524305:JYZ524305 JOZ524305:JPD524305 JFD524305:JFH524305 IVH524305:IVL524305 ILL524305:ILP524305 IBP524305:IBT524305 HRT524305:HRX524305 HHX524305:HIB524305 GYB524305:GYF524305 GOF524305:GOJ524305 GEJ524305:GEN524305 FUN524305:FUR524305 FKR524305:FKV524305 FAV524305:FAZ524305 EQZ524305:ERD524305 EHD524305:EHH524305 DXH524305:DXL524305 DNL524305:DNP524305 DDP524305:DDT524305 CTT524305:CTX524305 CJX524305:CKB524305 CAB524305:CAF524305 BQF524305:BQJ524305 BGJ524305:BGN524305 AWN524305:AWR524305 AMR524305:AMV524305 ACV524305:ACZ524305 SZ524305:TD524305 JD524305:JH524305 WVP458769:WVT458769 WLT458769:WLX458769 WBX458769:WCB458769 VSB458769:VSF458769 VIF458769:VIJ458769 UYJ458769:UYN458769 UON458769:UOR458769 UER458769:UEV458769 TUV458769:TUZ458769 TKZ458769:TLD458769 TBD458769:TBH458769 SRH458769:SRL458769 SHL458769:SHP458769 RXP458769:RXT458769 RNT458769:RNX458769 RDX458769:REB458769 QUB458769:QUF458769 QKF458769:QKJ458769 QAJ458769:QAN458769 PQN458769:PQR458769 PGR458769:PGV458769 OWV458769:OWZ458769 OMZ458769:OND458769 ODD458769:ODH458769 NTH458769:NTL458769 NJL458769:NJP458769 MZP458769:MZT458769 MPT458769:MPX458769 MFX458769:MGB458769 LWB458769:LWF458769 LMF458769:LMJ458769 LCJ458769:LCN458769 KSN458769:KSR458769 KIR458769:KIV458769 JYV458769:JYZ458769 JOZ458769:JPD458769 JFD458769:JFH458769 IVH458769:IVL458769 ILL458769:ILP458769 IBP458769:IBT458769 HRT458769:HRX458769 HHX458769:HIB458769 GYB458769:GYF458769 GOF458769:GOJ458769 GEJ458769:GEN458769 FUN458769:FUR458769 FKR458769:FKV458769 FAV458769:FAZ458769 EQZ458769:ERD458769 EHD458769:EHH458769 DXH458769:DXL458769 DNL458769:DNP458769 DDP458769:DDT458769 CTT458769:CTX458769 CJX458769:CKB458769 CAB458769:CAF458769 BQF458769:BQJ458769 BGJ458769:BGN458769 AWN458769:AWR458769 AMR458769:AMV458769 ACV458769:ACZ458769 SZ458769:TD458769 JD458769:JH458769 WVP393233:WVT393233 WLT393233:WLX393233 WBX393233:WCB393233 VSB393233:VSF393233 VIF393233:VIJ393233 UYJ393233:UYN393233 UON393233:UOR393233 UER393233:UEV393233 TUV393233:TUZ393233 TKZ393233:TLD393233 TBD393233:TBH393233 SRH393233:SRL393233 SHL393233:SHP393233 RXP393233:RXT393233 RNT393233:RNX393233 RDX393233:REB393233 QUB393233:QUF393233 QKF393233:QKJ393233 QAJ393233:QAN393233 PQN393233:PQR393233 PGR393233:PGV393233 OWV393233:OWZ393233 OMZ393233:OND393233 ODD393233:ODH393233 NTH393233:NTL393233 NJL393233:NJP393233 MZP393233:MZT393233 MPT393233:MPX393233 MFX393233:MGB393233 LWB393233:LWF393233 LMF393233:LMJ393233 LCJ393233:LCN393233 KSN393233:KSR393233 KIR393233:KIV393233 JYV393233:JYZ393233 JOZ393233:JPD393233 JFD393233:JFH393233 IVH393233:IVL393233 ILL393233:ILP393233 IBP393233:IBT393233 HRT393233:HRX393233 HHX393233:HIB393233 GYB393233:GYF393233 GOF393233:GOJ393233 GEJ393233:GEN393233 FUN393233:FUR393233 FKR393233:FKV393233 FAV393233:FAZ393233 EQZ393233:ERD393233 EHD393233:EHH393233 DXH393233:DXL393233 DNL393233:DNP393233 DDP393233:DDT393233 CTT393233:CTX393233 CJX393233:CKB393233 CAB393233:CAF393233 BQF393233:BQJ393233 BGJ393233:BGN393233 AWN393233:AWR393233 AMR393233:AMV393233 ACV393233:ACZ393233 SZ393233:TD393233 JD393233:JH393233 WVP327697:WVT327697 WLT327697:WLX327697 WBX327697:WCB327697 VSB327697:VSF327697 VIF327697:VIJ327697 UYJ327697:UYN327697 UON327697:UOR327697 UER327697:UEV327697 TUV327697:TUZ327697 TKZ327697:TLD327697 TBD327697:TBH327697 SRH327697:SRL327697 SHL327697:SHP327697 RXP327697:RXT327697 RNT327697:RNX327697 RDX327697:REB327697 QUB327697:QUF327697 QKF327697:QKJ327697 QAJ327697:QAN327697 PQN327697:PQR327697 PGR327697:PGV327697 OWV327697:OWZ327697 OMZ327697:OND327697 ODD327697:ODH327697 NTH327697:NTL327697 NJL327697:NJP327697 MZP327697:MZT327697 MPT327697:MPX327697 MFX327697:MGB327697 LWB327697:LWF327697 LMF327697:LMJ327697 LCJ327697:LCN327697 KSN327697:KSR327697 KIR327697:KIV327697 JYV327697:JYZ327697 JOZ327697:JPD327697 JFD327697:JFH327697 IVH327697:IVL327697 ILL327697:ILP327697 IBP327697:IBT327697 HRT327697:HRX327697 HHX327697:HIB327697 GYB327697:GYF327697 GOF327697:GOJ327697 GEJ327697:GEN327697 FUN327697:FUR327697 FKR327697:FKV327697 FAV327697:FAZ327697 EQZ327697:ERD327697 EHD327697:EHH327697 DXH327697:DXL327697 DNL327697:DNP327697 DDP327697:DDT327697 CTT327697:CTX327697 CJX327697:CKB327697 CAB327697:CAF327697 BQF327697:BQJ327697 BGJ327697:BGN327697 AWN327697:AWR327697 AMR327697:AMV327697 ACV327697:ACZ327697 SZ327697:TD327697 JD327697:JH327697 WVP262161:WVT262161 WLT262161:WLX262161 WBX262161:WCB262161 VSB262161:VSF262161 VIF262161:VIJ262161 UYJ262161:UYN262161 UON262161:UOR262161 UER262161:UEV262161 TUV262161:TUZ262161 TKZ262161:TLD262161 TBD262161:TBH262161 SRH262161:SRL262161 SHL262161:SHP262161 RXP262161:RXT262161 RNT262161:RNX262161 RDX262161:REB262161 QUB262161:QUF262161 QKF262161:QKJ262161 QAJ262161:QAN262161 PQN262161:PQR262161 PGR262161:PGV262161 OWV262161:OWZ262161 OMZ262161:OND262161 ODD262161:ODH262161 NTH262161:NTL262161 NJL262161:NJP262161 MZP262161:MZT262161 MPT262161:MPX262161 MFX262161:MGB262161 LWB262161:LWF262161 LMF262161:LMJ262161 LCJ262161:LCN262161 KSN262161:KSR262161 KIR262161:KIV262161 JYV262161:JYZ262161 JOZ262161:JPD262161 JFD262161:JFH262161 IVH262161:IVL262161 ILL262161:ILP262161 IBP262161:IBT262161 HRT262161:HRX262161 HHX262161:HIB262161 GYB262161:GYF262161 GOF262161:GOJ262161 GEJ262161:GEN262161 FUN262161:FUR262161 FKR262161:FKV262161 FAV262161:FAZ262161 EQZ262161:ERD262161 EHD262161:EHH262161 DXH262161:DXL262161 DNL262161:DNP262161 DDP262161:DDT262161 CTT262161:CTX262161 CJX262161:CKB262161 CAB262161:CAF262161 BQF262161:BQJ262161 BGJ262161:BGN262161 AWN262161:AWR262161 AMR262161:AMV262161 ACV262161:ACZ262161 SZ262161:TD262161 JD262161:JH262161 WVP196625:WVT196625 WLT196625:WLX196625 WBX196625:WCB196625 VSB196625:VSF196625 VIF196625:VIJ196625 UYJ196625:UYN196625 UON196625:UOR196625 UER196625:UEV196625 TUV196625:TUZ196625 TKZ196625:TLD196625 TBD196625:TBH196625 SRH196625:SRL196625 SHL196625:SHP196625 RXP196625:RXT196625 RNT196625:RNX196625 RDX196625:REB196625 QUB196625:QUF196625 QKF196625:QKJ196625 QAJ196625:QAN196625 PQN196625:PQR196625 PGR196625:PGV196625 OWV196625:OWZ196625 OMZ196625:OND196625 ODD196625:ODH196625 NTH196625:NTL196625 NJL196625:NJP196625 MZP196625:MZT196625 MPT196625:MPX196625 MFX196625:MGB196625 LWB196625:LWF196625 LMF196625:LMJ196625 LCJ196625:LCN196625 KSN196625:KSR196625 KIR196625:KIV196625 JYV196625:JYZ196625 JOZ196625:JPD196625 JFD196625:JFH196625 IVH196625:IVL196625 ILL196625:ILP196625 IBP196625:IBT196625 HRT196625:HRX196625 HHX196625:HIB196625 GYB196625:GYF196625 GOF196625:GOJ196625 GEJ196625:GEN196625 FUN196625:FUR196625 FKR196625:FKV196625 FAV196625:FAZ196625 EQZ196625:ERD196625 EHD196625:EHH196625 DXH196625:DXL196625 DNL196625:DNP196625 DDP196625:DDT196625 CTT196625:CTX196625 CJX196625:CKB196625 CAB196625:CAF196625 BQF196625:BQJ196625 BGJ196625:BGN196625 AWN196625:AWR196625 AMR196625:AMV196625 ACV196625:ACZ196625 SZ196625:TD196625 JD196625:JH196625 WVP131089:WVT131089 WLT131089:WLX131089 WBX131089:WCB131089 VSB131089:VSF131089 VIF131089:VIJ131089 UYJ131089:UYN131089 UON131089:UOR131089 UER131089:UEV131089 TUV131089:TUZ131089 TKZ131089:TLD131089 TBD131089:TBH131089 SRH131089:SRL131089 SHL131089:SHP131089 RXP131089:RXT131089 RNT131089:RNX131089 RDX131089:REB131089 QUB131089:QUF131089 QKF131089:QKJ131089 QAJ131089:QAN131089 PQN131089:PQR131089 PGR131089:PGV131089 OWV131089:OWZ131089 OMZ131089:OND131089 ODD131089:ODH131089 NTH131089:NTL131089 NJL131089:NJP131089 MZP131089:MZT131089 MPT131089:MPX131089 MFX131089:MGB131089 LWB131089:LWF131089 LMF131089:LMJ131089 LCJ131089:LCN131089 KSN131089:KSR131089 KIR131089:KIV131089 JYV131089:JYZ131089 JOZ131089:JPD131089 JFD131089:JFH131089 IVH131089:IVL131089 ILL131089:ILP131089 IBP131089:IBT131089 HRT131089:HRX131089 HHX131089:HIB131089 GYB131089:GYF131089 GOF131089:GOJ131089 GEJ131089:GEN131089 FUN131089:FUR131089 FKR131089:FKV131089 FAV131089:FAZ131089 EQZ131089:ERD131089 EHD131089:EHH131089 DXH131089:DXL131089 DNL131089:DNP131089 DDP131089:DDT131089 CTT131089:CTX131089 CJX131089:CKB131089 CAB131089:CAF131089 BQF131089:BQJ131089 BGJ131089:BGN131089 AWN131089:AWR131089 AMR131089:AMV131089 ACV131089:ACZ131089 SZ131089:TD131089 JD131089:JH131089 WVP65553:WVT65553 WLT65553:WLX65553 WBX65553:WCB65553 VSB65553:VSF65553 VIF65553:VIJ65553 UYJ65553:UYN65553 UON65553:UOR65553 UER65553:UEV65553 TUV65553:TUZ65553 TKZ65553:TLD65553 TBD65553:TBH65553 SRH65553:SRL65553 SHL65553:SHP65553 RXP65553:RXT65553 RNT65553:RNX65553 RDX65553:REB65553 QUB65553:QUF65553 QKF65553:QKJ65553 QAJ65553:QAN65553 PQN65553:PQR65553 PGR65553:PGV65553 OWV65553:OWZ65553 OMZ65553:OND65553 ODD65553:ODH65553 NTH65553:NTL65553 NJL65553:NJP65553 MZP65553:MZT65553 MPT65553:MPX65553 MFX65553:MGB65553 LWB65553:LWF65553 LMF65553:LMJ65553 LCJ65553:LCN65553 KSN65553:KSR65553 KIR65553:KIV65553 JYV65553:JYZ65553 JOZ65553:JPD65553 JFD65553:JFH65553 IVH65553:IVL65553 ILL65553:ILP65553 IBP65553:IBT65553 HRT65553:HRX65553 HHX65553:HIB65553 GYB65553:GYF65553 GOF65553:GOJ65553 GEJ65553:GEN65553 FUN65553:FUR65553 FKR65553:FKV65553 FAV65553:FAZ65553 EQZ65553:ERD65553 EHD65553:EHH65553 DXH65553:DXL65553 DNL65553:DNP65553 DDP65553:DDT65553 CTT65553:CTX65553 CJX65553:CKB65553 CAB65553:CAF65553 BQF65553:BQJ65553 BGJ65553:BGN65553 AWN65553:AWR65553 AMR65553:AMV65553 ACV65553:ACZ65553 SZ65553:TD65553 JD65553:JH65553 JD16:JH16 WVP16:WVT16 WLT16:WLX16 WBX16:WCB16 VSB16:VSF16 VIF16:VIJ16 UYJ16:UYN16 UON16:UOR16 UER16:UEV16 TUV16:TUZ16 TKZ16:TLD16 TBD16:TBH16 SRH16:SRL16 SHL16:SHP16 RXP16:RXT16 RNT16:RNX16 RDX16:REB16 QUB16:QUF16 QKF16:QKJ16 QAJ16:QAN16 PQN16:PQR16 PGR16:PGV16 OWV16:OWZ16 OMZ16:OND16 ODD16:ODH16 NTH16:NTL16 NJL16:NJP16 MZP16:MZT16 MPT16:MPX16 MFX16:MGB16 LWB16:LWF16 LMF16:LMJ16 LCJ16:LCN16 KSN16:KSR16 KIR16:KIV16 JYV16:JYZ16 JOZ16:JPD16 JFD16:JFH16 IVH16:IVL16 ILL16:ILP16 IBP16:IBT16 HRT16:HRX16 HHX16:HIB16 GYB16:GYF16 GOF16:GOJ16 GEJ16:GEN16 FUN16:FUR16 FKR16:FKV16 FAV16:FAZ16 EQZ16:ERD16 EHD16:EHH16 DXH16:DXL16 DNL16:DNP16 DDP16:DDT16 CTT16:CTX16 CJX16:CKB16 CAB16:CAF16 BQF16:BQJ16 BGJ16:BGN16 AWN16:AWR16 AMR16:AMV16 ACV16:ACZ16 SZ16:TD16 E65553 E131089 E196625 E262161 E327697 E393233 E458769 E524305 E589841 E655377 E720913 E786449 E851985 E917521 E983057" xr:uid="{00000000-0002-0000-0900-000001000000}">
      <formula1>"Not Rated,Coverage Suspended,Rating Suspended,(remove)"</formula1>
    </dataValidation>
    <dataValidation type="list" allowBlank="1" showInputMessage="1" showErrorMessage="1" sqref="WVP983055:WVT983056 WLT983055:WLX983056 WBX983055:WCB983056 VSB983055:VSF983056 VIF983055:VIJ983056 UYJ983055:UYN983056 UON983055:UOR983056 UER983055:UEV983056 TUV983055:TUZ983056 TKZ983055:TLD983056 TBD983055:TBH983056 SRH983055:SRL983056 SHL983055:SHP983056 RXP983055:RXT983056 RNT983055:RNX983056 RDX983055:REB983056 QUB983055:QUF983056 QKF983055:QKJ983056 QAJ983055:QAN983056 PQN983055:PQR983056 PGR983055:PGV983056 OWV983055:OWZ983056 OMZ983055:OND983056 ODD983055:ODH983056 NTH983055:NTL983056 NJL983055:NJP983056 MZP983055:MZT983056 MPT983055:MPX983056 MFX983055:MGB983056 LWB983055:LWF983056 LMF983055:LMJ983056 LCJ983055:LCN983056 KSN983055:KSR983056 KIR983055:KIV983056 JYV983055:JYZ983056 JOZ983055:JPD983056 JFD983055:JFH983056 IVH983055:IVL983056 ILL983055:ILP983056 IBP983055:IBT983056 HRT983055:HRX983056 HHX983055:HIB983056 GYB983055:GYF983056 GOF983055:GOJ983056 GEJ983055:GEN983056 FUN983055:FUR983056 FKR983055:FKV983056 FAV983055:FAZ983056 EQZ983055:ERD983056 EHD983055:EHH983056 DXH983055:DXL983056 DNL983055:DNP983056 DDP983055:DDT983056 CTT983055:CTX983056 CJX983055:CKB983056 CAB983055:CAF983056 BQF983055:BQJ983056 BGJ983055:BGN983056 AWN983055:AWR983056 AMR983055:AMV983056 ACV983055:ACZ983056 SZ983055:TD983056 JD983055:JH983056 WVP917519:WVT917520 WLT917519:WLX917520 WBX917519:WCB917520 VSB917519:VSF917520 VIF917519:VIJ917520 UYJ917519:UYN917520 UON917519:UOR917520 UER917519:UEV917520 TUV917519:TUZ917520 TKZ917519:TLD917520 TBD917519:TBH917520 SRH917519:SRL917520 SHL917519:SHP917520 RXP917519:RXT917520 RNT917519:RNX917520 RDX917519:REB917520 QUB917519:QUF917520 QKF917519:QKJ917520 QAJ917519:QAN917520 PQN917519:PQR917520 PGR917519:PGV917520 OWV917519:OWZ917520 OMZ917519:OND917520 ODD917519:ODH917520 NTH917519:NTL917520 NJL917519:NJP917520 MZP917519:MZT917520 MPT917519:MPX917520 MFX917519:MGB917520 LWB917519:LWF917520 LMF917519:LMJ917520 LCJ917519:LCN917520 KSN917519:KSR917520 KIR917519:KIV917520 JYV917519:JYZ917520 JOZ917519:JPD917520 JFD917519:JFH917520 IVH917519:IVL917520 ILL917519:ILP917520 IBP917519:IBT917520 HRT917519:HRX917520 HHX917519:HIB917520 GYB917519:GYF917520 GOF917519:GOJ917520 GEJ917519:GEN917520 FUN917519:FUR917520 FKR917519:FKV917520 FAV917519:FAZ917520 EQZ917519:ERD917520 EHD917519:EHH917520 DXH917519:DXL917520 DNL917519:DNP917520 DDP917519:DDT917520 CTT917519:CTX917520 CJX917519:CKB917520 CAB917519:CAF917520 BQF917519:BQJ917520 BGJ917519:BGN917520 AWN917519:AWR917520 AMR917519:AMV917520 ACV917519:ACZ917520 SZ917519:TD917520 JD917519:JH917520 WVP851983:WVT851984 WLT851983:WLX851984 WBX851983:WCB851984 VSB851983:VSF851984 VIF851983:VIJ851984 UYJ851983:UYN851984 UON851983:UOR851984 UER851983:UEV851984 TUV851983:TUZ851984 TKZ851983:TLD851984 TBD851983:TBH851984 SRH851983:SRL851984 SHL851983:SHP851984 RXP851983:RXT851984 RNT851983:RNX851984 RDX851983:REB851984 QUB851983:QUF851984 QKF851983:QKJ851984 QAJ851983:QAN851984 PQN851983:PQR851984 PGR851983:PGV851984 OWV851983:OWZ851984 OMZ851983:OND851984 ODD851983:ODH851984 NTH851983:NTL851984 NJL851983:NJP851984 MZP851983:MZT851984 MPT851983:MPX851984 MFX851983:MGB851984 LWB851983:LWF851984 LMF851983:LMJ851984 LCJ851983:LCN851984 KSN851983:KSR851984 KIR851983:KIV851984 JYV851983:JYZ851984 JOZ851983:JPD851984 JFD851983:JFH851984 IVH851983:IVL851984 ILL851983:ILP851984 IBP851983:IBT851984 HRT851983:HRX851984 HHX851983:HIB851984 GYB851983:GYF851984 GOF851983:GOJ851984 GEJ851983:GEN851984 FUN851983:FUR851984 FKR851983:FKV851984 FAV851983:FAZ851984 EQZ851983:ERD851984 EHD851983:EHH851984 DXH851983:DXL851984 DNL851983:DNP851984 DDP851983:DDT851984 CTT851983:CTX851984 CJX851983:CKB851984 CAB851983:CAF851984 BQF851983:BQJ851984 BGJ851983:BGN851984 AWN851983:AWR851984 AMR851983:AMV851984 ACV851983:ACZ851984 SZ851983:TD851984 JD851983:JH851984 WVP786447:WVT786448 WLT786447:WLX786448 WBX786447:WCB786448 VSB786447:VSF786448 VIF786447:VIJ786448 UYJ786447:UYN786448 UON786447:UOR786448 UER786447:UEV786448 TUV786447:TUZ786448 TKZ786447:TLD786448 TBD786447:TBH786448 SRH786447:SRL786448 SHL786447:SHP786448 RXP786447:RXT786448 RNT786447:RNX786448 RDX786447:REB786448 QUB786447:QUF786448 QKF786447:QKJ786448 QAJ786447:QAN786448 PQN786447:PQR786448 PGR786447:PGV786448 OWV786447:OWZ786448 OMZ786447:OND786448 ODD786447:ODH786448 NTH786447:NTL786448 NJL786447:NJP786448 MZP786447:MZT786448 MPT786447:MPX786448 MFX786447:MGB786448 LWB786447:LWF786448 LMF786447:LMJ786448 LCJ786447:LCN786448 KSN786447:KSR786448 KIR786447:KIV786448 JYV786447:JYZ786448 JOZ786447:JPD786448 JFD786447:JFH786448 IVH786447:IVL786448 ILL786447:ILP786448 IBP786447:IBT786448 HRT786447:HRX786448 HHX786447:HIB786448 GYB786447:GYF786448 GOF786447:GOJ786448 GEJ786447:GEN786448 FUN786447:FUR786448 FKR786447:FKV786448 FAV786447:FAZ786448 EQZ786447:ERD786448 EHD786447:EHH786448 DXH786447:DXL786448 DNL786447:DNP786448 DDP786447:DDT786448 CTT786447:CTX786448 CJX786447:CKB786448 CAB786447:CAF786448 BQF786447:BQJ786448 BGJ786447:BGN786448 AWN786447:AWR786448 AMR786447:AMV786448 ACV786447:ACZ786448 SZ786447:TD786448 JD786447:JH786448 WVP720911:WVT720912 WLT720911:WLX720912 WBX720911:WCB720912 VSB720911:VSF720912 VIF720911:VIJ720912 UYJ720911:UYN720912 UON720911:UOR720912 UER720911:UEV720912 TUV720911:TUZ720912 TKZ720911:TLD720912 TBD720911:TBH720912 SRH720911:SRL720912 SHL720911:SHP720912 RXP720911:RXT720912 RNT720911:RNX720912 RDX720911:REB720912 QUB720911:QUF720912 QKF720911:QKJ720912 QAJ720911:QAN720912 PQN720911:PQR720912 PGR720911:PGV720912 OWV720911:OWZ720912 OMZ720911:OND720912 ODD720911:ODH720912 NTH720911:NTL720912 NJL720911:NJP720912 MZP720911:MZT720912 MPT720911:MPX720912 MFX720911:MGB720912 LWB720911:LWF720912 LMF720911:LMJ720912 LCJ720911:LCN720912 KSN720911:KSR720912 KIR720911:KIV720912 JYV720911:JYZ720912 JOZ720911:JPD720912 JFD720911:JFH720912 IVH720911:IVL720912 ILL720911:ILP720912 IBP720911:IBT720912 HRT720911:HRX720912 HHX720911:HIB720912 GYB720911:GYF720912 GOF720911:GOJ720912 GEJ720911:GEN720912 FUN720911:FUR720912 FKR720911:FKV720912 FAV720911:FAZ720912 EQZ720911:ERD720912 EHD720911:EHH720912 DXH720911:DXL720912 DNL720911:DNP720912 DDP720911:DDT720912 CTT720911:CTX720912 CJX720911:CKB720912 CAB720911:CAF720912 BQF720911:BQJ720912 BGJ720911:BGN720912 AWN720911:AWR720912 AMR720911:AMV720912 ACV720911:ACZ720912 SZ720911:TD720912 JD720911:JH720912 WVP655375:WVT655376 WLT655375:WLX655376 WBX655375:WCB655376 VSB655375:VSF655376 VIF655375:VIJ655376 UYJ655375:UYN655376 UON655375:UOR655376 UER655375:UEV655376 TUV655375:TUZ655376 TKZ655375:TLD655376 TBD655375:TBH655376 SRH655375:SRL655376 SHL655375:SHP655376 RXP655375:RXT655376 RNT655375:RNX655376 RDX655375:REB655376 QUB655375:QUF655376 QKF655375:QKJ655376 QAJ655375:QAN655376 PQN655375:PQR655376 PGR655375:PGV655376 OWV655375:OWZ655376 OMZ655375:OND655376 ODD655375:ODH655376 NTH655375:NTL655376 NJL655375:NJP655376 MZP655375:MZT655376 MPT655375:MPX655376 MFX655375:MGB655376 LWB655375:LWF655376 LMF655375:LMJ655376 LCJ655375:LCN655376 KSN655375:KSR655376 KIR655375:KIV655376 JYV655375:JYZ655376 JOZ655375:JPD655376 JFD655375:JFH655376 IVH655375:IVL655376 ILL655375:ILP655376 IBP655375:IBT655376 HRT655375:HRX655376 HHX655375:HIB655376 GYB655375:GYF655376 GOF655375:GOJ655376 GEJ655375:GEN655376 FUN655375:FUR655376 FKR655375:FKV655376 FAV655375:FAZ655376 EQZ655375:ERD655376 EHD655375:EHH655376 DXH655375:DXL655376 DNL655375:DNP655376 DDP655375:DDT655376 CTT655375:CTX655376 CJX655375:CKB655376 CAB655375:CAF655376 BQF655375:BQJ655376 BGJ655375:BGN655376 AWN655375:AWR655376 AMR655375:AMV655376 ACV655375:ACZ655376 SZ655375:TD655376 JD655375:JH655376 WVP589839:WVT589840 WLT589839:WLX589840 WBX589839:WCB589840 VSB589839:VSF589840 VIF589839:VIJ589840 UYJ589839:UYN589840 UON589839:UOR589840 UER589839:UEV589840 TUV589839:TUZ589840 TKZ589839:TLD589840 TBD589839:TBH589840 SRH589839:SRL589840 SHL589839:SHP589840 RXP589839:RXT589840 RNT589839:RNX589840 RDX589839:REB589840 QUB589839:QUF589840 QKF589839:QKJ589840 QAJ589839:QAN589840 PQN589839:PQR589840 PGR589839:PGV589840 OWV589839:OWZ589840 OMZ589839:OND589840 ODD589839:ODH589840 NTH589839:NTL589840 NJL589839:NJP589840 MZP589839:MZT589840 MPT589839:MPX589840 MFX589839:MGB589840 LWB589839:LWF589840 LMF589839:LMJ589840 LCJ589839:LCN589840 KSN589839:KSR589840 KIR589839:KIV589840 JYV589839:JYZ589840 JOZ589839:JPD589840 JFD589839:JFH589840 IVH589839:IVL589840 ILL589839:ILP589840 IBP589839:IBT589840 HRT589839:HRX589840 HHX589839:HIB589840 GYB589839:GYF589840 GOF589839:GOJ589840 GEJ589839:GEN589840 FUN589839:FUR589840 FKR589839:FKV589840 FAV589839:FAZ589840 EQZ589839:ERD589840 EHD589839:EHH589840 DXH589839:DXL589840 DNL589839:DNP589840 DDP589839:DDT589840 CTT589839:CTX589840 CJX589839:CKB589840 CAB589839:CAF589840 BQF589839:BQJ589840 BGJ589839:BGN589840 AWN589839:AWR589840 AMR589839:AMV589840 ACV589839:ACZ589840 SZ589839:TD589840 JD589839:JH589840 WVP524303:WVT524304 WLT524303:WLX524304 WBX524303:WCB524304 VSB524303:VSF524304 VIF524303:VIJ524304 UYJ524303:UYN524304 UON524303:UOR524304 UER524303:UEV524304 TUV524303:TUZ524304 TKZ524303:TLD524304 TBD524303:TBH524304 SRH524303:SRL524304 SHL524303:SHP524304 RXP524303:RXT524304 RNT524303:RNX524304 RDX524303:REB524304 QUB524303:QUF524304 QKF524303:QKJ524304 QAJ524303:QAN524304 PQN524303:PQR524304 PGR524303:PGV524304 OWV524303:OWZ524304 OMZ524303:OND524304 ODD524303:ODH524304 NTH524303:NTL524304 NJL524303:NJP524304 MZP524303:MZT524304 MPT524303:MPX524304 MFX524303:MGB524304 LWB524303:LWF524304 LMF524303:LMJ524304 LCJ524303:LCN524304 KSN524303:KSR524304 KIR524303:KIV524304 JYV524303:JYZ524304 JOZ524303:JPD524304 JFD524303:JFH524304 IVH524303:IVL524304 ILL524303:ILP524304 IBP524303:IBT524304 HRT524303:HRX524304 HHX524303:HIB524304 GYB524303:GYF524304 GOF524303:GOJ524304 GEJ524303:GEN524304 FUN524303:FUR524304 FKR524303:FKV524304 FAV524303:FAZ524304 EQZ524303:ERD524304 EHD524303:EHH524304 DXH524303:DXL524304 DNL524303:DNP524304 DDP524303:DDT524304 CTT524303:CTX524304 CJX524303:CKB524304 CAB524303:CAF524304 BQF524303:BQJ524304 BGJ524303:BGN524304 AWN524303:AWR524304 AMR524303:AMV524304 ACV524303:ACZ524304 SZ524303:TD524304 JD524303:JH524304 WVP458767:WVT458768 WLT458767:WLX458768 WBX458767:WCB458768 VSB458767:VSF458768 VIF458767:VIJ458768 UYJ458767:UYN458768 UON458767:UOR458768 UER458767:UEV458768 TUV458767:TUZ458768 TKZ458767:TLD458768 TBD458767:TBH458768 SRH458767:SRL458768 SHL458767:SHP458768 RXP458767:RXT458768 RNT458767:RNX458768 RDX458767:REB458768 QUB458767:QUF458768 QKF458767:QKJ458768 QAJ458767:QAN458768 PQN458767:PQR458768 PGR458767:PGV458768 OWV458767:OWZ458768 OMZ458767:OND458768 ODD458767:ODH458768 NTH458767:NTL458768 NJL458767:NJP458768 MZP458767:MZT458768 MPT458767:MPX458768 MFX458767:MGB458768 LWB458767:LWF458768 LMF458767:LMJ458768 LCJ458767:LCN458768 KSN458767:KSR458768 KIR458767:KIV458768 JYV458767:JYZ458768 JOZ458767:JPD458768 JFD458767:JFH458768 IVH458767:IVL458768 ILL458767:ILP458768 IBP458767:IBT458768 HRT458767:HRX458768 HHX458767:HIB458768 GYB458767:GYF458768 GOF458767:GOJ458768 GEJ458767:GEN458768 FUN458767:FUR458768 FKR458767:FKV458768 FAV458767:FAZ458768 EQZ458767:ERD458768 EHD458767:EHH458768 DXH458767:DXL458768 DNL458767:DNP458768 DDP458767:DDT458768 CTT458767:CTX458768 CJX458767:CKB458768 CAB458767:CAF458768 BQF458767:BQJ458768 BGJ458767:BGN458768 AWN458767:AWR458768 AMR458767:AMV458768 ACV458767:ACZ458768 SZ458767:TD458768 JD458767:JH458768 WVP393231:WVT393232 WLT393231:WLX393232 WBX393231:WCB393232 VSB393231:VSF393232 VIF393231:VIJ393232 UYJ393231:UYN393232 UON393231:UOR393232 UER393231:UEV393232 TUV393231:TUZ393232 TKZ393231:TLD393232 TBD393231:TBH393232 SRH393231:SRL393232 SHL393231:SHP393232 RXP393231:RXT393232 RNT393231:RNX393232 RDX393231:REB393232 QUB393231:QUF393232 QKF393231:QKJ393232 QAJ393231:QAN393232 PQN393231:PQR393232 PGR393231:PGV393232 OWV393231:OWZ393232 OMZ393231:OND393232 ODD393231:ODH393232 NTH393231:NTL393232 NJL393231:NJP393232 MZP393231:MZT393232 MPT393231:MPX393232 MFX393231:MGB393232 LWB393231:LWF393232 LMF393231:LMJ393232 LCJ393231:LCN393232 KSN393231:KSR393232 KIR393231:KIV393232 JYV393231:JYZ393232 JOZ393231:JPD393232 JFD393231:JFH393232 IVH393231:IVL393232 ILL393231:ILP393232 IBP393231:IBT393232 HRT393231:HRX393232 HHX393231:HIB393232 GYB393231:GYF393232 GOF393231:GOJ393232 GEJ393231:GEN393232 FUN393231:FUR393232 FKR393231:FKV393232 FAV393231:FAZ393232 EQZ393231:ERD393232 EHD393231:EHH393232 DXH393231:DXL393232 DNL393231:DNP393232 DDP393231:DDT393232 CTT393231:CTX393232 CJX393231:CKB393232 CAB393231:CAF393232 BQF393231:BQJ393232 BGJ393231:BGN393232 AWN393231:AWR393232 AMR393231:AMV393232 ACV393231:ACZ393232 SZ393231:TD393232 JD393231:JH393232 WVP327695:WVT327696 WLT327695:WLX327696 WBX327695:WCB327696 VSB327695:VSF327696 VIF327695:VIJ327696 UYJ327695:UYN327696 UON327695:UOR327696 UER327695:UEV327696 TUV327695:TUZ327696 TKZ327695:TLD327696 TBD327695:TBH327696 SRH327695:SRL327696 SHL327695:SHP327696 RXP327695:RXT327696 RNT327695:RNX327696 RDX327695:REB327696 QUB327695:QUF327696 QKF327695:QKJ327696 QAJ327695:QAN327696 PQN327695:PQR327696 PGR327695:PGV327696 OWV327695:OWZ327696 OMZ327695:OND327696 ODD327695:ODH327696 NTH327695:NTL327696 NJL327695:NJP327696 MZP327695:MZT327696 MPT327695:MPX327696 MFX327695:MGB327696 LWB327695:LWF327696 LMF327695:LMJ327696 LCJ327695:LCN327696 KSN327695:KSR327696 KIR327695:KIV327696 JYV327695:JYZ327696 JOZ327695:JPD327696 JFD327695:JFH327696 IVH327695:IVL327696 ILL327695:ILP327696 IBP327695:IBT327696 HRT327695:HRX327696 HHX327695:HIB327696 GYB327695:GYF327696 GOF327695:GOJ327696 GEJ327695:GEN327696 FUN327695:FUR327696 FKR327695:FKV327696 FAV327695:FAZ327696 EQZ327695:ERD327696 EHD327695:EHH327696 DXH327695:DXL327696 DNL327695:DNP327696 DDP327695:DDT327696 CTT327695:CTX327696 CJX327695:CKB327696 CAB327695:CAF327696 BQF327695:BQJ327696 BGJ327695:BGN327696 AWN327695:AWR327696 AMR327695:AMV327696 ACV327695:ACZ327696 SZ327695:TD327696 JD327695:JH327696 WVP262159:WVT262160 WLT262159:WLX262160 WBX262159:WCB262160 VSB262159:VSF262160 VIF262159:VIJ262160 UYJ262159:UYN262160 UON262159:UOR262160 UER262159:UEV262160 TUV262159:TUZ262160 TKZ262159:TLD262160 TBD262159:TBH262160 SRH262159:SRL262160 SHL262159:SHP262160 RXP262159:RXT262160 RNT262159:RNX262160 RDX262159:REB262160 QUB262159:QUF262160 QKF262159:QKJ262160 QAJ262159:QAN262160 PQN262159:PQR262160 PGR262159:PGV262160 OWV262159:OWZ262160 OMZ262159:OND262160 ODD262159:ODH262160 NTH262159:NTL262160 NJL262159:NJP262160 MZP262159:MZT262160 MPT262159:MPX262160 MFX262159:MGB262160 LWB262159:LWF262160 LMF262159:LMJ262160 LCJ262159:LCN262160 KSN262159:KSR262160 KIR262159:KIV262160 JYV262159:JYZ262160 JOZ262159:JPD262160 JFD262159:JFH262160 IVH262159:IVL262160 ILL262159:ILP262160 IBP262159:IBT262160 HRT262159:HRX262160 HHX262159:HIB262160 GYB262159:GYF262160 GOF262159:GOJ262160 GEJ262159:GEN262160 FUN262159:FUR262160 FKR262159:FKV262160 FAV262159:FAZ262160 EQZ262159:ERD262160 EHD262159:EHH262160 DXH262159:DXL262160 DNL262159:DNP262160 DDP262159:DDT262160 CTT262159:CTX262160 CJX262159:CKB262160 CAB262159:CAF262160 BQF262159:BQJ262160 BGJ262159:BGN262160 AWN262159:AWR262160 AMR262159:AMV262160 ACV262159:ACZ262160 SZ262159:TD262160 JD262159:JH262160 WVP196623:WVT196624 WLT196623:WLX196624 WBX196623:WCB196624 VSB196623:VSF196624 VIF196623:VIJ196624 UYJ196623:UYN196624 UON196623:UOR196624 UER196623:UEV196624 TUV196623:TUZ196624 TKZ196623:TLD196624 TBD196623:TBH196624 SRH196623:SRL196624 SHL196623:SHP196624 RXP196623:RXT196624 RNT196623:RNX196624 RDX196623:REB196624 QUB196623:QUF196624 QKF196623:QKJ196624 QAJ196623:QAN196624 PQN196623:PQR196624 PGR196623:PGV196624 OWV196623:OWZ196624 OMZ196623:OND196624 ODD196623:ODH196624 NTH196623:NTL196624 NJL196623:NJP196624 MZP196623:MZT196624 MPT196623:MPX196624 MFX196623:MGB196624 LWB196623:LWF196624 LMF196623:LMJ196624 LCJ196623:LCN196624 KSN196623:KSR196624 KIR196623:KIV196624 JYV196623:JYZ196624 JOZ196623:JPD196624 JFD196623:JFH196624 IVH196623:IVL196624 ILL196623:ILP196624 IBP196623:IBT196624 HRT196623:HRX196624 HHX196623:HIB196624 GYB196623:GYF196624 GOF196623:GOJ196624 GEJ196623:GEN196624 FUN196623:FUR196624 FKR196623:FKV196624 FAV196623:FAZ196624 EQZ196623:ERD196624 EHD196623:EHH196624 DXH196623:DXL196624 DNL196623:DNP196624 DDP196623:DDT196624 CTT196623:CTX196624 CJX196623:CKB196624 CAB196623:CAF196624 BQF196623:BQJ196624 BGJ196623:BGN196624 AWN196623:AWR196624 AMR196623:AMV196624 ACV196623:ACZ196624 SZ196623:TD196624 JD196623:JH196624 WVP131087:WVT131088 WLT131087:WLX131088 WBX131087:WCB131088 VSB131087:VSF131088 VIF131087:VIJ131088 UYJ131087:UYN131088 UON131087:UOR131088 UER131087:UEV131088 TUV131087:TUZ131088 TKZ131087:TLD131088 TBD131087:TBH131088 SRH131087:SRL131088 SHL131087:SHP131088 RXP131087:RXT131088 RNT131087:RNX131088 RDX131087:REB131088 QUB131087:QUF131088 QKF131087:QKJ131088 QAJ131087:QAN131088 PQN131087:PQR131088 PGR131087:PGV131088 OWV131087:OWZ131088 OMZ131087:OND131088 ODD131087:ODH131088 NTH131087:NTL131088 NJL131087:NJP131088 MZP131087:MZT131088 MPT131087:MPX131088 MFX131087:MGB131088 LWB131087:LWF131088 LMF131087:LMJ131088 LCJ131087:LCN131088 KSN131087:KSR131088 KIR131087:KIV131088 JYV131087:JYZ131088 JOZ131087:JPD131088 JFD131087:JFH131088 IVH131087:IVL131088 ILL131087:ILP131088 IBP131087:IBT131088 HRT131087:HRX131088 HHX131087:HIB131088 GYB131087:GYF131088 GOF131087:GOJ131088 GEJ131087:GEN131088 FUN131087:FUR131088 FKR131087:FKV131088 FAV131087:FAZ131088 EQZ131087:ERD131088 EHD131087:EHH131088 DXH131087:DXL131088 DNL131087:DNP131088 DDP131087:DDT131088 CTT131087:CTX131088 CJX131087:CKB131088 CAB131087:CAF131088 BQF131087:BQJ131088 BGJ131087:BGN131088 AWN131087:AWR131088 AMR131087:AMV131088 ACV131087:ACZ131088 SZ131087:TD131088 JD131087:JH131088 WVP65551:WVT65552 WLT65551:WLX65552 WBX65551:WCB65552 VSB65551:VSF65552 VIF65551:VIJ65552 UYJ65551:UYN65552 UON65551:UOR65552 UER65551:UEV65552 TUV65551:TUZ65552 TKZ65551:TLD65552 TBD65551:TBH65552 SRH65551:SRL65552 SHL65551:SHP65552 RXP65551:RXT65552 RNT65551:RNX65552 RDX65551:REB65552 QUB65551:QUF65552 QKF65551:QKJ65552 QAJ65551:QAN65552 PQN65551:PQR65552 PGR65551:PGV65552 OWV65551:OWZ65552 OMZ65551:OND65552 ODD65551:ODH65552 NTH65551:NTL65552 NJL65551:NJP65552 MZP65551:MZT65552 MPT65551:MPX65552 MFX65551:MGB65552 LWB65551:LWF65552 LMF65551:LMJ65552 LCJ65551:LCN65552 KSN65551:KSR65552 KIR65551:KIV65552 JYV65551:JYZ65552 JOZ65551:JPD65552 JFD65551:JFH65552 IVH65551:IVL65552 ILL65551:ILP65552 IBP65551:IBT65552 HRT65551:HRX65552 HHX65551:HIB65552 GYB65551:GYF65552 GOF65551:GOJ65552 GEJ65551:GEN65552 FUN65551:FUR65552 FKR65551:FKV65552 FAV65551:FAZ65552 EQZ65551:ERD65552 EHD65551:EHH65552 DXH65551:DXL65552 DNL65551:DNP65552 DDP65551:DDT65552 CTT65551:CTX65552 CJX65551:CKB65552 CAB65551:CAF65552 BQF65551:BQJ65552 BGJ65551:BGN65552 AWN65551:AWR65552 AMR65551:AMV65552 ACV65551:ACZ65552 SZ65551:TD65552 JD65551:JH65552 JD14:JH15 WVP14:WVT15 WLT14:WLX15 WBX14:WCB15 VSB14:VSF15 VIF14:VIJ15 UYJ14:UYN15 UON14:UOR15 UER14:UEV15 TUV14:TUZ15 TKZ14:TLD15 TBD14:TBH15 SRH14:SRL15 SHL14:SHP15 RXP14:RXT15 RNT14:RNX15 RDX14:REB15 QUB14:QUF15 QKF14:QKJ15 QAJ14:QAN15 PQN14:PQR15 PGR14:PGV15 OWV14:OWZ15 OMZ14:OND15 ODD14:ODH15 NTH14:NTL15 NJL14:NJP15 MZP14:MZT15 MPT14:MPX15 MFX14:MGB15 LWB14:LWF15 LMF14:LMJ15 LCJ14:LCN15 KSN14:KSR15 KIR14:KIV15 JYV14:JYZ15 JOZ14:JPD15 JFD14:JFH15 IVH14:IVL15 ILL14:ILP15 IBP14:IBT15 HRT14:HRX15 HHX14:HIB15 GYB14:GYF15 GOF14:GOJ15 GEJ14:GEN15 FUN14:FUR15 FKR14:FKV15 FAV14:FAZ15 EQZ14:ERD15 EHD14:EHH15 DXH14:DXL15 DNL14:DNP15 DDP14:DDT15 CTT14:CTX15 CJX14:CKB15 CAB14:CAF15 BQF14:BQJ15 BGJ14:BGN15 AWN14:AWR15 AMR14:AMV15 ACV14:ACZ15 SZ14:TD15 E65551:E65552 E131087:E131088 E196623:E196624 E262159:E262160 E327695:E327696 E393231:E393232 E458767:E458768 E524303:E524304 E589839:E589840 E655375:E655376 E720911:E720912 E786447:E786448 E851983:E851984 E917519:E917520 E983055:E983056" xr:uid="{00000000-0002-0000-0900-000002000000}">
      <formula1>"Buy,Sell,(remove)"</formula1>
    </dataValidation>
  </dataValidations>
  <pageMargins left="0.7" right="0.7" top="0.75" bottom="0.75" header="0.3" footer="0.3"/>
  <pageSetup orientation="portrait" horizontalDpi="4294967295" verticalDpi="4294967295" r:id="rId1"/>
  <headerFooter alignWithMargins="0"/>
  <customProperties>
    <customPr name="Password" r:id="rId2"/>
    <customPr name="Qube.Worksheet.Visibility" r:id="rId3"/>
    <customPr name="SHEET_UNIQUE_ID" r:id="rId4"/>
  </customProperties>
  <legacyDrawing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pageSetUpPr fitToPage="1"/>
  </sheetPr>
  <dimension ref="A2:AU160"/>
  <sheetViews>
    <sheetView tabSelected="1" topLeftCell="A139" zoomScale="130" zoomScaleNormal="130" workbookViewId="0">
      <selection activeCell="B163" sqref="B163"/>
    </sheetView>
  </sheetViews>
  <sheetFormatPr defaultColWidth="10.75" defaultRowHeight="12"/>
  <cols>
    <col min="1" max="1" width="4" style="1" customWidth="1"/>
    <col min="2" max="2" width="27.375" style="19" customWidth="1"/>
    <col min="3" max="5" width="10.75" style="19" customWidth="1"/>
    <col min="6" max="16384" width="10.75" style="19"/>
  </cols>
  <sheetData>
    <row r="2" spans="1:47">
      <c r="A2" s="1" t="s">
        <v>1123</v>
      </c>
      <c r="B2" s="118" t="s">
        <v>298</v>
      </c>
      <c r="C2" s="119" t="s">
        <v>1112</v>
      </c>
      <c r="D2" s="120"/>
      <c r="E2" s="120" t="s">
        <v>299</v>
      </c>
      <c r="F2" s="120"/>
      <c r="G2" s="189">
        <f>VLOOKUP($A2,[3]Sheet1!$2:$279,MATCH("Current",[3]Sheet1!$2:$2,0),FALSE)</f>
        <v>46265</v>
      </c>
      <c r="AU2" s="19" t="s">
        <v>1129</v>
      </c>
    </row>
    <row r="3" spans="1:47">
      <c r="B3" s="121" t="s">
        <v>300</v>
      </c>
      <c r="C3" s="122" t="str">
        <f>C$2&amp;" AU"</f>
        <v>CBA AU</v>
      </c>
      <c r="D3" s="123"/>
      <c r="E3" s="123" t="s">
        <v>205</v>
      </c>
      <c r="F3" s="123"/>
      <c r="G3" s="124" t="str">
        <f>INDEX(Model!$BS$1:$KC$1,MATCH(MAX(Model!$BS$3:$KC$3),Model!$BS$3:$KC$3,0))</f>
        <v>FY34E</v>
      </c>
      <c r="AU3" s="19" t="s">
        <v>1075</v>
      </c>
    </row>
    <row r="4" spans="1:47">
      <c r="A4" s="1" t="s">
        <v>1124</v>
      </c>
      <c r="B4" s="121" t="s">
        <v>206</v>
      </c>
      <c r="C4" s="122" t="str">
        <f>C$2&amp;".AX"</f>
        <v>CBA.AX</v>
      </c>
      <c r="D4" s="123"/>
      <c r="E4" s="123" t="s">
        <v>207</v>
      </c>
      <c r="F4" s="123"/>
      <c r="G4" s="190">
        <f>VLOOKUP($A4,[3]Sheet1!$2:$279,MATCH("Current",[3]Sheet1!$2:$2,0),FALSE)</f>
        <v>2.5000000000000001E-2</v>
      </c>
      <c r="AU4" s="19" t="s">
        <v>567</v>
      </c>
    </row>
    <row r="5" spans="1:47">
      <c r="A5" s="1" t="s">
        <v>1125</v>
      </c>
      <c r="B5" s="121" t="s">
        <v>130</v>
      </c>
      <c r="C5" s="125" cm="1">
        <f t="array" ref="C5">[4]!IRESSRtd("Quote", "13", "0", "CBA.ASX")/100</f>
        <v>169.56</v>
      </c>
      <c r="D5" s="123"/>
      <c r="E5" s="123" t="s">
        <v>131</v>
      </c>
      <c r="F5" s="123"/>
      <c r="G5" s="190">
        <f>VLOOKUP($A5,[3]Sheet1!$2:$279,MATCH("Current",[3]Sheet1!$2:$2,0),FALSE)</f>
        <v>3.5000000000000003E-2</v>
      </c>
      <c r="AU5" s="19" t="s">
        <v>1076</v>
      </c>
    </row>
    <row r="6" spans="1:47">
      <c r="A6" s="1" t="s">
        <v>1126</v>
      </c>
      <c r="B6" s="121" t="s">
        <v>295</v>
      </c>
      <c r="C6" s="193" cm="1">
        <f t="array" ref="C6">[4]!IRESSRtd("Quote", "15", "0", "CBA.ASX")/1000000</f>
        <v>283752.21672000003</v>
      </c>
      <c r="D6" s="123"/>
      <c r="E6" s="123" t="s">
        <v>232</v>
      </c>
      <c r="F6" s="123"/>
      <c r="G6" s="190">
        <f>VLOOKUP($A6,[3]Sheet1!$2:$279,MATCH("Current",[3]Sheet1!$2:$2,0),FALSE)</f>
        <v>0.06</v>
      </c>
      <c r="AU6" s="19" t="s">
        <v>1130</v>
      </c>
    </row>
    <row r="7" spans="1:47">
      <c r="A7" s="1" t="s">
        <v>1127</v>
      </c>
      <c r="B7" s="121" t="s">
        <v>1077</v>
      </c>
      <c r="C7" s="126" t="s">
        <v>1076</v>
      </c>
      <c r="D7" s="123"/>
      <c r="E7" s="123" t="s">
        <v>233</v>
      </c>
      <c r="F7" s="123"/>
      <c r="G7" s="550">
        <v>0.9</v>
      </c>
    </row>
    <row r="8" spans="1:47">
      <c r="B8" s="121" t="s">
        <v>234</v>
      </c>
      <c r="C8" s="127">
        <f ca="1">TODAY()</f>
        <v>46065</v>
      </c>
      <c r="D8" s="123"/>
      <c r="E8" s="123" t="s">
        <v>235</v>
      </c>
      <c r="F8" s="123"/>
      <c r="G8" s="128">
        <f>G5+G7*G6</f>
        <v>8.8999999999999996E-2</v>
      </c>
      <c r="H8" s="805"/>
    </row>
    <row r="9" spans="1:47">
      <c r="B9" s="121" t="s">
        <v>236</v>
      </c>
      <c r="C9" s="127">
        <f>HLOOKUP("A",Model!$C$2:$BR$3,2)</f>
        <v>46022</v>
      </c>
      <c r="D9" s="123"/>
      <c r="E9" s="123" t="str">
        <f>"Valuation as at "&amp;TEXT($G$2,"DD-MMM-YY")</f>
        <v>Valuation as at 31-Aug-26</v>
      </c>
      <c r="F9" s="123"/>
      <c r="G9" s="709">
        <f ca="1">$C$153</f>
        <v>137.85257124487669</v>
      </c>
    </row>
    <row r="10" spans="1:47">
      <c r="B10" s="129" t="s">
        <v>237</v>
      </c>
      <c r="C10" s="130">
        <f ca="1">HLOOKUP(EOMONTH($C$8,11),Model!$BS$3:$DC$3,1)</f>
        <v>46203</v>
      </c>
      <c r="D10" s="131"/>
      <c r="E10" s="131" t="str">
        <f>"Price target as at "&amp;TEXT($G$2,"DD-MMM-YY")</f>
        <v>Price target as at 31-Aug-26</v>
      </c>
      <c r="F10" s="132"/>
      <c r="G10" s="233">
        <v>137.85257124487669</v>
      </c>
    </row>
    <row r="11" spans="1:47">
      <c r="G11" s="575"/>
      <c r="I11" s="770"/>
    </row>
    <row r="12" spans="1:47">
      <c r="B12" s="2" t="s">
        <v>1078</v>
      </c>
      <c r="C12" s="133"/>
      <c r="D12" s="133"/>
      <c r="E12" s="133"/>
      <c r="F12" s="133"/>
      <c r="G12" s="133"/>
      <c r="H12" s="133"/>
      <c r="I12" s="133"/>
      <c r="J12" s="133"/>
      <c r="K12" s="133"/>
      <c r="L12" s="133"/>
    </row>
    <row r="14" spans="1:47">
      <c r="A14" s="1" t="e">
        <f ca="1">INDEX(Model!$BS$1:$CS$1,MATCH(C14,Model!$BS$1:$CS$1,0)-1)</f>
        <v>#N/A</v>
      </c>
      <c r="B14" s="6" t="s">
        <v>1079</v>
      </c>
      <c r="C14" s="11" t="str">
        <f ca="1">INDEX(Model!$BS$1:$DQ$1,MATCH(D14,Model!$BS$1:$DQ$1,0)-1)</f>
        <v>FY24A</v>
      </c>
      <c r="D14" s="11" t="str">
        <f ca="1">INDEX(Model!$BS$1:$DQ$1,MATCH(E14,Model!$BS$1:$DQ$1,0)-1)</f>
        <v>FY25A</v>
      </c>
      <c r="E14" s="11" t="str">
        <f ca="1">INDEX(Model!$BS$1:$DC$1,MATCH($C$10,Model!$BS$3:$DC$3,0))</f>
        <v>FY26E</v>
      </c>
      <c r="F14" s="11" t="str">
        <f ca="1">INDEX(Model!$BS$1:$DQ$1,MATCH(E14,Model!$BS$1:$DQ$1,0)+1)</f>
        <v>FY27E</v>
      </c>
      <c r="G14" s="11" t="str">
        <f ca="1">INDEX(Model!$BS$1:$DQ$1,MATCH(F14,Model!$BS$1:$DQ$1,0)+1)</f>
        <v>FY28E</v>
      </c>
      <c r="H14" s="96" t="str">
        <f>INDEX(Model!$C$1:$BR$1,MATCH(I14,Model!$C$1:$BR$1,0)-1)</f>
        <v>1H25A</v>
      </c>
      <c r="I14" s="11" t="str">
        <f>INDEX(Model!$C$1:$BR$1,MATCH(J14,Model!$C$1:$BR$1,0)-1)</f>
        <v>2H25A</v>
      </c>
      <c r="J14" s="11" t="str">
        <f>INDEX(Model!$C$1:$BR$1,MATCH(K14,Model!$C$1:$BR$1,0)-1)</f>
        <v>1H26A</v>
      </c>
      <c r="K14" s="11" t="str">
        <f>INDEX(Model!$C$1:$BR$1,MATCH(L14,Model!$C$1:$BR$1,0)-1)</f>
        <v>2H26E</v>
      </c>
      <c r="L14" s="11" t="str">
        <f>INDEX(Model!$C$1:$BR$1,MATCH($C$9,Model!$C$3:$BR$3,0)+2)</f>
        <v>1H27E</v>
      </c>
      <c r="N14" s="163"/>
    </row>
    <row r="15" spans="1:47">
      <c r="A15" s="1" t="s">
        <v>980</v>
      </c>
      <c r="B15" s="19" t="s">
        <v>1080</v>
      </c>
      <c r="C15" s="55">
        <f ca="1">VLOOKUP($A15,Model!$1:$1048576,MATCH(C$14,Model!$1:$1,0),FALSE)</f>
        <v>9836</v>
      </c>
      <c r="D15" s="55">
        <f ca="1">VLOOKUP($A15,Model!$1:$1048576,MATCH(D$14,Model!$1:$1,0),FALSE)</f>
        <v>10252</v>
      </c>
      <c r="E15" s="55">
        <f ca="1">VLOOKUP($A15,Model!$1:$1048576,MATCH(E$14,Model!$1:$1,0),FALSE)</f>
        <v>11070.684063830735</v>
      </c>
      <c r="F15" s="55">
        <f ca="1">VLOOKUP($A15,Model!$1:$1048576,MATCH(F$14,Model!$1:$1,0),FALSE)</f>
        <v>11505.491581048682</v>
      </c>
      <c r="G15" s="55">
        <f ca="1">VLOOKUP($A15,Model!$1:$1048576,MATCH(G$14,Model!$1:$1,0),FALSE)</f>
        <v>11752.710388234094</v>
      </c>
      <c r="H15" s="55"/>
      <c r="I15" s="55">
        <f>VLOOKUP($A15,Model!$1:$1048576,MATCH(I$14,Model!$1:$1,0),FALSE)</f>
        <v>5119.9999999999982</v>
      </c>
      <c r="J15" s="55">
        <f>VLOOKUP($A15,Model!$1:$1048576,MATCH(J$14,Model!$1:$1,0),FALSE)</f>
        <v>5445</v>
      </c>
      <c r="K15" s="55">
        <f>VLOOKUP($A15,Model!$1:$1048576,MATCH(K$14,Model!$1:$1,0),FALSE)</f>
        <v>5625.6840638307367</v>
      </c>
      <c r="L15" s="55">
        <f>VLOOKUP($A15,Model!$1:$1048576,MATCH(L$14,Model!$1:$1,0),FALSE)</f>
        <v>5758.6319266536393</v>
      </c>
    </row>
    <row r="16" spans="1:47">
      <c r="A16" s="1" t="s">
        <v>109</v>
      </c>
      <c r="B16" s="19" t="s">
        <v>1081</v>
      </c>
      <c r="C16" s="55">
        <f ca="1">VLOOKUP($A16,Model!$1:$1048576,MATCH(C$14,Model!$1:$1,0),FALSE) * 100</f>
        <v>582.67937219730936</v>
      </c>
      <c r="D16" s="55">
        <f ca="1">VLOOKUP($A16,Model!$1:$1048576,MATCH(D$14,Model!$1:$1,0),FALSE) * 100</f>
        <v>612.24095786280634</v>
      </c>
      <c r="E16" s="55">
        <f ca="1">VLOOKUP($A16,Model!$1:$1048576,MATCH(E$14,Model!$1:$1,0),FALSE) * 100</f>
        <v>661.30311551553882</v>
      </c>
      <c r="F16" s="55">
        <f ca="1">VLOOKUP($A16,Model!$1:$1048576,MATCH(F$14,Model!$1:$1,0),FALSE) * 100</f>
        <v>690.24192710234706</v>
      </c>
      <c r="G16" s="55">
        <f ca="1">VLOOKUP($A16,Model!$1:$1048576,MATCH(G$14,Model!$1:$1,0),FALSE) * 100</f>
        <v>710.92120430439263</v>
      </c>
      <c r="H16" s="55"/>
      <c r="I16" s="55">
        <f>VLOOKUP($A16,Model!$1:$1048576,MATCH(I$14,Model!$1:$1,0),FALSE) * 100</f>
        <v>305.67164179104464</v>
      </c>
      <c r="J16" s="55">
        <f>VLOOKUP($A16,Model!$1:$1048576,MATCH(J$14,Model!$1:$1,0),FALSE) * 100</f>
        <v>325.26881720430111</v>
      </c>
      <c r="K16" s="55">
        <f>VLOOKUP($A16,Model!$1:$1048576,MATCH(K$14,Model!$1:$1,0),FALSE) * 100</f>
        <v>336.03407392115724</v>
      </c>
      <c r="L16" s="55">
        <f>VLOOKUP($A16,Model!$1:$1048576,MATCH(L$14,Model!$1:$1,0),FALSE) * 100</f>
        <v>344.72791498980206</v>
      </c>
    </row>
    <row r="17" spans="1:15">
      <c r="A17" s="1" t="s">
        <v>109</v>
      </c>
      <c r="B17" s="19" t="s">
        <v>1082</v>
      </c>
      <c r="C17" s="61">
        <f ca="1">(C16 / (VLOOKUP($A17,Old!$1:$1048576,MATCH(C$14,Old!$1:$1,0),FALSE) * 100 ) - 1) * 100</f>
        <v>0</v>
      </c>
      <c r="D17" s="61" t="e">
        <f ca="1">(D16 / (VLOOKUP($A17,Old!$1:$1048576,MATCH(D$14,Old!$1:$1,0),FALSE) * 100 ) - 1) * 100</f>
        <v>#N/A</v>
      </c>
      <c r="E17" s="61">
        <f ca="1">(E16 / (VLOOKUP($A17,Old!$1:$1048576,MATCH(E$14,Old!$1:$1,0),FALSE) * 100 ) - 1) * 100</f>
        <v>12.824537466622132</v>
      </c>
      <c r="F17" s="61">
        <f ca="1">(F16 / (VLOOKUP($A17,Old!$1:$1048576,MATCH(F$14,Old!$1:$1,0),FALSE) * 100 ) - 1) * 100</f>
        <v>16.971865594575419</v>
      </c>
      <c r="G17" s="61">
        <f ca="1">(G16 / (VLOOKUP($A17,Old!$1:$1048576,MATCH(G$14,Old!$1:$1,0),FALSE) * 100 ) - 1) * 100</f>
        <v>17.55356804054664</v>
      </c>
      <c r="H17" s="61"/>
      <c r="I17" s="61" t="e">
        <f>(I16 / (VLOOKUP($A17,Old!$1:$1048576,MATCH(I$14,Old!$1:$1,0),FALSE) * 100 ) - 1) * 100</f>
        <v>#N/A</v>
      </c>
      <c r="J17" s="61" t="e">
        <f>(J16 / (VLOOKUP($A17,Old!$1:$1048576,MATCH(J$14,Old!$1:$1,0),FALSE) * 100 ) - 1) * 100</f>
        <v>#N/A</v>
      </c>
      <c r="K17" s="61">
        <f>(K16 / (VLOOKUP($A17,Old!$1:$1048576,MATCH(K$14,Old!$1:$1,0),FALSE) * 100 ) - 1) * 100</f>
        <v>15.599466036421283</v>
      </c>
      <c r="L17" s="61">
        <f>(L16 / (VLOOKUP($A17,Old!$1:$1048576,MATCH(L$14,Old!$1:$1,0),FALSE) * 100 ) - 1) * 100</f>
        <v>16.103781787355341</v>
      </c>
    </row>
    <row r="18" spans="1:15">
      <c r="A18" s="1" t="s">
        <v>108</v>
      </c>
      <c r="B18" s="19" t="s">
        <v>1083</v>
      </c>
      <c r="C18" s="61">
        <f ca="1">VLOOKUP($A18,Model!$1:$1048576,MATCH(C$14,Model!$1:$1,0),FALSE) * 100</f>
        <v>-1.6885609613248587E-2</v>
      </c>
      <c r="D18" s="61">
        <f ca="1">VLOOKUP($A18,Model!$1:$1048576,MATCH(D$14,Model!$1:$1,0),FALSE) * 100</f>
        <v>5.0733880545691612</v>
      </c>
      <c r="E18" s="61">
        <f ca="1">VLOOKUP($A18,Model!$1:$1048576,MATCH(E$14,Model!$1:$1,0),FALSE) * 100</f>
        <v>8.013537320991615</v>
      </c>
      <c r="F18" s="61">
        <f ca="1">VLOOKUP($A18,Model!$1:$1048576,MATCH(F$14,Model!$1:$1,0),FALSE) * 100</f>
        <v>4.3760283155853674</v>
      </c>
      <c r="G18" s="61">
        <f ca="1">VLOOKUP($A18,Model!$1:$1048576,MATCH(G$14,Model!$1:$1,0),FALSE) * 100</f>
        <v>2.9959462603000198</v>
      </c>
      <c r="H18" s="61"/>
      <c r="I18" s="61">
        <f>VLOOKUP($A18,Model!$1:$1048576,MATCH(I$14,Model!$1:$1,0),FALSE) * 100</f>
        <v>-0.29338886239113071</v>
      </c>
      <c r="J18" s="61">
        <f>VLOOKUP($A18,Model!$1:$1048576,MATCH(J$14,Model!$1:$1,0),FALSE) * 100</f>
        <v>6.4111853158602683</v>
      </c>
      <c r="K18" s="61">
        <f>VLOOKUP($A18,Model!$1:$1048576,MATCH(K$14,Model!$1:$1,0),FALSE) * 100</f>
        <v>3.3096491724549315</v>
      </c>
      <c r="L18" s="61">
        <f>VLOOKUP($A18,Model!$1:$1048576,MATCH(L$14,Model!$1:$1,0),FALSE) * 100</f>
        <v>2.5871903307890909</v>
      </c>
    </row>
    <row r="19" spans="1:15">
      <c r="A19" s="1" t="s">
        <v>1015</v>
      </c>
      <c r="B19" s="19" t="s">
        <v>1084</v>
      </c>
      <c r="C19" s="61">
        <f ca="1">$C$5 * 100 / (C16 * VLOOKUP($A19,Model!$1:$1048576,MATCH(C$14,Model!$1:$1,0),FALSE))</f>
        <v>29.100051948051952</v>
      </c>
      <c r="D19" s="61">
        <f ca="1">$C$5 * 100 / (D16 * VLOOKUP($A19,Model!$1:$1048576,MATCH(D$14,Model!$1:$1,0),FALSE))</f>
        <v>27.694978230776215</v>
      </c>
      <c r="E19" s="61">
        <f ca="1">$C$5 * 100 / (E16 * VLOOKUP($A19,Model!$1:$1048576,MATCH(E$14,Model!$1:$1,0),FALSE))</f>
        <v>25.640284465893433</v>
      </c>
      <c r="F19" s="61">
        <f ca="1">$C$5 * 100 / (F16 * VLOOKUP($A19,Model!$1:$1048576,MATCH(F$14,Model!$1:$1,0),FALSE))</f>
        <v>24.565299982836038</v>
      </c>
      <c r="G19" s="61">
        <f ca="1">$C$5 * 100 / (G16 * VLOOKUP($A19,Model!$1:$1048576,MATCH(G$14,Model!$1:$1,0),FALSE))</f>
        <v>23.850744495081919</v>
      </c>
      <c r="H19" s="61"/>
      <c r="I19" s="61">
        <f>$C$5 * 100 / (I16 * VLOOKUP($A19,Model!$1:$1048576,MATCH(I$14,Model!$1:$1,0),FALSE))</f>
        <v>27.507680329623302</v>
      </c>
      <c r="J19" s="61">
        <f>$C$5 * 100 / (J16 * VLOOKUP($A19,Model!$1:$1048576,MATCH(J$14,Model!$1:$1,0),FALSE))</f>
        <v>26.278824589607151</v>
      </c>
      <c r="K19" s="61">
        <f>$C$5 * 100 / (K16 * VLOOKUP($A19,Model!$1:$1048576,MATCH(K$14,Model!$1:$1,0),FALSE))</f>
        <v>25.022217866489331</v>
      </c>
      <c r="L19" s="61">
        <f>$C$5 * 100 / (L16 * VLOOKUP($A19,Model!$1:$1048576,MATCH(L$14,Model!$1:$1,0),FALSE))</f>
        <v>24.795445393604645</v>
      </c>
    </row>
    <row r="20" spans="1:15">
      <c r="A20" s="1" t="s">
        <v>981</v>
      </c>
      <c r="B20" s="19" t="s">
        <v>1085</v>
      </c>
      <c r="C20" s="55">
        <f ca="1">VLOOKUP($A20,Model!$1:$1048576,MATCH(C$14,Model!$1:$1,0),FALSE) * 100</f>
        <v>465.00000000000006</v>
      </c>
      <c r="D20" s="55">
        <f ca="1">VLOOKUP($A20,Model!$1:$1048576,MATCH(D$14,Model!$1:$1,0),FALSE) * 100</f>
        <v>484.99999999999994</v>
      </c>
      <c r="E20" s="55">
        <f ca="1">VLOOKUP($A20,Model!$1:$1048576,MATCH(E$14,Model!$1:$1,0),FALSE) * 100</f>
        <v>500</v>
      </c>
      <c r="F20" s="55">
        <f ca="1">VLOOKUP($A20,Model!$1:$1048576,MATCH(F$14,Model!$1:$1,0),FALSE) * 100</f>
        <v>509.99999999999994</v>
      </c>
      <c r="G20" s="55">
        <f ca="1">VLOOKUP($A20,Model!$1:$1048576,MATCH(G$14,Model!$1:$1,0),FALSE) * 100</f>
        <v>525</v>
      </c>
      <c r="H20" s="55"/>
      <c r="I20" s="55">
        <f>VLOOKUP($A20,Model!$1:$1048576,MATCH(I$14,Model!$1:$1,0),FALSE) * 100</f>
        <v>260</v>
      </c>
      <c r="J20" s="55">
        <f>VLOOKUP($A20,Model!$1:$1048576,MATCH(J$14,Model!$1:$1,0),FALSE) * 100</f>
        <v>235</v>
      </c>
      <c r="K20" s="55">
        <f>VLOOKUP($A20,Model!$1:$1048576,MATCH(K$14,Model!$1:$1,0),FALSE) * 100</f>
        <v>265</v>
      </c>
      <c r="L20" s="55">
        <f>VLOOKUP($A20,Model!$1:$1048576,MATCH(L$14,Model!$1:$1,0),FALSE) * 100</f>
        <v>240</v>
      </c>
    </row>
    <row r="21" spans="1:15">
      <c r="A21" s="1" t="s">
        <v>1015</v>
      </c>
      <c r="B21" s="19" t="s">
        <v>1086</v>
      </c>
      <c r="C21" s="61">
        <f ca="1">C20 / $C$5</f>
        <v>2.7423920736022649</v>
      </c>
      <c r="D21" s="61">
        <f ca="1">D20 / $C$5</f>
        <v>2.8603444208539748</v>
      </c>
      <c r="E21" s="61">
        <f ca="1">E20 / $C$5</f>
        <v>2.9488086812927579</v>
      </c>
      <c r="F21" s="61">
        <f ca="1">F20 / $C$5</f>
        <v>3.0077848549186124</v>
      </c>
      <c r="G21" s="61">
        <f ca="1">G20 / $C$5</f>
        <v>3.0962491153573954</v>
      </c>
      <c r="I21" s="61">
        <f>(I20 * VLOOKUP($A21,Model!$1:$1048576,MATCH(I$14,Model!$1:$1,0),FALSE)) / $C$5</f>
        <v>3.0921761751898647</v>
      </c>
      <c r="J21" s="61">
        <f>(J20 * VLOOKUP($A21,Model!$1:$1048576,MATCH(J$14,Model!$1:$1,0),FALSE)) / $C$5</f>
        <v>2.7492833112813728</v>
      </c>
      <c r="K21" s="61">
        <f>(K20 * VLOOKUP($A21,Model!$1:$1048576,MATCH(K$14,Model!$1:$1,0),FALSE)) / $C$5</f>
        <v>3.1516411016358234</v>
      </c>
      <c r="L21" s="61">
        <f>(L20 * VLOOKUP($A21,Model!$1:$1048576,MATCH(L$14,Model!$1:$1,0),FALSE)) / $C$5</f>
        <v>2.8077787008831039</v>
      </c>
    </row>
    <row r="22" spans="1:15">
      <c r="A22" s="1" t="s">
        <v>904</v>
      </c>
      <c r="B22" s="19" t="s">
        <v>1087</v>
      </c>
      <c r="C22" s="55">
        <f ca="1">VLOOKUP($A22,Model!$1:$1048576,MATCH(C$14,Model!$1:$1,0),FALSE) * 100</f>
        <v>100</v>
      </c>
      <c r="D22" s="55">
        <f ca="1">VLOOKUP($A22,Model!$1:$1048576,MATCH(D$14,Model!$1:$1,0),FALSE) * 100</f>
        <v>100</v>
      </c>
      <c r="E22" s="55">
        <f ca="1">VLOOKUP($A22,Model!$1:$1048576,MATCH(E$14,Model!$1:$1,0),FALSE) * 100</f>
        <v>100</v>
      </c>
      <c r="F22" s="55">
        <f ca="1">VLOOKUP($A22,Model!$1:$1048576,MATCH(F$14,Model!$1:$1,0),FALSE) * 100</f>
        <v>100</v>
      </c>
      <c r="G22" s="55">
        <f ca="1">VLOOKUP($A22,Model!$1:$1048576,MATCH(G$14,Model!$1:$1,0),FALSE) * 100</f>
        <v>100</v>
      </c>
      <c r="H22" s="55"/>
      <c r="I22" s="55">
        <f>VLOOKUP($A22,Model!$1:$1048576,MATCH(I$14,Model!$1:$1,0),FALSE) * 100</f>
        <v>100</v>
      </c>
      <c r="J22" s="55">
        <f>VLOOKUP($A22,Model!$1:$1048576,MATCH(J$14,Model!$1:$1,0),FALSE) * 100</f>
        <v>100</v>
      </c>
      <c r="K22" s="55">
        <f>VLOOKUP($A22,Model!$1:$1048576,MATCH(K$14,Model!$1:$1,0),FALSE) * 100</f>
        <v>100</v>
      </c>
      <c r="L22" s="55">
        <f>VLOOKUP($A22,Model!$1:$1048576,MATCH(L$14,Model!$1:$1,0),FALSE) * 100</f>
        <v>100</v>
      </c>
    </row>
    <row r="23" spans="1:15">
      <c r="A23" s="1" t="s">
        <v>962</v>
      </c>
      <c r="B23" s="19" t="s">
        <v>1088</v>
      </c>
      <c r="C23" s="61">
        <f ca="1">$C$5 / ((VLOOKUP($A23,Model!$1:$1048576,MATCH(C$14,Model!$1:$1,0),FALSE) * VLOOKUP($A21,Model!$1:$1048576,MATCH(C$14,Model!$1:$1,0),FALSE)))</f>
        <v>3.8793726897746401</v>
      </c>
      <c r="D23" s="61">
        <f ca="1">$C$5 / ((VLOOKUP($A23,Model!$1:$1048576,MATCH(D$14,Model!$1:$1,0),FALSE) * VLOOKUP($A21,Model!$1:$1048576,MATCH(D$14,Model!$1:$1,0),FALSE)))</f>
        <v>3.598526889861887</v>
      </c>
      <c r="E23" s="61">
        <f ca="1">$C$5 / ((VLOOKUP($A23,Model!$1:$1048576,MATCH(E$14,Model!$1:$1,0),FALSE) * VLOOKUP($A21,Model!$1:$1048576,MATCH(E$14,Model!$1:$1,0),FALSE)))</f>
        <v>3.5672498622116611</v>
      </c>
      <c r="F23" s="61">
        <f ca="1">$C$5 / ((VLOOKUP($A23,Model!$1:$1048576,MATCH(F$14,Model!$1:$1,0),FALSE) * VLOOKUP($A21,Model!$1:$1048576,MATCH(F$14,Model!$1:$1,0),FALSE)))</f>
        <v>3.5256060120522594</v>
      </c>
      <c r="G23" s="61">
        <f ca="1">$C$5 / ((VLOOKUP($A23,Model!$1:$1048576,MATCH(G$14,Model!$1:$1,0),FALSE) * VLOOKUP($A21,Model!$1:$1048576,MATCH(G$14,Model!$1:$1,0),FALSE)))</f>
        <v>3.4749949945206091</v>
      </c>
      <c r="I23" s="61">
        <f>$C$5/((VLOOKUP($A23,Model!1:1048576,MATCH(I$14,Model!1:1,0),FALSE)))</f>
        <v>3.598526889861887</v>
      </c>
      <c r="J23" s="61">
        <f>$C$5/((VLOOKUP($A23,Model!1:1048576,MATCH(J$14,Model!1:1,0),FALSE)))</f>
        <v>3.6710857973679305</v>
      </c>
      <c r="K23" s="61">
        <f>$C$5/((VLOOKUP($A23,Model!1:1048576,MATCH(K$14,Model!1:1,0),FALSE)))</f>
        <v>3.5672498622116611</v>
      </c>
      <c r="L23" s="61">
        <f>$C$5/((VLOOKUP($A23,Model!1:1048576,MATCH(L$14,Model!1:1,0),FALSE)))</f>
        <v>3.5593686433135794</v>
      </c>
    </row>
    <row r="24" spans="1:15">
      <c r="A24" s="1" t="s">
        <v>1016</v>
      </c>
      <c r="B24" s="19" t="s">
        <v>1089</v>
      </c>
      <c r="C24" s="55">
        <f ca="1">VLOOKUP($A24,Model!$1:$1048576,MATCH(C$14,Model!$1:$1,0),FALSE)</f>
        <v>1784</v>
      </c>
      <c r="D24" s="55">
        <f ca="1">VLOOKUP($A24,Model!$1:$1048576,MATCH(D$14,Model!$1:$1,0),FALSE)</f>
        <v>1674.504109589041</v>
      </c>
      <c r="E24" s="55">
        <f ca="1">VLOOKUP($A24,Model!$1:$1048576,MATCH(E$14,Model!$1:$1,0),FALSE)</f>
        <v>1674.0710582015402</v>
      </c>
      <c r="F24" s="55">
        <f ca="1">VLOOKUP($A24,Model!$1:$1048576,MATCH(F$14,Model!$1:$1,0),FALSE)</f>
        <v>1666.8781088609069</v>
      </c>
      <c r="G24" s="55">
        <f ca="1">VLOOKUP($A24,Model!$1:$1048576,MATCH(G$14,Model!$1:$1,0),FALSE)</f>
        <v>1653.1663870869686</v>
      </c>
      <c r="H24" s="55"/>
      <c r="I24" s="55">
        <f>VLOOKUP($A24,Model!$1:$1048576,MATCH(I$14,Model!$1:$1,0),FALSE)</f>
        <v>1675</v>
      </c>
      <c r="J24" s="55">
        <f>VLOOKUP($A24,Model!$1:$1048576,MATCH(J$14,Model!$1:$1,0),FALSE)</f>
        <v>1674</v>
      </c>
      <c r="K24" s="55">
        <f>VLOOKUP($A24,Model!$1:$1048576,MATCH(K$14,Model!$1:$1,0),FALSE)</f>
        <v>1674.1409578454463</v>
      </c>
      <c r="L24" s="55">
        <f>VLOOKUP($A24,Model!$1:$1048576,MATCH(L$14,Model!$1:$1,0),FALSE)</f>
        <v>1670.4861069414685</v>
      </c>
    </row>
    <row r="25" spans="1:15" hidden="1">
      <c r="B25" s="19" t="s">
        <v>1090</v>
      </c>
      <c r="C25" s="21" t="s">
        <v>1091</v>
      </c>
      <c r="D25" s="21" t="s">
        <v>1091</v>
      </c>
      <c r="E25" s="21" t="s">
        <v>1091</v>
      </c>
      <c r="F25" s="21" t="s">
        <v>1091</v>
      </c>
      <c r="G25" s="21" t="s">
        <v>1091</v>
      </c>
      <c r="I25" s="21" t="s">
        <v>1091</v>
      </c>
      <c r="J25" s="21" t="s">
        <v>1091</v>
      </c>
      <c r="K25" s="21" t="s">
        <v>1091</v>
      </c>
      <c r="L25" s="21" t="s">
        <v>1091</v>
      </c>
    </row>
    <row r="28" spans="1:15">
      <c r="B28" s="2" t="s">
        <v>1092</v>
      </c>
      <c r="C28" s="133"/>
      <c r="D28" s="133"/>
      <c r="E28" s="133"/>
      <c r="F28" s="133"/>
      <c r="G28" s="133"/>
      <c r="H28" s="133"/>
      <c r="I28" s="133"/>
      <c r="J28" s="133"/>
      <c r="K28" s="133"/>
      <c r="L28" s="133"/>
    </row>
    <row r="29" spans="1:15">
      <c r="D29" s="549"/>
      <c r="E29" s="109"/>
      <c r="F29" s="109"/>
      <c r="K29" s="775"/>
    </row>
    <row r="30" spans="1:15">
      <c r="B30" s="6" t="s">
        <v>1093</v>
      </c>
      <c r="C30" s="11" t="str">
        <f ca="1">C$14</f>
        <v>FY24A</v>
      </c>
      <c r="D30" s="11" t="str">
        <f ca="1">D$14</f>
        <v>FY25A</v>
      </c>
      <c r="E30" s="11" t="str">
        <f ca="1">E$14</f>
        <v>FY26E</v>
      </c>
      <c r="F30" s="11" t="str">
        <f ca="1">F$14</f>
        <v>FY27E</v>
      </c>
      <c r="G30" s="11" t="str">
        <f ca="1">G$14</f>
        <v>FY28E</v>
      </c>
      <c r="H30" s="21"/>
      <c r="I30" s="11" t="str">
        <f>I$14</f>
        <v>2H25A</v>
      </c>
      <c r="J30" s="11" t="str">
        <f>J$14</f>
        <v>1H26A</v>
      </c>
      <c r="K30" s="11" t="str">
        <f>K$14</f>
        <v>2H26E</v>
      </c>
      <c r="L30" s="11" t="str">
        <f>L$14</f>
        <v>1H27E</v>
      </c>
      <c r="N30" s="21"/>
      <c r="O30" s="161"/>
    </row>
    <row r="31" spans="1:15" s="24" customFormat="1">
      <c r="A31" s="1" t="s">
        <v>1059</v>
      </c>
      <c r="B31" s="24" t="s">
        <v>525</v>
      </c>
      <c r="C31" s="82">
        <f ca="1">VLOOKUP($A31,Model!$1:$1048576,MATCH(C$14,Model!$1:$1,0),FALSE)</f>
        <v>1144357</v>
      </c>
      <c r="D31" s="82">
        <f ca="1">VLOOKUP($A31,Model!$1:$1048576,MATCH(D$14,Model!$1:$1,0),FALSE)</f>
        <v>1153684</v>
      </c>
      <c r="E31" s="82">
        <f ca="1">VLOOKUP($A31,Model!$1:$1048576,MATCH(E$14,Model!$1:$1,0),FALSE)</f>
        <v>1257080.5984766376</v>
      </c>
      <c r="F31" s="82">
        <f ca="1">VLOOKUP($A31,Model!$1:$1048576,MATCH(F$14,Model!$1:$1,0),FALSE)</f>
        <v>1327954.0049765273</v>
      </c>
      <c r="G31" s="82">
        <f ca="1">VLOOKUP($A31,Model!$1:$1048576,MATCH(G$14,Model!$1:$1,0),FALSE)</f>
        <v>1391456.3587544933</v>
      </c>
      <c r="H31" s="579"/>
      <c r="I31" s="82">
        <f>VLOOKUP($A31,Model!$1:$1048576,MATCH(I$14,Model!$1:$1,0),FALSE)</f>
        <v>1171804</v>
      </c>
      <c r="J31" s="82">
        <f>VLOOKUP($A31,Model!$1:$1048576,MATCH(J$14,Model!$1:$1,0),FALSE)</f>
        <v>1232326</v>
      </c>
      <c r="K31" s="82">
        <f>VLOOKUP($A31,Model!$1:$1048576,MATCH(K$14,Model!$1:$1,0),FALSE)</f>
        <v>1281431.5893694169</v>
      </c>
      <c r="L31" s="82">
        <f>VLOOKUP($A31,Model!$1:$1048576,MATCH(L$14,Model!$1:$1,0),FALSE)</f>
        <v>1311298.5321265664</v>
      </c>
    </row>
    <row r="32" spans="1:15">
      <c r="A32" s="1" t="s">
        <v>924</v>
      </c>
      <c r="B32" s="19" t="s">
        <v>1094</v>
      </c>
      <c r="C32" s="17">
        <f ca="1">VLOOKUP($A32,Model!$1:$1048576,MATCH(C$14,Model!$1:$1,0),FALSE) * 100</f>
        <v>1.994446762541207</v>
      </c>
      <c r="D32" s="17">
        <f ca="1">VLOOKUP($A32,Model!$1:$1048576,MATCH(D$14,Model!$1:$1,0),FALSE) * 100</f>
        <v>2.082019774984476</v>
      </c>
      <c r="E32" s="17">
        <f ca="1">VLOOKUP($A32,Model!$1:$1048576,MATCH(E$14,Model!$1:$1,0),FALSE) * 100</f>
        <v>2.0393964607370809</v>
      </c>
      <c r="F32" s="17">
        <f ca="1">VLOOKUP($A32,Model!$1:$1048576,MATCH(F$14,Model!$1:$1,0),FALSE) * 100</f>
        <v>2.0384690890932746</v>
      </c>
      <c r="G32" s="17">
        <f ca="1">VLOOKUP($A32,Model!$1:$1048576,MATCH(G$14,Model!$1:$1,0),FALSE) * 100</f>
        <v>2.0211602625635288</v>
      </c>
      <c r="H32" s="579"/>
      <c r="I32" s="17">
        <f>VLOOKUP($A32,Model!$1:$1048576,MATCH(I$14,Model!$1:$1,0),FALSE) * 100</f>
        <v>2.0804136328042793</v>
      </c>
      <c r="J32" s="17">
        <f>VLOOKUP($A32,Model!$1:$1048576,MATCH(J$14,Model!$1:$1,0),FALSE) * 100</f>
        <v>2.0435352580687112</v>
      </c>
      <c r="K32" s="17">
        <f>VLOOKUP($A32,Model!$1:$1048576,MATCH(K$14,Model!$1:$1,0),FALSE) * 100</f>
        <v>2.0359979598231921</v>
      </c>
      <c r="L32" s="17">
        <f>VLOOKUP($A32,Model!$1:$1048576,MATCH(L$14,Model!$1:$1,0),FALSE) * 100</f>
        <v>2.0456794373185856</v>
      </c>
      <c r="N32" s="575"/>
    </row>
    <row r="33" spans="1:23" s="24" customFormat="1">
      <c r="A33" s="1" t="s">
        <v>241</v>
      </c>
      <c r="B33" s="24" t="s">
        <v>482</v>
      </c>
      <c r="C33" s="82">
        <f ca="1">VLOOKUP($A33,Model!$1:$1048576,MATCH(C$14,Model!$1:$1,0),FALSE)</f>
        <v>22824</v>
      </c>
      <c r="D33" s="82">
        <f ca="1">VLOOKUP($A33,Model!$1:$1048576,MATCH(D$14,Model!$1:$1,0),FALSE)</f>
        <v>24023</v>
      </c>
      <c r="E33" s="82">
        <f ca="1">VLOOKUP($A33,Model!$1:$1048576,MATCH(E$14,Model!$1:$1,0),FALSE)</f>
        <v>25632.741654554829</v>
      </c>
      <c r="F33" s="82">
        <f ca="1">VLOOKUP($A33,Model!$1:$1048576,MATCH(F$14,Model!$1:$1,0),FALSE)</f>
        <v>27067.164109917605</v>
      </c>
      <c r="G33" s="82">
        <f ca="1">VLOOKUP($A33,Model!$1:$1048576,MATCH(G$14,Model!$1:$1,0),FALSE)</f>
        <v>28121.844589361579</v>
      </c>
      <c r="H33" s="579"/>
      <c r="I33" s="82">
        <f>VLOOKUP($A33,Model!$1:$1048576,MATCH(I$14,Model!$1:$1,0),FALSE)</f>
        <v>12088.999999999998</v>
      </c>
      <c r="J33" s="82">
        <f>VLOOKUP($A33,Model!$1:$1048576,MATCH(J$14,Model!$1:$1,0),FALSE)</f>
        <v>12695</v>
      </c>
      <c r="K33" s="82">
        <f>VLOOKUP($A33,Model!$1:$1048576,MATCH(K$14,Model!$1:$1,0),FALSE)</f>
        <v>12937.741654554829</v>
      </c>
      <c r="L33" s="82">
        <f>VLOOKUP($A33,Model!$1:$1048576,MATCH(L$14,Model!$1:$1,0),FALSE)</f>
        <v>13522.721796650811</v>
      </c>
      <c r="O33" s="776"/>
    </row>
    <row r="34" spans="1:23">
      <c r="A34" s="1" t="s">
        <v>994</v>
      </c>
      <c r="B34" s="19" t="s">
        <v>533</v>
      </c>
      <c r="C34" s="55">
        <f ca="1">VLOOKUP($A34,Model!$1:$1048576,MATCH(C$14,Model!$1:$1,0),FALSE)</f>
        <v>821</v>
      </c>
      <c r="D34" s="55">
        <f ca="1">VLOOKUP($A34,Model!$1:$1048576,MATCH(D$14,Model!$1:$1,0),FALSE)</f>
        <v>881.31616688396343</v>
      </c>
      <c r="E34" s="55">
        <f ca="1">VLOOKUP($A34,Model!$1:$1048576,MATCH(E$14,Model!$1:$1,0),FALSE)</f>
        <v>900.78585392344723</v>
      </c>
      <c r="F34" s="55">
        <f ca="1">VLOOKUP($A34,Model!$1:$1048576,MATCH(F$14,Model!$1:$1,0),FALSE)</f>
        <v>878.00392430308466</v>
      </c>
      <c r="G34" s="55">
        <f ca="1">VLOOKUP($A34,Model!$1:$1048576,MATCH(G$14,Model!$1:$1,0),FALSE)</f>
        <v>895.10800025363642</v>
      </c>
      <c r="H34" s="58"/>
      <c r="I34" s="55">
        <f>VLOOKUP($A34,Model!$1:$1048576,MATCH(I$14,Model!$1:$1,0),FALSE)</f>
        <v>432.31616688396349</v>
      </c>
      <c r="J34" s="55">
        <f>VLOOKUP($A34,Model!$1:$1048576,MATCH(J$14,Model!$1:$1,0),FALSE)</f>
        <v>465</v>
      </c>
      <c r="K34" s="55">
        <f>VLOOKUP($A34,Model!$1:$1048576,MATCH(K$14,Model!$1:$1,0),FALSE)</f>
        <v>435.78585392344723</v>
      </c>
      <c r="L34" s="55">
        <f>VLOOKUP($A34,Model!$1:$1048576,MATCH(L$14,Model!$1:$1,0),FALSE)</f>
        <v>443.72263859519376</v>
      </c>
    </row>
    <row r="35" spans="1:23">
      <c r="A35" s="1" t="s">
        <v>995</v>
      </c>
      <c r="B35" s="19" t="s">
        <v>534</v>
      </c>
      <c r="C35" s="55">
        <f ca="1">VLOOKUP($A35,Model!$1:$1048576,MATCH(C$14,Model!$1:$1,0),FALSE)</f>
        <v>2116</v>
      </c>
      <c r="D35" s="55">
        <f ca="1">VLOOKUP($A35,Model!$1:$1048576,MATCH(D$14,Model!$1:$1,0),FALSE)</f>
        <v>2129.6838331160366</v>
      </c>
      <c r="E35" s="55">
        <f ca="1">VLOOKUP($A35,Model!$1:$1048576,MATCH(E$14,Model!$1:$1,0),FALSE)</f>
        <v>2220.0012657984316</v>
      </c>
      <c r="F35" s="55">
        <f ca="1">VLOOKUP($A35,Model!$1:$1048576,MATCH(F$14,Model!$1:$1,0),FALSE)</f>
        <v>2163.8548327985709</v>
      </c>
      <c r="G35" s="55">
        <f ca="1">VLOOKUP($A35,Model!$1:$1048576,MATCH(G$14,Model!$1:$1,0),FALSE)</f>
        <v>2206.0081038508979</v>
      </c>
      <c r="H35" s="58"/>
      <c r="I35" s="55">
        <f>VLOOKUP($A35,Model!$1:$1048576,MATCH(I$14,Model!$1:$1,0),FALSE)</f>
        <v>1044.6838331160366</v>
      </c>
      <c r="J35" s="55">
        <f>VLOOKUP($A35,Model!$1:$1048576,MATCH(J$14,Model!$1:$1,0),FALSE)</f>
        <v>1146</v>
      </c>
      <c r="K35" s="55">
        <f>VLOOKUP($A35,Model!$1:$1048576,MATCH(K$14,Model!$1:$1,0),FALSE)</f>
        <v>1074.0012657984314</v>
      </c>
      <c r="L35" s="55">
        <f>VLOOKUP($A35,Model!$1:$1048576,MATCH(L$14,Model!$1:$1,0),FALSE)</f>
        <v>1093.5615996346069</v>
      </c>
    </row>
    <row r="36" spans="1:23">
      <c r="A36" s="1" t="s">
        <v>996</v>
      </c>
      <c r="B36" s="19" t="s">
        <v>535</v>
      </c>
      <c r="C36" s="55">
        <f ca="1">VLOOKUP($A36,Model!$1:$1048576,MATCH(C$14,Model!$1:$1,0),FALSE)</f>
        <v>1177</v>
      </c>
      <c r="D36" s="55">
        <f ca="1">VLOOKUP($A36,Model!$1:$1048576,MATCH(D$14,Model!$1:$1,0),FALSE)</f>
        <v>1199</v>
      </c>
      <c r="E36" s="55">
        <f ca="1">VLOOKUP($A36,Model!$1:$1048576,MATCH(E$14,Model!$1:$1,0),FALSE)</f>
        <v>1217.8</v>
      </c>
      <c r="F36" s="55">
        <f ca="1">VLOOKUP($A36,Model!$1:$1048576,MATCH(F$14,Model!$1:$1,0),FALSE)</f>
        <v>1220.8700000000001</v>
      </c>
      <c r="G36" s="55">
        <f ca="1">VLOOKUP($A36,Model!$1:$1048576,MATCH(G$14,Model!$1:$1,0),FALSE)</f>
        <v>1189.1354999999999</v>
      </c>
      <c r="H36" s="58"/>
      <c r="I36" s="55">
        <f>VLOOKUP($A36,Model!$1:$1048576,MATCH(I$14,Model!$1:$1,0),FALSE)</f>
        <v>680.00000000000011</v>
      </c>
      <c r="J36" s="55">
        <f>VLOOKUP($A36,Model!$1:$1048576,MATCH(J$14,Model!$1:$1,0),FALSE)</f>
        <v>603</v>
      </c>
      <c r="K36" s="55">
        <f>VLOOKUP($A36,Model!$1:$1048576,MATCH(K$14,Model!$1:$1,0),FALSE)</f>
        <v>614.79999999999995</v>
      </c>
      <c r="L36" s="55">
        <f>VLOOKUP($A36,Model!$1:$1048576,MATCH(L$14,Model!$1:$1,0),FALSE)</f>
        <v>572.84999999999991</v>
      </c>
      <c r="N36" s="752"/>
    </row>
    <row r="37" spans="1:23">
      <c r="A37" s="1" t="s">
        <v>997</v>
      </c>
      <c r="B37" s="19" t="s">
        <v>432</v>
      </c>
      <c r="C37" s="55">
        <f ca="1">VLOOKUP($A37,Model!$1:$1048576,MATCH(C$14,Model!$1:$1,0),FALSE)</f>
        <v>111</v>
      </c>
      <c r="D37" s="55">
        <f ca="1">VLOOKUP($A37,Model!$1:$1048576,MATCH(D$14,Model!$1:$1,0),FALSE)</f>
        <v>122</v>
      </c>
      <c r="E37" s="55">
        <f ca="1">VLOOKUP($A37,Model!$1:$1048576,MATCH(E$14,Model!$1:$1,0),FALSE)</f>
        <v>136.68</v>
      </c>
      <c r="F37" s="55">
        <f ca="1">VLOOKUP($A37,Model!$1:$1048576,MATCH(F$14,Model!$1:$1,0),FALSE)</f>
        <v>147.83308800000003</v>
      </c>
      <c r="G37" s="55">
        <f ca="1">VLOOKUP($A37,Model!$1:$1048576,MATCH(G$14,Model!$1:$1,0),FALSE)</f>
        <v>159.89626798080002</v>
      </c>
      <c r="H37" s="58"/>
      <c r="I37" s="55">
        <f>VLOOKUP($A37,Model!$1:$1048576,MATCH(I$14,Model!$1:$1,0),FALSE)</f>
        <v>62</v>
      </c>
      <c r="J37" s="55">
        <f>VLOOKUP($A37,Model!$1:$1048576,MATCH(J$14,Model!$1:$1,0),FALSE)</f>
        <v>67</v>
      </c>
      <c r="K37" s="55">
        <f>VLOOKUP($A37,Model!$1:$1048576,MATCH(K$14,Model!$1:$1,0),FALSE)</f>
        <v>69.680000000000007</v>
      </c>
      <c r="L37" s="55">
        <f>VLOOKUP($A37,Model!$1:$1048576,MATCH(L$14,Model!$1:$1,0),FALSE)</f>
        <v>72.467200000000005</v>
      </c>
      <c r="M37" s="134"/>
    </row>
    <row r="38" spans="1:23" hidden="1">
      <c r="A38" s="1" t="s">
        <v>998</v>
      </c>
      <c r="B38" s="19" t="s">
        <v>780</v>
      </c>
      <c r="C38" s="55">
        <f ca="1">VLOOKUP($A38,Model!$1:$1048576,MATCH(C$14,Model!$1:$1,0),FALSE)</f>
        <v>0</v>
      </c>
      <c r="D38" s="55">
        <f ca="1">VLOOKUP($A38,Model!$1:$1048576,MATCH(D$14,Model!$1:$1,0),FALSE)</f>
        <v>0</v>
      </c>
      <c r="E38" s="55">
        <f ca="1">VLOOKUP($A38,Model!$1:$1048576,MATCH(E$14,Model!$1:$1,0),FALSE)</f>
        <v>0</v>
      </c>
      <c r="F38" s="55">
        <f ca="1">VLOOKUP($A38,Model!$1:$1048576,MATCH(F$14,Model!$1:$1,0),FALSE)</f>
        <v>0</v>
      </c>
      <c r="G38" s="55">
        <f ca="1">VLOOKUP($A38,Model!$1:$1048576,MATCH(G$14,Model!$1:$1,0),FALSE)</f>
        <v>0</v>
      </c>
      <c r="H38" s="58"/>
      <c r="I38" s="55">
        <f>VLOOKUP($A38,Model!$1:$1048576,MATCH(I$14,Model!$1:$1,0),FALSE)</f>
        <v>0</v>
      </c>
      <c r="J38" s="55">
        <f>VLOOKUP($A38,Model!$1:$1048576,MATCH(J$14,Model!$1:$1,0),FALSE)</f>
        <v>0</v>
      </c>
      <c r="K38" s="55">
        <f>VLOOKUP($A38,Model!$1:$1048576,MATCH(K$14,Model!$1:$1,0),FALSE)</f>
        <v>0</v>
      </c>
      <c r="L38" s="55">
        <f>VLOOKUP($A38,Model!$1:$1048576,MATCH(L$14,Model!$1:$1,0),FALSE)</f>
        <v>0</v>
      </c>
    </row>
    <row r="39" spans="1:23" hidden="1">
      <c r="A39" s="1" t="s">
        <v>804</v>
      </c>
      <c r="B39" s="19" t="s">
        <v>800</v>
      </c>
      <c r="C39" s="55">
        <f ca="1">VLOOKUP($A39,Model!$1:$1048576,MATCH(C$14,Model!$1:$1,0),FALSE)</f>
        <v>0</v>
      </c>
      <c r="D39" s="55">
        <f ca="1">VLOOKUP($A39,Model!$1:$1048576,MATCH(D$14,Model!$1:$1,0),FALSE)</f>
        <v>0</v>
      </c>
      <c r="E39" s="55">
        <f ca="1">VLOOKUP($A39,Model!$1:$1048576,MATCH(E$14,Model!$1:$1,0),FALSE)</f>
        <v>0</v>
      </c>
      <c r="F39" s="55">
        <f ca="1">VLOOKUP($A39,Model!$1:$1048576,MATCH(F$14,Model!$1:$1,0),FALSE)</f>
        <v>0</v>
      </c>
      <c r="G39" s="55">
        <f ca="1">VLOOKUP($A39,Model!$1:$1048576,MATCH(G$14,Model!$1:$1,0),FALSE)</f>
        <v>0</v>
      </c>
      <c r="H39" s="58"/>
      <c r="I39" s="55">
        <f>VLOOKUP($A39,Model!$1:$1048576,MATCH(I$14,Model!$1:$1,0),FALSE)</f>
        <v>0</v>
      </c>
      <c r="J39" s="55">
        <f>VLOOKUP($A39,Model!$1:$1048576,MATCH(J$14,Model!$1:$1,0),FALSE)</f>
        <v>0</v>
      </c>
      <c r="K39" s="55">
        <f>VLOOKUP($A39,Model!$1:$1048576,MATCH(K$14,Model!$1:$1,0),FALSE)</f>
        <v>0</v>
      </c>
      <c r="L39" s="55">
        <f>VLOOKUP($A39,Model!$1:$1048576,MATCH(L$14,Model!$1:$1,0),FALSE)</f>
        <v>0</v>
      </c>
    </row>
    <row r="40" spans="1:23">
      <c r="B40" s="19" t="s">
        <v>655</v>
      </c>
      <c r="C40" s="55">
        <f ca="1">C41-SUM(C33:C39)</f>
        <v>125</v>
      </c>
      <c r="D40" s="55">
        <f ca="1">D41-SUM(D33:D39)</f>
        <v>110</v>
      </c>
      <c r="E40" s="55">
        <f ca="1">E41-SUM(E33:E39)</f>
        <v>90.899999999997817</v>
      </c>
      <c r="F40" s="55">
        <f ca="1">F41-SUM(F33:F39)</f>
        <v>94.572360000001936</v>
      </c>
      <c r="G40" s="55">
        <f ca="1">G41-SUM(G33:G39)</f>
        <v>98.393083344002662</v>
      </c>
      <c r="H40" s="58"/>
      <c r="I40" s="55">
        <f>I41-SUM(I33:I39)</f>
        <v>60</v>
      </c>
      <c r="J40" s="55">
        <f>J41-SUM(J33:J39)</f>
        <v>45</v>
      </c>
      <c r="K40" s="55">
        <f>K41-SUM(K33:K39)</f>
        <v>45.899999999999636</v>
      </c>
      <c r="L40" s="55">
        <f>L41-SUM(L33:L39)</f>
        <v>46.81800000000112</v>
      </c>
    </row>
    <row r="41" spans="1:23" s="24" customFormat="1">
      <c r="A41" s="1" t="s">
        <v>810</v>
      </c>
      <c r="B41" s="24" t="s">
        <v>636</v>
      </c>
      <c r="C41" s="82">
        <f ca="1">VLOOKUP($A41,Model!$1:$1048576,MATCH(C$14,Model!$1:$1,0),FALSE)</f>
        <v>27174</v>
      </c>
      <c r="D41" s="82">
        <f ca="1">VLOOKUP($A41,Model!$1:$1048576,MATCH(D$14,Model!$1:$1,0),FALSE)</f>
        <v>28465</v>
      </c>
      <c r="E41" s="82">
        <f ca="1">VLOOKUP($A41,Model!$1:$1048576,MATCH(E$14,Model!$1:$1,0),FALSE)</f>
        <v>30198.908774276708</v>
      </c>
      <c r="F41" s="82">
        <f ca="1">VLOOKUP($A41,Model!$1:$1048576,MATCH(F$14,Model!$1:$1,0),FALSE)</f>
        <v>31572.298315019259</v>
      </c>
      <c r="G41" s="82">
        <f ca="1">VLOOKUP($A41,Model!$1:$1048576,MATCH(G$14,Model!$1:$1,0),FALSE)</f>
        <v>32670.385544790915</v>
      </c>
      <c r="H41" s="579"/>
      <c r="I41" s="82">
        <f>VLOOKUP($A41,Model!$1:$1048576,MATCH(I$14,Model!$1:$1,0),FALSE)</f>
        <v>14367.999999999998</v>
      </c>
      <c r="J41" s="82">
        <f>VLOOKUP($A41,Model!$1:$1048576,MATCH(J$14,Model!$1:$1,0),FALSE)</f>
        <v>15021</v>
      </c>
      <c r="K41" s="82">
        <f>VLOOKUP($A41,Model!$1:$1048576,MATCH(K$14,Model!$1:$1,0),FALSE)</f>
        <v>15177.908774276708</v>
      </c>
      <c r="L41" s="82">
        <f>VLOOKUP($A41,Model!$1:$1048576,MATCH(L$14,Model!$1:$1,0),FALSE)</f>
        <v>15752.141234880612</v>
      </c>
      <c r="M41" s="82"/>
      <c r="O41" s="776"/>
    </row>
    <row r="42" spans="1:23">
      <c r="B42" s="19" t="s">
        <v>637</v>
      </c>
      <c r="C42" s="134">
        <f ca="1">C43-C41</f>
        <v>-12218</v>
      </c>
      <c r="D42" s="134">
        <f ca="1">D43-D41</f>
        <v>-12996</v>
      </c>
      <c r="E42" s="134">
        <f ca="1">E43-E41</f>
        <v>-13666.531071215635</v>
      </c>
      <c r="F42" s="134">
        <f ca="1">F43-F41</f>
        <v>-14230.160867044899</v>
      </c>
      <c r="G42" s="134">
        <f ca="1">G43-G41</f>
        <v>-14776.762903377126</v>
      </c>
      <c r="I42" s="134">
        <f>I43-I41</f>
        <v>-6624</v>
      </c>
      <c r="J42" s="134">
        <f>J43-J41</f>
        <v>-6890</v>
      </c>
      <c r="K42" s="134">
        <f>K43-K41</f>
        <v>-6776.5310712156333</v>
      </c>
      <c r="L42" s="134">
        <f>L43-L41</f>
        <v>-7089.4686823558113</v>
      </c>
      <c r="M42" s="580"/>
      <c r="N42" s="109"/>
      <c r="O42" s="776"/>
      <c r="Q42" s="549"/>
    </row>
    <row r="43" spans="1:23" s="24" customFormat="1">
      <c r="A43" s="1" t="s">
        <v>100</v>
      </c>
      <c r="B43" s="24" t="s">
        <v>638</v>
      </c>
      <c r="C43" s="82">
        <f ca="1">VLOOKUP($A43,Model!$1:$1048576,MATCH(C$14,Model!$1:$1,0),FALSE)</f>
        <v>14956</v>
      </c>
      <c r="D43" s="82">
        <f ca="1">VLOOKUP($A43,Model!$1:$1048576,MATCH(D$14,Model!$1:$1,0),FALSE)</f>
        <v>15469</v>
      </c>
      <c r="E43" s="82">
        <f ca="1">VLOOKUP($A43,Model!$1:$1048576,MATCH(E$14,Model!$1:$1,0),FALSE)</f>
        <v>16532.377703061073</v>
      </c>
      <c r="F43" s="82">
        <f ca="1">VLOOKUP($A43,Model!$1:$1048576,MATCH(F$14,Model!$1:$1,0),FALSE)</f>
        <v>17342.137447974361</v>
      </c>
      <c r="G43" s="82">
        <f ca="1">VLOOKUP($A43,Model!$1:$1048576,MATCH(G$14,Model!$1:$1,0),FALSE)</f>
        <v>17893.622641413789</v>
      </c>
      <c r="H43" s="82"/>
      <c r="I43" s="82">
        <f>VLOOKUP($A43,Model!$1:$1048576,MATCH(I$14,Model!$1:$1,0),FALSE)</f>
        <v>7743.9999999999982</v>
      </c>
      <c r="J43" s="82">
        <f>VLOOKUP($A43,Model!$1:$1048576,MATCH(J$14,Model!$1:$1,0),FALSE)</f>
        <v>8131</v>
      </c>
      <c r="K43" s="82">
        <f>VLOOKUP($A43,Model!$1:$1048576,MATCH(K$14,Model!$1:$1,0),FALSE)</f>
        <v>8401.3777030610745</v>
      </c>
      <c r="L43" s="82">
        <f>VLOOKUP($A43,Model!$1:$1048576,MATCH(L$14,Model!$1:$1,0),FALSE)</f>
        <v>8662.6725525248003</v>
      </c>
      <c r="O43" s="776"/>
    </row>
    <row r="44" spans="1:23">
      <c r="B44" s="19" t="s">
        <v>639</v>
      </c>
      <c r="C44" s="134">
        <f ca="1">C45-C43</f>
        <v>-802</v>
      </c>
      <c r="D44" s="134">
        <f ca="1">D45-D43</f>
        <v>-726</v>
      </c>
      <c r="E44" s="134">
        <f ca="1">E45-E43</f>
        <v>-717.98216418378252</v>
      </c>
      <c r="F44" s="134">
        <f ca="1">F45-F43</f>
        <v>-905.72090361910159</v>
      </c>
      <c r="G44" s="134">
        <f ca="1">G45-G43</f>
        <v>-1104.0363725079405</v>
      </c>
      <c r="I44" s="134">
        <f>I45-I43</f>
        <v>-406</v>
      </c>
      <c r="J44" s="134">
        <f>J45-J43</f>
        <v>-319</v>
      </c>
      <c r="K44" s="134">
        <f>K45-K43</f>
        <v>-398.98216418378161</v>
      </c>
      <c r="L44" s="134">
        <f>L45-L43</f>
        <v>-436.0555144481732</v>
      </c>
      <c r="O44" s="776"/>
      <c r="V44" s="549"/>
    </row>
    <row r="45" spans="1:23" s="24" customFormat="1">
      <c r="A45" s="1" t="s">
        <v>288</v>
      </c>
      <c r="B45" s="24" t="s">
        <v>645</v>
      </c>
      <c r="C45" s="82">
        <f ca="1">VLOOKUP($A45,Model!$1:$1048576,MATCH(C$14,Model!$1:$1,0),FALSE)</f>
        <v>14154</v>
      </c>
      <c r="D45" s="82">
        <f ca="1">VLOOKUP($A45,Model!$1:$1048576,MATCH(D$14,Model!$1:$1,0),FALSE)</f>
        <v>14743</v>
      </c>
      <c r="E45" s="82">
        <f ca="1">VLOOKUP($A45,Model!$1:$1048576,MATCH(E$14,Model!$1:$1,0),FALSE)</f>
        <v>15814.39553887729</v>
      </c>
      <c r="F45" s="82">
        <f ca="1">VLOOKUP($A45,Model!$1:$1048576,MATCH(F$14,Model!$1:$1,0),FALSE)</f>
        <v>16436.416544355259</v>
      </c>
      <c r="G45" s="82">
        <f ca="1">VLOOKUP($A45,Model!$1:$1048576,MATCH(G$14,Model!$1:$1,0),FALSE)</f>
        <v>16789.586268905849</v>
      </c>
      <c r="H45" s="82"/>
      <c r="I45" s="82">
        <f>VLOOKUP($A45,Model!$1:$1048576,MATCH(I$14,Model!$1:$1,0),FALSE)</f>
        <v>7337.9999999999982</v>
      </c>
      <c r="J45" s="82">
        <f>VLOOKUP($A45,Model!$1:$1048576,MATCH(J$14,Model!$1:$1,0),FALSE)</f>
        <v>7812</v>
      </c>
      <c r="K45" s="82">
        <f>VLOOKUP($A45,Model!$1:$1048576,MATCH(K$14,Model!$1:$1,0),FALSE)</f>
        <v>8002.3955388772929</v>
      </c>
      <c r="L45" s="82">
        <f>VLOOKUP($A45,Model!$1:$1048576,MATCH(L$14,Model!$1:$1,0),FALSE)</f>
        <v>8226.6170380766271</v>
      </c>
      <c r="V45" s="549"/>
      <c r="W45" s="19"/>
    </row>
    <row r="46" spans="1:23">
      <c r="A46" s="1" t="s">
        <v>688</v>
      </c>
      <c r="B46" s="19" t="s">
        <v>646</v>
      </c>
      <c r="C46" s="55">
        <f ca="1">VLOOKUP($A46,Model!$1:$1048576,MATCH(C$14,Model!$1:$1,0),FALSE)</f>
        <v>-4318</v>
      </c>
      <c r="D46" s="55">
        <f ca="1">VLOOKUP($A46,Model!$1:$1048576,MATCH(D$14,Model!$1:$1,0),FALSE)</f>
        <v>-4491</v>
      </c>
      <c r="E46" s="55">
        <f ca="1">VLOOKUP($A46,Model!$1:$1048576,MATCH(E$14,Model!$1:$1,0),FALSE)</f>
        <v>-4743.7114750465553</v>
      </c>
      <c r="F46" s="55">
        <f ca="1">VLOOKUP($A46,Model!$1:$1048576,MATCH(F$14,Model!$1:$1,0),FALSE)</f>
        <v>-4930.9249633065774</v>
      </c>
      <c r="G46" s="55">
        <f ca="1">VLOOKUP($A46,Model!$1:$1048576,MATCH(G$14,Model!$1:$1,0),FALSE)</f>
        <v>-5036.8758806717542</v>
      </c>
      <c r="H46" s="55"/>
      <c r="I46" s="55">
        <f>VLOOKUP($A46,Model!$1:$1048576,MATCH(I$14,Model!$1:$1,0),FALSE)</f>
        <v>-2218</v>
      </c>
      <c r="J46" s="55">
        <f>VLOOKUP($A46,Model!$1:$1048576,MATCH(J$14,Model!$1:$1,0),FALSE)</f>
        <v>-2367</v>
      </c>
      <c r="K46" s="55">
        <f>VLOOKUP($A46,Model!$1:$1048576,MATCH(K$14,Model!$1:$1,0),FALSE)</f>
        <v>-2376.7114750465557</v>
      </c>
      <c r="L46" s="55">
        <f>VLOOKUP($A46,Model!$1:$1048576,MATCH(L$14,Model!$1:$1,0),FALSE)</f>
        <v>-2467.9851114229882</v>
      </c>
      <c r="V46" s="549"/>
    </row>
    <row r="47" spans="1:23">
      <c r="A47" s="1" t="s">
        <v>689</v>
      </c>
      <c r="B47" s="19" t="s">
        <v>160</v>
      </c>
      <c r="C47" s="55">
        <f ca="1">VLOOKUP($A47,Model!$1:$1048576,MATCH(C$14,Model!$1:$1,0),FALSE)</f>
        <v>0</v>
      </c>
      <c r="D47" s="55">
        <f ca="1">VLOOKUP($A47,Model!$1:$1048576,MATCH(D$14,Model!$1:$1,0),FALSE)</f>
        <v>0</v>
      </c>
      <c r="E47" s="55">
        <f ca="1">VLOOKUP($A47,Model!$1:$1048576,MATCH(E$14,Model!$1:$1,0),FALSE)</f>
        <v>0</v>
      </c>
      <c r="F47" s="55">
        <f ca="1">VLOOKUP($A47,Model!$1:$1048576,MATCH(F$14,Model!$1:$1,0),FALSE)</f>
        <v>0</v>
      </c>
      <c r="G47" s="55">
        <f ca="1">VLOOKUP($A47,Model!$1:$1048576,MATCH(G$14,Model!$1:$1,0),FALSE)</f>
        <v>0</v>
      </c>
      <c r="H47" s="55"/>
      <c r="I47" s="55">
        <f>VLOOKUP($A47,Model!$1:$1048576,MATCH(I$14,Model!$1:$1,0),FALSE)</f>
        <v>0</v>
      </c>
      <c r="J47" s="55">
        <f>VLOOKUP($A47,Model!$1:$1048576,MATCH(J$14,Model!$1:$1,0),FALSE)</f>
        <v>0</v>
      </c>
      <c r="K47" s="55">
        <f>VLOOKUP($A47,Model!$1:$1048576,MATCH(K$14,Model!$1:$1,0),FALSE)</f>
        <v>0</v>
      </c>
      <c r="L47" s="55">
        <f>VLOOKUP($A47,Model!$1:$1048576,MATCH(L$14,Model!$1:$1,0),FALSE)</f>
        <v>0</v>
      </c>
    </row>
    <row r="48" spans="1:23">
      <c r="A48" s="1" t="s">
        <v>690</v>
      </c>
      <c r="B48" s="19" t="s">
        <v>778</v>
      </c>
      <c r="C48" s="55">
        <f ca="1">VLOOKUP($A48,Model!$1:$1048576,MATCH(C$14,Model!$1:$1,0),FALSE)</f>
        <v>0</v>
      </c>
      <c r="D48" s="55">
        <f ca="1">VLOOKUP($A48,Model!$1:$1048576,MATCH(D$14,Model!$1:$1,0),FALSE)</f>
        <v>0</v>
      </c>
      <c r="E48" s="55">
        <f ca="1">VLOOKUP($A48,Model!$1:$1048576,MATCH(E$14,Model!$1:$1,0),FALSE)</f>
        <v>0</v>
      </c>
      <c r="F48" s="55">
        <f ca="1">VLOOKUP($A48,Model!$1:$1048576,MATCH(F$14,Model!$1:$1,0),FALSE)</f>
        <v>0</v>
      </c>
      <c r="G48" s="55">
        <f ca="1">VLOOKUP($A48,Model!$1:$1048576,MATCH(G$14,Model!$1:$1,0),FALSE)</f>
        <v>0</v>
      </c>
      <c r="H48" s="55"/>
      <c r="I48" s="55">
        <f>VLOOKUP($A48,Model!$1:$1048576,MATCH(I$14,Model!$1:$1,0),FALSE)</f>
        <v>0</v>
      </c>
      <c r="J48" s="55">
        <f>VLOOKUP($A48,Model!$1:$1048576,MATCH(J$14,Model!$1:$1,0),FALSE)</f>
        <v>0</v>
      </c>
      <c r="K48" s="55">
        <f>VLOOKUP($A48,Model!$1:$1048576,MATCH(K$14,Model!$1:$1,0),FALSE)</f>
        <v>0</v>
      </c>
      <c r="L48" s="55">
        <f>VLOOKUP($A48,Model!$1:$1048576,MATCH(L$14,Model!$1:$1,0),FALSE)</f>
        <v>0</v>
      </c>
    </row>
    <row r="49" spans="1:15" s="24" customFormat="1">
      <c r="A49" s="1"/>
      <c r="B49" s="24" t="s">
        <v>356</v>
      </c>
      <c r="C49" s="135">
        <f ca="1">C45+C46+C47+C48</f>
        <v>9836</v>
      </c>
      <c r="D49" s="135">
        <f ca="1">D45+D46+D47+D48</f>
        <v>10252</v>
      </c>
      <c r="E49" s="135">
        <f ca="1">E45+E46+E47+E48</f>
        <v>11070.684063830735</v>
      </c>
      <c r="F49" s="135">
        <f ca="1">F45+F46+F47+F48</f>
        <v>11505.491581048682</v>
      </c>
      <c r="G49" s="135">
        <f ca="1">G45+G46+G47+G48</f>
        <v>11752.710388234094</v>
      </c>
      <c r="I49" s="135">
        <f>I45+I46+I47+I48</f>
        <v>5119.9999999999982</v>
      </c>
      <c r="J49" s="135">
        <f>J45+J46+J47+J48</f>
        <v>5445</v>
      </c>
      <c r="K49" s="135">
        <f>K45+K46+K47+K48</f>
        <v>5625.6840638307367</v>
      </c>
      <c r="L49" s="135">
        <f>L45+L46+L47+L48</f>
        <v>5758.6319266536393</v>
      </c>
      <c r="M49" s="711"/>
      <c r="O49" s="776"/>
    </row>
    <row r="50" spans="1:15">
      <c r="B50" s="19" t="s">
        <v>779</v>
      </c>
      <c r="C50" s="581">
        <f ca="1">C52/100*C51-C49</f>
        <v>558.99999999999818</v>
      </c>
      <c r="D50" s="581">
        <f ca="1">D52/100*D51-D49</f>
        <v>0</v>
      </c>
      <c r="E50" s="581">
        <f ca="1">E52/100*E51-E49</f>
        <v>0</v>
      </c>
      <c r="F50" s="581">
        <f ca="1">F52/100*F51-F49</f>
        <v>0</v>
      </c>
      <c r="G50" s="581">
        <f ca="1">G52/100*G51-G49</f>
        <v>0</v>
      </c>
      <c r="H50" s="581"/>
      <c r="I50" s="581">
        <f>I52/100*I51-I49</f>
        <v>0</v>
      </c>
      <c r="J50" s="581">
        <f>J52/100*J51-J49</f>
        <v>0</v>
      </c>
      <c r="K50" s="581">
        <f>K52/100*K51-K49</f>
        <v>0</v>
      </c>
      <c r="L50" s="581">
        <f>L52/100*L51-L49</f>
        <v>0</v>
      </c>
    </row>
    <row r="51" spans="1:15">
      <c r="A51" s="1" t="s">
        <v>1016</v>
      </c>
      <c r="B51" s="19" t="s">
        <v>554</v>
      </c>
      <c r="C51" s="55">
        <f ca="1">VLOOKUP($A51,Model!$1:$1048576,MATCH(C$14,Model!$1:$1,0),FALSE)</f>
        <v>1784</v>
      </c>
      <c r="D51" s="55">
        <f ca="1">VLOOKUP($A51,Model!$1:$1048576,MATCH(D$14,Model!$1:$1,0),FALSE)</f>
        <v>1674.504109589041</v>
      </c>
      <c r="E51" s="55">
        <f ca="1">VLOOKUP($A51,Model!$1:$1048576,MATCH(E$14,Model!$1:$1,0),FALSE)</f>
        <v>1674.0710582015402</v>
      </c>
      <c r="F51" s="55">
        <f ca="1">VLOOKUP($A51,Model!$1:$1048576,MATCH(F$14,Model!$1:$1,0),FALSE)</f>
        <v>1666.8781088609069</v>
      </c>
      <c r="G51" s="55">
        <f ca="1">VLOOKUP($A51,Model!$1:$1048576,MATCH(G$14,Model!$1:$1,0),FALSE)</f>
        <v>1653.1663870869686</v>
      </c>
      <c r="H51" s="55"/>
      <c r="I51" s="55">
        <f>VLOOKUP($A51,Model!$1:$1048576,MATCH(I$14,Model!$1:$1,0),FALSE)</f>
        <v>1675</v>
      </c>
      <c r="J51" s="55">
        <f>VLOOKUP($A51,Model!$1:$1048576,MATCH(J$14,Model!$1:$1,0),FALSE)</f>
        <v>1674</v>
      </c>
      <c r="K51" s="55">
        <f>VLOOKUP($A51,Model!$1:$1048576,MATCH(K$14,Model!$1:$1,0),FALSE)</f>
        <v>1674.1409578454463</v>
      </c>
      <c r="L51" s="55">
        <f>VLOOKUP($A51,Model!$1:$1048576,MATCH(L$14,Model!$1:$1,0),FALSE)</f>
        <v>1670.4861069414685</v>
      </c>
    </row>
    <row r="52" spans="1:15" s="24" customFormat="1">
      <c r="A52" s="1" t="s">
        <v>109</v>
      </c>
      <c r="B52" s="24" t="s">
        <v>555</v>
      </c>
      <c r="C52" s="82">
        <f ca="1">VLOOKUP($A52,Model!$1:$1048576,MATCH(C$14,Model!$1:$1,0),FALSE) * 100</f>
        <v>582.67937219730936</v>
      </c>
      <c r="D52" s="82">
        <f ca="1">VLOOKUP($A52,Model!$1:$1048576,MATCH(D$14,Model!$1:$1,0),FALSE) * 100</f>
        <v>612.24095786280634</v>
      </c>
      <c r="E52" s="82">
        <f ca="1">VLOOKUP($A52,Model!$1:$1048576,MATCH(E$14,Model!$1:$1,0),FALSE) * 100</f>
        <v>661.30311551553882</v>
      </c>
      <c r="F52" s="82">
        <f ca="1">VLOOKUP($A52,Model!$1:$1048576,MATCH(F$14,Model!$1:$1,0),FALSE) * 100</f>
        <v>690.24192710234706</v>
      </c>
      <c r="G52" s="82">
        <f ca="1">VLOOKUP($A52,Model!$1:$1048576,MATCH(G$14,Model!$1:$1,0),FALSE) * 100</f>
        <v>710.92120430439263</v>
      </c>
      <c r="H52" s="82"/>
      <c r="I52" s="82">
        <f>VLOOKUP($A52,Model!$1:$1048576,MATCH(I$14,Model!$1:$1,0),FALSE) * 100</f>
        <v>305.67164179104464</v>
      </c>
      <c r="J52" s="82">
        <f>VLOOKUP($A52,Model!$1:$1048576,MATCH(J$14,Model!$1:$1,0),FALSE) * 100</f>
        <v>325.26881720430111</v>
      </c>
      <c r="K52" s="82">
        <f>VLOOKUP($A52,Model!$1:$1048576,MATCH(K$14,Model!$1:$1,0),FALSE) * 100</f>
        <v>336.03407392115724</v>
      </c>
      <c r="L52" s="82">
        <f>VLOOKUP($A52,Model!$1:$1048576,MATCH(L$14,Model!$1:$1,0),FALSE) * 100</f>
        <v>344.72791498980206</v>
      </c>
    </row>
    <row r="53" spans="1:15">
      <c r="A53" s="1" t="s">
        <v>108</v>
      </c>
      <c r="B53" s="19" t="s">
        <v>556</v>
      </c>
      <c r="C53" s="61">
        <f ca="1">VLOOKUP($A53,Model!$1:$1048576,MATCH(C$14,Model!$1:$1,0),FALSE) * 100</f>
        <v>-1.6885609613248587E-2</v>
      </c>
      <c r="D53" s="61">
        <f ca="1">VLOOKUP($A53,Model!$1:$1048576,MATCH(D$14,Model!$1:$1,0),FALSE) * 100</f>
        <v>5.0733880545691612</v>
      </c>
      <c r="E53" s="61">
        <f ca="1">VLOOKUP($A53,Model!$1:$1048576,MATCH(E$14,Model!$1:$1,0),FALSE) * 100</f>
        <v>8.013537320991615</v>
      </c>
      <c r="F53" s="61">
        <f ca="1">VLOOKUP($A53,Model!$1:$1048576,MATCH(F$14,Model!$1:$1,0),FALSE) * 100</f>
        <v>4.3760283155853674</v>
      </c>
      <c r="G53" s="61">
        <f ca="1">VLOOKUP($A53,Model!$1:$1048576,MATCH(G$14,Model!$1:$1,0),FALSE) * 100</f>
        <v>2.9959462603000198</v>
      </c>
      <c r="H53" s="61"/>
      <c r="I53" s="61">
        <f>VLOOKUP($A53,Model!$1:$1048576,MATCH(I$14,Model!$1:$1,0),FALSE) * 100</f>
        <v>-0.29338886239113071</v>
      </c>
      <c r="J53" s="61">
        <f>VLOOKUP($A53,Model!$1:$1048576,MATCH(J$14,Model!$1:$1,0),FALSE) * 100</f>
        <v>6.4111853158602683</v>
      </c>
      <c r="K53" s="61">
        <f>VLOOKUP($A53,Model!$1:$1048576,MATCH(K$14,Model!$1:$1,0),FALSE) * 100</f>
        <v>3.3096491724549315</v>
      </c>
      <c r="L53" s="61">
        <f>VLOOKUP($A53,Model!$1:$1048576,MATCH(L$14,Model!$1:$1,0),FALSE) * 100</f>
        <v>2.5871903307890909</v>
      </c>
    </row>
    <row r="54" spans="1:15" s="24" customFormat="1">
      <c r="A54" s="1" t="s">
        <v>981</v>
      </c>
      <c r="B54" s="24" t="s">
        <v>557</v>
      </c>
      <c r="C54" s="82">
        <f ca="1">VLOOKUP($A54,Model!$1:$1048576,MATCH(C$14,Model!$1:$1,0),FALSE) * 100</f>
        <v>465.00000000000006</v>
      </c>
      <c r="D54" s="82">
        <f ca="1">VLOOKUP($A54,Model!$1:$1048576,MATCH(D$14,Model!$1:$1,0),FALSE) * 100</f>
        <v>484.99999999999994</v>
      </c>
      <c r="E54" s="82">
        <f ca="1">VLOOKUP($A54,Model!$1:$1048576,MATCH(E$14,Model!$1:$1,0),FALSE) * 100</f>
        <v>500</v>
      </c>
      <c r="F54" s="82">
        <f ca="1">VLOOKUP($A54,Model!$1:$1048576,MATCH(F$14,Model!$1:$1,0),FALSE) * 100</f>
        <v>509.99999999999994</v>
      </c>
      <c r="G54" s="82">
        <f ca="1">VLOOKUP($A54,Model!$1:$1048576,MATCH(G$14,Model!$1:$1,0),FALSE) * 100</f>
        <v>525</v>
      </c>
      <c r="H54" s="82"/>
      <c r="I54" s="82">
        <f>VLOOKUP($A54,Model!$1:$1048576,MATCH(I$14,Model!$1:$1,0),FALSE) * 100</f>
        <v>260</v>
      </c>
      <c r="J54" s="82">
        <f>VLOOKUP($A54,Model!$1:$1048576,MATCH(J$14,Model!$1:$1,0),FALSE) * 100</f>
        <v>235</v>
      </c>
      <c r="K54" s="82">
        <f>VLOOKUP($A54,Model!$1:$1048576,MATCH(K$14,Model!$1:$1,0),FALSE) * 100</f>
        <v>265</v>
      </c>
      <c r="L54" s="82">
        <f>VLOOKUP($A54,Model!$1:$1048576,MATCH(L$14,Model!$1:$1,0),FALSE) * 100</f>
        <v>240</v>
      </c>
      <c r="O54" s="776"/>
    </row>
    <row r="55" spans="1:15">
      <c r="D55" s="109"/>
      <c r="E55" s="109"/>
      <c r="F55" s="109"/>
      <c r="G55" s="109"/>
      <c r="J55" s="549"/>
      <c r="K55" s="109"/>
    </row>
    <row r="56" spans="1:15">
      <c r="K56" s="109"/>
    </row>
    <row r="57" spans="1:15">
      <c r="B57" s="2" t="s">
        <v>1095</v>
      </c>
      <c r="C57" s="133"/>
      <c r="D57" s="133"/>
      <c r="E57" s="133"/>
      <c r="F57" s="133"/>
      <c r="G57" s="133"/>
      <c r="H57" s="133"/>
      <c r="I57" s="133"/>
      <c r="J57" s="133"/>
      <c r="K57" s="133"/>
      <c r="L57" s="133"/>
    </row>
    <row r="59" spans="1:15">
      <c r="B59" s="6" t="s">
        <v>1096</v>
      </c>
      <c r="C59" s="11" t="str">
        <f ca="1">C$14</f>
        <v>FY24A</v>
      </c>
      <c r="D59" s="11" t="str">
        <f ca="1">D$14</f>
        <v>FY25A</v>
      </c>
      <c r="E59" s="11" t="str">
        <f ca="1">E$14</f>
        <v>FY26E</v>
      </c>
      <c r="F59" s="11" t="str">
        <f ca="1">F$14</f>
        <v>FY27E</v>
      </c>
      <c r="G59" s="11" t="str">
        <f ca="1">G$14</f>
        <v>FY28E</v>
      </c>
      <c r="H59" s="21"/>
      <c r="I59" s="11" t="str">
        <f>I$14</f>
        <v>2H25A</v>
      </c>
      <c r="J59" s="11" t="str">
        <f>J$14</f>
        <v>1H26A</v>
      </c>
      <c r="K59" s="11" t="str">
        <f>K$14</f>
        <v>2H26E</v>
      </c>
      <c r="L59" s="11" t="str">
        <f>L$14</f>
        <v>1H27E</v>
      </c>
    </row>
    <row r="60" spans="1:15">
      <c r="A60" s="1" t="s">
        <v>886</v>
      </c>
      <c r="B60" s="19" t="s">
        <v>1066</v>
      </c>
      <c r="C60" s="55">
        <f ca="1">VLOOKUP($A60,Model!$1:$1048576,MATCH(C$14,Model!$1:$1,0),FALSE)</f>
        <v>596346</v>
      </c>
      <c r="D60" s="55">
        <f ca="1">VLOOKUP($A60,Model!$1:$1048576,MATCH(D$14,Model!$1:$1,0),FALSE)</f>
        <v>633865</v>
      </c>
      <c r="E60" s="55">
        <f ca="1">VLOOKUP($A60,Model!$1:$1048576,MATCH(E$14,Model!$1:$1,0),FALSE)</f>
        <v>678959.66011199995</v>
      </c>
      <c r="F60" s="55">
        <f ca="1">VLOOKUP($A60,Model!$1:$1048576,MATCH(F$14,Model!$1:$1,0),FALSE)</f>
        <v>717109.11879150546</v>
      </c>
      <c r="G60" s="55">
        <f ca="1">VLOOKUP($A60,Model!$1:$1048576,MATCH(G$14,Model!$1:$1,0),FALSE)</f>
        <v>759614.85732177075</v>
      </c>
      <c r="H60" s="55"/>
      <c r="I60" s="55">
        <f>VLOOKUP($A60,Model!$1:$1048576,MATCH(I$14,Model!$1:$1,0),FALSE)</f>
        <v>633865</v>
      </c>
      <c r="J60" s="55">
        <f>VLOOKUP($A60,Model!$1:$1048576,MATCH(J$14,Model!$1:$1,0),FALSE)</f>
        <v>658716</v>
      </c>
      <c r="K60" s="55">
        <f>VLOOKUP($A60,Model!$1:$1048576,MATCH(K$14,Model!$1:$1,0),FALSE)</f>
        <v>678959.66011199995</v>
      </c>
      <c r="L60" s="55">
        <f>VLOOKUP($A60,Model!$1:$1048576,MATCH(L$14,Model!$1:$1,0),FALSE)</f>
        <v>697434.32220356248</v>
      </c>
    </row>
    <row r="61" spans="1:15">
      <c r="B61" s="19" t="s">
        <v>899</v>
      </c>
      <c r="C61" s="134">
        <f ca="1">C63-C60-C62</f>
        <v>218266</v>
      </c>
      <c r="D61" s="134">
        <f ca="1">D63-D60-D62</f>
        <v>235652</v>
      </c>
      <c r="E61" s="134">
        <f ca="1">E63-E60-E62</f>
        <v>259523.68620000005</v>
      </c>
      <c r="F61" s="134">
        <f ca="1">F63-F60-F62</f>
        <v>276785.82000459707</v>
      </c>
      <c r="G61" s="134">
        <f ca="1">G63-G60-G62</f>
        <v>288024.43420792191</v>
      </c>
      <c r="I61" s="134">
        <f>I63-I60-I62</f>
        <v>235652</v>
      </c>
      <c r="J61" s="134">
        <f>J63-J60-J62</f>
        <v>248253</v>
      </c>
      <c r="K61" s="134">
        <f>K63-K60-K62</f>
        <v>259523.68620000005</v>
      </c>
      <c r="L61" s="134">
        <f>L63-L60-L62</f>
        <v>268665.40804639482</v>
      </c>
    </row>
    <row r="62" spans="1:15">
      <c r="A62" s="1" t="s">
        <v>735</v>
      </c>
      <c r="B62" s="19" t="s">
        <v>1062</v>
      </c>
      <c r="C62" s="55">
        <f ca="1">VLOOKUP($A62,Model!$1:$1048576,MATCH(C$14,Model!$1:$1,0),FALSE)</f>
        <v>15896</v>
      </c>
      <c r="D62" s="55">
        <f ca="1">VLOOKUP($A62,Model!$1:$1048576,MATCH(D$14,Model!$1:$1,0),FALSE)</f>
        <v>15665</v>
      </c>
      <c r="E62" s="55">
        <f ca="1">VLOOKUP($A62,Model!$1:$1048576,MATCH(E$14,Model!$1:$1,0),FALSE)</f>
        <v>16210.409100000001</v>
      </c>
      <c r="F62" s="55">
        <f ca="1">VLOOKUP($A62,Model!$1:$1048576,MATCH(F$14,Model!$1:$1,0),FALSE)</f>
        <v>16578.19391630976</v>
      </c>
      <c r="G62" s="55">
        <f ca="1">VLOOKUP($A62,Model!$1:$1048576,MATCH(G$14,Model!$1:$1,0),FALSE)</f>
        <v>16912.25282318172</v>
      </c>
      <c r="H62" s="55"/>
      <c r="I62" s="55">
        <f>VLOOKUP($A62,Model!$1:$1048576,MATCH(I$14,Model!$1:$1,0),FALSE)</f>
        <v>15665</v>
      </c>
      <c r="J62" s="55">
        <f>VLOOKUP($A62,Model!$1:$1048576,MATCH(J$14,Model!$1:$1,0),FALSE)</f>
        <v>15891</v>
      </c>
      <c r="K62" s="55">
        <f>VLOOKUP($A62,Model!$1:$1048576,MATCH(K$14,Model!$1:$1,0),FALSE)</f>
        <v>16210.409100000001</v>
      </c>
      <c r="L62" s="55">
        <f>VLOOKUP($A62,Model!$1:$1048576,MATCH(L$14,Model!$1:$1,0),FALSE)</f>
        <v>16413.647104091247</v>
      </c>
    </row>
    <row r="63" spans="1:15" s="24" customFormat="1">
      <c r="A63" s="1" t="s">
        <v>736</v>
      </c>
      <c r="B63" s="24" t="s">
        <v>1063</v>
      </c>
      <c r="C63" s="135">
        <f ca="1">C72-C69-C66</f>
        <v>830508</v>
      </c>
      <c r="D63" s="135">
        <f ca="1">D72-D69-D66</f>
        <v>885182</v>
      </c>
      <c r="E63" s="135">
        <f ca="1">E72-E69-E66</f>
        <v>954693.755412</v>
      </c>
      <c r="F63" s="135">
        <f ca="1">F72-F69-F66</f>
        <v>1010473.1327124123</v>
      </c>
      <c r="G63" s="135">
        <f ca="1">G72-G69-G66</f>
        <v>1064551.5443528744</v>
      </c>
      <c r="I63" s="135">
        <f>I72-I69-I66</f>
        <v>885182</v>
      </c>
      <c r="J63" s="135">
        <f>J72-J69-J66</f>
        <v>922860</v>
      </c>
      <c r="K63" s="135">
        <f>K72-K69-K66</f>
        <v>954693.755412</v>
      </c>
      <c r="L63" s="135">
        <f>L72-L69-L66</f>
        <v>982513.37735404854</v>
      </c>
    </row>
    <row r="64" spans="1:15" s="84" customFormat="1">
      <c r="A64" s="1" t="s">
        <v>607</v>
      </c>
      <c r="B64" s="84" t="s">
        <v>1097</v>
      </c>
      <c r="C64" s="61" t="e">
        <f ca="1">(C63 / (VLOOKUP($A63,Model!$1:$1048576,MATCH(A$14,Model!$1:$1,0),FALSE) + VLOOKUP($A64,Model!$1:$1048576,MATCH(A$14,Model!$1:$1,0),FALSE)) - 1) * 100</f>
        <v>#N/A</v>
      </c>
      <c r="D64" s="136">
        <f ca="1">(D63 / C63 - 1) * 100</f>
        <v>6.5831996801957393</v>
      </c>
      <c r="E64" s="136">
        <f ca="1">(E63 / D63 - 1) * 100</f>
        <v>7.8528207094134217</v>
      </c>
      <c r="F64" s="136">
        <f ca="1">(F63 / E63 - 1) * 100</f>
        <v>5.842646082495917</v>
      </c>
      <c r="G64" s="136">
        <f ca="1">(G63 / F63 - 1) * 100</f>
        <v>5.3517911451341105</v>
      </c>
      <c r="I64" s="61">
        <f>(I63 / (VLOOKUP($A63,Model!$1:$1048576,MATCH(H$14,Model!$1:$1,0),FALSE) + VLOOKUP($A64,Model!$1:$1048576,MATCH(H$14,Model!$1:$1,0),FALSE)) - 1) * 100</f>
        <v>3.735466836671919</v>
      </c>
      <c r="J64" s="136">
        <f>(J63 / I63 - 1) * 100</f>
        <v>4.256525776619946</v>
      </c>
      <c r="K64" s="136">
        <f>(K63 / J63 - 1) * 100</f>
        <v>3.4494674611533771</v>
      </c>
      <c r="L64" s="136">
        <f>(L63 / K63 - 1) * 100</f>
        <v>2.9139838596768497</v>
      </c>
    </row>
    <row r="65" spans="1:12">
      <c r="A65" s="1" t="s">
        <v>612</v>
      </c>
      <c r="B65" s="19" t="s">
        <v>558</v>
      </c>
      <c r="C65" s="55">
        <f ca="1">VLOOKUP($A65,Model!$1:$1048576,MATCH(C$14,Model!$1:$1,0),FALSE)</f>
        <v>779701</v>
      </c>
      <c r="D65" s="55">
        <f ca="1">VLOOKUP($A65,Model!$1:$1048576,MATCH(D$14,Model!$1:$1,0),FALSE)</f>
        <v>820998</v>
      </c>
      <c r="E65" s="55">
        <f ca="1">VLOOKUP($A65,Model!$1:$1048576,MATCH(E$14,Model!$1:$1,0),FALSE)</f>
        <v>889768.59</v>
      </c>
      <c r="F65" s="55">
        <f ca="1">VLOOKUP($A65,Model!$1:$1048576,MATCH(F$14,Model!$1:$1,0),FALSE)</f>
        <v>934813.12486874987</v>
      </c>
      <c r="G65" s="55">
        <f ca="1">VLOOKUP($A65,Model!$1:$1048576,MATCH(G$14,Model!$1:$1,0),FALSE)</f>
        <v>982138.0393152301</v>
      </c>
      <c r="H65" s="55"/>
      <c r="I65" s="55">
        <f>VLOOKUP($A65,Model!$1:$1048576,MATCH(I$14,Model!$1:$1,0),FALSE)</f>
        <v>820998</v>
      </c>
      <c r="J65" s="55">
        <f>VLOOKUP($A65,Model!$1:$1048576,MATCH(J$14,Model!$1:$1,0),FALSE)</f>
        <v>863853</v>
      </c>
      <c r="K65" s="55">
        <f>VLOOKUP($A65,Model!$1:$1048576,MATCH(K$14,Model!$1:$1,0),FALSE)</f>
        <v>889768.59</v>
      </c>
      <c r="L65" s="55">
        <f>VLOOKUP($A65,Model!$1:$1048576,MATCH(L$14,Model!$1:$1,0),FALSE)</f>
        <v>912012.80474999989</v>
      </c>
    </row>
    <row r="66" spans="1:12" s="24" customFormat="1">
      <c r="A66" s="1" t="s">
        <v>602</v>
      </c>
      <c r="B66" s="24" t="s">
        <v>1064</v>
      </c>
      <c r="C66" s="82">
        <f ca="1">VLOOKUP($A66,Model!$1:$1048576,MATCH(C$14,Model!$1:$1,0),FALSE)</f>
        <v>102507</v>
      </c>
      <c r="D66" s="82">
        <f ca="1">VLOOKUP($A66,Model!$1:$1048576,MATCH(D$14,Model!$1:$1,0),FALSE)</f>
        <v>109706</v>
      </c>
      <c r="E66" s="82">
        <f ca="1">VLOOKUP($A66,Model!$1:$1048576,MATCH(E$14,Model!$1:$1,0),FALSE)</f>
        <v>116118.40363408318</v>
      </c>
      <c r="F66" s="82">
        <f ca="1">VLOOKUP($A66,Model!$1:$1048576,MATCH(F$14,Model!$1:$1,0),FALSE)</f>
        <v>115848.32644983228</v>
      </c>
      <c r="G66" s="82">
        <f ca="1">VLOOKUP($A66,Model!$1:$1048576,MATCH(G$14,Model!$1:$1,0),FALSE)</f>
        <v>117639.50241153641</v>
      </c>
      <c r="H66" s="82"/>
      <c r="I66" s="82">
        <f>VLOOKUP($A66,Model!$1:$1048576,MATCH(I$14,Model!$1:$1,0),FALSE)</f>
        <v>109706</v>
      </c>
      <c r="J66" s="82">
        <f>VLOOKUP($A66,Model!$1:$1048576,MATCH(J$14,Model!$1:$1,0),FALSE)</f>
        <v>105569</v>
      </c>
      <c r="K66" s="82">
        <f>VLOOKUP($A66,Model!$1:$1048576,MATCH(K$14,Model!$1:$1,0),FALSE)</f>
        <v>116118.40363408318</v>
      </c>
      <c r="L66" s="82">
        <f>VLOOKUP($A66,Model!$1:$1048576,MATCH(L$14,Model!$1:$1,0),FALSE)</f>
        <v>114148.53331575784</v>
      </c>
    </row>
    <row r="67" spans="1:12" s="84" customFormat="1">
      <c r="A67" s="137"/>
      <c r="B67" s="84" t="s">
        <v>1098</v>
      </c>
      <c r="C67" s="138" t="e">
        <f ca="1">(C66 / VLOOKUP($A66,Model!$1:$1048576,MATCH(A$14,Model!$1:$1,0),FALSE) - 1) * 100</f>
        <v>#N/A</v>
      </c>
      <c r="D67" s="136">
        <f ca="1">(D66 / C66 - 1) * 100</f>
        <v>7.0229350190718742</v>
      </c>
      <c r="E67" s="136">
        <f ca="1">(E66 / D66 - 1) * 100</f>
        <v>5.8450801543062259</v>
      </c>
      <c r="F67" s="136">
        <f ca="1">(F66 / E66 - 1) * 100</f>
        <v>-0.23258775163838008</v>
      </c>
      <c r="G67" s="136">
        <f ca="1">(G66 / F66 - 1) * 100</f>
        <v>1.5461388322081548</v>
      </c>
      <c r="I67" s="138">
        <f>(I66 / VLOOKUP($A66,Model!$1:$1048576,MATCH(H$14,Model!$1:$1,0),FALSE) - 1) * 100</f>
        <v>5.3255119576800958</v>
      </c>
      <c r="J67" s="136">
        <f>(J66 / I66 - 1) * 100</f>
        <v>-3.7709879131496926</v>
      </c>
      <c r="K67" s="136">
        <f>(K66 / J66 - 1) * 100</f>
        <v>9.992899084090201</v>
      </c>
      <c r="L67" s="136">
        <f>(L66 / K66 - 1) * 100</f>
        <v>-1.6964324832891009</v>
      </c>
    </row>
    <row r="68" spans="1:12">
      <c r="A68" s="1" t="s">
        <v>250</v>
      </c>
      <c r="B68" s="19" t="s">
        <v>458</v>
      </c>
      <c r="C68" s="55">
        <f ca="1">VLOOKUP($A68,Model!$1:$1048576,MATCH(C$14,Model!$1:$1,0),FALSE)</f>
        <v>80004</v>
      </c>
      <c r="D68" s="55">
        <f ca="1">VLOOKUP($A68,Model!$1:$1048576,MATCH(D$14,Model!$1:$1,0),FALSE)</f>
        <v>85552</v>
      </c>
      <c r="E68" s="55">
        <f ca="1">VLOOKUP($A68,Model!$1:$1048576,MATCH(E$14,Model!$1:$1,0),FALSE)</f>
        <v>83216.604999999996</v>
      </c>
      <c r="F68" s="55">
        <f ca="1">VLOOKUP($A68,Model!$1:$1048576,MATCH(F$14,Model!$1:$1,0),FALSE)</f>
        <v>87429.445628124988</v>
      </c>
      <c r="G68" s="55">
        <f ca="1">VLOOKUP($A68,Model!$1:$1048576,MATCH(G$14,Model!$1:$1,0),FALSE)</f>
        <v>91855.561313048791</v>
      </c>
      <c r="H68" s="55"/>
      <c r="I68" s="55">
        <f>VLOOKUP($A68,Model!$1:$1048576,MATCH(I$14,Model!$1:$1,0),FALSE)</f>
        <v>85552</v>
      </c>
      <c r="J68" s="55">
        <f>VLOOKUP($A68,Model!$1:$1048576,MATCH(J$14,Model!$1:$1,0),FALSE)</f>
        <v>81505</v>
      </c>
      <c r="K68" s="55">
        <f>VLOOKUP($A68,Model!$1:$1048576,MATCH(K$14,Model!$1:$1,0),FALSE)</f>
        <v>83216.604999999996</v>
      </c>
      <c r="L68" s="55">
        <f>VLOOKUP($A68,Model!$1:$1048576,MATCH(L$14,Model!$1:$1,0),FALSE)</f>
        <v>85297.020124999995</v>
      </c>
    </row>
    <row r="69" spans="1:12" s="24" customFormat="1">
      <c r="A69" s="1" t="s">
        <v>597</v>
      </c>
      <c r="B69" s="24" t="s">
        <v>1065</v>
      </c>
      <c r="C69" s="82">
        <f ca="1">VLOOKUP($A69,Model!$1:$1048576,MATCH(C$14,Model!$1:$1,0),FALSE)</f>
        <v>15107</v>
      </c>
      <c r="D69" s="82">
        <f ca="1">VLOOKUP($A69,Model!$1:$1048576,MATCH(D$14,Model!$1:$1,0),FALSE)</f>
        <v>19041</v>
      </c>
      <c r="E69" s="82">
        <f ca="1">VLOOKUP($A69,Model!$1:$1048576,MATCH(E$14,Model!$1:$1,0),FALSE)</f>
        <v>18722.076287776916</v>
      </c>
      <c r="F69" s="82">
        <f ca="1">VLOOKUP($A69,Model!$1:$1048576,MATCH(F$14,Model!$1:$1,0),FALSE)</f>
        <v>19946.660456015157</v>
      </c>
      <c r="G69" s="82">
        <f ca="1">VLOOKUP($A69,Model!$1:$1048576,MATCH(G$14,Model!$1:$1,0),FALSE)</f>
        <v>19689.154820007523</v>
      </c>
      <c r="H69" s="82"/>
      <c r="I69" s="82">
        <f>VLOOKUP($A69,Model!$1:$1048576,MATCH(I$14,Model!$1:$1,0),FALSE)</f>
        <v>19041</v>
      </c>
      <c r="J69" s="82">
        <f>VLOOKUP($A69,Model!$1:$1048576,MATCH(J$14,Model!$1:$1,0),FALSE)</f>
        <v>18597</v>
      </c>
      <c r="K69" s="82">
        <f>VLOOKUP($A69,Model!$1:$1048576,MATCH(K$14,Model!$1:$1,0),FALSE)</f>
        <v>18722.076287776916</v>
      </c>
      <c r="L69" s="82">
        <f>VLOOKUP($A69,Model!$1:$1048576,MATCH(L$14,Model!$1:$1,0),FALSE)</f>
        <v>19992.357908028534</v>
      </c>
    </row>
    <row r="70" spans="1:12" s="84" customFormat="1">
      <c r="A70" s="1"/>
      <c r="B70" s="84" t="s">
        <v>1099</v>
      </c>
      <c r="C70" s="138" t="e">
        <f ca="1">(C69 / VLOOKUP($A69,Model!$1:$1048576,MATCH(A$14,Model!$1:$1,0),FALSE) - 1) * 100</f>
        <v>#N/A</v>
      </c>
      <c r="D70" s="136">
        <f ca="1">(D69 / C69 - 1) * 100</f>
        <v>26.040908188257106</v>
      </c>
      <c r="E70" s="136">
        <f ca="1">(E69 / D69 - 1) * 100</f>
        <v>-1.6749315278771326</v>
      </c>
      <c r="F70" s="136">
        <f ca="1">(F69 / E69 - 1) * 100</f>
        <v>6.5408566305102278</v>
      </c>
      <c r="G70" s="136">
        <f ca="1">(G69 / F69 - 1) * 100</f>
        <v>-1.2909711707153493</v>
      </c>
      <c r="I70" s="138">
        <f>(I69 / VLOOKUP($A69,Model!$1:$1048576,MATCH(H$14,Model!$1:$1,0),FALSE) - 1) * 100</f>
        <v>5.9776256470195355</v>
      </c>
      <c r="J70" s="136">
        <f>(J69 / I69 - 1) * 100</f>
        <v>-2.3318103040806726</v>
      </c>
      <c r="K70" s="136">
        <f>(K69 / J69 - 1) * 100</f>
        <v>0.67256163777444922</v>
      </c>
      <c r="L70" s="136">
        <f>(L69 / K69 - 1) * 100</f>
        <v>6.7849398791358873</v>
      </c>
    </row>
    <row r="71" spans="1:12">
      <c r="A71" s="1" t="s">
        <v>247</v>
      </c>
      <c r="B71" s="19" t="s">
        <v>469</v>
      </c>
      <c r="C71" s="55">
        <f ca="1">VLOOKUP($A71,Model!$1:$1048576,MATCH(C$14,Model!$1:$1,0),FALSE)</f>
        <v>23217</v>
      </c>
      <c r="D71" s="55">
        <f ca="1">VLOOKUP($A71,Model!$1:$1048576,MATCH(D$14,Model!$1:$1,0),FALSE)</f>
        <v>31307</v>
      </c>
      <c r="E71" s="55">
        <f ca="1">VLOOKUP($A71,Model!$1:$1048576,MATCH(E$14,Model!$1:$1,0),FALSE)</f>
        <v>37956.695999999996</v>
      </c>
      <c r="F71" s="55">
        <f ca="1">VLOOKUP($A71,Model!$1:$1048576,MATCH(F$14,Model!$1:$1,0),FALSE)</f>
        <v>39878.253734999991</v>
      </c>
      <c r="G71" s="55">
        <f ca="1">VLOOKUP($A71,Model!$1:$1048576,MATCH(G$14,Model!$1:$1,0),FALSE)</f>
        <v>41897.090330334358</v>
      </c>
      <c r="H71" s="55"/>
      <c r="I71" s="55">
        <f>VLOOKUP($A71,Model!$1:$1048576,MATCH(I$14,Model!$1:$1,0),FALSE)</f>
        <v>31307</v>
      </c>
      <c r="J71" s="55">
        <f>VLOOKUP($A71,Model!$1:$1048576,MATCH(J$14,Model!$1:$1,0),FALSE)</f>
        <v>37176</v>
      </c>
      <c r="K71" s="55">
        <f>VLOOKUP($A71,Model!$1:$1048576,MATCH(K$14,Model!$1:$1,0),FALSE)</f>
        <v>37956.695999999996</v>
      </c>
      <c r="L71" s="55">
        <f>VLOOKUP($A71,Model!$1:$1048576,MATCH(L$14,Model!$1:$1,0),FALSE)</f>
        <v>38905.613399999995</v>
      </c>
    </row>
    <row r="72" spans="1:12" s="24" customFormat="1">
      <c r="A72" s="1" t="s">
        <v>609</v>
      </c>
      <c r="B72" s="24" t="s">
        <v>1100</v>
      </c>
      <c r="C72" s="82">
        <f ca="1">VLOOKUP($A72,Model!$1:$1048576,MATCH(C$14,Model!$1:$1,0),FALSE)</f>
        <v>948122</v>
      </c>
      <c r="D72" s="82">
        <f ca="1">VLOOKUP($A72,Model!$1:$1048576,MATCH(D$14,Model!$1:$1,0),FALSE)</f>
        <v>1013929</v>
      </c>
      <c r="E72" s="82">
        <f ca="1">VLOOKUP($A72,Model!$1:$1048576,MATCH(E$14,Model!$1:$1,0),FALSE)</f>
        <v>1089534.2353338602</v>
      </c>
      <c r="F72" s="82">
        <f ca="1">VLOOKUP($A72,Model!$1:$1048576,MATCH(F$14,Model!$1:$1,0),FALSE)</f>
        <v>1146268.1196182598</v>
      </c>
      <c r="G72" s="82">
        <f ca="1">VLOOKUP($A72,Model!$1:$1048576,MATCH(G$14,Model!$1:$1,0),FALSE)</f>
        <v>1201880.2015844183</v>
      </c>
      <c r="H72" s="82"/>
      <c r="I72" s="82">
        <f>VLOOKUP($A72,Model!$1:$1048576,MATCH(I$14,Model!$1:$1,0),FALSE)</f>
        <v>1013929</v>
      </c>
      <c r="J72" s="82">
        <f>VLOOKUP($A72,Model!$1:$1048576,MATCH(J$14,Model!$1:$1,0),FALSE)</f>
        <v>1047026</v>
      </c>
      <c r="K72" s="82">
        <f>VLOOKUP($A72,Model!$1:$1048576,MATCH(K$14,Model!$1:$1,0),FALSE)</f>
        <v>1089534.2353338602</v>
      </c>
      <c r="L72" s="82">
        <f>VLOOKUP($A72,Model!$1:$1048576,MATCH(L$14,Model!$1:$1,0),FALSE)</f>
        <v>1116654.2685778351</v>
      </c>
    </row>
    <row r="73" spans="1:12" s="84" customFormat="1">
      <c r="A73" s="1"/>
      <c r="B73" s="84" t="s">
        <v>1101</v>
      </c>
      <c r="C73" s="138" t="e">
        <f ca="1">(C72 / VLOOKUP($A72,Model!$1:$1048576,MATCH(A$14,Model!$1:$1,0),FALSE) - 1) * 100</f>
        <v>#N/A</v>
      </c>
      <c r="D73" s="136">
        <f ca="1">(D72 / C72 - 1) * 100</f>
        <v>6.9407734447676672</v>
      </c>
      <c r="E73" s="136">
        <f ca="1">(E72 / D72 - 1) * 100</f>
        <v>7.456659720144132</v>
      </c>
      <c r="F73" s="136">
        <f ca="1">(F72 / E72 - 1) * 100</f>
        <v>5.20716857208392</v>
      </c>
      <c r="G73" s="136">
        <f ca="1">(G72 / F72 - 1) * 100</f>
        <v>4.8515771322924728</v>
      </c>
      <c r="I73" s="138">
        <f>(I72 / VLOOKUP($A72,Model!$1:$1048576,MATCH(H$14,Model!$1:$1,0),FALSE) - 1) * 100</f>
        <v>3.9465550171052133</v>
      </c>
      <c r="J73" s="136">
        <f>(J72 / I72 - 1) * 100</f>
        <v>3.2642325054318411</v>
      </c>
      <c r="K73" s="136">
        <f>(K72 / J72 - 1) * 100</f>
        <v>4.0599025557970903</v>
      </c>
      <c r="L73" s="136">
        <f>(L72 / K72 - 1) * 100</f>
        <v>2.4891400714604162</v>
      </c>
    </row>
    <row r="74" spans="1:12" s="24" customFormat="1">
      <c r="A74" s="1" t="s">
        <v>892</v>
      </c>
      <c r="B74" s="24" t="s">
        <v>569</v>
      </c>
      <c r="C74" s="82">
        <f ca="1">VLOOKUP($A74,Model!$1:$1048576,MATCH(C$14,Model!$1:$1,0),FALSE)</f>
        <v>467551</v>
      </c>
      <c r="D74" s="82">
        <f ca="1">VLOOKUP($A74,Model!$1:$1048576,MATCH(D$14,Model!$1:$1,0),FALSE)</f>
        <v>496145</v>
      </c>
      <c r="E74" s="82">
        <f ca="1">VLOOKUP($A74,Model!$1:$1048576,MATCH(E$14,Model!$1:$1,0),FALSE)</f>
        <v>518234.12151094631</v>
      </c>
      <c r="F74" s="82">
        <f ca="1">VLOOKUP($A74,Model!$1:$1048576,MATCH(F$14,Model!$1:$1,0),FALSE)</f>
        <v>527565.19719904941</v>
      </c>
      <c r="G74" s="82">
        <f ca="1">VLOOKUP($A74,Model!$1:$1048576,MATCH(G$14,Model!$1:$1,0),FALSE)</f>
        <v>539746.22347784275</v>
      </c>
      <c r="H74" s="82"/>
      <c r="I74" s="82">
        <f>VLOOKUP($A74,Model!$1:$1048576,MATCH(I$14,Model!$1:$1,0),FALSE)</f>
        <v>496145</v>
      </c>
      <c r="J74" s="82">
        <f>VLOOKUP($A74,Model!$1:$1048576,MATCH(J$14,Model!$1:$1,0),FALSE)</f>
        <v>505310</v>
      </c>
      <c r="K74" s="82">
        <f>VLOOKUP($A74,Model!$1:$1048576,MATCH(K$14,Model!$1:$1,0),FALSE)</f>
        <v>518234.12151094631</v>
      </c>
      <c r="L74" s="82">
        <f>VLOOKUP($A74,Model!$1:$1048576,MATCH(L$14,Model!$1:$1,0),FALSE)</f>
        <v>523019.04880899587</v>
      </c>
    </row>
    <row r="77" spans="1:12">
      <c r="B77" s="2" t="s">
        <v>1102</v>
      </c>
      <c r="C77" s="133"/>
      <c r="D77" s="133"/>
      <c r="E77" s="133"/>
      <c r="F77" s="133"/>
      <c r="G77" s="133"/>
      <c r="H77" s="133"/>
      <c r="I77" s="133"/>
      <c r="J77" s="133"/>
      <c r="K77" s="133"/>
      <c r="L77" s="133"/>
    </row>
    <row r="79" spans="1:12">
      <c r="B79" s="6" t="s">
        <v>1103</v>
      </c>
      <c r="C79" s="11" t="str">
        <f ca="1">C$14</f>
        <v>FY24A</v>
      </c>
      <c r="D79" s="11" t="str">
        <f ca="1">D$14</f>
        <v>FY25A</v>
      </c>
      <c r="E79" s="11" t="str">
        <f ca="1">E$14</f>
        <v>FY26E</v>
      </c>
      <c r="F79" s="11" t="str">
        <f ca="1">F$14</f>
        <v>FY27E</v>
      </c>
      <c r="G79" s="11" t="str">
        <f ca="1">G$14</f>
        <v>FY28E</v>
      </c>
      <c r="H79" s="21"/>
      <c r="I79" s="11" t="str">
        <f>I$14</f>
        <v>2H25A</v>
      </c>
      <c r="J79" s="11" t="str">
        <f>J$14</f>
        <v>1H26A</v>
      </c>
      <c r="K79" s="11" t="str">
        <f>K$14</f>
        <v>2H26E</v>
      </c>
      <c r="L79" s="11" t="str">
        <f>L$14</f>
        <v>1H27E</v>
      </c>
    </row>
    <row r="80" spans="1:12" s="24" customFormat="1">
      <c r="A80" s="1"/>
      <c r="B80" s="24" t="s">
        <v>721</v>
      </c>
    </row>
    <row r="81" spans="1:12">
      <c r="A81" s="1" t="s">
        <v>999</v>
      </c>
      <c r="B81" s="19" t="s">
        <v>722</v>
      </c>
      <c r="C81" s="61">
        <f ca="1">VLOOKUP($A81,Model!$1:$1048576,MATCH(C$14,Model!$1:$1,0),FALSE) * 100</f>
        <v>12.954203841857773</v>
      </c>
      <c r="D81" s="61">
        <f ca="1">VLOOKUP($A81,Model!$1:$1048576,MATCH(D$14,Model!$1:$1,0),FALSE) * 100</f>
        <v>13.379237914573238</v>
      </c>
      <c r="E81" s="61">
        <f ca="1">VLOOKUP($A81,Model!$1:$1048576,MATCH(E$14,Model!$1:$1,0),FALSE) * 100</f>
        <v>14.06047313142626</v>
      </c>
      <c r="F81" s="61">
        <f ca="1">VLOOKUP($A81,Model!$1:$1048576,MATCH(F$14,Model!$1:$1,0),FALSE) * 100</f>
        <v>14.480059284899843</v>
      </c>
      <c r="G81" s="61">
        <f ca="1">VLOOKUP($A81,Model!$1:$1048576,MATCH(G$14,Model!$1:$1,0),FALSE) * 100</f>
        <v>14.71699712698274</v>
      </c>
      <c r="H81" s="61"/>
      <c r="I81" s="61">
        <f>VLOOKUP($A81,Model!$1:$1048576,MATCH(I$14,Model!$1:$1,0),FALSE) * 100</f>
        <v>13.044111380985921</v>
      </c>
      <c r="J81" s="61">
        <f>VLOOKUP($A81,Model!$1:$1048576,MATCH(J$14,Model!$1:$1,0),FALSE) * 100</f>
        <v>13.648652075813281</v>
      </c>
      <c r="K81" s="61">
        <f>VLOOKUP($A81,Model!$1:$1048576,MATCH(K$14,Model!$1:$1,0),FALSE) * 100</f>
        <v>14.478286082677286</v>
      </c>
      <c r="L81" s="61">
        <f>VLOOKUP($A81,Model!$1:$1048576,MATCH(L$14,Model!$1:$1,0),FALSE) * 100</f>
        <v>14.388175776096404</v>
      </c>
    </row>
    <row r="82" spans="1:12">
      <c r="A82" s="1" t="s">
        <v>1000</v>
      </c>
      <c r="B82" s="19" t="s">
        <v>592</v>
      </c>
      <c r="C82" s="61">
        <f ca="1">VLOOKUP($A82,Model!$1:$1048576,MATCH(C$14,Model!$1:$1,0),FALSE) * 100</f>
        <v>13.563716094157233</v>
      </c>
      <c r="D82" s="61">
        <f ca="1">VLOOKUP($A82,Model!$1:$1048576,MATCH(D$14,Model!$1:$1,0),FALSE) * 100</f>
        <v>13.559109045097358</v>
      </c>
      <c r="E82" s="61">
        <f ca="1">VLOOKUP($A82,Model!$1:$1048576,MATCH(E$14,Model!$1:$1,0),FALSE) * 100</f>
        <v>14.160241022314688</v>
      </c>
      <c r="F82" s="61">
        <f ca="1">VLOOKUP($A82,Model!$1:$1048576,MATCH(F$14,Model!$1:$1,0),FALSE) * 100</f>
        <v>14.480059284899847</v>
      </c>
      <c r="G82" s="61">
        <f ca="1">VLOOKUP($A82,Model!$1:$1048576,MATCH(G$14,Model!$1:$1,0),FALSE) * 100</f>
        <v>14.716997126982742</v>
      </c>
      <c r="H82" s="61"/>
      <c r="I82" s="61">
        <f>VLOOKUP($A82,Model!$1:$1048576,MATCH(I$14,Model!$1:$1,0),FALSE) * 100</f>
        <v>13.405429600692074</v>
      </c>
      <c r="J82" s="61">
        <f>VLOOKUP($A82,Model!$1:$1048576,MATCH(J$14,Model!$1:$1,0),FALSE) * 100</f>
        <v>13.847011468754111</v>
      </c>
      <c r="K82" s="61">
        <f>VLOOKUP($A82,Model!$1:$1048576,MATCH(K$14,Model!$1:$1,0),FALSE) * 100</f>
        <v>14.478286082677286</v>
      </c>
      <c r="L82" s="61">
        <f>VLOOKUP($A82,Model!$1:$1048576,MATCH(L$14,Model!$1:$1,0),FALSE) * 100</f>
        <v>14.388175776096404</v>
      </c>
    </row>
    <row r="83" spans="1:12">
      <c r="A83" s="1" t="s">
        <v>1001</v>
      </c>
      <c r="B83" s="19" t="s">
        <v>593</v>
      </c>
      <c r="C83" s="61">
        <f ca="1">VLOOKUP($A83,Model!$1:$1048576,MATCH(C$14,Model!$1:$1,0),FALSE) * 100</f>
        <v>14.670524714375205</v>
      </c>
      <c r="D83" s="61">
        <f ca="1">VLOOKUP($A83,Model!$1:$1048576,MATCH(D$14,Model!$1:$1,0),FALSE) * 100</f>
        <v>14.617588443621257</v>
      </c>
      <c r="E83" s="61">
        <f ca="1">VLOOKUP($A83,Model!$1:$1048576,MATCH(E$14,Model!$1:$1,0),FALSE) * 100</f>
        <v>15.841182221237418</v>
      </c>
      <c r="F83" s="61">
        <f ca="1">VLOOKUP($A83,Model!$1:$1048576,MATCH(F$14,Model!$1:$1,0),FALSE) * 100</f>
        <v>16.168143285502516</v>
      </c>
      <c r="G83" s="61">
        <f ca="1">VLOOKUP($A83,Model!$1:$1048576,MATCH(G$14,Model!$1:$1,0),FALSE) * 100</f>
        <v>16.423099285982026</v>
      </c>
      <c r="H83" s="61"/>
      <c r="I83" s="61">
        <f>VLOOKUP($A83,Model!$1:$1048576,MATCH(I$14,Model!$1:$1,0),FALSE) * 100</f>
        <v>14.430577689892921</v>
      </c>
      <c r="J83" s="61">
        <f>VLOOKUP($A83,Model!$1:$1048576,MATCH(J$14,Model!$1:$1,0),FALSE) * 100</f>
        <v>15.18764150830931</v>
      </c>
      <c r="K83" s="61">
        <f>VLOOKUP($A83,Model!$1:$1048576,MATCH(K$14,Model!$1:$1,0),FALSE) * 100</f>
        <v>16.192699360403406</v>
      </c>
      <c r="L83" s="61">
        <f>VLOOKUP($A83,Model!$1:$1048576,MATCH(L$14,Model!$1:$1,0),FALSE) * 100</f>
        <v>16.067041797638851</v>
      </c>
    </row>
    <row r="84" spans="1:12">
      <c r="A84" s="1" t="s">
        <v>887</v>
      </c>
      <c r="B84" s="19" t="s">
        <v>594</v>
      </c>
      <c r="C84" s="17">
        <f ca="1">VLOOKUP($A84,Model!$1:$1048576,MATCH(C$14,Model!$1:$1,0),FALSE) * 100</f>
        <v>2.1120569121465769</v>
      </c>
      <c r="D84" s="17">
        <f ca="1">VLOOKUP($A84,Model!$1:$1048576,MATCH(D$14,Model!$1:$1,0),FALSE) * 100</f>
        <v>2.1262331479496619</v>
      </c>
      <c r="E84" s="17">
        <f ca="1">VLOOKUP($A84,Model!$1:$1048576,MATCH(E$14,Model!$1:$1,0),FALSE) * 100</f>
        <v>2.1866066954689338</v>
      </c>
      <c r="F84" s="17">
        <f ca="1">VLOOKUP($A84,Model!$1:$1048576,MATCH(F$14,Model!$1:$1,0),FALSE) * 100</f>
        <v>2.1999931116664189</v>
      </c>
      <c r="G84" s="17">
        <f ca="1">VLOOKUP($A84,Model!$1:$1048576,MATCH(G$14,Model!$1:$1,0),FALSE) * 100</f>
        <v>2.2020583957442077</v>
      </c>
      <c r="H84" s="17"/>
      <c r="I84" s="17">
        <f>VLOOKUP($A84,Model!$1:$1048576,MATCH(I$14,Model!$1:$1,0),FALSE) * 100</f>
        <v>2.1103145950805069</v>
      </c>
      <c r="J84" s="17">
        <f>VLOOKUP($A84,Model!$1:$1048576,MATCH(J$14,Model!$1:$1,0),FALSE) * 100</f>
        <v>2.157105976022279</v>
      </c>
      <c r="K84" s="17">
        <f>VLOOKUP($A84,Model!$1:$1048576,MATCH(K$14,Model!$1:$1,0),FALSE) * 100</f>
        <v>2.2167313106518751</v>
      </c>
      <c r="L84" s="17">
        <f>VLOOKUP($A84,Model!$1:$1048576,MATCH(L$14,Model!$1:$1,0),FALSE) * 100</f>
        <v>2.1941586236635784</v>
      </c>
    </row>
    <row r="85" spans="1:12">
      <c r="A85" s="1" t="s">
        <v>888</v>
      </c>
      <c r="B85" s="19" t="s">
        <v>498</v>
      </c>
      <c r="C85" s="17">
        <f ca="1">VLOOKUP($A85,Model!$1:$1048576,MATCH(C$14,Model!$1:$1,0),FALSE) * 100</f>
        <v>0.77648136160538073</v>
      </c>
      <c r="D85" s="17">
        <f ca="1">VLOOKUP($A85,Model!$1:$1048576,MATCH(D$14,Model!$1:$1,0),FALSE) * 100</f>
        <v>0.79325714930377711</v>
      </c>
      <c r="E85" s="17">
        <f ca="1">VLOOKUP($A85,Model!$1:$1048576,MATCH(E$14,Model!$1:$1,0),FALSE) * 100</f>
        <v>0.78977796922258947</v>
      </c>
      <c r="F85" s="17">
        <f ca="1">VLOOKUP($A85,Model!$1:$1048576,MATCH(F$14,Model!$1:$1,0),FALSE) * 100</f>
        <v>0.77699071224040472</v>
      </c>
      <c r="G85" s="17">
        <f ca="1">VLOOKUP($A85,Model!$1:$1048576,MATCH(G$14,Model!$1:$1,0),FALSE) * 100</f>
        <v>0.75746422533014057</v>
      </c>
      <c r="H85" s="17"/>
      <c r="I85" s="17">
        <f>VLOOKUP($A85,Model!$1:$1048576,MATCH(I$14,Model!$1:$1,0),FALSE) * 100</f>
        <v>0.78363861203814311</v>
      </c>
      <c r="J85" s="17">
        <f>VLOOKUP($A85,Model!$1:$1048576,MATCH(J$14,Model!$1:$1,0),FALSE) * 100</f>
        <v>0.78603339143647777</v>
      </c>
      <c r="K85" s="17">
        <f>VLOOKUP($A85,Model!$1:$1048576,MATCH(K$14,Model!$1:$1,0),FALSE) * 100</f>
        <v>0.79394036757761932</v>
      </c>
      <c r="L85" s="17">
        <f>VLOOKUP($A85,Model!$1:$1048576,MATCH(L$14,Model!$1:$1,0),FALSE) * 100</f>
        <v>0.78124359295184909</v>
      </c>
    </row>
    <row r="86" spans="1:12">
      <c r="A86" s="1" t="s">
        <v>889</v>
      </c>
      <c r="B86" s="19" t="s">
        <v>499</v>
      </c>
      <c r="C86" s="17">
        <f ca="1">VLOOKUP($A86,Model!$1:$1048576,MATCH(C$14,Model!$1:$1,0),FALSE) * 100</f>
        <v>0.77984950078056314</v>
      </c>
      <c r="D86" s="17">
        <f ca="1">VLOOKUP($A86,Model!$1:$1048576,MATCH(D$14,Model!$1:$1,0),FALSE) * 100</f>
        <v>0.79663194306450014</v>
      </c>
      <c r="E86" s="17">
        <f ca="1">VLOOKUP($A86,Model!$1:$1048576,MATCH(E$14,Model!$1:$1,0),FALSE) * 100</f>
        <v>0.79447996517769703</v>
      </c>
      <c r="F86" s="17">
        <f ca="1">VLOOKUP($A86,Model!$1:$1048576,MATCH(F$14,Model!$1:$1,0),FALSE) * 100</f>
        <v>0.78136830322882922</v>
      </c>
      <c r="G86" s="17">
        <f ca="1">VLOOKUP($A86,Model!$1:$1048576,MATCH(G$14,Model!$1:$1,0),FALSE) * 100</f>
        <v>0.76153599563903884</v>
      </c>
      <c r="H86" s="17"/>
      <c r="I86" s="17">
        <f>VLOOKUP($A86,Model!$1:$1048576,MATCH(I$14,Model!$1:$1,0),FALSE) * 100</f>
        <v>0.78690645431617567</v>
      </c>
      <c r="J86" s="17">
        <f>VLOOKUP($A86,Model!$1:$1048576,MATCH(J$14,Model!$1:$1,0),FALSE) * 100</f>
        <v>0.78999185055389753</v>
      </c>
      <c r="K86" s="17">
        <f>VLOOKUP($A86,Model!$1:$1048576,MATCH(K$14,Model!$1:$1,0),FALSE) * 100</f>
        <v>0.79857679735844467</v>
      </c>
      <c r="L86" s="17">
        <f>VLOOKUP($A86,Model!$1:$1048576,MATCH(L$14,Model!$1:$1,0),FALSE) * 100</f>
        <v>0.78570137017027786</v>
      </c>
    </row>
    <row r="87" spans="1:12">
      <c r="A87" s="1" t="s">
        <v>1010</v>
      </c>
      <c r="B87" s="19" t="s">
        <v>563</v>
      </c>
      <c r="C87" s="61">
        <f ca="1">VLOOKUP($A87,Model!$1:$1048576,MATCH(C$14,Model!$1:$1,0),FALSE)</f>
        <v>2.9496350364963502</v>
      </c>
      <c r="D87" s="61">
        <f ca="1">VLOOKUP($A87,Model!$1:$1048576,MATCH(D$14,Model!$1:$1,0),FALSE)</f>
        <v>3.4670571010248903</v>
      </c>
      <c r="E87" s="61">
        <f ca="1">VLOOKUP($A87,Model!$1:$1048576,MATCH(E$14,Model!$1:$1,0),FALSE)</f>
        <v>3.766006104468445</v>
      </c>
      <c r="F87" s="61">
        <f ca="1">VLOOKUP($A87,Model!$1:$1048576,MATCH(F$14,Model!$1:$1,0),FALSE)</f>
        <v>3.7093625754299455</v>
      </c>
      <c r="G87" s="61">
        <f ca="1">VLOOKUP($A87,Model!$1:$1048576,MATCH(G$14,Model!$1:$1,0),FALSE)</f>
        <v>3.6879594757629444</v>
      </c>
      <c r="H87" s="61"/>
      <c r="I87" s="61">
        <f>VLOOKUP($A87,Model!$1:$1048576,MATCH(I$14,Model!$1:$1,0),FALSE)</f>
        <v>3.4474189304233418</v>
      </c>
      <c r="J87" s="61">
        <f>VLOOKUP($A87,Model!$1:$1048576,MATCH(J$14,Model!$1:$1,0),FALSE)</f>
        <v>3.8350348205402924</v>
      </c>
      <c r="K87" s="61">
        <f>VLOOKUP($A87,Model!$1:$1048576,MATCH(K$14,Model!$1:$1,0),FALSE)</f>
        <v>3.7299693855634217</v>
      </c>
      <c r="L87" s="61">
        <f>VLOOKUP($A87,Model!$1:$1048576,MATCH(L$14,Model!$1:$1,0),FALSE)</f>
        <v>3.7615933565915514</v>
      </c>
    </row>
    <row r="88" spans="1:12">
      <c r="A88" s="1" t="s">
        <v>674</v>
      </c>
      <c r="B88" s="19" t="s">
        <v>773</v>
      </c>
      <c r="C88" s="61">
        <f ca="1">VLOOKUP($A88,Model!$1:$1048576,MATCH(C$14,Model!$1:$1,0),FALSE) * 100</f>
        <v>15.583369931196017</v>
      </c>
      <c r="D88" s="61">
        <f ca="1">VLOOKUP($A88,Model!$1:$1048576,MATCH(D$14,Model!$1:$1,0),FALSE) * 100</f>
        <v>17.47319034852547</v>
      </c>
      <c r="E88" s="61">
        <f ca="1">VLOOKUP($A88,Model!$1:$1048576,MATCH(E$14,Model!$1:$1,0),FALSE) * 100</f>
        <v>18.982945121643706</v>
      </c>
      <c r="F88" s="61">
        <f ca="1">VLOOKUP($A88,Model!$1:$1048576,MATCH(F$14,Model!$1:$1,0),FALSE) * 100</f>
        <v>19.75103714406454</v>
      </c>
      <c r="G88" s="61">
        <f ca="1">VLOOKUP($A88,Model!$1:$1048576,MATCH(G$14,Model!$1:$1,0),FALSE) * 100</f>
        <v>20.002980208028603</v>
      </c>
      <c r="H88" s="61"/>
      <c r="I88" s="61">
        <f>VLOOKUP($A88,Model!$1:$1048576,MATCH(I$14,Model!$1:$1,0),FALSE) * 100</f>
        <v>16.699987577652941</v>
      </c>
      <c r="J88" s="61">
        <f>VLOOKUP($A88,Model!$1:$1048576,MATCH(J$14,Model!$1:$1,0),FALSE) * 100</f>
        <v>17.585506226068791</v>
      </c>
      <c r="K88" s="61">
        <f>VLOOKUP($A88,Model!$1:$1048576,MATCH(K$14,Model!$1:$1,0),FALSE) * 100</f>
        <v>18.567417873532953</v>
      </c>
      <c r="L88" s="61">
        <f>VLOOKUP($A88,Model!$1:$1048576,MATCH(L$14,Model!$1:$1,0),FALSE) * 100</f>
        <v>18.879757058616306</v>
      </c>
    </row>
    <row r="89" spans="1:12">
      <c r="A89" s="1" t="s">
        <v>811</v>
      </c>
      <c r="B89" s="19" t="s">
        <v>500</v>
      </c>
      <c r="C89" s="61">
        <f ca="1">VLOOKUP($A89,Model!$1:$1048576,MATCH(C$14,Model!$1:$1,0),FALSE) * 100</f>
        <v>16.007948774563921</v>
      </c>
      <c r="D89" s="61">
        <f ca="1">VLOOKUP($A89,Model!$1:$1048576,MATCH(D$14,Model!$1:$1,0),FALSE) * 100</f>
        <v>15.605129105919548</v>
      </c>
      <c r="E89" s="61">
        <f ca="1">VLOOKUP($A89,Model!$1:$1048576,MATCH(E$14,Model!$1:$1,0),FALSE) * 100</f>
        <v>15.120305021124864</v>
      </c>
      <c r="F89" s="61">
        <f ca="1">VLOOKUP($A89,Model!$1:$1048576,MATCH(F$14,Model!$1:$1,0),FALSE) * 100</f>
        <v>14.269262757341043</v>
      </c>
      <c r="G89" s="61">
        <f ca="1">VLOOKUP($A89,Model!$1:$1048576,MATCH(G$14,Model!$1:$1,0),FALSE) * 100</f>
        <v>13.922519981263493</v>
      </c>
      <c r="H89" s="61"/>
      <c r="I89" s="61">
        <f>VLOOKUP($A89,Model!$1:$1048576,MATCH(I$14,Model!$1:$1,0),FALSE) * 100</f>
        <v>15.861636971046773</v>
      </c>
      <c r="J89" s="61">
        <f>VLOOKUP($A89,Model!$1:$1048576,MATCH(J$14,Model!$1:$1,0),FALSE) * 100</f>
        <v>15.484987683909193</v>
      </c>
      <c r="K89" s="61">
        <f>VLOOKUP($A89,Model!$1:$1048576,MATCH(K$14,Model!$1:$1,0),FALSE) * 100</f>
        <v>14.759392436977089</v>
      </c>
      <c r="L89" s="61">
        <f>VLOOKUP($A89,Model!$1:$1048576,MATCH(L$14,Model!$1:$1,0),FALSE) * 100</f>
        <v>14.153119915488736</v>
      </c>
    </row>
    <row r="90" spans="1:12" s="24" customFormat="1">
      <c r="A90" s="1" t="s">
        <v>812</v>
      </c>
      <c r="B90" s="19" t="s">
        <v>472</v>
      </c>
      <c r="C90" s="61">
        <f ca="1">VLOOKUP($A90,Model!$1:$1048576,MATCH(C$14,Model!$1:$1,0),FALSE) * 100</f>
        <v>44.962096121292412</v>
      </c>
      <c r="D90" s="61">
        <f ca="1">VLOOKUP($A90,Model!$1:$1048576,MATCH(D$14,Model!$1:$1,0),FALSE) * 100</f>
        <v>45.656068856490428</v>
      </c>
      <c r="E90" s="61">
        <f ca="1">VLOOKUP($A90,Model!$1:$1048576,MATCH(E$14,Model!$1:$1,0),FALSE) * 100</f>
        <v>45.255049357467911</v>
      </c>
      <c r="F90" s="61">
        <f ca="1">VLOOKUP($A90,Model!$1:$1048576,MATCH(F$14,Model!$1:$1,0),FALSE) * 100</f>
        <v>45.07166606960466</v>
      </c>
      <c r="G90" s="61">
        <f ca="1">VLOOKUP($A90,Model!$1:$1048576,MATCH(G$14,Model!$1:$1,0),FALSE) * 100</f>
        <v>45.229839369719912</v>
      </c>
      <c r="H90" s="61"/>
      <c r="I90" s="61">
        <f>VLOOKUP($A90,Model!$1:$1048576,MATCH(I$14,Model!$1:$1,0),FALSE) * 100</f>
        <v>46.102449888641431</v>
      </c>
      <c r="J90" s="61">
        <f>VLOOKUP($A90,Model!$1:$1048576,MATCH(J$14,Model!$1:$1,0),FALSE) * 100</f>
        <v>45.869116570135141</v>
      </c>
      <c r="K90" s="61">
        <f>VLOOKUP($A90,Model!$1:$1048576,MATCH(K$14,Model!$1:$1,0),FALSE) * 100</f>
        <v>44.647330353575434</v>
      </c>
      <c r="L90" s="61">
        <f>VLOOKUP($A90,Model!$1:$1048576,MATCH(L$14,Model!$1:$1,0),FALSE) * 100</f>
        <v>45.006380889077541</v>
      </c>
    </row>
    <row r="91" spans="1:12">
      <c r="A91" s="1" t="s">
        <v>813</v>
      </c>
      <c r="B91" s="19" t="s">
        <v>408</v>
      </c>
      <c r="C91" s="61">
        <f ca="1">VLOOKUP($A91,Model!$1:$1048576,MATCH(C$14,Model!$1:$1,0),FALSE) * 100</f>
        <v>-2.8921992984795697</v>
      </c>
      <c r="D91" s="61">
        <f ca="1">VLOOKUP($A91,Model!$1:$1048576,MATCH(D$14,Model!$1:$1,0),FALSE) * 100</f>
        <v>-1.6167894833369889</v>
      </c>
      <c r="E91" s="61">
        <f ca="1">VLOOKUP($A91,Model!$1:$1048576,MATCH(E$14,Model!$1:$1,0),FALSE) * 100</f>
        <v>0.93185220588543061</v>
      </c>
      <c r="F91" s="61">
        <f ca="1">VLOOKUP($A91,Model!$1:$1048576,MATCH(F$14,Model!$1:$1,0),FALSE) * 100</f>
        <v>0.42365043771805944</v>
      </c>
      <c r="G91" s="61">
        <f ca="1">VLOOKUP($A91,Model!$1:$1048576,MATCH(G$14,Model!$1:$1,0),FALSE) * 100</f>
        <v>-0.36314295712742695</v>
      </c>
      <c r="H91" s="61"/>
      <c r="I91" s="61">
        <f>VLOOKUP($A91,Model!$1:$1048576,MATCH(I$14,Model!$1:$1,0),FALSE) * 100</f>
        <v>-2.0324074241063528</v>
      </c>
      <c r="J91" s="61">
        <f>VLOOKUP($A91,Model!$1:$1048576,MATCH(J$14,Model!$1:$1,0),FALSE) * 100</f>
        <v>0.52912134318885418</v>
      </c>
      <c r="K91" s="61">
        <f>VLOOKUP($A91,Model!$1:$1048576,MATCH(K$14,Model!$1:$1,0),FALSE) * 100</f>
        <v>2.6914600488551654</v>
      </c>
      <c r="L91" s="61">
        <f>VLOOKUP($A91,Model!$1:$1048576,MATCH(L$14,Model!$1:$1,0),FALSE) * 100</f>
        <v>-0.83461799056934183</v>
      </c>
    </row>
    <row r="92" spans="1:12">
      <c r="A92" s="1" t="s">
        <v>2106</v>
      </c>
      <c r="B92" s="19" t="s">
        <v>2108</v>
      </c>
      <c r="C92" s="55">
        <f ca="1">VLOOKUP($A92,Model!$1:$1048576,MATCH(C$14,Model!$1:$1,0),FALSE) * 100</f>
        <v>113.20792114673944</v>
      </c>
      <c r="D92" s="55">
        <f ca="1">VLOOKUP($A92,Model!$1:$1048576,MATCH(D$14,Model!$1:$1,0),FALSE) * 100</f>
        <v>113.02107310656939</v>
      </c>
      <c r="E92" s="55">
        <f ca="1">VLOOKUP($A92,Model!$1:$1048576,MATCH(E$14,Model!$1:$1,0),FALSE) * 100</f>
        <v>112.41769961835448</v>
      </c>
      <c r="F92" s="55">
        <f ca="1">VLOOKUP($A92,Model!$1:$1048576,MATCH(F$14,Model!$1:$1,0),FALSE) * 100</f>
        <v>112.57249612596422</v>
      </c>
      <c r="G92" s="55">
        <f ca="1">VLOOKUP($A92,Model!$1:$1048576,MATCH(G$14,Model!$1:$1,0),FALSE) * 100</f>
        <v>112.34649623344426</v>
      </c>
      <c r="H92" s="55"/>
      <c r="I92" s="55">
        <f>VLOOKUP($A92,Model!$1:$1048576,MATCH(I$14,Model!$1:$1,0),FALSE) * 100</f>
        <v>113.02107310656939</v>
      </c>
      <c r="J92" s="55">
        <f>VLOOKUP($A92,Model!$1:$1048576,MATCH(J$14,Model!$1:$1,0),FALSE) * 100</f>
        <v>111.17014555813567</v>
      </c>
      <c r="K92" s="55">
        <f>VLOOKUP($A92,Model!$1:$1048576,MATCH(K$14,Model!$1:$1,0),FALSE) * 100</f>
        <v>112.41769961835448</v>
      </c>
      <c r="L92" s="55">
        <f>VLOOKUP($A92,Model!$1:$1048576,MATCH(L$14,Model!$1:$1,0),FALSE) * 100</f>
        <v>112.40578890435995</v>
      </c>
    </row>
    <row r="93" spans="1:12">
      <c r="B93" s="24" t="s">
        <v>570</v>
      </c>
    </row>
    <row r="94" spans="1:12">
      <c r="A94" s="1" t="s">
        <v>815</v>
      </c>
      <c r="B94" s="19" t="s">
        <v>422</v>
      </c>
      <c r="C94" s="17">
        <f ca="1">VLOOKUP($A94,Model!$1:$1048576,MATCH(C$14,Model!$1:$1,0),FALSE) * 100</f>
        <v>0.26397313151210738</v>
      </c>
      <c r="D94" s="17">
        <f ca="1">VLOOKUP($A94,Model!$1:$1048576,MATCH(D$14,Model!$1:$1,0),FALSE) * 100</f>
        <v>0.22905701106456733</v>
      </c>
      <c r="E94" s="17">
        <f ca="1">VLOOKUP($A94,Model!$1:$1048576,MATCH(E$14,Model!$1:$1,0),FALSE) * 100</f>
        <v>0.26012178599230851</v>
      </c>
      <c r="F94" s="17">
        <f ca="1">VLOOKUP($A94,Model!$1:$1048576,MATCH(F$14,Model!$1:$1,0),FALSE) * 100</f>
        <v>0.32389835336847</v>
      </c>
      <c r="G94" s="17">
        <f ca="1">VLOOKUP($A94,Model!$1:$1048576,MATCH(G$14,Model!$1:$1,0),FALSE) * 100</f>
        <v>0.34878504227641793</v>
      </c>
      <c r="H94" s="17"/>
      <c r="I94" s="17">
        <f>VLOOKUP($A94,Model!$1:$1048576,MATCH(I$14,Model!$1:$1,0),FALSE) * 100</f>
        <v>0.23833890430361585</v>
      </c>
      <c r="J94" s="17">
        <f>VLOOKUP($A94,Model!$1:$1048576,MATCH(J$14,Model!$1:$1,0),FALSE) * 100</f>
        <v>0.25166088332193959</v>
      </c>
      <c r="K94" s="17">
        <f>VLOOKUP($A94,Model!$1:$1048576,MATCH(K$14,Model!$1:$1,0),FALSE) * 100</f>
        <v>0.26855228334169928</v>
      </c>
      <c r="L94" s="17">
        <f>VLOOKUP($A94,Model!$1:$1048576,MATCH(L$14,Model!$1:$1,0),FALSE) * 100</f>
        <v>0.29710176814404732</v>
      </c>
    </row>
    <row r="95" spans="1:12">
      <c r="A95" s="1" t="s">
        <v>816</v>
      </c>
      <c r="B95" s="19" t="s">
        <v>859</v>
      </c>
      <c r="C95" s="17">
        <f ca="1">VLOOKUP($A95,Model!$1:$1048576,MATCH(C$14,Model!$1:$1,0),FALSE) * 100</f>
        <v>7.9506998424848402E-2</v>
      </c>
      <c r="D95" s="17">
        <f ca="1">VLOOKUP($A95,Model!$1:$1048576,MATCH(D$14,Model!$1:$1,0),FALSE) * 100</f>
        <v>6.8913712149561157E-2</v>
      </c>
      <c r="E95" s="17">
        <f ca="1">VLOOKUP($A95,Model!$1:$1048576,MATCH(E$14,Model!$1:$1,0),FALSE) * 100</f>
        <v>7.9232180838772343E-2</v>
      </c>
      <c r="F95" s="17">
        <f ca="1">VLOOKUP($A95,Model!$1:$1048576,MATCH(F$14,Model!$1:$1,0),FALSE) * 100</f>
        <v>9.8689201964695425E-2</v>
      </c>
      <c r="G95" s="17">
        <f ca="1">VLOOKUP($A95,Model!$1:$1048576,MATCH(G$14,Model!$1:$1,0),FALSE) * 100</f>
        <v>0.10457431446967563</v>
      </c>
      <c r="H95" s="17"/>
      <c r="I95" s="17">
        <f>VLOOKUP($A95,Model!$1:$1048576,MATCH(I$14,Model!$1:$1,0),FALSE) * 100</f>
        <v>7.1812944114470006E-2</v>
      </c>
      <c r="J95" s="17">
        <f>VLOOKUP($A95,Model!$1:$1048576,MATCH(J$14,Model!$1:$1,0),FALSE) * 100</f>
        <v>7.6595248184692613E-2</v>
      </c>
      <c r="K95" s="17">
        <f>VLOOKUP($A95,Model!$1:$1048576,MATCH(K$14,Model!$1:$1,0),FALSE) * 100</f>
        <v>8.1860419654958508E-2</v>
      </c>
      <c r="L95" s="17">
        <f>VLOOKUP($A95,Model!$1:$1048576,MATCH(L$14,Model!$1:$1,0),FALSE) * 100</f>
        <v>9.0728706164195552E-2</v>
      </c>
    </row>
    <row r="96" spans="1:12">
      <c r="A96" s="1" t="s">
        <v>817</v>
      </c>
      <c r="B96" s="19" t="s">
        <v>352</v>
      </c>
      <c r="C96" s="17">
        <f ca="1">VLOOKUP($A96,Model!$1:$1048576,MATCH(C$14,Model!$1:$1,0),FALSE) * 100</f>
        <v>0.31225140335207985</v>
      </c>
      <c r="D96" s="17">
        <f ca="1">VLOOKUP($A96,Model!$1:$1048576,MATCH(D$14,Model!$1:$1,0),FALSE) * 100</f>
        <v>0.27216921445642533</v>
      </c>
      <c r="E96" s="17">
        <f ca="1">VLOOKUP($A96,Model!$1:$1048576,MATCH(E$14,Model!$1:$1,0),FALSE) * 100</f>
        <v>0.24784236603731272</v>
      </c>
      <c r="F96" s="17">
        <f ca="1">VLOOKUP($A96,Model!$1:$1048576,MATCH(F$14,Model!$1:$1,0),FALSE) * 100</f>
        <v>0.29586960920303224</v>
      </c>
      <c r="G96" s="17">
        <f ca="1">VLOOKUP($A96,Model!$1:$1048576,MATCH(G$14,Model!$1:$1,0),FALSE) * 100</f>
        <v>0.34978124095278063</v>
      </c>
      <c r="H96" s="17"/>
      <c r="I96" s="17">
        <f>VLOOKUP($A96,Model!$1:$1048576,MATCH(I$14,Model!$1:$1,0),FALSE) * 100</f>
        <v>0.30145045217217459</v>
      </c>
      <c r="J96" s="17">
        <f>VLOOKUP($A96,Model!$1:$1048576,MATCH(J$14,Model!$1:$1,0),FALSE) * 100</f>
        <v>0.22299950494360757</v>
      </c>
      <c r="K96" s="17">
        <f>VLOOKUP($A96,Model!$1:$1048576,MATCH(K$14,Model!$1:$1,0),FALSE) * 100</f>
        <v>0.27225579026234026</v>
      </c>
      <c r="L96" s="17">
        <f>VLOOKUP($A96,Model!$1:$1048576,MATCH(L$14,Model!$1:$1,0),FALSE) * 100</f>
        <v>0.28551285391062176</v>
      </c>
    </row>
    <row r="97" spans="1:12">
      <c r="A97" s="1" t="s">
        <v>818</v>
      </c>
      <c r="B97" s="19" t="s">
        <v>351</v>
      </c>
      <c r="C97" s="17">
        <f ca="1">VLOOKUP($A97,Model!$1:$1048576,MATCH(C$14,Model!$1:$1,0),FALSE) * 100</f>
        <v>9.404810138160534E-2</v>
      </c>
      <c r="D97" s="17">
        <f ca="1">VLOOKUP($A97,Model!$1:$1048576,MATCH(D$14,Model!$1:$1,0),FALSE) * 100</f>
        <v>8.1884378102424549E-2</v>
      </c>
      <c r="E97" s="17">
        <f ca="1">VLOOKUP($A97,Model!$1:$1048576,MATCH(E$14,Model!$1:$1,0),FALSE) * 100</f>
        <v>7.5491912722597615E-2</v>
      </c>
      <c r="F97" s="17">
        <f ca="1">VLOOKUP($A97,Model!$1:$1048576,MATCH(F$14,Model!$1:$1,0),FALSE) * 100</f>
        <v>9.0149070886557825E-2</v>
      </c>
      <c r="G97" s="17">
        <f ca="1">VLOOKUP($A97,Model!$1:$1048576,MATCH(G$14,Model!$1:$1,0),FALSE) * 100</f>
        <v>0.10487299927845153</v>
      </c>
      <c r="H97" s="17"/>
      <c r="I97" s="17">
        <f>VLOOKUP($A97,Model!$1:$1048576,MATCH(I$14,Model!$1:$1,0),FALSE) * 100</f>
        <v>9.0828832742912216E-2</v>
      </c>
      <c r="J97" s="17">
        <f>VLOOKUP($A97,Model!$1:$1048576,MATCH(J$14,Model!$1:$1,0),FALSE) * 100</f>
        <v>6.7871900474769292E-2</v>
      </c>
      <c r="K97" s="17">
        <f>VLOOKUP($A97,Model!$1:$1048576,MATCH(K$14,Model!$1:$1,0),FALSE) * 100</f>
        <v>8.2989326946105862E-2</v>
      </c>
      <c r="L97" s="17">
        <f>VLOOKUP($A97,Model!$1:$1048576,MATCH(L$14,Model!$1:$1,0),FALSE) * 100</f>
        <v>8.7189692576983405E-2</v>
      </c>
    </row>
    <row r="98" spans="1:12">
      <c r="A98" s="1" t="s">
        <v>819</v>
      </c>
      <c r="B98" s="19" t="s">
        <v>622</v>
      </c>
      <c r="C98" s="17">
        <f ca="1">VLOOKUP($A98,Model!$1:$1048576,MATCH(C$14,Model!$1:$1,0),FALSE) * 100</f>
        <v>1.3760448237780545</v>
      </c>
      <c r="D98" s="17">
        <f ca="1">VLOOKUP($A98,Model!$1:$1048576,MATCH(D$14,Model!$1:$1,0),FALSE) * 100</f>
        <v>1.8029122722621871</v>
      </c>
      <c r="E98" s="17">
        <f ca="1">VLOOKUP($A98,Model!$1:$1048576,MATCH(E$14,Model!$1:$1,0),FALSE) * 100</f>
        <v>1.5219304006115728</v>
      </c>
      <c r="F98" s="17">
        <f ca="1">VLOOKUP($A98,Model!$1:$1048576,MATCH(F$14,Model!$1:$1,0),FALSE) * 100</f>
        <v>1.7629610286200348</v>
      </c>
      <c r="G98" s="17">
        <f ca="1">VLOOKUP($A98,Model!$1:$1048576,MATCH(G$14,Model!$1:$1,0),FALSE) * 100</f>
        <v>1.9571861267426418</v>
      </c>
      <c r="H98" s="17"/>
      <c r="I98" s="17">
        <f>VLOOKUP($A98,Model!$1:$1048576,MATCH(I$14,Model!$1:$1,0),FALSE) * 100</f>
        <v>1.8029122722621871</v>
      </c>
      <c r="J98" s="17">
        <f>VLOOKUP($A98,Model!$1:$1048576,MATCH(J$14,Model!$1:$1,0),FALSE) * 100</f>
        <v>1.6582800686346897</v>
      </c>
      <c r="K98" s="17">
        <f>VLOOKUP($A98,Model!$1:$1048576,MATCH(K$14,Model!$1:$1,0),FALSE) * 100</f>
        <v>1.5219304006115728</v>
      </c>
      <c r="L98" s="17">
        <f>VLOOKUP($A98,Model!$1:$1048576,MATCH(L$14,Model!$1:$1,0),FALSE) * 100</f>
        <v>1.6357792089709593</v>
      </c>
    </row>
    <row r="99" spans="1:12">
      <c r="A99" s="1" t="s">
        <v>820</v>
      </c>
      <c r="B99" s="19" t="s">
        <v>347</v>
      </c>
      <c r="C99" s="17">
        <f ca="1">VLOOKUP($A99,Model!$1:$1048576,MATCH(C$14,Model!$1:$1,0),FALSE) * 100</f>
        <v>0.82679233263229845</v>
      </c>
      <c r="D99" s="17">
        <f ca="1">VLOOKUP($A99,Model!$1:$1048576,MATCH(D$14,Model!$1:$1,0),FALSE) * 100</f>
        <v>1.0850858393437806</v>
      </c>
      <c r="E99" s="17">
        <f ca="1">VLOOKUP($A99,Model!$1:$1048576,MATCH(E$14,Model!$1:$1,0),FALSE) * 100</f>
        <v>0.91999999999999993</v>
      </c>
      <c r="F99" s="17">
        <f ca="1">VLOOKUP($A99,Model!$1:$1048576,MATCH(F$14,Model!$1:$1,0),FALSE) * 100</f>
        <v>1.0699999999999998</v>
      </c>
      <c r="G99" s="17">
        <f ca="1">VLOOKUP($A99,Model!$1:$1048576,MATCH(G$14,Model!$1:$1,0),FALSE) * 100</f>
        <v>1.17</v>
      </c>
      <c r="H99" s="17"/>
      <c r="I99" s="17">
        <f>VLOOKUP($A99,Model!$1:$1048576,MATCH(I$14,Model!$1:$1,0),FALSE) * 100</f>
        <v>1.0850858393437806</v>
      </c>
      <c r="J99" s="17">
        <f>VLOOKUP($A99,Model!$1:$1048576,MATCH(J$14,Model!$1:$1,0),FALSE) * 100</f>
        <v>0.99987965914886545</v>
      </c>
      <c r="K99" s="17">
        <f>VLOOKUP($A99,Model!$1:$1048576,MATCH(K$14,Model!$1:$1,0),FALSE) * 100</f>
        <v>0.91999999999999993</v>
      </c>
      <c r="L99" s="17">
        <f>VLOOKUP($A99,Model!$1:$1048576,MATCH(L$14,Model!$1:$1,0),FALSE) * 100</f>
        <v>0.99499999999999988</v>
      </c>
    </row>
    <row r="100" spans="1:12">
      <c r="A100" s="1" t="s">
        <v>821</v>
      </c>
      <c r="B100" s="19" t="s">
        <v>296</v>
      </c>
      <c r="C100" s="17">
        <f ca="1">VLOOKUP($A100,Model!$1:$1048576,MATCH(C$14,Model!$1:$1,0),FALSE) * 100</f>
        <v>1.6766085411003291</v>
      </c>
      <c r="D100" s="17">
        <f ca="1">VLOOKUP($A100,Model!$1:$1048576,MATCH(D$14,Model!$1:$1,0),FALSE) * 100</f>
        <v>2.2174969011075389</v>
      </c>
      <c r="E100" s="17">
        <f ca="1">VLOOKUP($A100,Model!$1:$1048576,MATCH(E$14,Model!$1:$1,0),FALSE) * 100</f>
        <v>1.9342059021213616</v>
      </c>
      <c r="F100" s="17">
        <f ca="1">VLOOKUP($A100,Model!$1:$1048576,MATCH(F$14,Model!$1:$1,0),FALSE) * 100</f>
        <v>2.3248441984105694</v>
      </c>
      <c r="G100" s="17">
        <f ca="1">VLOOKUP($A100,Model!$1:$1048576,MATCH(G$14,Model!$1:$1,0),FALSE) * 100</f>
        <v>2.605298146956827</v>
      </c>
      <c r="H100" s="17"/>
      <c r="I100" s="17">
        <f>VLOOKUP($A100,Model!$1:$1048576,MATCH(I$14,Model!$1:$1,0),FALSE) * 100</f>
        <v>2.2174969011075389</v>
      </c>
      <c r="J100" s="17">
        <f>VLOOKUP($A100,Model!$1:$1048576,MATCH(J$14,Model!$1:$1,0),FALSE) * 100</f>
        <v>2.0717975104391364</v>
      </c>
      <c r="K100" s="17">
        <f>VLOOKUP($A100,Model!$1:$1048576,MATCH(K$14,Model!$1:$1,0),FALSE) * 100</f>
        <v>1.9342059021213616</v>
      </c>
      <c r="L100" s="17">
        <f>VLOOKUP($A100,Model!$1:$1048576,MATCH(L$14,Model!$1:$1,0),FALSE) * 100</f>
        <v>2.1243413595834513</v>
      </c>
    </row>
    <row r="101" spans="1:12">
      <c r="A101" s="1" t="s">
        <v>822</v>
      </c>
      <c r="B101" s="19" t="s">
        <v>512</v>
      </c>
      <c r="C101" s="61">
        <f ca="1">VLOOKUP($A101,Model!$1:$1048576,MATCH(C$14,Model!$1:$1,0),FALSE) * 100</f>
        <v>18.256410256410259</v>
      </c>
      <c r="D101" s="61">
        <f ca="1">VLOOKUP($A101,Model!$1:$1048576,MATCH(D$14,Model!$1:$1,0),FALSE) * 100</f>
        <v>14.787646395796974</v>
      </c>
      <c r="E101" s="61">
        <f ca="1">VLOOKUP($A101,Model!$1:$1048576,MATCH(E$14,Model!$1:$1,0),FALSE) * 100</f>
        <v>15.324768765470894</v>
      </c>
      <c r="F101" s="61">
        <f ca="1">VLOOKUP($A101,Model!$1:$1048576,MATCH(F$14,Model!$1:$1,0),FALSE) * 100</f>
        <v>10.766244151857023</v>
      </c>
      <c r="G101" s="61">
        <f ca="1">VLOOKUP($A101,Model!$1:$1048576,MATCH(G$14,Model!$1:$1,0),FALSE) * 100</f>
        <v>7.3679276873234141</v>
      </c>
      <c r="H101" s="61"/>
      <c r="I101" s="61">
        <f>VLOOKUP($A101,Model!$1:$1048576,MATCH(I$14,Model!$1:$1,0),FALSE) * 100</f>
        <v>14.787646395796974</v>
      </c>
      <c r="J101" s="61">
        <f>VLOOKUP($A101,Model!$1:$1048576,MATCH(J$14,Model!$1:$1,0),FALSE) * 100</f>
        <v>15.093085882424012</v>
      </c>
      <c r="K101" s="61">
        <f>VLOOKUP($A101,Model!$1:$1048576,MATCH(K$14,Model!$1:$1,0),FALSE) * 100</f>
        <v>15.324768765470894</v>
      </c>
      <c r="L101" s="61">
        <f>VLOOKUP($A101,Model!$1:$1048576,MATCH(L$14,Model!$1:$1,0),FALSE) * 100</f>
        <v>13.31793640751224</v>
      </c>
    </row>
    <row r="102" spans="1:12">
      <c r="A102" s="1" t="s">
        <v>823</v>
      </c>
      <c r="B102" s="19" t="s">
        <v>350</v>
      </c>
      <c r="C102" s="17">
        <f ca="1">VLOOKUP($A102,Model!$1:$1048576,MATCH(C$14,Model!$1:$1,0),FALSE) * 100</f>
        <v>1.9134079690636896</v>
      </c>
      <c r="D102" s="17">
        <f ca="1">VLOOKUP($A102,Model!$1:$1048576,MATCH(D$14,Model!$1:$1,0),FALSE) * 100</f>
        <v>1.8169224385510361</v>
      </c>
      <c r="E102" s="17">
        <f ca="1">VLOOKUP($A102,Model!$1:$1048576,MATCH(E$14,Model!$1:$1,0),FALSE) * 100</f>
        <v>1.6794373503401745</v>
      </c>
      <c r="F102" s="17">
        <f ca="1">VLOOKUP($A102,Model!$1:$1048576,MATCH(F$14,Model!$1:$1,0),FALSE) * 100</f>
        <v>1.599383361868133</v>
      </c>
      <c r="G102" s="17">
        <f ca="1">VLOOKUP($A102,Model!$1:$1048576,MATCH(G$14,Model!$1:$1,0),FALSE) * 100</f>
        <v>1.5891787156557087</v>
      </c>
      <c r="H102" s="17"/>
      <c r="I102" s="17">
        <f>VLOOKUP($A102,Model!$1:$1048576,MATCH(I$14,Model!$1:$1,0),FALSE) * 100</f>
        <v>1.8169224385510361</v>
      </c>
      <c r="J102" s="17">
        <f>VLOOKUP($A102,Model!$1:$1048576,MATCH(J$14,Model!$1:$1,0),FALSE) * 100</f>
        <v>1.7491588761449068</v>
      </c>
      <c r="K102" s="17">
        <f>VLOOKUP($A102,Model!$1:$1048576,MATCH(K$14,Model!$1:$1,0),FALSE) * 100</f>
        <v>1.6794373503401745</v>
      </c>
      <c r="L102" s="17">
        <f>VLOOKUP($A102,Model!$1:$1048576,MATCH(L$14,Model!$1:$1,0),FALSE) * 100</f>
        <v>1.6355466202065194</v>
      </c>
    </row>
    <row r="103" spans="1:12">
      <c r="A103" s="1" t="s">
        <v>824</v>
      </c>
      <c r="B103" s="19" t="s">
        <v>297</v>
      </c>
      <c r="C103" s="17">
        <f ca="1">VLOOKUP($A103,Model!$1:$1048576,MATCH(C$14,Model!$1:$1,0),FALSE) * 100</f>
        <v>1.4639189729081858</v>
      </c>
      <c r="D103" s="17">
        <f ca="1">VLOOKUP($A103,Model!$1:$1048576,MATCH(D$14,Model!$1:$1,0),FALSE) * 100</f>
        <v>1.3939858821641999</v>
      </c>
      <c r="E103" s="17">
        <f ca="1">VLOOKUP($A103,Model!$1:$1048576,MATCH(E$14,Model!$1:$1,0),FALSE) * 100</f>
        <v>1.320026332063944</v>
      </c>
      <c r="F103" s="17">
        <f ca="1">VLOOKUP($A103,Model!$1:$1048576,MATCH(F$14,Model!$1:$1,0),FALSE) * 100</f>
        <v>1.2892450888513798</v>
      </c>
      <c r="G103" s="17">
        <f ca="1">VLOOKUP($A103,Model!$1:$1048576,MATCH(G$14,Model!$1:$1,0),FALSE) * 100</f>
        <v>1.279820571852115</v>
      </c>
      <c r="H103" s="17"/>
      <c r="I103" s="17">
        <f>VLOOKUP($A103,Model!$1:$1048576,MATCH(I$14,Model!$1:$1,0),FALSE) * 100</f>
        <v>1.3939858821641999</v>
      </c>
      <c r="J103" s="17">
        <f>VLOOKUP($A103,Model!$1:$1048576,MATCH(J$14,Model!$1:$1,0),FALSE) * 100</f>
        <v>1.3546180940019896</v>
      </c>
      <c r="K103" s="17">
        <f>VLOOKUP($A103,Model!$1:$1048576,MATCH(K$14,Model!$1:$1,0),FALSE) * 100</f>
        <v>1.320026332063944</v>
      </c>
      <c r="L103" s="17">
        <f>VLOOKUP($A103,Model!$1:$1048576,MATCH(L$14,Model!$1:$1,0),FALSE) * 100</f>
        <v>1.3039659502045955</v>
      </c>
    </row>
    <row r="104" spans="1:12">
      <c r="A104" s="1" t="s">
        <v>825</v>
      </c>
      <c r="B104" s="19" t="s">
        <v>263</v>
      </c>
      <c r="C104" s="17">
        <f ca="1">VLOOKUP($A104,Model!$1:$1048576,MATCH(C$14,Model!$1:$1,0),FALSE) * 100</f>
        <v>1.1598734683489074</v>
      </c>
      <c r="D104" s="17">
        <f ca="1">VLOOKUP($A104,Model!$1:$1048576,MATCH(D$14,Model!$1:$1,0),FALSE) * 100</f>
        <v>1.1208416894254705</v>
      </c>
      <c r="E104" s="17">
        <f ca="1">VLOOKUP($A104,Model!$1:$1048576,MATCH(E$14,Model!$1:$1,0),FALSE) * 100</f>
        <v>1.0742772167896124</v>
      </c>
      <c r="F104" s="17">
        <f ca="1">VLOOKUP($A104,Model!$1:$1048576,MATCH(F$14,Model!$1:$1,0),FALSE) * 100</f>
        <v>1.0597947052724199</v>
      </c>
      <c r="G104" s="17">
        <f ca="1">VLOOKUP($A104,Model!$1:$1048576,MATCH(G$14,Model!$1:$1,0),FALSE) * 100</f>
        <v>1.0629387163834916</v>
      </c>
      <c r="H104" s="17"/>
      <c r="I104" s="17">
        <f>VLOOKUP($A104,Model!$1:$1048576,MATCH(I$14,Model!$1:$1,0),FALSE) * 100</f>
        <v>1.1208416894254705</v>
      </c>
      <c r="J104" s="17">
        <f>VLOOKUP($A104,Model!$1:$1048576,MATCH(J$14,Model!$1:$1,0),FALSE) * 100</f>
        <v>1.096752488571372</v>
      </c>
      <c r="K104" s="17">
        <f>VLOOKUP($A104,Model!$1:$1048576,MATCH(K$14,Model!$1:$1,0),FALSE) * 100</f>
        <v>1.0742772167896124</v>
      </c>
      <c r="L104" s="17">
        <f>VLOOKUP($A104,Model!$1:$1048576,MATCH(L$14,Model!$1:$1,0),FALSE) * 100</f>
        <v>1.0667952519831865</v>
      </c>
    </row>
    <row r="105" spans="1:12">
      <c r="A105" s="1" t="s">
        <v>826</v>
      </c>
      <c r="B105" s="19" t="s">
        <v>264</v>
      </c>
      <c r="C105" s="17">
        <f ca="1">VLOOKUP($A105,Model!$1:$1048576,MATCH(C$14,Model!$1:$1,0),FALSE) * 100</f>
        <v>2.1646243574047088</v>
      </c>
      <c r="D105" s="17">
        <f ca="1">VLOOKUP($A105,Model!$1:$1048576,MATCH(D$14,Model!$1:$1,0),FALSE) * 100</f>
        <v>2.0835307301995969</v>
      </c>
      <c r="E105" s="17">
        <f ca="1">VLOOKUP($A105,Model!$1:$1048576,MATCH(E$14,Model!$1:$1,0),FALSE) * 100</f>
        <v>1.912669665005303</v>
      </c>
      <c r="F105" s="17">
        <f ca="1">VLOOKUP($A105,Model!$1:$1048576,MATCH(F$14,Model!$1:$1,0),FALSE) * 100</f>
        <v>1.7891880505114561</v>
      </c>
      <c r="G105" s="17">
        <f ca="1">VLOOKUP($A105,Model!$1:$1048576,MATCH(G$14,Model!$1:$1,0),FALSE) * 100</f>
        <v>1.7333827741804326</v>
      </c>
      <c r="H105" s="17"/>
      <c r="I105" s="17">
        <f>VLOOKUP($A105,Model!$1:$1048576,MATCH(I$14,Model!$1:$1,0),FALSE) * 100</f>
        <v>2.0835307301995969</v>
      </c>
      <c r="J105" s="17">
        <f>VLOOKUP($A105,Model!$1:$1048576,MATCH(J$14,Model!$1:$1,0),FALSE) * 100</f>
        <v>1.9994445110750603</v>
      </c>
      <c r="K105" s="17">
        <f>VLOOKUP($A105,Model!$1:$1048576,MATCH(K$14,Model!$1:$1,0),FALSE) * 100</f>
        <v>1.912669665005303</v>
      </c>
      <c r="L105" s="17">
        <f>VLOOKUP($A105,Model!$1:$1048576,MATCH(L$14,Model!$1:$1,0),FALSE) * 100</f>
        <v>1.8533986550245785</v>
      </c>
    </row>
    <row r="106" spans="1:12" s="24" customFormat="1">
      <c r="A106" s="1" t="s">
        <v>827</v>
      </c>
      <c r="B106" s="19" t="s">
        <v>371</v>
      </c>
      <c r="C106" s="17">
        <f ca="1">VLOOKUP($A106,Model!$1:$1048576,MATCH(C$14,Model!$1:$1,0),FALSE) * 100</f>
        <v>1.6561207631922772</v>
      </c>
      <c r="D106" s="17">
        <f ca="1">VLOOKUP($A106,Model!$1:$1048576,MATCH(D$14,Model!$1:$1,0),FALSE) * 100</f>
        <v>1.5985340713111136</v>
      </c>
      <c r="E106" s="17">
        <f ca="1">VLOOKUP($A106,Model!$1:$1048576,MATCH(E$14,Model!$1:$1,0),FALSE) * 100</f>
        <v>1.5033453446986411</v>
      </c>
      <c r="F106" s="17">
        <f ca="1">VLOOKUP($A106,Model!$1:$1048576,MATCH(F$14,Model!$1:$1,0),FALSE) * 100</f>
        <v>1.4422445313293519</v>
      </c>
      <c r="G106" s="17">
        <f ca="1">VLOOKUP($A106,Model!$1:$1048576,MATCH(G$14,Model!$1:$1,0),FALSE) * 100</f>
        <v>1.3959530866072971</v>
      </c>
      <c r="H106" s="17"/>
      <c r="I106" s="17">
        <f>VLOOKUP($A106,Model!$1:$1048576,MATCH(I$14,Model!$1:$1,0),FALSE) * 100</f>
        <v>1.5985340713111136</v>
      </c>
      <c r="J106" s="17">
        <f>VLOOKUP($A106,Model!$1:$1048576,MATCH(J$14,Model!$1:$1,0),FALSE) * 100</f>
        <v>1.5484492287085176</v>
      </c>
      <c r="K106" s="17">
        <f>VLOOKUP($A106,Model!$1:$1048576,MATCH(K$14,Model!$1:$1,0),FALSE) * 100</f>
        <v>1.5033453446986411</v>
      </c>
      <c r="L106" s="17">
        <f>VLOOKUP($A106,Model!$1:$1048576,MATCH(L$14,Model!$1:$1,0),FALSE) * 100</f>
        <v>1.4776520023635156</v>
      </c>
    </row>
    <row r="107" spans="1:12">
      <c r="A107" s="1" t="s">
        <v>828</v>
      </c>
      <c r="B107" s="19" t="s">
        <v>372</v>
      </c>
      <c r="C107" s="17">
        <f ca="1">VLOOKUP($A107,Model!$1:$1048576,MATCH(C$14,Model!$1:$1,0),FALSE) * 100</f>
        <v>1.3121563209147238</v>
      </c>
      <c r="D107" s="17">
        <f ca="1">VLOOKUP($A107,Model!$1:$1048576,MATCH(D$14,Model!$1:$1,0),FALSE) * 100</f>
        <v>1.2853097380806013</v>
      </c>
      <c r="E107" s="17">
        <f ca="1">VLOOKUP($A107,Model!$1:$1048576,MATCH(E$14,Model!$1:$1,0),FALSE) * 100</f>
        <v>1.2234677548070636</v>
      </c>
      <c r="F107" s="17">
        <f ca="1">VLOOKUP($A107,Model!$1:$1048576,MATCH(F$14,Model!$1:$1,0),FALSE) * 100</f>
        <v>1.1855644293147651</v>
      </c>
      <c r="G107" s="17">
        <f ca="1">VLOOKUP($A107,Model!$1:$1048576,MATCH(G$14,Model!$1:$1,0),FALSE) * 100</f>
        <v>1.1593911010999047</v>
      </c>
      <c r="H107" s="17"/>
      <c r="I107" s="17">
        <f>VLOOKUP($A107,Model!$1:$1048576,MATCH(I$14,Model!$1:$1,0),FALSE) * 100</f>
        <v>1.2853097380806013</v>
      </c>
      <c r="J107" s="17">
        <f>VLOOKUP($A107,Model!$1:$1048576,MATCH(J$14,Model!$1:$1,0),FALSE) * 100</f>
        <v>1.2536858562070807</v>
      </c>
      <c r="K107" s="17">
        <f>VLOOKUP($A107,Model!$1:$1048576,MATCH(K$14,Model!$1:$1,0),FALSE) * 100</f>
        <v>1.2234677548070636</v>
      </c>
      <c r="L107" s="17">
        <f>VLOOKUP($A107,Model!$1:$1048576,MATCH(L$14,Model!$1:$1,0),FALSE) * 100</f>
        <v>1.2088905695409555</v>
      </c>
    </row>
    <row r="108" spans="1:12">
      <c r="B108" s="24" t="s">
        <v>620</v>
      </c>
    </row>
    <row r="109" spans="1:12">
      <c r="A109" s="1" t="s">
        <v>954</v>
      </c>
      <c r="B109" s="19" t="s">
        <v>543</v>
      </c>
      <c r="C109" s="61">
        <f ca="1">VLOOKUP($A109,Model!$1:$1048576,MATCH(C$14,Model!$1:$1,0),FALSE) * 100</f>
        <v>12.338974785638358</v>
      </c>
      <c r="D109" s="61">
        <f ca="1">VLOOKUP($A109,Model!$1:$1048576,MATCH(D$14,Model!$1:$1,0),FALSE) * 100</f>
        <v>12.288141571516391</v>
      </c>
      <c r="E109" s="61">
        <f ca="1">VLOOKUP($A109,Model!$1:$1048576,MATCH(E$14,Model!$1:$1,0),FALSE) * 100</f>
        <v>12.345864424231443</v>
      </c>
      <c r="F109" s="61">
        <f ca="1">VLOOKUP($A109,Model!$1:$1048576,MATCH(F$14,Model!$1:$1,0),FALSE) * 100</f>
        <v>12.123661212591443</v>
      </c>
      <c r="G109" s="61">
        <f ca="1">VLOOKUP($A109,Model!$1:$1048576,MATCH(G$14,Model!$1:$1,0),FALSE) * 100</f>
        <v>11.913308256494998</v>
      </c>
      <c r="H109" s="61"/>
      <c r="I109" s="61">
        <f>VLOOKUP($A109,Model!$1:$1048576,MATCH(I$14,Model!$1:$1,0),FALSE) * 100</f>
        <v>12.288141571516391</v>
      </c>
      <c r="J109" s="61">
        <f>VLOOKUP($A109,Model!$1:$1048576,MATCH(J$14,Model!$1:$1,0),FALSE) * 100</f>
        <v>12.254259761334627</v>
      </c>
      <c r="K109" s="61">
        <f>VLOOKUP($A109,Model!$1:$1048576,MATCH(K$14,Model!$1:$1,0),FALSE) * 100</f>
        <v>12.345864424231443</v>
      </c>
      <c r="L109" s="61">
        <f>VLOOKUP($A109,Model!$1:$1048576,MATCH(L$14,Model!$1:$1,0),FALSE) * 100</f>
        <v>12.170965135907187</v>
      </c>
    </row>
    <row r="110" spans="1:12">
      <c r="A110" s="1" t="s">
        <v>955</v>
      </c>
      <c r="B110" s="19" t="s">
        <v>544</v>
      </c>
      <c r="C110" s="61">
        <f ca="1">VLOOKUP($A110,Model!$1:$1048576,MATCH(C$14,Model!$1:$1,0),FALSE) * 100</f>
        <v>14.322073955568484</v>
      </c>
      <c r="D110" s="61">
        <f ca="1">VLOOKUP($A110,Model!$1:$1048576,MATCH(D$14,Model!$1:$1,0),FALSE) * 100</f>
        <v>13.881828900825363</v>
      </c>
      <c r="E110" s="61">
        <f ca="1">VLOOKUP($A110,Model!$1:$1048576,MATCH(E$14,Model!$1:$1,0),FALSE) * 100</f>
        <v>13.871622700615601</v>
      </c>
      <c r="F110" s="61">
        <f ca="1">VLOOKUP($A110,Model!$1:$1048576,MATCH(F$14,Model!$1:$1,0),FALSE) * 100</f>
        <v>13.62243331544809</v>
      </c>
      <c r="G110" s="61">
        <f ca="1">VLOOKUP($A110,Model!$1:$1048576,MATCH(G$14,Model!$1:$1,0),FALSE) * 100</f>
        <v>13.378255977490882</v>
      </c>
      <c r="H110" s="61"/>
      <c r="I110" s="61">
        <f>VLOOKUP($A110,Model!$1:$1048576,MATCH(I$14,Model!$1:$1,0),FALSE) * 100</f>
        <v>13.881828900825363</v>
      </c>
      <c r="J110" s="61">
        <f>VLOOKUP($A110,Model!$1:$1048576,MATCH(J$14,Model!$1:$1,0),FALSE) * 100</f>
        <v>13.81904177633532</v>
      </c>
      <c r="K110" s="61">
        <f>VLOOKUP($A110,Model!$1:$1048576,MATCH(K$14,Model!$1:$1,0),FALSE) * 100</f>
        <v>13.871622700615601</v>
      </c>
      <c r="L110" s="61">
        <f>VLOOKUP($A110,Model!$1:$1048576,MATCH(L$14,Model!$1:$1,0),FALSE) * 100</f>
        <v>13.682764757356081</v>
      </c>
    </row>
    <row r="111" spans="1:12">
      <c r="A111" s="1" t="s">
        <v>956</v>
      </c>
      <c r="B111" s="19" t="s">
        <v>652</v>
      </c>
      <c r="C111" s="61">
        <f ca="1">VLOOKUP($A111,Model!$1:$1048576,MATCH(C$14,Model!$1:$1,0),FALSE) * 100</f>
        <v>20.91557926301088</v>
      </c>
      <c r="D111" s="61">
        <f ca="1">VLOOKUP($A111,Model!$1:$1048576,MATCH(D$14,Model!$1:$1,0),FALSE) * 100</f>
        <v>20.901752511866491</v>
      </c>
      <c r="E111" s="61">
        <f ca="1">VLOOKUP($A111,Model!$1:$1048576,MATCH(E$14,Model!$1:$1,0),FALSE) * 100</f>
        <v>20.517684409083493</v>
      </c>
      <c r="F111" s="61">
        <f ca="1">VLOOKUP($A111,Model!$1:$1048576,MATCH(F$14,Model!$1:$1,0),FALSE) * 100</f>
        <v>20.152762199453079</v>
      </c>
      <c r="G111" s="61">
        <f ca="1">VLOOKUP($A111,Model!$1:$1048576,MATCH(G$14,Model!$1:$1,0),FALSE) * 100</f>
        <v>19.772087292838968</v>
      </c>
      <c r="H111" s="61"/>
      <c r="I111" s="61">
        <f>VLOOKUP($A111,Model!$1:$1048576,MATCH(I$14,Model!$1:$1,0),FALSE) * 100</f>
        <v>20.901752511866491</v>
      </c>
      <c r="J111" s="61">
        <f>VLOOKUP($A111,Model!$1:$1048576,MATCH(J$14,Model!$1:$1,0),FALSE) * 100</f>
        <v>20.633076725178604</v>
      </c>
      <c r="K111" s="61">
        <f>VLOOKUP($A111,Model!$1:$1048576,MATCH(K$14,Model!$1:$1,0),FALSE) * 100</f>
        <v>20.517684409083493</v>
      </c>
      <c r="L111" s="61">
        <f>VLOOKUP($A111,Model!$1:$1048576,MATCH(L$14,Model!$1:$1,0),FALSE) * 100</f>
        <v>20.268967095658731</v>
      </c>
    </row>
    <row r="112" spans="1:12">
      <c r="A112" s="1" t="s">
        <v>1011</v>
      </c>
      <c r="B112" s="19" t="s">
        <v>653</v>
      </c>
      <c r="C112" s="61">
        <f ca="1">VLOOKUP($A112,Model!$1:$1048576,MATCH(C$14,Model!$1:$1,0),FALSE) * 100</f>
        <v>79.091602277348528</v>
      </c>
      <c r="D112" s="61">
        <f ca="1">VLOOKUP($A112,Model!$1:$1048576,MATCH(D$14,Model!$1:$1,0),FALSE) * 100</f>
        <v>79.098712446351925</v>
      </c>
      <c r="E112" s="61">
        <f ca="1">VLOOKUP($A112,Model!$1:$1048576,MATCH(E$14,Model!$1:$1,0),FALSE) * 100</f>
        <v>75.517960934686059</v>
      </c>
      <c r="F112" s="61">
        <f ca="1">VLOOKUP($A112,Model!$1:$1048576,MATCH(F$14,Model!$1:$1,0),FALSE) * 100</f>
        <v>73.798861095271207</v>
      </c>
      <c r="G112" s="61">
        <f ca="1">VLOOKUP($A112,Model!$1:$1048576,MATCH(G$14,Model!$1:$1,0),FALSE) * 100</f>
        <v>73.759617336172738</v>
      </c>
      <c r="H112" s="61"/>
      <c r="I112" s="61">
        <f>VLOOKUP($A112,Model!$1:$1048576,MATCH(I$14,Model!$1:$1,0),FALSE) * 100</f>
        <v>84.906250000000028</v>
      </c>
      <c r="J112" s="61">
        <f>VLOOKUP($A112,Model!$1:$1048576,MATCH(J$14,Model!$1:$1,0),FALSE) * 100</f>
        <v>72.161616161616166</v>
      </c>
      <c r="K112" s="61">
        <f>VLOOKUP($A112,Model!$1:$1048576,MATCH(K$14,Model!$1:$1,0),FALSE) * 100</f>
        <v>78.766831584046983</v>
      </c>
      <c r="L112" s="61">
        <f>VLOOKUP($A112,Model!$1:$1048576,MATCH(L$14,Model!$1:$1,0),FALSE) * 100</f>
        <v>69.536945290849701</v>
      </c>
    </row>
    <row r="113" spans="1:16">
      <c r="A113" s="1" t="s">
        <v>1074</v>
      </c>
      <c r="B113" s="19" t="s">
        <v>1104</v>
      </c>
      <c r="C113" s="55">
        <f ca="1">VLOOKUP($A113,Model!$1:$1048576,MATCH(C$14,Model!$1:$1,0),FALSE)</f>
        <v>1861</v>
      </c>
      <c r="D113" s="55">
        <f ca="1">VLOOKUP($A113,Model!$1:$1048576,MATCH(D$14,Model!$1:$1,0),FALSE)</f>
        <v>2008</v>
      </c>
      <c r="E113" s="55">
        <f ca="1">VLOOKUP($A113,Model!$1:$1048576,MATCH(E$14,Model!$1:$1,0),FALSE)</f>
        <v>1553.065329499072</v>
      </c>
      <c r="F113" s="55">
        <f ca="1">VLOOKUP($A113,Model!$1:$1048576,MATCH(F$14,Model!$1:$1,0),FALSE)</f>
        <v>1152.8659070353006</v>
      </c>
      <c r="G113" s="55">
        <f ca="1">VLOOKUP($A113,Model!$1:$1048576,MATCH(G$14,Model!$1:$1,0),FALSE)</f>
        <v>745.49633472566575</v>
      </c>
      <c r="H113" s="61"/>
      <c r="I113" s="61"/>
      <c r="J113" s="61"/>
      <c r="K113" s="61"/>
      <c r="L113" s="61"/>
    </row>
    <row r="114" spans="1:16">
      <c r="A114" s="1" t="s">
        <v>1012</v>
      </c>
      <c r="B114" s="19" t="s">
        <v>654</v>
      </c>
      <c r="C114" s="61">
        <f ca="1">VLOOKUP($A114,Model!$1:$1048576,MATCH(C$14,Model!$1:$1,0),FALSE) * 100</f>
        <v>80.368035786905239</v>
      </c>
      <c r="D114" s="61">
        <f ca="1">VLOOKUP($A114,Model!$1:$1048576,MATCH(D$14,Model!$1:$1,0),FALSE) * 100</f>
        <v>77.711666016387042</v>
      </c>
      <c r="E114" s="61">
        <f ca="1">VLOOKUP($A114,Model!$1:$1048576,MATCH(E$14,Model!$1:$1,0),FALSE) * 100</f>
        <v>74.796559083041359</v>
      </c>
      <c r="F114" s="61">
        <f ca="1">VLOOKUP($A114,Model!$1:$1048576,MATCH(F$14,Model!$1:$1,0),FALSE) * 100</f>
        <v>94.969455006395322</v>
      </c>
      <c r="G114" s="61">
        <f ca="1">VLOOKUP($A114,Model!$1:$1048576,MATCH(G$14,Model!$1:$1,0),FALSE) * 100</f>
        <v>93.777362354460408</v>
      </c>
      <c r="H114" s="61"/>
      <c r="I114" s="61">
        <f>VLOOKUP($A114,Model!$1:$1048576,MATCH(I$14,Model!$1:$1,0),FALSE) * 100</f>
        <v>73.535156250000028</v>
      </c>
      <c r="J114" s="61">
        <f>VLOOKUP($A114,Model!$1:$1048576,MATCH(J$14,Model!$1:$1,0),FALSE) * 100</f>
        <v>79.908172635445354</v>
      </c>
      <c r="K114" s="61">
        <f>VLOOKUP($A114,Model!$1:$1048576,MATCH(K$14,Model!$1:$1,0),FALSE) * 100</f>
        <v>69.849118829191127</v>
      </c>
      <c r="L114" s="61">
        <f>VLOOKUP($A114,Model!$1:$1048576,MATCH(L$14,Model!$1:$1,0),FALSE) * 100</f>
        <v>98.654123681791262</v>
      </c>
    </row>
    <row r="115" spans="1:16">
      <c r="A115" s="1" t="s">
        <v>1013</v>
      </c>
      <c r="B115" s="19" t="s">
        <v>545</v>
      </c>
      <c r="C115" s="61">
        <f ca="1">VLOOKUP($A115,Model!$1:$1048576,MATCH(C$14,Model!$1:$1,0),FALSE) * 100</f>
        <v>67.488449218254772</v>
      </c>
      <c r="D115" s="61">
        <f ca="1">VLOOKUP($A115,Model!$1:$1048576,MATCH(D$14,Model!$1:$1,0),FALSE) * 100</f>
        <v>67.536388196740788</v>
      </c>
      <c r="E115" s="61">
        <f ca="1">VLOOKUP($A115,Model!$1:$1048576,MATCH(E$14,Model!$1:$1,0),FALSE) * 100</f>
        <v>63.555023133259546</v>
      </c>
      <c r="F115" s="61">
        <f ca="1">VLOOKUP($A115,Model!$1:$1048576,MATCH(F$14,Model!$1:$1,0),FALSE) * 100</f>
        <v>61.866955490318787</v>
      </c>
      <c r="G115" s="61">
        <f ca="1">VLOOKUP($A115,Model!$1:$1048576,MATCH(G$14,Model!$1:$1,0),FALSE) * 100</f>
        <v>61.646002148092684</v>
      </c>
      <c r="H115" s="61"/>
      <c r="I115" s="61">
        <f>VLOOKUP($A115,Model!$1:$1048576,MATCH(I$14,Model!$1:$1,0),FALSE) * 100</f>
        <v>72.653787630175316</v>
      </c>
      <c r="J115" s="61">
        <f>VLOOKUP($A115,Model!$1:$1048576,MATCH(J$14,Model!$1:$1,0),FALSE) * 100</f>
        <v>61.201968592387701</v>
      </c>
      <c r="K115" s="61">
        <f>VLOOKUP($A115,Model!$1:$1048576,MATCH(K$14,Model!$1:$1,0),FALSE) * 100</f>
        <v>66.012355349926978</v>
      </c>
      <c r="L115" s="61">
        <f>VLOOKUP($A115,Model!$1:$1048576,MATCH(L$14,Model!$1:$1,0),FALSE) * 100</f>
        <v>58.364415226167623</v>
      </c>
    </row>
    <row r="118" spans="1:16">
      <c r="B118" s="2" t="s">
        <v>1105</v>
      </c>
      <c r="C118" s="133"/>
      <c r="D118" s="133"/>
      <c r="E118" s="133"/>
      <c r="F118" s="133"/>
      <c r="G118" s="133"/>
      <c r="H118" s="133"/>
      <c r="I118" s="133"/>
      <c r="J118" s="133"/>
      <c r="K118" s="133"/>
      <c r="L118" s="133"/>
    </row>
    <row r="120" spans="1:16">
      <c r="B120" s="139" t="s">
        <v>705</v>
      </c>
      <c r="C120" s="140">
        <f ca="1">(EOMONTH(DATE(C121,MONTH($C$10),15),0)-G$2)/(EOMONTH(DATE(C121,MONTH($C$10),15),0)-EOMONTH(DATE(C121-1,MONTH(C$10),15),0))</f>
        <v>0.83013698630136989</v>
      </c>
      <c r="D120" s="140">
        <f ca="1">1-C120</f>
        <v>0.16986301369863011</v>
      </c>
      <c r="E120" s="11" t="s">
        <v>706</v>
      </c>
      <c r="F120" s="141" t="s">
        <v>1106</v>
      </c>
      <c r="G120" s="11" t="s">
        <v>707</v>
      </c>
      <c r="H120" s="11" t="s">
        <v>1107</v>
      </c>
      <c r="I120" s="11" t="s">
        <v>1107</v>
      </c>
      <c r="J120" s="11"/>
      <c r="K120" s="142"/>
      <c r="L120" s="142"/>
    </row>
    <row r="121" spans="1:16">
      <c r="B121" s="139"/>
      <c r="C121" s="11">
        <f ca="1">IF(MONTH($G$2)&lt;=MONTH($C$10),YEAR($G$2),YEAR($G$2)+1)</f>
        <v>2027</v>
      </c>
      <c r="D121" s="11">
        <f ca="1">C121+1</f>
        <v>2028</v>
      </c>
      <c r="E121" s="11" t="s">
        <v>855</v>
      </c>
      <c r="F121" s="11" t="s">
        <v>1108</v>
      </c>
      <c r="G121" s="11" t="s">
        <v>1109</v>
      </c>
      <c r="H121" s="11" t="s">
        <v>1110</v>
      </c>
      <c r="I121" s="11" t="s">
        <v>2497</v>
      </c>
      <c r="J121" s="11" t="s">
        <v>856</v>
      </c>
      <c r="K121" s="142" t="s">
        <v>857</v>
      </c>
      <c r="L121" s="142"/>
      <c r="P121" s="103"/>
    </row>
    <row r="122" spans="1:16">
      <c r="A122" s="1" t="s">
        <v>109</v>
      </c>
      <c r="B122" s="19" t="s">
        <v>858</v>
      </c>
      <c r="C122" s="17">
        <f ca="1">VLOOKUP($A122,Model!$1:$1048576,MATCH("FY"&amp;RIGHT(Summary!C$121,2)&amp;"E",Model!$1:$1,0),FALSE)</f>
        <v>6.9024192710234704</v>
      </c>
      <c r="D122" s="17">
        <f ca="1">VLOOKUP($A122,Model!$1:$1048576,MATCH("FY"&amp;RIGHT(Summary!D$121,2)&amp;"E",Model!$1:$1,0),FALSE)</f>
        <v>7.1092120430439261</v>
      </c>
      <c r="E122" s="17">
        <f ca="1">SUMPRODUCT(C122:D122,C$120:D$120)</f>
        <v>6.9375457144899588</v>
      </c>
      <c r="F122" s="143">
        <v>23.35</v>
      </c>
      <c r="G122" s="144">
        <f ca="1">(((VLOOKUP("AD_ProfitabilityROTECash",Model!$1:$1048576,MATCH("FY"&amp;RIGHT(Summary!$C$121,2)&amp;"E",Model!$1:$1,0),FALSE)-$G$4)/($G$8-$G$4))/VLOOKUP("AD_ProfitabilityROTECash",Model!$1:$1048576,MATCH("FY"&amp;RIGHT(Summary!$C$121,2)&amp;"E",Model!$1:$1,0),FALSE)*C120+((VLOOKUP("AD_ProfitabilityROTECash",Model!$1:$1048576,MATCH("FY"&amp;RIGHT($D$121,2)&amp;"E",Model!$1:$1,0),FALSE)-$G$4)/($G$8-$G$4))/VLOOKUP("AD_ProfitabilityROTECash",Model!$1:$1048576,MATCH("FY"&amp;RIGHT(Summary!$D$121,2)&amp;"E",Model!$1:$1,0),FALSE)*D120)/(((AVERAGE(INDIRECT(ADDRESS(ROW(Model!$785:$785),MATCH("FY"&amp;RIGHT(Summary!$C$121,2)&amp;"E",Model!$1:$1,0)-14,,,"Model")&amp;":"&amp;ADDRESS(ROW(Model!$785:$785),MATCH("FY"&amp;RIGHT(Summary!$C$121,2)&amp;"E",Model!$1:$1,0),,,)))-$G$4)/($G$8-$G$4))/(AVERAGE(INDIRECT(ADDRESS(ROW(Model!$785:$785),MATCH("FY"&amp;RIGHT(Summary!$C$121,2)&amp;"E",Model!$1:$1,0)-14,,,"Model")&amp;":"&amp;ADDRESS(ROW(Model!$785:$785),MATCH($E$127,Model!$1:$1,0),,,)))))*0+100%</f>
        <v>1</v>
      </c>
      <c r="H122" s="145" t="s">
        <v>215</v>
      </c>
      <c r="I122" s="145" t="s">
        <v>215</v>
      </c>
      <c r="J122" s="145">
        <f ca="1">C122*F122*G122</f>
        <v>161.17148997839806</v>
      </c>
      <c r="K122" s="146" t="s">
        <v>2756</v>
      </c>
    </row>
    <row r="123" spans="1:16">
      <c r="A123" s="1" t="s">
        <v>951</v>
      </c>
      <c r="B123" s="19" t="s">
        <v>728</v>
      </c>
      <c r="C123" s="17">
        <f ca="1">VLOOKUP($A123,Model!$1:$1048576,MATCH("FY"&amp;RIGHT(Summary!C$121,2)&amp;"E",Model!$1:$1,0),FALSE)</f>
        <v>10.416407498080245</v>
      </c>
      <c r="D123" s="17">
        <f ca="1">VLOOKUP($A123,Model!$1:$1048576,MATCH("FY"&amp;RIGHT(Summary!D$121,2)&amp;"E",Model!$1:$1,0),FALSE)</f>
        <v>10.8367957612639</v>
      </c>
      <c r="E123" s="17">
        <f ca="1">SUMPRODUCT(C123:D123,C$120:D$120)</f>
        <v>10.487815915388154</v>
      </c>
      <c r="F123" s="143">
        <v>5.5</v>
      </c>
      <c r="G123" s="144">
        <f ca="1">G122</f>
        <v>1</v>
      </c>
      <c r="H123" s="145" t="s">
        <v>215</v>
      </c>
      <c r="I123" s="145" t="s">
        <v>215</v>
      </c>
      <c r="J123" s="145">
        <f ca="1">E123*F123*G123</f>
        <v>57.682987534634847</v>
      </c>
      <c r="K123" s="146" t="s">
        <v>2620</v>
      </c>
    </row>
    <row r="124" spans="1:16">
      <c r="A124" s="1" t="s">
        <v>2430</v>
      </c>
      <c r="B124" s="19" t="s">
        <v>2505</v>
      </c>
      <c r="C124" s="17">
        <f ca="1">VLOOKUP($A124,Model!$1:$1048576,MATCH("FY"&amp;RIGHT(Summary!C$121,2)&amp;"E",Model!$1:$1,0),FALSE)</f>
        <v>41.566784945245281</v>
      </c>
      <c r="D124" s="17">
        <f ca="1">VLOOKUP($A124,Model!$1:$1048576,MATCH("FY"&amp;RIGHT(Summary!D$121-1,2)&amp;"E",Model!$1:$1,0),FALSE)</f>
        <v>41.566784945245281</v>
      </c>
      <c r="E124" s="17">
        <f ca="1">SUMPRODUCT(C124:D124,C$120:D$120)</f>
        <v>41.566784945245281</v>
      </c>
      <c r="F124" s="484">
        <f>(VLOOKUP("AD_ProfitabilityROTECashOptimised",Model!$1:$1048576,MATCH($G$3,Model!$1:$1,0),FALSE)-$G$4)/($G$8-$G$4)</f>
        <v>2.2073314941474527</v>
      </c>
      <c r="G124" s="147">
        <v>1</v>
      </c>
      <c r="H124" s="145">
        <f ca="1">SUMPRODUCT(C138:G138,C143:G143)</f>
        <v>20.534643864732093</v>
      </c>
      <c r="I124" s="145">
        <f ca="1">VLOOKUP("CET1_Surplus",Model!$1:$1048576,MATCH("FY"&amp;RIGHT(Summary!C$121,2)&amp;"E",Model!$1:$1,0),FALSE) / VLOOKUP("OrdEqu_SOIEOP",Model!$1:$1048576,MATCH("FY"&amp;RIGHT(Summary!C$121,2)&amp;"E",Model!$1:$1,0),FALSE)*Summary!C120+VLOOKUP("CET1_Surplus",Model!$1:$1048576,MATCH("FY"&amp;RIGHT(Summary!D$121,2)&amp;"E",Model!$1:$1,0),FALSE) / VLOOKUP("OrdEqu_SOIEOP",Model!$1:$1048576,MATCH("FY"&amp;RIGHT(Summary!D$121,2)&amp;"E",Model!$1:$1,0),FALSE)*Summary!D120</f>
        <v>1.8779350776755213</v>
      </c>
      <c r="J124" s="145">
        <f ca="1">E124*F124*G124+H124+I124</f>
        <v>114.16425246250171</v>
      </c>
      <c r="K124" s="146" t="s">
        <v>2109</v>
      </c>
      <c r="N124" s="19" t="s">
        <v>2217</v>
      </c>
      <c r="O124" s="513">
        <f>VLOOKUP("AD_ProfitabilityROTECashOptimised",Model!$1:$1048576,MATCH($G$3,Model!$1:$1,0),FALSE)</f>
        <v>0.16626921562543698</v>
      </c>
    </row>
    <row r="125" spans="1:16">
      <c r="A125" s="1" t="s">
        <v>963</v>
      </c>
      <c r="B125" s="19" t="s">
        <v>2504</v>
      </c>
      <c r="C125" s="17">
        <f ca="1">VLOOKUP($A125,Model!$1:$1048576,MATCH("FY"&amp;RIGHT(Summary!C$121,2)&amp;"E",Model!$1:$1,0),FALSE)</f>
        <v>43.089717363759164</v>
      </c>
      <c r="D125" s="17">
        <f ca="1">VLOOKUP($A125,Model!$1:$1048576,MATCH("FY"&amp;RIGHT(Summary!D$121-1,2)&amp;"E",Model!$1:$1,0),FALSE)</f>
        <v>43.089717363759164</v>
      </c>
      <c r="E125" s="17">
        <f ca="1">SUMPRODUCT(C125:D125,C$120:D$120)</f>
        <v>43.089717363759164</v>
      </c>
      <c r="F125" s="143">
        <v>3.6</v>
      </c>
      <c r="G125" s="147">
        <v>1</v>
      </c>
      <c r="H125" s="145" t="s">
        <v>215</v>
      </c>
      <c r="I125" s="145" t="s">
        <v>215</v>
      </c>
      <c r="J125" s="145">
        <f ca="1">E125*F125*G125</f>
        <v>155.12298250953299</v>
      </c>
      <c r="K125" s="146" t="str">
        <f>"Sustainable ROTE = "&amp;TEXT(VLOOKUP("AD_ProfitabilityROTECash",Model!$1:$1048576,MATCH($G$3,Model!$1:$1,0),FALSE),"0.0%")</f>
        <v>Sustainable ROTE = 15.6%</v>
      </c>
      <c r="O125" s="527"/>
    </row>
    <row r="126" spans="1:16">
      <c r="C126" s="21"/>
      <c r="D126" s="21"/>
      <c r="E126" s="21"/>
      <c r="F126" s="774"/>
      <c r="G126" s="774"/>
      <c r="H126" s="21"/>
      <c r="I126" s="188"/>
    </row>
    <row r="127" spans="1:16">
      <c r="B127" s="139" t="s">
        <v>730</v>
      </c>
      <c r="C127" s="11" t="str">
        <f ca="1">C$14</f>
        <v>FY24A</v>
      </c>
      <c r="D127" s="11" t="str">
        <f ca="1">D$14</f>
        <v>FY25A</v>
      </c>
      <c r="E127" s="11" t="str">
        <f ca="1">E$14</f>
        <v>FY26E</v>
      </c>
      <c r="F127" s="11" t="str">
        <f ca="1">F$14</f>
        <v>FY27E</v>
      </c>
      <c r="G127" s="11" t="str">
        <f ca="1">G$14</f>
        <v>FY28E</v>
      </c>
      <c r="H127" s="21"/>
      <c r="J127" s="770"/>
    </row>
    <row r="128" spans="1:16">
      <c r="A128" s="1" t="s">
        <v>754</v>
      </c>
      <c r="B128" s="19" t="s">
        <v>2250</v>
      </c>
      <c r="C128" s="55">
        <f ca="1">VLOOKUP($A128,Model!$1:$1048576,MATCH(C$127,Model!$1:$1,0),FALSE)</f>
        <v>1672.0700300000001</v>
      </c>
      <c r="D128" s="55">
        <f ca="1">VLOOKUP($A128,Model!$1:$1048576,MATCH(D$127,Model!$1:$1,0),FALSE)</f>
        <v>1671.842146</v>
      </c>
      <c r="E128" s="55">
        <f ca="1">VLOOKUP($A128,Model!$1:$1048576,MATCH(E$127,Model!$1:$1,0),FALSE)</f>
        <v>1672.123722</v>
      </c>
      <c r="F128" s="55">
        <f ca="1">VLOOKUP($A128,Model!$1:$1048576,MATCH(F$127,Model!$1:$1,0),FALSE)</f>
        <v>1657.8266296797287</v>
      </c>
      <c r="G128" s="55">
        <f ca="1">VLOOKUP($A128,Model!$1:$1048576,MATCH(G$127,Model!$1:$1,0),FALSE)</f>
        <v>1644.6979865940805</v>
      </c>
      <c r="H128" s="21"/>
    </row>
    <row r="129" spans="1:43">
      <c r="C129" s="55"/>
      <c r="D129" s="55"/>
      <c r="E129" s="55"/>
      <c r="F129" s="55"/>
      <c r="G129" s="55"/>
      <c r="H129" s="21"/>
    </row>
    <row r="130" spans="1:43">
      <c r="A130" s="1" t="s">
        <v>748</v>
      </c>
      <c r="B130" s="19" t="s">
        <v>2251</v>
      </c>
      <c r="C130" s="55">
        <f ca="1">VLOOKUP($A130,Model!$1:$1048576,MATCH(C$127,Model!$1:$1,0),FALSE)</f>
        <v>62063.517497128836</v>
      </c>
      <c r="D130" s="55">
        <f ca="1">VLOOKUP($A130,Model!$1:$1048576,MATCH(D$127,Model!$1:$1,0),FALSE)</f>
        <v>59620.17055437329</v>
      </c>
      <c r="E130" s="55">
        <f ca="1">VLOOKUP($A130,Model!$1:$1048576,MATCH(E$127,Model!$1:$1,0),FALSE)</f>
        <v>56645.874987012518</v>
      </c>
      <c r="F130" s="55">
        <f ca="1">VLOOKUP($A130,Model!$1:$1048576,MATCH(F$127,Model!$1:$1,0),FALSE)</f>
        <v>50760.655210527977</v>
      </c>
      <c r="G130" s="55">
        <f ca="1">VLOOKUP($A130,Model!$1:$1048576,MATCH(G$127,Model!$1:$1,0),FALSE)</f>
        <v>44256.971717020366</v>
      </c>
      <c r="H130" s="21"/>
      <c r="I130" s="148"/>
      <c r="J130" s="148"/>
      <c r="K130" s="148"/>
      <c r="L130" s="148"/>
      <c r="M130" s="148"/>
      <c r="N130" s="148"/>
      <c r="O130" s="148"/>
      <c r="P130" s="148"/>
      <c r="Q130" s="148"/>
      <c r="R130" s="148"/>
      <c r="S130" s="148"/>
      <c r="T130" s="148"/>
      <c r="U130" s="148"/>
      <c r="V130" s="148"/>
      <c r="W130" s="148"/>
      <c r="X130" s="148"/>
      <c r="Y130" s="148"/>
      <c r="Z130" s="148"/>
      <c r="AA130" s="148"/>
      <c r="AB130" s="148"/>
      <c r="AC130" s="148"/>
      <c r="AD130" s="148"/>
      <c r="AE130" s="148"/>
      <c r="AF130" s="148"/>
      <c r="AG130" s="148"/>
      <c r="AH130" s="148"/>
      <c r="AI130" s="148"/>
      <c r="AJ130" s="148"/>
      <c r="AK130" s="148"/>
      <c r="AL130" s="148"/>
      <c r="AM130" s="148"/>
      <c r="AN130" s="148"/>
      <c r="AO130" s="148"/>
      <c r="AP130" s="148"/>
      <c r="AQ130" s="148"/>
    </row>
    <row r="131" spans="1:43">
      <c r="A131" s="1" t="s">
        <v>6</v>
      </c>
      <c r="B131" s="19" t="s">
        <v>2252</v>
      </c>
      <c r="C131" s="55">
        <f ca="1">VLOOKUP($A131,Model!$1:$1048576,MATCH(C$127,Model!$1:$1,0),FALSE)</f>
        <v>84771.327276850076</v>
      </c>
      <c r="D131" s="55">
        <f ca="1">VLOOKUP($A131,Model!$1:$1048576,MATCH(D$127,Model!$1:$1,0),FALSE)</f>
        <v>92315.975404489756</v>
      </c>
      <c r="E131" s="55">
        <f ca="1">VLOOKUP($A131,Model!$1:$1048576,MATCH(E$127,Model!$1:$1,0),FALSE)</f>
        <v>100532.09721548932</v>
      </c>
      <c r="F131" s="55">
        <f ca="1">VLOOKUP($A131,Model!$1:$1048576,MATCH(F$127,Model!$1:$1,0),FALSE)</f>
        <v>109479.45386766788</v>
      </c>
      <c r="G131" s="55">
        <f ca="1">VLOOKUP($A131,Model!$1:$1048576,MATCH(G$127,Model!$1:$1,0),FALSE)</f>
        <v>119223.12526189032</v>
      </c>
      <c r="H131" s="21"/>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149"/>
      <c r="AL131" s="149"/>
      <c r="AM131" s="149"/>
      <c r="AN131" s="149"/>
      <c r="AO131" s="149"/>
      <c r="AP131" s="149"/>
      <c r="AQ131" s="149"/>
    </row>
    <row r="132" spans="1:43">
      <c r="B132" s="24" t="s">
        <v>2253</v>
      </c>
      <c r="C132" s="82">
        <f ca="1">C130+C131</f>
        <v>146834.84477397893</v>
      </c>
      <c r="D132" s="82">
        <f ca="1">D130+D131</f>
        <v>151936.14595886305</v>
      </c>
      <c r="E132" s="82">
        <f ca="1">E130+E131</f>
        <v>157177.97220250184</v>
      </c>
      <c r="F132" s="82">
        <f ca="1">F130+F131</f>
        <v>160240.10907819585</v>
      </c>
      <c r="G132" s="82">
        <f ca="1">G130+G131</f>
        <v>163480.09697891067</v>
      </c>
      <c r="H132" s="21"/>
    </row>
    <row r="133" spans="1:43" s="84" customFormat="1">
      <c r="A133" s="137"/>
      <c r="B133" s="84" t="s">
        <v>1111</v>
      </c>
      <c r="C133" s="150">
        <f ca="1">C132/C$128</f>
        <v>87.816205146610343</v>
      </c>
      <c r="D133" s="150">
        <f ca="1">D132/D$128</f>
        <v>90.879480650957973</v>
      </c>
      <c r="E133" s="150">
        <f ca="1">E132/E$128</f>
        <v>93.999008646623238</v>
      </c>
      <c r="F133" s="150">
        <f ca="1">F132/F$128</f>
        <v>96.656734913922946</v>
      </c>
      <c r="G133" s="150">
        <f ca="1">G132/G$128</f>
        <v>99.398247162357819</v>
      </c>
      <c r="H133" s="88"/>
    </row>
    <row r="134" spans="1:43">
      <c r="B134" s="24"/>
      <c r="C134" s="21"/>
      <c r="D134" s="21"/>
      <c r="E134" s="21"/>
      <c r="F134" s="21"/>
      <c r="G134" s="21"/>
      <c r="H134" s="21"/>
    </row>
    <row r="135" spans="1:43">
      <c r="A135" s="1" t="s">
        <v>750</v>
      </c>
      <c r="B135" s="19" t="s">
        <v>2254</v>
      </c>
      <c r="C135" s="55">
        <f ca="1">VLOOKUP($A135,Model!$1:$1048576,MATCH(C$127,Model!$1:$1,0),FALSE)</f>
        <v>14790.208746912549</v>
      </c>
      <c r="D135" s="55">
        <f ca="1">VLOOKUP($A135,Model!$1:$1048576,MATCH(D$127,Model!$1:$1,0),FALSE)</f>
        <v>14062.508753959195</v>
      </c>
      <c r="E135" s="55">
        <f ca="1">VLOOKUP($A135,Model!$1:$1048576,MATCH(E$127,Model!$1:$1,0),FALSE)</f>
        <v>13184.802983910133</v>
      </c>
      <c r="F135" s="55">
        <f ca="1">VLOOKUP($A135,Model!$1:$1048576,MATCH(F$127,Model!$1:$1,0),FALSE)</f>
        <v>12191.384053679345</v>
      </c>
      <c r="G135" s="55">
        <f ca="1">VLOOKUP($A135,Model!$1:$1048576,MATCH(G$127,Model!$1:$1,0),FALSE)</f>
        <v>11085.204769736767</v>
      </c>
      <c r="H135" s="21"/>
    </row>
    <row r="136" spans="1:43">
      <c r="A136" s="1" t="s">
        <v>751</v>
      </c>
      <c r="B136" s="19" t="s">
        <v>2255</v>
      </c>
      <c r="C136" s="55">
        <f ca="1">VLOOKUP($A136,Model!$1:$1048576,MATCH(C$127,Model!$1:$1,0),FALSE)</f>
        <v>17835.64178822211</v>
      </c>
      <c r="D136" s="55">
        <f ca="1">VLOOKUP($A136,Model!$1:$1048576,MATCH(D$127,Model!$1:$1,0),FALSE)</f>
        <v>19423.013907373883</v>
      </c>
      <c r="E136" s="55">
        <f ca="1">VLOOKUP($A136,Model!$1:$1048576,MATCH(E$127,Model!$1:$1,0),FALSE)</f>
        <v>21151.662145130158</v>
      </c>
      <c r="F136" s="55">
        <f ca="1">VLOOKUP($A136,Model!$1:$1048576,MATCH(F$127,Model!$1:$1,0),FALSE)</f>
        <v>23034.160076046741</v>
      </c>
      <c r="G136" s="55">
        <f ca="1">VLOOKUP($A136,Model!$1:$1048576,MATCH(G$127,Model!$1:$1,0),FALSE)</f>
        <v>25084.200322814901</v>
      </c>
      <c r="H136" s="21"/>
    </row>
    <row r="137" spans="1:43">
      <c r="B137" s="24" t="s">
        <v>2253</v>
      </c>
      <c r="C137" s="82">
        <f ca="1">C135+C136</f>
        <v>32625.850535134661</v>
      </c>
      <c r="D137" s="82">
        <f ca="1">D135+D136</f>
        <v>33485.522661333074</v>
      </c>
      <c r="E137" s="82">
        <f ca="1">E135+E136</f>
        <v>34336.465129040291</v>
      </c>
      <c r="F137" s="82">
        <f ca="1">F135+F136</f>
        <v>35225.544129726084</v>
      </c>
      <c r="G137" s="82">
        <f ca="1">G135+G136</f>
        <v>36169.405092551664</v>
      </c>
      <c r="H137" s="21"/>
    </row>
    <row r="138" spans="1:43" s="84" customFormat="1">
      <c r="A138" s="137"/>
      <c r="B138" s="84" t="s">
        <v>2256</v>
      </c>
      <c r="C138" s="150">
        <f ca="1">C137/C$128</f>
        <v>19.512251251303546</v>
      </c>
      <c r="D138" s="150">
        <f ca="1">D137/D$128</f>
        <v>20.029117426815411</v>
      </c>
      <c r="E138" s="150">
        <f ca="1">E137/E$128</f>
        <v>20.534643864732093</v>
      </c>
      <c r="F138" s="150">
        <f ca="1">F137/F$128</f>
        <v>21.248026481834966</v>
      </c>
      <c r="G138" s="150">
        <f ca="1">G137/G$128</f>
        <v>21.991517827204863</v>
      </c>
      <c r="H138" s="88"/>
    </row>
    <row r="139" spans="1:43">
      <c r="B139" s="24"/>
      <c r="C139" s="21"/>
      <c r="D139" s="21"/>
      <c r="E139" s="21"/>
      <c r="F139" s="21"/>
      <c r="G139" s="21"/>
      <c r="H139" s="21"/>
    </row>
    <row r="140" spans="1:43">
      <c r="B140" s="24" t="s">
        <v>2257</v>
      </c>
      <c r="C140" s="82">
        <f ca="1">C132+C137</f>
        <v>179460.69530911359</v>
      </c>
      <c r="D140" s="82">
        <f ca="1">D132+D137</f>
        <v>185421.66862019611</v>
      </c>
      <c r="E140" s="82">
        <f ca="1">E132+E137</f>
        <v>191514.43733154214</v>
      </c>
      <c r="F140" s="82">
        <f ca="1">F132+F137</f>
        <v>195465.65320792195</v>
      </c>
      <c r="G140" s="82">
        <f ca="1">G132+G137</f>
        <v>199649.50207146234</v>
      </c>
      <c r="H140" s="21"/>
    </row>
    <row r="141" spans="1:43" s="155" customFormat="1">
      <c r="A141" s="151"/>
      <c r="B141" s="152" t="s">
        <v>2258</v>
      </c>
      <c r="C141" s="153">
        <f ca="1">C140/C128</f>
        <v>107.3284563979139</v>
      </c>
      <c r="D141" s="153">
        <f ca="1">D140/D128</f>
        <v>110.90859807777338</v>
      </c>
      <c r="E141" s="153">
        <f ca="1">E140/E128</f>
        <v>114.53365251135534</v>
      </c>
      <c r="F141" s="153">
        <f ca="1">F140/F128</f>
        <v>117.90476139575792</v>
      </c>
      <c r="G141" s="153">
        <f ca="1">G140/G128</f>
        <v>121.38976498956268</v>
      </c>
      <c r="H141" s="154"/>
    </row>
    <row r="142" spans="1:43">
      <c r="C142" s="21"/>
      <c r="D142" s="21"/>
      <c r="E142" s="21"/>
      <c r="F142" s="21"/>
      <c r="G142" s="21"/>
      <c r="H142" s="21"/>
      <c r="J142" s="19" t="s">
        <v>2664</v>
      </c>
    </row>
    <row r="143" spans="1:43">
      <c r="B143" s="19" t="s">
        <v>731</v>
      </c>
      <c r="C143" s="58">
        <f ca="1">IF(MID(C127,3,2)+2000+1=$C$121,100%,0%)</f>
        <v>0</v>
      </c>
      <c r="D143" s="58">
        <f t="shared" ref="D143:G143" ca="1" si="0">IF(MID(D127,3,2)+2000+1=$C$121,100%,0%)</f>
        <v>0</v>
      </c>
      <c r="E143" s="58">
        <f t="shared" ca="1" si="0"/>
        <v>1</v>
      </c>
      <c r="F143" s="58">
        <f t="shared" ca="1" si="0"/>
        <v>0</v>
      </c>
      <c r="G143" s="58">
        <f t="shared" ca="1" si="0"/>
        <v>0</v>
      </c>
      <c r="H143" s="21"/>
    </row>
    <row r="144" spans="1:43">
      <c r="C144" s="21"/>
      <c r="D144" s="21"/>
      <c r="E144" s="21"/>
      <c r="F144" s="21"/>
      <c r="G144" s="21"/>
      <c r="H144" s="21"/>
    </row>
    <row r="145" spans="2:43">
      <c r="B145" s="156" t="s">
        <v>2259</v>
      </c>
      <c r="C145" s="157"/>
      <c r="D145" s="157"/>
      <c r="E145" s="157"/>
      <c r="F145" s="157"/>
      <c r="G145" s="158">
        <f ca="1">SUMPRODUCT(C141:G141,C143:G143)</f>
        <v>114.53365251135534</v>
      </c>
      <c r="H145" s="13"/>
      <c r="I145" s="24"/>
      <c r="J145" s="24"/>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row>
    <row r="146" spans="2:43">
      <c r="B146" s="24"/>
      <c r="C146" s="13"/>
      <c r="D146" s="13"/>
      <c r="E146" s="13"/>
      <c r="F146" s="13"/>
      <c r="G146" s="159"/>
      <c r="H146" s="13"/>
      <c r="I146" s="24"/>
      <c r="J146" s="24"/>
      <c r="K146" s="24"/>
      <c r="L146" s="24"/>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row>
    <row r="147" spans="2:43">
      <c r="B147" s="139" t="s">
        <v>723</v>
      </c>
      <c r="C147" s="11" t="s">
        <v>856</v>
      </c>
      <c r="D147" s="11" t="s">
        <v>2105</v>
      </c>
      <c r="E147" s="21"/>
      <c r="F147" s="21"/>
      <c r="G147" s="21"/>
      <c r="H147" s="21"/>
    </row>
    <row r="148" spans="2:43">
      <c r="B148" s="19" t="s">
        <v>2504</v>
      </c>
      <c r="C148" s="145">
        <f ca="1">J125</f>
        <v>155.12298250953299</v>
      </c>
      <c r="D148" s="481">
        <v>0</v>
      </c>
      <c r="E148" s="21"/>
      <c r="F148" s="21"/>
      <c r="G148" s="145"/>
      <c r="H148" s="145"/>
    </row>
    <row r="149" spans="2:43">
      <c r="B149" s="19" t="s">
        <v>724</v>
      </c>
      <c r="C149" s="145">
        <f ca="1">G145</f>
        <v>114.53365251135534</v>
      </c>
      <c r="D149" s="147">
        <v>0.5</v>
      </c>
      <c r="E149" s="230"/>
      <c r="F149" s="230"/>
      <c r="G149" s="145"/>
      <c r="H149" s="145"/>
      <c r="O149" s="589"/>
    </row>
    <row r="150" spans="2:43">
      <c r="B150" s="19" t="s">
        <v>2496</v>
      </c>
      <c r="C150" s="145">
        <f ca="1">RIM!AB44</f>
        <v>106.6996986272908</v>
      </c>
      <c r="D150" s="147">
        <v>0</v>
      </c>
      <c r="E150" s="21"/>
      <c r="F150" s="21"/>
      <c r="G150" s="145"/>
      <c r="H150" s="21"/>
    </row>
    <row r="151" spans="2:43">
      <c r="B151" s="19" t="s">
        <v>858</v>
      </c>
      <c r="C151" s="145">
        <f ca="1">J122</f>
        <v>161.17148997839806</v>
      </c>
      <c r="D151" s="147">
        <f>100%-D149</f>
        <v>0.5</v>
      </c>
      <c r="E151" s="21"/>
      <c r="F151" s="21"/>
      <c r="G151" s="21"/>
      <c r="H151" s="21"/>
      <c r="M151" s="109"/>
    </row>
    <row r="152" spans="2:43">
      <c r="B152" s="19" t="s">
        <v>728</v>
      </c>
      <c r="C152" s="145">
        <f ca="1">J123</f>
        <v>57.682987534634847</v>
      </c>
      <c r="D152" s="147">
        <v>0</v>
      </c>
      <c r="E152" s="21"/>
      <c r="F152" s="21"/>
      <c r="G152" s="21"/>
      <c r="H152" s="21"/>
    </row>
    <row r="153" spans="2:43">
      <c r="B153" s="24" t="s">
        <v>725</v>
      </c>
      <c r="C153" s="229">
        <f ca="1">SUMPRODUCT(C148:C152,D148:D152)</f>
        <v>137.85257124487669</v>
      </c>
      <c r="D153" s="228">
        <v>1</v>
      </c>
      <c r="E153" s="13"/>
      <c r="F153" s="13"/>
      <c r="G153" s="13"/>
      <c r="H153" s="13"/>
      <c r="I153" s="24"/>
      <c r="J153" s="24"/>
      <c r="K153" s="24"/>
      <c r="L153" s="24"/>
      <c r="M153" s="24"/>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c r="AM153" s="24"/>
      <c r="AN153" s="24"/>
      <c r="AO153" s="24"/>
      <c r="AP153" s="24"/>
      <c r="AQ153" s="24"/>
    </row>
    <row r="154" spans="2:43">
      <c r="B154" s="84" t="s">
        <v>726</v>
      </c>
      <c r="C154" s="241">
        <f ca="1">C153/C5-1</f>
        <v>-0.1869982823491585</v>
      </c>
      <c r="D154" s="88"/>
      <c r="E154" s="88"/>
      <c r="F154" s="88"/>
      <c r="G154" s="88"/>
      <c r="H154" s="88"/>
      <c r="I154" s="794"/>
      <c r="J154" s="794"/>
      <c r="K154" s="794"/>
      <c r="L154" s="84"/>
      <c r="M154" s="84"/>
      <c r="N154" s="84"/>
      <c r="O154" s="84"/>
      <c r="P154" s="84"/>
      <c r="Q154" s="84"/>
      <c r="R154" s="84"/>
      <c r="S154" s="84"/>
      <c r="T154" s="84"/>
      <c r="U154" s="84"/>
      <c r="V154" s="84"/>
      <c r="W154" s="84"/>
      <c r="X154" s="84"/>
      <c r="Y154" s="84"/>
      <c r="Z154" s="84"/>
      <c r="AA154" s="84"/>
      <c r="AB154" s="84"/>
      <c r="AC154" s="84"/>
      <c r="AD154" s="84"/>
      <c r="AE154" s="84"/>
      <c r="AF154" s="84"/>
      <c r="AG154" s="84"/>
      <c r="AH154" s="84"/>
      <c r="AI154" s="84"/>
      <c r="AJ154" s="84"/>
      <c r="AK154" s="84"/>
      <c r="AL154" s="84"/>
      <c r="AM154" s="84"/>
      <c r="AN154" s="84"/>
      <c r="AO154" s="84"/>
      <c r="AP154" s="84"/>
      <c r="AQ154" s="84"/>
    </row>
    <row r="155" spans="2:43">
      <c r="B155" s="84"/>
      <c r="C155" s="160"/>
      <c r="D155" s="160"/>
      <c r="E155" s="160"/>
      <c r="F155" s="88"/>
      <c r="G155" s="88"/>
      <c r="H155" s="88"/>
      <c r="I155" s="84"/>
      <c r="J155" s="84"/>
      <c r="K155" s="84"/>
      <c r="L155" s="84"/>
      <c r="M155" s="84"/>
      <c r="N155" s="84"/>
      <c r="O155" s="84"/>
      <c r="P155" s="84"/>
      <c r="Q155" s="84"/>
      <c r="R155" s="84"/>
      <c r="S155" s="84"/>
      <c r="T155" s="84"/>
      <c r="U155" s="84"/>
      <c r="V155" s="84"/>
      <c r="W155" s="84"/>
      <c r="X155" s="84"/>
      <c r="Y155" s="84"/>
      <c r="Z155" s="84"/>
      <c r="AA155" s="84"/>
      <c r="AB155" s="84"/>
      <c r="AC155" s="84"/>
      <c r="AD155" s="84"/>
      <c r="AE155" s="84"/>
      <c r="AF155" s="84"/>
      <c r="AG155" s="84"/>
      <c r="AH155" s="84"/>
      <c r="AI155" s="84"/>
      <c r="AJ155" s="84"/>
      <c r="AK155" s="84"/>
      <c r="AL155" s="84"/>
      <c r="AM155" s="84"/>
      <c r="AN155" s="84"/>
      <c r="AO155" s="84"/>
      <c r="AP155" s="84"/>
      <c r="AQ155" s="84"/>
    </row>
    <row r="156" spans="2:43">
      <c r="B156" s="84"/>
      <c r="C156" s="778"/>
      <c r="D156" s="82"/>
      <c r="E156" s="82"/>
      <c r="F156" s="88"/>
      <c r="G156" s="88"/>
      <c r="H156" s="88"/>
      <c r="I156" s="84"/>
      <c r="J156" s="84"/>
      <c r="K156" s="84"/>
      <c r="L156" s="84"/>
      <c r="M156" s="84"/>
      <c r="N156" s="84"/>
      <c r="O156" s="84"/>
      <c r="P156" s="84"/>
      <c r="Q156" s="84"/>
      <c r="R156" s="84"/>
      <c r="S156" s="84"/>
      <c r="T156" s="84"/>
      <c r="U156" s="84"/>
      <c r="V156" s="84"/>
      <c r="W156" s="84"/>
      <c r="X156" s="84"/>
      <c r="Y156" s="84"/>
      <c r="Z156" s="84"/>
      <c r="AA156" s="84"/>
      <c r="AB156" s="84"/>
      <c r="AC156" s="84"/>
      <c r="AD156" s="84"/>
      <c r="AE156" s="84"/>
      <c r="AF156" s="84"/>
      <c r="AG156" s="84"/>
      <c r="AH156" s="84"/>
      <c r="AI156" s="84"/>
      <c r="AJ156" s="84"/>
      <c r="AK156" s="84"/>
      <c r="AL156" s="84"/>
      <c r="AM156" s="84"/>
      <c r="AN156" s="84"/>
      <c r="AO156" s="84"/>
      <c r="AP156" s="84"/>
      <c r="AQ156" s="84"/>
    </row>
    <row r="157" spans="2:43">
      <c r="C157" s="17"/>
    </row>
    <row r="158" spans="2:43">
      <c r="C158" s="109"/>
    </row>
    <row r="160" spans="2:43">
      <c r="C160" s="779"/>
    </row>
  </sheetData>
  <phoneticPr fontId="13" type="noConversion"/>
  <dataValidations disablePrompts="1" count="1">
    <dataValidation type="list" allowBlank="1" showInputMessage="1" showErrorMessage="1" sqref="C7" xr:uid="{00000000-0002-0000-0A00-000000000000}">
      <formula1>$AU$2:$AU$6</formula1>
    </dataValidation>
  </dataValidations>
  <pageMargins left="0.75" right="0.75" top="1" bottom="1" header="0.5" footer="0.5"/>
  <pageSetup paperSize="171" scale="26" orientation="landscape" horizontalDpi="1200" verticalDpi="1200" r:id="rId1"/>
  <headerFooter alignWithMargins="0"/>
  <customProperties>
    <customPr name="Qube.Worksheet.ID" r:id="rId2"/>
    <customPr name="Qube.Worksheet.Visibility" r:id="rId3"/>
    <customPr name="QXL_SHEET_ID" r:id="rId4"/>
    <customPr name="SHEET_UNIQUE_ID" r:id="rId5"/>
  </customProperties>
  <drawing r:id="rId6"/>
  <legacyDrawing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A1:DO853"/>
  <sheetViews>
    <sheetView zoomScale="130" zoomScaleNormal="130" workbookViewId="0">
      <pane xSplit="2" ySplit="13" topLeftCell="AT355" activePane="bottomRight" state="frozen"/>
      <selection pane="topRight" activeCell="C1" sqref="C1"/>
      <selection pane="bottomLeft" activeCell="A14" sqref="A14"/>
      <selection pane="bottomRight" activeCell="AZ109" sqref="AZ109"/>
    </sheetView>
  </sheetViews>
  <sheetFormatPr defaultColWidth="10.75" defaultRowHeight="12" outlineLevelRow="3" outlineLevelCol="1"/>
  <cols>
    <col min="1" max="1" width="8.25" style="1" customWidth="1"/>
    <col min="2" max="2" width="32.125" style="19" customWidth="1"/>
    <col min="3" max="19" width="10.75" style="21" customWidth="1" outlineLevel="1"/>
    <col min="20" max="20" width="10.75" style="21" customWidth="1" outlineLevel="1" collapsed="1"/>
    <col min="21" max="27" width="10.75" style="21" customWidth="1" outlineLevel="1"/>
    <col min="28" max="28" width="10.75" style="21" customWidth="1" outlineLevel="1" collapsed="1"/>
    <col min="29" max="41" width="10.75" style="21" customWidth="1" outlineLevel="1"/>
    <col min="42" max="42" width="10.75" style="21" customWidth="1" outlineLevel="1" collapsed="1"/>
    <col min="43" max="43" width="10.75" style="21" customWidth="1" outlineLevel="1"/>
    <col min="44" max="51" width="10.75" style="21" customWidth="1"/>
    <col min="52" max="52" width="10.75" style="22" customWidth="1"/>
    <col min="53" max="60" width="10.75" style="21" customWidth="1"/>
    <col min="61" max="61" width="10.875" style="21" customWidth="1"/>
    <col min="62" max="69" width="10.875" style="21" customWidth="1" outlineLevel="1"/>
    <col min="70" max="70" width="4" style="21" customWidth="1"/>
    <col min="71" max="91" width="10.75" style="21" hidden="1" customWidth="1" outlineLevel="1"/>
    <col min="92" max="92" width="10.75" style="21" hidden="1" customWidth="1" outlineLevel="1" collapsed="1"/>
    <col min="93" max="98" width="10.75" style="21" hidden="1" customWidth="1" outlineLevel="1"/>
    <col min="99" max="99" width="10.75" style="21" hidden="1" customWidth="1" outlineLevel="1" collapsed="1"/>
    <col min="100" max="100" width="10.75" style="21" hidden="1" customWidth="1" outlineLevel="1"/>
    <col min="101" max="101" width="10.75" style="21" customWidth="1" collapsed="1"/>
    <col min="102" max="106" width="10.75" style="21" customWidth="1"/>
    <col min="107" max="108" width="10.75" style="19" customWidth="1"/>
    <col min="109" max="113" width="10.75" style="19" customWidth="1" outlineLevel="1"/>
    <col min="114" max="16384" width="10.75" style="19"/>
  </cols>
  <sheetData>
    <row r="1" spans="1:113" s="5" customFormat="1">
      <c r="A1" s="137"/>
      <c r="B1" s="2" t="s">
        <v>643</v>
      </c>
      <c r="C1" s="3" t="s">
        <v>132</v>
      </c>
      <c r="D1" s="3" t="str">
        <f t="shared" ref="D1:L1" si="0">IF(LEFT(C1,1)="1","2H"&amp;TEXT(MID(C1,3,2),"00")&amp;"A","1H"&amp;TEXT(MID(C1,3,2)+1,"00")&amp;"A")</f>
        <v>1H02A</v>
      </c>
      <c r="E1" s="3" t="str">
        <f t="shared" si="0"/>
        <v>2H02A</v>
      </c>
      <c r="F1" s="3" t="str">
        <f t="shared" si="0"/>
        <v>1H03A</v>
      </c>
      <c r="G1" s="3" t="str">
        <f t="shared" si="0"/>
        <v>2H03A</v>
      </c>
      <c r="H1" s="3" t="str">
        <f t="shared" si="0"/>
        <v>1H04A</v>
      </c>
      <c r="I1" s="3" t="str">
        <f t="shared" si="0"/>
        <v>2H04A</v>
      </c>
      <c r="J1" s="3" t="str">
        <f t="shared" si="0"/>
        <v>1H05A</v>
      </c>
      <c r="K1" s="3" t="str">
        <f t="shared" si="0"/>
        <v>2H05A</v>
      </c>
      <c r="L1" s="3" t="str">
        <f t="shared" si="0"/>
        <v>1H06A</v>
      </c>
      <c r="M1" s="3" t="str">
        <f t="shared" ref="M1:T1" si="1">IF(LEFT(L1,1)="1","2H"&amp;TEXT(MID(L1,3,2),"00")&amp;"A","1H"&amp;TEXT(MID(L1,3,2)+1,"00")&amp;"A")</f>
        <v>2H06A</v>
      </c>
      <c r="N1" s="3" t="str">
        <f t="shared" si="1"/>
        <v>1H07A</v>
      </c>
      <c r="O1" s="3" t="str">
        <f t="shared" si="1"/>
        <v>2H07A</v>
      </c>
      <c r="P1" s="3" t="str">
        <f t="shared" si="1"/>
        <v>1H08A</v>
      </c>
      <c r="Q1" s="3" t="str">
        <f t="shared" si="1"/>
        <v>2H08A</v>
      </c>
      <c r="R1" s="3" t="str">
        <f t="shared" si="1"/>
        <v>1H09A</v>
      </c>
      <c r="S1" s="3" t="str">
        <f t="shared" si="1"/>
        <v>2H09A</v>
      </c>
      <c r="T1" s="3" t="str">
        <f t="shared" si="1"/>
        <v>1H10A</v>
      </c>
      <c r="U1" s="3" t="str">
        <f t="shared" ref="U1:Z1" si="2">IF(LEFT(T1,1)="1","2H"&amp;TEXT(MID(T1,3,2),"00")&amp;"A","1H"&amp;TEXT(MID(T1,3,2)+1,"00")&amp;"A")</f>
        <v>2H10A</v>
      </c>
      <c r="V1" s="3" t="str">
        <f t="shared" si="2"/>
        <v>1H11A</v>
      </c>
      <c r="W1" s="3" t="str">
        <f t="shared" si="2"/>
        <v>2H11A</v>
      </c>
      <c r="X1" s="3" t="str">
        <f t="shared" si="2"/>
        <v>1H12A</v>
      </c>
      <c r="Y1" s="3" t="str">
        <f t="shared" si="2"/>
        <v>2H12A</v>
      </c>
      <c r="Z1" s="3" t="str">
        <f t="shared" si="2"/>
        <v>1H13A</v>
      </c>
      <c r="AA1" s="3" t="str">
        <f>IF(LEFT(Z1,1)="1","2H"&amp;TEXT(MID(Z1,3,2),"00")&amp;"A","1H"&amp;TEXT(MID(Z1,3,2)+1,"00")&amp;"E")</f>
        <v>2H13A</v>
      </c>
      <c r="AB1" s="3" t="str">
        <f t="shared" ref="AB1:AG1" si="3">IF(LEFT(AA1,1)="1","2H"&amp;TEXT(MID(AA1,3,2),"00")&amp;"A","1H"&amp;TEXT(MID(AA1,3,2)+1,"00")&amp;"A")</f>
        <v>1H14A</v>
      </c>
      <c r="AC1" s="3" t="str">
        <f t="shared" si="3"/>
        <v>2H14A</v>
      </c>
      <c r="AD1" s="3" t="str">
        <f t="shared" si="3"/>
        <v>1H15A</v>
      </c>
      <c r="AE1" s="3" t="str">
        <f t="shared" si="3"/>
        <v>2H15A</v>
      </c>
      <c r="AF1" s="3" t="str">
        <f t="shared" si="3"/>
        <v>1H16A</v>
      </c>
      <c r="AG1" s="3" t="str">
        <f t="shared" si="3"/>
        <v>2H16A</v>
      </c>
      <c r="AH1" s="3" t="str">
        <f t="shared" ref="AH1:AX1" si="4">IF(LEFT(AG1,1)="1","2H"&amp;TEXT(MID(AG1,3,2),"00")&amp;"A","1H"&amp;TEXT(MID(AG1,3,2)+1,"00")&amp;"A")</f>
        <v>1H17A</v>
      </c>
      <c r="AI1" s="3" t="str">
        <f t="shared" si="4"/>
        <v>2H17A</v>
      </c>
      <c r="AJ1" s="3" t="str">
        <f t="shared" si="4"/>
        <v>1H18A</v>
      </c>
      <c r="AK1" s="3" t="str">
        <f t="shared" si="4"/>
        <v>2H18A</v>
      </c>
      <c r="AL1" s="3" t="str">
        <f t="shared" si="4"/>
        <v>1H19A</v>
      </c>
      <c r="AM1" s="3" t="str">
        <f t="shared" si="4"/>
        <v>2H19A</v>
      </c>
      <c r="AN1" s="3" t="str">
        <f t="shared" si="4"/>
        <v>1H20A</v>
      </c>
      <c r="AO1" s="3" t="str">
        <f t="shared" si="4"/>
        <v>2H20A</v>
      </c>
      <c r="AP1" s="3" t="str">
        <f t="shared" si="4"/>
        <v>1H21A</v>
      </c>
      <c r="AQ1" s="3" t="str">
        <f t="shared" si="4"/>
        <v>2H21A</v>
      </c>
      <c r="AR1" s="3" t="str">
        <f t="shared" si="4"/>
        <v>1H22A</v>
      </c>
      <c r="AS1" s="3" t="str">
        <f t="shared" si="4"/>
        <v>2H22A</v>
      </c>
      <c r="AT1" s="3" t="str">
        <f t="shared" si="4"/>
        <v>1H23A</v>
      </c>
      <c r="AU1" s="3" t="str">
        <f t="shared" si="4"/>
        <v>2H23A</v>
      </c>
      <c r="AV1" s="3" t="str">
        <f t="shared" si="4"/>
        <v>1H24A</v>
      </c>
      <c r="AW1" s="3" t="str">
        <f t="shared" si="4"/>
        <v>2H24A</v>
      </c>
      <c r="AX1" s="3" t="str">
        <f t="shared" si="4"/>
        <v>1H25A</v>
      </c>
      <c r="AY1" s="3" t="str">
        <f>IF(LEFT(AX1,1)="1","2H"&amp;TEXT(MID(AX1,3,2),"00")&amp;"A","1H"&amp;TEXT(MID(AX1,3,2)+1,"00")&amp;"A")</f>
        <v>2H25A</v>
      </c>
      <c r="AZ1" s="4" t="str">
        <f>IF(LEFT(AY1,1)="1","2H"&amp;TEXT(MID(AY1,3,2),"00")&amp;"A","1H"&amp;TEXT(MID(AY1,3,2)+1,"00")&amp;"A")</f>
        <v>1H26A</v>
      </c>
      <c r="BA1" s="3" t="str">
        <f t="shared" ref="BA1:BE1" si="5">IF(LEFT(AZ1,1)="1","2H"&amp;TEXT(MID(AZ1,3,2),"00")&amp;"E","1H"&amp;TEXT(MID(AZ1,3,2)+1,"00")&amp;"E")</f>
        <v>2H26E</v>
      </c>
      <c r="BB1" s="3" t="str">
        <f t="shared" si="5"/>
        <v>1H27E</v>
      </c>
      <c r="BC1" s="3" t="str">
        <f t="shared" si="5"/>
        <v>2H27E</v>
      </c>
      <c r="BD1" s="3" t="str">
        <f t="shared" si="5"/>
        <v>1H28E</v>
      </c>
      <c r="BE1" s="3" t="str">
        <f t="shared" si="5"/>
        <v>2H28E</v>
      </c>
      <c r="BF1" s="3" t="str">
        <f t="shared" ref="BF1:BM1" si="6">IF(LEFT(BE1,1)="1","2H"&amp;TEXT(MID(BE1,3,2),"00")&amp;"E","1H"&amp;TEXT(MID(BE1,3,2)+1,"00")&amp;"E")</f>
        <v>1H29E</v>
      </c>
      <c r="BG1" s="3" t="str">
        <f t="shared" si="6"/>
        <v>2H29E</v>
      </c>
      <c r="BH1" s="3" t="str">
        <f t="shared" si="6"/>
        <v>1H30E</v>
      </c>
      <c r="BI1" s="3" t="str">
        <f t="shared" si="6"/>
        <v>2H30E</v>
      </c>
      <c r="BJ1" s="3" t="str">
        <f t="shared" si="6"/>
        <v>1H31E</v>
      </c>
      <c r="BK1" s="3" t="str">
        <f t="shared" si="6"/>
        <v>2H31E</v>
      </c>
      <c r="BL1" s="3" t="str">
        <f t="shared" si="6"/>
        <v>1H32E</v>
      </c>
      <c r="BM1" s="3" t="str">
        <f t="shared" si="6"/>
        <v>2H32E</v>
      </c>
      <c r="BN1" s="3" t="str">
        <f t="shared" ref="BN1" si="7">IF(LEFT(BM1,1)="1","2H"&amp;TEXT(MID(BM1,3,2),"00")&amp;"E","1H"&amp;TEXT(MID(BM1,3,2)+1,"00")&amp;"E")</f>
        <v>1H33E</v>
      </c>
      <c r="BO1" s="3" t="str">
        <f t="shared" ref="BO1" si="8">IF(LEFT(BN1,1)="1","2H"&amp;TEXT(MID(BN1,3,2),"00")&amp;"E","1H"&amp;TEXT(MID(BN1,3,2)+1,"00")&amp;"E")</f>
        <v>2H33E</v>
      </c>
      <c r="BP1" s="3" t="str">
        <f t="shared" ref="BP1" si="9">IF(LEFT(BO1,1)="1","2H"&amp;TEXT(MID(BO1,3,2),"00")&amp;"E","1H"&amp;TEXT(MID(BO1,3,2)+1,"00")&amp;"E")</f>
        <v>1H34E</v>
      </c>
      <c r="BQ1" s="3" t="str">
        <f t="shared" ref="BQ1" si="10">IF(LEFT(BP1,1)="1","2H"&amp;TEXT(MID(BP1,3,2),"00")&amp;"E","1H"&amp;TEXT(MID(BP1,3,2)+1,"00")&amp;"E")</f>
        <v>2H34E</v>
      </c>
      <c r="BR1" s="3"/>
      <c r="BS1" s="3" t="s">
        <v>208</v>
      </c>
      <c r="BT1" s="3" t="str">
        <f t="shared" ref="BT1:BZ1" si="11">"FY"&amp;TEXT(MID(BS1,3,2)+1,"00")&amp;"A"</f>
        <v>FY93A</v>
      </c>
      <c r="BU1" s="3" t="str">
        <f t="shared" si="11"/>
        <v>FY94A</v>
      </c>
      <c r="BV1" s="3" t="str">
        <f t="shared" si="11"/>
        <v>FY95A</v>
      </c>
      <c r="BW1" s="3" t="str">
        <f t="shared" si="11"/>
        <v>FY96A</v>
      </c>
      <c r="BX1" s="3" t="str">
        <f t="shared" si="11"/>
        <v>FY97A</v>
      </c>
      <c r="BY1" s="3" t="str">
        <f t="shared" si="11"/>
        <v>FY98A</v>
      </c>
      <c r="BZ1" s="3" t="str">
        <f t="shared" si="11"/>
        <v>FY99A</v>
      </c>
      <c r="CA1" s="3" t="s">
        <v>209</v>
      </c>
      <c r="CB1" s="3" t="str">
        <f>"FY"&amp;TEXT(MID(CA1,3,2)+1,"00")&amp;"A"</f>
        <v>FY01A</v>
      </c>
      <c r="CC1" s="3" t="str">
        <f>"FY"&amp;TEXT(MID(CB1,3,2)+1,"00")&amp;"A"</f>
        <v>FY02A</v>
      </c>
      <c r="CD1" s="3" t="str">
        <f t="shared" ref="CD1:CJ1" si="12">"FY"&amp;TEXT(MID(CC1,3,2)+1,"00")&amp;"A"</f>
        <v>FY03A</v>
      </c>
      <c r="CE1" s="3" t="str">
        <f t="shared" si="12"/>
        <v>FY04A</v>
      </c>
      <c r="CF1" s="3" t="str">
        <f t="shared" si="12"/>
        <v>FY05A</v>
      </c>
      <c r="CG1" s="3" t="str">
        <f t="shared" si="12"/>
        <v>FY06A</v>
      </c>
      <c r="CH1" s="3" t="str">
        <f t="shared" si="12"/>
        <v>FY07A</v>
      </c>
      <c r="CI1" s="3" t="str">
        <f t="shared" si="12"/>
        <v>FY08A</v>
      </c>
      <c r="CJ1" s="3" t="str">
        <f t="shared" si="12"/>
        <v>FY09A</v>
      </c>
      <c r="CK1" s="3" t="str">
        <f t="shared" ref="CK1:CP1" si="13">"FY"&amp;TEXT(MID(CJ1,3,2)+1,"00")&amp;"A"</f>
        <v>FY10A</v>
      </c>
      <c r="CL1" s="3" t="str">
        <f t="shared" si="13"/>
        <v>FY11A</v>
      </c>
      <c r="CM1" s="3" t="str">
        <f t="shared" si="13"/>
        <v>FY12A</v>
      </c>
      <c r="CN1" s="3" t="str">
        <f t="shared" si="13"/>
        <v>FY13A</v>
      </c>
      <c r="CO1" s="3" t="str">
        <f t="shared" si="13"/>
        <v>FY14A</v>
      </c>
      <c r="CP1" s="3" t="str">
        <f t="shared" si="13"/>
        <v>FY15A</v>
      </c>
      <c r="CQ1" s="3" t="str">
        <f t="shared" ref="CQ1:CY1" si="14">"FY"&amp;TEXT(MID(CP1,3,2)+1,"00")&amp;"A"</f>
        <v>FY16A</v>
      </c>
      <c r="CR1" s="3" t="str">
        <f t="shared" si="14"/>
        <v>FY17A</v>
      </c>
      <c r="CS1" s="3" t="str">
        <f t="shared" si="14"/>
        <v>FY18A</v>
      </c>
      <c r="CT1" s="3" t="str">
        <f t="shared" si="14"/>
        <v>FY19A</v>
      </c>
      <c r="CU1" s="3" t="str">
        <f t="shared" si="14"/>
        <v>FY20A</v>
      </c>
      <c r="CV1" s="3" t="str">
        <f t="shared" si="14"/>
        <v>FY21A</v>
      </c>
      <c r="CW1" s="3" t="str">
        <f t="shared" si="14"/>
        <v>FY22A</v>
      </c>
      <c r="CX1" s="3" t="str">
        <f t="shared" si="14"/>
        <v>FY23A</v>
      </c>
      <c r="CY1" s="3" t="str">
        <f t="shared" si="14"/>
        <v>FY24A</v>
      </c>
      <c r="CZ1" s="4" t="str">
        <f>"FY"&amp;TEXT(MID(CY1,3,2)+1,"00")&amp;"A"</f>
        <v>FY25A</v>
      </c>
      <c r="DA1" s="3" t="str">
        <f t="shared" ref="DA1:DI1" si="15">"FY"&amp;TEXT(MID(CZ1,3,2)+1,"00")&amp;"E"</f>
        <v>FY26E</v>
      </c>
      <c r="DB1" s="3" t="str">
        <f t="shared" si="15"/>
        <v>FY27E</v>
      </c>
      <c r="DC1" s="3" t="str">
        <f t="shared" si="15"/>
        <v>FY28E</v>
      </c>
      <c r="DD1" s="3" t="str">
        <f t="shared" si="15"/>
        <v>FY29E</v>
      </c>
      <c r="DE1" s="3" t="str">
        <f t="shared" si="15"/>
        <v>FY30E</v>
      </c>
      <c r="DF1" s="3" t="str">
        <f t="shared" si="15"/>
        <v>FY31E</v>
      </c>
      <c r="DG1" s="3" t="str">
        <f t="shared" si="15"/>
        <v>FY32E</v>
      </c>
      <c r="DH1" s="3" t="str">
        <f t="shared" si="15"/>
        <v>FY33E</v>
      </c>
      <c r="DI1" s="3" t="str">
        <f t="shared" si="15"/>
        <v>FY34E</v>
      </c>
    </row>
    <row r="2" spans="1:113" s="9" customFormat="1" ht="12" customHeight="1">
      <c r="A2" s="1"/>
      <c r="B2" s="6" t="s">
        <v>795</v>
      </c>
      <c r="C2" s="7" t="str">
        <f>RIGHT(C1,1)</f>
        <v>A</v>
      </c>
      <c r="D2" s="7" t="str">
        <f t="shared" ref="D2:L2" si="16">RIGHT(D1,1)</f>
        <v>A</v>
      </c>
      <c r="E2" s="7" t="str">
        <f t="shared" si="16"/>
        <v>A</v>
      </c>
      <c r="F2" s="7" t="str">
        <f t="shared" si="16"/>
        <v>A</v>
      </c>
      <c r="G2" s="7" t="str">
        <f t="shared" si="16"/>
        <v>A</v>
      </c>
      <c r="H2" s="7" t="str">
        <f t="shared" si="16"/>
        <v>A</v>
      </c>
      <c r="I2" s="7" t="str">
        <f t="shared" si="16"/>
        <v>A</v>
      </c>
      <c r="J2" s="7" t="str">
        <f t="shared" si="16"/>
        <v>A</v>
      </c>
      <c r="K2" s="7" t="str">
        <f t="shared" si="16"/>
        <v>A</v>
      </c>
      <c r="L2" s="7" t="str">
        <f t="shared" si="16"/>
        <v>A</v>
      </c>
      <c r="M2" s="7" t="str">
        <f t="shared" ref="M2:AG2" si="17">RIGHT(M1,1)</f>
        <v>A</v>
      </c>
      <c r="N2" s="7" t="str">
        <f t="shared" si="17"/>
        <v>A</v>
      </c>
      <c r="O2" s="7" t="str">
        <f t="shared" si="17"/>
        <v>A</v>
      </c>
      <c r="P2" s="7" t="str">
        <f t="shared" si="17"/>
        <v>A</v>
      </c>
      <c r="Q2" s="7" t="str">
        <f t="shared" si="17"/>
        <v>A</v>
      </c>
      <c r="R2" s="7" t="str">
        <f t="shared" si="17"/>
        <v>A</v>
      </c>
      <c r="S2" s="7" t="str">
        <f t="shared" si="17"/>
        <v>A</v>
      </c>
      <c r="T2" s="7" t="str">
        <f t="shared" si="17"/>
        <v>A</v>
      </c>
      <c r="U2" s="7" t="str">
        <f t="shared" si="17"/>
        <v>A</v>
      </c>
      <c r="V2" s="7" t="str">
        <f t="shared" si="17"/>
        <v>A</v>
      </c>
      <c r="W2" s="7" t="str">
        <f t="shared" si="17"/>
        <v>A</v>
      </c>
      <c r="X2" s="7" t="str">
        <f t="shared" si="17"/>
        <v>A</v>
      </c>
      <c r="Y2" s="7" t="str">
        <f t="shared" si="17"/>
        <v>A</v>
      </c>
      <c r="Z2" s="7" t="str">
        <f t="shared" si="17"/>
        <v>A</v>
      </c>
      <c r="AA2" s="7" t="str">
        <f t="shared" si="17"/>
        <v>A</v>
      </c>
      <c r="AB2" s="7" t="str">
        <f t="shared" si="17"/>
        <v>A</v>
      </c>
      <c r="AC2" s="7" t="str">
        <f t="shared" si="17"/>
        <v>A</v>
      </c>
      <c r="AD2" s="7" t="str">
        <f t="shared" si="17"/>
        <v>A</v>
      </c>
      <c r="AE2" s="7" t="str">
        <f t="shared" si="17"/>
        <v>A</v>
      </c>
      <c r="AF2" s="7" t="str">
        <f>RIGHT(AF1,1)</f>
        <v>A</v>
      </c>
      <c r="AG2" s="7" t="str">
        <f t="shared" si="17"/>
        <v>A</v>
      </c>
      <c r="AH2" s="7" t="str">
        <f t="shared" ref="AH2:AM2" si="18">RIGHT(AH1,1)</f>
        <v>A</v>
      </c>
      <c r="AI2" s="7" t="str">
        <f t="shared" si="18"/>
        <v>A</v>
      </c>
      <c r="AJ2" s="7" t="str">
        <f t="shared" si="18"/>
        <v>A</v>
      </c>
      <c r="AK2" s="7" t="str">
        <f t="shared" si="18"/>
        <v>A</v>
      </c>
      <c r="AL2" s="7" t="str">
        <f t="shared" si="18"/>
        <v>A</v>
      </c>
      <c r="AM2" s="7" t="str">
        <f t="shared" si="18"/>
        <v>A</v>
      </c>
      <c r="AN2" s="7" t="str">
        <f t="shared" ref="AN2:AS2" si="19">RIGHT(AN1,1)</f>
        <v>A</v>
      </c>
      <c r="AO2" s="7" t="str">
        <f t="shared" si="19"/>
        <v>A</v>
      </c>
      <c r="AP2" s="7" t="str">
        <f t="shared" si="19"/>
        <v>A</v>
      </c>
      <c r="AQ2" s="7" t="str">
        <f t="shared" si="19"/>
        <v>A</v>
      </c>
      <c r="AR2" s="7" t="str">
        <f t="shared" si="19"/>
        <v>A</v>
      </c>
      <c r="AS2" s="7" t="str">
        <f t="shared" si="19"/>
        <v>A</v>
      </c>
      <c r="AT2" s="7" t="str">
        <f t="shared" ref="AT2" si="20">RIGHT(AT1,1)</f>
        <v>A</v>
      </c>
      <c r="AU2" s="7" t="str">
        <f t="shared" ref="AU2" si="21">RIGHT(AU1,1)</f>
        <v>A</v>
      </c>
      <c r="AV2" s="7" t="str">
        <f t="shared" ref="AV2" si="22">RIGHT(AV1,1)</f>
        <v>A</v>
      </c>
      <c r="AW2" s="7" t="str">
        <f t="shared" ref="AW2:BE2" si="23">RIGHT(AW1,1)</f>
        <v>A</v>
      </c>
      <c r="AX2" s="7" t="str">
        <f t="shared" ref="AX2" si="24">RIGHT(AX1,1)</f>
        <v>A</v>
      </c>
      <c r="AY2" s="7" t="str">
        <f t="shared" si="23"/>
        <v>A</v>
      </c>
      <c r="AZ2" s="8" t="str">
        <f t="shared" si="23"/>
        <v>A</v>
      </c>
      <c r="BA2" s="7" t="str">
        <f t="shared" si="23"/>
        <v>E</v>
      </c>
      <c r="BB2" s="7" t="str">
        <f t="shared" si="23"/>
        <v>E</v>
      </c>
      <c r="BC2" s="7" t="str">
        <f t="shared" si="23"/>
        <v>E</v>
      </c>
      <c r="BD2" s="7" t="str">
        <f t="shared" si="23"/>
        <v>E</v>
      </c>
      <c r="BE2" s="7" t="str">
        <f t="shared" si="23"/>
        <v>E</v>
      </c>
      <c r="BF2" s="7" t="str">
        <f t="shared" ref="BF2:BM2" si="25">RIGHT(BF1,1)</f>
        <v>E</v>
      </c>
      <c r="BG2" s="7" t="str">
        <f t="shared" si="25"/>
        <v>E</v>
      </c>
      <c r="BH2" s="7" t="str">
        <f t="shared" si="25"/>
        <v>E</v>
      </c>
      <c r="BI2" s="7" t="str">
        <f t="shared" si="25"/>
        <v>E</v>
      </c>
      <c r="BJ2" s="7" t="str">
        <f t="shared" si="25"/>
        <v>E</v>
      </c>
      <c r="BK2" s="7" t="str">
        <f t="shared" si="25"/>
        <v>E</v>
      </c>
      <c r="BL2" s="7" t="str">
        <f t="shared" si="25"/>
        <v>E</v>
      </c>
      <c r="BM2" s="7" t="str">
        <f t="shared" si="25"/>
        <v>E</v>
      </c>
      <c r="BN2" s="7" t="str">
        <f t="shared" ref="BN2:BO2" si="26">RIGHT(BN1,1)</f>
        <v>E</v>
      </c>
      <c r="BO2" s="7" t="str">
        <f t="shared" si="26"/>
        <v>E</v>
      </c>
      <c r="BP2" s="7" t="str">
        <f t="shared" ref="BP2:BQ2" si="27">RIGHT(BP1,1)</f>
        <v>E</v>
      </c>
      <c r="BQ2" s="7" t="str">
        <f t="shared" si="27"/>
        <v>E</v>
      </c>
      <c r="BR2" s="7"/>
      <c r="BS2" s="7" t="str">
        <f t="shared" ref="BS2:CB2" si="28">RIGHT(BS1,1)</f>
        <v>A</v>
      </c>
      <c r="BT2" s="7" t="str">
        <f t="shared" si="28"/>
        <v>A</v>
      </c>
      <c r="BU2" s="7" t="str">
        <f t="shared" si="28"/>
        <v>A</v>
      </c>
      <c r="BV2" s="7" t="str">
        <f t="shared" si="28"/>
        <v>A</v>
      </c>
      <c r="BW2" s="7" t="str">
        <f t="shared" si="28"/>
        <v>A</v>
      </c>
      <c r="BX2" s="7" t="str">
        <f t="shared" si="28"/>
        <v>A</v>
      </c>
      <c r="BY2" s="7" t="str">
        <f t="shared" si="28"/>
        <v>A</v>
      </c>
      <c r="BZ2" s="7" t="str">
        <f t="shared" si="28"/>
        <v>A</v>
      </c>
      <c r="CA2" s="7" t="str">
        <f t="shared" si="28"/>
        <v>A</v>
      </c>
      <c r="CB2" s="7" t="str">
        <f t="shared" si="28"/>
        <v>A</v>
      </c>
      <c r="CC2" s="7" t="str">
        <f t="shared" ref="CC2:CP2" si="29">RIGHT(CC1,1)</f>
        <v>A</v>
      </c>
      <c r="CD2" s="7" t="str">
        <f t="shared" si="29"/>
        <v>A</v>
      </c>
      <c r="CE2" s="7" t="str">
        <f t="shared" si="29"/>
        <v>A</v>
      </c>
      <c r="CF2" s="7" t="str">
        <f t="shared" si="29"/>
        <v>A</v>
      </c>
      <c r="CG2" s="7" t="str">
        <f t="shared" si="29"/>
        <v>A</v>
      </c>
      <c r="CH2" s="7" t="str">
        <f t="shared" si="29"/>
        <v>A</v>
      </c>
      <c r="CI2" s="7" t="str">
        <f t="shared" si="29"/>
        <v>A</v>
      </c>
      <c r="CJ2" s="7" t="str">
        <f t="shared" si="29"/>
        <v>A</v>
      </c>
      <c r="CK2" s="7" t="str">
        <f t="shared" si="29"/>
        <v>A</v>
      </c>
      <c r="CL2" s="7" t="str">
        <f t="shared" si="29"/>
        <v>A</v>
      </c>
      <c r="CM2" s="7" t="str">
        <f t="shared" si="29"/>
        <v>A</v>
      </c>
      <c r="CN2" s="7" t="str">
        <f t="shared" si="29"/>
        <v>A</v>
      </c>
      <c r="CO2" s="7" t="str">
        <f t="shared" si="29"/>
        <v>A</v>
      </c>
      <c r="CP2" s="7" t="str">
        <f t="shared" si="29"/>
        <v>A</v>
      </c>
      <c r="CQ2" s="7" t="str">
        <f t="shared" ref="CQ2:CU2" si="30">RIGHT(CQ1,1)</f>
        <v>A</v>
      </c>
      <c r="CR2" s="7" t="str">
        <f t="shared" si="30"/>
        <v>A</v>
      </c>
      <c r="CS2" s="7" t="str">
        <f t="shared" si="30"/>
        <v>A</v>
      </c>
      <c r="CT2" s="7" t="str">
        <f>RIGHT(CT1,1)</f>
        <v>A</v>
      </c>
      <c r="CU2" s="7" t="str">
        <f t="shared" si="30"/>
        <v>A</v>
      </c>
      <c r="CV2" s="7" t="str">
        <f t="shared" ref="CV2:CW2" si="31">RIGHT(CV1,1)</f>
        <v>A</v>
      </c>
      <c r="CW2" s="7" t="str">
        <f t="shared" si="31"/>
        <v>A</v>
      </c>
      <c r="CX2" s="7" t="str">
        <f t="shared" ref="CX2:CY2" si="32">RIGHT(CX1,1)</f>
        <v>A</v>
      </c>
      <c r="CY2" s="7" t="str">
        <f t="shared" si="32"/>
        <v>A</v>
      </c>
      <c r="CZ2" s="8" t="str">
        <f t="shared" ref="CZ2:DD2" si="33">RIGHT(CZ1,1)</f>
        <v>A</v>
      </c>
      <c r="DA2" s="7" t="str">
        <f t="shared" si="33"/>
        <v>E</v>
      </c>
      <c r="DB2" s="7" t="str">
        <f t="shared" si="33"/>
        <v>E</v>
      </c>
      <c r="DC2" s="7" t="str">
        <f t="shared" si="33"/>
        <v>E</v>
      </c>
      <c r="DD2" s="7" t="str">
        <f t="shared" si="33"/>
        <v>E</v>
      </c>
      <c r="DE2" s="7" t="str">
        <f>RIGHT(DE1,1)</f>
        <v>E</v>
      </c>
      <c r="DF2" s="7" t="str">
        <f>RIGHT(DF1,1)</f>
        <v>E</v>
      </c>
      <c r="DG2" s="7" t="str">
        <f>RIGHT(DG1,1)</f>
        <v>E</v>
      </c>
      <c r="DH2" s="7" t="str">
        <f>RIGHT(DH1,1)</f>
        <v>E</v>
      </c>
      <c r="DI2" s="7" t="str">
        <f>RIGHT(DI1,1)</f>
        <v>E</v>
      </c>
    </row>
    <row r="3" spans="1:113" s="5" customFormat="1">
      <c r="A3" s="1"/>
      <c r="B3" s="6" t="s">
        <v>644</v>
      </c>
      <c r="C3" s="7">
        <f>IF(LEFT(C1,1)="1",DATE(MID(C1,3,2)+1999,12,31),DATE(MID(C1,3,2)+2000,6,30))</f>
        <v>37072</v>
      </c>
      <c r="D3" s="7">
        <f t="shared" ref="D3:L3" si="34">IF(LEFT(D1,1)="1",DATE(MID(D1,3,2)+1999,12,31),DATE(MID(D1,3,2)+2000,6,30))</f>
        <v>37256</v>
      </c>
      <c r="E3" s="7">
        <f t="shared" si="34"/>
        <v>37437</v>
      </c>
      <c r="F3" s="7">
        <f t="shared" si="34"/>
        <v>37621</v>
      </c>
      <c r="G3" s="7">
        <f t="shared" si="34"/>
        <v>37802</v>
      </c>
      <c r="H3" s="7">
        <f t="shared" si="34"/>
        <v>37986</v>
      </c>
      <c r="I3" s="7">
        <f t="shared" si="34"/>
        <v>38168</v>
      </c>
      <c r="J3" s="7">
        <f t="shared" si="34"/>
        <v>38352</v>
      </c>
      <c r="K3" s="7">
        <f t="shared" si="34"/>
        <v>38533</v>
      </c>
      <c r="L3" s="7">
        <f t="shared" si="34"/>
        <v>38717</v>
      </c>
      <c r="M3" s="7">
        <f t="shared" ref="M3:AG3" si="35">IF(LEFT(M1,1)="1",DATE(MID(M1,3,2)+1999,12,31),DATE(MID(M1,3,2)+2000,6,30))</f>
        <v>38898</v>
      </c>
      <c r="N3" s="7">
        <f t="shared" si="35"/>
        <v>39082</v>
      </c>
      <c r="O3" s="7">
        <f t="shared" si="35"/>
        <v>39263</v>
      </c>
      <c r="P3" s="7">
        <f t="shared" si="35"/>
        <v>39447</v>
      </c>
      <c r="Q3" s="7">
        <f t="shared" si="35"/>
        <v>39629</v>
      </c>
      <c r="R3" s="7">
        <f t="shared" si="35"/>
        <v>39813</v>
      </c>
      <c r="S3" s="7">
        <f t="shared" si="35"/>
        <v>39994</v>
      </c>
      <c r="T3" s="7">
        <f t="shared" si="35"/>
        <v>40178</v>
      </c>
      <c r="U3" s="7">
        <f t="shared" si="35"/>
        <v>40359</v>
      </c>
      <c r="V3" s="7">
        <f t="shared" si="35"/>
        <v>40543</v>
      </c>
      <c r="W3" s="7">
        <f t="shared" si="35"/>
        <v>40724</v>
      </c>
      <c r="X3" s="7">
        <f t="shared" si="35"/>
        <v>40908</v>
      </c>
      <c r="Y3" s="7">
        <f t="shared" si="35"/>
        <v>41090</v>
      </c>
      <c r="Z3" s="7">
        <f>IF(LEFT(Z1,1)="1",DATE(MID(Z1,3,2)+1999,12,31),DATE(MID(Z1,3,2)+2000,6,30))</f>
        <v>41274</v>
      </c>
      <c r="AA3" s="7">
        <f t="shared" si="35"/>
        <v>41455</v>
      </c>
      <c r="AB3" s="7">
        <f t="shared" si="35"/>
        <v>41639</v>
      </c>
      <c r="AC3" s="7">
        <f t="shared" si="35"/>
        <v>41820</v>
      </c>
      <c r="AD3" s="7">
        <f t="shared" si="35"/>
        <v>42004</v>
      </c>
      <c r="AE3" s="7">
        <f t="shared" si="35"/>
        <v>42185</v>
      </c>
      <c r="AF3" s="7">
        <f>IF(LEFT(AF1,1)="1",DATE(MID(AF1,3,2)+1999,12,31),DATE(MID(AF1,3,2)+2000,6,30))</f>
        <v>42369</v>
      </c>
      <c r="AG3" s="7">
        <f t="shared" si="35"/>
        <v>42551</v>
      </c>
      <c r="AH3" s="7">
        <f t="shared" ref="AH3:AM3" si="36">IF(LEFT(AH1,1)="1",DATE(MID(AH1,3,2)+1999,12,31),DATE(MID(AH1,3,2)+2000,6,30))</f>
        <v>42735</v>
      </c>
      <c r="AI3" s="7">
        <f t="shared" si="36"/>
        <v>42916</v>
      </c>
      <c r="AJ3" s="7">
        <f t="shared" si="36"/>
        <v>43100</v>
      </c>
      <c r="AK3" s="7">
        <f t="shared" si="36"/>
        <v>43281</v>
      </c>
      <c r="AL3" s="7">
        <f t="shared" si="36"/>
        <v>43465</v>
      </c>
      <c r="AM3" s="7">
        <f t="shared" si="36"/>
        <v>43646</v>
      </c>
      <c r="AN3" s="7">
        <f t="shared" ref="AN3:AS3" si="37">IF(LEFT(AN1,1)="1",DATE(MID(AN1,3,2)+1999,12,31),DATE(MID(AN1,3,2)+2000,6,30))</f>
        <v>43830</v>
      </c>
      <c r="AO3" s="7">
        <f t="shared" si="37"/>
        <v>44012</v>
      </c>
      <c r="AP3" s="7">
        <f>IF(LEFT(AP1,1)="1",DATE(MID(AP1,3,2)+1999,12,31),DATE(MID(AP1,3,2)+2000,6,30))</f>
        <v>44196</v>
      </c>
      <c r="AQ3" s="7">
        <f t="shared" si="37"/>
        <v>44377</v>
      </c>
      <c r="AR3" s="7">
        <f t="shared" si="37"/>
        <v>44561</v>
      </c>
      <c r="AS3" s="7">
        <f t="shared" si="37"/>
        <v>44742</v>
      </c>
      <c r="AT3" s="7">
        <f t="shared" ref="AT3:AU3" si="38">IF(LEFT(AT1,1)="1",DATE(MID(AT1,3,2)+1999,12,31),DATE(MID(AT1,3,2)+2000,6,30))</f>
        <v>44926</v>
      </c>
      <c r="AU3" s="7">
        <f t="shared" si="38"/>
        <v>45107</v>
      </c>
      <c r="AV3" s="7">
        <f t="shared" ref="AV3:AW3" si="39">IF(LEFT(AV1,1)="1",DATE(MID(AV1,3,2)+1999,12,31),DATE(MID(AV1,3,2)+2000,6,30))</f>
        <v>45291</v>
      </c>
      <c r="AW3" s="7">
        <f t="shared" si="39"/>
        <v>45473</v>
      </c>
      <c r="AX3" s="7">
        <f t="shared" ref="AX3" si="40">IF(LEFT(AX1,1)="1",DATE(MID(AX1,3,2)+1999,12,31),DATE(MID(AX1,3,2)+2000,6,30))</f>
        <v>45657</v>
      </c>
      <c r="AY3" s="7">
        <f t="shared" ref="AY3:BE3" si="41">IF(LEFT(AY1,1)="1",DATE(MID(AY1,3,2)+1999,12,31),DATE(MID(AY1,3,2)+2000,6,30))</f>
        <v>45838</v>
      </c>
      <c r="AZ3" s="8">
        <f t="shared" si="41"/>
        <v>46022</v>
      </c>
      <c r="BA3" s="7">
        <f t="shared" si="41"/>
        <v>46203</v>
      </c>
      <c r="BB3" s="7">
        <f t="shared" si="41"/>
        <v>46387</v>
      </c>
      <c r="BC3" s="7">
        <f t="shared" si="41"/>
        <v>46568</v>
      </c>
      <c r="BD3" s="7">
        <f t="shared" si="41"/>
        <v>46752</v>
      </c>
      <c r="BE3" s="7">
        <f t="shared" si="41"/>
        <v>46934</v>
      </c>
      <c r="BF3" s="7">
        <f t="shared" ref="BF3:BM3" si="42">IF(LEFT(BF1,1)="1",DATE(MID(BF1,3,2)+1999,12,31),DATE(MID(BF1,3,2)+2000,6,30))</f>
        <v>47118</v>
      </c>
      <c r="BG3" s="7">
        <f t="shared" si="42"/>
        <v>47299</v>
      </c>
      <c r="BH3" s="7">
        <f t="shared" si="42"/>
        <v>47483</v>
      </c>
      <c r="BI3" s="7">
        <f t="shared" si="42"/>
        <v>47664</v>
      </c>
      <c r="BJ3" s="7">
        <f t="shared" si="42"/>
        <v>47848</v>
      </c>
      <c r="BK3" s="7">
        <f t="shared" si="42"/>
        <v>48029</v>
      </c>
      <c r="BL3" s="7">
        <f t="shared" si="42"/>
        <v>48213</v>
      </c>
      <c r="BM3" s="7">
        <f t="shared" si="42"/>
        <v>48395</v>
      </c>
      <c r="BN3" s="7">
        <f t="shared" ref="BN3:BO3" si="43">IF(LEFT(BN1,1)="1",DATE(MID(BN1,3,2)+1999,12,31),DATE(MID(BN1,3,2)+2000,6,30))</f>
        <v>48579</v>
      </c>
      <c r="BO3" s="7">
        <f t="shared" si="43"/>
        <v>48760</v>
      </c>
      <c r="BP3" s="7">
        <f t="shared" ref="BP3:BQ3" si="44">IF(LEFT(BP1,1)="1",DATE(MID(BP1,3,2)+1999,12,31),DATE(MID(BP1,3,2)+2000,6,30))</f>
        <v>48944</v>
      </c>
      <c r="BQ3" s="7">
        <f t="shared" si="44"/>
        <v>49125</v>
      </c>
      <c r="BR3" s="10"/>
      <c r="BS3" s="7">
        <f t="shared" ref="BS3:BY3" si="45">IF(LEFT(BS1,1)="1",DATE(MID(BS1,3,2)+1899,3,12),DATE(MID(BS1,3,2)+1900,6,30))</f>
        <v>33785</v>
      </c>
      <c r="BT3" s="7">
        <f t="shared" si="45"/>
        <v>34150</v>
      </c>
      <c r="BU3" s="7">
        <f t="shared" si="45"/>
        <v>34515</v>
      </c>
      <c r="BV3" s="7">
        <f t="shared" si="45"/>
        <v>34880</v>
      </c>
      <c r="BW3" s="7">
        <f t="shared" si="45"/>
        <v>35246</v>
      </c>
      <c r="BX3" s="7">
        <f t="shared" si="45"/>
        <v>35611</v>
      </c>
      <c r="BY3" s="7">
        <f t="shared" si="45"/>
        <v>35976</v>
      </c>
      <c r="BZ3" s="7">
        <f>IF(LEFT(BZ1,1)="1",DATE(MID(BZ1,3,2)+1899,3,12),DATE(MID(BZ1,3,2)+1900,6,30))</f>
        <v>36341</v>
      </c>
      <c r="CA3" s="7">
        <f>IF(LEFT(CA1,1)="1",DATE(MID(CA1,3,2)+1999,12,31),DATE(MID(CA1,3,2)+2000,6,30))</f>
        <v>36707</v>
      </c>
      <c r="CB3" s="7">
        <f>IF(LEFT(CB1,1)="1",DATE(MID(CB1,3,2)+1999,12,31),DATE(MID(CB1,3,2)+2000,6,30))</f>
        <v>37072</v>
      </c>
      <c r="CC3" s="7">
        <f t="shared" ref="CC3:CP3" si="46">IF(LEFT(CC1,1)="1",DATE(MID(CC1,3,2)+1999,12,31),DATE(MID(CC1,3,2)+2000,6,30))</f>
        <v>37437</v>
      </c>
      <c r="CD3" s="7">
        <f t="shared" si="46"/>
        <v>37802</v>
      </c>
      <c r="CE3" s="7">
        <f t="shared" si="46"/>
        <v>38168</v>
      </c>
      <c r="CF3" s="7">
        <f t="shared" si="46"/>
        <v>38533</v>
      </c>
      <c r="CG3" s="7">
        <f t="shared" si="46"/>
        <v>38898</v>
      </c>
      <c r="CH3" s="7">
        <f t="shared" si="46"/>
        <v>39263</v>
      </c>
      <c r="CI3" s="7">
        <f t="shared" si="46"/>
        <v>39629</v>
      </c>
      <c r="CJ3" s="7">
        <f t="shared" si="46"/>
        <v>39994</v>
      </c>
      <c r="CK3" s="7">
        <f t="shared" si="46"/>
        <v>40359</v>
      </c>
      <c r="CL3" s="7">
        <f t="shared" si="46"/>
        <v>40724</v>
      </c>
      <c r="CM3" s="7">
        <f t="shared" si="46"/>
        <v>41090</v>
      </c>
      <c r="CN3" s="7">
        <f t="shared" si="46"/>
        <v>41455</v>
      </c>
      <c r="CO3" s="7">
        <f t="shared" si="46"/>
        <v>41820</v>
      </c>
      <c r="CP3" s="7">
        <f t="shared" si="46"/>
        <v>42185</v>
      </c>
      <c r="CQ3" s="7">
        <f t="shared" ref="CQ3:CU3" si="47">IF(LEFT(CQ1,1)="1",DATE(MID(CQ1,3,2)+1999,12,31),DATE(MID(CQ1,3,2)+2000,6,30))</f>
        <v>42551</v>
      </c>
      <c r="CR3" s="7">
        <f t="shared" si="47"/>
        <v>42916</v>
      </c>
      <c r="CS3" s="7">
        <f t="shared" si="47"/>
        <v>43281</v>
      </c>
      <c r="CT3" s="7">
        <f>IF(LEFT(CT1,1)="1",DATE(MID(CT1,3,2)+1999,12,31),DATE(MID(CT1,3,2)+2000,6,30))</f>
        <v>43646</v>
      </c>
      <c r="CU3" s="7">
        <f t="shared" si="47"/>
        <v>44012</v>
      </c>
      <c r="CV3" s="7">
        <f t="shared" ref="CV3:CW3" si="48">IF(LEFT(CV1,1)="1",DATE(MID(CV1,3,2)+1999,12,31),DATE(MID(CV1,3,2)+2000,6,30))</f>
        <v>44377</v>
      </c>
      <c r="CW3" s="7">
        <f t="shared" si="48"/>
        <v>44742</v>
      </c>
      <c r="CX3" s="7">
        <f t="shared" ref="CX3:CY3" si="49">IF(LEFT(CX1,1)="1",DATE(MID(CX1,3,2)+1999,12,31),DATE(MID(CX1,3,2)+2000,6,30))</f>
        <v>45107</v>
      </c>
      <c r="CY3" s="7">
        <f t="shared" si="49"/>
        <v>45473</v>
      </c>
      <c r="CZ3" s="8">
        <f t="shared" ref="CZ3:DE3" si="50">IF(LEFT(CZ1,1)="1",DATE(MID(CZ1,3,2)+1999,12,31),DATE(MID(CZ1,3,2)+2000,6,30))</f>
        <v>45838</v>
      </c>
      <c r="DA3" s="7">
        <f t="shared" si="50"/>
        <v>46203</v>
      </c>
      <c r="DB3" s="7">
        <f t="shared" si="50"/>
        <v>46568</v>
      </c>
      <c r="DC3" s="7">
        <f t="shared" si="50"/>
        <v>46934</v>
      </c>
      <c r="DD3" s="7">
        <f t="shared" si="50"/>
        <v>47299</v>
      </c>
      <c r="DE3" s="7">
        <f t="shared" si="50"/>
        <v>47664</v>
      </c>
      <c r="DF3" s="7">
        <f t="shared" ref="DF3:DG3" si="51">IF(LEFT(DF1,1)="1",DATE(MID(DF1,3,2)+1999,12,31),DATE(MID(DF1,3,2)+2000,6,30))</f>
        <v>48029</v>
      </c>
      <c r="DG3" s="7">
        <f t="shared" si="51"/>
        <v>48395</v>
      </c>
      <c r="DH3" s="7">
        <f t="shared" ref="DH3" si="52">IF(LEFT(DH1,1)="1",DATE(MID(DH1,3,2)+1999,12,31),DATE(MID(DH1,3,2)+2000,6,30))</f>
        <v>48760</v>
      </c>
      <c r="DI3" s="7">
        <f t="shared" ref="DI3" si="53">IF(LEFT(DI1,1)="1",DATE(MID(DI1,3,2)+1999,12,31),DATE(MID(DI1,3,2)+2000,6,30))</f>
        <v>49125</v>
      </c>
    </row>
    <row r="4" spans="1:113" s="5" customFormat="1">
      <c r="A4" s="1"/>
      <c r="B4" s="6" t="s">
        <v>537</v>
      </c>
      <c r="C4" s="11"/>
      <c r="D4" s="11" t="str">
        <f t="shared" ref="D4:L4" si="54">IF(AND(D325="Ok",D391="Ok",D639="Ok",D725="Ok"),"Ok","Error")</f>
        <v>Ok</v>
      </c>
      <c r="E4" s="11" t="str">
        <f t="shared" si="54"/>
        <v>Ok</v>
      </c>
      <c r="F4" s="11" t="str">
        <f t="shared" si="54"/>
        <v>Ok</v>
      </c>
      <c r="G4" s="11" t="str">
        <f t="shared" si="54"/>
        <v>Ok</v>
      </c>
      <c r="H4" s="11" t="str">
        <f t="shared" si="54"/>
        <v>Ok</v>
      </c>
      <c r="I4" s="11" t="str">
        <f t="shared" si="54"/>
        <v>Ok</v>
      </c>
      <c r="J4" s="11" t="str">
        <f t="shared" si="54"/>
        <v>Ok</v>
      </c>
      <c r="K4" s="11" t="str">
        <f>IF(AND(K325="Ok",K391="Ok",K639="Ok",K725="Ok"),"Ok","Error")</f>
        <v>Ok</v>
      </c>
      <c r="L4" s="11" t="str">
        <f t="shared" si="54"/>
        <v>Ok</v>
      </c>
      <c r="M4" s="11" t="str">
        <f t="shared" ref="M4:AG4" si="55">IF(AND(M325="Ok",M391="Ok",M639="Ok",M725="Ok"),"Ok","Error")</f>
        <v>Ok</v>
      </c>
      <c r="N4" s="11" t="str">
        <f t="shared" si="55"/>
        <v>Ok</v>
      </c>
      <c r="O4" s="11" t="str">
        <f t="shared" si="55"/>
        <v>Ok</v>
      </c>
      <c r="P4" s="11" t="str">
        <f t="shared" si="55"/>
        <v>Ok</v>
      </c>
      <c r="Q4" s="11" t="str">
        <f t="shared" si="55"/>
        <v>Ok</v>
      </c>
      <c r="R4" s="11" t="str">
        <f t="shared" si="55"/>
        <v>Ok</v>
      </c>
      <c r="S4" s="11" t="str">
        <f t="shared" si="55"/>
        <v>Ok</v>
      </c>
      <c r="T4" s="11" t="str">
        <f t="shared" si="55"/>
        <v>Ok</v>
      </c>
      <c r="U4" s="11" t="str">
        <f t="shared" si="55"/>
        <v>Ok</v>
      </c>
      <c r="V4" s="11" t="str">
        <f t="shared" si="55"/>
        <v>Ok</v>
      </c>
      <c r="W4" s="11" t="str">
        <f t="shared" si="55"/>
        <v>Ok</v>
      </c>
      <c r="X4" s="11" t="str">
        <f t="shared" si="55"/>
        <v>Ok</v>
      </c>
      <c r="Y4" s="11" t="str">
        <f t="shared" si="55"/>
        <v>Ok</v>
      </c>
      <c r="Z4" s="11" t="str">
        <f>IF(AND(Z325="Ok",Z391="Ok",Z639="Ok",Z725="Ok"),"Ok","Error")</f>
        <v>Ok</v>
      </c>
      <c r="AA4" s="11" t="str">
        <f t="shared" si="55"/>
        <v>Ok</v>
      </c>
      <c r="AB4" s="11" t="str">
        <f t="shared" si="55"/>
        <v>Ok</v>
      </c>
      <c r="AC4" s="11" t="str">
        <f t="shared" si="55"/>
        <v>Ok</v>
      </c>
      <c r="AD4" s="11" t="str">
        <f t="shared" si="55"/>
        <v>Ok</v>
      </c>
      <c r="AE4" s="11" t="str">
        <f t="shared" si="55"/>
        <v>Ok</v>
      </c>
      <c r="AF4" s="11" t="str">
        <f>IF(AND(AF325="Ok",AF391="Ok",AF639="Ok",AF725="Ok"),"Ok","Error")</f>
        <v>Ok</v>
      </c>
      <c r="AG4" s="11" t="str">
        <f t="shared" si="55"/>
        <v>Ok</v>
      </c>
      <c r="AH4" s="11" t="str">
        <f t="shared" ref="AH4:AM4" si="56">IF(AND(AH325="Ok",AH391="Ok",AH639="Ok",AH725="Ok"),"Ok","Error")</f>
        <v>Ok</v>
      </c>
      <c r="AI4" s="11" t="str">
        <f t="shared" si="56"/>
        <v>Ok</v>
      </c>
      <c r="AJ4" s="11" t="str">
        <f t="shared" si="56"/>
        <v>Ok</v>
      </c>
      <c r="AK4" s="11" t="str">
        <f t="shared" si="56"/>
        <v>Ok</v>
      </c>
      <c r="AL4" s="11" t="str">
        <f t="shared" si="56"/>
        <v>Ok</v>
      </c>
      <c r="AM4" s="11" t="str">
        <f t="shared" si="56"/>
        <v>Ok</v>
      </c>
      <c r="AN4" s="11" t="str">
        <f t="shared" ref="AN4:AS4" si="57">IF(AND(AN325="Ok",AN391="Ok",AN639="Ok",AN725="Ok"),"Ok","Error")</f>
        <v>Ok</v>
      </c>
      <c r="AO4" s="11" t="str">
        <f t="shared" si="57"/>
        <v>Ok</v>
      </c>
      <c r="AP4" s="11" t="str">
        <f t="shared" si="57"/>
        <v>Ok</v>
      </c>
      <c r="AQ4" s="11" t="str">
        <f t="shared" si="57"/>
        <v>Ok</v>
      </c>
      <c r="AR4" s="11" t="str">
        <f t="shared" si="57"/>
        <v>Ok</v>
      </c>
      <c r="AS4" s="11" t="str">
        <f t="shared" si="57"/>
        <v>Ok</v>
      </c>
      <c r="AT4" s="11" t="str">
        <f t="shared" ref="AT4:AU4" si="58">IF(AND(AT325="Ok",AT391="Ok",AT639="Ok",AT725="Ok"),"Ok","Error")</f>
        <v>Ok</v>
      </c>
      <c r="AU4" s="11" t="str">
        <f t="shared" si="58"/>
        <v>Ok</v>
      </c>
      <c r="AV4" s="11" t="str">
        <f t="shared" ref="AV4:AW4" si="59">IF(AND(AV325="Ok",AV391="Ok",AV639="Ok",AV725="Ok"),"Ok","Error")</f>
        <v>Ok</v>
      </c>
      <c r="AW4" s="11" t="str">
        <f t="shared" si="59"/>
        <v>Ok</v>
      </c>
      <c r="AX4" s="11" t="str">
        <f t="shared" ref="AX4" si="60">IF(AND(AX325="Ok",AX391="Ok",AX639="Ok",AX725="Ok"),"Ok","Error")</f>
        <v>Ok</v>
      </c>
      <c r="AY4" s="11" t="str">
        <f t="shared" ref="AY4:BE4" si="61">IF(AND(AY325="Ok",AY391="Ok",AY639="Ok",AY725="Ok"),"Ok","Error")</f>
        <v>Ok</v>
      </c>
      <c r="AZ4" s="12" t="str">
        <f t="shared" si="61"/>
        <v>Ok</v>
      </c>
      <c r="BA4" s="11" t="str">
        <f t="shared" si="61"/>
        <v>Ok</v>
      </c>
      <c r="BB4" s="11" t="str">
        <f t="shared" si="61"/>
        <v>Ok</v>
      </c>
      <c r="BC4" s="11" t="str">
        <f t="shared" si="61"/>
        <v>Ok</v>
      </c>
      <c r="BD4" s="11" t="str">
        <f t="shared" si="61"/>
        <v>Ok</v>
      </c>
      <c r="BE4" s="11" t="str">
        <f t="shared" si="61"/>
        <v>Ok</v>
      </c>
      <c r="BF4" s="11" t="str">
        <f t="shared" ref="BF4:BM4" si="62">IF(AND(BF325="Ok",BF391="Ok",BF639="Ok",BF725="Ok"),"Ok","Error")</f>
        <v>Ok</v>
      </c>
      <c r="BG4" s="11" t="str">
        <f t="shared" si="62"/>
        <v>Ok</v>
      </c>
      <c r="BH4" s="11" t="str">
        <f t="shared" si="62"/>
        <v>Ok</v>
      </c>
      <c r="BI4" s="11" t="str">
        <f t="shared" si="62"/>
        <v>Ok</v>
      </c>
      <c r="BJ4" s="11" t="str">
        <f t="shared" si="62"/>
        <v>Ok</v>
      </c>
      <c r="BK4" s="11" t="str">
        <f t="shared" si="62"/>
        <v>Ok</v>
      </c>
      <c r="BL4" s="11" t="str">
        <f t="shared" si="62"/>
        <v>Ok</v>
      </c>
      <c r="BM4" s="11" t="str">
        <f t="shared" si="62"/>
        <v>Ok</v>
      </c>
      <c r="BN4" s="11" t="str">
        <f t="shared" ref="BN4:BO4" si="63">IF(AND(BN325="Ok",BN391="Ok",BN639="Ok",BN725="Ok"),"Ok","Error")</f>
        <v>Ok</v>
      </c>
      <c r="BO4" s="11" t="str">
        <f t="shared" si="63"/>
        <v>Ok</v>
      </c>
      <c r="BP4" s="11" t="str">
        <f t="shared" ref="BP4:BQ4" si="64">IF(AND(BP325="Ok",BP391="Ok",BP639="Ok",BP725="Ok"),"Ok","Error")</f>
        <v>Ok</v>
      </c>
      <c r="BQ4" s="11" t="str">
        <f t="shared" si="64"/>
        <v>Ok</v>
      </c>
      <c r="BR4" s="13"/>
      <c r="BS4" s="11"/>
      <c r="BT4" s="11" t="str">
        <f>IF(AND(BT325="Ok",BT391="Ok",BT639="Ok",BT725="Ok"),"Ok","Error")</f>
        <v>Ok</v>
      </c>
      <c r="BU4" s="11" t="str">
        <f t="shared" ref="BU4:DB4" ca="1" si="65">IF(AND(BU325="Ok",BU391="Ok",BU639="Ok",BU655="Ok",BU725="Ok"),"Ok","Error")</f>
        <v>Ok</v>
      </c>
      <c r="BV4" s="11" t="str">
        <f t="shared" ca="1" si="65"/>
        <v>Ok</v>
      </c>
      <c r="BW4" s="11" t="str">
        <f t="shared" ca="1" si="65"/>
        <v>Ok</v>
      </c>
      <c r="BX4" s="11" t="str">
        <f t="shared" ca="1" si="65"/>
        <v>Ok</v>
      </c>
      <c r="BY4" s="11" t="str">
        <f t="shared" ca="1" si="65"/>
        <v>Ok</v>
      </c>
      <c r="BZ4" s="11" t="str">
        <f t="shared" ca="1" si="65"/>
        <v>Ok</v>
      </c>
      <c r="CA4" s="11" t="str">
        <f t="shared" ca="1" si="65"/>
        <v>Ok</v>
      </c>
      <c r="CB4" s="11" t="str">
        <f t="shared" ca="1" si="65"/>
        <v>Ok</v>
      </c>
      <c r="CC4" s="11" t="str">
        <f t="shared" ca="1" si="65"/>
        <v>Ok</v>
      </c>
      <c r="CD4" s="11" t="str">
        <f t="shared" ca="1" si="65"/>
        <v>Ok</v>
      </c>
      <c r="CE4" s="11" t="str">
        <f t="shared" ca="1" si="65"/>
        <v>Ok</v>
      </c>
      <c r="CF4" s="11" t="str">
        <f t="shared" ca="1" si="65"/>
        <v>Ok</v>
      </c>
      <c r="CG4" s="11" t="str">
        <f t="shared" ca="1" si="65"/>
        <v>Ok</v>
      </c>
      <c r="CH4" s="11" t="str">
        <f t="shared" ca="1" si="65"/>
        <v>Ok</v>
      </c>
      <c r="CI4" s="11" t="str">
        <f t="shared" ca="1" si="65"/>
        <v>Ok</v>
      </c>
      <c r="CJ4" s="11" t="str">
        <f t="shared" ca="1" si="65"/>
        <v>Ok</v>
      </c>
      <c r="CK4" s="11" t="str">
        <f t="shared" ca="1" si="65"/>
        <v>Ok</v>
      </c>
      <c r="CL4" s="11" t="str">
        <f t="shared" ca="1" si="65"/>
        <v>Ok</v>
      </c>
      <c r="CM4" s="11" t="str">
        <f t="shared" ca="1" si="65"/>
        <v>Ok</v>
      </c>
      <c r="CN4" s="11" t="str">
        <f t="shared" ca="1" si="65"/>
        <v>Ok</v>
      </c>
      <c r="CO4" s="11" t="str">
        <f t="shared" ca="1" si="65"/>
        <v>Ok</v>
      </c>
      <c r="CP4" s="11" t="str">
        <f t="shared" ca="1" si="65"/>
        <v>Ok</v>
      </c>
      <c r="CQ4" s="11" t="str">
        <f t="shared" ca="1" si="65"/>
        <v>Ok</v>
      </c>
      <c r="CR4" s="11" t="str">
        <f t="shared" ca="1" si="65"/>
        <v>Ok</v>
      </c>
      <c r="CS4" s="11" t="str">
        <f t="shared" ca="1" si="65"/>
        <v>Ok</v>
      </c>
      <c r="CT4" s="11" t="str">
        <f ca="1">IF(AND(CT325="Ok",CT391="Ok",CT639="Ok",CT655="Ok",CT725="Ok"),"Ok","Error")</f>
        <v>Ok</v>
      </c>
      <c r="CU4" s="11" t="str">
        <f t="shared" ca="1" si="65"/>
        <v>Ok</v>
      </c>
      <c r="CV4" s="11" t="str">
        <f t="shared" ref="CV4:CW4" ca="1" si="66">IF(AND(CV325="Ok",CV391="Ok",CV639="Ok",CV655="Ok",CV725="Ok"),"Ok","Error")</f>
        <v>Ok</v>
      </c>
      <c r="CW4" s="11" t="str">
        <f t="shared" ca="1" si="66"/>
        <v>Ok</v>
      </c>
      <c r="CX4" s="11" t="str">
        <f t="shared" ref="CX4:CY4" ca="1" si="67">IF(AND(CX325="Ok",CX391="Ok",CX639="Ok",CX655="Ok",CX725="Ok"),"Ok","Error")</f>
        <v>Ok</v>
      </c>
      <c r="CY4" s="11" t="str">
        <f t="shared" ca="1" si="67"/>
        <v>Ok</v>
      </c>
      <c r="CZ4" s="12" t="str">
        <f t="shared" ca="1" si="65"/>
        <v>Ok</v>
      </c>
      <c r="DA4" s="11" t="str">
        <f t="shared" ca="1" si="65"/>
        <v>Ok</v>
      </c>
      <c r="DB4" s="11" t="str">
        <f t="shared" ca="1" si="65"/>
        <v>Ok</v>
      </c>
      <c r="DC4" s="11" t="str">
        <f t="shared" ref="DC4:DI4" ca="1" si="68">IF(AND(DC325="Ok",DC391="Ok",DC639="Ok",DC655="Ok",DC725="Ok"),"Ok","Error")</f>
        <v>Ok</v>
      </c>
      <c r="DD4" s="11" t="str">
        <f t="shared" ca="1" si="68"/>
        <v>Ok</v>
      </c>
      <c r="DE4" s="11" t="str">
        <f t="shared" ca="1" si="68"/>
        <v>Ok</v>
      </c>
      <c r="DF4" s="11" t="str">
        <f t="shared" ca="1" si="68"/>
        <v>Ok</v>
      </c>
      <c r="DG4" s="11" t="str">
        <f t="shared" ca="1" si="68"/>
        <v>Ok</v>
      </c>
      <c r="DH4" s="11" t="str">
        <f t="shared" ca="1" si="68"/>
        <v>Ok</v>
      </c>
      <c r="DI4" s="11" t="str">
        <f t="shared" ca="1" si="68"/>
        <v>Ok</v>
      </c>
    </row>
    <row r="5" spans="1:113" s="18" customFormat="1">
      <c r="A5" s="1" t="s">
        <v>1015</v>
      </c>
      <c r="B5" s="6" t="s">
        <v>538</v>
      </c>
      <c r="C5" s="14">
        <f>E5</f>
        <v>2.0165745856353592</v>
      </c>
      <c r="D5" s="14">
        <f>IF(LEFT(D$1,1)="2",(D3-A3)/(D3-C3),(E3-C3)/(D3-C3))</f>
        <v>1.9836956521739131</v>
      </c>
      <c r="E5" s="14">
        <f t="shared" ref="E5:L5" si="69">IF(LEFT(E$1,1)="2",(E3-C3)/(E3-D3),(F3-D3)/(E3-D3))</f>
        <v>2.0165745856353592</v>
      </c>
      <c r="F5" s="14">
        <f t="shared" si="69"/>
        <v>1.9836956521739131</v>
      </c>
      <c r="G5" s="14">
        <f t="shared" si="69"/>
        <v>2.0165745856353592</v>
      </c>
      <c r="H5" s="14">
        <f t="shared" si="69"/>
        <v>1.9891304347826086</v>
      </c>
      <c r="I5" s="14">
        <f t="shared" si="69"/>
        <v>2.0109890109890109</v>
      </c>
      <c r="J5" s="14">
        <f t="shared" si="69"/>
        <v>1.9836956521739131</v>
      </c>
      <c r="K5" s="14">
        <f t="shared" si="69"/>
        <v>2.0165745856353592</v>
      </c>
      <c r="L5" s="14">
        <f t="shared" si="69"/>
        <v>1.9836956521739131</v>
      </c>
      <c r="M5" s="14">
        <f t="shared" ref="M5:AD5" si="70">IF(LEFT(M$1,1)="2",(M3-K3)/(M3-L3),(N3-L3)/(M3-L3))</f>
        <v>2.0165745856353592</v>
      </c>
      <c r="N5" s="14">
        <f t="shared" si="70"/>
        <v>1.9836956521739131</v>
      </c>
      <c r="O5" s="14">
        <f t="shared" si="70"/>
        <v>2.0165745856353592</v>
      </c>
      <c r="P5" s="14">
        <f t="shared" si="70"/>
        <v>1.9891304347826086</v>
      </c>
      <c r="Q5" s="14">
        <f t="shared" si="70"/>
        <v>2.0109890109890109</v>
      </c>
      <c r="R5" s="14">
        <f t="shared" si="70"/>
        <v>1.9836956521739131</v>
      </c>
      <c r="S5" s="14">
        <f t="shared" si="70"/>
        <v>2.0165745856353592</v>
      </c>
      <c r="T5" s="14">
        <f t="shared" si="70"/>
        <v>1.9836956521739131</v>
      </c>
      <c r="U5" s="14">
        <f t="shared" si="70"/>
        <v>2.0165745856353592</v>
      </c>
      <c r="V5" s="14">
        <f t="shared" si="70"/>
        <v>1.9836956521739131</v>
      </c>
      <c r="W5" s="14">
        <f t="shared" si="70"/>
        <v>2.0165745856353592</v>
      </c>
      <c r="X5" s="14">
        <f t="shared" si="70"/>
        <v>1.9891304347826086</v>
      </c>
      <c r="Y5" s="14">
        <f t="shared" si="70"/>
        <v>2.0109890109890109</v>
      </c>
      <c r="Z5" s="14">
        <f t="shared" si="70"/>
        <v>1.9836956521739131</v>
      </c>
      <c r="AA5" s="14">
        <f t="shared" si="70"/>
        <v>2.0165745856353592</v>
      </c>
      <c r="AB5" s="14">
        <f t="shared" si="70"/>
        <v>1.9836956521739131</v>
      </c>
      <c r="AC5" s="14">
        <f t="shared" si="70"/>
        <v>2.0165745856353592</v>
      </c>
      <c r="AD5" s="14">
        <f t="shared" si="70"/>
        <v>1.9836956521739131</v>
      </c>
      <c r="AE5" s="14">
        <f t="shared" ref="AE5:AZ5" si="71">IF(LEFT(AE$1,1)="2",(AE3-AC3)/(AE3-AD3),(AF3-AD3)/(AE3-AD3))</f>
        <v>2.0165745856353592</v>
      </c>
      <c r="AF5" s="14">
        <f t="shared" si="71"/>
        <v>1.9891304347826086</v>
      </c>
      <c r="AG5" s="14">
        <f t="shared" si="71"/>
        <v>2.0109890109890109</v>
      </c>
      <c r="AH5" s="14">
        <f t="shared" si="71"/>
        <v>1.9836956521739131</v>
      </c>
      <c r="AI5" s="14">
        <f t="shared" si="71"/>
        <v>2.0165745856353592</v>
      </c>
      <c r="AJ5" s="14">
        <f t="shared" si="71"/>
        <v>1.9836956521739131</v>
      </c>
      <c r="AK5" s="14">
        <f t="shared" ref="AK5:AX5" si="72">IF(LEFT(AK$1,1)="2",(AK3-AI3)/(AK3-AJ3),(AL3-AJ3)/(AK3-AJ3))</f>
        <v>2.0165745856353592</v>
      </c>
      <c r="AL5" s="14">
        <f t="shared" si="72"/>
        <v>1.9836956521739131</v>
      </c>
      <c r="AM5" s="14">
        <f t="shared" si="72"/>
        <v>2.0165745856353592</v>
      </c>
      <c r="AN5" s="14">
        <f t="shared" si="72"/>
        <v>1.9891304347826086</v>
      </c>
      <c r="AO5" s="14">
        <f t="shared" si="72"/>
        <v>2.0109890109890109</v>
      </c>
      <c r="AP5" s="14">
        <f t="shared" si="72"/>
        <v>1.9836956521739131</v>
      </c>
      <c r="AQ5" s="14">
        <f t="shared" si="72"/>
        <v>2.0165745856353592</v>
      </c>
      <c r="AR5" s="14">
        <f t="shared" si="72"/>
        <v>1.9836956521739131</v>
      </c>
      <c r="AS5" s="14">
        <f t="shared" si="72"/>
        <v>2.0165745856353592</v>
      </c>
      <c r="AT5" s="14">
        <f t="shared" si="72"/>
        <v>1.9836956521739131</v>
      </c>
      <c r="AU5" s="14">
        <f t="shared" si="72"/>
        <v>2.0165745856353592</v>
      </c>
      <c r="AV5" s="14">
        <f t="shared" si="72"/>
        <v>1.9891304347826086</v>
      </c>
      <c r="AW5" s="14">
        <f t="shared" si="72"/>
        <v>2.0109890109890109</v>
      </c>
      <c r="AX5" s="14">
        <f t="shared" si="72"/>
        <v>1.9836956521739131</v>
      </c>
      <c r="AY5" s="14">
        <f t="shared" si="71"/>
        <v>2.0165745856353592</v>
      </c>
      <c r="AZ5" s="15">
        <f t="shared" si="71"/>
        <v>1.9836956521739131</v>
      </c>
      <c r="BA5" s="14">
        <f>IF(LEFT(BA$1,1)="2",(BA3-AY3)/(BA3-AZ3),(BR3-AZ3)/(BA3-AZ3))</f>
        <v>2.0165745856353592</v>
      </c>
      <c r="BB5" s="14">
        <f>IF(LEFT(BB$1,1)="2",(BB3-AZ3)/(BB3-BA3),(BC3-BA3)/(BB3-BA3))</f>
        <v>1.9836956521739131</v>
      </c>
      <c r="BC5" s="14">
        <f>IF(LEFT(BC$1,1)="2",(BC3-BA3)/(BC3-BB3),(BT3-BB3)/(BC3-BB3))</f>
        <v>2.0165745856353592</v>
      </c>
      <c r="BD5" s="14">
        <f>IF(LEFT(BD$1,1)="2",(BD3-BB3)/(BD3-BC3),(BE3-BC3)/(BD3-BC3))</f>
        <v>1.9891304347826086</v>
      </c>
      <c r="BE5" s="14">
        <f>IF(LEFT(BE$1,1)="2",(BE3-BC3)/(BE3-BD3),(BV3-BD3)/(BE3-BD3))</f>
        <v>2.0109890109890109</v>
      </c>
      <c r="BF5" s="14">
        <f>IF(LEFT(BF$1,1)="2",(BF3-BD3)/(BF3-BE3),(BG3-BE3)/(BF3-BE3))</f>
        <v>1.9836956521739131</v>
      </c>
      <c r="BG5" s="14">
        <f>IF(LEFT(BG$1,1)="2",(BG3-BE3)/(BG3-BF3),(BX3-BF3)/(BG3-BF3))</f>
        <v>2.0165745856353592</v>
      </c>
      <c r="BH5" s="14">
        <f>IF(LEFT(BH$1,1)="2",(BH3-BF3)/(BH3-BG3),(BI3-BG3)/(BH3-BG3))</f>
        <v>1.9836956521739131</v>
      </c>
      <c r="BI5" s="14">
        <f>IF(LEFT(BI$1,1)="2",(BI3-BG3)/(BI3-BH3),(BJ3-BH3)/(BI3-BH3))</f>
        <v>2.0165745856353592</v>
      </c>
      <c r="BJ5" s="14">
        <f>IF(LEFT(BJ$1,1)="2",(BJ3-BH3)/(BJ3-BI3),(BK3-BI3)/(BJ3-BI3))</f>
        <v>1.9836956521739131</v>
      </c>
      <c r="BK5" s="14">
        <f>IF(LEFT(BK$1,1)="2",(BK3-BI3)/(BK3-BJ3),(BR3-BJ3)/(BK3-BJ3))</f>
        <v>2.0165745856353592</v>
      </c>
      <c r="BL5" s="14">
        <f>IF(LEFT(BL$1,1)="2",(BL3-BJ3)/(BL3-BK3),(BM3-BK3)/(BL3-BK3))</f>
        <v>1.9891304347826086</v>
      </c>
      <c r="BM5" s="14">
        <f>IF(LEFT(BM$1,1)="2",(BM3-BK3)/(BM3-BL3),(BR3-BL3)/(BM3-BL3))</f>
        <v>2.0109890109890109</v>
      </c>
      <c r="BN5" s="14">
        <f>IF(LEFT(BN$1,1)="2",(BN3-BL3)/(BN3-BM3),(BO3-BM3)/(BN3-BM3))</f>
        <v>1.9836956521739131</v>
      </c>
      <c r="BO5" s="14">
        <f>IF(LEFT(BO$1,1)="2",(BO3-BM3)/(BO3-BN3),(BT3-BN3)/(BO3-BN3))</f>
        <v>2.0165745856353592</v>
      </c>
      <c r="BP5" s="14">
        <f>IF(LEFT(BP$1,1)="2",(BP3-BN3)/(BP3-BO3),(BQ3-BO3)/(BP3-BO3))</f>
        <v>1.9836956521739131</v>
      </c>
      <c r="BQ5" s="14">
        <f>IF(LEFT(BQ$1,1)="2",(BQ3-BO3)/(BQ3-BP3),(BV3-BP3)/(BQ3-BP3))</f>
        <v>2.0165745856353592</v>
      </c>
      <c r="BR5" s="16"/>
      <c r="BS5" s="14">
        <v>1</v>
      </c>
      <c r="BT5" s="14">
        <v>1</v>
      </c>
      <c r="BU5" s="14">
        <v>1</v>
      </c>
      <c r="BV5" s="14">
        <v>1</v>
      </c>
      <c r="BW5" s="14">
        <v>1</v>
      </c>
      <c r="BX5" s="14">
        <v>1</v>
      </c>
      <c r="BY5" s="14">
        <v>1</v>
      </c>
      <c r="BZ5" s="14">
        <v>1</v>
      </c>
      <c r="CA5" s="14">
        <v>1</v>
      </c>
      <c r="CB5" s="14">
        <v>1</v>
      </c>
      <c r="CC5" s="14">
        <v>1</v>
      </c>
      <c r="CD5" s="14">
        <v>1</v>
      </c>
      <c r="CE5" s="14">
        <v>1</v>
      </c>
      <c r="CF5" s="14">
        <v>1</v>
      </c>
      <c r="CG5" s="14">
        <v>1</v>
      </c>
      <c r="CH5" s="14">
        <v>1</v>
      </c>
      <c r="CI5" s="14">
        <v>1</v>
      </c>
      <c r="CJ5" s="14">
        <v>1</v>
      </c>
      <c r="CK5" s="14">
        <v>1</v>
      </c>
      <c r="CL5" s="14">
        <v>1</v>
      </c>
      <c r="CM5" s="14">
        <v>1</v>
      </c>
      <c r="CN5" s="14">
        <v>1</v>
      </c>
      <c r="CO5" s="14">
        <v>1</v>
      </c>
      <c r="CP5" s="14">
        <v>1</v>
      </c>
      <c r="CQ5" s="14">
        <v>1</v>
      </c>
      <c r="CR5" s="14">
        <v>1</v>
      </c>
      <c r="CS5" s="14">
        <v>1</v>
      </c>
      <c r="CT5" s="14">
        <v>1</v>
      </c>
      <c r="CU5" s="14">
        <v>1</v>
      </c>
      <c r="CV5" s="14">
        <v>1</v>
      </c>
      <c r="CW5" s="14">
        <v>1</v>
      </c>
      <c r="CX5" s="14">
        <v>1</v>
      </c>
      <c r="CY5" s="14">
        <v>1</v>
      </c>
      <c r="CZ5" s="15">
        <v>1</v>
      </c>
      <c r="DA5" s="14">
        <v>1</v>
      </c>
      <c r="DB5" s="14">
        <v>1</v>
      </c>
      <c r="DC5" s="14">
        <v>1</v>
      </c>
      <c r="DD5" s="14">
        <v>1</v>
      </c>
      <c r="DE5" s="14">
        <v>1</v>
      </c>
      <c r="DF5" s="14">
        <v>1</v>
      </c>
      <c r="DG5" s="14">
        <v>1</v>
      </c>
      <c r="DH5" s="14">
        <v>1</v>
      </c>
      <c r="DI5" s="14">
        <v>1</v>
      </c>
    </row>
    <row r="6" spans="1:113" s="18" customFormat="1">
      <c r="A6" s="1"/>
      <c r="B6" s="19"/>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20"/>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20"/>
      <c r="DA6" s="17"/>
      <c r="DB6" s="17"/>
      <c r="DC6" s="17"/>
      <c r="DD6" s="17"/>
      <c r="DE6" s="17"/>
      <c r="DF6" s="17"/>
      <c r="DG6" s="17"/>
      <c r="DH6" s="17"/>
      <c r="DI6" s="17"/>
    </row>
    <row r="7" spans="1:113" s="5" customFormat="1" ht="12" hidden="1" customHeight="1" outlineLevel="3">
      <c r="A7" s="1"/>
      <c r="B7" s="2" t="s">
        <v>539</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4"/>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4"/>
      <c r="DA7" s="3"/>
      <c r="DB7" s="3"/>
      <c r="DC7" s="3"/>
      <c r="DD7" s="3"/>
      <c r="DE7" s="3"/>
      <c r="DF7" s="3"/>
      <c r="DG7" s="3"/>
      <c r="DH7" s="3"/>
      <c r="DI7" s="3"/>
    </row>
    <row r="8" spans="1:113" ht="12" hidden="1" customHeight="1" outlineLevel="3">
      <c r="CZ8" s="22"/>
      <c r="DC8" s="21"/>
      <c r="DD8" s="21"/>
      <c r="DE8" s="21"/>
      <c r="DF8" s="21"/>
      <c r="DG8" s="21"/>
      <c r="DH8" s="21"/>
      <c r="DI8" s="21"/>
    </row>
    <row r="9" spans="1:113" s="24" customFormat="1" ht="12" hidden="1" customHeight="1" outlineLevel="3">
      <c r="A9" s="1"/>
      <c r="B9" s="19" t="s">
        <v>540</v>
      </c>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2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3"/>
      <c r="CM9" s="13"/>
      <c r="CN9" s="13"/>
      <c r="CO9" s="13"/>
      <c r="CP9" s="13"/>
      <c r="CQ9" s="13"/>
      <c r="CR9" s="13"/>
      <c r="CS9" s="13"/>
      <c r="CT9" s="13"/>
      <c r="CU9" s="13"/>
      <c r="CV9" s="13"/>
      <c r="CW9" s="13"/>
      <c r="CX9" s="13"/>
      <c r="CY9" s="13"/>
      <c r="CZ9" s="23"/>
      <c r="DA9" s="13"/>
      <c r="DB9" s="13"/>
      <c r="DC9" s="13"/>
      <c r="DD9" s="13"/>
      <c r="DE9" s="13"/>
      <c r="DF9" s="13"/>
      <c r="DG9" s="13"/>
      <c r="DH9" s="13"/>
      <c r="DI9" s="13"/>
    </row>
    <row r="10" spans="1:113" s="28" customFormat="1" ht="12" hidden="1" customHeight="1" outlineLevel="3">
      <c r="A10" s="1"/>
      <c r="B10" s="25" t="s">
        <v>304</v>
      </c>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6"/>
      <c r="AX10" s="26"/>
      <c r="AY10" s="26"/>
      <c r="AZ10" s="27"/>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7"/>
      <c r="DA10" s="26"/>
      <c r="DB10" s="26"/>
      <c r="DC10" s="26"/>
      <c r="DD10" s="26"/>
      <c r="DE10" s="26"/>
      <c r="DF10" s="26"/>
      <c r="DG10" s="26"/>
      <c r="DH10" s="26"/>
      <c r="DI10" s="26"/>
    </row>
    <row r="11" spans="1:113" s="29" customFormat="1" ht="12" hidden="1" customHeight="1" outlineLevel="3">
      <c r="A11" s="1"/>
      <c r="B11" s="29" t="s">
        <v>305</v>
      </c>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1"/>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0"/>
      <c r="CZ11" s="31"/>
      <c r="DA11" s="30"/>
      <c r="DB11" s="30"/>
      <c r="DC11" s="30"/>
      <c r="DD11" s="30"/>
      <c r="DE11" s="30"/>
      <c r="DF11" s="30"/>
      <c r="DG11" s="30"/>
      <c r="DH11" s="30"/>
      <c r="DI11" s="30"/>
    </row>
    <row r="12" spans="1:113" s="35" customFormat="1" ht="12" hidden="1" customHeight="1" outlineLevel="3">
      <c r="A12" s="1"/>
      <c r="B12" s="32" t="s">
        <v>306</v>
      </c>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4"/>
      <c r="BA12" s="33"/>
      <c r="BB12" s="33"/>
      <c r="BC12" s="33"/>
      <c r="BD12" s="33"/>
      <c r="BE12" s="33"/>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c r="CV12" s="33"/>
      <c r="CW12" s="33"/>
      <c r="CX12" s="33"/>
      <c r="CY12" s="33"/>
      <c r="CZ12" s="34"/>
      <c r="DA12" s="33"/>
      <c r="DB12" s="33"/>
      <c r="DC12" s="33"/>
      <c r="DD12" s="33"/>
      <c r="DE12" s="33"/>
      <c r="DF12" s="33"/>
      <c r="DG12" s="33"/>
      <c r="DH12" s="33"/>
      <c r="DI12" s="33"/>
    </row>
    <row r="13" spans="1:113" ht="12" hidden="1" customHeight="1" outlineLevel="3">
      <c r="CZ13" s="22"/>
      <c r="DC13" s="21"/>
      <c r="DD13" s="21"/>
      <c r="DE13" s="21"/>
      <c r="DF13" s="21"/>
      <c r="DG13" s="21"/>
      <c r="DH13" s="21"/>
      <c r="DI13" s="21"/>
    </row>
    <row r="14" spans="1:113" s="36" customFormat="1" collapsed="1">
      <c r="A14" s="1" t="s">
        <v>983</v>
      </c>
      <c r="B14" s="2" t="s">
        <v>133</v>
      </c>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4"/>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4"/>
      <c r="DA14" s="3"/>
      <c r="DB14" s="3"/>
      <c r="DC14" s="3"/>
      <c r="DD14" s="3"/>
      <c r="DE14" s="3"/>
      <c r="DF14" s="3"/>
      <c r="DG14" s="3"/>
      <c r="DH14" s="3"/>
      <c r="DI14" s="3"/>
    </row>
    <row r="15" spans="1:113" outlineLevel="1">
      <c r="CZ15" s="22"/>
    </row>
    <row r="16" spans="1:113" outlineLevel="1">
      <c r="B16" s="24" t="s">
        <v>210</v>
      </c>
      <c r="CZ16" s="22"/>
    </row>
    <row r="17" spans="1:113" outlineLevel="1">
      <c r="A17" s="1" t="s">
        <v>798</v>
      </c>
      <c r="B17" s="19" t="s">
        <v>211</v>
      </c>
      <c r="C17" s="37">
        <v>0.36120000000000002</v>
      </c>
      <c r="D17" s="37">
        <v>0.35189999999999999</v>
      </c>
      <c r="E17" s="37">
        <v>0.36749999999999999</v>
      </c>
      <c r="F17" s="37">
        <v>0.35239999999999999</v>
      </c>
      <c r="G17" s="37">
        <v>0.40689999999999998</v>
      </c>
      <c r="H17" s="37">
        <v>0.42149999999999999</v>
      </c>
      <c r="I17" s="37">
        <v>0.38390000000000002</v>
      </c>
      <c r="J17" s="37">
        <v>0.40489999999999998</v>
      </c>
      <c r="K17" s="37">
        <v>0.4254</v>
      </c>
      <c r="L17" s="37">
        <v>0.42509999999999998</v>
      </c>
      <c r="M17" s="37">
        <v>0.40529999999999999</v>
      </c>
      <c r="N17" s="37">
        <v>0.4027</v>
      </c>
      <c r="O17" s="37">
        <v>0.42409999999999998</v>
      </c>
      <c r="P17" s="37">
        <v>0.44119999999999998</v>
      </c>
      <c r="Q17" s="37">
        <v>0.48409999999999997</v>
      </c>
      <c r="R17" s="37">
        <v>0.47949999999999998</v>
      </c>
      <c r="S17" s="37">
        <v>0.48620000000000002</v>
      </c>
      <c r="T17" s="37">
        <v>0.55789999999999995</v>
      </c>
      <c r="U17" s="37">
        <v>0.56859999999999999</v>
      </c>
      <c r="V17" s="37">
        <v>0.65869999999999995</v>
      </c>
      <c r="W17" s="37">
        <v>0.66769999999999996</v>
      </c>
      <c r="X17" s="37">
        <v>0.65910000000000002</v>
      </c>
      <c r="Y17" s="37">
        <v>0.65090000000000003</v>
      </c>
      <c r="Z17" s="37">
        <v>0.64300000000000002</v>
      </c>
      <c r="AA17" s="488">
        <v>0.60760000000000003</v>
      </c>
      <c r="AB17" s="488">
        <v>0.54239999999999999</v>
      </c>
      <c r="AC17" s="488">
        <v>0.55249999999999999</v>
      </c>
      <c r="AD17" s="488">
        <v>0.5262</v>
      </c>
      <c r="AE17" s="488">
        <v>0.48930000000000001</v>
      </c>
      <c r="AF17" s="488">
        <v>0.4929</v>
      </c>
      <c r="AG17" s="488">
        <v>0.5534</v>
      </c>
      <c r="AH17" s="488">
        <v>0.58989999999999998</v>
      </c>
      <c r="AI17" s="488">
        <v>0.59030000000000005</v>
      </c>
      <c r="AJ17" s="488">
        <v>0.57969999999999999</v>
      </c>
      <c r="AK17" s="488">
        <v>0.5635</v>
      </c>
      <c r="AL17" s="488">
        <v>0.55630000000000002</v>
      </c>
      <c r="AM17" s="488">
        <v>0.55330000000000001</v>
      </c>
      <c r="AN17" s="488">
        <v>0.53410000000000002</v>
      </c>
      <c r="AO17" s="488">
        <v>0.55840000000000001</v>
      </c>
      <c r="AP17" s="488">
        <v>0.56569999999999998</v>
      </c>
      <c r="AQ17" s="488">
        <v>0.54310000000000003</v>
      </c>
      <c r="AR17" s="488">
        <v>0.53759999999999997</v>
      </c>
      <c r="AS17" s="488">
        <v>0.56659999999999999</v>
      </c>
      <c r="AT17" s="488">
        <v>0.5625</v>
      </c>
      <c r="AU17" s="488">
        <v>0.52529999999999999</v>
      </c>
      <c r="AV17" s="488">
        <v>0.53620000000000001</v>
      </c>
      <c r="AW17" s="488">
        <v>0.52449999999999997</v>
      </c>
      <c r="AX17" s="488">
        <v>0.49540000000000001</v>
      </c>
      <c r="AY17" s="488">
        <v>0.47660000000000002</v>
      </c>
      <c r="AZ17" s="780">
        <v>0.49527998177369664</v>
      </c>
      <c r="BA17" s="38">
        <f>VLOOKUP(RIGHT($A17,LEN($A17)-4),[3]Sheet1!$A$2:$JP$65479,MATCH(BA$3,[3]Sheet1!$A$2:$JP$2,0),FALSE)</f>
        <v>0.47222222222222227</v>
      </c>
      <c r="BB17" s="38">
        <f>VLOOKUP(RIGHT($A17,LEN($A17)-4),[3]Sheet1!$A$2:$JP$65479,MATCH(BB$3,[3]Sheet1!$A$2:$JP$2,0),FALSE)</f>
        <v>0.4779411764705882</v>
      </c>
      <c r="BC17" s="38">
        <f>VLOOKUP(RIGHT($A17,LEN($A17)-4),[3]Sheet1!$A$2:$JP$65479,MATCH(BC$3,[3]Sheet1!$A$2:$JP$2,0),FALSE)</f>
        <v>0.49259259259259253</v>
      </c>
      <c r="BD17" s="38">
        <f>VLOOKUP(RIGHT($A17,LEN($A17)-4),[3]Sheet1!$A$2:$JP$65479,MATCH(BD$3,[3]Sheet1!$A$2:$JP$2,0),FALSE)</f>
        <v>0.5074626865671642</v>
      </c>
      <c r="BE17" s="38">
        <f>VLOOKUP(RIGHT($A17,LEN($A17)-4),[3]Sheet1!$A$2:$JP$65479,MATCH(BE$3,[3]Sheet1!$A$2:$JP$2,0),FALSE)</f>
        <v>0.52059925093632919</v>
      </c>
      <c r="BF17" s="38">
        <f>VLOOKUP(RIGHT($A17,LEN($A17)-4),[3]Sheet1!$A$2:$JP$65479,MATCH(BF$3,[3]Sheet1!$A$2:$JP$2,0),FALSE)</f>
        <v>0.53383458646616533</v>
      </c>
      <c r="BG17" s="38">
        <f>VLOOKUP(RIGHT($A17,LEN($A17)-4),[3]Sheet1!$A$2:$JP$65479,MATCH(BG$3,[3]Sheet1!$A$2:$JP$2,0),FALSE)</f>
        <v>0.55859969558599676</v>
      </c>
      <c r="BH17" s="38">
        <f>VLOOKUP(RIGHT($A17,LEN($A17)-4),[3]Sheet1!$A$2:$JP$65479,MATCH(BH$3,[3]Sheet1!$A$2:$JP$2,0),FALSE)</f>
        <v>0.58397534668721063</v>
      </c>
      <c r="BI17" s="38">
        <f>VLOOKUP(RIGHT($A17,LEN($A17)-4),[3]Sheet1!$A$2:$JP$65479,MATCH(BI$3,[3]Sheet1!$A$2:$JP$2,0),FALSE)</f>
        <v>0.60998439937597437</v>
      </c>
      <c r="BJ17" s="38">
        <f>VLOOKUP(RIGHT($A17,LEN($A17)-4),[3]Sheet1!$A$2:$JP$65479,MATCH(BJ$3,[3]Sheet1!$A$2:$JP$2,0),FALSE)</f>
        <v>0.6366508688783562</v>
      </c>
      <c r="BK17" s="38">
        <f>VLOOKUP(RIGHT($A17,LEN($A17)-4),[3]Sheet1!$A$2:$JP$65479,MATCH(BK$3,[3]Sheet1!$A$2:$JP$2,0),FALSE)</f>
        <v>0.6366508688783562</v>
      </c>
      <c r="BL17" s="38">
        <f>VLOOKUP(RIGHT($A17,LEN($A17)-4),[3]Sheet1!$A$2:$JP$65479,MATCH(BL$3,[3]Sheet1!$A$2:$JP$2,0),FALSE)</f>
        <v>0.6366508688783562</v>
      </c>
      <c r="BM17" s="38">
        <f>VLOOKUP(RIGHT($A17,LEN($A17)-4),[3]Sheet1!$A$2:$JP$65479,MATCH(BM$3,[3]Sheet1!$A$2:$JP$2,0),FALSE)</f>
        <v>0.6366508688783562</v>
      </c>
      <c r="BN17" s="38">
        <f>VLOOKUP(RIGHT($A17,LEN($A17)-4),[3]Sheet1!$A$2:$JP$65479,MATCH(BN$3,[3]Sheet1!$A$2:$JP$2,0),FALSE)</f>
        <v>0.6366508688783562</v>
      </c>
      <c r="BO17" s="38">
        <f>VLOOKUP(RIGHT($A17,LEN($A17)-4),[3]Sheet1!$A$2:$JP$65479,MATCH(BO$3,[3]Sheet1!$A$2:$JP$2,0),FALSE)</f>
        <v>0.6366508688783562</v>
      </c>
      <c r="BP17" s="38">
        <f>VLOOKUP(RIGHT($A17,LEN($A17)-4),[3]Sheet1!$A$2:$JP$65479,MATCH(BP$3,[3]Sheet1!$A$2:$JP$2,0),FALSE)</f>
        <v>0.6366508688783562</v>
      </c>
      <c r="BQ17" s="38">
        <f>VLOOKUP(RIGHT($A17,LEN($A17)-4),[3]Sheet1!$A$2:$JP$65479,MATCH(BQ$3,[3]Sheet1!$A$2:$JP$2,0),FALSE)</f>
        <v>0.6366508688783562</v>
      </c>
      <c r="BR17" s="39"/>
      <c r="BS17" s="37">
        <v>0.39250000000000002</v>
      </c>
      <c r="BT17" s="37">
        <v>0.44679999999999997</v>
      </c>
      <c r="BU17" s="37">
        <v>0.47120000000000001</v>
      </c>
      <c r="BV17" s="37">
        <v>0.44469999999999998</v>
      </c>
      <c r="BW17" s="37">
        <v>0.50729999999999997</v>
      </c>
      <c r="BX17" s="37">
        <v>0.45269999999999999</v>
      </c>
      <c r="BY17" s="37">
        <v>0.37</v>
      </c>
      <c r="BZ17" s="37">
        <v>0.42259999999999998</v>
      </c>
      <c r="CA17" s="37">
        <v>0.39340000000000003</v>
      </c>
      <c r="CB17" s="37">
        <v>0.36120000000000002</v>
      </c>
      <c r="CC17" s="39">
        <f>E17</f>
        <v>0.36749999999999999</v>
      </c>
      <c r="CD17" s="39">
        <f>G17</f>
        <v>0.40689999999999998</v>
      </c>
      <c r="CE17" s="39">
        <f>I17</f>
        <v>0.38390000000000002</v>
      </c>
      <c r="CF17" s="39">
        <f>K17</f>
        <v>0.4254</v>
      </c>
      <c r="CG17" s="39">
        <f>M17</f>
        <v>0.40529999999999999</v>
      </c>
      <c r="CH17" s="39">
        <f>O17</f>
        <v>0.42409999999999998</v>
      </c>
      <c r="CI17" s="39">
        <f>Q17</f>
        <v>0.48409999999999997</v>
      </c>
      <c r="CJ17" s="39">
        <f>S17</f>
        <v>0.48620000000000002</v>
      </c>
      <c r="CK17" s="39">
        <f>U17</f>
        <v>0.56859999999999999</v>
      </c>
      <c r="CL17" s="39">
        <f>W17</f>
        <v>0.66769999999999996</v>
      </c>
      <c r="CM17" s="39">
        <f>Y17</f>
        <v>0.65090000000000003</v>
      </c>
      <c r="CN17" s="39">
        <f>AA17</f>
        <v>0.60760000000000003</v>
      </c>
      <c r="CO17" s="39">
        <f>AC17</f>
        <v>0.55249999999999999</v>
      </c>
      <c r="CP17" s="39">
        <f>AE17</f>
        <v>0.48930000000000001</v>
      </c>
      <c r="CQ17" s="39">
        <f>AG17</f>
        <v>0.5534</v>
      </c>
      <c r="CR17" s="39">
        <f>AI17</f>
        <v>0.59030000000000005</v>
      </c>
      <c r="CS17" s="39">
        <f>AK17</f>
        <v>0.5635</v>
      </c>
      <c r="CT17" s="39">
        <f>AM17</f>
        <v>0.55330000000000001</v>
      </c>
      <c r="CU17" s="39">
        <f>AO17</f>
        <v>0.55840000000000001</v>
      </c>
      <c r="CV17" s="39">
        <f>AQ17</f>
        <v>0.54310000000000003</v>
      </c>
      <c r="CW17" s="39">
        <f>AS17</f>
        <v>0.56659999999999999</v>
      </c>
      <c r="CX17" s="39">
        <f>AU17</f>
        <v>0.52529999999999999</v>
      </c>
      <c r="CY17" s="39">
        <f>AW17</f>
        <v>0.52449999999999997</v>
      </c>
      <c r="CZ17" s="40">
        <f>AY17</f>
        <v>0.47660000000000002</v>
      </c>
      <c r="DA17" s="39">
        <f>BA17</f>
        <v>0.47222222222222227</v>
      </c>
      <c r="DB17" s="39">
        <f>BC17</f>
        <v>0.49259259259259253</v>
      </c>
      <c r="DC17" s="39">
        <f>BE17</f>
        <v>0.52059925093632919</v>
      </c>
      <c r="DD17" s="39">
        <f>BG17</f>
        <v>0.55859969558599676</v>
      </c>
      <c r="DE17" s="39">
        <f>BI17</f>
        <v>0.60998439937597437</v>
      </c>
      <c r="DF17" s="39">
        <f>BK17</f>
        <v>0.6366508688783562</v>
      </c>
      <c r="DG17" s="39">
        <f>BM17</f>
        <v>0.6366508688783562</v>
      </c>
      <c r="DH17" s="39">
        <f>BO17</f>
        <v>0.6366508688783562</v>
      </c>
      <c r="DI17" s="39">
        <f>BQ17</f>
        <v>0.6366508688783562</v>
      </c>
    </row>
    <row r="18" spans="1:113" outlineLevel="1">
      <c r="A18" s="1" t="s">
        <v>799</v>
      </c>
      <c r="B18" s="19" t="s">
        <v>212</v>
      </c>
      <c r="C18" s="37">
        <v>0.51139999999999997</v>
      </c>
      <c r="D18" s="37">
        <v>0.51049999999999995</v>
      </c>
      <c r="E18" s="37">
        <v>0.56359999999999999</v>
      </c>
      <c r="F18" s="37">
        <v>0.56530000000000002</v>
      </c>
      <c r="G18" s="37">
        <v>0.67359999999999998</v>
      </c>
      <c r="H18" s="37">
        <v>0.74890000000000001</v>
      </c>
      <c r="I18" s="37">
        <v>0.69889999999999997</v>
      </c>
      <c r="J18" s="37">
        <v>0.77949999999999997</v>
      </c>
      <c r="K18" s="37">
        <v>0.76219999999999999</v>
      </c>
      <c r="L18" s="37">
        <v>0.73409999999999997</v>
      </c>
      <c r="M18" s="37">
        <v>0.74280000000000002</v>
      </c>
      <c r="N18" s="37">
        <v>0.7913</v>
      </c>
      <c r="O18" s="37">
        <v>0.84970000000000001</v>
      </c>
      <c r="P18" s="37">
        <v>0.88149999999999995</v>
      </c>
      <c r="Q18" s="37">
        <v>0.96560000000000001</v>
      </c>
      <c r="R18" s="37">
        <v>0.69230000000000003</v>
      </c>
      <c r="S18" s="37">
        <v>0.81289999999999996</v>
      </c>
      <c r="T18" s="37">
        <v>0.89700000000000002</v>
      </c>
      <c r="U18" s="37">
        <v>0.85589999999999999</v>
      </c>
      <c r="V18" s="37">
        <v>1.0169999999999999</v>
      </c>
      <c r="W18" s="37">
        <v>1.0740000000000001</v>
      </c>
      <c r="X18" s="37">
        <v>1.0159</v>
      </c>
      <c r="Y18" s="37">
        <v>1.0181</v>
      </c>
      <c r="Z18" s="37">
        <v>1.0386</v>
      </c>
      <c r="AA18" s="488">
        <v>0.92679999999999996</v>
      </c>
      <c r="AB18" s="488">
        <v>0.89390000000000003</v>
      </c>
      <c r="AC18" s="488">
        <v>0.9405</v>
      </c>
      <c r="AD18" s="488">
        <v>0.81879999999999997</v>
      </c>
      <c r="AE18" s="488">
        <v>0.7681</v>
      </c>
      <c r="AF18" s="488">
        <v>0.73080000000000001</v>
      </c>
      <c r="AG18" s="488">
        <v>0.74309999999999998</v>
      </c>
      <c r="AH18" s="488">
        <v>0.72360000000000002</v>
      </c>
      <c r="AI18" s="488">
        <v>0.76839999999999997</v>
      </c>
      <c r="AJ18" s="488">
        <v>0.77990000000000004</v>
      </c>
      <c r="AK18" s="488">
        <v>0.73870000000000002</v>
      </c>
      <c r="AL18" s="488">
        <v>0.70569999999999999</v>
      </c>
      <c r="AM18" s="488">
        <v>0.70130000000000003</v>
      </c>
      <c r="AN18" s="488">
        <v>0.70040000000000002</v>
      </c>
      <c r="AO18" s="488">
        <v>0.68540000000000001</v>
      </c>
      <c r="AP18" s="488">
        <v>0.77049999999999996</v>
      </c>
      <c r="AQ18" s="488">
        <v>0.75209999999999999</v>
      </c>
      <c r="AR18" s="488">
        <v>0.72599999999999998</v>
      </c>
      <c r="AS18" s="488">
        <v>0.68789999999999996</v>
      </c>
      <c r="AT18" s="488">
        <v>0.67789999999999995</v>
      </c>
      <c r="AU18" s="488">
        <v>0.66269999999999996</v>
      </c>
      <c r="AV18" s="488">
        <v>0.68389999999999995</v>
      </c>
      <c r="AW18" s="488">
        <v>0.66279999999999994</v>
      </c>
      <c r="AX18" s="488">
        <v>0.62190000000000001</v>
      </c>
      <c r="AY18" s="488">
        <v>0.65449999999999997</v>
      </c>
      <c r="AZ18" s="780">
        <v>0.66734500000000008</v>
      </c>
      <c r="BA18" s="38">
        <f>VLOOKUP(RIGHT($A18,LEN($A18)-4),[3]Sheet1!$A$2:$JP$65479,MATCH(BA$3,[3]Sheet1!$A$2:$JP$2,0),FALSE)</f>
        <v>0.68</v>
      </c>
      <c r="BB18" s="38">
        <f>VLOOKUP(RIGHT($A18,LEN($A18)-4),[3]Sheet1!$A$2:$JP$65479,MATCH(BB$3,[3]Sheet1!$A$2:$JP$2,0),FALSE)</f>
        <v>0.65</v>
      </c>
      <c r="BC18" s="38">
        <f>VLOOKUP(RIGHT($A18,LEN($A18)-4),[3]Sheet1!$A$2:$JP$65479,MATCH(BC$3,[3]Sheet1!$A$2:$JP$2,0),FALSE)</f>
        <v>0.66499999999999981</v>
      </c>
      <c r="BD18" s="38">
        <f>VLOOKUP(RIGHT($A18,LEN($A18)-4),[3]Sheet1!$A$2:$JP$65479,MATCH(BD$3,[3]Sheet1!$A$2:$JP$2,0),FALSE)</f>
        <v>0.68</v>
      </c>
      <c r="BE18" s="38">
        <f>VLOOKUP(RIGHT($A18,LEN($A18)-4),[3]Sheet1!$A$2:$JP$65479,MATCH(BE$3,[3]Sheet1!$A$2:$JP$2,0),FALSE)</f>
        <v>0.69499999999999973</v>
      </c>
      <c r="BF18" s="38">
        <f>VLOOKUP(RIGHT($A18,LEN($A18)-4),[3]Sheet1!$A$2:$JP$65479,MATCH(BF$3,[3]Sheet1!$A$2:$JP$2,0),FALSE)</f>
        <v>0.71</v>
      </c>
      <c r="BG18" s="38">
        <f>VLOOKUP(RIGHT($A18,LEN($A18)-4),[3]Sheet1!$A$2:$JP$65479,MATCH(BG$3,[3]Sheet1!$A$2:$JP$2,0),FALSE)</f>
        <v>0.73399999999999999</v>
      </c>
      <c r="BH18" s="38">
        <f>VLOOKUP(RIGHT($A18,LEN($A18)-4),[3]Sheet1!$A$2:$JP$65479,MATCH(BH$3,[3]Sheet1!$A$2:$JP$2,0),FALSE)</f>
        <v>0.75800000000000001</v>
      </c>
      <c r="BI18" s="38">
        <f>VLOOKUP(RIGHT($A18,LEN($A18)-4),[3]Sheet1!$A$2:$JP$65479,MATCH(BI$3,[3]Sheet1!$A$2:$JP$2,0),FALSE)</f>
        <v>0.78200000000000003</v>
      </c>
      <c r="BJ18" s="38">
        <f>VLOOKUP(RIGHT($A18,LEN($A18)-4),[3]Sheet1!$A$2:$JP$65479,MATCH(BJ$3,[3]Sheet1!$A$2:$JP$2,0),FALSE)</f>
        <v>0.80600000000000005</v>
      </c>
      <c r="BK18" s="38">
        <f>VLOOKUP(RIGHT($A18,LEN($A18)-4),[3]Sheet1!$A$2:$JP$65479,MATCH(BK$3,[3]Sheet1!$A$2:$JP$2,0),FALSE)</f>
        <v>0.80600000000000005</v>
      </c>
      <c r="BL18" s="38">
        <f>VLOOKUP(RIGHT($A18,LEN($A18)-4),[3]Sheet1!$A$2:$JP$65479,MATCH(BL$3,[3]Sheet1!$A$2:$JP$2,0),FALSE)</f>
        <v>0.80600000000000005</v>
      </c>
      <c r="BM18" s="38">
        <f>VLOOKUP(RIGHT($A18,LEN($A18)-4),[3]Sheet1!$A$2:$JP$65479,MATCH(BM$3,[3]Sheet1!$A$2:$JP$2,0),FALSE)</f>
        <v>0.80600000000000005</v>
      </c>
      <c r="BN18" s="38">
        <f>VLOOKUP(RIGHT($A18,LEN($A18)-4),[3]Sheet1!$A$2:$JP$65479,MATCH(BN$3,[3]Sheet1!$A$2:$JP$2,0),FALSE)</f>
        <v>0.80600000000000005</v>
      </c>
      <c r="BO18" s="38">
        <f>VLOOKUP(RIGHT($A18,LEN($A18)-4),[3]Sheet1!$A$2:$JP$65479,MATCH(BO$3,[3]Sheet1!$A$2:$JP$2,0),FALSE)</f>
        <v>0.80600000000000005</v>
      </c>
      <c r="BP18" s="38">
        <f>VLOOKUP(RIGHT($A18,LEN($A18)-4),[3]Sheet1!$A$2:$JP$65479,MATCH(BP$3,[3]Sheet1!$A$2:$JP$2,0),FALSE)</f>
        <v>0.80600000000000005</v>
      </c>
      <c r="BQ18" s="38">
        <f>VLOOKUP(RIGHT($A18,LEN($A18)-4),[3]Sheet1!$A$2:$JP$65479,MATCH(BQ$3,[3]Sheet1!$A$2:$JP$2,0),FALSE)</f>
        <v>0.80600000000000005</v>
      </c>
      <c r="BR18" s="39"/>
      <c r="BS18" s="37">
        <v>0.74780000000000002</v>
      </c>
      <c r="BT18" s="37">
        <v>0.66649999999999998</v>
      </c>
      <c r="BU18" s="37">
        <v>0.72770000000000001</v>
      </c>
      <c r="BV18" s="37">
        <v>0.70909999999999995</v>
      </c>
      <c r="BW18" s="37">
        <v>0.7873</v>
      </c>
      <c r="BX18" s="37">
        <v>0.74550000000000005</v>
      </c>
      <c r="BY18" s="37">
        <v>0.62</v>
      </c>
      <c r="BZ18" s="37">
        <v>0.66669999999999996</v>
      </c>
      <c r="CA18" s="37">
        <v>0.59670000000000001</v>
      </c>
      <c r="CB18" s="37">
        <v>0.51139999999999997</v>
      </c>
      <c r="CC18" s="39">
        <f>E18</f>
        <v>0.56359999999999999</v>
      </c>
      <c r="CD18" s="39">
        <f>G18</f>
        <v>0.67359999999999998</v>
      </c>
      <c r="CE18" s="39">
        <f>I18</f>
        <v>0.69889999999999997</v>
      </c>
      <c r="CF18" s="39">
        <f>K18</f>
        <v>0.76219999999999999</v>
      </c>
      <c r="CG18" s="39">
        <f>M18</f>
        <v>0.74280000000000002</v>
      </c>
      <c r="CH18" s="39">
        <f>O18</f>
        <v>0.84970000000000001</v>
      </c>
      <c r="CI18" s="39">
        <f>Q18</f>
        <v>0.96560000000000001</v>
      </c>
      <c r="CJ18" s="39">
        <f>S18</f>
        <v>0.81289999999999996</v>
      </c>
      <c r="CK18" s="39">
        <f>U18</f>
        <v>0.85589999999999999</v>
      </c>
      <c r="CL18" s="39">
        <f>W18</f>
        <v>1.0740000000000001</v>
      </c>
      <c r="CM18" s="39">
        <f>Y18</f>
        <v>1.0181</v>
      </c>
      <c r="CN18" s="39">
        <f>AA18</f>
        <v>0.92679999999999996</v>
      </c>
      <c r="CO18" s="39">
        <f>AC18</f>
        <v>0.9405</v>
      </c>
      <c r="CP18" s="39">
        <f>AE18</f>
        <v>0.7681</v>
      </c>
      <c r="CQ18" s="39">
        <f>AG18</f>
        <v>0.74309999999999998</v>
      </c>
      <c r="CR18" s="39">
        <f>AI18</f>
        <v>0.76839999999999997</v>
      </c>
      <c r="CS18" s="39">
        <f>AK18</f>
        <v>0.73870000000000002</v>
      </c>
      <c r="CT18" s="39">
        <f>AM18</f>
        <v>0.70130000000000003</v>
      </c>
      <c r="CU18" s="39">
        <f>AO18</f>
        <v>0.68540000000000001</v>
      </c>
      <c r="CV18" s="39">
        <f>AQ18</f>
        <v>0.75209999999999999</v>
      </c>
      <c r="CW18" s="39">
        <f>AS18</f>
        <v>0.68789999999999996</v>
      </c>
      <c r="CX18" s="39">
        <f>AU18</f>
        <v>0.66269999999999996</v>
      </c>
      <c r="CY18" s="39">
        <f>AW18</f>
        <v>0.66279999999999994</v>
      </c>
      <c r="CZ18" s="40">
        <f>AY18</f>
        <v>0.65449999999999997</v>
      </c>
      <c r="DA18" s="39">
        <f>BA18</f>
        <v>0.68</v>
      </c>
      <c r="DB18" s="39">
        <f>BC18</f>
        <v>0.66499999999999981</v>
      </c>
      <c r="DC18" s="39">
        <f>BE18</f>
        <v>0.69499999999999973</v>
      </c>
      <c r="DD18" s="39">
        <f>BG18</f>
        <v>0.73399999999999999</v>
      </c>
      <c r="DE18" s="39">
        <f>BI18</f>
        <v>0.78200000000000003</v>
      </c>
      <c r="DF18" s="39">
        <f>BK18</f>
        <v>0.80600000000000005</v>
      </c>
      <c r="DG18" s="39">
        <f>BM18</f>
        <v>0.80600000000000005</v>
      </c>
      <c r="DH18" s="39">
        <f>BO18</f>
        <v>0.80600000000000005</v>
      </c>
      <c r="DI18" s="39">
        <f>BQ18</f>
        <v>0.80600000000000005</v>
      </c>
    </row>
    <row r="19" spans="1:113" outlineLevel="1">
      <c r="A19" s="1" t="s">
        <v>1119</v>
      </c>
      <c r="B19" s="19" t="s">
        <v>213</v>
      </c>
      <c r="C19" s="37">
        <v>1.2589999999999999</v>
      </c>
      <c r="D19" s="37">
        <v>1.2292000000000001</v>
      </c>
      <c r="E19" s="37">
        <v>1.1569</v>
      </c>
      <c r="F19" s="37">
        <v>1.0740000000000001</v>
      </c>
      <c r="G19" s="37">
        <v>1.1473</v>
      </c>
      <c r="H19" s="37">
        <v>1.1445000000000001</v>
      </c>
      <c r="I19" s="37">
        <v>1.0985</v>
      </c>
      <c r="J19" s="37">
        <v>1.0851</v>
      </c>
      <c r="K19" s="37">
        <v>1.0936999999999999</v>
      </c>
      <c r="L19" s="37">
        <v>1.071</v>
      </c>
      <c r="M19" s="37">
        <v>1.214</v>
      </c>
      <c r="N19" s="37">
        <v>1.121</v>
      </c>
      <c r="O19" s="37">
        <v>1.1020000000000001</v>
      </c>
      <c r="P19" s="37">
        <v>1.1339999999999999</v>
      </c>
      <c r="Q19" s="37">
        <v>1.2630999999999999</v>
      </c>
      <c r="R19" s="37">
        <v>1.1908000000000001</v>
      </c>
      <c r="S19" s="37">
        <v>1.2430000000000001</v>
      </c>
      <c r="T19" s="37">
        <v>1.2343</v>
      </c>
      <c r="U19" s="37">
        <v>1.2318</v>
      </c>
      <c r="V19" s="37">
        <v>1.3165</v>
      </c>
      <c r="W19" s="37">
        <v>1.2944</v>
      </c>
      <c r="X19" s="37">
        <v>1.3147</v>
      </c>
      <c r="Y19" s="37">
        <v>1.2756000000000001</v>
      </c>
      <c r="Z19" s="37">
        <v>1.2609999999999999</v>
      </c>
      <c r="AA19" s="488">
        <v>1.1859999999999999</v>
      </c>
      <c r="AB19" s="488">
        <v>1.0867</v>
      </c>
      <c r="AC19" s="488">
        <v>1.0762</v>
      </c>
      <c r="AD19" s="488">
        <v>1.0449999999999999</v>
      </c>
      <c r="AE19" s="488">
        <v>1.1283000000000001</v>
      </c>
      <c r="AF19" s="488">
        <v>1.0660000000000001</v>
      </c>
      <c r="AG19" s="488">
        <v>1.0469999999999999</v>
      </c>
      <c r="AH19" s="488">
        <v>1.0392999999999999</v>
      </c>
      <c r="AI19" s="488">
        <v>1.0492999999999999</v>
      </c>
      <c r="AJ19" s="488">
        <v>1.0983000000000001</v>
      </c>
      <c r="AK19" s="488">
        <v>1.0909</v>
      </c>
      <c r="AL19" s="488">
        <v>1.0515000000000001</v>
      </c>
      <c r="AM19" s="488">
        <v>1.046</v>
      </c>
      <c r="AN19" s="488">
        <v>1.0408999999999999</v>
      </c>
      <c r="AO19" s="488">
        <v>1.0705</v>
      </c>
      <c r="AP19" s="488">
        <v>1.0667</v>
      </c>
      <c r="AQ19" s="488">
        <v>1.0740000000000001</v>
      </c>
      <c r="AR19" s="488">
        <v>1.0628</v>
      </c>
      <c r="AS19" s="488">
        <v>1.1073</v>
      </c>
      <c r="AT19" s="488">
        <v>1.0713999999999999</v>
      </c>
      <c r="AU19" s="488">
        <v>1.0887</v>
      </c>
      <c r="AV19" s="488">
        <v>1.0764</v>
      </c>
      <c r="AW19" s="488">
        <v>1.0929</v>
      </c>
      <c r="AX19" s="488">
        <v>1.1042000000000001</v>
      </c>
      <c r="AY19" s="488">
        <v>1.0766</v>
      </c>
      <c r="AZ19" s="780">
        <v>1.1594</v>
      </c>
      <c r="BA19" s="38">
        <f>VLOOKUP(RIGHT($A19,LEN($A19)-4),[3]Sheet1!$A$2:$JP$65479,MATCH(BA$3,[3]Sheet1!$A$2:$JP$2,0),FALSE)</f>
        <v>1.0793650793650795</v>
      </c>
      <c r="BB19" s="38">
        <f>VLOOKUP(RIGHT($A19,LEN($A19)-4),[3]Sheet1!$A$2:$JP$65479,MATCH(BB$3,[3]Sheet1!$A$2:$JP$2,0),FALSE)</f>
        <v>1.1206896551724139</v>
      </c>
      <c r="BC19" s="38">
        <f>VLOOKUP(RIGHT($A19,LEN($A19)-4),[3]Sheet1!$A$2:$JP$65479,MATCH(BC$3,[3]Sheet1!$A$2:$JP$2,0),FALSE)</f>
        <v>1.1271186440677958</v>
      </c>
      <c r="BD19" s="38">
        <f>VLOOKUP(RIGHT($A19,LEN($A19)-4),[3]Sheet1!$A$2:$JP$65479,MATCH(BD$3,[3]Sheet1!$A$2:$JP$2,0),FALSE)</f>
        <v>1.1333333333333335</v>
      </c>
      <c r="BE19" s="38">
        <f>VLOOKUP(RIGHT($A19,LEN($A19)-4),[3]Sheet1!$A$2:$JP$65479,MATCH(BE$3,[3]Sheet1!$A$2:$JP$2,0),FALSE)</f>
        <v>1.1487603305785117</v>
      </c>
      <c r="BF19" s="38">
        <f>VLOOKUP(RIGHT($A19,LEN($A19)-4),[3]Sheet1!$A$2:$JP$65479,MATCH(BF$3,[3]Sheet1!$A$2:$JP$2,0),FALSE)</f>
        <v>1.1639344262295082</v>
      </c>
      <c r="BG19" s="38">
        <f>VLOOKUP(RIGHT($A19,LEN($A19)-4),[3]Sheet1!$A$2:$JP$65479,MATCH(BG$3,[3]Sheet1!$A$2:$JP$2,0),FALSE)</f>
        <v>1.1762820512820518</v>
      </c>
      <c r="BH19" s="38">
        <f>VLOOKUP(RIGHT($A19,LEN($A19)-4),[3]Sheet1!$A$2:$JP$65479,MATCH(BH$3,[3]Sheet1!$A$2:$JP$2,0),FALSE)</f>
        <v>1.1880877742946716</v>
      </c>
      <c r="BI19" s="38">
        <f>VLOOKUP(RIGHT($A19,LEN($A19)-4),[3]Sheet1!$A$2:$JP$65479,MATCH(BI$3,[3]Sheet1!$A$2:$JP$2,0),FALSE)</f>
        <v>1.199386503067486</v>
      </c>
      <c r="BJ19" s="38">
        <f>VLOOKUP(RIGHT($A19,LEN($A19)-4),[3]Sheet1!$A$2:$JP$65479,MATCH(BJ$3,[3]Sheet1!$A$2:$JP$2,0),FALSE)</f>
        <v>1.2102102102102119</v>
      </c>
      <c r="BK19" s="38">
        <f>VLOOKUP(RIGHT($A19,LEN($A19)-4),[3]Sheet1!$A$2:$JP$65479,MATCH(BK$3,[3]Sheet1!$A$2:$JP$2,0),FALSE)</f>
        <v>1.2102102102102119</v>
      </c>
      <c r="BL19" s="38">
        <f>VLOOKUP(RIGHT($A19,LEN($A19)-4),[3]Sheet1!$A$2:$JP$65479,MATCH(BL$3,[3]Sheet1!$A$2:$JP$2,0),FALSE)</f>
        <v>1.2102102102102119</v>
      </c>
      <c r="BM19" s="38">
        <f>VLOOKUP(RIGHT($A19,LEN($A19)-4),[3]Sheet1!$A$2:$JP$65479,MATCH(BM$3,[3]Sheet1!$A$2:$JP$2,0),FALSE)</f>
        <v>1.2102102102102119</v>
      </c>
      <c r="BN19" s="38">
        <f>VLOOKUP(RIGHT($A19,LEN($A19)-4),[3]Sheet1!$A$2:$JP$65479,MATCH(BN$3,[3]Sheet1!$A$2:$JP$2,0),FALSE)</f>
        <v>1.2102102102102119</v>
      </c>
      <c r="BO19" s="38">
        <f>VLOOKUP(RIGHT($A19,LEN($A19)-4),[3]Sheet1!$A$2:$JP$65479,MATCH(BO$3,[3]Sheet1!$A$2:$JP$2,0),FALSE)</f>
        <v>1.2102102102102119</v>
      </c>
      <c r="BP19" s="38">
        <f>VLOOKUP(RIGHT($A19,LEN($A19)-4),[3]Sheet1!$A$2:$JP$65479,MATCH(BP$3,[3]Sheet1!$A$2:$JP$2,0),FALSE)</f>
        <v>1.2102102102102119</v>
      </c>
      <c r="BQ19" s="38">
        <f>VLOOKUP(RIGHT($A19,LEN($A19)-4),[3]Sheet1!$A$2:$JP$65479,MATCH(BQ$3,[3]Sheet1!$A$2:$JP$2,0),FALSE)</f>
        <v>1.2102102102102119</v>
      </c>
      <c r="BR19" s="39"/>
      <c r="BS19" s="37" t="s">
        <v>215</v>
      </c>
      <c r="BT19" s="37" t="s">
        <v>215</v>
      </c>
      <c r="BU19" s="37" t="s">
        <v>215</v>
      </c>
      <c r="BV19" s="37">
        <v>1.0593999999999999</v>
      </c>
      <c r="BW19" s="37">
        <v>1.149</v>
      </c>
      <c r="BX19" s="37">
        <v>1.1087</v>
      </c>
      <c r="BY19" s="37">
        <v>1.2</v>
      </c>
      <c r="BZ19" s="37">
        <v>1.2486999999999999</v>
      </c>
      <c r="CA19" s="37">
        <v>1.2715000000000001</v>
      </c>
      <c r="CB19" s="37">
        <v>1.2589999999999999</v>
      </c>
      <c r="CC19" s="39">
        <f>E19</f>
        <v>1.1569</v>
      </c>
      <c r="CD19" s="39">
        <f>G19</f>
        <v>1.1473</v>
      </c>
      <c r="CE19" s="39">
        <f>I19</f>
        <v>1.0985</v>
      </c>
      <c r="CF19" s="39">
        <f>K19</f>
        <v>1.0936999999999999</v>
      </c>
      <c r="CG19" s="39">
        <f>M19</f>
        <v>1.214</v>
      </c>
      <c r="CH19" s="39">
        <f>O19</f>
        <v>1.1020000000000001</v>
      </c>
      <c r="CI19" s="39">
        <f>Q19</f>
        <v>1.2630999999999999</v>
      </c>
      <c r="CJ19" s="39">
        <f>S19</f>
        <v>1.2430000000000001</v>
      </c>
      <c r="CK19" s="39">
        <f>U19</f>
        <v>1.2318</v>
      </c>
      <c r="CL19" s="39">
        <f>W19</f>
        <v>1.2944</v>
      </c>
      <c r="CM19" s="39">
        <f>Y19</f>
        <v>1.2756000000000001</v>
      </c>
      <c r="CN19" s="39">
        <f>AA19</f>
        <v>1.1859999999999999</v>
      </c>
      <c r="CO19" s="39">
        <f>AC19</f>
        <v>1.0762</v>
      </c>
      <c r="CP19" s="39">
        <f>AE19</f>
        <v>1.1283000000000001</v>
      </c>
      <c r="CQ19" s="39">
        <f>AG19</f>
        <v>1.0469999999999999</v>
      </c>
      <c r="CR19" s="39">
        <f>AI19</f>
        <v>1.0492999999999999</v>
      </c>
      <c r="CS19" s="39">
        <f>AK19</f>
        <v>1.0909</v>
      </c>
      <c r="CT19" s="39">
        <f>AM19</f>
        <v>1.046</v>
      </c>
      <c r="CU19" s="39">
        <f>AO19</f>
        <v>1.0705</v>
      </c>
      <c r="CV19" s="39">
        <f>AQ19</f>
        <v>1.0740000000000001</v>
      </c>
      <c r="CW19" s="39">
        <f>AS19</f>
        <v>1.1073</v>
      </c>
      <c r="CX19" s="39">
        <f>AU19</f>
        <v>1.0887</v>
      </c>
      <c r="CY19" s="39">
        <f>AW19</f>
        <v>1.0929</v>
      </c>
      <c r="CZ19" s="40">
        <f>AY19</f>
        <v>1.0766</v>
      </c>
      <c r="DA19" s="39">
        <f>BA19</f>
        <v>1.0793650793650795</v>
      </c>
      <c r="DB19" s="39">
        <f>BC19</f>
        <v>1.1271186440677958</v>
      </c>
      <c r="DC19" s="39">
        <f>BE19</f>
        <v>1.1487603305785117</v>
      </c>
      <c r="DD19" s="39">
        <f>BG19</f>
        <v>1.1762820512820518</v>
      </c>
      <c r="DE19" s="39">
        <f>BI19</f>
        <v>1.199386503067486</v>
      </c>
      <c r="DF19" s="39">
        <f>BK19</f>
        <v>1.2102102102102119</v>
      </c>
      <c r="DG19" s="39">
        <f>BM19</f>
        <v>1.2102102102102119</v>
      </c>
      <c r="DH19" s="39">
        <f>BO19</f>
        <v>1.2102102102102119</v>
      </c>
      <c r="DI19" s="39">
        <f>BQ19</f>
        <v>1.2102102102102119</v>
      </c>
    </row>
    <row r="20" spans="1:113" outlineLevel="1">
      <c r="A20" s="1" t="s">
        <v>1120</v>
      </c>
      <c r="B20" s="19" t="s">
        <v>214</v>
      </c>
      <c r="C20" s="37">
        <v>0.60189999999999999</v>
      </c>
      <c r="D20" s="37">
        <v>0.57669999999999999</v>
      </c>
      <c r="E20" s="37">
        <v>0.56830000000000003</v>
      </c>
      <c r="F20" s="37">
        <v>0.53849999999999998</v>
      </c>
      <c r="G20" s="37">
        <v>0.5857</v>
      </c>
      <c r="H20" s="37">
        <v>0.59689999999999999</v>
      </c>
      <c r="I20" s="37">
        <v>0.57289999999999996</v>
      </c>
      <c r="J20" s="37">
        <v>0.57169999999999999</v>
      </c>
      <c r="K20" s="37">
        <v>0.62960000000000005</v>
      </c>
      <c r="L20" s="37">
        <v>0.61870000000000003</v>
      </c>
      <c r="M20" s="37">
        <v>0.58479999999999999</v>
      </c>
      <c r="N20" s="37">
        <v>0.60070000000000001</v>
      </c>
      <c r="O20" s="37">
        <v>0.63190000000000002</v>
      </c>
      <c r="P20" s="37">
        <v>0.59799999999999998</v>
      </c>
      <c r="Q20" s="37">
        <v>0.61129999999999995</v>
      </c>
      <c r="R20" s="37">
        <v>0.49159999999999998</v>
      </c>
      <c r="S20" s="37">
        <v>0.57550000000000001</v>
      </c>
      <c r="T20" s="37">
        <v>0.62439999999999996</v>
      </c>
      <c r="U20" s="37">
        <v>0.6996</v>
      </c>
      <c r="V20" s="37">
        <v>0.76480000000000004</v>
      </c>
      <c r="W20" s="37">
        <v>0.74099999999999999</v>
      </c>
      <c r="X20" s="37">
        <v>0.78549999999999998</v>
      </c>
      <c r="Y20" s="37">
        <v>0.80789999999999995</v>
      </c>
      <c r="Z20" s="37">
        <v>0.78680000000000005</v>
      </c>
      <c r="AA20" s="488">
        <v>0.70979999999999999</v>
      </c>
      <c r="AB20" s="488">
        <v>0.64800000000000002</v>
      </c>
      <c r="AC20" s="488">
        <v>0.68920000000000003</v>
      </c>
      <c r="AD20" s="488">
        <v>0.67379999999999995</v>
      </c>
      <c r="AE20" s="488">
        <v>0.68799999999999994</v>
      </c>
      <c r="AF20" s="488">
        <v>0.66879999999999995</v>
      </c>
      <c r="AG20" s="488">
        <v>0.66890000000000005</v>
      </c>
      <c r="AH20" s="488">
        <v>0.68830000000000002</v>
      </c>
      <c r="AI20" s="488">
        <v>0.67200000000000004</v>
      </c>
      <c r="AJ20" s="488">
        <v>0.6532</v>
      </c>
      <c r="AK20" s="488">
        <v>0.63500000000000001</v>
      </c>
      <c r="AL20" s="488">
        <v>0.61750000000000005</v>
      </c>
      <c r="AM20" s="488">
        <v>0.61699999999999999</v>
      </c>
      <c r="AN20" s="488">
        <v>0.62529999999999997</v>
      </c>
      <c r="AO20" s="488">
        <v>0.61140000000000005</v>
      </c>
      <c r="AP20" s="488">
        <v>0.627</v>
      </c>
      <c r="AQ20" s="488">
        <v>0.63190000000000002</v>
      </c>
      <c r="AR20" s="488">
        <v>0.6411</v>
      </c>
      <c r="AS20" s="488">
        <v>0.65759999999999996</v>
      </c>
      <c r="AT20" s="488">
        <v>0.63639999999999997</v>
      </c>
      <c r="AU20" s="488">
        <v>0.61019999999999996</v>
      </c>
      <c r="AV20" s="488">
        <v>0.61829999999999996</v>
      </c>
      <c r="AW20" s="488">
        <v>0.61980000000000002</v>
      </c>
      <c r="AX20" s="488">
        <v>0.5978</v>
      </c>
      <c r="AY20" s="488">
        <v>0.55759999999999998</v>
      </c>
      <c r="AZ20" s="780">
        <v>0.5681576069201596</v>
      </c>
      <c r="BA20" s="38">
        <f>VLOOKUP(RIGHT($A20,LEN($A20)-4),[3]Sheet1!$A$2:$JP$65479,MATCH(BA$3,[3]Sheet1!$A$2:$JP$2,0),FALSE)</f>
        <v>0.54400000000000004</v>
      </c>
      <c r="BB20" s="38">
        <f>VLOOKUP(RIGHT($A20,LEN($A20)-4),[3]Sheet1!$A$2:$JP$65479,MATCH(BB$3,[3]Sheet1!$A$2:$JP$2,0),FALSE)</f>
        <v>0.52</v>
      </c>
      <c r="BC20" s="38">
        <f>VLOOKUP(RIGHT($A20,LEN($A20)-4),[3]Sheet1!$A$2:$JP$65479,MATCH(BC$3,[3]Sheet1!$A$2:$JP$2,0),FALSE)</f>
        <v>0.53199999999999981</v>
      </c>
      <c r="BD20" s="38">
        <f>VLOOKUP(RIGHT($A20,LEN($A20)-4),[3]Sheet1!$A$2:$JP$65479,MATCH(BD$3,[3]Sheet1!$A$2:$JP$2,0),FALSE)</f>
        <v>0.54400000000000004</v>
      </c>
      <c r="BE20" s="38">
        <f>VLOOKUP(RIGHT($A20,LEN($A20)-4),[3]Sheet1!$A$2:$JP$65479,MATCH(BE$3,[3]Sheet1!$A$2:$JP$2,0),FALSE)</f>
        <v>0.55599999999999983</v>
      </c>
      <c r="BF20" s="38">
        <f>VLOOKUP(RIGHT($A20,LEN($A20)-4),[3]Sheet1!$A$2:$JP$65479,MATCH(BF$3,[3]Sheet1!$A$2:$JP$2,0),FALSE)</f>
        <v>0.56799999999999995</v>
      </c>
      <c r="BG20" s="38">
        <f>VLOOKUP(RIGHT($A20,LEN($A20)-4),[3]Sheet1!$A$2:$JP$65479,MATCH(BG$3,[3]Sheet1!$A$2:$JP$2,0),FALSE)</f>
        <v>0.59193548387096784</v>
      </c>
      <c r="BH20" s="38">
        <f>VLOOKUP(RIGHT($A20,LEN($A20)-4),[3]Sheet1!$A$2:$JP$65479,MATCH(BH$3,[3]Sheet1!$A$2:$JP$2,0),FALSE)</f>
        <v>0.6162601626016263</v>
      </c>
      <c r="BI20" s="38">
        <f>VLOOKUP(RIGHT($A20,LEN($A20)-4),[3]Sheet1!$A$2:$JP$65479,MATCH(BI$3,[3]Sheet1!$A$2:$JP$2,0),FALSE)</f>
        <v>0.64098360655737741</v>
      </c>
      <c r="BJ20" s="38">
        <f>VLOOKUP(RIGHT($A20,LEN($A20)-4),[3]Sheet1!$A$2:$JP$65479,MATCH(BJ$3,[3]Sheet1!$A$2:$JP$2,0),FALSE)</f>
        <v>0.66611570247933938</v>
      </c>
      <c r="BK20" s="38">
        <f>VLOOKUP(RIGHT($A20,LEN($A20)-4),[3]Sheet1!$A$2:$JP$65479,MATCH(BK$3,[3]Sheet1!$A$2:$JP$2,0),FALSE)</f>
        <v>0.66611570247933938</v>
      </c>
      <c r="BL20" s="38">
        <f>VLOOKUP(RIGHT($A20,LEN($A20)-4),[3]Sheet1!$A$2:$JP$65479,MATCH(BL$3,[3]Sheet1!$A$2:$JP$2,0),FALSE)</f>
        <v>0.66611570247933938</v>
      </c>
      <c r="BM20" s="38">
        <f>VLOOKUP(RIGHT($A20,LEN($A20)-4),[3]Sheet1!$A$2:$JP$65479,MATCH(BM$3,[3]Sheet1!$A$2:$JP$2,0),FALSE)</f>
        <v>0.66611570247933938</v>
      </c>
      <c r="BN20" s="38">
        <f>VLOOKUP(RIGHT($A20,LEN($A20)-4),[3]Sheet1!$A$2:$JP$65479,MATCH(BN$3,[3]Sheet1!$A$2:$JP$2,0),FALSE)</f>
        <v>0.66611570247933938</v>
      </c>
      <c r="BO20" s="38">
        <f>VLOOKUP(RIGHT($A20,LEN($A20)-4),[3]Sheet1!$A$2:$JP$65479,MATCH(BO$3,[3]Sheet1!$A$2:$JP$2,0),FALSE)</f>
        <v>0.66611570247933938</v>
      </c>
      <c r="BP20" s="38">
        <f>VLOOKUP(RIGHT($A20,LEN($A20)-4),[3]Sheet1!$A$2:$JP$65479,MATCH(BP$3,[3]Sheet1!$A$2:$JP$2,0),FALSE)</f>
        <v>0.66611570247933938</v>
      </c>
      <c r="BQ20" s="38">
        <f>VLOOKUP(RIGHT($A20,LEN($A20)-4),[3]Sheet1!$A$2:$JP$65479,MATCH(BQ$3,[3]Sheet1!$A$2:$JP$2,0),FALSE)</f>
        <v>0.66611570247933938</v>
      </c>
      <c r="BR20" s="39"/>
      <c r="BS20" s="37" t="s">
        <v>215</v>
      </c>
      <c r="BT20" s="37" t="s">
        <v>215</v>
      </c>
      <c r="BU20" s="37" t="s">
        <v>215</v>
      </c>
      <c r="BV20" s="37" t="s">
        <v>215</v>
      </c>
      <c r="BW20" s="37" t="s">
        <v>215</v>
      </c>
      <c r="BX20" s="37">
        <v>0.66979999999999995</v>
      </c>
      <c r="BY20" s="37">
        <v>0.57199999999999995</v>
      </c>
      <c r="BZ20" s="37">
        <v>0.64419999999999999</v>
      </c>
      <c r="CA20" s="37">
        <v>0.62580000000000002</v>
      </c>
      <c r="CB20" s="37">
        <v>0.60189999999999999</v>
      </c>
      <c r="CC20" s="39">
        <f>E20</f>
        <v>0.56830000000000003</v>
      </c>
      <c r="CD20" s="39">
        <f>G20</f>
        <v>0.5857</v>
      </c>
      <c r="CE20" s="39">
        <f>I20</f>
        <v>0.57289999999999996</v>
      </c>
      <c r="CF20" s="39">
        <f>K20</f>
        <v>0.62960000000000005</v>
      </c>
      <c r="CG20" s="39">
        <f>M20</f>
        <v>0.58479999999999999</v>
      </c>
      <c r="CH20" s="39">
        <f>O20</f>
        <v>0.63190000000000002</v>
      </c>
      <c r="CI20" s="39">
        <f>Q20</f>
        <v>0.61129999999999995</v>
      </c>
      <c r="CJ20" s="39">
        <f>S20</f>
        <v>0.57550000000000001</v>
      </c>
      <c r="CK20" s="39">
        <f>U20</f>
        <v>0.6996</v>
      </c>
      <c r="CL20" s="39">
        <f>W20</f>
        <v>0.74099999999999999</v>
      </c>
      <c r="CM20" s="39">
        <f>Y20</f>
        <v>0.80789999999999995</v>
      </c>
      <c r="CN20" s="39">
        <f>AA20</f>
        <v>0.70979999999999999</v>
      </c>
      <c r="CO20" s="39">
        <f>AC20</f>
        <v>0.68920000000000003</v>
      </c>
      <c r="CP20" s="39">
        <f>AE20</f>
        <v>0.68799999999999994</v>
      </c>
      <c r="CQ20" s="39">
        <f>AG20</f>
        <v>0.66890000000000005</v>
      </c>
      <c r="CR20" s="39">
        <f>AI20</f>
        <v>0.67200000000000004</v>
      </c>
      <c r="CS20" s="39">
        <f>AK20</f>
        <v>0.63500000000000001</v>
      </c>
      <c r="CT20" s="39">
        <f>AM20</f>
        <v>0.61699999999999999</v>
      </c>
      <c r="CU20" s="39">
        <f>AO20</f>
        <v>0.61140000000000005</v>
      </c>
      <c r="CV20" s="39">
        <f>AQ20</f>
        <v>0.63190000000000002</v>
      </c>
      <c r="CW20" s="39">
        <f>AS20</f>
        <v>0.65759999999999996</v>
      </c>
      <c r="CX20" s="39">
        <f>AU20</f>
        <v>0.61019999999999996</v>
      </c>
      <c r="CY20" s="39">
        <f>AW20</f>
        <v>0.61980000000000002</v>
      </c>
      <c r="CZ20" s="40">
        <f>AY20</f>
        <v>0.55759999999999998</v>
      </c>
      <c r="DA20" s="39">
        <f>BA20</f>
        <v>0.54400000000000004</v>
      </c>
      <c r="DB20" s="39">
        <f>BC20</f>
        <v>0.53199999999999981</v>
      </c>
      <c r="DC20" s="39">
        <f>BE20</f>
        <v>0.55599999999999983</v>
      </c>
      <c r="DD20" s="39">
        <f>BG20</f>
        <v>0.59193548387096784</v>
      </c>
      <c r="DE20" s="39">
        <f>BI20</f>
        <v>0.64098360655737741</v>
      </c>
      <c r="DF20" s="39">
        <f>BK20</f>
        <v>0.66611570247933938</v>
      </c>
      <c r="DG20" s="39">
        <f>BM20</f>
        <v>0.66611570247933938</v>
      </c>
      <c r="DH20" s="39">
        <f>BO20</f>
        <v>0.66611570247933938</v>
      </c>
      <c r="DI20" s="39">
        <f>BQ20</f>
        <v>0.66611570247933938</v>
      </c>
    </row>
    <row r="21" spans="1:113" outlineLevel="1">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488"/>
      <c r="AZ21" s="40"/>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c r="CE21" s="39"/>
      <c r="CF21" s="39"/>
      <c r="CG21" s="39"/>
      <c r="CH21" s="39"/>
      <c r="CI21" s="39"/>
      <c r="CJ21" s="39"/>
      <c r="CK21" s="39"/>
      <c r="CL21" s="39"/>
      <c r="CM21" s="39"/>
      <c r="CN21" s="39"/>
      <c r="CO21" s="39"/>
      <c r="CP21" s="39"/>
      <c r="CQ21" s="39"/>
      <c r="CR21" s="39"/>
      <c r="CS21" s="39"/>
      <c r="CT21" s="39"/>
      <c r="CU21" s="39"/>
      <c r="CV21" s="39"/>
      <c r="CW21" s="39"/>
      <c r="CX21" s="39"/>
      <c r="CY21" s="39"/>
      <c r="CZ21" s="40"/>
      <c r="DA21" s="39"/>
      <c r="DB21" s="39"/>
    </row>
    <row r="22" spans="1:113" outlineLevel="1">
      <c r="B22" s="24" t="s">
        <v>216</v>
      </c>
      <c r="C22" s="39"/>
      <c r="D22" s="39"/>
      <c r="E22" s="39"/>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488"/>
      <c r="AZ22" s="40"/>
      <c r="BA22" s="39"/>
      <c r="BB22" s="39"/>
      <c r="BC22" s="39"/>
      <c r="BD22" s="39"/>
      <c r="BE22" s="39"/>
      <c r="BF22" s="39"/>
      <c r="BG22" s="39"/>
      <c r="BH22" s="39"/>
      <c r="BI22" s="39"/>
      <c r="BJ22" s="39"/>
      <c r="BK22" s="39"/>
      <c r="BL22" s="39"/>
      <c r="BM22" s="39"/>
      <c r="BN22" s="39"/>
      <c r="BO22" s="39"/>
      <c r="BP22" s="39"/>
      <c r="BQ22" s="39"/>
      <c r="BR22" s="39"/>
      <c r="BS22" s="39"/>
      <c r="BT22" s="39"/>
      <c r="BU22" s="39"/>
      <c r="BV22" s="39"/>
      <c r="BW22" s="39"/>
      <c r="BX22" s="39"/>
      <c r="BY22" s="39"/>
      <c r="BZ22" s="39"/>
      <c r="CA22" s="39"/>
      <c r="CB22" s="39"/>
      <c r="CC22" s="39"/>
      <c r="CD22" s="39"/>
      <c r="CE22" s="39"/>
      <c r="CF22" s="39"/>
      <c r="CG22" s="39"/>
      <c r="CH22" s="39"/>
      <c r="CI22" s="39"/>
      <c r="CJ22" s="39"/>
      <c r="CK22" s="39"/>
      <c r="CL22" s="39"/>
      <c r="CM22" s="39"/>
      <c r="CN22" s="39"/>
      <c r="CO22" s="39"/>
      <c r="CP22" s="39"/>
      <c r="CQ22" s="39"/>
      <c r="CR22" s="39"/>
      <c r="CS22" s="39"/>
      <c r="CT22" s="39"/>
      <c r="CU22" s="39"/>
      <c r="CV22" s="39"/>
      <c r="CW22" s="39"/>
      <c r="CX22" s="39"/>
      <c r="CY22" s="39"/>
      <c r="CZ22" s="40"/>
      <c r="DA22" s="39"/>
      <c r="DB22" s="39"/>
    </row>
    <row r="23" spans="1:113" outlineLevel="1">
      <c r="A23" s="1" t="s">
        <v>568</v>
      </c>
      <c r="B23" s="19" t="s">
        <v>211</v>
      </c>
      <c r="C23" s="39">
        <f t="shared" ref="C23:L23" si="73">SUMPRODUCT(B17:C17,B$5:C$5)/SUM(B$5:C$5)</f>
        <v>0.36120000000000002</v>
      </c>
      <c r="D23" s="39">
        <f t="shared" si="73"/>
        <v>0.35658821917808226</v>
      </c>
      <c r="E23" s="39">
        <f t="shared" si="73"/>
        <v>0.35976410958904109</v>
      </c>
      <c r="F23" s="39">
        <f t="shared" si="73"/>
        <v>0.36001205479452059</v>
      </c>
      <c r="G23" s="39">
        <f t="shared" si="73"/>
        <v>0.3798739726027397</v>
      </c>
      <c r="H23" s="39">
        <f t="shared" si="73"/>
        <v>0.41414998575776202</v>
      </c>
      <c r="I23" s="39">
        <f t="shared" si="73"/>
        <v>0.40259726775956289</v>
      </c>
      <c r="J23" s="39">
        <f t="shared" si="73"/>
        <v>0.39432825960201534</v>
      </c>
      <c r="K23" s="39">
        <f t="shared" si="73"/>
        <v>0.41523424657534247</v>
      </c>
      <c r="L23" s="39">
        <f t="shared" si="73"/>
        <v>0.42525123287671229</v>
      </c>
      <c r="M23" s="39">
        <f t="shared" ref="M23:W23" si="74">SUMPRODUCT(L17:M17,L$5:M$5)/SUM(L$5:M$5)</f>
        <v>0.4151186301369863</v>
      </c>
      <c r="N23" s="39">
        <f t="shared" si="74"/>
        <v>0.40401068493150682</v>
      </c>
      <c r="O23" s="39">
        <f t="shared" si="74"/>
        <v>0.41348794520547943</v>
      </c>
      <c r="P23" s="39">
        <f t="shared" si="74"/>
        <v>0.43259142167518699</v>
      </c>
      <c r="Q23" s="39">
        <f t="shared" si="74"/>
        <v>0.46276721311475411</v>
      </c>
      <c r="R23" s="39">
        <f t="shared" si="74"/>
        <v>0.48181571456336802</v>
      </c>
      <c r="S23" s="39">
        <f t="shared" si="74"/>
        <v>0.48287753424657537</v>
      </c>
      <c r="T23" s="39">
        <f t="shared" si="74"/>
        <v>0.5217553424657535</v>
      </c>
      <c r="U23" s="39">
        <f t="shared" si="74"/>
        <v>0.56329397260273972</v>
      </c>
      <c r="V23" s="39">
        <f t="shared" si="74"/>
        <v>0.61327972602739722</v>
      </c>
      <c r="W23" s="39">
        <f t="shared" si="74"/>
        <v>0.66323698630136985</v>
      </c>
      <c r="X23" s="39">
        <f>SUMPRODUCT(W17:X17,W$5:X$5)/SUM(W$5:X$5)</f>
        <v>0.66342946044405793</v>
      </c>
      <c r="Y23" s="39">
        <f t="shared" ref="Y23:AQ23" si="75">SUMPRODUCT(X17:Y17,X$5:Y$5)/SUM(X$5:Y$5)</f>
        <v>0.6549775956284154</v>
      </c>
      <c r="Z23" s="39">
        <f t="shared" si="75"/>
        <v>0.64697698805448001</v>
      </c>
      <c r="AA23" s="39">
        <f t="shared" si="75"/>
        <v>0.62515452054794518</v>
      </c>
      <c r="AB23" s="39">
        <f t="shared" si="75"/>
        <v>0.57526794520547953</v>
      </c>
      <c r="AC23" s="39">
        <f t="shared" si="75"/>
        <v>0.54749150684931502</v>
      </c>
      <c r="AD23" s="39">
        <f t="shared" si="75"/>
        <v>0.53945808219178082</v>
      </c>
      <c r="AE23" s="39">
        <f t="shared" si="75"/>
        <v>0.50759835616438354</v>
      </c>
      <c r="AF23" s="39">
        <f t="shared" si="75"/>
        <v>0.49108766772109202</v>
      </c>
      <c r="AG23" s="39">
        <f t="shared" si="75"/>
        <v>0.52331530054644815</v>
      </c>
      <c r="AH23" s="39">
        <f t="shared" si="75"/>
        <v>0.57152530835588378</v>
      </c>
      <c r="AI23" s="39">
        <f t="shared" si="75"/>
        <v>0.59010164383561658</v>
      </c>
      <c r="AJ23" s="39">
        <f t="shared" si="75"/>
        <v>0.58504356164383564</v>
      </c>
      <c r="AK23" s="39">
        <f t="shared" si="75"/>
        <v>0.57153342465753421</v>
      </c>
      <c r="AL23" s="39">
        <f t="shared" si="75"/>
        <v>0.55992958904109602</v>
      </c>
      <c r="AM23" s="39">
        <f t="shared" si="75"/>
        <v>0.55478767123287676</v>
      </c>
      <c r="AN23" s="39">
        <f t="shared" si="75"/>
        <v>0.54376577215417599</v>
      </c>
      <c r="AO23" s="39">
        <f t="shared" si="75"/>
        <v>0.54631639344262295</v>
      </c>
      <c r="AP23" s="39">
        <f t="shared" si="75"/>
        <v>0.56202506167117672</v>
      </c>
      <c r="AQ23" s="39">
        <f t="shared" si="75"/>
        <v>0.55430712328767129</v>
      </c>
      <c r="AR23" s="488">
        <v>0.53680000000000005</v>
      </c>
      <c r="AS23" s="488">
        <v>0.55430000000000001</v>
      </c>
      <c r="AT23" s="488">
        <v>0.57040000000000002</v>
      </c>
      <c r="AU23" s="488">
        <v>0.54859999999999998</v>
      </c>
      <c r="AV23" s="488">
        <v>0.52070000000000005</v>
      </c>
      <c r="AW23" s="488">
        <v>0.52070000000000005</v>
      </c>
      <c r="AX23" s="488">
        <v>0.51239999999999997</v>
      </c>
      <c r="AY23" s="488">
        <v>0.50090000000000001</v>
      </c>
      <c r="AZ23" s="780">
        <v>0.48586322383846325</v>
      </c>
      <c r="BA23" s="39">
        <f t="shared" ref="BA23:BE23" si="76">SUMPRODUCT(AZ17:BA17,AZ$5:BA$5)/SUM(AZ$5:BA$5)</f>
        <v>0.48365634408199443</v>
      </c>
      <c r="BB23" s="39">
        <f t="shared" si="76"/>
        <v>0.47505819679469963</v>
      </c>
      <c r="BC23" s="39">
        <f t="shared" si="76"/>
        <v>0.48532709583072192</v>
      </c>
      <c r="BD23" s="39">
        <f t="shared" si="76"/>
        <v>0.49997670009479994</v>
      </c>
      <c r="BE23" s="39">
        <f t="shared" si="76"/>
        <v>0.51406686100412147</v>
      </c>
      <c r="BF23" s="39">
        <f t="shared" ref="BF23:BM26" si="77">SUMPRODUCT(BE17:BF17,BE$5:BF$5)/SUM(BE$5:BF$5)</f>
        <v>0.52717170402322966</v>
      </c>
      <c r="BG23" s="39">
        <f t="shared" si="77"/>
        <v>0.54631891544712141</v>
      </c>
      <c r="BH23" s="39">
        <f t="shared" si="77"/>
        <v>0.57118323763892753</v>
      </c>
      <c r="BI23" s="39">
        <f t="shared" si="77"/>
        <v>0.59708675954949153</v>
      </c>
      <c r="BJ23" s="39">
        <f t="shared" si="77"/>
        <v>0.62320804589633361</v>
      </c>
      <c r="BK23" s="39">
        <f t="shared" si="77"/>
        <v>0.6366508688783562</v>
      </c>
      <c r="BL23" s="39">
        <f t="shared" si="77"/>
        <v>0.6366508688783562</v>
      </c>
      <c r="BM23" s="39">
        <f t="shared" si="77"/>
        <v>0.63665086887835631</v>
      </c>
      <c r="BN23" s="39">
        <f t="shared" ref="BN23:BN26" si="78">SUMPRODUCT(BM17:BN17,BM$5:BN$5)/SUM(BM$5:BN$5)</f>
        <v>0.6366508688783562</v>
      </c>
      <c r="BO23" s="39">
        <f t="shared" ref="BO23:BO26" si="79">SUMPRODUCT(BN17:BO17,BN$5:BO$5)/SUM(BN$5:BO$5)</f>
        <v>0.6366508688783562</v>
      </c>
      <c r="BP23" s="39">
        <f t="shared" ref="BP23:BP26" si="80">SUMPRODUCT(BO17:BP17,BO$5:BP$5)/SUM(BO$5:BP$5)</f>
        <v>0.6366508688783562</v>
      </c>
      <c r="BQ23" s="39">
        <f t="shared" ref="BQ23:BQ26" si="81">SUMPRODUCT(BP17:BQ17,BP$5:BQ$5)/SUM(BP$5:BQ$5)</f>
        <v>0.6366508688783562</v>
      </c>
      <c r="BR23" s="39"/>
      <c r="BS23" s="37">
        <v>0.39195000000000002</v>
      </c>
      <c r="BT23" s="37">
        <v>0.44440000000000002</v>
      </c>
      <c r="BU23" s="37">
        <v>0.47220000000000001</v>
      </c>
      <c r="BV23" s="37">
        <v>0.4471</v>
      </c>
      <c r="BW23" s="37">
        <v>0.50970000000000004</v>
      </c>
      <c r="BX23" s="37">
        <v>0.44819999999999999</v>
      </c>
      <c r="BY23" s="37">
        <v>0.36749999999999999</v>
      </c>
      <c r="BZ23" s="37">
        <v>0.41899999999999998</v>
      </c>
      <c r="CA23" s="37">
        <v>0.39429999999999998</v>
      </c>
      <c r="CB23" s="37">
        <v>0.36120000000000002</v>
      </c>
      <c r="CC23" s="39">
        <f>SUMPRODUCT(D23:E23,D$5:E$5)/SUM(D$5:E$5)</f>
        <v>0.35818921598799025</v>
      </c>
      <c r="CD23" s="39">
        <f>SUMPRODUCT(F23:G23,F$5:G$5)/SUM(F$5:G$5)</f>
        <v>0.37002463801838997</v>
      </c>
      <c r="CE23" s="39">
        <f>SUMPRODUCT(H23:I23,H$5:I$5)/SUM(H$5:I$5)</f>
        <v>0.40834206195538869</v>
      </c>
      <c r="CF23" s="39">
        <f>SUMPRODUCT(J23:K23,J$5:K$5)/SUM(J$5:K$5)</f>
        <v>0.40486716810363776</v>
      </c>
      <c r="CG23" s="39">
        <f>SUMPRODUCT(L23:M23,L$5:M$5)/SUM(L$5:M$5)</f>
        <v>0.42014329067367234</v>
      </c>
      <c r="CH23" s="39">
        <f>SUMPRODUCT(N23:O23,N$5:O$5)/SUM(N$5:O$5)</f>
        <v>0.40878826271345464</v>
      </c>
      <c r="CI23" s="39">
        <f>SUMPRODUCT(P23:Q23,P$5:Q$5)/SUM(P$5:Q$5)</f>
        <v>0.44776176491256503</v>
      </c>
      <c r="CJ23" s="39">
        <f>SUMPRODUCT(R23:S23,R$5:S$5)/SUM(R$5:S$5)</f>
        <v>0.48235098804750542</v>
      </c>
      <c r="CK23" s="39">
        <f>SUMPRODUCT(T23:U23,T$5:U$5)/SUM(T$5:U$5)</f>
        <v>0.54269536423343967</v>
      </c>
      <c r="CL23" s="39">
        <f>SUMPRODUCT(V23:W23,V$5:W$5)/SUM(V$5:W$5)</f>
        <v>0.63846365997372856</v>
      </c>
      <c r="CM23" s="39">
        <f>SUMPRODUCT(X23:Y23,X$5:Y$5)/SUM(X$5:Y$5)</f>
        <v>0.65918043550941807</v>
      </c>
      <c r="CN23" s="39">
        <f>SUMPRODUCT(Z23:AA23,Z$5:AA$5)/SUM(Z$5:AA$5)</f>
        <v>0.63597607292789804</v>
      </c>
      <c r="CO23" s="39">
        <f>SUMPRODUCT(AB23:AC23,AB$5:AC$5)/SUM(AB$5:AC$5)</f>
        <v>0.56126557628072804</v>
      </c>
      <c r="CP23" s="39">
        <f>SUMPRODUCT(AD23:AE23,AD$5:AE$5)/SUM(AD$5:AE$5)</f>
        <v>0.52339728879714764</v>
      </c>
      <c r="CQ23" s="39">
        <f>SUMPRODUCT(AF23:AG23,AF$5:AG$5)/SUM(AF$5:AG$5)</f>
        <v>0.50728953777536934</v>
      </c>
      <c r="CR23" s="39">
        <f>SUMPRODUCT(AH23:AI23,AH$5:AI$5)/SUM(AH$5:AI$5)</f>
        <v>0.58088981720046151</v>
      </c>
      <c r="CS23" s="39">
        <f>SUMPRODUCT(AJ23:AK23,AJ$5:AK$5)/SUM(AJ$5:AK$5)</f>
        <v>0.57823297203978219</v>
      </c>
      <c r="CT23" s="39">
        <f>SUMPRODUCT(AL23:AM23,AL$5:AM$5)/SUM(AL$5:AM$5)</f>
        <v>0.55733749896791163</v>
      </c>
      <c r="CU23" s="39">
        <f>SUMPRODUCT(AN23:AO23,AN$5:AO$5)/SUM(AN$5:AO$5)</f>
        <v>0.54504805170902371</v>
      </c>
      <c r="CV23" s="39">
        <f>SUMPRODUCT(AP23:AQ23,AP$5:AQ$5)/SUM(AP$5:AQ$5)</f>
        <v>0.55813437492442319</v>
      </c>
      <c r="CW23" s="39">
        <f>SUMPRODUCT(AR23:AS23,AR$5:AS$5)/SUM(AR$5:AS$5)</f>
        <v>0.54562191780821923</v>
      </c>
      <c r="CX23" s="39">
        <f>SUMPRODUCT(AT23:AU23,AT$5:AU$5)/SUM(AT$5:AU$5)</f>
        <v>0.55941041095890398</v>
      </c>
      <c r="CY23" s="39">
        <f>SUMPRODUCT(AV23:AW23,AV$5:AW$5)/SUM(AV$5:AW$5)</f>
        <v>0.52070000000000005</v>
      </c>
      <c r="CZ23" s="40">
        <f>SUMPRODUCT(AX23:AY23,AX$5:AY$5)/SUM(AX$5:AY$5)</f>
        <v>0.50660273972602732</v>
      </c>
      <c r="DA23" s="39">
        <f>SUMPRODUCT(AZ23:BA23,AZ$5:BA$5)/SUM(AZ$5:BA$5)</f>
        <v>0.48475071459136665</v>
      </c>
      <c r="DB23" s="39">
        <f>SUMPRODUCT(BB23:BC23,BB$5:BC$5)/SUM(BB$5:BC$5)</f>
        <v>0.48023484726765331</v>
      </c>
      <c r="DC23" s="39">
        <f>SUMPRODUCT(BD23:BE23,BD$5:BE$5)/SUM(BD$5:BE$5)</f>
        <v>0.50706027825686328</v>
      </c>
      <c r="DD23" s="39">
        <f>SUMPRODUCT(BF23:BG23,BF$5:BG$5)/SUM(BF$5:BG$5)</f>
        <v>0.53682399690541072</v>
      </c>
      <c r="DE23" s="39">
        <f>SUMPRODUCT(BH23:BI23,BH$5:BI$5)/SUM(BH$5:BI$5)</f>
        <v>0.58424145142397899</v>
      </c>
      <c r="DF23" s="39">
        <f>SUMPRODUCT(BJ23:BK23,BJ$5:BK$5)/SUM(BJ$5:BK$5)</f>
        <v>0.62998470186535327</v>
      </c>
      <c r="DG23" s="39">
        <f>SUMPRODUCT(BL23:BM23,BL$5:BM$5)/SUM(BL$5:BM$5)</f>
        <v>0.63665086887835642</v>
      </c>
      <c r="DH23" s="39">
        <f>SUMPRODUCT(BN23:BO23,BN$5:BO$5)/SUM(BN$5:BO$5)</f>
        <v>0.6366508688783562</v>
      </c>
      <c r="DI23" s="39">
        <f>SUMPRODUCT(BP23:BQ23,BP$5:BQ$5)/SUM(BP$5:BQ$5)</f>
        <v>0.6366508688783562</v>
      </c>
    </row>
    <row r="24" spans="1:113" outlineLevel="1">
      <c r="A24" s="1" t="s">
        <v>702</v>
      </c>
      <c r="B24" s="19" t="s">
        <v>212</v>
      </c>
      <c r="C24" s="39">
        <f t="shared" ref="C24:L26" si="82">SUMPRODUCT(B18:C18,B$5:C$5)/SUM(B$5:C$5)</f>
        <v>0.51139999999999997</v>
      </c>
      <c r="D24" s="39">
        <f t="shared" si="82"/>
        <v>0.51095369863013695</v>
      </c>
      <c r="E24" s="39">
        <f t="shared" si="82"/>
        <v>0.5372682191780821</v>
      </c>
      <c r="F24" s="39">
        <f t="shared" si="82"/>
        <v>0.56444301369863015</v>
      </c>
      <c r="G24" s="39">
        <f t="shared" si="82"/>
        <v>0.61989506849315068</v>
      </c>
      <c r="H24" s="39">
        <f t="shared" si="82"/>
        <v>0.71099204983284114</v>
      </c>
      <c r="I24" s="39">
        <f t="shared" si="82"/>
        <v>0.7237633879781421</v>
      </c>
      <c r="J24" s="39">
        <f t="shared" si="82"/>
        <v>0.73892465352011605</v>
      </c>
      <c r="K24" s="39">
        <f t="shared" si="82"/>
        <v>0.77077890410958905</v>
      </c>
      <c r="L24" s="39">
        <f t="shared" si="82"/>
        <v>0.74826547945205479</v>
      </c>
      <c r="M24" s="39">
        <f t="shared" ref="M24:W24" si="83">SUMPRODUCT(L18:M18,L$5:M$5)/SUM(L$5:M$5)</f>
        <v>0.73848575342465761</v>
      </c>
      <c r="N24" s="39">
        <f t="shared" si="83"/>
        <v>0.76685068493150688</v>
      </c>
      <c r="O24" s="39">
        <f t="shared" si="83"/>
        <v>0.82074000000000003</v>
      </c>
      <c r="P24" s="39">
        <f t="shared" si="83"/>
        <v>0.86549106486964611</v>
      </c>
      <c r="Q24" s="39">
        <f t="shared" si="83"/>
        <v>0.92377978142076511</v>
      </c>
      <c r="R24" s="39">
        <f>SUMPRODUCT(Q18:R18,Q$5:R$5)/SUM(Q$5:R$5)</f>
        <v>0.82988365003662889</v>
      </c>
      <c r="S24" s="39">
        <f>SUMPRODUCT(R18:S18,R$5:S$5)/SUM(R$5:S$5)</f>
        <v>0.7530956164383561</v>
      </c>
      <c r="T24" s="39">
        <f>SUMPRODUCT(S18:T18,S$5:T$5)/SUM(S$5:T$5)</f>
        <v>0.85460438356164381</v>
      </c>
      <c r="U24" s="39">
        <f t="shared" si="83"/>
        <v>0.87628109589041103</v>
      </c>
      <c r="V24" s="39">
        <f t="shared" si="83"/>
        <v>0.93578794520547937</v>
      </c>
      <c r="W24" s="39">
        <f t="shared" si="83"/>
        <v>1.0457342465753423</v>
      </c>
      <c r="X24" s="39">
        <f>SUMPRODUCT(W18:X18,W$5:X$5)/SUM(W$5:X$5)</f>
        <v>1.0451490292790429</v>
      </c>
      <c r="Y24" s="39">
        <f t="shared" ref="Y24:AQ24" si="84">SUMPRODUCT(X18:Y18,X$5:Y$5)/SUM(X$5:Y$5)</f>
        <v>1.0170060109289618</v>
      </c>
      <c r="Z24" s="39">
        <f t="shared" si="84"/>
        <v>1.0282799677067291</v>
      </c>
      <c r="AA24" s="39">
        <f t="shared" si="84"/>
        <v>0.98224054794520543</v>
      </c>
      <c r="AB24" s="39">
        <f t="shared" si="84"/>
        <v>0.910485205479452</v>
      </c>
      <c r="AC24" s="39">
        <f t="shared" si="84"/>
        <v>0.91739150684931503</v>
      </c>
      <c r="AD24" s="39">
        <f t="shared" si="84"/>
        <v>0.8801501369863014</v>
      </c>
      <c r="AE24" s="39">
        <f t="shared" si="84"/>
        <v>0.79324164383561635</v>
      </c>
      <c r="AF24" s="39">
        <f t="shared" si="84"/>
        <v>0.74957777611201903</v>
      </c>
      <c r="AG24" s="39">
        <f t="shared" si="84"/>
        <v>0.73698360655737716</v>
      </c>
      <c r="AH24" s="39">
        <f t="shared" si="84"/>
        <v>0.73341661608384301</v>
      </c>
      <c r="AI24" s="39">
        <f t="shared" si="84"/>
        <v>0.74618410958904113</v>
      </c>
      <c r="AJ24" s="39">
        <f t="shared" si="84"/>
        <v>0.77410273972602739</v>
      </c>
      <c r="AK24" s="39">
        <f t="shared" si="84"/>
        <v>0.75913068493150693</v>
      </c>
      <c r="AL24" s="39">
        <f t="shared" si="84"/>
        <v>0.7223356164383562</v>
      </c>
      <c r="AM24" s="39">
        <f t="shared" si="84"/>
        <v>0.70348191780821923</v>
      </c>
      <c r="AN24" s="39">
        <f t="shared" si="84"/>
        <v>0.70085308306972705</v>
      </c>
      <c r="AO24" s="39">
        <f t="shared" si="84"/>
        <v>0.69285901639344261</v>
      </c>
      <c r="AP24" s="39">
        <f t="shared" si="84"/>
        <v>0.72765928057769069</v>
      </c>
      <c r="AQ24" s="39">
        <f t="shared" si="84"/>
        <v>0.76122438356164379</v>
      </c>
      <c r="AR24" s="488">
        <v>0.73180000000000001</v>
      </c>
      <c r="AS24" s="488">
        <v>0.71960000000000002</v>
      </c>
      <c r="AT24" s="488">
        <v>0.67049999999999998</v>
      </c>
      <c r="AU24" s="488">
        <v>0.67630000000000001</v>
      </c>
      <c r="AV24" s="488">
        <v>0.65290000000000004</v>
      </c>
      <c r="AW24" s="488">
        <v>0.65880000000000005</v>
      </c>
      <c r="AX24" s="488">
        <v>0.6613</v>
      </c>
      <c r="AY24" s="488">
        <v>0.64800000000000002</v>
      </c>
      <c r="AZ24" s="780">
        <v>0.66086971232876723</v>
      </c>
      <c r="BA24" s="39">
        <f t="shared" ref="BA24:BE24" si="85">SUMPRODUCT(AZ18:BA18,AZ$5:BA$5)/SUM(AZ$5:BA$5)</f>
        <v>0.67372450684931506</v>
      </c>
      <c r="BB24" s="39">
        <f t="shared" si="85"/>
        <v>0.66512328767123285</v>
      </c>
      <c r="BC24" s="39">
        <f t="shared" si="85"/>
        <v>0.65756164383561633</v>
      </c>
      <c r="BD24" s="39">
        <f t="shared" si="85"/>
        <v>0.67244861550454993</v>
      </c>
      <c r="BE24" s="39">
        <f t="shared" si="85"/>
        <v>0.68754098360655735</v>
      </c>
      <c r="BF24" s="39">
        <f t="shared" si="77"/>
        <v>0.70244875685858232</v>
      </c>
      <c r="BG24" s="39">
        <f t="shared" si="77"/>
        <v>0.72209863013698627</v>
      </c>
      <c r="BH24" s="39">
        <f t="shared" si="77"/>
        <v>0.7459013698630137</v>
      </c>
      <c r="BI24" s="39">
        <f t="shared" si="77"/>
        <v>0.77009863013698621</v>
      </c>
      <c r="BJ24" s="39">
        <f t="shared" si="77"/>
        <v>0.79390136986301363</v>
      </c>
      <c r="BK24" s="39">
        <f t="shared" si="77"/>
        <v>0.80600000000000016</v>
      </c>
      <c r="BL24" s="39">
        <f t="shared" si="77"/>
        <v>0.80600000000000005</v>
      </c>
      <c r="BM24" s="39">
        <f t="shared" si="77"/>
        <v>0.80600000000000005</v>
      </c>
      <c r="BN24" s="39">
        <f t="shared" si="78"/>
        <v>0.80600000000000005</v>
      </c>
      <c r="BO24" s="39">
        <f t="shared" si="79"/>
        <v>0.80600000000000016</v>
      </c>
      <c r="BP24" s="39">
        <f t="shared" si="80"/>
        <v>0.80600000000000016</v>
      </c>
      <c r="BQ24" s="39">
        <f t="shared" si="81"/>
        <v>0.80600000000000016</v>
      </c>
      <c r="BR24" s="39"/>
      <c r="BS24" s="37">
        <v>0.74775000000000003</v>
      </c>
      <c r="BT24" s="37">
        <v>0.67149999999999999</v>
      </c>
      <c r="BU24" s="37">
        <v>0.7298</v>
      </c>
      <c r="BV24" s="37">
        <v>0.71120000000000005</v>
      </c>
      <c r="BW24" s="37">
        <v>0.78910000000000002</v>
      </c>
      <c r="BX24" s="37">
        <v>0.74570000000000003</v>
      </c>
      <c r="BY24" s="37">
        <v>0.61280000000000001</v>
      </c>
      <c r="BZ24" s="37">
        <v>0.65990000000000004</v>
      </c>
      <c r="CA24" s="37">
        <v>0.59819999999999995</v>
      </c>
      <c r="CB24" s="37">
        <v>0.50800000000000001</v>
      </c>
      <c r="CC24" s="39">
        <f>SUMPRODUCT(D24:E24,D$5:E$5)/SUM(D$5:E$5)</f>
        <v>0.52421910076937506</v>
      </c>
      <c r="CD24" s="39">
        <f>SUMPRODUCT(F24:G24,F$5:G$5)/SUM(F$5:G$5)</f>
        <v>0.59239692625258011</v>
      </c>
      <c r="CE24" s="39">
        <f>SUMPRODUCT(H24:I24,H$5:I$5)/SUM(H$5:I$5)</f>
        <v>0.71741261327200889</v>
      </c>
      <c r="CF24" s="39">
        <f>SUMPRODUCT(J24:K24,J$5:K$5)/SUM(J$5:K$5)</f>
        <v>0.75498268669398749</v>
      </c>
      <c r="CG24" s="39">
        <f>SUMPRODUCT(L24:M24,L$5:M$5)/SUM(L$5:M$5)</f>
        <v>0.74333542578344913</v>
      </c>
      <c r="CH24" s="39">
        <f>SUMPRODUCT(N24:O24,N$5:O$5)/SUM(N$5:O$5)</f>
        <v>0.79401680540439101</v>
      </c>
      <c r="CI24" s="39">
        <f>SUMPRODUCT(P24:Q24,P$5:Q$5)/SUM(P$5:Q$5)</f>
        <v>0.89479468193359668</v>
      </c>
      <c r="CJ24" s="39">
        <f>SUMPRODUCT(R24:S24,R$5:S$5)/SUM(R$5:S$5)</f>
        <v>0.79117406597612971</v>
      </c>
      <c r="CK24" s="39">
        <f>SUMPRODUCT(T24:U24,T$5:U$5)/SUM(T$5:U$5)</f>
        <v>0.86553182210546076</v>
      </c>
      <c r="CL24" s="39">
        <f>SUMPRODUCT(V24:W24,V$5:W$5)/SUM(V$5:W$5)</f>
        <v>0.99121293000562949</v>
      </c>
      <c r="CM24" s="39">
        <f>SUMPRODUCT(X24:Y24,X$5:Y$5)/SUM(X$5:Y$5)</f>
        <v>1.0310006266112428</v>
      </c>
      <c r="CN24" s="39">
        <f>SUMPRODUCT(Z24:AA24,Z$5:AA$5)/SUM(Z$5:AA$5)</f>
        <v>1.0050710547310571</v>
      </c>
      <c r="CO24" s="39">
        <f>SUMPRODUCT(AB24:AC24,AB$5:AC$5)/SUM(AB$5:AC$5)</f>
        <v>0.91396673822480767</v>
      </c>
      <c r="CP24" s="39">
        <f>SUMPRODUCT(AD24:AE24,AD$5:AE$5)/SUM(AD$5:AE$5)</f>
        <v>0.8363387322199286</v>
      </c>
      <c r="CQ24" s="39">
        <f>SUMPRODUCT(AF24:AG24,AF$5:AG$5)/SUM(AF$5:AG$5)</f>
        <v>0.74324628103536849</v>
      </c>
      <c r="CR24" s="39">
        <f>SUMPRODUCT(AH24:AI24,AH$5:AI$5)/SUM(AH$5:AI$5)</f>
        <v>0.73985283198783325</v>
      </c>
      <c r="CS24" s="39">
        <f>SUMPRODUCT(AJ24:AK24,AJ$5:AK$5)/SUM(AJ$5:AK$5)</f>
        <v>0.76655518333646089</v>
      </c>
      <c r="CT24" s="39">
        <f>SUMPRODUCT(AL24:AM24,AL$5:AM$5)/SUM(AL$5:AM$5)</f>
        <v>0.71283128617001323</v>
      </c>
      <c r="CU24" s="39">
        <f>SUMPRODUCT(AN24:AO24,AN$5:AO$5)/SUM(AN$5:AO$5)</f>
        <v>0.69683420801935458</v>
      </c>
      <c r="CV24" s="39">
        <f>SUMPRODUCT(AP24:AQ24,AP$5:AQ$5)/SUM(AP$5:AQ$5)</f>
        <v>0.74457977084905325</v>
      </c>
      <c r="CW24" s="39">
        <f>SUMPRODUCT(AR24:AS24,AR$5:AS$5)/SUM(AR$5:AS$5)</f>
        <v>0.7256498630136986</v>
      </c>
      <c r="CX24" s="39">
        <f>SUMPRODUCT(AT24:AU24,AT$5:AU$5)/SUM(AT$5:AU$5)</f>
        <v>0.67342383561643837</v>
      </c>
      <c r="CY24" s="39">
        <f>SUMPRODUCT(AV24:AW24,AV$5:AW$5)/SUM(AV$5:AW$5)</f>
        <v>0.65586612021857926</v>
      </c>
      <c r="CZ24" s="40">
        <f>SUMPRODUCT(AX24:AY24,AX$5:AY$5)/SUM(AX$5:AY$5)</f>
        <v>0.65459534246575346</v>
      </c>
      <c r="DA24" s="39">
        <f>SUMPRODUCT(AZ24:BA24,AZ$5:BA$5)/SUM(AZ$5:BA$5)</f>
        <v>0.66734993751172822</v>
      </c>
      <c r="DB24" s="39">
        <f>SUMPRODUCT(BB24:BC24,BB$5:BC$5)/SUM(BB$5:BC$5)</f>
        <v>0.66131139050478505</v>
      </c>
      <c r="DC24" s="39">
        <f>SUMPRODUCT(BD24:BE24,BD$5:BE$5)/SUM(BD$5:BE$5)</f>
        <v>0.6800360355339744</v>
      </c>
      <c r="DD24" s="39">
        <f>SUMPRODUCT(BF24:BG24,BF$5:BG$5)/SUM(BF$5:BG$5)</f>
        <v>0.71235444640166801</v>
      </c>
      <c r="DE24" s="39">
        <f>SUMPRODUCT(BH24:BI24,BH$5:BI$5)/SUM(BH$5:BI$5)</f>
        <v>0.7580994407956464</v>
      </c>
      <c r="DF24" s="39">
        <f>SUMPRODUCT(BJ24:BK24,BJ$5:BK$5)/SUM(BJ$5:BK$5)</f>
        <v>0.80000040532933014</v>
      </c>
      <c r="DG24" s="39">
        <f>SUMPRODUCT(BL24:BM24,BL$5:BM$5)/SUM(BL$5:BM$5)</f>
        <v>0.80600000000000005</v>
      </c>
      <c r="DH24" s="39">
        <f>SUMPRODUCT(BN24:BO24,BN$5:BO$5)/SUM(BN$5:BO$5)</f>
        <v>0.80600000000000016</v>
      </c>
      <c r="DI24" s="39">
        <f>SUMPRODUCT(BP24:BQ24,BP$5:BQ$5)/SUM(BP$5:BQ$5)</f>
        <v>0.80600000000000016</v>
      </c>
    </row>
    <row r="25" spans="1:113" outlineLevel="1">
      <c r="A25" s="1" t="s">
        <v>2511</v>
      </c>
      <c r="B25" s="19" t="s">
        <v>213</v>
      </c>
      <c r="C25" s="39">
        <f t="shared" si="82"/>
        <v>1.2589999999999999</v>
      </c>
      <c r="D25" s="39">
        <f t="shared" si="82"/>
        <v>1.2442224657534247</v>
      </c>
      <c r="E25" s="39">
        <f t="shared" si="82"/>
        <v>1.1927528767123288</v>
      </c>
      <c r="F25" s="39">
        <f t="shared" si="82"/>
        <v>1.1157906849315069</v>
      </c>
      <c r="G25" s="39">
        <f t="shared" si="82"/>
        <v>1.1109512328767126</v>
      </c>
      <c r="H25" s="39">
        <f t="shared" si="82"/>
        <v>1.1459095917724842</v>
      </c>
      <c r="I25" s="39">
        <f t="shared" si="82"/>
        <v>1.1213743169398909</v>
      </c>
      <c r="J25" s="39">
        <f t="shared" si="82"/>
        <v>1.0918457772063332</v>
      </c>
      <c r="K25" s="39">
        <f t="shared" si="82"/>
        <v>1.0894353424657535</v>
      </c>
      <c r="L25" s="39">
        <f t="shared" si="82"/>
        <v>1.0824432876712329</v>
      </c>
      <c r="M25" s="39">
        <f t="shared" ref="M25:W25" si="86">SUMPRODUCT(L19:M19,L$5:M$5)/SUM(L$5:M$5)</f>
        <v>1.1430876712328766</v>
      </c>
      <c r="N25" s="39">
        <f t="shared" si="86"/>
        <v>1.1678821917808218</v>
      </c>
      <c r="O25" s="39">
        <f t="shared" si="86"/>
        <v>1.111421917808219</v>
      </c>
      <c r="P25" s="39">
        <f t="shared" si="86"/>
        <v>1.11789037974304</v>
      </c>
      <c r="Q25" s="39">
        <f t="shared" si="86"/>
        <v>1.1989027322404371</v>
      </c>
      <c r="R25" s="39">
        <f t="shared" si="86"/>
        <v>1.227196991941633</v>
      </c>
      <c r="S25" s="39">
        <f t="shared" si="86"/>
        <v>1.2171145205479452</v>
      </c>
      <c r="T25" s="39">
        <f t="shared" si="86"/>
        <v>1.2386857534246576</v>
      </c>
      <c r="U25" s="39">
        <f t="shared" si="86"/>
        <v>1.2330397260273973</v>
      </c>
      <c r="V25" s="39">
        <f t="shared" si="86"/>
        <v>1.2738019178082192</v>
      </c>
      <c r="W25" s="39">
        <f t="shared" si="86"/>
        <v>1.3053591780821918</v>
      </c>
      <c r="X25" s="39">
        <f>SUMPRODUCT(W19:X19,W$5:X$5)/SUM(W$5:X$5)</f>
        <v>1.304480459649491</v>
      </c>
      <c r="Y25" s="39">
        <f t="shared" ref="Y25:AQ25" si="87">SUMPRODUCT(X19:Y19,X$5:Y$5)/SUM(X$5:Y$5)</f>
        <v>1.2950431693989071</v>
      </c>
      <c r="Z25" s="39">
        <f t="shared" si="87"/>
        <v>1.2683498766576464</v>
      </c>
      <c r="AA25" s="39">
        <f t="shared" si="87"/>
        <v>1.2231917808219177</v>
      </c>
      <c r="AB25" s="39">
        <f t="shared" si="87"/>
        <v>1.1367580821917809</v>
      </c>
      <c r="AC25" s="39">
        <f t="shared" si="87"/>
        <v>1.0814068493150686</v>
      </c>
      <c r="AD25" s="39">
        <f t="shared" si="87"/>
        <v>1.0607282191780822</v>
      </c>
      <c r="AE25" s="39">
        <f t="shared" si="87"/>
        <v>1.0869923287671233</v>
      </c>
      <c r="AF25" s="39">
        <f t="shared" si="87"/>
        <v>1.0973634169377691</v>
      </c>
      <c r="AG25" s="39">
        <f t="shared" si="87"/>
        <v>1.0564480874316942</v>
      </c>
      <c r="AH25" s="39">
        <f t="shared" si="87"/>
        <v>1.0431763048125942</v>
      </c>
      <c r="AI25" s="39">
        <f t="shared" si="87"/>
        <v>1.0443410958904109</v>
      </c>
      <c r="AJ25" s="39">
        <f t="shared" si="87"/>
        <v>1.0735986301369864</v>
      </c>
      <c r="AK25" s="39">
        <f t="shared" si="87"/>
        <v>1.0945695890410958</v>
      </c>
      <c r="AL25" s="39">
        <f t="shared" si="87"/>
        <v>1.0713619178082192</v>
      </c>
      <c r="AM25" s="39">
        <f t="shared" si="87"/>
        <v>1.048727397260274</v>
      </c>
      <c r="AN25" s="39">
        <f t="shared" si="87"/>
        <v>1.043467470728453</v>
      </c>
      <c r="AO25" s="39">
        <f t="shared" si="87"/>
        <v>1.0557808743169401</v>
      </c>
      <c r="AP25" s="39">
        <f t="shared" si="87"/>
        <v>1.0686129815958259</v>
      </c>
      <c r="AQ25" s="39">
        <f t="shared" si="87"/>
        <v>1.0703800000000001</v>
      </c>
      <c r="AR25" s="488">
        <v>1.0488999999999999</v>
      </c>
      <c r="AS25" s="488">
        <v>1.0849</v>
      </c>
      <c r="AT25" s="488">
        <v>1.1019000000000001</v>
      </c>
      <c r="AU25" s="488">
        <v>1.083</v>
      </c>
      <c r="AV25" s="488">
        <v>1.0804</v>
      </c>
      <c r="AW25" s="488">
        <v>1.0812999999999999</v>
      </c>
      <c r="AX25" s="488">
        <v>1.0998000000000001</v>
      </c>
      <c r="AY25" s="488">
        <v>1.0963000000000001</v>
      </c>
      <c r="AZ25" s="780">
        <v>1.1176597260273973</v>
      </c>
      <c r="BA25" s="39">
        <f t="shared" ref="BA25:BE25" si="88">SUMPRODUCT(AZ19:BA19,AZ$5:BA$5)/SUM(AZ$5:BA$5)</f>
        <v>1.1190536290497937</v>
      </c>
      <c r="BB25" s="39">
        <f t="shared" si="88"/>
        <v>1.0998575402448811</v>
      </c>
      <c r="BC25" s="39">
        <f t="shared" si="88"/>
        <v>1.1239305701224149</v>
      </c>
      <c r="BD25" s="39">
        <f t="shared" si="88"/>
        <v>1.1302046994557455</v>
      </c>
      <c r="BE25" s="39">
        <f t="shared" si="88"/>
        <v>1.1410889822216199</v>
      </c>
      <c r="BF25" s="39">
        <f t="shared" si="77"/>
        <v>1.1562955405153879</v>
      </c>
      <c r="BG25" s="39">
        <f t="shared" si="77"/>
        <v>1.1701589824203795</v>
      </c>
      <c r="BH25" s="39">
        <f t="shared" si="77"/>
        <v>1.1821363961184466</v>
      </c>
      <c r="BI25" s="39">
        <f t="shared" si="77"/>
        <v>1.1937835718130219</v>
      </c>
      <c r="BJ25" s="39">
        <f t="shared" si="77"/>
        <v>1.2047538756505911</v>
      </c>
      <c r="BK25" s="39">
        <f t="shared" si="77"/>
        <v>1.2102102102102119</v>
      </c>
      <c r="BL25" s="39">
        <f t="shared" si="77"/>
        <v>1.2102102102102119</v>
      </c>
      <c r="BM25" s="39">
        <f t="shared" si="77"/>
        <v>1.2102102102102119</v>
      </c>
      <c r="BN25" s="39">
        <f t="shared" si="78"/>
        <v>1.2102102102102117</v>
      </c>
      <c r="BO25" s="39">
        <f t="shared" si="79"/>
        <v>1.2102102102102119</v>
      </c>
      <c r="BP25" s="39">
        <f t="shared" si="80"/>
        <v>1.2102102102102119</v>
      </c>
      <c r="BQ25" s="39">
        <f t="shared" si="81"/>
        <v>1.2102102102102119</v>
      </c>
      <c r="BR25" s="39"/>
      <c r="BS25" s="37">
        <v>1.36435</v>
      </c>
      <c r="BT25" s="37">
        <v>1.2452000000000001</v>
      </c>
      <c r="BU25" s="37">
        <v>1.2276</v>
      </c>
      <c r="BV25" s="37">
        <v>1.0645</v>
      </c>
      <c r="BW25" s="37">
        <v>1.1548</v>
      </c>
      <c r="BX25" s="37">
        <v>1.0992</v>
      </c>
      <c r="BY25" s="37">
        <v>1.1930000000000001</v>
      </c>
      <c r="BZ25" s="37">
        <v>1.248</v>
      </c>
      <c r="CA25" s="37">
        <v>1.278</v>
      </c>
      <c r="CB25" s="37">
        <v>1.256</v>
      </c>
      <c r="CC25" s="39">
        <f>SUMPRODUCT(D25:E25,D$5:E$5)/SUM(D$5:E$5)</f>
        <v>1.2182761523738037</v>
      </c>
      <c r="CD25" s="39">
        <f>SUMPRODUCT(F25:G25,F$5:G$5)/SUM(F$5:G$5)</f>
        <v>1.1133510707449805</v>
      </c>
      <c r="CE25" s="39">
        <f>SUMPRODUCT(H25:I25,H$5:I$5)/SUM(H$5:I$5)</f>
        <v>1.1335749180861532</v>
      </c>
      <c r="CF25" s="39">
        <f>SUMPRODUCT(J25:K25,J$5:K$5)/SUM(J$5:K$5)</f>
        <v>1.0906306539398491</v>
      </c>
      <c r="CG25" s="39">
        <f>SUMPRODUCT(L25:M25,L$5:M$5)/SUM(L$5:M$5)</f>
        <v>1.1130147029461437</v>
      </c>
      <c r="CH25" s="39">
        <f>SUMPRODUCT(N25:O25,N$5:O$5)/SUM(N$5:O$5)</f>
        <v>1.1394200262713454</v>
      </c>
      <c r="CI25" s="39">
        <f>SUMPRODUCT(P25:Q25,P$5:Q$5)/SUM(P$5:Q$5)</f>
        <v>1.1586179012171414</v>
      </c>
      <c r="CJ25" s="39">
        <f>SUMPRODUCT(R25:S25,R$5:S$5)/SUM(R$5:S$5)</f>
        <v>1.2221143214308423</v>
      </c>
      <c r="CK25" s="39">
        <f>SUMPRODUCT(T25:U25,T$5:U$5)/SUM(T$5:U$5)</f>
        <v>1.2358395368737101</v>
      </c>
      <c r="CL25" s="39">
        <f>SUMPRODUCT(V25:W25,V$5:W$5)/SUM(V$5:W$5)</f>
        <v>1.2897102353161944</v>
      </c>
      <c r="CM25" s="39">
        <f>SUMPRODUCT(X25:Y25,X$5:Y$5)/SUM(X$5:Y$5)</f>
        <v>1.2997360295781593</v>
      </c>
      <c r="CN25" s="39">
        <f>SUMPRODUCT(Z25:AA25,Z$5:AA$5)/SUM(Z$5:AA$5)</f>
        <v>1.2455852475240188</v>
      </c>
      <c r="CO25" s="39">
        <f>SUMPRODUCT(AB25:AC25,AB$5:AC$5)/SUM(AB$5:AC$5)</f>
        <v>1.1088549949333835</v>
      </c>
      <c r="CP25" s="39">
        <f>SUMPRODUCT(AD25:AE25,AD$5:AE$5)/SUM(AD$5:AE$5)</f>
        <v>1.0739682086695439</v>
      </c>
      <c r="CQ25" s="39">
        <f>SUMPRODUCT(AF25:AG25,AF$5:AG$5)/SUM(AF$5:AG$5)</f>
        <v>1.0767939616669555</v>
      </c>
      <c r="CR25" s="39">
        <f>SUMPRODUCT(AH25:AI25,AH$5:AI$5)/SUM(AH$5:AI$5)</f>
        <v>1.043763487164151</v>
      </c>
      <c r="CS25" s="39">
        <f>SUMPRODUCT(AJ25:AK25,AJ$5:AK$5)/SUM(AJ$5:AK$5)</f>
        <v>1.0841702916119349</v>
      </c>
      <c r="CT25" s="39">
        <f>SUMPRODUCT(AL25:AM25,AL$5:AM$5)/SUM(AL$5:AM$5)</f>
        <v>1.0599516389566523</v>
      </c>
      <c r="CU25" s="39">
        <f>SUMPRODUCT(AN25:AO25,AN$5:AO$5)/SUM(AN$5:AO$5)</f>
        <v>1.0496578157018999</v>
      </c>
      <c r="CV25" s="39">
        <f>SUMPRODUCT(AP25:AQ25,AP$5:AQ$5)/SUM(AP$5:AQ$5)</f>
        <v>1.0695037525173823</v>
      </c>
      <c r="CW25" s="39">
        <f>SUMPRODUCT(AR25:AS25,AR$5:AS$5)/SUM(AR$5:AS$5)</f>
        <v>1.0670479452054795</v>
      </c>
      <c r="CX25" s="39">
        <f>SUMPRODUCT(AT25:AU25,AT$5:AU$5)/SUM(AT$5:AU$5)</f>
        <v>1.0923723287671232</v>
      </c>
      <c r="CY25" s="39">
        <f>SUMPRODUCT(AV25:AW25,AV$5:AW$5)/SUM(AV$5:AW$5)</f>
        <v>1.0808524590163935</v>
      </c>
      <c r="CZ25" s="40">
        <f>SUMPRODUCT(AX25:AY25,AX$5:AY$5)/SUM(AX$5:AY$5)</f>
        <v>1.0980356164383562</v>
      </c>
      <c r="DA25" s="39">
        <f>SUMPRODUCT(AZ25:BA25,AZ$5:BA$5)/SUM(AZ$5:BA$5)</f>
        <v>1.1183624059071806</v>
      </c>
      <c r="DB25" s="39">
        <f>SUMPRODUCT(BB25:BC25,BB$5:BC$5)/SUM(BB$5:BC$5)</f>
        <v>1.1119929854434185</v>
      </c>
      <c r="DC25" s="39">
        <f>SUMPRODUCT(BD25:BE25,BD$5:BE$5)/SUM(BD$5:BE$5)</f>
        <v>1.1356765793161852</v>
      </c>
      <c r="DD25" s="39">
        <f>SUMPRODUCT(BF25:BG25,BF$5:BG$5)/SUM(BF$5:BG$5)</f>
        <v>1.1632842345168084</v>
      </c>
      <c r="DE25" s="39">
        <f>SUMPRODUCT(BH25:BI25,BH$5:BI$5)/SUM(BH$5:BI$5)</f>
        <v>1.1880078490713284</v>
      </c>
      <c r="DF25" s="39">
        <f>SUMPRODUCT(BJ25:BK25,BJ$5:BK$5)/SUM(BJ$5:BK$5)</f>
        <v>1.2075044662231122</v>
      </c>
      <c r="DG25" s="39">
        <f>SUMPRODUCT(BL25:BM25,BL$5:BM$5)/SUM(BL$5:BM$5)</f>
        <v>1.2102102102102119</v>
      </c>
      <c r="DH25" s="39">
        <f>SUMPRODUCT(BN25:BO25,BN$5:BO$5)/SUM(BN$5:BO$5)</f>
        <v>1.2102102102102117</v>
      </c>
      <c r="DI25" s="39">
        <f>SUMPRODUCT(BP25:BQ25,BP$5:BQ$5)/SUM(BP$5:BQ$5)</f>
        <v>1.2102102102102119</v>
      </c>
    </row>
    <row r="26" spans="1:113" outlineLevel="1">
      <c r="A26" s="1" t="s">
        <v>568</v>
      </c>
      <c r="B26" s="19" t="s">
        <v>214</v>
      </c>
      <c r="C26" s="39">
        <f t="shared" si="82"/>
        <v>0.60189999999999999</v>
      </c>
      <c r="D26" s="39">
        <f t="shared" si="82"/>
        <v>0.58940356164383556</v>
      </c>
      <c r="E26" s="39">
        <f t="shared" si="82"/>
        <v>0.57246547945205495</v>
      </c>
      <c r="F26" s="39">
        <f t="shared" si="82"/>
        <v>0.55352246575342479</v>
      </c>
      <c r="G26" s="39">
        <f t="shared" si="82"/>
        <v>0.56229397260273983</v>
      </c>
      <c r="H26" s="39">
        <f t="shared" si="82"/>
        <v>0.59126163291006406</v>
      </c>
      <c r="I26" s="39">
        <f t="shared" si="82"/>
        <v>0.58483442622950821</v>
      </c>
      <c r="J26" s="39">
        <f t="shared" si="82"/>
        <v>0.57230409945131333</v>
      </c>
      <c r="K26" s="39">
        <f t="shared" si="82"/>
        <v>0.6008879452054795</v>
      </c>
      <c r="L26" s="39">
        <f t="shared" si="82"/>
        <v>0.62419479452054805</v>
      </c>
      <c r="M26" s="39">
        <f t="shared" ref="M26:W26" si="89">SUMPRODUCT(L20:M20,L$5:M$5)/SUM(L$5:M$5)</f>
        <v>0.60161068493150682</v>
      </c>
      <c r="N26" s="39">
        <f t="shared" si="89"/>
        <v>0.5926846575342466</v>
      </c>
      <c r="O26" s="39">
        <f t="shared" si="89"/>
        <v>0.6164282191780821</v>
      </c>
      <c r="P26" s="39">
        <f t="shared" si="89"/>
        <v>0.61506612895971702</v>
      </c>
      <c r="Q26" s="39">
        <f t="shared" si="89"/>
        <v>0.60468633879781419</v>
      </c>
      <c r="R26" s="39">
        <f t="shared" si="89"/>
        <v>0.55185892026851258</v>
      </c>
      <c r="S26" s="39">
        <f t="shared" si="89"/>
        <v>0.53389479452054789</v>
      </c>
      <c r="T26" s="39">
        <f t="shared" si="89"/>
        <v>0.59974904109589033</v>
      </c>
      <c r="U26" s="39">
        <f t="shared" si="89"/>
        <v>0.66230904109589039</v>
      </c>
      <c r="V26" s="39">
        <f t="shared" si="89"/>
        <v>0.73193205479452061</v>
      </c>
      <c r="W26" s="39">
        <f t="shared" si="89"/>
        <v>0.75280219178082197</v>
      </c>
      <c r="X26" s="39">
        <f>SUMPRODUCT(W20:X20,W$5:X$5)/SUM(W$5:X$5)</f>
        <v>0.7630975593301651</v>
      </c>
      <c r="Y26" s="39">
        <f t="shared" ref="Y26:AQ26" si="90">SUMPRODUCT(X20:Y20,X$5:Y$5)/SUM(X$5:Y$5)</f>
        <v>0.79676120218579238</v>
      </c>
      <c r="Z26" s="39">
        <f t="shared" si="90"/>
        <v>0.7974220820189275</v>
      </c>
      <c r="AA26" s="39">
        <f t="shared" si="90"/>
        <v>0.74798356164383573</v>
      </c>
      <c r="AB26" s="39">
        <f t="shared" si="90"/>
        <v>0.6791539726027398</v>
      </c>
      <c r="AC26" s="39">
        <f t="shared" si="90"/>
        <v>0.66876931506849313</v>
      </c>
      <c r="AD26" s="39">
        <f t="shared" si="90"/>
        <v>0.68156328767123286</v>
      </c>
      <c r="AE26" s="39">
        <f t="shared" si="90"/>
        <v>0.68095835616438349</v>
      </c>
      <c r="AF26" s="39">
        <f t="shared" si="90"/>
        <v>0.67846577215417592</v>
      </c>
      <c r="AG26" s="39">
        <f t="shared" si="90"/>
        <v>0.66885027322404378</v>
      </c>
      <c r="AH26" s="39">
        <f t="shared" si="90"/>
        <v>0.6785337255370999</v>
      </c>
      <c r="AI26" s="39">
        <f t="shared" si="90"/>
        <v>0.68008301369863022</v>
      </c>
      <c r="AJ26" s="39">
        <f t="shared" si="90"/>
        <v>0.66267726027397267</v>
      </c>
      <c r="AK26" s="39">
        <f t="shared" si="90"/>
        <v>0.64402520547945197</v>
      </c>
      <c r="AL26" s="39">
        <f t="shared" si="90"/>
        <v>0.62632191780821911</v>
      </c>
      <c r="AM26" s="39">
        <f t="shared" si="90"/>
        <v>0.61724794520547943</v>
      </c>
      <c r="AN26" s="39">
        <f t="shared" si="90"/>
        <v>0.62112156724585099</v>
      </c>
      <c r="AO26" s="39">
        <f t="shared" si="90"/>
        <v>0.61831202185792355</v>
      </c>
      <c r="AP26" s="39">
        <f t="shared" si="90"/>
        <v>0.61914670713292563</v>
      </c>
      <c r="AQ26" s="39">
        <f t="shared" si="90"/>
        <v>0.62947013698630139</v>
      </c>
      <c r="AR26" s="488">
        <v>0.63009999999999999</v>
      </c>
      <c r="AS26" s="488">
        <v>0.65839999999999999</v>
      </c>
      <c r="AT26" s="488">
        <v>0.6613</v>
      </c>
      <c r="AU26" s="488">
        <v>0.62580000000000002</v>
      </c>
      <c r="AV26" s="488">
        <v>0.60329999999999995</v>
      </c>
      <c r="AW26" s="488">
        <v>0.60909999999999997</v>
      </c>
      <c r="AX26" s="488">
        <v>0.6109</v>
      </c>
      <c r="AY26" s="488">
        <v>0.59609999999999996</v>
      </c>
      <c r="AZ26" s="780">
        <v>0.56283541603438048</v>
      </c>
      <c r="BA26" s="39">
        <f t="shared" ref="BA26:BE26" si="91">SUMPRODUCT(AZ20:BA20,AZ$5:BA$5)/SUM(AZ$5:BA$5)</f>
        <v>0.55597952562342157</v>
      </c>
      <c r="BB26" s="39">
        <f t="shared" si="91"/>
        <v>0.53209863013698633</v>
      </c>
      <c r="BC26" s="39">
        <f t="shared" si="91"/>
        <v>0.52604931506849295</v>
      </c>
      <c r="BD26" s="39">
        <f t="shared" si="91"/>
        <v>0.53795889240364003</v>
      </c>
      <c r="BE26" s="39">
        <f t="shared" si="91"/>
        <v>0.55003278688524582</v>
      </c>
      <c r="BF26" s="39">
        <f t="shared" si="77"/>
        <v>0.56195900548686573</v>
      </c>
      <c r="BG26" s="39">
        <f t="shared" si="77"/>
        <v>0.58006610693769334</v>
      </c>
      <c r="BH26" s="39">
        <f t="shared" si="77"/>
        <v>0.60399785880315737</v>
      </c>
      <c r="BI26" s="39">
        <f t="shared" si="77"/>
        <v>0.62872348777384057</v>
      </c>
      <c r="BJ26" s="39">
        <f t="shared" si="77"/>
        <v>0.65344637193237776</v>
      </c>
      <c r="BK26" s="39">
        <f t="shared" si="77"/>
        <v>0.66611570247933938</v>
      </c>
      <c r="BL26" s="39">
        <f t="shared" si="77"/>
        <v>0.66611570247933938</v>
      </c>
      <c r="BM26" s="39">
        <f t="shared" si="77"/>
        <v>0.66611570247933938</v>
      </c>
      <c r="BN26" s="39">
        <f t="shared" si="78"/>
        <v>0.66611570247933949</v>
      </c>
      <c r="BO26" s="39">
        <f t="shared" si="79"/>
        <v>0.66611570247933938</v>
      </c>
      <c r="BP26" s="39">
        <f t="shared" si="80"/>
        <v>0.66611570247933938</v>
      </c>
      <c r="BQ26" s="39">
        <f t="shared" si="81"/>
        <v>0.66611570247933938</v>
      </c>
      <c r="BR26" s="39"/>
      <c r="BS26" s="37" t="s">
        <v>215</v>
      </c>
      <c r="BT26" s="37" t="s">
        <v>215</v>
      </c>
      <c r="BU26" s="37" t="s">
        <v>215</v>
      </c>
      <c r="BV26" s="37" t="s">
        <v>215</v>
      </c>
      <c r="BW26" s="37" t="s">
        <v>215</v>
      </c>
      <c r="BX26" s="37" t="s">
        <v>215</v>
      </c>
      <c r="BY26" s="37">
        <f>AVERAGE(BX20:BY20)</f>
        <v>0.62090000000000001</v>
      </c>
      <c r="BZ26" s="37">
        <f>AVERAGE(BY20:BZ20)</f>
        <v>0.60809999999999997</v>
      </c>
      <c r="CA26" s="37">
        <f>AVERAGE(BZ20:CA20)</f>
        <v>0.63500000000000001</v>
      </c>
      <c r="CB26" s="37">
        <f>AVERAGE(CA20:CB20)</f>
        <v>0.61385000000000001</v>
      </c>
      <c r="CC26" s="39">
        <f>SUMPRODUCT(D26:E26,D$5:E$5)/SUM(D$5:E$5)</f>
        <v>0.58086491199099277</v>
      </c>
      <c r="CD26" s="39">
        <f>SUMPRODUCT(F26:G26,F$5:G$5)/SUM(F$5:G$5)</f>
        <v>0.55794426646650408</v>
      </c>
      <c r="CE26" s="39">
        <f>SUMPRODUCT(H26:I26,H$5:I$5)/SUM(H$5:I$5)</f>
        <v>0.58803046889579558</v>
      </c>
      <c r="CF26" s="39">
        <f>SUMPRODUCT(J26:K26,J$5:K$5)/SUM(J$5:K$5)</f>
        <v>0.58671349018766006</v>
      </c>
      <c r="CG26" s="39">
        <f>SUMPRODUCT(L26:M26,L$5:M$5)/SUM(L$5:M$5)</f>
        <v>0.6128099283167574</v>
      </c>
      <c r="CH26" s="39">
        <f>SUMPRODUCT(N26:O26,N$5:O$5)/SUM(N$5:O$5)</f>
        <v>0.60465401463689239</v>
      </c>
      <c r="CI26" s="39">
        <f>SUMPRODUCT(P26:Q26,P$5:Q$5)/SUM(P$5:Q$5)</f>
        <v>0.60984787379635597</v>
      </c>
      <c r="CJ26" s="39">
        <f>SUMPRODUCT(R26:S26,R$5:S$5)/SUM(R$5:S$5)</f>
        <v>0.54280303222022352</v>
      </c>
      <c r="CK26" s="39">
        <f>SUMPRODUCT(T26:U26,T$5:U$5)/SUM(T$5:U$5)</f>
        <v>0.63128613698630132</v>
      </c>
      <c r="CL26" s="39">
        <f>SUMPRODUCT(V26:W26,V$5:W$5)/SUM(V$5:W$5)</f>
        <v>0.74245289097391631</v>
      </c>
      <c r="CM26" s="39">
        <f>SUMPRODUCT(X26:Y26,X$5:Y$5)/SUM(X$5:Y$5)</f>
        <v>0.78002135792425098</v>
      </c>
      <c r="CN26" s="39">
        <f>SUMPRODUCT(Z26:AA26,Z$5:AA$5)/SUM(Z$5:AA$5)</f>
        <v>0.77249964982984021</v>
      </c>
      <c r="CO26" s="39">
        <f>SUMPRODUCT(AB26:AC26,AB$5:AC$5)/SUM(AB$5:AC$5)</f>
        <v>0.67391896716081823</v>
      </c>
      <c r="CP26" s="39">
        <f>SUMPRODUCT(AD26:AE26,AD$5:AE$5)/SUM(AD$5:AE$5)</f>
        <v>0.68125833589791707</v>
      </c>
      <c r="CQ26" s="39">
        <f>SUMPRODUCT(AF26:AG26,AF$5:AG$5)/SUM(AF$5:AG$5)</f>
        <v>0.67363175083410953</v>
      </c>
      <c r="CR26" s="39">
        <f>SUMPRODUCT(AH26:AI26,AH$5:AI$5)/SUM(AH$5:AI$5)</f>
        <v>0.67931473655551522</v>
      </c>
      <c r="CS26" s="39">
        <f>SUMPRODUCT(AJ26:AK26,AJ$5:AK$5)/SUM(AJ$5:AK$5)</f>
        <v>0.65327458059673471</v>
      </c>
      <c r="CT26" s="39">
        <f>SUMPRODUCT(AL26:AM26,AL$5:AM$5)/SUM(AL$5:AM$5)</f>
        <v>0.6217476412084818</v>
      </c>
      <c r="CU26" s="39">
        <f>SUMPRODUCT(AN26:AO26,AN$5:AO$5)/SUM(AN$5:AO$5)</f>
        <v>0.61970911819836827</v>
      </c>
      <c r="CV26" s="39">
        <f>SUMPRODUCT(AP26:AQ26,AP$5:AQ$5)/SUM(AP$5:AQ$5)</f>
        <v>0.6243508471138054</v>
      </c>
      <c r="CW26" s="39">
        <f>SUMPRODUCT(AR26:AS26,AR$5:AS$5)/SUM(AR$5:AS$5)</f>
        <v>0.64436630136986306</v>
      </c>
      <c r="CX26" s="39">
        <f>SUMPRODUCT(AT26:AU26,AT$5:AU$5)/SUM(AT$5:AU$5)</f>
        <v>0.64340410958904115</v>
      </c>
      <c r="CY26" s="39">
        <f>SUMPRODUCT(AV26:AW26,AV$5:AW$5)/SUM(AV$5:AW$5)</f>
        <v>0.60621584699453546</v>
      </c>
      <c r="CZ26" s="40">
        <f>SUMPRODUCT(AX26:AY26,AX$5:AY$5)/SUM(AX$5:AY$5)</f>
        <v>0.60343917808219183</v>
      </c>
      <c r="DA26" s="39">
        <f>SUMPRODUCT(AZ26:BA26,AZ$5:BA$5)/SUM(AZ$5:BA$5)</f>
        <v>0.55937929593680114</v>
      </c>
      <c r="DB26" s="39">
        <f>SUMPRODUCT(BB26:BC26,BB$5:BC$5)/SUM(BB$5:BC$5)</f>
        <v>0.52904911240382801</v>
      </c>
      <c r="DC26" s="39">
        <f>SUMPRODUCT(BD26:BE26,BD$5:BE$5)/SUM(BD$5:BE$5)</f>
        <v>0.54402882842717959</v>
      </c>
      <c r="DD26" s="39">
        <f>SUMPRODUCT(BF26:BG26,BF$5:BG$5)/SUM(BF$5:BG$5)</f>
        <v>0.57108696895796784</v>
      </c>
      <c r="DE26" s="39">
        <f>SUMPRODUCT(BH26:BI26,BH$5:BI$5)/SUM(BH$5:BI$5)</f>
        <v>0.61646228546235116</v>
      </c>
      <c r="DF26" s="39">
        <f>SUMPRODUCT(BJ26:BK26,BJ$5:BK$5)/SUM(BJ$5:BK$5)</f>
        <v>0.65983310294783237</v>
      </c>
      <c r="DG26" s="39">
        <f>SUMPRODUCT(BL26:BM26,BL$5:BM$5)/SUM(BL$5:BM$5)</f>
        <v>0.66611570247933938</v>
      </c>
      <c r="DH26" s="39">
        <f>SUMPRODUCT(BN26:BO26,BN$5:BO$5)/SUM(BN$5:BO$5)</f>
        <v>0.66611570247933938</v>
      </c>
      <c r="DI26" s="39">
        <f>SUMPRODUCT(BP26:BQ26,BP$5:BQ$5)/SUM(BP$5:BQ$5)</f>
        <v>0.66611570247933938</v>
      </c>
    </row>
    <row r="27" spans="1:113" outlineLevel="1">
      <c r="C27" s="39"/>
      <c r="D27" s="39"/>
      <c r="E27" s="39"/>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40"/>
      <c r="BA27" s="39"/>
      <c r="BB27" s="39"/>
      <c r="BC27" s="39"/>
      <c r="BD27" s="39"/>
      <c r="BE27" s="39"/>
      <c r="BF27" s="39"/>
      <c r="BG27" s="39"/>
      <c r="BH27" s="39"/>
      <c r="BI27" s="39"/>
      <c r="BJ27" s="39"/>
      <c r="BK27" s="39"/>
      <c r="BL27" s="39"/>
      <c r="BM27" s="39"/>
      <c r="BN27" s="39"/>
      <c r="BO27" s="39"/>
      <c r="BP27" s="39"/>
      <c r="BQ27" s="39"/>
      <c r="BR27" s="39"/>
      <c r="BS27" s="39"/>
      <c r="BT27" s="39"/>
      <c r="BU27" s="39"/>
      <c r="BV27" s="39"/>
      <c r="BW27" s="39"/>
      <c r="BX27" s="39"/>
      <c r="BY27" s="39"/>
      <c r="BZ27" s="39"/>
      <c r="CA27" s="39"/>
      <c r="CB27" s="39"/>
      <c r="CC27" s="39"/>
      <c r="CD27" s="39"/>
      <c r="CE27" s="39"/>
      <c r="CF27" s="39"/>
      <c r="CG27" s="39"/>
      <c r="CH27" s="39"/>
      <c r="CI27" s="39"/>
      <c r="CJ27" s="39"/>
      <c r="CK27" s="39"/>
      <c r="CL27" s="39"/>
      <c r="CM27" s="39"/>
      <c r="CN27" s="39"/>
      <c r="CO27" s="39"/>
      <c r="CP27" s="39"/>
      <c r="CQ27" s="39"/>
      <c r="CR27" s="39"/>
      <c r="CS27" s="39"/>
      <c r="CT27" s="39"/>
      <c r="CU27" s="39"/>
      <c r="CV27" s="39"/>
      <c r="CW27" s="39"/>
      <c r="CX27" s="39"/>
      <c r="CY27" s="39"/>
      <c r="CZ27" s="40"/>
      <c r="DA27" s="39"/>
      <c r="DB27" s="39"/>
    </row>
    <row r="28" spans="1:113" outlineLevel="1">
      <c r="B28" s="24" t="s">
        <v>217</v>
      </c>
      <c r="CZ28" s="22"/>
    </row>
    <row r="29" spans="1:113" outlineLevel="1">
      <c r="A29" s="1" t="s">
        <v>703</v>
      </c>
      <c r="B29" s="19" t="s">
        <v>218</v>
      </c>
      <c r="C29" s="551">
        <f>VLOOKUP(RIGHT($A29,LEN($A29)-4),[3]Sheet1!$A$2:$JP$65479,MATCH(C$3,[3]Sheet1!$A$2:$JP$2,0),FALSE)</f>
        <v>6.7757432109603499E-2</v>
      </c>
      <c r="D29" s="551">
        <f>VLOOKUP(RIGHT($A29,LEN($A29)-4),[3]Sheet1!$A$2:$JP$65479,MATCH(D$3,[3]Sheet1!$A$2:$JP$2,0),FALSE)</f>
        <v>8.6976584242201907E-2</v>
      </c>
      <c r="E29" s="551">
        <f>VLOOKUP(RIGHT($A29,LEN($A29)-4),[3]Sheet1!$A$2:$JP$65479,MATCH(E$3,[3]Sheet1!$A$2:$JP$2,0),FALSE)</f>
        <v>8.5587160355268033E-2</v>
      </c>
      <c r="F29" s="551">
        <f>VLOOKUP(RIGHT($A29,LEN($A29)-4),[3]Sheet1!$A$2:$JP$65479,MATCH(F$3,[3]Sheet1!$A$2:$JP$2,0),FALSE)</f>
        <v>9.0871166951861149E-2</v>
      </c>
      <c r="G29" s="551">
        <f>VLOOKUP(RIGHT($A29,LEN($A29)-4),[3]Sheet1!$A$2:$JP$65479,MATCH(G$3,[3]Sheet1!$A$2:$JP$2,0),FALSE)</f>
        <v>9.1859914511920771E-2</v>
      </c>
      <c r="H29" s="551">
        <f>VLOOKUP(RIGHT($A29,LEN($A29)-4),[3]Sheet1!$A$2:$JP$65479,MATCH(H$3,[3]Sheet1!$A$2:$JP$2,0),FALSE)</f>
        <v>0.10761386414758235</v>
      </c>
      <c r="I29" s="551">
        <f>VLOOKUP(RIGHT($A29,LEN($A29)-4),[3]Sheet1!$A$2:$JP$65479,MATCH(I$3,[3]Sheet1!$A$2:$JP$2,0),FALSE)</f>
        <v>9.007842693660105E-2</v>
      </c>
      <c r="J29" s="551">
        <f>VLOOKUP(RIGHT($A29,LEN($A29)-4),[3]Sheet1!$A$2:$JP$65479,MATCH(J$3,[3]Sheet1!$A$2:$JP$2,0),FALSE)</f>
        <v>8.0360871391988109E-2</v>
      </c>
      <c r="K29" s="551">
        <f>VLOOKUP(RIGHT($A29,LEN($A29)-4),[3]Sheet1!$A$2:$JP$65479,MATCH(K$3,[3]Sheet1!$A$2:$JP$2,0),FALSE)</f>
        <v>6.1372757379928089E-2</v>
      </c>
      <c r="L29" s="551">
        <f>VLOOKUP(RIGHT($A29,LEN($A29)-4),[3]Sheet1!$A$2:$JP$65479,MATCH(L$3,[3]Sheet1!$A$2:$JP$2,0),FALSE)</f>
        <v>6.2178541915001606E-2</v>
      </c>
      <c r="M29" s="183">
        <f>VLOOKUP(RIGHT($A29,LEN($A29)-4),[3]Sheet1!$A$2:$JP$65479,MATCH(M$3,[3]Sheet1!$A$2:$JP$2,0),FALSE)</f>
        <v>7.0282944504912681E-2</v>
      </c>
      <c r="N29" s="183">
        <f>VLOOKUP(RIGHT($A29,LEN($A29)-4),[3]Sheet1!$A$2:$JP$65479,MATCH(N$3,[3]Sheet1!$A$2:$JP$2,0),FALSE)</f>
        <v>6.2021364758243047E-2</v>
      </c>
      <c r="O29" s="183">
        <f>VLOOKUP(RIGHT($A29,LEN($A29)-4),[3]Sheet1!$A$2:$JP$65479,MATCH(O$3,[3]Sheet1!$A$2:$JP$2,0),FALSE)</f>
        <v>6.3761912259118647E-2</v>
      </c>
      <c r="P29" s="183">
        <f>VLOOKUP(RIGHT($A29,LEN($A29)-4),[3]Sheet1!$A$2:$JP$65479,MATCH(P$3,[3]Sheet1!$A$2:$JP$2,0),FALSE)</f>
        <v>5.1291107921038748E-2</v>
      </c>
      <c r="Q29" s="183">
        <f>VLOOKUP(RIGHT($A29,LEN($A29)-4),[3]Sheet1!$A$2:$JP$65479,MATCH(Q$3,[3]Sheet1!$A$2:$JP$2,0),FALSE)</f>
        <v>4.2497881646039959E-2</v>
      </c>
      <c r="R29" s="183">
        <f>VLOOKUP(RIGHT($A29,LEN($A29)-4),[3]Sheet1!$A$2:$JP$65479,MATCH(R$3,[3]Sheet1!$A$2:$JP$2,0),FALSE)</f>
        <v>2.964765669252567E-2</v>
      </c>
      <c r="S29" s="183">
        <f>VLOOKUP(RIGHT($A29,LEN($A29)-4),[3]Sheet1!$A$2:$JP$65479,MATCH(S$3,[3]Sheet1!$A$2:$JP$2,0),FALSE)</f>
        <v>3.4553197790511136E-2</v>
      </c>
      <c r="T29" s="183">
        <f>VLOOKUP(RIGHT($A29,LEN($A29)-4),[3]Sheet1!$A$2:$JP$65479,MATCH(T$3,[3]Sheet1!$A$2:$JP$2,0),FALSE)</f>
        <v>4.0866207587649583E-2</v>
      </c>
      <c r="U29" s="183">
        <f>VLOOKUP(RIGHT($A29,LEN($A29)-4),[3]Sheet1!$A$2:$JP$65479,MATCH(U$3,[3]Sheet1!$A$2:$JP$2,0),FALSE)</f>
        <v>3.7805953254887781E-2</v>
      </c>
      <c r="V29" s="183">
        <f>VLOOKUP(RIGHT($A29,LEN($A29)-4),[3]Sheet1!$A$2:$JP$65479,MATCH(V$3,[3]Sheet1!$A$2:$JP$2,0),FALSE)</f>
        <v>3.2781316187448839E-2</v>
      </c>
      <c r="W29" s="183">
        <f>VLOOKUP(RIGHT($A29,LEN($A29)-4),[3]Sheet1!$A$2:$JP$65479,MATCH(W$3,[3]Sheet1!$A$2:$JP$2,0),FALSE)</f>
        <v>2.69280418465081E-2</v>
      </c>
      <c r="X29" s="183">
        <f>VLOOKUP(RIGHT($A29,LEN($A29)-4),[3]Sheet1!$A$2:$JP$65479,MATCH(X$3,[3]Sheet1!$A$2:$JP$2,0),FALSE)</f>
        <v>2.632080671166781E-2</v>
      </c>
      <c r="Y29" s="183">
        <f>VLOOKUP(RIGHT($A29,LEN($A29)-4),[3]Sheet1!$A$2:$JP$65479,MATCH(Y$3,[3]Sheet1!$A$2:$JP$2,0),FALSE)</f>
        <v>2.3316626648146155E-2</v>
      </c>
      <c r="Z29" s="183">
        <f>VLOOKUP(RIGHT($A29,LEN($A29)-4),[3]Sheet1!$A$2:$JP$65479,MATCH(Z$3,[3]Sheet1!$A$2:$JP$2,0),FALSE)</f>
        <v>2.1475996699456879E-2</v>
      </c>
      <c r="AA29" s="183">
        <f>VLOOKUP(RIGHT($A29,LEN($A29)-4),[3]Sheet1!$A$2:$JP$65479,MATCH(AA$3,[3]Sheet1!$A$2:$JP$2,0),FALSE)</f>
        <v>2.4208360185713929E-2</v>
      </c>
      <c r="AB29" s="44">
        <f>VLOOKUP(RIGHT($A29,LEN($A29)-4),[3]Sheet1!$A$2:$JP$65479,MATCH(AB$3,[3]Sheet1!$A$2:$JP$2,0),FALSE)</f>
        <v>2.9386700627324291E-2</v>
      </c>
      <c r="AC29" s="44">
        <f>VLOOKUP(RIGHT($A29,LEN($A29)-4),[3]Sheet1!$A$2:$JP$65479,MATCH(AC$3,[3]Sheet1!$A$2:$JP$2,0),FALSE)</f>
        <v>3.3930385192611823E-2</v>
      </c>
      <c r="AD29" s="44">
        <f>VLOOKUP(RIGHT($A29,LEN($A29)-4),[3]Sheet1!$A$2:$JP$65479,MATCH(AD$3,[3]Sheet1!$A$2:$JP$2,0),FALSE)</f>
        <v>3.5137324603719877E-2</v>
      </c>
      <c r="AE29" s="44">
        <f>VLOOKUP(RIGHT($A29,LEN($A29)-4),[3]Sheet1!$A$2:$JP$65479,MATCH(AE$3,[3]Sheet1!$A$2:$JP$2,0),FALSE)</f>
        <v>3.6465105273620457E-2</v>
      </c>
      <c r="AF29" s="44">
        <f>VLOOKUP(RIGHT($A29,LEN($A29)-4),[3]Sheet1!$A$2:$JP$65479,MATCH(AF$3,[3]Sheet1!$A$2:$JP$2,0),FALSE)</f>
        <v>3.6153550460477746E-2</v>
      </c>
      <c r="AG29" s="44">
        <f>VLOOKUP(RIGHT($A29,LEN($A29)-4),[3]Sheet1!$A$2:$JP$65479,MATCH(AG$3,[3]Sheet1!$A$2:$JP$2,0),FALSE)</f>
        <v>2.9933006156816155E-2</v>
      </c>
      <c r="AH29" s="44">
        <f>VLOOKUP(RIGHT($A29,LEN($A29)-4),[3]Sheet1!$A$2:$JP$65479,MATCH(AH$3,[3]Sheet1!$A$2:$JP$2,0),FALSE)</f>
        <v>3.2352845155969812E-2</v>
      </c>
      <c r="AI29" s="44">
        <f>VLOOKUP(RIGHT($A29,LEN($A29)-4),[3]Sheet1!$A$2:$JP$65479,MATCH(AI$3,[3]Sheet1!$A$2:$JP$2,0),FALSE)</f>
        <v>3.3011787221167266E-2</v>
      </c>
      <c r="AJ29" s="44">
        <f>VLOOKUP(RIGHT($A29,LEN($A29)-4),[3]Sheet1!$A$2:$JP$65479,MATCH(AJ$3,[3]Sheet1!$A$2:$JP$2,0),FALSE)</f>
        <v>2.9433741029755378E-2</v>
      </c>
      <c r="AK29" s="44">
        <f>VLOOKUP(RIGHT($A29,LEN($A29)-4),[3]Sheet1!$A$2:$JP$65479,MATCH(AK$3,[3]Sheet1!$A$2:$JP$2,0),FALSE)</f>
        <v>2.6013693337987087E-2</v>
      </c>
      <c r="AL29" s="44">
        <f>VLOOKUP(RIGHT($A29,LEN($A29)-4),[3]Sheet1!$A$2:$JP$65479,MATCH(AL$3,[3]Sheet1!$A$2:$JP$2,0),FALSE)</f>
        <v>2.0250630559928595E-2</v>
      </c>
      <c r="AM29" s="44">
        <f>VLOOKUP(RIGHT($A29,LEN($A29)-4),[3]Sheet1!$A$2:$JP$65479,MATCH(AM$3,[3]Sheet1!$A$2:$JP$2,0),FALSE)</f>
        <v>1.3962308626912945E-2</v>
      </c>
      <c r="AN29" s="44">
        <f>VLOOKUP(RIGHT($A29,LEN($A29)-4),[3]Sheet1!$A$2:$JP$65479,MATCH(AN$3,[3]Sheet1!$A$2:$JP$2,0),FALSE)</f>
        <v>1.5571080394595649E-2</v>
      </c>
      <c r="AO29" s="44">
        <f>VLOOKUP(RIGHT($A29,LEN($A29)-4),[3]Sheet1!$A$2:$JP$65479,MATCH(AO$3,[3]Sheet1!$A$2:$JP$2,0),FALSE)</f>
        <v>1.5410984686798246E-2</v>
      </c>
      <c r="AP29" s="44">
        <f>VLOOKUP(RIGHT($A29,LEN($A29)-4),[3]Sheet1!$A$2:$JP$65479,MATCH(AP$3,[3]Sheet1!$A$2:$JP$2,0),FALSE)</f>
        <v>1.9768530045528143E-2</v>
      </c>
      <c r="AQ29" s="44">
        <f>VLOOKUP(RIGHT($A29,LEN($A29)-4),[3]Sheet1!$A$2:$JP$65479,MATCH(AQ$3,[3]Sheet1!$A$2:$JP$2,0),FALSE)</f>
        <v>3.3300633541920144E-2</v>
      </c>
      <c r="AR29" s="44">
        <f>VLOOKUP(RIGHT($A29,LEN($A29)-4),[3]Sheet1!$A$2:$JP$65479,MATCH(AR$3,[3]Sheet1!$A$2:$JP$2,0),FALSE)</f>
        <v>3.9848265998415622E-2</v>
      </c>
      <c r="AS29" s="44">
        <f>VLOOKUP(RIGHT($A29,LEN($A29)-4),[3]Sheet1!$A$2:$JP$65479,MATCH(AS$3,[3]Sheet1!$A$2:$JP$2,0),FALSE)</f>
        <v>3.7932210580863712E-2</v>
      </c>
      <c r="AT29" s="44">
        <f>VLOOKUP(RIGHT($A29,LEN($A29)-4),[3]Sheet1!$A$2:$JP$65479,MATCH(AT$3,[3]Sheet1!$A$2:$JP$2,0),FALSE)</f>
        <v>2.5686745242559317E-2</v>
      </c>
      <c r="AU29" s="44">
        <f>VLOOKUP(RIGHT($A29,LEN($A29)-4),[3]Sheet1!$A$2:$JP$65479,MATCH(AU$3,[3]Sheet1!$A$2:$JP$2,0),FALSE)</f>
        <v>2.0282924243014255E-2</v>
      </c>
      <c r="AV29" s="44">
        <f>VLOOKUP(RIGHT($A29,LEN($A29)-4),[3]Sheet1!$A$2:$JP$65479,MATCH(AV$3,[3]Sheet1!$A$2:$JP$2,0),FALSE)</f>
        <v>2.0991750606981663E-2</v>
      </c>
      <c r="AW29" s="44">
        <f>VLOOKUP(RIGHT($A29,LEN($A29)-4),[3]Sheet1!$A$2:$JP$65479,MATCH(AW$3,[3]Sheet1!$A$2:$JP$2,0),FALSE)</f>
        <v>2.5527056438700235E-2</v>
      </c>
      <c r="AX29" s="44">
        <f>VLOOKUP(RIGHT($A29,LEN($A29)-4),[3]Sheet1!$A$2:$JP$65479,MATCH(AX$3,[3]Sheet1!$A$2:$JP$2,0),FALSE)</f>
        <v>2.8779041961061624E-2</v>
      </c>
      <c r="AY29" s="44">
        <f>VLOOKUP(RIGHT($A29,LEN($A29)-4),[3]Sheet1!$A$2:$JP$65479,MATCH(AY$3,[3]Sheet1!$A$2:$JP$2,0),FALSE)</f>
        <v>2.9803096261785678E-2</v>
      </c>
      <c r="AZ29" s="498">
        <f>VLOOKUP(RIGHT($A29,LEN($A29)-4),[3]Sheet1!$A$2:$JP$65479,MATCH(AZ$3,[3]Sheet1!$A$2:$JP$2,0),FALSE)</f>
        <v>3.7584669580746022E-2</v>
      </c>
      <c r="BA29" s="41">
        <f>VLOOKUP(RIGHT($A29,LEN($A29)-4),[3]Sheet1!$A$2:$JP$65479,MATCH(BA$3,[3]Sheet1!$A$2:$JP$2,0),FALSE)</f>
        <v>3.0731999999999982E-2</v>
      </c>
      <c r="BB29" s="41">
        <f>VLOOKUP(RIGHT($A29,LEN($A29)-4),[3]Sheet1!$A$2:$JP$65479,MATCH(BB$3,[3]Sheet1!$A$2:$JP$2,0),FALSE)</f>
        <v>2.9210249999999993E-2</v>
      </c>
      <c r="BC29" s="41">
        <f>VLOOKUP(RIGHT($A29,LEN($A29)-4),[3]Sheet1!$A$2:$JP$65479,MATCH(BC$3,[3]Sheet1!$A$2:$JP$2,0),FALSE)</f>
        <v>2.9210249999999993E-2</v>
      </c>
      <c r="BD29" s="41">
        <f>VLOOKUP(RIGHT($A29,LEN($A29)-4),[3]Sheet1!$A$2:$JP$65479,MATCH(BD$3,[3]Sheet1!$A$2:$JP$2,0),FALSE)</f>
        <v>2.9210249999999993E-2</v>
      </c>
      <c r="BE29" s="41">
        <f>VLOOKUP(RIGHT($A29,LEN($A29)-4),[3]Sheet1!$A$2:$JP$65479,MATCH(BE$3,[3]Sheet1!$A$2:$JP$2,0),FALSE)</f>
        <v>2.9210249999999993E-2</v>
      </c>
      <c r="BF29" s="41">
        <f>VLOOKUP(RIGHT($A29,LEN($A29)-4),[3]Sheet1!$A$2:$JP$65479,MATCH(BF$3,[3]Sheet1!$A$2:$JP$2,0),FALSE)</f>
        <v>2.9210249999999993E-2</v>
      </c>
      <c r="BG29" s="41">
        <f>VLOOKUP(RIGHT($A29,LEN($A29)-4),[3]Sheet1!$A$2:$JP$65479,MATCH(BG$3,[3]Sheet1!$A$2:$JP$2,0),FALSE)</f>
        <v>2.5156249999999991E-2</v>
      </c>
      <c r="BH29" s="41">
        <f>VLOOKUP(RIGHT($A29,LEN($A29)-4),[3]Sheet1!$A$2:$JP$65479,MATCH(BH$3,[3]Sheet1!$A$2:$JP$2,0),FALSE)</f>
        <v>2.5156249999999991E-2</v>
      </c>
      <c r="BI29" s="41">
        <f>VLOOKUP(RIGHT($A29,LEN($A29)-4),[3]Sheet1!$A$2:$JP$65479,MATCH(BI$3,[3]Sheet1!$A$2:$JP$2,0),FALSE)</f>
        <v>2.0100000000000007E-2</v>
      </c>
      <c r="BJ29" s="41">
        <f>VLOOKUP(RIGHT($A29,LEN($A29)-4),[3]Sheet1!$A$2:$JP$65479,MATCH(BJ$3,[3]Sheet1!$A$2:$JP$2,0),FALSE)</f>
        <v>2.0100000000000007E-2</v>
      </c>
      <c r="BK29" s="41">
        <f>VLOOKUP(RIGHT($A29,LEN($A29)-4),[3]Sheet1!$A$2:$JP$65479,MATCH(BK$3,[3]Sheet1!$A$2:$JP$2,0),FALSE)</f>
        <v>2.0100000000000007E-2</v>
      </c>
      <c r="BL29" s="41">
        <f>VLOOKUP(RIGHT($A29,LEN($A29)-4),[3]Sheet1!$A$2:$JP$65479,MATCH(BL$3,[3]Sheet1!$A$2:$JP$2,0),FALSE)</f>
        <v>2.0100000000000007E-2</v>
      </c>
      <c r="BM29" s="41">
        <f>VLOOKUP(RIGHT($A29,LEN($A29)-4),[3]Sheet1!$A$2:$JP$65479,MATCH(BM$3,[3]Sheet1!$A$2:$JP$2,0),FALSE)</f>
        <v>2.0100000000000007E-2</v>
      </c>
      <c r="BN29" s="41">
        <f>VLOOKUP(RIGHT($A29,LEN($A29)-4),[3]Sheet1!$A$2:$JP$65479,MATCH(BN$3,[3]Sheet1!$A$2:$JP$2,0),FALSE)</f>
        <v>2.0100000000000007E-2</v>
      </c>
      <c r="BO29" s="41">
        <f>VLOOKUP(RIGHT($A29,LEN($A29)-4),[3]Sheet1!$A$2:$JP$65479,MATCH(BO$3,[3]Sheet1!$A$2:$JP$2,0),FALSE)</f>
        <v>2.0100000000000007E-2</v>
      </c>
      <c r="BP29" s="41">
        <f>VLOOKUP(RIGHT($A29,LEN($A29)-4),[3]Sheet1!$A$2:$JP$65479,MATCH(BP$3,[3]Sheet1!$A$2:$JP$2,0),FALSE)</f>
        <v>2.0100000000000007E-2</v>
      </c>
      <c r="BQ29" s="41">
        <f>VLOOKUP(RIGHT($A29,LEN($A29)-4),[3]Sheet1!$A$2:$JP$65479,MATCH(BQ$3,[3]Sheet1!$A$2:$JP$2,0),FALSE)</f>
        <v>2.0100000000000007E-2</v>
      </c>
      <c r="BR29" s="511"/>
      <c r="BS29" s="552">
        <f>VLOOKUP(RIGHT($A29,LEN($A29)-4),[3]Sheet1!$A$2:$JP$65479,MATCH(BS$3,[3]Sheet1!$A$2:$JP$2,0),FALSE)</f>
        <v>5.6932453106605774E-2</v>
      </c>
      <c r="BT29" s="552">
        <f>VLOOKUP(RIGHT($A29,LEN($A29)-4),[3]Sheet1!$A$2:$JP$65479,MATCH(BT$3,[3]Sheet1!$A$2:$JP$2,0),FALSE)</f>
        <v>8.1877872273125943E-2</v>
      </c>
      <c r="BU29" s="552">
        <f>VLOOKUP(RIGHT($A29,LEN($A29)-4),[3]Sheet1!$A$2:$JP$65479,MATCH(BU$3,[3]Sheet1!$A$2:$JP$2,0),FALSE)</f>
        <v>0.10978413347849525</v>
      </c>
      <c r="BV29" s="552">
        <f>VLOOKUP(RIGHT($A29,LEN($A29)-4),[3]Sheet1!$A$2:$JP$65479,MATCH(BV$3,[3]Sheet1!$A$2:$JP$2,0),FALSE)</f>
        <v>5.8657047126933426E-2</v>
      </c>
      <c r="BW29" s="552">
        <f>VLOOKUP(RIGHT($A29,LEN($A29)-4),[3]Sheet1!$A$2:$JP$65479,MATCH(BW$3,[3]Sheet1!$A$2:$JP$2,0),FALSE)</f>
        <v>5.5067527854638421E-2</v>
      </c>
      <c r="BX29" s="552">
        <f>VLOOKUP(RIGHT($A29,LEN($A29)-4),[3]Sheet1!$A$2:$JP$65479,MATCH(BX$3,[3]Sheet1!$A$2:$JP$2,0),FALSE)</f>
        <v>6.0560231692703637E-2</v>
      </c>
      <c r="BY29" s="552">
        <f>VLOOKUP(RIGHT($A29,LEN($A29)-4),[3]Sheet1!$A$2:$JP$65479,MATCH(BY$3,[3]Sheet1!$A$2:$JP$2,0),FALSE)</f>
        <v>5.9903069869829073E-2</v>
      </c>
      <c r="BZ29" s="552">
        <f>VLOOKUP(RIGHT($A29,LEN($A29)-4),[3]Sheet1!$A$2:$JP$65479,MATCH(BZ$3,[3]Sheet1!$A$2:$JP$2,0),FALSE)</f>
        <v>5.9679262256188581E-2</v>
      </c>
      <c r="CA29" s="552">
        <f>VLOOKUP(RIGHT($A29,LEN($A29)-4),[3]Sheet1!$A$2:$JP$65479,MATCH(CA$3,[3]Sheet1!$A$2:$JP$2,0),FALSE)</f>
        <v>8.3595813201770883E-2</v>
      </c>
      <c r="CB29" s="552">
        <f>VLOOKUP(RIGHT($A29,LEN($A29)-4),[3]Sheet1!$A$2:$JP$65479,MATCH(CB$3,[3]Sheet1!$A$2:$JP$2,0),FALSE)</f>
        <v>6.7757432109603499E-2</v>
      </c>
      <c r="CC29" s="42">
        <f t="shared" ref="CC29:CC35" si="92">(1+D29)*(1+E29)-1</f>
        <v>0.18000782346016075</v>
      </c>
      <c r="CD29" s="42">
        <f t="shared" ref="CD29:CD35" si="93">(1+F29)*(1+G29)-1</f>
        <v>0.19107849909157837</v>
      </c>
      <c r="CE29" s="42">
        <f t="shared" ref="CE29:CE35" si="94">(1+H29)*(1+I29)-1</f>
        <v>0.20738597868316666</v>
      </c>
      <c r="CF29" s="42">
        <f t="shared" ref="CF29:CF35" si="95">(1+J29)*(1+K29)-1</f>
        <v>0.14666559703469639</v>
      </c>
      <c r="CG29" s="42">
        <f t="shared" ref="CG29:CG35" si="96">(1+L29)*(1+M29)-1</f>
        <v>0.13683157743072272</v>
      </c>
      <c r="CH29" s="42">
        <f t="shared" ref="CH29:CH35" si="97">(1+N29)*(1+O29)-1</f>
        <v>0.12973787783526758</v>
      </c>
      <c r="CI29" s="42">
        <f t="shared" ref="CI29:CI35" si="98">(1+P29)*(1+Q29)-1</f>
        <v>9.5968753001001383E-2</v>
      </c>
      <c r="CJ29" s="42">
        <f t="shared" ref="CJ29:CJ35" si="99">(1+R29)*(1+S29)-1</f>
        <v>6.5225275828758811E-2</v>
      </c>
      <c r="CK29" s="42">
        <f t="shared" ref="CK29:CK35" si="100">(1+T29)*(1+U29)-1</f>
        <v>8.0217146776300652E-2</v>
      </c>
      <c r="CL29" s="42">
        <f t="shared" ref="CL29:CL35" si="101">(1+V29)*(1+W29)-1</f>
        <v>6.059209468803628E-2</v>
      </c>
      <c r="CM29" s="45">
        <f t="shared" ref="CM29:CM35" si="102">(1+X29)*(1+Y29)-1</f>
        <v>5.0251145782987949E-2</v>
      </c>
      <c r="CN29" s="45">
        <f t="shared" ref="CN29:CN35" si="103">(1+Z29)*(1+AA29)-1</f>
        <v>4.62042555486184E-2</v>
      </c>
      <c r="CO29" s="45">
        <f t="shared" ref="CO29:CO35" si="104">(1+AB29)*(1+AC29)-1</f>
        <v>6.4314187891761243E-2</v>
      </c>
      <c r="CP29" s="45">
        <f t="shared" ref="CP29:CP35" si="105">(1+AD29)*(1+AE29)-1</f>
        <v>7.2883716118048447E-2</v>
      </c>
      <c r="CQ29" s="45">
        <f t="shared" ref="CQ29:CQ35" si="106">(1+AF29)*(1+AG29)-1</f>
        <v>6.7168741065818161E-2</v>
      </c>
      <c r="CR29" s="45">
        <f t="shared" ref="CR29:CR35" si="107">(1+AH29)*(1+AI29)-1</f>
        <v>6.6432657617425228E-2</v>
      </c>
      <c r="CS29" s="45">
        <f t="shared" ref="CS29:CS35" si="108">(1+AJ29)*(1+AK29)-1</f>
        <v>5.6213114680680354E-2</v>
      </c>
      <c r="CT29" s="45">
        <f t="shared" ref="CT29:CT35" si="109">(1+AL29)*(1+AM29)-1</f>
        <v>3.4495684740608823E-2</v>
      </c>
      <c r="CU29" s="45">
        <f t="shared" ref="CU29:CU35" si="110">(1+AN29)*(1+AO29)-1</f>
        <v>3.1222030762911857E-2</v>
      </c>
      <c r="CV29" s="45">
        <f t="shared" ref="CV29:CV35" si="111">(1+AP29)*(1+AQ29)-1</f>
        <v>5.3727468162156899E-2</v>
      </c>
      <c r="CW29" s="45">
        <f t="shared" ref="CW29:CW35" si="112">(1+AR29)*(1+AS29)-1</f>
        <v>7.9292009396413565E-2</v>
      </c>
      <c r="CX29" s="45">
        <f t="shared" ref="CX29:CX35" si="113">(1+AT29)*(1+AU29)-1</f>
        <v>4.6490671793377958E-2</v>
      </c>
      <c r="CY29" s="45">
        <f t="shared" ref="CY29:CY35" si="114">(1+AV29)*(1+AW29)-1</f>
        <v>4.7054664648173539E-2</v>
      </c>
      <c r="CZ29" s="43">
        <f t="shared" ref="CZ29:CZ35" si="115">(1+AX29)*(1+AY29)-1</f>
        <v>5.9439842780734775E-2</v>
      </c>
      <c r="DA29" s="42">
        <f t="shared" ref="DA29:DA35" si="116">(1+AZ29)*(1+BA29)-1</f>
        <v>6.9471721646301443E-2</v>
      </c>
      <c r="DB29" s="42">
        <f t="shared" ref="DB29:DB35" si="117">(1+BB29)*(1+BC29)-1</f>
        <v>5.9273738705062584E-2</v>
      </c>
      <c r="DC29" s="42">
        <f t="shared" ref="DC29:DC35" si="118">(1+BD29)*(1+BE29)-1</f>
        <v>5.9273738705062584E-2</v>
      </c>
      <c r="DD29" s="42">
        <f t="shared" ref="DD29:DD35" si="119">(1+BF29)*(1+BG29)-1</f>
        <v>5.5101320351562455E-2</v>
      </c>
      <c r="DE29" s="42">
        <f t="shared" ref="DE29:DE35" si="120">(1+BH29)*(1+BI29)-1</f>
        <v>4.5761890624999912E-2</v>
      </c>
      <c r="DF29" s="42">
        <f t="shared" ref="DF29:DF35" si="121">(1+BJ29)*(1+BK29)-1</f>
        <v>4.0604010000000024E-2</v>
      </c>
      <c r="DG29" s="232">
        <f t="shared" ref="DG29:DG35" si="122">(1+BL29)*(1+BM29)-1</f>
        <v>4.0604010000000024E-2</v>
      </c>
      <c r="DH29" s="232">
        <f t="shared" ref="DH29:DH35" si="123">(1+BN29)*(1+BO29)-1</f>
        <v>4.0604010000000024E-2</v>
      </c>
      <c r="DI29" s="232">
        <f t="shared" ref="DI29:DI35" si="124">(1+BP29)*(1+BQ29)-1</f>
        <v>4.0604010000000024E-2</v>
      </c>
    </row>
    <row r="30" spans="1:113" outlineLevel="1">
      <c r="A30" s="1" t="s">
        <v>704</v>
      </c>
      <c r="B30" s="19" t="s">
        <v>219</v>
      </c>
      <c r="C30" s="551">
        <f>VLOOKUP(RIGHT($A30,LEN($A30)-4),[3]Sheet1!$A$2:$JP$65479,MATCH(C$3,[3]Sheet1!$A$2:$JP$2,0),FALSE)</f>
        <v>2.8848408784119872E-2</v>
      </c>
      <c r="D30" s="551">
        <f>VLOOKUP(RIGHT($A30,LEN($A30)-4),[3]Sheet1!$A$2:$JP$65479,MATCH(D$3,[3]Sheet1!$A$2:$JP$2,0),FALSE)</f>
        <v>-6.7569371074661655E-3</v>
      </c>
      <c r="E30" s="551">
        <f>VLOOKUP(RIGHT($A30,LEN($A30)-4),[3]Sheet1!$A$2:$JP$65479,MATCH(E$3,[3]Sheet1!$A$2:$JP$2,0),FALSE)</f>
        <v>2.4646784911365627E-2</v>
      </c>
      <c r="F30" s="551">
        <f>VLOOKUP(RIGHT($A30,LEN($A30)-4),[3]Sheet1!$A$2:$JP$65479,MATCH(F$3,[3]Sheet1!$A$2:$JP$2,0),FALSE)</f>
        <v>2.6047775356244696E-2</v>
      </c>
      <c r="G30" s="551">
        <f>VLOOKUP(RIGHT($A30,LEN($A30)-4),[3]Sheet1!$A$2:$JP$65479,MATCH(G$3,[3]Sheet1!$A$2:$JP$2,0),FALSE)</f>
        <v>3.7408151930289568E-2</v>
      </c>
      <c r="H30" s="551">
        <f>VLOOKUP(RIGHT($A30,LEN($A30)-4),[3]Sheet1!$A$2:$JP$65479,MATCH(H$3,[3]Sheet1!$A$2:$JP$2,0),FALSE)</f>
        <v>5.0338508616727173E-2</v>
      </c>
      <c r="I30" s="551">
        <f>VLOOKUP(RIGHT($A30,LEN($A30)-4),[3]Sheet1!$A$2:$JP$65479,MATCH(I$3,[3]Sheet1!$A$2:$JP$2,0),FALSE)</f>
        <v>3.3848099798144959E-2</v>
      </c>
      <c r="J30" s="551">
        <f>VLOOKUP(RIGHT($A30,LEN($A30)-4),[3]Sheet1!$A$2:$JP$65479,MATCH(J$3,[3]Sheet1!$A$2:$JP$2,0),FALSE)</f>
        <v>4.4852042334824427E-2</v>
      </c>
      <c r="K30" s="551">
        <f>VLOOKUP(RIGHT($A30,LEN($A30)-4),[3]Sheet1!$A$2:$JP$65479,MATCH(K$3,[3]Sheet1!$A$2:$JP$2,0),FALSE)</f>
        <v>6.7484654811637679E-2</v>
      </c>
      <c r="L30" s="551">
        <f>VLOOKUP(RIGHT($A30,LEN($A30)-4),[3]Sheet1!$A$2:$JP$65479,MATCH(L$3,[3]Sheet1!$A$2:$JP$2,0),FALSE)</f>
        <v>7.9662180078038825E-2</v>
      </c>
      <c r="M30" s="183">
        <f>VLOOKUP(RIGHT($A30,LEN($A30)-4),[3]Sheet1!$A$2:$JP$65479,MATCH(M$3,[3]Sheet1!$A$2:$JP$2,0),FALSE)</f>
        <v>8.1708113212727293E-2</v>
      </c>
      <c r="N30" s="183">
        <f>VLOOKUP(RIGHT($A30,LEN($A30)-4),[3]Sheet1!$A$2:$JP$65479,MATCH(N$3,[3]Sheet1!$A$2:$JP$2,0),FALSE)</f>
        <v>7.303648778295968E-2</v>
      </c>
      <c r="O30" s="183">
        <f>VLOOKUP(RIGHT($A30,LEN($A30)-4),[3]Sheet1!$A$2:$JP$65479,MATCH(O$3,[3]Sheet1!$A$2:$JP$2,0),FALSE)</f>
        <v>0.11201916779060372</v>
      </c>
      <c r="P30" s="183">
        <f>VLOOKUP(RIGHT($A30,LEN($A30)-4),[3]Sheet1!$A$2:$JP$65479,MATCH(P$3,[3]Sheet1!$A$2:$JP$2,0),FALSE)</f>
        <v>0.11571849923918066</v>
      </c>
      <c r="Q30" s="183">
        <f>VLOOKUP(RIGHT($A30,LEN($A30)-4),[3]Sheet1!$A$2:$JP$65479,MATCH(Q$3,[3]Sheet1!$A$2:$JP$2,0),FALSE)</f>
        <v>4.6724582715452989E-2</v>
      </c>
      <c r="R30" s="183">
        <f>VLOOKUP(RIGHT($A30,LEN($A30)-4),[3]Sheet1!$A$2:$JP$65479,MATCH(R$3,[3]Sheet1!$A$2:$JP$2,0),FALSE)</f>
        <v>4.0934364913318255E-2</v>
      </c>
      <c r="S30" s="183">
        <f>VLOOKUP(RIGHT($A30,LEN($A30)-4),[3]Sheet1!$A$2:$JP$65479,MATCH(S$3,[3]Sheet1!$A$2:$JP$2,0),FALSE)</f>
        <v>-2.787028283774462E-2</v>
      </c>
      <c r="T30" s="183">
        <f>VLOOKUP(RIGHT($A30,LEN($A30)-4),[3]Sheet1!$A$2:$JP$65479,MATCH(T$3,[3]Sheet1!$A$2:$JP$2,0),FALSE)</f>
        <v>-3.8879846608948831E-2</v>
      </c>
      <c r="U30" s="183">
        <f>VLOOKUP(RIGHT($A30,LEN($A30)-4),[3]Sheet1!$A$2:$JP$65479,MATCH(U$3,[3]Sheet1!$A$2:$JP$2,0),FALSE)</f>
        <v>-2.6267279083277417E-3</v>
      </c>
      <c r="V30" s="183">
        <f>VLOOKUP(RIGHT($A30,LEN($A30)-4),[3]Sheet1!$A$2:$JP$65479,MATCH(V$3,[3]Sheet1!$A$2:$JP$2,0),FALSE)</f>
        <v>-1.8954622776967911E-2</v>
      </c>
      <c r="W30" s="183">
        <f>VLOOKUP(RIGHT($A30,LEN($A30)-4),[3]Sheet1!$A$2:$JP$65479,MATCH(W$3,[3]Sheet1!$A$2:$JP$2,0),FALSE)</f>
        <v>-7.0095551661353284E-3</v>
      </c>
      <c r="X30" s="183">
        <f>VLOOKUP(RIGHT($A30,LEN($A30)-4),[3]Sheet1!$A$2:$JP$65479,MATCH(X$3,[3]Sheet1!$A$2:$JP$2,0),FALSE)</f>
        <v>1.682074517062393E-2</v>
      </c>
      <c r="Y30" s="183">
        <f>VLOOKUP(RIGHT($A30,LEN($A30)-4),[3]Sheet1!$A$2:$JP$65479,MATCH(Y$3,[3]Sheet1!$A$2:$JP$2,0),FALSE)</f>
        <v>2.7100723840115748E-2</v>
      </c>
      <c r="Z30" s="183">
        <f>VLOOKUP(RIGHT($A30,LEN($A30)-4),[3]Sheet1!$A$2:$JP$65479,MATCH(Z$3,[3]Sheet1!$A$2:$JP$2,0),FALSE)</f>
        <v>5.1525599982349402E-3</v>
      </c>
      <c r="AA30" s="183">
        <f>VLOOKUP(RIGHT($A30,LEN($A30)-4),[3]Sheet1!$A$2:$JP$65479,MATCH(AA$3,[3]Sheet1!$A$2:$JP$2,0),FALSE)</f>
        <v>7.3881124280041899E-3</v>
      </c>
      <c r="AB30" s="44">
        <f>VLOOKUP(RIGHT($A30,LEN($A30)-4),[3]Sheet1!$A$2:$JP$65479,MATCH(AB$3,[3]Sheet1!$A$2:$JP$2,0),FALSE)</f>
        <v>8.6004310669076656E-3</v>
      </c>
      <c r="AC30" s="44">
        <f>VLOOKUP(RIGHT($A30,LEN($A30)-4),[3]Sheet1!$A$2:$JP$65479,MATCH(AC$3,[3]Sheet1!$A$2:$JP$2,0),FALSE)</f>
        <v>2.5772884259989581E-2</v>
      </c>
      <c r="AD30" s="44">
        <f>VLOOKUP(RIGHT($A30,LEN($A30)-4),[3]Sheet1!$A$2:$JP$65479,MATCH(AD$3,[3]Sheet1!$A$2:$JP$2,0),FALSE)</f>
        <v>2.0328685158980342E-2</v>
      </c>
      <c r="AE30" s="44">
        <f>VLOOKUP(RIGHT($A30,LEN($A30)-4),[3]Sheet1!$A$2:$JP$65479,MATCH(AE$3,[3]Sheet1!$A$2:$JP$2,0),FALSE)</f>
        <v>2.4144335402519035E-2</v>
      </c>
      <c r="AF30" s="44">
        <f>VLOOKUP(RIGHT($A30,LEN($A30)-4),[3]Sheet1!$A$2:$JP$65479,MATCH(AF$3,[3]Sheet1!$A$2:$JP$2,0),FALSE)</f>
        <v>3.944771671334335E-2</v>
      </c>
      <c r="AG30" s="44">
        <f>VLOOKUP(RIGHT($A30,LEN($A30)-4),[3]Sheet1!$A$2:$JP$65479,MATCH(AG$3,[3]Sheet1!$A$2:$JP$2,0),FALSE)</f>
        <v>2.610079285070932E-2</v>
      </c>
      <c r="AH30" s="44">
        <f>VLOOKUP(RIGHT($A30,LEN($A30)-4),[3]Sheet1!$A$2:$JP$65479,MATCH(AH$3,[3]Sheet1!$A$2:$JP$2,0),FALSE)</f>
        <v>2.8772761684618731E-2</v>
      </c>
      <c r="AI30" s="44">
        <f>VLOOKUP(RIGHT($A30,LEN($A30)-4),[3]Sheet1!$A$2:$JP$65479,MATCH(AI$3,[3]Sheet1!$A$2:$JP$2,0),FALSE)</f>
        <v>1.249423946365158E-2</v>
      </c>
      <c r="AJ30" s="44">
        <f>VLOOKUP(RIGHT($A30,LEN($A30)-4),[3]Sheet1!$A$2:$JP$65479,MATCH(AJ$3,[3]Sheet1!$A$2:$JP$2,0),FALSE)</f>
        <v>1.8309188322077397E-2</v>
      </c>
      <c r="AK30" s="44">
        <f>VLOOKUP(RIGHT($A30,LEN($A30)-4),[3]Sheet1!$A$2:$JP$65479,MATCH(AK$3,[3]Sheet1!$A$2:$JP$2,0),FALSE)</f>
        <v>1.2761645605253502E-2</v>
      </c>
      <c r="AL30" s="44">
        <f>VLOOKUP(RIGHT($A30,LEN($A30)-4),[3]Sheet1!$A$2:$JP$65479,MATCH(AL$3,[3]Sheet1!$A$2:$JP$2,0),FALSE)</f>
        <v>3.4599595838659347E-2</v>
      </c>
      <c r="AM30" s="44">
        <f>VLOOKUP(RIGHT($A30,LEN($A30)-4),[3]Sheet1!$A$2:$JP$65479,MATCH(AM$3,[3]Sheet1!$A$2:$JP$2,0),FALSE)</f>
        <v>5.5694976696569753E-3</v>
      </c>
      <c r="AN30" s="44">
        <f>VLOOKUP(RIGHT($A30,LEN($A30)-4),[3]Sheet1!$A$2:$JP$65479,MATCH(AN$3,[3]Sheet1!$A$2:$JP$2,0),FALSE)</f>
        <v>1.3128106927586813E-2</v>
      </c>
      <c r="AO30" s="44">
        <f>VLOOKUP(RIGHT($A30,LEN($A30)-4),[3]Sheet1!$A$2:$JP$65479,MATCH(AO$3,[3]Sheet1!$A$2:$JP$2,0),FALSE)</f>
        <v>1.7246257789982122E-2</v>
      </c>
      <c r="AP30" s="44">
        <f>VLOOKUP(RIGHT($A30,LEN($A30)-4),[3]Sheet1!$A$2:$JP$65479,MATCH(AP$3,[3]Sheet1!$A$2:$JP$2,0),FALSE)</f>
        <v>-1.4772670337225069E-2</v>
      </c>
      <c r="AQ30" s="44">
        <f>VLOOKUP(RIGHT($A30,LEN($A30)-4),[3]Sheet1!$A$2:$JP$65479,MATCH(AQ$3,[3]Sheet1!$A$2:$JP$2,0),FALSE)</f>
        <v>2.2267170706980366E-2</v>
      </c>
      <c r="AR30" s="44">
        <f>VLOOKUP(RIGHT($A30,LEN($A30)-4),[3]Sheet1!$A$2:$JP$65479,MATCH(AR$3,[3]Sheet1!$A$2:$JP$2,0),FALSE)</f>
        <v>5.2811954971644592E-2</v>
      </c>
      <c r="AS30" s="44">
        <f>VLOOKUP(RIGHT($A30,LEN($A30)-4),[3]Sheet1!$A$2:$JP$65479,MATCH(AS$3,[3]Sheet1!$A$2:$JP$2,0),FALSE)</f>
        <v>6.302117003736929E-2</v>
      </c>
      <c r="AT30" s="44">
        <f>VLOOKUP(RIGHT($A30,LEN($A30)-4),[3]Sheet1!$A$2:$JP$65479,MATCH(AT$3,[3]Sheet1!$A$2:$JP$2,0),FALSE)</f>
        <v>4.9766152511238282E-2</v>
      </c>
      <c r="AU30" s="44">
        <f>VLOOKUP(RIGHT($A30,LEN($A30)-4),[3]Sheet1!$A$2:$JP$65479,MATCH(AU$3,[3]Sheet1!$A$2:$JP$2,0),FALSE)</f>
        <v>2.9922622377723362E-2</v>
      </c>
      <c r="AV30" s="44">
        <f>VLOOKUP(RIGHT($A30,LEN($A30)-4),[3]Sheet1!$A$2:$JP$65479,MATCH(AV$3,[3]Sheet1!$A$2:$JP$2,0),FALSE)</f>
        <v>3.279190970107515E-2</v>
      </c>
      <c r="AW30" s="44">
        <f>VLOOKUP(RIGHT($A30,LEN($A30)-4),[3]Sheet1!$A$2:$JP$65479,MATCH(AW$3,[3]Sheet1!$A$2:$JP$2,0),FALSE)</f>
        <v>4.4032840673021933E-2</v>
      </c>
      <c r="AX30" s="44">
        <f>VLOOKUP(RIGHT($A30,LEN($A30)-4),[3]Sheet1!$A$2:$JP$65479,MATCH(AX$3,[3]Sheet1!$A$2:$JP$2,0),FALSE)</f>
        <v>4.7444598675414174E-2</v>
      </c>
      <c r="AY30" s="44">
        <f>VLOOKUP(RIGHT($A30,LEN($A30)-4),[3]Sheet1!$A$2:$JP$65479,MATCH(AY$3,[3]Sheet1!$A$2:$JP$2,0),FALSE)</f>
        <v>3.7318000040146959E-2</v>
      </c>
      <c r="AZ30" s="498">
        <f>VLOOKUP(RIGHT($A30,LEN($A30)-4),[3]Sheet1!$A$2:$JP$65479,MATCH(AZ$3,[3]Sheet1!$A$2:$JP$2,0),FALSE)</f>
        <v>5.7632876444495551E-2</v>
      </c>
      <c r="BA30" s="41">
        <f>VLOOKUP(RIGHT($A30,LEN($A30)-4),[3]Sheet1!$A$2:$JP$65479,MATCH(BA$3,[3]Sheet1!$A$2:$JP$2,0),FALSE)</f>
        <v>4.0399999999999991E-2</v>
      </c>
      <c r="BB30" s="41">
        <f>VLOOKUP(RIGHT($A30,LEN($A30)-4),[3]Sheet1!$A$2:$JP$65479,MATCH(BB$3,[3]Sheet1!$A$2:$JP$2,0),FALSE)</f>
        <v>3.0224999999999724E-2</v>
      </c>
      <c r="BC30" s="41">
        <f>VLOOKUP(RIGHT($A30,LEN($A30)-4),[3]Sheet1!$A$2:$JP$65479,MATCH(BC$3,[3]Sheet1!$A$2:$JP$2,0),FALSE)</f>
        <v>3.0224999999999724E-2</v>
      </c>
      <c r="BD30" s="41">
        <f>VLOOKUP(RIGHT($A30,LEN($A30)-4),[3]Sheet1!$A$2:$JP$65479,MATCH(BD$3,[3]Sheet1!$A$2:$JP$2,0),FALSE)</f>
        <v>2.0100000000000007E-2</v>
      </c>
      <c r="BE30" s="41">
        <f>VLOOKUP(RIGHT($A30,LEN($A30)-4),[3]Sheet1!$A$2:$JP$65479,MATCH(BE$3,[3]Sheet1!$A$2:$JP$2,0),FALSE)</f>
        <v>2.0100000000000007E-2</v>
      </c>
      <c r="BF30" s="41">
        <f>VLOOKUP(RIGHT($A30,LEN($A30)-4),[3]Sheet1!$A$2:$JP$65479,MATCH(BF$3,[3]Sheet1!$A$2:$JP$2,0),FALSE)</f>
        <v>2.0100000000000007E-2</v>
      </c>
      <c r="BG30" s="41">
        <f>VLOOKUP(RIGHT($A30,LEN($A30)-4),[3]Sheet1!$A$2:$JP$65479,MATCH(BG$3,[3]Sheet1!$A$2:$JP$2,0),FALSE)</f>
        <v>2.0100000000000007E-2</v>
      </c>
      <c r="BH30" s="41">
        <f>VLOOKUP(RIGHT($A30,LEN($A30)-4),[3]Sheet1!$A$2:$JP$65479,MATCH(BH$3,[3]Sheet1!$A$2:$JP$2,0),FALSE)</f>
        <v>2.0100000000000007E-2</v>
      </c>
      <c r="BI30" s="41">
        <f>VLOOKUP(RIGHT($A30,LEN($A30)-4),[3]Sheet1!$A$2:$JP$65479,MATCH(BI$3,[3]Sheet1!$A$2:$JP$2,0),FALSE)</f>
        <v>2.0100000000000007E-2</v>
      </c>
      <c r="BJ30" s="41">
        <f>VLOOKUP(RIGHT($A30,LEN($A30)-4),[3]Sheet1!$A$2:$JP$65479,MATCH(BJ$3,[3]Sheet1!$A$2:$JP$2,0),FALSE)</f>
        <v>2.0100000000000007E-2</v>
      </c>
      <c r="BK30" s="41">
        <f>VLOOKUP(RIGHT($A30,LEN($A30)-4),[3]Sheet1!$A$2:$JP$65479,MATCH(BK$3,[3]Sheet1!$A$2:$JP$2,0),FALSE)</f>
        <v>2.0100000000000007E-2</v>
      </c>
      <c r="BL30" s="41">
        <f>VLOOKUP(RIGHT($A30,LEN($A30)-4),[3]Sheet1!$A$2:$JP$65479,MATCH(BL$3,[3]Sheet1!$A$2:$JP$2,0),FALSE)</f>
        <v>2.0100000000000007E-2</v>
      </c>
      <c r="BM30" s="41">
        <f>VLOOKUP(RIGHT($A30,LEN($A30)-4),[3]Sheet1!$A$2:$JP$65479,MATCH(BM$3,[3]Sheet1!$A$2:$JP$2,0),FALSE)</f>
        <v>2.0100000000000007E-2</v>
      </c>
      <c r="BN30" s="41">
        <f>VLOOKUP(RIGHT($A30,LEN($A30)-4),[3]Sheet1!$A$2:$JP$65479,MATCH(BN$3,[3]Sheet1!$A$2:$JP$2,0),FALSE)</f>
        <v>2.0100000000000007E-2</v>
      </c>
      <c r="BO30" s="41">
        <f>VLOOKUP(RIGHT($A30,LEN($A30)-4),[3]Sheet1!$A$2:$JP$65479,MATCH(BO$3,[3]Sheet1!$A$2:$JP$2,0),FALSE)</f>
        <v>2.0100000000000007E-2</v>
      </c>
      <c r="BP30" s="41">
        <f>VLOOKUP(RIGHT($A30,LEN($A30)-4),[3]Sheet1!$A$2:$JP$65479,MATCH(BP$3,[3]Sheet1!$A$2:$JP$2,0),FALSE)</f>
        <v>2.0100000000000007E-2</v>
      </c>
      <c r="BQ30" s="41">
        <f>VLOOKUP(RIGHT($A30,LEN($A30)-4),[3]Sheet1!$A$2:$JP$65479,MATCH(BQ$3,[3]Sheet1!$A$2:$JP$2,0),FALSE)</f>
        <v>2.0100000000000007E-2</v>
      </c>
      <c r="BR30" s="511"/>
      <c r="BS30" s="552">
        <f>VLOOKUP(RIGHT($A30,LEN($A30)-4),[3]Sheet1!$A$2:$JP$65479,MATCH(BS$3,[3]Sheet1!$A$2:$JP$2,0),FALSE)</f>
        <v>-2.993401633403614E-2</v>
      </c>
      <c r="BT30" s="552">
        <f>VLOOKUP(RIGHT($A30,LEN($A30)-4),[3]Sheet1!$A$2:$JP$65479,MATCH(BT$3,[3]Sheet1!$A$2:$JP$2,0),FALSE)</f>
        <v>-6.9496520099436854E-3</v>
      </c>
      <c r="BU30" s="552">
        <f>VLOOKUP(RIGHT($A30,LEN($A30)-4),[3]Sheet1!$A$2:$JP$65479,MATCH(BU$3,[3]Sheet1!$A$2:$JP$2,0),FALSE)</f>
        <v>4.2926405328702621E-3</v>
      </c>
      <c r="BV30" s="552">
        <f>VLOOKUP(RIGHT($A30,LEN($A30)-4),[3]Sheet1!$A$2:$JP$65479,MATCH(BV$3,[3]Sheet1!$A$2:$JP$2,0),FALSE)</f>
        <v>3.6030373168929097E-2</v>
      </c>
      <c r="BW30" s="552">
        <f>VLOOKUP(RIGHT($A30,LEN($A30)-4),[3]Sheet1!$A$2:$JP$65479,MATCH(BW$3,[3]Sheet1!$A$2:$JP$2,0),FALSE)</f>
        <v>6.6549328897073545E-2</v>
      </c>
      <c r="BX30" s="552">
        <f>VLOOKUP(RIGHT($A30,LEN($A30)-4),[3]Sheet1!$A$2:$JP$65479,MATCH(BX$3,[3]Sheet1!$A$2:$JP$2,0),FALSE)</f>
        <v>4.6698204799859422E-2</v>
      </c>
      <c r="BY30" s="552">
        <f>VLOOKUP(RIGHT($A30,LEN($A30)-4),[3]Sheet1!$A$2:$JP$65479,MATCH(BY$3,[3]Sheet1!$A$2:$JP$2,0),FALSE)</f>
        <v>3.5177935839635577E-2</v>
      </c>
      <c r="BZ30" s="552">
        <f>VLOOKUP(RIGHT($A30,LEN($A30)-4),[3]Sheet1!$A$2:$JP$65479,MATCH(BZ$3,[3]Sheet1!$A$2:$JP$2,0),FALSE)</f>
        <v>3.6070648548473416E-2</v>
      </c>
      <c r="CA30" s="552">
        <f>VLOOKUP(RIGHT($A30,LEN($A30)-4),[3]Sheet1!$A$2:$JP$65479,MATCH(CA$3,[3]Sheet1!$A$2:$JP$2,0),FALSE)</f>
        <v>5.0298164398484779E-2</v>
      </c>
      <c r="CB30" s="552">
        <f>VLOOKUP(RIGHT($A30,LEN($A30)-4),[3]Sheet1!$A$2:$JP$65479,MATCH(CB$3,[3]Sheet1!$A$2:$JP$2,0),FALSE)</f>
        <v>2.8848408784119872E-2</v>
      </c>
      <c r="CC30" s="42">
        <f t="shared" si="92"/>
        <v>1.7723311028352118E-2</v>
      </c>
      <c r="CD30" s="42">
        <f t="shared" si="93"/>
        <v>6.4430326424506745E-2</v>
      </c>
      <c r="CE30" s="42">
        <f t="shared" si="94"/>
        <v>8.5890471278220915E-2</v>
      </c>
      <c r="CF30" s="42">
        <f t="shared" si="95"/>
        <v>0.11536352174102471</v>
      </c>
      <c r="CG30" s="42">
        <f t="shared" si="96"/>
        <v>0.1678793397193552</v>
      </c>
      <c r="CH30" s="42">
        <f t="shared" si="97"/>
        <v>0.19323714215335919</v>
      </c>
      <c r="CI30" s="42">
        <f t="shared" si="98"/>
        <v>0.16784998054404277</v>
      </c>
      <c r="CJ30" s="42">
        <f t="shared" si="99"/>
        <v>1.1923229747655917E-2</v>
      </c>
      <c r="CK30" s="42">
        <f t="shared" si="100"/>
        <v>-4.1404447739117334E-2</v>
      </c>
      <c r="CL30" s="42">
        <f t="shared" si="101"/>
        <v>-2.5831314469094813E-2</v>
      </c>
      <c r="CM30" s="45">
        <f t="shared" si="102"/>
        <v>4.4377323380393685E-2</v>
      </c>
      <c r="CN30" s="45">
        <f t="shared" si="103"/>
        <v>1.2578740118798226E-2</v>
      </c>
      <c r="CO30" s="45">
        <f t="shared" si="104"/>
        <v>3.4594973241370619E-2</v>
      </c>
      <c r="CP30" s="45">
        <f t="shared" si="105"/>
        <v>4.4963843154270045E-2</v>
      </c>
      <c r="CQ30" s="45">
        <f t="shared" si="106"/>
        <v>6.6578126246421121E-2</v>
      </c>
      <c r="CR30" s="45">
        <f t="shared" si="107"/>
        <v>4.1626494922788471E-2</v>
      </c>
      <c r="CS30" s="45">
        <f t="shared" si="108"/>
        <v>3.1304489300017169E-2</v>
      </c>
      <c r="CT30" s="45">
        <f t="shared" si="109"/>
        <v>4.0361795876710849E-2</v>
      </c>
      <c r="CU30" s="45">
        <f t="shared" si="110"/>
        <v>3.0600775433936578E-2</v>
      </c>
      <c r="CV30" s="45">
        <f t="shared" si="111"/>
        <v>7.1655547975584266E-3</v>
      </c>
      <c r="CW30" s="45">
        <f t="shared" si="112"/>
        <v>0.11916139620328781</v>
      </c>
      <c r="CX30" s="45">
        <f t="shared" si="113"/>
        <v>8.1177908677747546E-2</v>
      </c>
      <c r="CY30" s="45">
        <f t="shared" si="114"/>
        <v>7.8268671309328575E-2</v>
      </c>
      <c r="CZ30" s="43">
        <f t="shared" si="115"/>
        <v>8.653313625083503E-2</v>
      </c>
      <c r="DA30" s="42">
        <f t="shared" si="116"/>
        <v>0.10036124465285323</v>
      </c>
      <c r="DB30" s="42">
        <f t="shared" si="117"/>
        <v>6.136355062499943E-2</v>
      </c>
      <c r="DC30" s="42">
        <f t="shared" si="118"/>
        <v>4.0604010000000024E-2</v>
      </c>
      <c r="DD30" s="42">
        <f t="shared" si="119"/>
        <v>4.0604010000000024E-2</v>
      </c>
      <c r="DE30" s="42">
        <f t="shared" si="120"/>
        <v>4.0604010000000024E-2</v>
      </c>
      <c r="DF30" s="42">
        <f t="shared" si="121"/>
        <v>4.0604010000000024E-2</v>
      </c>
      <c r="DG30" s="232">
        <f t="shared" si="122"/>
        <v>4.0604010000000024E-2</v>
      </c>
      <c r="DH30" s="232">
        <f t="shared" si="123"/>
        <v>4.0604010000000024E-2</v>
      </c>
      <c r="DI30" s="232">
        <f t="shared" si="124"/>
        <v>4.0604010000000024E-2</v>
      </c>
    </row>
    <row r="31" spans="1:113" outlineLevel="1">
      <c r="A31" s="1" t="s">
        <v>842</v>
      </c>
      <c r="B31" s="19" t="s">
        <v>220</v>
      </c>
      <c r="C31" s="551">
        <f>VLOOKUP(RIGHT($A31,LEN($A31)-4),[3]Sheet1!$A$2:$JP$65479,MATCH(C$3,[3]Sheet1!$A$2:$JP$2,0),FALSE)</f>
        <v>4.6695950712707823E-2</v>
      </c>
      <c r="D31" s="551">
        <f>VLOOKUP(RIGHT($A31,LEN($A31)-4),[3]Sheet1!$A$2:$JP$65479,MATCH(D$3,[3]Sheet1!$A$2:$JP$2,0),FALSE)</f>
        <v>3.6784674928397987E-2</v>
      </c>
      <c r="E31" s="551">
        <f>VLOOKUP(RIGHT($A31,LEN($A31)-4),[3]Sheet1!$A$2:$JP$65479,MATCH(E$3,[3]Sheet1!$A$2:$JP$2,0),FALSE)</f>
        <v>5.4100759563874723E-2</v>
      </c>
      <c r="F31" s="551">
        <f>VLOOKUP(RIGHT($A31,LEN($A31)-4),[3]Sheet1!$A$2:$JP$65479,MATCH(F$3,[3]Sheet1!$A$2:$JP$2,0),FALSE)</f>
        <v>4.1117964554073128E-2</v>
      </c>
      <c r="G31" s="551">
        <f>VLOOKUP(RIGHT($A31,LEN($A31)-4),[3]Sheet1!$A$2:$JP$65479,MATCH(G$3,[3]Sheet1!$A$2:$JP$2,0),FALSE)</f>
        <v>7.9213828217173043E-2</v>
      </c>
      <c r="H31" s="551">
        <f>VLOOKUP(RIGHT($A31,LEN($A31)-4),[3]Sheet1!$A$2:$JP$65479,MATCH(H$3,[3]Sheet1!$A$2:$JP$2,0),FALSE)</f>
        <v>6.2284786764588151E-2</v>
      </c>
      <c r="I31" s="551">
        <f>VLOOKUP(RIGHT($A31,LEN($A31)-4),[3]Sheet1!$A$2:$JP$65479,MATCH(I$3,[3]Sheet1!$A$2:$JP$2,0),FALSE)</f>
        <v>5.1705284050848066E-2</v>
      </c>
      <c r="J31" s="551">
        <f>VLOOKUP(RIGHT($A31,LEN($A31)-4),[3]Sheet1!$A$2:$JP$65479,MATCH(J$3,[3]Sheet1!$A$2:$JP$2,0),FALSE)</f>
        <v>7.6671753862013858E-2</v>
      </c>
      <c r="K31" s="551">
        <f>VLOOKUP(RIGHT($A31,LEN($A31)-4),[3]Sheet1!$A$2:$JP$65479,MATCH(K$3,[3]Sheet1!$A$2:$JP$2,0),FALSE)</f>
        <v>5.3811404709885879E-2</v>
      </c>
      <c r="L31" s="551">
        <f>VLOOKUP(RIGHT($A31,LEN($A31)-4),[3]Sheet1!$A$2:$JP$65479,MATCH(L$3,[3]Sheet1!$A$2:$JP$2,0),FALSE)</f>
        <v>4.3064796445451581E-2</v>
      </c>
      <c r="M31" s="183">
        <f>VLOOKUP(RIGHT($A31,LEN($A31)-4),[3]Sheet1!$A$2:$JP$65479,MATCH(M$3,[3]Sheet1!$A$2:$JP$2,0),FALSE)</f>
        <v>5.2000803559967945E-2</v>
      </c>
      <c r="N31" s="183">
        <f>VLOOKUP(RIGHT($A31,LEN($A31)-4),[3]Sheet1!$A$2:$JP$65479,MATCH(N$3,[3]Sheet1!$A$2:$JP$2,0),FALSE)</f>
        <v>5.9305626777635512E-2</v>
      </c>
      <c r="O31" s="183">
        <f>VLOOKUP(RIGHT($A31,LEN($A31)-4),[3]Sheet1!$A$2:$JP$65479,MATCH(O$3,[3]Sheet1!$A$2:$JP$2,0),FALSE)</f>
        <v>9.6110843104088448E-2</v>
      </c>
      <c r="P31" s="183">
        <f>VLOOKUP(RIGHT($A31,LEN($A31)-4),[3]Sheet1!$A$2:$JP$65479,MATCH(P$3,[3]Sheet1!$A$2:$JP$2,0),FALSE)</f>
        <v>3.7006190495543434E-2</v>
      </c>
      <c r="Q31" s="183">
        <f>VLOOKUP(RIGHT($A31,LEN($A31)-4),[3]Sheet1!$A$2:$JP$65479,MATCH(Q$3,[3]Sheet1!$A$2:$JP$2,0),FALSE)</f>
        <v>-3.7742003273921743E-3</v>
      </c>
      <c r="R31" s="183">
        <f>VLOOKUP(RIGHT($A31,LEN($A31)-4),[3]Sheet1!$A$2:$JP$65479,MATCH(R$3,[3]Sheet1!$A$2:$JP$2,0),FALSE)</f>
        <v>-4.6825360461187786E-2</v>
      </c>
      <c r="S31" s="183">
        <f>VLOOKUP(RIGHT($A31,LEN($A31)-4),[3]Sheet1!$A$2:$JP$65479,MATCH(S$3,[3]Sheet1!$A$2:$JP$2,0),FALSE)</f>
        <v>-2.504933378338059E-2</v>
      </c>
      <c r="T31" s="183">
        <f>VLOOKUP(RIGHT($A31,LEN($A31)-4),[3]Sheet1!$A$2:$JP$65479,MATCH(T$3,[3]Sheet1!$A$2:$JP$2,0),FALSE)</f>
        <v>2.3266339307167039E-2</v>
      </c>
      <c r="U31" s="183">
        <f>VLOOKUP(RIGHT($A31,LEN($A31)-4),[3]Sheet1!$A$2:$JP$65479,MATCH(U$3,[3]Sheet1!$A$2:$JP$2,0),FALSE)</f>
        <v>6.2604612045937813E-3</v>
      </c>
      <c r="V31" s="183">
        <f>VLOOKUP(RIGHT($A31,LEN($A31)-4),[3]Sheet1!$A$2:$JP$65479,MATCH(V$3,[3]Sheet1!$A$2:$JP$2,0),FALSE)</f>
        <v>6.3312224279026275E-3</v>
      </c>
      <c r="W31" s="183">
        <f>VLOOKUP(RIGHT($A31,LEN($A31)-4),[3]Sheet1!$A$2:$JP$65479,MATCH(W$3,[3]Sheet1!$A$2:$JP$2,0),FALSE)</f>
        <v>2.0000962910726727E-4</v>
      </c>
      <c r="X31" s="183">
        <f>VLOOKUP(RIGHT($A31,LEN($A31)-4),[3]Sheet1!$A$2:$JP$65479,MATCH(X$3,[3]Sheet1!$A$2:$JP$2,0),FALSE)</f>
        <v>-9.528496030505873E-3</v>
      </c>
      <c r="Y31" s="183">
        <f>VLOOKUP(RIGHT($A31,LEN($A31)-4),[3]Sheet1!$A$2:$JP$65479,MATCH(Y$3,[3]Sheet1!$A$2:$JP$2,0),FALSE)</f>
        <v>-2.256565165471569E-3</v>
      </c>
      <c r="Z31" s="183">
        <f>VLOOKUP(RIGHT($A31,LEN($A31)-4),[3]Sheet1!$A$2:$JP$65479,MATCH(Z$3,[3]Sheet1!$A$2:$JP$2,0),FALSE)</f>
        <v>-1.0542007909956075E-3</v>
      </c>
      <c r="AA31" s="183">
        <f>VLOOKUP(RIGHT($A31,LEN($A31)-4),[3]Sheet1!$A$2:$JP$65479,MATCH(AA$3,[3]Sheet1!$A$2:$JP$2,0),FALSE)</f>
        <v>3.7273851046053519E-3</v>
      </c>
      <c r="AB31" s="44">
        <f>VLOOKUP(RIGHT($A31,LEN($A31)-4),[3]Sheet1!$A$2:$JP$65479,MATCH(AB$3,[3]Sheet1!$A$2:$JP$2,0),FALSE)</f>
        <v>2.9929935268935282E-3</v>
      </c>
      <c r="AC31" s="44">
        <f>VLOOKUP(RIGHT($A31,LEN($A31)-4),[3]Sheet1!$A$2:$JP$65479,MATCH(AC$3,[3]Sheet1!$A$2:$JP$2,0),FALSE)</f>
        <v>4.1661246994046941E-3</v>
      </c>
      <c r="AD31" s="44">
        <f>VLOOKUP(RIGHT($A31,LEN($A31)-4),[3]Sheet1!$A$2:$JP$65479,MATCH(AD$3,[3]Sheet1!$A$2:$JP$2,0),FALSE)</f>
        <v>6.6593833997117269E-3</v>
      </c>
      <c r="AE31" s="44">
        <f>VLOOKUP(RIGHT($A31,LEN($A31)-4),[3]Sheet1!$A$2:$JP$65479,MATCH(AE$3,[3]Sheet1!$A$2:$JP$2,0),FALSE)</f>
        <v>2.3086962466216665E-3</v>
      </c>
      <c r="AF31" s="44">
        <f>VLOOKUP(RIGHT($A31,LEN($A31)-4),[3]Sheet1!$A$2:$JP$65479,MATCH(AF$3,[3]Sheet1!$A$2:$JP$2,0),FALSE)</f>
        <v>-2.4832504940958122E-3</v>
      </c>
      <c r="AG31" s="44">
        <f>VLOOKUP(RIGHT($A31,LEN($A31)-4),[3]Sheet1!$A$2:$JP$65479,MATCH(AG$3,[3]Sheet1!$A$2:$JP$2,0),FALSE)</f>
        <v>-3.8085809535275406E-3</v>
      </c>
      <c r="AH31" s="44">
        <f>VLOOKUP(RIGHT($A31,LEN($A31)-4),[3]Sheet1!$A$2:$JP$65479,MATCH(AH$3,[3]Sheet1!$A$2:$JP$2,0),FALSE)</f>
        <v>-5.0479080547159993E-3</v>
      </c>
      <c r="AI31" s="44">
        <f>VLOOKUP(RIGHT($A31,LEN($A31)-4),[3]Sheet1!$A$2:$JP$65479,MATCH(AI$3,[3]Sheet1!$A$2:$JP$2,0),FALSE)</f>
        <v>-4.3642657714382249E-3</v>
      </c>
      <c r="AJ31" s="44">
        <f>VLOOKUP(RIGHT($A31,LEN($A31)-4),[3]Sheet1!$A$2:$JP$65479,MATCH(AJ$3,[3]Sheet1!$A$2:$JP$2,0),FALSE)</f>
        <v>-7.8462055040069423E-3</v>
      </c>
      <c r="AK31" s="44">
        <f>VLOOKUP(RIGHT($A31,LEN($A31)-4),[3]Sheet1!$A$2:$JP$65479,MATCH(AK$3,[3]Sheet1!$A$2:$JP$2,0),FALSE)</f>
        <v>-5.0186713620039569E-3</v>
      </c>
      <c r="AL31" s="44">
        <f>VLOOKUP(RIGHT($A31,LEN($A31)-4),[3]Sheet1!$A$2:$JP$65479,MATCH(AL$3,[3]Sheet1!$A$2:$JP$2,0),FALSE)</f>
        <v>-1.6641122571718125E-2</v>
      </c>
      <c r="AM31" s="44">
        <f>VLOOKUP(RIGHT($A31,LEN($A31)-4),[3]Sheet1!$A$2:$JP$65479,MATCH(AM$3,[3]Sheet1!$A$2:$JP$2,0),FALSE)</f>
        <v>-1.8248279402219292E-2</v>
      </c>
      <c r="AN31" s="44">
        <f>VLOOKUP(RIGHT($A31,LEN($A31)-4),[3]Sheet1!$A$2:$JP$65479,MATCH(AN$3,[3]Sheet1!$A$2:$JP$2,0),FALSE)</f>
        <v>-3.1605172739333165E-2</v>
      </c>
      <c r="AO31" s="44">
        <f>VLOOKUP(RIGHT($A31,LEN($A31)-4),[3]Sheet1!$A$2:$JP$65479,MATCH(AO$3,[3]Sheet1!$A$2:$JP$2,0),FALSE)</f>
        <v>-7.9034853165804386E-2</v>
      </c>
      <c r="AP31" s="44">
        <f>VLOOKUP(RIGHT($A31,LEN($A31)-4),[3]Sheet1!$A$2:$JP$65479,MATCH(AP$3,[3]Sheet1!$A$2:$JP$2,0),FALSE)</f>
        <v>-4.9577841925903421E-2</v>
      </c>
      <c r="AQ31" s="44">
        <f>VLOOKUP(RIGHT($A31,LEN($A31)-4),[3]Sheet1!$A$2:$JP$65479,MATCH(AQ$3,[3]Sheet1!$A$2:$JP$2,0),FALSE)</f>
        <v>-1.3556487758487279E-2</v>
      </c>
      <c r="AR31" s="44">
        <f>VLOOKUP(RIGHT($A31,LEN($A31)-4),[3]Sheet1!$A$2:$JP$65479,MATCH(AR$3,[3]Sheet1!$A$2:$JP$2,0),FALSE)</f>
        <v>-2.3466226481812402E-2</v>
      </c>
      <c r="AS31" s="44">
        <f>VLOOKUP(RIGHT($A31,LEN($A31)-4),[3]Sheet1!$A$2:$JP$65479,MATCH(AS$3,[3]Sheet1!$A$2:$JP$2,0),FALSE)</f>
        <v>-3.8105034669889681E-3</v>
      </c>
      <c r="AT31" s="44">
        <f>VLOOKUP(RIGHT($A31,LEN($A31)-4),[3]Sheet1!$A$2:$JP$65479,MATCH(AT$3,[3]Sheet1!$A$2:$JP$2,0),FALSE)</f>
        <v>-1.2485812521589867E-4</v>
      </c>
      <c r="AU31" s="44">
        <f>VLOOKUP(RIGHT($A31,LEN($A31)-4),[3]Sheet1!$A$2:$JP$65479,MATCH(AU$3,[3]Sheet1!$A$2:$JP$2,0),FALSE)</f>
        <v>4.2569201473749985E-3</v>
      </c>
      <c r="AV31" s="44">
        <f>VLOOKUP(RIGHT($A31,LEN($A31)-4),[3]Sheet1!$A$2:$JP$65479,MATCH(AV$3,[3]Sheet1!$A$2:$JP$2,0),FALSE)</f>
        <v>1.4382025908990848E-2</v>
      </c>
      <c r="AW31" s="44">
        <f>VLOOKUP(RIGHT($A31,LEN($A31)-4),[3]Sheet1!$A$2:$JP$65479,MATCH(AW$3,[3]Sheet1!$A$2:$JP$2,0),FALSE)</f>
        <v>1.4098566489183728E-2</v>
      </c>
      <c r="AX31" s="44">
        <f>VLOOKUP(RIGHT($A31,LEN($A31)-4),[3]Sheet1!$A$2:$JP$65479,MATCH(AX$3,[3]Sheet1!$A$2:$JP$2,0),FALSE)</f>
        <v>1.2008362856064325E-2</v>
      </c>
      <c r="AY31" s="44">
        <f>VLOOKUP(RIGHT($A31,LEN($A31)-4),[3]Sheet1!$A$2:$JP$65479,MATCH(AY$3,[3]Sheet1!$A$2:$JP$2,0),FALSE)</f>
        <v>2.5030370796491619E-2</v>
      </c>
      <c r="AZ31" s="498">
        <f>VLOOKUP(RIGHT($A31,LEN($A31)-4),[3]Sheet1!$A$2:$JP$65479,MATCH(AZ$3,[3]Sheet1!$A$2:$JP$2,0),FALSE)</f>
        <v>1.4640421477497334E-2</v>
      </c>
      <c r="BA31" s="41">
        <f>VLOOKUP(RIGHT($A31,LEN($A31)-4),[3]Sheet1!$A$2:$JP$65479,MATCH(BA$3,[3]Sheet1!$A$2:$JP$2,0),FALSE)</f>
        <v>2.0100000000000007E-2</v>
      </c>
      <c r="BB31" s="41">
        <f>VLOOKUP(RIGHT($A31,LEN($A31)-4),[3]Sheet1!$A$2:$JP$65479,MATCH(BB$3,[3]Sheet1!$A$2:$JP$2,0),FALSE)</f>
        <v>1.2537499999999868E-2</v>
      </c>
      <c r="BC31" s="41">
        <f>VLOOKUP(RIGHT($A31,LEN($A31)-4),[3]Sheet1!$A$2:$JP$65479,MATCH(BC$3,[3]Sheet1!$A$2:$JP$2,0),FALSE)</f>
        <v>1.0024999999999729E-2</v>
      </c>
      <c r="BD31" s="41">
        <f>VLOOKUP(RIGHT($A31,LEN($A31)-4),[3]Sheet1!$A$2:$JP$65479,MATCH(BD$3,[3]Sheet1!$A$2:$JP$2,0),FALSE)</f>
        <v>1.0024999999999729E-2</v>
      </c>
      <c r="BE31" s="41">
        <f>VLOOKUP(RIGHT($A31,LEN($A31)-4),[3]Sheet1!$A$2:$JP$65479,MATCH(BE$3,[3]Sheet1!$A$2:$JP$2,0),FALSE)</f>
        <v>1.0024999999999729E-2</v>
      </c>
      <c r="BF31" s="41">
        <f>VLOOKUP(RIGHT($A31,LEN($A31)-4),[3]Sheet1!$A$2:$JP$65479,MATCH(BF$3,[3]Sheet1!$A$2:$JP$2,0),FALSE)</f>
        <v>1.0024999999999729E-2</v>
      </c>
      <c r="BG31" s="41">
        <f>VLOOKUP(RIGHT($A31,LEN($A31)-4),[3]Sheet1!$A$2:$JP$65479,MATCH(BG$3,[3]Sheet1!$A$2:$JP$2,0),FALSE)</f>
        <v>1.0024999999999729E-2</v>
      </c>
      <c r="BH31" s="41">
        <f>VLOOKUP(RIGHT($A31,LEN($A31)-4),[3]Sheet1!$A$2:$JP$65479,MATCH(BH$3,[3]Sheet1!$A$2:$JP$2,0),FALSE)</f>
        <v>1.0024999999999729E-2</v>
      </c>
      <c r="BI31" s="41">
        <f>VLOOKUP(RIGHT($A31,LEN($A31)-4),[3]Sheet1!$A$2:$JP$65479,MATCH(BI$3,[3]Sheet1!$A$2:$JP$2,0),FALSE)</f>
        <v>1.0024999999999729E-2</v>
      </c>
      <c r="BJ31" s="41">
        <f>VLOOKUP(RIGHT($A31,LEN($A31)-4),[3]Sheet1!$A$2:$JP$65479,MATCH(BJ$3,[3]Sheet1!$A$2:$JP$2,0),FALSE)</f>
        <v>1.0024999999999729E-2</v>
      </c>
      <c r="BK31" s="41">
        <f>VLOOKUP(RIGHT($A31,LEN($A31)-4),[3]Sheet1!$A$2:$JP$65479,MATCH(BK$3,[3]Sheet1!$A$2:$JP$2,0),FALSE)</f>
        <v>1.0024999999999729E-2</v>
      </c>
      <c r="BL31" s="41">
        <f>VLOOKUP(RIGHT($A31,LEN($A31)-4),[3]Sheet1!$A$2:$JP$65479,MATCH(BL$3,[3]Sheet1!$A$2:$JP$2,0),FALSE)</f>
        <v>1.0024999999999729E-2</v>
      </c>
      <c r="BM31" s="41">
        <f>VLOOKUP(RIGHT($A31,LEN($A31)-4),[3]Sheet1!$A$2:$JP$65479,MATCH(BM$3,[3]Sheet1!$A$2:$JP$2,0),FALSE)</f>
        <v>1.0024999999999729E-2</v>
      </c>
      <c r="BN31" s="41">
        <f>VLOOKUP(RIGHT($A31,LEN($A31)-4),[3]Sheet1!$A$2:$JP$65479,MATCH(BN$3,[3]Sheet1!$A$2:$JP$2,0),FALSE)</f>
        <v>1.0024999999999729E-2</v>
      </c>
      <c r="BO31" s="41">
        <f>VLOOKUP(RIGHT($A31,LEN($A31)-4),[3]Sheet1!$A$2:$JP$65479,MATCH(BO$3,[3]Sheet1!$A$2:$JP$2,0),FALSE)</f>
        <v>1.0024999999999729E-2</v>
      </c>
      <c r="BP31" s="41">
        <f>VLOOKUP(RIGHT($A31,LEN($A31)-4),[3]Sheet1!$A$2:$JP$65479,MATCH(BP$3,[3]Sheet1!$A$2:$JP$2,0),FALSE)</f>
        <v>1.0024999999999729E-2</v>
      </c>
      <c r="BQ31" s="41">
        <f>VLOOKUP(RIGHT($A31,LEN($A31)-4),[3]Sheet1!$A$2:$JP$65479,MATCH(BQ$3,[3]Sheet1!$A$2:$JP$2,0),FALSE)</f>
        <v>1.0024999999999729E-2</v>
      </c>
      <c r="BR31" s="511"/>
      <c r="BS31" s="552">
        <f>VLOOKUP(RIGHT($A31,LEN($A31)-4),[3]Sheet1!$A$2:$JP$65479,MATCH(BS$3,[3]Sheet1!$A$2:$JP$2,0),FALSE)</f>
        <v>-1.9704963909994544E-2</v>
      </c>
      <c r="BT31" s="552">
        <f>VLOOKUP(RIGHT($A31,LEN($A31)-4),[3]Sheet1!$A$2:$JP$65479,MATCH(BT$3,[3]Sheet1!$A$2:$JP$2,0),FALSE)</f>
        <v>-6.9601219734453101E-3</v>
      </c>
      <c r="BU31" s="552">
        <f>VLOOKUP(RIGHT($A31,LEN($A31)-4),[3]Sheet1!$A$2:$JP$65479,MATCH(BU$3,[3]Sheet1!$A$2:$JP$2,0),FALSE)</f>
        <v>2.5624390445002865E-2</v>
      </c>
      <c r="BV31" s="552">
        <f>VLOOKUP(RIGHT($A31,LEN($A31)-4),[3]Sheet1!$A$2:$JP$65479,MATCH(BV$3,[3]Sheet1!$A$2:$JP$2,0),FALSE)</f>
        <v>5.9376573165015323E-2</v>
      </c>
      <c r="BW31" s="552">
        <f>VLOOKUP(RIGHT($A31,LEN($A31)-4),[3]Sheet1!$A$2:$JP$65479,MATCH(BW$3,[3]Sheet1!$A$2:$JP$2,0),FALSE)</f>
        <v>6.0162479889846354E-2</v>
      </c>
      <c r="BX31" s="552">
        <f>VLOOKUP(RIGHT($A31,LEN($A31)-4),[3]Sheet1!$A$2:$JP$65479,MATCH(BX$3,[3]Sheet1!$A$2:$JP$2,0),FALSE)</f>
        <v>3.3709447215492627E-2</v>
      </c>
      <c r="BY31" s="552">
        <f>VLOOKUP(RIGHT($A31,LEN($A31)-4),[3]Sheet1!$A$2:$JP$65479,MATCH(BY$3,[3]Sheet1!$A$2:$JP$2,0),FALSE)</f>
        <v>4.8438750078392045E-2</v>
      </c>
      <c r="BZ31" s="552">
        <f>VLOOKUP(RIGHT($A31,LEN($A31)-4),[3]Sheet1!$A$2:$JP$65479,MATCH(BZ$3,[3]Sheet1!$A$2:$JP$2,0),FALSE)</f>
        <v>8.3200149704406368E-2</v>
      </c>
      <c r="CA31" s="552">
        <f>VLOOKUP(RIGHT($A31,LEN($A31)-4),[3]Sheet1!$A$2:$JP$65479,MATCH(CA$3,[3]Sheet1!$A$2:$JP$2,0),FALSE)</f>
        <v>8.0512325883317359E-2</v>
      </c>
      <c r="CB31" s="552">
        <f>VLOOKUP(RIGHT($A31,LEN($A31)-4),[3]Sheet1!$A$2:$JP$65479,MATCH(CB$3,[3]Sheet1!$A$2:$JP$2,0),FALSE)</f>
        <v>4.6695950712707823E-2</v>
      </c>
      <c r="CC31" s="42">
        <f t="shared" si="92"/>
        <v>9.287551334620936E-2</v>
      </c>
      <c r="CD31" s="42">
        <f t="shared" si="93"/>
        <v>0.12358890415207235</v>
      </c>
      <c r="CE31" s="42">
        <f t="shared" si="94"/>
        <v>0.11721052340714566</v>
      </c>
      <c r="CF31" s="42">
        <f t="shared" si="95"/>
        <v>0.13460897334878541</v>
      </c>
      <c r="CG31" s="42">
        <f t="shared" si="96"/>
        <v>9.7305004025729502E-2</v>
      </c>
      <c r="CH31" s="42">
        <f t="shared" si="97"/>
        <v>0.16111638367213899</v>
      </c>
      <c r="CI31" s="42">
        <f t="shared" si="98"/>
        <v>3.3092321391867463E-2</v>
      </c>
      <c r="CJ31" s="42">
        <f t="shared" si="99"/>
        <v>-7.0701750160849008E-2</v>
      </c>
      <c r="CK31" s="42">
        <f t="shared" si="100"/>
        <v>2.9672458526366352E-2</v>
      </c>
      <c r="CL31" s="42">
        <f t="shared" si="101"/>
        <v>6.5324983624595045E-3</v>
      </c>
      <c r="CM31" s="45">
        <f t="shared" si="102"/>
        <v>-1.1763559523755629E-2</v>
      </c>
      <c r="CN31" s="45">
        <f t="shared" si="103"/>
        <v>2.6692549012841127E-3</v>
      </c>
      <c r="CO31" s="45">
        <f t="shared" si="104"/>
        <v>7.1715874105557909E-3</v>
      </c>
      <c r="CP31" s="45">
        <f t="shared" si="105"/>
        <v>8.9834541397930678E-3</v>
      </c>
      <c r="CQ31" s="45">
        <f t="shared" si="106"/>
        <v>-6.2823737870887353E-3</v>
      </c>
      <c r="CR31" s="45">
        <f t="shared" si="107"/>
        <v>-9.390143413813612E-3</v>
      </c>
      <c r="CS31" s="45">
        <f>(1+AJ31)*(1+AK31)-1</f>
        <v>-1.2825499339147561E-2</v>
      </c>
      <c r="CT31" s="45">
        <f t="shared" si="109"/>
        <v>-3.4585730119682134E-2</v>
      </c>
      <c r="CU31" s="45">
        <f t="shared" si="110"/>
        <v>-0.10814211571840449</v>
      </c>
      <c r="CV31" s="45">
        <f t="shared" si="111"/>
        <v>-6.2462228277230025E-2</v>
      </c>
      <c r="CW31" s="45">
        <f t="shared" si="112"/>
        <v>-2.71873118114353E-2</v>
      </c>
      <c r="CX31" s="45">
        <f t="shared" si="113"/>
        <v>4.1315305110902756E-3</v>
      </c>
      <c r="CY31" s="45">
        <f t="shared" si="114"/>
        <v>2.868335834670166E-2</v>
      </c>
      <c r="CZ31" s="43">
        <f t="shared" si="115"/>
        <v>3.7339307427502133E-2</v>
      </c>
      <c r="DA31" s="42">
        <f t="shared" si="116"/>
        <v>3.5034693949195006E-2</v>
      </c>
      <c r="DB31" s="42">
        <f t="shared" si="117"/>
        <v>2.2688188437499646E-2</v>
      </c>
      <c r="DC31" s="42">
        <f t="shared" si="118"/>
        <v>2.0150500624999346E-2</v>
      </c>
      <c r="DD31" s="42">
        <f t="shared" si="119"/>
        <v>2.0150500624999346E-2</v>
      </c>
      <c r="DE31" s="42">
        <f t="shared" si="120"/>
        <v>2.0150500624999346E-2</v>
      </c>
      <c r="DF31" s="42">
        <f t="shared" si="121"/>
        <v>2.0150500624999346E-2</v>
      </c>
      <c r="DG31" s="232">
        <f t="shared" si="122"/>
        <v>2.0150500624999346E-2</v>
      </c>
      <c r="DH31" s="232">
        <f t="shared" si="123"/>
        <v>2.0150500624999346E-2</v>
      </c>
      <c r="DI31" s="232">
        <f t="shared" si="124"/>
        <v>2.0150500624999346E-2</v>
      </c>
    </row>
    <row r="32" spans="1:113" outlineLevel="1">
      <c r="A32" s="1" t="s">
        <v>843</v>
      </c>
      <c r="B32" s="19" t="s">
        <v>221</v>
      </c>
      <c r="C32" s="551">
        <f>VLOOKUP(RIGHT($A32,LEN($A32)-4),[3]Sheet1!$A$2:$JP$65479,MATCH(C$3,[3]Sheet1!$A$2:$JP$2,0),FALSE)</f>
        <v>3.6253213768740356E-2</v>
      </c>
      <c r="D32" s="551">
        <f>VLOOKUP(RIGHT($A32,LEN($A32)-4),[3]Sheet1!$A$2:$JP$65479,MATCH(D$3,[3]Sheet1!$A$2:$JP$2,0),FALSE)</f>
        <v>3.4732183873902978E-2</v>
      </c>
      <c r="E32" s="551">
        <f>VLOOKUP(RIGHT($A32,LEN($A32)-4),[3]Sheet1!$A$2:$JP$65479,MATCH(E$3,[3]Sheet1!$A$2:$JP$2,0),FALSE)</f>
        <v>4.5713232252869718E-2</v>
      </c>
      <c r="F32" s="551">
        <f>VLOOKUP(RIGHT($A32,LEN($A32)-4),[3]Sheet1!$A$2:$JP$65479,MATCH(F$3,[3]Sheet1!$A$2:$JP$2,0),FALSE)</f>
        <v>4.8847495243785621E-2</v>
      </c>
      <c r="G32" s="551">
        <f>VLOOKUP(RIGHT($A32,LEN($A32)-4),[3]Sheet1!$A$2:$JP$65479,MATCH(G$3,[3]Sheet1!$A$2:$JP$2,0),FALSE)</f>
        <v>7.088583170284446E-2</v>
      </c>
      <c r="H32" s="551">
        <f>VLOOKUP(RIGHT($A32,LEN($A32)-4),[3]Sheet1!$A$2:$JP$65479,MATCH(H$3,[3]Sheet1!$A$2:$JP$2,0),FALSE)</f>
        <v>8.6159386260891355E-2</v>
      </c>
      <c r="I32" s="551">
        <f>VLOOKUP(RIGHT($A32,LEN($A32)-4),[3]Sheet1!$A$2:$JP$65479,MATCH(I$3,[3]Sheet1!$A$2:$JP$2,0),FALSE)</f>
        <v>7.9560152168328901E-2</v>
      </c>
      <c r="J32" s="551">
        <f>VLOOKUP(RIGHT($A32,LEN($A32)-4),[3]Sheet1!$A$2:$JP$65479,MATCH(J$3,[3]Sheet1!$A$2:$JP$2,0),FALSE)</f>
        <v>7.5205136463744049E-2</v>
      </c>
      <c r="K32" s="551">
        <f>VLOOKUP(RIGHT($A32,LEN($A32)-4),[3]Sheet1!$A$2:$JP$65479,MATCH(K$3,[3]Sheet1!$A$2:$JP$2,0),FALSE)</f>
        <v>7.8782009304269929E-2</v>
      </c>
      <c r="L32" s="551">
        <f>VLOOKUP(RIGHT($A32,LEN($A32)-4),[3]Sheet1!$A$2:$JP$65479,MATCH(L$3,[3]Sheet1!$A$2:$JP$2,0),FALSE)</f>
        <v>7.6466863840616961E-2</v>
      </c>
      <c r="M32" s="183">
        <f>VLOOKUP(RIGHT($A32,LEN($A32)-4),[3]Sheet1!$A$2:$JP$65479,MATCH(M$3,[3]Sheet1!$A$2:$JP$2,0),FALSE)</f>
        <v>6.4331556205785567E-2</v>
      </c>
      <c r="N32" s="183">
        <f>VLOOKUP(RIGHT($A32,LEN($A32)-4),[3]Sheet1!$A$2:$JP$65479,MATCH(N$3,[3]Sheet1!$A$2:$JP$2,0),FALSE)</f>
        <v>6.5701518049165131E-2</v>
      </c>
      <c r="O32" s="183">
        <f>VLOOKUP(RIGHT($A32,LEN($A32)-4),[3]Sheet1!$A$2:$JP$65479,MATCH(O$3,[3]Sheet1!$A$2:$JP$2,0),FALSE)</f>
        <v>7.3440403698248335E-2</v>
      </c>
      <c r="P32" s="183">
        <f>VLOOKUP(RIGHT($A32,LEN($A32)-4),[3]Sheet1!$A$2:$JP$65479,MATCH(P$3,[3]Sheet1!$A$2:$JP$2,0),FALSE)</f>
        <v>5.1097870538947987E-2</v>
      </c>
      <c r="Q32" s="183">
        <f>VLOOKUP(RIGHT($A32,LEN($A32)-4),[3]Sheet1!$A$2:$JP$65479,MATCH(Q$3,[3]Sheet1!$A$2:$JP$2,0),FALSE)</f>
        <v>3.2879571121567919E-2</v>
      </c>
      <c r="R32" s="183">
        <f>VLOOKUP(RIGHT($A32,LEN($A32)-4),[3]Sheet1!$A$2:$JP$65479,MATCH(R$3,[3]Sheet1!$A$2:$JP$2,0),FALSE)</f>
        <v>1.1039280138254837E-2</v>
      </c>
      <c r="S32" s="183">
        <f>VLOOKUP(RIGHT($A32,LEN($A32)-4),[3]Sheet1!$A$2:$JP$65479,MATCH(S$3,[3]Sheet1!$A$2:$JP$2,0),FALSE)</f>
        <v>1.9053497510005846E-2</v>
      </c>
      <c r="T32" s="183">
        <f>VLOOKUP(RIGHT($A32,LEN($A32)-4),[3]Sheet1!$A$2:$JP$65479,MATCH(T$3,[3]Sheet1!$A$2:$JP$2,0),FALSE)</f>
        <v>1.5889661290948043E-2</v>
      </c>
      <c r="U32" s="183">
        <f>VLOOKUP(RIGHT($A32,LEN($A32)-4),[3]Sheet1!$A$2:$JP$65479,MATCH(U$3,[3]Sheet1!$A$2:$JP$2,0),FALSE)</f>
        <v>1.283679952221628E-2</v>
      </c>
      <c r="V32" s="183">
        <f>VLOOKUP(RIGHT($A32,LEN($A32)-4),[3]Sheet1!$A$2:$JP$65479,MATCH(V$3,[3]Sheet1!$A$2:$JP$2,0),FALSE)</f>
        <v>4.8576515347127369E-3</v>
      </c>
      <c r="W32" s="183">
        <f>VLOOKUP(RIGHT($A32,LEN($A32)-4),[3]Sheet1!$A$2:$JP$65479,MATCH(W$3,[3]Sheet1!$A$2:$JP$2,0),FALSE)</f>
        <v>9.54892090473769E-3</v>
      </c>
      <c r="X32" s="183">
        <f>VLOOKUP(RIGHT($A32,LEN($A32)-4),[3]Sheet1!$A$2:$JP$65479,MATCH(X$3,[3]Sheet1!$A$2:$JP$2,0),FALSE)</f>
        <v>2.2493853265190822E-3</v>
      </c>
      <c r="Y32" s="183">
        <f>VLOOKUP(RIGHT($A32,LEN($A32)-4),[3]Sheet1!$A$2:$JP$65479,MATCH(Y$3,[3]Sheet1!$A$2:$JP$2,0),FALSE)</f>
        <v>1.6157029421018487E-2</v>
      </c>
      <c r="Z32" s="183">
        <f>VLOOKUP(RIGHT($A32,LEN($A32)-4),[3]Sheet1!$A$2:$JP$65479,MATCH(Z$3,[3]Sheet1!$A$2:$JP$2,0),FALSE)</f>
        <v>2.0068196188298026E-2</v>
      </c>
      <c r="AA32" s="183">
        <f>VLOOKUP(RIGHT($A32,LEN($A32)-4),[3]Sheet1!$A$2:$JP$65479,MATCH(AA$3,[3]Sheet1!$A$2:$JP$2,0),FALSE)</f>
        <v>3.0903335378405838E-2</v>
      </c>
      <c r="AB32" s="44">
        <f>VLOOKUP(RIGHT($A32,LEN($A32)-4),[3]Sheet1!$A$2:$JP$65479,MATCH(AB$3,[3]Sheet1!$A$2:$JP$2,0),FALSE)</f>
        <v>2.6821823208806661E-2</v>
      </c>
      <c r="AC32" s="44">
        <f>VLOOKUP(RIGHT($A32,LEN($A32)-4),[3]Sheet1!$A$2:$JP$65479,MATCH(AC$3,[3]Sheet1!$A$2:$JP$2,0),FALSE)</f>
        <v>2.5567302477871756E-2</v>
      </c>
      <c r="AD32" s="44">
        <f>VLOOKUP(RIGHT($A32,LEN($A32)-4),[3]Sheet1!$A$2:$JP$65479,MATCH(AD$3,[3]Sheet1!$A$2:$JP$2,0),FALSE)</f>
        <v>1.9902008232472124E-2</v>
      </c>
      <c r="AE32" s="44">
        <f>VLOOKUP(RIGHT($A32,LEN($A32)-4),[3]Sheet1!$A$2:$JP$65479,MATCH(AE$3,[3]Sheet1!$A$2:$JP$2,0),FALSE)</f>
        <v>3.3030255812164233E-2</v>
      </c>
      <c r="AF32" s="44">
        <f>VLOOKUP(RIGHT($A32,LEN($A32)-4),[3]Sheet1!$A$2:$JP$65479,MATCH(AF$3,[3]Sheet1!$A$2:$JP$2,0),FALSE)</f>
        <v>3.9589437518197768E-2</v>
      </c>
      <c r="AG32" s="44">
        <f>VLOOKUP(RIGHT($A32,LEN($A32)-4),[3]Sheet1!$A$2:$JP$65479,MATCH(AG$3,[3]Sheet1!$A$2:$JP$2,0),FALSE)</f>
        <v>4.6181190518283177E-2</v>
      </c>
      <c r="AH32" s="44">
        <f>VLOOKUP(RIGHT($A32,LEN($A32)-4),[3]Sheet1!$A$2:$JP$65479,MATCH(AH$3,[3]Sheet1!$A$2:$JP$2,0),FALSE)</f>
        <v>4.2649122754550017E-2</v>
      </c>
      <c r="AI32" s="44">
        <f>VLOOKUP(RIGHT($A32,LEN($A32)-4),[3]Sheet1!$A$2:$JP$65479,MATCH(AI$3,[3]Sheet1!$A$2:$JP$2,0),FALSE)</f>
        <v>3.12856404407722E-2</v>
      </c>
      <c r="AJ32" s="44">
        <f>VLOOKUP(RIGHT($A32,LEN($A32)-4),[3]Sheet1!$A$2:$JP$65479,MATCH(AJ$3,[3]Sheet1!$A$2:$JP$2,0),FALSE)</f>
        <v>2.6984800733129255E-2</v>
      </c>
      <c r="AK32" s="44">
        <f>VLOOKUP(RIGHT($A32,LEN($A32)-4),[3]Sheet1!$A$2:$JP$65479,MATCH(AK$3,[3]Sheet1!$A$2:$JP$2,0),FALSE)</f>
        <v>3.0703416674021655E-2</v>
      </c>
      <c r="AL32" s="44">
        <f>VLOOKUP(RIGHT($A32,LEN($A32)-4),[3]Sheet1!$A$2:$JP$65479,MATCH(AL$3,[3]Sheet1!$A$2:$JP$2,0),FALSE)</f>
        <v>2.9057210033953007E-2</v>
      </c>
      <c r="AM32" s="44">
        <f>VLOOKUP(RIGHT($A32,LEN($A32)-4),[3]Sheet1!$A$2:$JP$65479,MATCH(AM$3,[3]Sheet1!$A$2:$JP$2,0),FALSE)</f>
        <v>3.3181408659850753E-2</v>
      </c>
      <c r="AN32" s="44">
        <f>VLOOKUP(RIGHT($A32,LEN($A32)-4),[3]Sheet1!$A$2:$JP$65479,MATCH(AN$3,[3]Sheet1!$A$2:$JP$2,0),FALSE)</f>
        <v>3.5241144683099801E-2</v>
      </c>
      <c r="AO32" s="44">
        <f>VLOOKUP(RIGHT($A32,LEN($A32)-4),[3]Sheet1!$A$2:$JP$65479,MATCH(AO$3,[3]Sheet1!$A$2:$JP$2,0),FALSE)</f>
        <v>2.5992154698353032E-2</v>
      </c>
      <c r="AP32" s="44">
        <f>VLOOKUP(RIGHT($A32,LEN($A32)-4),[3]Sheet1!$A$2:$JP$65479,MATCH(AP$3,[3]Sheet1!$A$2:$JP$2,0),FALSE)</f>
        <v>5.562717491595337E-2</v>
      </c>
      <c r="AQ32" s="44">
        <f>VLOOKUP(RIGHT($A32,LEN($A32)-4),[3]Sheet1!$A$2:$JP$65479,MATCH(AQ$3,[3]Sheet1!$A$2:$JP$2,0),FALSE)</f>
        <v>6.0200313323740762E-2</v>
      </c>
      <c r="AR32" s="44">
        <f>VLOOKUP(RIGHT($A32,LEN($A32)-4),[3]Sheet1!$A$2:$JP$65479,MATCH(AR$3,[3]Sheet1!$A$2:$JP$2,0),FALSE)</f>
        <v>4.2185603577249209E-2</v>
      </c>
      <c r="AS32" s="44">
        <f>VLOOKUP(RIGHT($A32,LEN($A32)-4),[3]Sheet1!$A$2:$JP$65479,MATCH(AS$3,[3]Sheet1!$A$2:$JP$2,0),FALSE)</f>
        <v>2.5849783689566808E-2</v>
      </c>
      <c r="AT32" s="44">
        <f>VLOOKUP(RIGHT($A32,LEN($A32)-4),[3]Sheet1!$A$2:$JP$65479,MATCH(AT$3,[3]Sheet1!$A$2:$JP$2,0),FALSE)</f>
        <v>1.8868725618259807E-2</v>
      </c>
      <c r="AU32" s="44">
        <f>VLOOKUP(RIGHT($A32,LEN($A32)-4),[3]Sheet1!$A$2:$JP$65479,MATCH(AU$3,[3]Sheet1!$A$2:$JP$2,0),FALSE)</f>
        <v>1.256112364608386E-2</v>
      </c>
      <c r="AV32" s="44">
        <f>VLOOKUP(RIGHT($A32,LEN($A32)-4),[3]Sheet1!$A$2:$JP$65479,MATCH(AV$3,[3]Sheet1!$A$2:$JP$2,0),FALSE)</f>
        <v>1.5956355428780933E-2</v>
      </c>
      <c r="AW32" s="44">
        <f>VLOOKUP(RIGHT($A32,LEN($A32)-4),[3]Sheet1!$A$2:$JP$65479,MATCH(AW$3,[3]Sheet1!$A$2:$JP$2,0),FALSE)</f>
        <v>1.5688871585039843E-2</v>
      </c>
      <c r="AX32" s="44">
        <f>VLOOKUP(RIGHT($A32,LEN($A32)-4),[3]Sheet1!$A$2:$JP$65479,MATCH(AX$3,[3]Sheet1!$A$2:$JP$2,0),FALSE)</f>
        <v>2.2375720297677315E-2</v>
      </c>
      <c r="AY32" s="44">
        <f>VLOOKUP(RIGHT($A32,LEN($A32)-4),[3]Sheet1!$A$2:$JP$65479,MATCH(AY$3,[3]Sheet1!$A$2:$JP$2,0),FALSE)</f>
        <v>2.6041580579173607E-2</v>
      </c>
      <c r="AZ32" s="498">
        <f>VLOOKUP(RIGHT($A32,LEN($A32)-4),[3]Sheet1!$A$2:$JP$65479,MATCH(AZ$3,[3]Sheet1!$A$2:$JP$2,0),FALSE)</f>
        <v>3.0172675266582294E-2</v>
      </c>
      <c r="BA32" s="41">
        <f>VLOOKUP(RIGHT($A32,LEN($A32)-4),[3]Sheet1!$A$2:$JP$65479,MATCH(BA$3,[3]Sheet1!$A$2:$JP$2,0),FALSE)</f>
        <v>2.0100000000000007E-2</v>
      </c>
      <c r="BB32" s="41">
        <f>VLOOKUP(RIGHT($A32,LEN($A32)-4),[3]Sheet1!$A$2:$JP$65479,MATCH(BB$3,[3]Sheet1!$A$2:$JP$2,0),FALSE)</f>
        <v>2.0100000000000007E-2</v>
      </c>
      <c r="BC32" s="41">
        <f>VLOOKUP(RIGHT($A32,LEN($A32)-4),[3]Sheet1!$A$2:$JP$65479,MATCH(BC$3,[3]Sheet1!$A$2:$JP$2,0),FALSE)</f>
        <v>2.0100000000000007E-2</v>
      </c>
      <c r="BD32" s="41">
        <f>VLOOKUP(RIGHT($A32,LEN($A32)-4),[3]Sheet1!$A$2:$JP$65479,MATCH(BD$3,[3]Sheet1!$A$2:$JP$2,0),FALSE)</f>
        <v>2.0100000000000007E-2</v>
      </c>
      <c r="BE32" s="41">
        <f>VLOOKUP(RIGHT($A32,LEN($A32)-4),[3]Sheet1!$A$2:$JP$65479,MATCH(BE$3,[3]Sheet1!$A$2:$JP$2,0),FALSE)</f>
        <v>2.0100000000000007E-2</v>
      </c>
      <c r="BF32" s="41">
        <f>VLOOKUP(RIGHT($A32,LEN($A32)-4),[3]Sheet1!$A$2:$JP$65479,MATCH(BF$3,[3]Sheet1!$A$2:$JP$2,0),FALSE)</f>
        <v>2.0100000000000007E-2</v>
      </c>
      <c r="BG32" s="41">
        <f>VLOOKUP(RIGHT($A32,LEN($A32)-4),[3]Sheet1!$A$2:$JP$65479,MATCH(BG$3,[3]Sheet1!$A$2:$JP$2,0),FALSE)</f>
        <v>2.0100000000000007E-2</v>
      </c>
      <c r="BH32" s="41">
        <f>VLOOKUP(RIGHT($A32,LEN($A32)-4),[3]Sheet1!$A$2:$JP$65479,MATCH(BH$3,[3]Sheet1!$A$2:$JP$2,0),FALSE)</f>
        <v>2.0100000000000007E-2</v>
      </c>
      <c r="BI32" s="41">
        <f>VLOOKUP(RIGHT($A32,LEN($A32)-4),[3]Sheet1!$A$2:$JP$65479,MATCH(BI$3,[3]Sheet1!$A$2:$JP$2,0),FALSE)</f>
        <v>2.0100000000000007E-2</v>
      </c>
      <c r="BJ32" s="41">
        <f>VLOOKUP(RIGHT($A32,LEN($A32)-4),[3]Sheet1!$A$2:$JP$65479,MATCH(BJ$3,[3]Sheet1!$A$2:$JP$2,0),FALSE)</f>
        <v>2.0100000000000007E-2</v>
      </c>
      <c r="BK32" s="41">
        <f>VLOOKUP(RIGHT($A32,LEN($A32)-4),[3]Sheet1!$A$2:$JP$65479,MATCH(BK$3,[3]Sheet1!$A$2:$JP$2,0),FALSE)</f>
        <v>2.0100000000000007E-2</v>
      </c>
      <c r="BL32" s="41">
        <f>VLOOKUP(RIGHT($A32,LEN($A32)-4),[3]Sheet1!$A$2:$JP$65479,MATCH(BL$3,[3]Sheet1!$A$2:$JP$2,0),FALSE)</f>
        <v>2.0100000000000007E-2</v>
      </c>
      <c r="BM32" s="41">
        <f>VLOOKUP(RIGHT($A32,LEN($A32)-4),[3]Sheet1!$A$2:$JP$65479,MATCH(BM$3,[3]Sheet1!$A$2:$JP$2,0),FALSE)</f>
        <v>2.0100000000000007E-2</v>
      </c>
      <c r="BN32" s="41">
        <f>VLOOKUP(RIGHT($A32,LEN($A32)-4),[3]Sheet1!$A$2:$JP$65479,MATCH(BN$3,[3]Sheet1!$A$2:$JP$2,0),FALSE)</f>
        <v>2.0100000000000007E-2</v>
      </c>
      <c r="BO32" s="41">
        <f>VLOOKUP(RIGHT($A32,LEN($A32)-4),[3]Sheet1!$A$2:$JP$65479,MATCH(BO$3,[3]Sheet1!$A$2:$JP$2,0),FALSE)</f>
        <v>2.0100000000000007E-2</v>
      </c>
      <c r="BP32" s="41">
        <f>VLOOKUP(RIGHT($A32,LEN($A32)-4),[3]Sheet1!$A$2:$JP$65479,MATCH(BP$3,[3]Sheet1!$A$2:$JP$2,0),FALSE)</f>
        <v>2.0100000000000007E-2</v>
      </c>
      <c r="BQ32" s="41">
        <f>VLOOKUP(RIGHT($A32,LEN($A32)-4),[3]Sheet1!$A$2:$JP$65479,MATCH(BQ$3,[3]Sheet1!$A$2:$JP$2,0),FALSE)</f>
        <v>2.0100000000000007E-2</v>
      </c>
      <c r="BR32" s="511"/>
      <c r="BS32" s="552">
        <f>VLOOKUP(RIGHT($A32,LEN($A32)-4),[3]Sheet1!$A$2:$JP$65479,MATCH(BS$3,[3]Sheet1!$A$2:$JP$2,0),FALSE)</f>
        <v>0</v>
      </c>
      <c r="BT32" s="552">
        <f>VLOOKUP(RIGHT($A32,LEN($A32)-4),[3]Sheet1!$A$2:$JP$65479,MATCH(BT$3,[3]Sheet1!$A$2:$JP$2,0),FALSE)</f>
        <v>0</v>
      </c>
      <c r="BU32" s="552">
        <f>VLOOKUP(RIGHT($A32,LEN($A32)-4),[3]Sheet1!$A$2:$JP$65479,MATCH(BU$3,[3]Sheet1!$A$2:$JP$2,0),FALSE)</f>
        <v>0</v>
      </c>
      <c r="BV32" s="552">
        <f>VLOOKUP(RIGHT($A32,LEN($A32)-4),[3]Sheet1!$A$2:$JP$65479,MATCH(BV$3,[3]Sheet1!$A$2:$JP$2,0),FALSE)</f>
        <v>0</v>
      </c>
      <c r="BW32" s="552">
        <f>VLOOKUP(RIGHT($A32,LEN($A32)-4),[3]Sheet1!$A$2:$JP$65479,MATCH(BW$3,[3]Sheet1!$A$2:$JP$2,0),FALSE)</f>
        <v>0</v>
      </c>
      <c r="BX32" s="552">
        <f>VLOOKUP(RIGHT($A32,LEN($A32)-4),[3]Sheet1!$A$2:$JP$65479,MATCH(BX$3,[3]Sheet1!$A$2:$JP$2,0),FALSE)</f>
        <v>0</v>
      </c>
      <c r="BY32" s="552">
        <f>VLOOKUP(RIGHT($A32,LEN($A32)-4),[3]Sheet1!$A$2:$JP$65479,MATCH(BY$3,[3]Sheet1!$A$2:$JP$2,0),FALSE)</f>
        <v>0</v>
      </c>
      <c r="BZ32" s="552">
        <f>VLOOKUP(RIGHT($A32,LEN($A32)-4),[3]Sheet1!$A$2:$JP$65479,MATCH(BZ$3,[3]Sheet1!$A$2:$JP$2,0),FALSE)</f>
        <v>5.6033930391728548E-2</v>
      </c>
      <c r="CA32" s="552">
        <f>VLOOKUP(RIGHT($A32,LEN($A32)-4),[3]Sheet1!$A$2:$JP$65479,MATCH(CA$3,[3]Sheet1!$A$2:$JP$2,0),FALSE)</f>
        <v>3.2335920068792268E-2</v>
      </c>
      <c r="CB32" s="552">
        <f>VLOOKUP(RIGHT($A32,LEN($A32)-4),[3]Sheet1!$A$2:$JP$65479,MATCH(CB$3,[3]Sheet1!$A$2:$JP$2,0),FALSE)</f>
        <v>3.6253213768740356E-2</v>
      </c>
      <c r="CC32" s="42">
        <f t="shared" si="92"/>
        <v>8.2033136514849891E-2</v>
      </c>
      <c r="CD32" s="42">
        <f t="shared" si="93"/>
        <v>0.12319592227358656</v>
      </c>
      <c r="CE32" s="42">
        <f t="shared" si="94"/>
        <v>0.17257439231086669</v>
      </c>
      <c r="CF32" s="42">
        <f t="shared" si="95"/>
        <v>0.15991195752862963</v>
      </c>
      <c r="CG32" s="42">
        <f t="shared" si="96"/>
        <v>0.14571765239544532</v>
      </c>
      <c r="CH32" s="42">
        <f t="shared" si="97"/>
        <v>0.1439670677565319</v>
      </c>
      <c r="CI32" s="42">
        <f t="shared" si="98"/>
        <v>8.5657517729061938E-2</v>
      </c>
      <c r="CJ32" s="42">
        <f t="shared" si="99"/>
        <v>3.03031145448871E-2</v>
      </c>
      <c r="CK32" s="42">
        <f t="shared" si="100"/>
        <v>2.8930433209632067E-2</v>
      </c>
      <c r="CL32" s="42">
        <f t="shared" si="101"/>
        <v>1.4452957769738095E-2</v>
      </c>
      <c r="CM32" s="45">
        <f t="shared" si="102"/>
        <v>1.8442758132437342E-2</v>
      </c>
      <c r="CN32" s="45">
        <f t="shared" si="103"/>
        <v>5.1591705763950557E-2</v>
      </c>
      <c r="CO32" s="45">
        <f t="shared" si="104"/>
        <v>5.3074887353665945E-2</v>
      </c>
      <c r="CP32" s="45">
        <f t="shared" si="105"/>
        <v>5.3589632467730741E-2</v>
      </c>
      <c r="CQ32" s="45">
        <f t="shared" si="106"/>
        <v>8.759891539302056E-2</v>
      </c>
      <c r="CR32" s="45">
        <f t="shared" si="107"/>
        <v>7.5269068314935517E-2</v>
      </c>
      <c r="CS32" s="45">
        <f t="shared" si="108"/>
        <v>5.8516742987925641E-2</v>
      </c>
      <c r="CT32" s="45">
        <f t="shared" si="109"/>
        <v>6.3202777854455494E-2</v>
      </c>
      <c r="CU32" s="45">
        <f t="shared" si="110"/>
        <v>6.2149292665802935E-2</v>
      </c>
      <c r="CV32" s="45">
        <f t="shared" si="111"/>
        <v>0.11917626159894912</v>
      </c>
      <c r="CW32" s="45">
        <f t="shared" si="112"/>
        <v>6.9125875994101804E-2</v>
      </c>
      <c r="CX32" s="45">
        <f t="shared" si="113"/>
        <v>3.1666861659878753E-2</v>
      </c>
      <c r="CY32" s="45">
        <f t="shared" si="114"/>
        <v>3.1895564225108197E-2</v>
      </c>
      <c r="CZ32" s="43">
        <f t="shared" si="115"/>
        <v>4.8999999999999932E-2</v>
      </c>
      <c r="DA32" s="42">
        <f t="shared" si="116"/>
        <v>5.0879146039440659E-2</v>
      </c>
      <c r="DB32" s="42">
        <f t="shared" si="117"/>
        <v>4.0604010000000024E-2</v>
      </c>
      <c r="DC32" s="42">
        <f t="shared" si="118"/>
        <v>4.0604010000000024E-2</v>
      </c>
      <c r="DD32" s="42">
        <f t="shared" si="119"/>
        <v>4.0604010000000024E-2</v>
      </c>
      <c r="DE32" s="42">
        <f t="shared" si="120"/>
        <v>4.0604010000000024E-2</v>
      </c>
      <c r="DF32" s="42">
        <f t="shared" si="121"/>
        <v>4.0604010000000024E-2</v>
      </c>
      <c r="DG32" s="232">
        <f t="shared" si="122"/>
        <v>4.0604010000000024E-2</v>
      </c>
      <c r="DH32" s="232">
        <f t="shared" si="123"/>
        <v>4.0604010000000024E-2</v>
      </c>
      <c r="DI32" s="232">
        <f t="shared" si="124"/>
        <v>4.0604010000000024E-2</v>
      </c>
    </row>
    <row r="33" spans="1:113" outlineLevel="1">
      <c r="A33" s="1" t="s">
        <v>844</v>
      </c>
      <c r="B33" s="19" t="s">
        <v>317</v>
      </c>
      <c r="C33" s="551">
        <f>VLOOKUP(RIGHT($A33,LEN($A33)-4),[3]Sheet1!$A$2:$JP$65479,MATCH(C$3,[3]Sheet1!$A$2:$JP$2,0),FALSE)</f>
        <v>5.5803667077607422E-3</v>
      </c>
      <c r="D33" s="551">
        <f>VLOOKUP(RIGHT($A33,LEN($A33)-4),[3]Sheet1!$A$2:$JP$65479,MATCH(D$3,[3]Sheet1!$A$2:$JP$2,0),FALSE)</f>
        <v>5.424546791860263E-2</v>
      </c>
      <c r="E33" s="551">
        <f>VLOOKUP(RIGHT($A33,LEN($A33)-4),[3]Sheet1!$A$2:$JP$65479,MATCH(E$3,[3]Sheet1!$A$2:$JP$2,0),FALSE)</f>
        <v>2.8187585867460285E-2</v>
      </c>
      <c r="F33" s="551">
        <f>VLOOKUP(RIGHT($A33,LEN($A33)-4),[3]Sheet1!$A$2:$JP$65479,MATCH(F$3,[3]Sheet1!$A$2:$JP$2,0),FALSE)</f>
        <v>4.5229266125974332E-2</v>
      </c>
      <c r="G33" s="551">
        <f>VLOOKUP(RIGHT($A33,LEN($A33)-4),[3]Sheet1!$A$2:$JP$65479,MATCH(G$3,[3]Sheet1!$A$2:$JP$2,0),FALSE)</f>
        <v>4.7824285407722655E-3</v>
      </c>
      <c r="H33" s="551">
        <f>VLOOKUP(RIGHT($A33,LEN($A33)-4),[3]Sheet1!$A$2:$JP$65479,MATCH(H$3,[3]Sheet1!$A$2:$JP$2,0),FALSE)</f>
        <v>2.6977448111301872E-2</v>
      </c>
      <c r="I33" s="551">
        <f>VLOOKUP(RIGHT($A33,LEN($A33)-4),[3]Sheet1!$A$2:$JP$65479,MATCH(I$3,[3]Sheet1!$A$2:$JP$2,0),FALSE)</f>
        <v>4.4284408863562996E-2</v>
      </c>
      <c r="J33" s="551">
        <f>VLOOKUP(RIGHT($A33,LEN($A33)-4),[3]Sheet1!$A$2:$JP$65479,MATCH(J$3,[3]Sheet1!$A$2:$JP$2,0),FALSE)</f>
        <v>6.0932209092807943E-2</v>
      </c>
      <c r="K33" s="551">
        <f>VLOOKUP(RIGHT($A33,LEN($A33)-4),[3]Sheet1!$A$2:$JP$65479,MATCH(K$3,[3]Sheet1!$A$2:$JP$2,0),FALSE)</f>
        <v>8.2209145975094669E-2</v>
      </c>
      <c r="L33" s="551">
        <f>VLOOKUP(RIGHT($A33,LEN($A33)-4),[3]Sheet1!$A$2:$JP$65479,MATCH(L$3,[3]Sheet1!$A$2:$JP$2,0),FALSE)</f>
        <v>5.8648991622143098E-2</v>
      </c>
      <c r="M33" s="183">
        <f>VLOOKUP(RIGHT($A33,LEN($A33)-4),[3]Sheet1!$A$2:$JP$65479,MATCH(M$3,[3]Sheet1!$A$2:$JP$2,0),FALSE)</f>
        <v>5.8133484326342133E-2</v>
      </c>
      <c r="N33" s="183">
        <f>VLOOKUP(RIGHT($A33,LEN($A33)-4),[3]Sheet1!$A$2:$JP$65479,MATCH(N$3,[3]Sheet1!$A$2:$JP$2,0),FALSE)</f>
        <v>8.440055735900899E-2</v>
      </c>
      <c r="O33" s="183">
        <f>VLOOKUP(RIGHT($A33,LEN($A33)-4),[3]Sheet1!$A$2:$JP$65479,MATCH(O$3,[3]Sheet1!$A$2:$JP$2,0),FALSE)</f>
        <v>7.4860980669670063E-2</v>
      </c>
      <c r="P33" s="183">
        <f>VLOOKUP(RIGHT($A33,LEN($A33)-4),[3]Sheet1!$A$2:$JP$65479,MATCH(P$3,[3]Sheet1!$A$2:$JP$2,0),FALSE)</f>
        <v>7.8878893350396106E-2</v>
      </c>
      <c r="Q33" s="183">
        <f>VLOOKUP(RIGHT($A33,LEN($A33)-4),[3]Sheet1!$A$2:$JP$65479,MATCH(Q$3,[3]Sheet1!$A$2:$JP$2,0),FALSE)</f>
        <v>7.0074068661836852E-2</v>
      </c>
      <c r="R33" s="183">
        <f>VLOOKUP(RIGHT($A33,LEN($A33)-4),[3]Sheet1!$A$2:$JP$65479,MATCH(R$3,[3]Sheet1!$A$2:$JP$2,0),FALSE)</f>
        <v>6.5681391897284946E-2</v>
      </c>
      <c r="S33" s="183">
        <f>VLOOKUP(RIGHT($A33,LEN($A33)-4),[3]Sheet1!$A$2:$JP$65479,MATCH(S$3,[3]Sheet1!$A$2:$JP$2,0),FALSE)</f>
        <v>-2.1688022648650329E-2</v>
      </c>
      <c r="T33" s="183">
        <f>VLOOKUP(RIGHT($A33,LEN($A33)-4),[3]Sheet1!$A$2:$JP$65479,MATCH(T$3,[3]Sheet1!$A$2:$JP$2,0),FALSE)</f>
        <v>-1.3501559605736402E-2</v>
      </c>
      <c r="U33" s="183">
        <f>VLOOKUP(RIGHT($A33,LEN($A33)-4),[3]Sheet1!$A$2:$JP$65479,MATCH(U$3,[3]Sheet1!$A$2:$JP$2,0),FALSE)</f>
        <v>-1.1592591995913892E-2</v>
      </c>
      <c r="V33" s="183">
        <f>VLOOKUP(RIGHT($A33,LEN($A33)-4),[3]Sheet1!$A$2:$JP$65479,MATCH(V$3,[3]Sheet1!$A$2:$JP$2,0),FALSE)</f>
        <v>1.7150504620810247E-2</v>
      </c>
      <c r="W33" s="183">
        <f>VLOOKUP(RIGHT($A33,LEN($A33)-4),[3]Sheet1!$A$2:$JP$65479,MATCH(W$3,[3]Sheet1!$A$2:$JP$2,0),FALSE)</f>
        <v>-3.5347179068171419E-3</v>
      </c>
      <c r="X33" s="183">
        <f>VLOOKUP(RIGHT($A33,LEN($A33)-4),[3]Sheet1!$A$2:$JP$65479,MATCH(X$3,[3]Sheet1!$A$2:$JP$2,0),FALSE)</f>
        <v>5.0310503177659616E-2</v>
      </c>
      <c r="Y33" s="183">
        <f>VLOOKUP(RIGHT($A33,LEN($A33)-4),[3]Sheet1!$A$2:$JP$65479,MATCH(Y$3,[3]Sheet1!$A$2:$JP$2,0),FALSE)</f>
        <v>1.411406579550234E-2</v>
      </c>
      <c r="Z33" s="183">
        <f>VLOOKUP(RIGHT($A33,LEN($A33)-4),[3]Sheet1!$A$2:$JP$65479,MATCH(Z$3,[3]Sheet1!$A$2:$JP$2,0),FALSE)</f>
        <v>3.281662238760541E-2</v>
      </c>
      <c r="AA33" s="183">
        <f>VLOOKUP(RIGHT($A33,LEN($A33)-4),[3]Sheet1!$A$2:$JP$65479,MATCH(AA$3,[3]Sheet1!$A$2:$JP$2,0),FALSE)</f>
        <v>5.2717554837284908E-3</v>
      </c>
      <c r="AB33" s="44">
        <f>VLOOKUP(RIGHT($A33,LEN($A33)-4),[3]Sheet1!$A$2:$JP$65479,MATCH(AB$3,[3]Sheet1!$A$2:$JP$2,0),FALSE)</f>
        <v>2.4910140815163739E-2</v>
      </c>
      <c r="AC33" s="44">
        <f>VLOOKUP(RIGHT($A33,LEN($A33)-4),[3]Sheet1!$A$2:$JP$65479,MATCH(AC$3,[3]Sheet1!$A$2:$JP$2,0),FALSE)</f>
        <v>7.8882341202435313E-4</v>
      </c>
      <c r="AD33" s="44">
        <f>VLOOKUP(RIGHT($A33,LEN($A33)-4),[3]Sheet1!$A$2:$JP$65479,MATCH(AD$3,[3]Sheet1!$A$2:$JP$2,0),FALSE)</f>
        <v>3.2057578938026854E-2</v>
      </c>
      <c r="AE33" s="44">
        <f>VLOOKUP(RIGHT($A33,LEN($A33)-4),[3]Sheet1!$A$2:$JP$65479,MATCH(AE$3,[3]Sheet1!$A$2:$JP$2,0),FALSE)</f>
        <v>4.2717703588154743E-2</v>
      </c>
      <c r="AF33" s="44">
        <f>VLOOKUP(RIGHT($A33,LEN($A33)-4),[3]Sheet1!$A$2:$JP$65479,MATCH(AF$3,[3]Sheet1!$A$2:$JP$2,0),FALSE)</f>
        <v>3.1454193698389643E-2</v>
      </c>
      <c r="AG33" s="44">
        <f>VLOOKUP(RIGHT($A33,LEN($A33)-4),[3]Sheet1!$A$2:$JP$65479,MATCH(AG$3,[3]Sheet1!$A$2:$JP$2,0),FALSE)</f>
        <v>2.1169987836859194E-2</v>
      </c>
      <c r="AH33" s="44">
        <f>VLOOKUP(RIGHT($A33,LEN($A33)-4),[3]Sheet1!$A$2:$JP$65479,MATCH(AH$3,[3]Sheet1!$A$2:$JP$2,0),FALSE)</f>
        <v>2.3713850091723554E-2</v>
      </c>
      <c r="AI33" s="44">
        <f>VLOOKUP(RIGHT($A33,LEN($A33)-4),[3]Sheet1!$A$2:$JP$65479,MATCH(AI$3,[3]Sheet1!$A$2:$JP$2,0),FALSE)</f>
        <v>1.742378148115642E-2</v>
      </c>
      <c r="AJ33" s="44">
        <f>VLOOKUP(RIGHT($A33,LEN($A33)-4),[3]Sheet1!$A$2:$JP$65479,MATCH(AJ$3,[3]Sheet1!$A$2:$JP$2,0),FALSE)</f>
        <v>1.8748843644714741E-2</v>
      </c>
      <c r="AK33" s="44">
        <f>VLOOKUP(RIGHT($A33,LEN($A33)-4),[3]Sheet1!$A$2:$JP$65479,MATCH(AK$3,[3]Sheet1!$A$2:$JP$2,0),FALSE)</f>
        <v>3.1015367842350594E-2</v>
      </c>
      <c r="AL33" s="44">
        <f>VLOOKUP(RIGHT($A33,LEN($A33)-4),[3]Sheet1!$A$2:$JP$65479,MATCH(AL$3,[3]Sheet1!$A$2:$JP$2,0),FALSE)</f>
        <v>1.4075229637550368E-2</v>
      </c>
      <c r="AM33" s="44">
        <f>VLOOKUP(RIGHT($A33,LEN($A33)-4),[3]Sheet1!$A$2:$JP$65479,MATCH(AM$3,[3]Sheet1!$A$2:$JP$2,0),FALSE)</f>
        <v>2.5481063615860888E-2</v>
      </c>
      <c r="AN33" s="44">
        <f>VLOOKUP(RIGHT($A33,LEN($A33)-4),[3]Sheet1!$A$2:$JP$65479,MATCH(AN$3,[3]Sheet1!$A$2:$JP$2,0),FALSE)</f>
        <v>1.1903170713716493E-2</v>
      </c>
      <c r="AO33" s="44">
        <f>VLOOKUP(RIGHT($A33,LEN($A33)-4),[3]Sheet1!$A$2:$JP$65479,MATCH(AO$3,[3]Sheet1!$A$2:$JP$2,0),FALSE)</f>
        <v>2.8148017672069425E-3</v>
      </c>
      <c r="AP33" s="44">
        <f>VLOOKUP(RIGHT($A33,LEN($A33)-4),[3]Sheet1!$A$2:$JP$65479,MATCH(AP$3,[3]Sheet1!$A$2:$JP$2,0),FALSE)</f>
        <v>-2.4231880853818222E-2</v>
      </c>
      <c r="AQ33" s="44">
        <f>VLOOKUP(RIGHT($A33,LEN($A33)-4),[3]Sheet1!$A$2:$JP$65479,MATCH(AQ$3,[3]Sheet1!$A$2:$JP$2,0),FALSE)</f>
        <v>-1.4041650374762682E-2</v>
      </c>
      <c r="AR33" s="44">
        <f>VLOOKUP(RIGHT($A33,LEN($A33)-4),[3]Sheet1!$A$2:$JP$65479,MATCH(AR$3,[3]Sheet1!$A$2:$JP$2,0),FALSE)</f>
        <v>8.7141545418776278E-3</v>
      </c>
      <c r="AS33" s="44">
        <f>VLOOKUP(RIGHT($A33,LEN($A33)-4),[3]Sheet1!$A$2:$JP$65479,MATCH(AS$3,[3]Sheet1!$A$2:$JP$2,0),FALSE)</f>
        <v>2.6950049409617982E-2</v>
      </c>
      <c r="AT33" s="44">
        <f>VLOOKUP(RIGHT($A33,LEN($A33)-4),[3]Sheet1!$A$2:$JP$65479,MATCH(AT$3,[3]Sheet1!$A$2:$JP$2,0),FALSE)</f>
        <v>1.1372408277737556E-2</v>
      </c>
      <c r="AU33" s="44">
        <f>VLOOKUP(RIGHT($A33,LEN($A33)-4),[3]Sheet1!$A$2:$JP$65479,MATCH(AU$3,[3]Sheet1!$A$2:$JP$2,0),FALSE)</f>
        <v>4.5319276468105407E-3</v>
      </c>
      <c r="AV33" s="44">
        <f>VLOOKUP(RIGHT($A33,LEN($A33)-4),[3]Sheet1!$A$2:$JP$65479,MATCH(AV$3,[3]Sheet1!$A$2:$JP$2,0),FALSE)</f>
        <v>1.0090232279753364E-2</v>
      </c>
      <c r="AW33" s="44">
        <f>VLOOKUP(RIGHT($A33,LEN($A33)-4),[3]Sheet1!$A$2:$JP$65479,MATCH(AW$3,[3]Sheet1!$A$2:$JP$2,0),FALSE)</f>
        <v>3.6506472048463134E-3</v>
      </c>
      <c r="AX33" s="44">
        <f>VLOOKUP(RIGHT($A33,LEN($A33)-4),[3]Sheet1!$A$2:$JP$65479,MATCH(AX$3,[3]Sheet1!$A$2:$JP$2,0),FALSE)</f>
        <v>3.235621908430697E-2</v>
      </c>
      <c r="AY33" s="44">
        <f>VLOOKUP(RIGHT($A33,LEN($A33)-4),[3]Sheet1!$A$2:$JP$65479,MATCH(AY$3,[3]Sheet1!$A$2:$JP$2,0),FALSE)</f>
        <v>-9.2662843727909783E-3</v>
      </c>
      <c r="AZ33" s="498">
        <f>VLOOKUP(RIGHT($A33,LEN($A33)-4),[3]Sheet1!$A$2:$JP$65479,MATCH(AZ$3,[3]Sheet1!$A$2:$JP$2,0),FALSE)</f>
        <v>3.2892462578075765E-2</v>
      </c>
      <c r="BA33" s="41">
        <f>VLOOKUP(RIGHT($A33,LEN($A33)-4),[3]Sheet1!$A$2:$JP$65479,MATCH(BA$3,[3]Sheet1!$A$2:$JP$2,0),FALSE)</f>
        <v>1.1234490332522551E-2</v>
      </c>
      <c r="BB33" s="41">
        <f>VLOOKUP(RIGHT($A33,LEN($A33)-4),[3]Sheet1!$A$2:$JP$65479,MATCH(BB$3,[3]Sheet1!$A$2:$JP$2,0),FALSE)</f>
        <v>1.1234490332522551E-2</v>
      </c>
      <c r="BC33" s="41">
        <f>VLOOKUP(RIGHT($A33,LEN($A33)-4),[3]Sheet1!$A$2:$JP$65479,MATCH(BC$3,[3]Sheet1!$A$2:$JP$2,0),FALSE)</f>
        <v>1.1234490332522551E-2</v>
      </c>
      <c r="BD33" s="41">
        <f>VLOOKUP(RIGHT($A33,LEN($A33)-4),[3]Sheet1!$A$2:$JP$65479,MATCH(BD$3,[3]Sheet1!$A$2:$JP$2,0),FALSE)</f>
        <v>1.1234490332522551E-2</v>
      </c>
      <c r="BE33" s="41">
        <f>VLOOKUP(RIGHT($A33,LEN($A33)-4),[3]Sheet1!$A$2:$JP$65479,MATCH(BE$3,[3]Sheet1!$A$2:$JP$2,0),FALSE)</f>
        <v>1.1234490332522551E-2</v>
      </c>
      <c r="BF33" s="41">
        <f>VLOOKUP(RIGHT($A33,LEN($A33)-4),[3]Sheet1!$A$2:$JP$65479,MATCH(BF$3,[3]Sheet1!$A$2:$JP$2,0),FALSE)</f>
        <v>1.1234490332522551E-2</v>
      </c>
      <c r="BG33" s="41">
        <f>VLOOKUP(RIGHT($A33,LEN($A33)-4),[3]Sheet1!$A$2:$JP$65479,MATCH(BG$3,[3]Sheet1!$A$2:$JP$2,0),FALSE)</f>
        <v>1.1234490332522551E-2</v>
      </c>
      <c r="BH33" s="41">
        <f>VLOOKUP(RIGHT($A33,LEN($A33)-4),[3]Sheet1!$A$2:$JP$65479,MATCH(BH$3,[3]Sheet1!$A$2:$JP$2,0),FALSE)</f>
        <v>1.1234490332522551E-2</v>
      </c>
      <c r="BI33" s="41">
        <f>VLOOKUP(RIGHT($A33,LEN($A33)-4),[3]Sheet1!$A$2:$JP$65479,MATCH(BI$3,[3]Sheet1!$A$2:$JP$2,0),FALSE)</f>
        <v>1.1234490332522551E-2</v>
      </c>
      <c r="BJ33" s="41">
        <f>VLOOKUP(RIGHT($A33,LEN($A33)-4),[3]Sheet1!$A$2:$JP$65479,MATCH(BJ$3,[3]Sheet1!$A$2:$JP$2,0),FALSE)</f>
        <v>1.1234490332522551E-2</v>
      </c>
      <c r="BK33" s="41">
        <f>VLOOKUP(RIGHT($A33,LEN($A33)-4),[3]Sheet1!$A$2:$JP$65479,MATCH(BK$3,[3]Sheet1!$A$2:$JP$2,0),FALSE)</f>
        <v>1.1234490332522551E-2</v>
      </c>
      <c r="BL33" s="41">
        <f>VLOOKUP(RIGHT($A33,LEN($A33)-4),[3]Sheet1!$A$2:$JP$65479,MATCH(BL$3,[3]Sheet1!$A$2:$JP$2,0),FALSE)</f>
        <v>1.1234490332522551E-2</v>
      </c>
      <c r="BM33" s="41">
        <f>VLOOKUP(RIGHT($A33,LEN($A33)-4),[3]Sheet1!$A$2:$JP$65479,MATCH(BM$3,[3]Sheet1!$A$2:$JP$2,0),FALSE)</f>
        <v>1.1234490332522551E-2</v>
      </c>
      <c r="BN33" s="41">
        <f>VLOOKUP(RIGHT($A33,LEN($A33)-4),[3]Sheet1!$A$2:$JP$65479,MATCH(BN$3,[3]Sheet1!$A$2:$JP$2,0),FALSE)</f>
        <v>1.1234490332522551E-2</v>
      </c>
      <c r="BO33" s="41">
        <f>VLOOKUP(RIGHT($A33,LEN($A33)-4),[3]Sheet1!$A$2:$JP$65479,MATCH(BO$3,[3]Sheet1!$A$2:$JP$2,0),FALSE)</f>
        <v>1.1234490332522551E-2</v>
      </c>
      <c r="BP33" s="41">
        <f>VLOOKUP(RIGHT($A33,LEN($A33)-4),[3]Sheet1!$A$2:$JP$65479,MATCH(BP$3,[3]Sheet1!$A$2:$JP$2,0),FALSE)</f>
        <v>1.1234490332522551E-2</v>
      </c>
      <c r="BQ33" s="41">
        <f>VLOOKUP(RIGHT($A33,LEN($A33)-4),[3]Sheet1!$A$2:$JP$65479,MATCH(BQ$3,[3]Sheet1!$A$2:$JP$2,0),FALSE)</f>
        <v>1.1234490332522551E-2</v>
      </c>
      <c r="BR33" s="511"/>
      <c r="BS33" s="552">
        <f>VLOOKUP(RIGHT($A33,LEN($A33)-4),[3]Sheet1!$A$2:$JP$65479,MATCH(BS$3,[3]Sheet1!$A$2:$JP$2,0),FALSE)</f>
        <v>0</v>
      </c>
      <c r="BT33" s="552">
        <f>VLOOKUP(RIGHT($A33,LEN($A33)-4),[3]Sheet1!$A$2:$JP$65479,MATCH(BT$3,[3]Sheet1!$A$2:$JP$2,0),FALSE)</f>
        <v>0</v>
      </c>
      <c r="BU33" s="552">
        <f>VLOOKUP(RIGHT($A33,LEN($A33)-4),[3]Sheet1!$A$2:$JP$65479,MATCH(BU$3,[3]Sheet1!$A$2:$JP$2,0),FALSE)</f>
        <v>0</v>
      </c>
      <c r="BV33" s="552">
        <f>VLOOKUP(RIGHT($A33,LEN($A33)-4),[3]Sheet1!$A$2:$JP$65479,MATCH(BV$3,[3]Sheet1!$A$2:$JP$2,0),FALSE)</f>
        <v>0</v>
      </c>
      <c r="BW33" s="552">
        <f>VLOOKUP(RIGHT($A33,LEN($A33)-4),[3]Sheet1!$A$2:$JP$65479,MATCH(BW$3,[3]Sheet1!$A$2:$JP$2,0),FALSE)</f>
        <v>0</v>
      </c>
      <c r="BX33" s="552">
        <f>VLOOKUP(RIGHT($A33,LEN($A33)-4),[3]Sheet1!$A$2:$JP$65479,MATCH(BX$3,[3]Sheet1!$A$2:$JP$2,0),FALSE)</f>
        <v>0</v>
      </c>
      <c r="BY33" s="552">
        <f>VLOOKUP(RIGHT($A33,LEN($A33)-4),[3]Sheet1!$A$2:$JP$65479,MATCH(BY$3,[3]Sheet1!$A$2:$JP$2,0),FALSE)</f>
        <v>0</v>
      </c>
      <c r="BZ33" s="552">
        <f>VLOOKUP(RIGHT($A33,LEN($A33)-4),[3]Sheet1!$A$2:$JP$65479,MATCH(BZ$3,[3]Sheet1!$A$2:$JP$2,0),FALSE)</f>
        <v>3.208722595007063E-2</v>
      </c>
      <c r="CA33" s="552">
        <f>VLOOKUP(RIGHT($A33,LEN($A33)-4),[3]Sheet1!$A$2:$JP$65479,MATCH(CA$3,[3]Sheet1!$A$2:$JP$2,0),FALSE)</f>
        <v>3.2721002715943914E-2</v>
      </c>
      <c r="CB33" s="552">
        <f>VLOOKUP(RIGHT($A33,LEN($A33)-4),[3]Sheet1!$A$2:$JP$65479,MATCH(CB$3,[3]Sheet1!$A$2:$JP$2,0),FALSE)</f>
        <v>5.5803667077607422E-3</v>
      </c>
      <c r="CC33" s="42">
        <f t="shared" si="92"/>
        <v>8.3962102570939168E-2</v>
      </c>
      <c r="CD33" s="42">
        <f t="shared" si="93"/>
        <v>5.0228000399945572E-2</v>
      </c>
      <c r="CE33" s="42">
        <f t="shared" si="94"/>
        <v>7.2456537317121317E-2</v>
      </c>
      <c r="CF33" s="42">
        <f t="shared" si="95"/>
        <v>0.14815053993979821</v>
      </c>
      <c r="CG33" s="42">
        <f t="shared" si="96"/>
        <v>0.12019194618370688</v>
      </c>
      <c r="CH33" s="42">
        <f t="shared" si="97"/>
        <v>0.16557984652164115</v>
      </c>
      <c r="CI33" s="42">
        <f t="shared" si="98"/>
        <v>0.15448032700083836</v>
      </c>
      <c r="CJ33" s="42">
        <f t="shared" si="99"/>
        <v>4.2568869733571324E-2</v>
      </c>
      <c r="CK33" s="42">
        <f t="shared" si="100"/>
        <v>-2.493763352983247E-2</v>
      </c>
      <c r="CL33" s="42">
        <f t="shared" si="101"/>
        <v>1.3555164518199048E-2</v>
      </c>
      <c r="CM33" s="45">
        <f t="shared" si="102"/>
        <v>6.513465472521629E-2</v>
      </c>
      <c r="CN33" s="45">
        <f t="shared" si="103"/>
        <v>3.82613790803632E-2</v>
      </c>
      <c r="CO33" s="45">
        <f t="shared" si="104"/>
        <v>2.5718613929459844E-2</v>
      </c>
      <c r="CP33" s="45">
        <f t="shared" si="105"/>
        <v>7.6144708681010087E-2</v>
      </c>
      <c r="CQ33" s="45">
        <f t="shared" si="106"/>
        <v>5.3290066433262062E-2</v>
      </c>
      <c r="CR33" s="45">
        <f t="shared" si="107"/>
        <v>4.1550816514954958E-2</v>
      </c>
      <c r="CS33" s="45">
        <f t="shared" si="108"/>
        <v>5.034571376932484E-2</v>
      </c>
      <c r="CT33" s="45">
        <f t="shared" si="109"/>
        <v>3.9914945075213426E-2</v>
      </c>
      <c r="CU33" s="45">
        <f t="shared" si="110"/>
        <v>1.4751477546883773E-2</v>
      </c>
      <c r="CV33" s="45">
        <f t="shared" si="111"/>
        <v>-3.7933275629708718E-2</v>
      </c>
      <c r="CW33" s="45">
        <f t="shared" si="112"/>
        <v>3.5899050846962322E-2</v>
      </c>
      <c r="CX33" s="45">
        <f t="shared" si="113"/>
        <v>1.5955874856032892E-2</v>
      </c>
      <c r="CY33" s="45">
        <f t="shared" si="114"/>
        <v>1.3777715362867982E-2</v>
      </c>
      <c r="CZ33" s="43">
        <f t="shared" si="115"/>
        <v>2.279011278425247E-2</v>
      </c>
      <c r="DA33" s="42">
        <f t="shared" si="116"/>
        <v>4.4496482963444661E-2</v>
      </c>
      <c r="DB33" s="42">
        <f t="shared" si="117"/>
        <v>2.2595194438076671E-2</v>
      </c>
      <c r="DC33" s="42">
        <f t="shared" si="118"/>
        <v>2.2595194438076671E-2</v>
      </c>
      <c r="DD33" s="42">
        <f t="shared" si="119"/>
        <v>2.2595194438076671E-2</v>
      </c>
      <c r="DE33" s="42">
        <f t="shared" si="120"/>
        <v>2.2595194438076671E-2</v>
      </c>
      <c r="DF33" s="42">
        <f t="shared" si="121"/>
        <v>2.2595194438076671E-2</v>
      </c>
      <c r="DG33" s="232">
        <f t="shared" si="122"/>
        <v>2.2595194438076671E-2</v>
      </c>
      <c r="DH33" s="232">
        <f t="shared" si="123"/>
        <v>2.2595194438076671E-2</v>
      </c>
      <c r="DI33" s="232">
        <f t="shared" si="124"/>
        <v>2.2595194438076671E-2</v>
      </c>
    </row>
    <row r="34" spans="1:113" outlineLevel="1">
      <c r="A34" s="1" t="s">
        <v>845</v>
      </c>
      <c r="B34" s="19" t="s">
        <v>318</v>
      </c>
      <c r="C34" s="552"/>
      <c r="D34" s="552"/>
      <c r="E34" s="552"/>
      <c r="F34" s="552"/>
      <c r="G34" s="552"/>
      <c r="H34" s="552"/>
      <c r="I34" s="552"/>
      <c r="J34" s="552"/>
      <c r="K34" s="552"/>
      <c r="L34" s="552"/>
      <c r="M34" s="41"/>
      <c r="N34" s="41"/>
      <c r="O34" s="41"/>
      <c r="P34" s="41"/>
      <c r="Q34" s="41"/>
      <c r="R34" s="41"/>
      <c r="S34" s="41"/>
      <c r="T34" s="44"/>
      <c r="U34" s="41"/>
      <c r="V34" s="41"/>
      <c r="W34" s="41"/>
      <c r="X34" s="41"/>
      <c r="Y34" s="44"/>
      <c r="Z34" s="44"/>
      <c r="AA34" s="183"/>
      <c r="AB34" s="183"/>
      <c r="AC34" s="183">
        <f t="shared" ref="AC34:AH35" si="125">AVERAGE(AC29,AC32)</f>
        <v>2.9748843835241789E-2</v>
      </c>
      <c r="AD34" s="183">
        <f t="shared" si="125"/>
        <v>2.7519666418096E-2</v>
      </c>
      <c r="AE34" s="183">
        <f>AVERAGE(AE29,AE32)</f>
        <v>3.4747680542892345E-2</v>
      </c>
      <c r="AF34" s="183">
        <f>AVERAGE(AF29,AF32)</f>
        <v>3.7871493989337757E-2</v>
      </c>
      <c r="AG34" s="183">
        <f t="shared" si="125"/>
        <v>3.8057098337549666E-2</v>
      </c>
      <c r="AH34" s="183">
        <f t="shared" si="125"/>
        <v>3.7500983955259914E-2</v>
      </c>
      <c r="AI34" s="183">
        <f t="shared" ref="AI34:AK34" si="126">AVERAGE(AI29,AI32)</f>
        <v>3.2148713830969733E-2</v>
      </c>
      <c r="AJ34" s="183">
        <f t="shared" si="126"/>
        <v>2.8209270881442317E-2</v>
      </c>
      <c r="AK34" s="183">
        <f t="shared" si="126"/>
        <v>2.8358555006004371E-2</v>
      </c>
      <c r="AL34" s="183">
        <f t="shared" ref="AL34:AN35" si="127">AVERAGE(AL29,AL32)</f>
        <v>2.4653920296940801E-2</v>
      </c>
      <c r="AM34" s="183">
        <f t="shared" si="127"/>
        <v>2.3571858643381849E-2</v>
      </c>
      <c r="AN34" s="183">
        <f t="shared" si="127"/>
        <v>2.5406112538847725E-2</v>
      </c>
      <c r="AO34" s="183">
        <f t="shared" ref="AO34:AQ35" si="128">AVERAGE(AO29,AO32)</f>
        <v>2.0701569692575639E-2</v>
      </c>
      <c r="AP34" s="183">
        <f t="shared" si="128"/>
        <v>3.7697852480740757E-2</v>
      </c>
      <c r="AQ34" s="183">
        <f t="shared" si="128"/>
        <v>4.6750473432830453E-2</v>
      </c>
      <c r="AR34" s="183">
        <f t="shared" ref="AR34" si="129">AVERAGE(AR29,AR32)</f>
        <v>4.1016934787832415E-2</v>
      </c>
      <c r="AS34" s="183">
        <f t="shared" ref="AS34:AT34" si="130">AVERAGE(AS29,AS32)</f>
        <v>3.189099713521526E-2</v>
      </c>
      <c r="AT34" s="183">
        <f t="shared" si="130"/>
        <v>2.2277735430409562E-2</v>
      </c>
      <c r="AU34" s="183">
        <f t="shared" ref="AU34" si="131">AVERAGE(AU29,AU32)</f>
        <v>1.6422023944549058E-2</v>
      </c>
      <c r="AV34" s="183">
        <f t="shared" ref="AV34:AW34" si="132">AVERAGE(AV29,AV32)</f>
        <v>1.8474053017881298E-2</v>
      </c>
      <c r="AW34" s="183">
        <f t="shared" si="132"/>
        <v>2.0607964011870039E-2</v>
      </c>
      <c r="AX34" s="183">
        <f t="shared" ref="AX34" si="133">AVERAGE(AX29,AX32)</f>
        <v>2.557738112936947E-2</v>
      </c>
      <c r="AY34" s="183">
        <f t="shared" ref="AY34:AY35" si="134">AVERAGE(AY29,AY32)</f>
        <v>2.7922338420479642E-2</v>
      </c>
      <c r="AZ34" s="182">
        <f t="shared" ref="AZ34:BG34" si="135">AVERAGE(AZ29,AZ32)</f>
        <v>3.3878672423664158E-2</v>
      </c>
      <c r="BA34" s="184">
        <f t="shared" si="135"/>
        <v>2.5415999999999994E-2</v>
      </c>
      <c r="BB34" s="184">
        <f t="shared" si="135"/>
        <v>2.4655125E-2</v>
      </c>
      <c r="BC34" s="184">
        <f t="shared" si="135"/>
        <v>2.4655125E-2</v>
      </c>
      <c r="BD34" s="184">
        <f t="shared" si="135"/>
        <v>2.4655125E-2</v>
      </c>
      <c r="BE34" s="184">
        <f t="shared" si="135"/>
        <v>2.4655125E-2</v>
      </c>
      <c r="BF34" s="184">
        <f t="shared" si="135"/>
        <v>2.4655125E-2</v>
      </c>
      <c r="BG34" s="184">
        <f t="shared" si="135"/>
        <v>2.2628124999999999E-2</v>
      </c>
      <c r="BH34" s="184">
        <f t="shared" ref="BH34:BI34" si="136">AVERAGE(BH29,BH32)</f>
        <v>2.2628124999999999E-2</v>
      </c>
      <c r="BI34" s="184">
        <f t="shared" si="136"/>
        <v>2.0100000000000007E-2</v>
      </c>
      <c r="BJ34" s="184">
        <f t="shared" ref="BJ34:BK34" si="137">AVERAGE(BJ29,BJ32)</f>
        <v>2.0100000000000007E-2</v>
      </c>
      <c r="BK34" s="184">
        <f t="shared" si="137"/>
        <v>2.0100000000000007E-2</v>
      </c>
      <c r="BL34" s="184">
        <f t="shared" ref="BL34" si="138">AVERAGE(BL29,BL32)</f>
        <v>2.0100000000000007E-2</v>
      </c>
      <c r="BM34" s="184">
        <f t="shared" ref="BM34:BN34" si="139">AVERAGE(BM29,BM32)</f>
        <v>2.0100000000000007E-2</v>
      </c>
      <c r="BN34" s="184">
        <f t="shared" si="139"/>
        <v>2.0100000000000007E-2</v>
      </c>
      <c r="BO34" s="184">
        <f t="shared" ref="BO34:BP34" si="140">AVERAGE(BO29,BO32)</f>
        <v>2.0100000000000007E-2</v>
      </c>
      <c r="BP34" s="184">
        <f t="shared" si="140"/>
        <v>2.0100000000000007E-2</v>
      </c>
      <c r="BQ34" s="184">
        <f t="shared" ref="BQ34" si="141">AVERAGE(BQ29,BQ32)</f>
        <v>2.0100000000000007E-2</v>
      </c>
      <c r="BR34" s="511"/>
      <c r="BS34" s="232"/>
      <c r="BT34" s="232"/>
      <c r="BU34" s="232"/>
      <c r="BV34" s="232"/>
      <c r="BW34" s="232"/>
      <c r="BX34" s="232"/>
      <c r="BY34" s="232"/>
      <c r="BZ34" s="232"/>
      <c r="CA34" s="232"/>
      <c r="CB34" s="232"/>
      <c r="CC34" s="42">
        <f t="shared" si="92"/>
        <v>0</v>
      </c>
      <c r="CD34" s="42">
        <f t="shared" si="93"/>
        <v>0</v>
      </c>
      <c r="CE34" s="42">
        <f t="shared" si="94"/>
        <v>0</v>
      </c>
      <c r="CF34" s="42">
        <f t="shared" si="95"/>
        <v>0</v>
      </c>
      <c r="CG34" s="42">
        <f t="shared" si="96"/>
        <v>0</v>
      </c>
      <c r="CH34" s="42">
        <f t="shared" si="97"/>
        <v>0</v>
      </c>
      <c r="CI34" s="42">
        <f t="shared" si="98"/>
        <v>0</v>
      </c>
      <c r="CJ34" s="42">
        <f t="shared" si="99"/>
        <v>0</v>
      </c>
      <c r="CK34" s="42">
        <f t="shared" si="100"/>
        <v>0</v>
      </c>
      <c r="CL34" s="42">
        <f t="shared" si="101"/>
        <v>0</v>
      </c>
      <c r="CM34" s="45">
        <f t="shared" si="102"/>
        <v>0</v>
      </c>
      <c r="CN34" s="45">
        <f t="shared" si="103"/>
        <v>0</v>
      </c>
      <c r="CO34" s="45">
        <f t="shared" si="104"/>
        <v>2.9748843835241789E-2</v>
      </c>
      <c r="CP34" s="45">
        <f t="shared" si="105"/>
        <v>6.3223591538331458E-2</v>
      </c>
      <c r="CQ34" s="45">
        <f t="shared" si="106"/>
        <v>7.7369871497829701E-2</v>
      </c>
      <c r="CR34" s="45">
        <f t="shared" si="107"/>
        <v>7.0855306187787237E-2</v>
      </c>
      <c r="CS34" s="45">
        <f t="shared" si="108"/>
        <v>5.7367800047417372E-2</v>
      </c>
      <c r="CT34" s="45">
        <f t="shared" si="109"/>
        <v>4.8806917664567129E-2</v>
      </c>
      <c r="CU34" s="45">
        <f t="shared" si="110"/>
        <v>4.6633628640763813E-2</v>
      </c>
      <c r="CV34" s="45">
        <f t="shared" si="111"/>
        <v>8.6210718364446937E-2</v>
      </c>
      <c r="CW34" s="45">
        <f t="shared" si="112"/>
        <v>7.4216002872861786E-2</v>
      </c>
      <c r="CX34" s="45">
        <f t="shared" si="113"/>
        <v>3.9065604879626958E-2</v>
      </c>
      <c r="CY34" s="45">
        <f t="shared" si="114"/>
        <v>3.9462729649497152E-2</v>
      </c>
      <c r="CZ34" s="43">
        <f t="shared" si="115"/>
        <v>5.4213899841653035E-2</v>
      </c>
      <c r="DA34" s="42">
        <f t="shared" si="116"/>
        <v>6.0155732761983938E-2</v>
      </c>
      <c r="DB34" s="42">
        <f t="shared" si="117"/>
        <v>4.9918125188765705E-2</v>
      </c>
      <c r="DC34" s="42">
        <f t="shared" si="118"/>
        <v>4.9918125188765705E-2</v>
      </c>
      <c r="DD34" s="42">
        <f t="shared" si="119"/>
        <v>4.7841149250390513E-2</v>
      </c>
      <c r="DE34" s="42">
        <f t="shared" si="120"/>
        <v>4.3182950312500079E-2</v>
      </c>
      <c r="DF34" s="42">
        <f t="shared" si="121"/>
        <v>4.0604010000000024E-2</v>
      </c>
      <c r="DG34" s="232">
        <f t="shared" si="122"/>
        <v>4.0604010000000024E-2</v>
      </c>
      <c r="DH34" s="232">
        <f t="shared" si="123"/>
        <v>4.0604010000000024E-2</v>
      </c>
      <c r="DI34" s="232">
        <f t="shared" si="124"/>
        <v>4.0604010000000024E-2</v>
      </c>
    </row>
    <row r="35" spans="1:113" outlineLevel="1">
      <c r="A35" s="1" t="s">
        <v>846</v>
      </c>
      <c r="B35" s="19" t="s">
        <v>319</v>
      </c>
      <c r="C35" s="552"/>
      <c r="D35" s="552"/>
      <c r="E35" s="552"/>
      <c r="F35" s="552"/>
      <c r="G35" s="552"/>
      <c r="H35" s="552"/>
      <c r="I35" s="552"/>
      <c r="J35" s="552"/>
      <c r="K35" s="552"/>
      <c r="L35" s="552"/>
      <c r="M35" s="41"/>
      <c r="N35" s="41"/>
      <c r="O35" s="41"/>
      <c r="P35" s="41"/>
      <c r="Q35" s="41"/>
      <c r="R35" s="41"/>
      <c r="S35" s="41"/>
      <c r="T35" s="44"/>
      <c r="U35" s="41"/>
      <c r="V35" s="41"/>
      <c r="W35" s="41"/>
      <c r="X35" s="41"/>
      <c r="Y35" s="44"/>
      <c r="Z35" s="44"/>
      <c r="AA35" s="183"/>
      <c r="AB35" s="183"/>
      <c r="AC35" s="183">
        <f t="shared" si="125"/>
        <v>1.3280853836006967E-2</v>
      </c>
      <c r="AD35" s="183">
        <f t="shared" si="125"/>
        <v>2.6193132048503598E-2</v>
      </c>
      <c r="AE35" s="183">
        <f>AVERAGE(AE30,AE33)</f>
        <v>3.3431019495336889E-2</v>
      </c>
      <c r="AF35" s="183">
        <f>AVERAGE(AF30,AF33)</f>
        <v>3.5450955205866497E-2</v>
      </c>
      <c r="AG35" s="183">
        <f t="shared" si="125"/>
        <v>2.3635390343784257E-2</v>
      </c>
      <c r="AH35" s="183">
        <f t="shared" si="125"/>
        <v>2.6243305888171142E-2</v>
      </c>
      <c r="AI35" s="183">
        <f t="shared" ref="AI35:AK35" si="142">AVERAGE(AI30,AI33)</f>
        <v>1.4959010472404E-2</v>
      </c>
      <c r="AJ35" s="183">
        <f t="shared" si="142"/>
        <v>1.8529015983396069E-2</v>
      </c>
      <c r="AK35" s="183">
        <f t="shared" si="142"/>
        <v>2.1888506723802048E-2</v>
      </c>
      <c r="AL35" s="183">
        <f t="shared" si="127"/>
        <v>2.4337412738104858E-2</v>
      </c>
      <c r="AM35" s="183">
        <f t="shared" si="127"/>
        <v>1.5525280642758932E-2</v>
      </c>
      <c r="AN35" s="183">
        <f t="shared" si="127"/>
        <v>1.2515638820651653E-2</v>
      </c>
      <c r="AO35" s="183">
        <f t="shared" si="128"/>
        <v>1.0030529778594532E-2</v>
      </c>
      <c r="AP35" s="183">
        <f t="shared" si="128"/>
        <v>-1.9502275595521645E-2</v>
      </c>
      <c r="AQ35" s="183">
        <f t="shared" si="128"/>
        <v>4.112760166108842E-3</v>
      </c>
      <c r="AR35" s="183">
        <f t="shared" ref="AR35" si="143">AVERAGE(AR30,AR33)</f>
        <v>3.076305475676111E-2</v>
      </c>
      <c r="AS35" s="183">
        <f t="shared" ref="AS35:AT35" si="144">AVERAGE(AS30,AS33)</f>
        <v>4.4985609723493636E-2</v>
      </c>
      <c r="AT35" s="183">
        <f t="shared" si="144"/>
        <v>3.0569280394487919E-2</v>
      </c>
      <c r="AU35" s="183">
        <f t="shared" ref="AU35" si="145">AVERAGE(AU30,AU33)</f>
        <v>1.7227275012266952E-2</v>
      </c>
      <c r="AV35" s="183">
        <f t="shared" ref="AV35:AW35" si="146">AVERAGE(AV30,AV33)</f>
        <v>2.1441070990414257E-2</v>
      </c>
      <c r="AW35" s="183">
        <f t="shared" si="146"/>
        <v>2.3841743938934123E-2</v>
      </c>
      <c r="AX35" s="183">
        <f t="shared" ref="AX35" si="147">AVERAGE(AX30,AX33)</f>
        <v>3.9900408879860572E-2</v>
      </c>
      <c r="AY35" s="183">
        <f t="shared" si="134"/>
        <v>1.402585783367799E-2</v>
      </c>
      <c r="AZ35" s="182">
        <f t="shared" ref="AZ35:BG35" si="148">AVERAGE(AZ30,AZ33)</f>
        <v>4.5262669511285658E-2</v>
      </c>
      <c r="BA35" s="184">
        <f t="shared" si="148"/>
        <v>2.5817245166261271E-2</v>
      </c>
      <c r="BB35" s="184">
        <f t="shared" si="148"/>
        <v>2.0729745166261138E-2</v>
      </c>
      <c r="BC35" s="184">
        <f t="shared" si="148"/>
        <v>2.0729745166261138E-2</v>
      </c>
      <c r="BD35" s="184">
        <f t="shared" si="148"/>
        <v>1.5667245166261279E-2</v>
      </c>
      <c r="BE35" s="184">
        <f t="shared" si="148"/>
        <v>1.5667245166261279E-2</v>
      </c>
      <c r="BF35" s="184">
        <f t="shared" si="148"/>
        <v>1.5667245166261279E-2</v>
      </c>
      <c r="BG35" s="184">
        <f t="shared" si="148"/>
        <v>1.5667245166261279E-2</v>
      </c>
      <c r="BH35" s="184">
        <f t="shared" ref="BH35:BI35" si="149">AVERAGE(BH30,BH33)</f>
        <v>1.5667245166261279E-2</v>
      </c>
      <c r="BI35" s="184">
        <f t="shared" si="149"/>
        <v>1.5667245166261279E-2</v>
      </c>
      <c r="BJ35" s="184">
        <f t="shared" ref="BJ35:BK35" si="150">AVERAGE(BJ30,BJ33)</f>
        <v>1.5667245166261279E-2</v>
      </c>
      <c r="BK35" s="184">
        <f t="shared" si="150"/>
        <v>1.5667245166261279E-2</v>
      </c>
      <c r="BL35" s="184">
        <f t="shared" ref="BL35" si="151">AVERAGE(BL30,BL33)</f>
        <v>1.5667245166261279E-2</v>
      </c>
      <c r="BM35" s="184">
        <f t="shared" ref="BM35:BN35" si="152">AVERAGE(BM30,BM33)</f>
        <v>1.5667245166261279E-2</v>
      </c>
      <c r="BN35" s="184">
        <f t="shared" si="152"/>
        <v>1.5667245166261279E-2</v>
      </c>
      <c r="BO35" s="184">
        <f t="shared" ref="BO35:BP35" si="153">AVERAGE(BO30,BO33)</f>
        <v>1.5667245166261279E-2</v>
      </c>
      <c r="BP35" s="184">
        <f t="shared" si="153"/>
        <v>1.5667245166261279E-2</v>
      </c>
      <c r="BQ35" s="184">
        <f t="shared" ref="BQ35" si="154">AVERAGE(BQ30,BQ33)</f>
        <v>1.5667245166261279E-2</v>
      </c>
      <c r="BR35" s="511"/>
      <c r="BS35" s="232"/>
      <c r="BT35" s="232"/>
      <c r="BU35" s="232"/>
      <c r="BV35" s="232"/>
      <c r="BW35" s="232"/>
      <c r="BX35" s="232"/>
      <c r="BY35" s="232"/>
      <c r="BZ35" s="232"/>
      <c r="CA35" s="232"/>
      <c r="CB35" s="232"/>
      <c r="CC35" s="42">
        <f t="shared" si="92"/>
        <v>0</v>
      </c>
      <c r="CD35" s="42">
        <f t="shared" si="93"/>
        <v>0</v>
      </c>
      <c r="CE35" s="42">
        <f t="shared" si="94"/>
        <v>0</v>
      </c>
      <c r="CF35" s="42">
        <f t="shared" si="95"/>
        <v>0</v>
      </c>
      <c r="CG35" s="42">
        <f t="shared" si="96"/>
        <v>0</v>
      </c>
      <c r="CH35" s="42">
        <f t="shared" si="97"/>
        <v>0</v>
      </c>
      <c r="CI35" s="42">
        <f t="shared" si="98"/>
        <v>0</v>
      </c>
      <c r="CJ35" s="42">
        <f t="shared" si="99"/>
        <v>0</v>
      </c>
      <c r="CK35" s="42">
        <f t="shared" si="100"/>
        <v>0</v>
      </c>
      <c r="CL35" s="42">
        <f t="shared" si="101"/>
        <v>0</v>
      </c>
      <c r="CM35" s="45">
        <f t="shared" si="102"/>
        <v>0</v>
      </c>
      <c r="CN35" s="45">
        <f t="shared" si="103"/>
        <v>0</v>
      </c>
      <c r="CO35" s="45">
        <f t="shared" si="104"/>
        <v>1.3280853836006967E-2</v>
      </c>
      <c r="CP35" s="45">
        <f t="shared" si="105"/>
        <v>6.0499814651997941E-2</v>
      </c>
      <c r="CQ35" s="45">
        <f t="shared" si="106"/>
        <v>5.9924242714001208E-2</v>
      </c>
      <c r="CR35" s="45">
        <f t="shared" si="107"/>
        <v>4.1594890248186855E-2</v>
      </c>
      <c r="CS35" s="45">
        <f t="shared" si="108"/>
        <v>4.0823095198136095E-2</v>
      </c>
      <c r="CT35" s="45">
        <f t="shared" si="109"/>
        <v>4.0240538543741655E-2</v>
      </c>
      <c r="CU35" s="45">
        <f t="shared" si="110"/>
        <v>2.2671707087134729E-2</v>
      </c>
      <c r="CV35" s="45">
        <f t="shared" si="111"/>
        <v>-1.546972361163057E-2</v>
      </c>
      <c r="CW35" s="45">
        <f t="shared" si="112"/>
        <v>7.7132559255444821E-2</v>
      </c>
      <c r="CX35" s="45">
        <f t="shared" si="113"/>
        <v>4.832318080703768E-2</v>
      </c>
      <c r="CY35" s="45">
        <f t="shared" si="114"/>
        <v>4.5794007453678232E-2</v>
      </c>
      <c r="CZ35" s="43">
        <f t="shared" si="115"/>
        <v>5.4485904175993083E-2</v>
      </c>
      <c r="DA35" s="42">
        <f t="shared" si="116"/>
        <v>7.2248472113199291E-2</v>
      </c>
      <c r="DB35" s="42">
        <f t="shared" si="117"/>
        <v>4.1889212667180376E-2</v>
      </c>
      <c r="DC35" s="42">
        <f t="shared" si="118"/>
        <v>3.1579952903622033E-2</v>
      </c>
      <c r="DD35" s="42">
        <f t="shared" si="119"/>
        <v>3.1579952903622033E-2</v>
      </c>
      <c r="DE35" s="42">
        <f t="shared" si="120"/>
        <v>3.1579952903622033E-2</v>
      </c>
      <c r="DF35" s="42">
        <f t="shared" si="121"/>
        <v>3.1579952903622033E-2</v>
      </c>
      <c r="DG35" s="232">
        <f t="shared" si="122"/>
        <v>3.1579952903622033E-2</v>
      </c>
      <c r="DH35" s="232">
        <f t="shared" si="123"/>
        <v>3.1579952903622033E-2</v>
      </c>
      <c r="DI35" s="232">
        <f t="shared" si="124"/>
        <v>3.1579952903622033E-2</v>
      </c>
    </row>
    <row r="36" spans="1:113" outlineLevel="1">
      <c r="C36" s="232"/>
      <c r="D36" s="232"/>
      <c r="E36" s="232"/>
      <c r="F36" s="232"/>
      <c r="G36" s="232"/>
      <c r="H36" s="232"/>
      <c r="I36" s="232"/>
      <c r="J36" s="232"/>
      <c r="K36" s="232"/>
      <c r="L36" s="232"/>
      <c r="M36" s="42"/>
      <c r="N36" s="42"/>
      <c r="O36" s="42"/>
      <c r="P36" s="42"/>
      <c r="Q36" s="42"/>
      <c r="R36" s="42"/>
      <c r="S36" s="42"/>
      <c r="T36" s="45"/>
      <c r="U36" s="42"/>
      <c r="V36" s="42"/>
      <c r="W36" s="42"/>
      <c r="X36" s="42"/>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376"/>
      <c r="AZ36" s="375"/>
      <c r="BA36" s="232"/>
      <c r="BB36" s="232"/>
      <c r="BC36" s="232"/>
      <c r="BD36" s="232"/>
      <c r="BE36" s="232"/>
      <c r="BF36" s="232"/>
      <c r="BG36" s="232"/>
      <c r="BH36" s="232"/>
      <c r="BI36" s="232"/>
      <c r="BJ36" s="232"/>
      <c r="BK36" s="232"/>
      <c r="BL36" s="232"/>
      <c r="BM36" s="232"/>
      <c r="BN36" s="232"/>
      <c r="BO36" s="232"/>
      <c r="BP36" s="232"/>
      <c r="BQ36" s="232"/>
      <c r="BR36" s="232"/>
      <c r="BS36" s="232"/>
      <c r="BT36" s="232"/>
      <c r="BU36" s="232"/>
      <c r="BV36" s="232"/>
      <c r="BW36" s="232"/>
      <c r="BX36" s="232"/>
      <c r="BY36" s="232"/>
      <c r="BZ36" s="232"/>
      <c r="CA36" s="232"/>
      <c r="CB36" s="232"/>
      <c r="CC36" s="42"/>
      <c r="CD36" s="42"/>
      <c r="CE36" s="42"/>
      <c r="CF36" s="42"/>
      <c r="CG36" s="42"/>
      <c r="CH36" s="42"/>
      <c r="CI36" s="42"/>
      <c r="CJ36" s="42"/>
      <c r="CK36" s="42"/>
      <c r="CL36" s="42"/>
      <c r="CM36" s="45"/>
      <c r="CN36" s="45"/>
      <c r="CO36" s="45"/>
      <c r="CP36" s="45"/>
      <c r="CQ36" s="45"/>
      <c r="CR36" s="45"/>
      <c r="CS36" s="45"/>
      <c r="CT36" s="45"/>
      <c r="CU36" s="45"/>
      <c r="CV36" s="45"/>
      <c r="CW36" s="45"/>
      <c r="CX36" s="45"/>
      <c r="CY36" s="45"/>
      <c r="CZ36" s="43"/>
      <c r="DA36" s="42"/>
      <c r="DB36" s="42"/>
      <c r="DC36" s="42"/>
      <c r="DD36" s="42"/>
      <c r="DE36" s="42"/>
      <c r="DF36" s="42"/>
      <c r="DG36" s="232"/>
      <c r="DH36" s="232"/>
      <c r="DI36" s="232"/>
    </row>
    <row r="37" spans="1:113" outlineLevel="1">
      <c r="B37" s="24" t="s">
        <v>323</v>
      </c>
      <c r="C37" s="232"/>
      <c r="D37" s="232"/>
      <c r="E37" s="232"/>
      <c r="F37" s="232"/>
      <c r="G37" s="232"/>
      <c r="H37" s="232"/>
      <c r="I37" s="232"/>
      <c r="J37" s="232"/>
      <c r="K37" s="232"/>
      <c r="L37" s="232"/>
      <c r="M37" s="42"/>
      <c r="N37" s="42"/>
      <c r="O37" s="42"/>
      <c r="P37" s="42"/>
      <c r="Q37" s="42"/>
      <c r="R37" s="42"/>
      <c r="S37" s="42"/>
      <c r="T37" s="45"/>
      <c r="U37" s="42"/>
      <c r="V37" s="42"/>
      <c r="W37" s="42"/>
      <c r="X37" s="42"/>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376"/>
      <c r="AZ37" s="375"/>
      <c r="BA37" s="232"/>
      <c r="BB37" s="232"/>
      <c r="BC37" s="232"/>
      <c r="BD37" s="232"/>
      <c r="BE37" s="232"/>
      <c r="BF37" s="232"/>
      <c r="BG37" s="232"/>
      <c r="BH37" s="232"/>
      <c r="BI37" s="232"/>
      <c r="BJ37" s="232"/>
      <c r="BK37" s="232"/>
      <c r="BL37" s="232"/>
      <c r="BM37" s="232"/>
      <c r="BN37" s="232"/>
      <c r="BO37" s="232"/>
      <c r="BP37" s="232"/>
      <c r="BQ37" s="232"/>
      <c r="BR37" s="232"/>
      <c r="BS37" s="232"/>
      <c r="BT37" s="232"/>
      <c r="BU37" s="232"/>
      <c r="BV37" s="232"/>
      <c r="BW37" s="232"/>
      <c r="BX37" s="232"/>
      <c r="BY37" s="232"/>
      <c r="BZ37" s="232"/>
      <c r="CA37" s="232"/>
      <c r="CB37" s="232"/>
      <c r="CC37" s="42"/>
      <c r="CD37" s="42"/>
      <c r="CE37" s="42"/>
      <c r="CF37" s="42"/>
      <c r="CG37" s="42"/>
      <c r="CH37" s="42"/>
      <c r="CI37" s="42"/>
      <c r="CJ37" s="42"/>
      <c r="CK37" s="42"/>
      <c r="CL37" s="42"/>
      <c r="CM37" s="45"/>
      <c r="CN37" s="45"/>
      <c r="CO37" s="45"/>
      <c r="CP37" s="45"/>
      <c r="CQ37" s="45"/>
      <c r="CR37" s="45"/>
      <c r="CS37" s="45"/>
      <c r="CT37" s="45"/>
      <c r="CU37" s="45"/>
      <c r="CV37" s="45"/>
      <c r="CW37" s="45"/>
      <c r="CX37" s="45"/>
      <c r="CY37" s="45"/>
      <c r="CZ37" s="43"/>
      <c r="DA37" s="42"/>
      <c r="DB37" s="42"/>
      <c r="DC37" s="42"/>
      <c r="DD37" s="42"/>
      <c r="DE37" s="42"/>
      <c r="DF37" s="42"/>
      <c r="DG37" s="232"/>
      <c r="DH37" s="232"/>
      <c r="DI37" s="232"/>
    </row>
    <row r="38" spans="1:113" outlineLevel="1">
      <c r="A38" s="1" t="s">
        <v>847</v>
      </c>
      <c r="B38" s="19" t="s">
        <v>324</v>
      </c>
      <c r="C38" s="551">
        <f>VLOOKUP(RIGHT($A38,LEN($A38)-4),[3]Sheet1!$A$2:$JP$65479,MATCH(C$3,[3]Sheet1!$A$2:$JP$2,0),FALSE)</f>
        <v>0.1065106330525154</v>
      </c>
      <c r="D38" s="551">
        <f>VLOOKUP(RIGHT($A38,LEN($A38)-4),[3]Sheet1!$A$2:$JP$65479,MATCH(D$3,[3]Sheet1!$A$2:$JP$2,0),FALSE)</f>
        <v>-2.6518586313712955E-3</v>
      </c>
      <c r="E38" s="551">
        <f>VLOOKUP(RIGHT($A38,LEN($A38)-4),[3]Sheet1!$A$2:$JP$65479,MATCH(E$3,[3]Sheet1!$A$2:$JP$2,0),FALSE)</f>
        <v>-4.4371621552780634E-2</v>
      </c>
      <c r="F38" s="551">
        <f>VLOOKUP(RIGHT($A38,LEN($A38)-4),[3]Sheet1!$A$2:$JP$65479,MATCH(F$3,[3]Sheet1!$A$2:$JP$2,0),FALSE)</f>
        <v>-4.5391553808074366E-2</v>
      </c>
      <c r="G38" s="551">
        <f>VLOOKUP(RIGHT($A38,LEN($A38)-4),[3]Sheet1!$A$2:$JP$65479,MATCH(G$3,[3]Sheet1!$A$2:$JP$2,0),FALSE)</f>
        <v>2.9585346060128082E-2</v>
      </c>
      <c r="H38" s="551">
        <f>VLOOKUP(RIGHT($A38,LEN($A38)-4),[3]Sheet1!$A$2:$JP$65479,MATCH(H$3,[3]Sheet1!$A$2:$JP$2,0),FALSE)</f>
        <v>0.11318990196287813</v>
      </c>
      <c r="I38" s="551">
        <f>VLOOKUP(RIGHT($A38,LEN($A38)-4),[3]Sheet1!$A$2:$JP$65479,MATCH(I$3,[3]Sheet1!$A$2:$JP$2,0),FALSE)</f>
        <v>9.2425178675543673E-2</v>
      </c>
      <c r="J38" s="551">
        <f>VLOOKUP(RIGHT($A38,LEN($A38)-4),[3]Sheet1!$A$2:$JP$65479,MATCH(J$3,[3]Sheet1!$A$2:$JP$2,0),FALSE)</f>
        <v>0.17164590966351725</v>
      </c>
      <c r="K38" s="551">
        <f>VLOOKUP(RIGHT($A38,LEN($A38)-4),[3]Sheet1!$A$2:$JP$65479,MATCH(K$3,[3]Sheet1!$A$2:$JP$2,0),FALSE)</f>
        <v>7.8435198525297789E-2</v>
      </c>
      <c r="L38" s="551">
        <f>VLOOKUP(RIGHT($A38,LEN($A38)-4),[3]Sheet1!$A$2:$JP$65479,MATCH(L$3,[3]Sheet1!$A$2:$JP$2,0),FALSE)</f>
        <v>0.13895832906203398</v>
      </c>
      <c r="M38" s="183">
        <f>VLOOKUP(RIGHT($A38,LEN($A38)-4),[3]Sheet1!$A$2:$JP$65479,MATCH(M$3,[3]Sheet1!$A$2:$JP$2,0),FALSE)</f>
        <v>8.8107046104405118E-2</v>
      </c>
      <c r="N38" s="183">
        <f>VLOOKUP(RIGHT($A38,LEN($A38)-4),[3]Sheet1!$A$2:$JP$65479,MATCH(N$3,[3]Sheet1!$A$2:$JP$2,0),FALSE)</f>
        <v>0.14163045890614878</v>
      </c>
      <c r="O38" s="183">
        <f>VLOOKUP(RIGHT($A38,LEN($A38)-4),[3]Sheet1!$A$2:$JP$65479,MATCH(O$3,[3]Sheet1!$A$2:$JP$2,0),FALSE)</f>
        <v>0.12698208108755127</v>
      </c>
      <c r="P38" s="183">
        <f>VLOOKUP(RIGHT($A38,LEN($A38)-4),[3]Sheet1!$A$2:$JP$65479,MATCH(P$3,[3]Sheet1!$A$2:$JP$2,0),FALSE)</f>
        <v>2.9962812020279062E-2</v>
      </c>
      <c r="Q38" s="183">
        <f>VLOOKUP(RIGHT($A38,LEN($A38)-4),[3]Sheet1!$A$2:$JP$65479,MATCH(Q$3,[3]Sheet1!$A$2:$JP$2,0),FALSE)</f>
        <v>-0.15923773448352629</v>
      </c>
      <c r="R38" s="183">
        <f>VLOOKUP(RIGHT($A38,LEN($A38)-4),[3]Sheet1!$A$2:$JP$65479,MATCH(R$3,[3]Sheet1!$A$2:$JP$2,0),FALSE)</f>
        <v>-0.26786618072403068</v>
      </c>
      <c r="S38" s="183">
        <f>VLOOKUP(RIGHT($A38,LEN($A38)-4),[3]Sheet1!$A$2:$JP$65479,MATCH(S$3,[3]Sheet1!$A$2:$JP$2,0),FALSE)</f>
        <v>9.0815213766841207E-2</v>
      </c>
      <c r="T38" s="183">
        <f>VLOOKUP(RIGHT($A38,LEN($A38)-4),[3]Sheet1!$A$2:$JP$65479,MATCH(T$3,[3]Sheet1!$A$2:$JP$2,0),FALSE)</f>
        <v>0.25624124723923147</v>
      </c>
      <c r="U38" s="183">
        <f>VLOOKUP(RIGHT($A38,LEN($A38)-4),[3]Sheet1!$A$2:$JP$65479,MATCH(U$3,[3]Sheet1!$A$2:$JP$2,0),FALSE)</f>
        <v>-9.9332040732958551E-2</v>
      </c>
      <c r="V38" s="183">
        <f>VLOOKUP(RIGHT($A38,LEN($A38)-4),[3]Sheet1!$A$2:$JP$65479,MATCH(V$3,[3]Sheet1!$A$2:$JP$2,0),FALSE)</f>
        <v>0.12768916021645249</v>
      </c>
      <c r="W38" s="183">
        <f>VLOOKUP(RIGHT($A38,LEN($A38)-4),[3]Sheet1!$A$2:$JP$65479,MATCH(W$3,[3]Sheet1!$A$2:$JP$2,0),FALSE)</f>
        <v>-9.208256279714222E-3</v>
      </c>
      <c r="X38" s="183">
        <f>VLOOKUP(RIGHT($A38,LEN($A38)-4),[3]Sheet1!$A$2:$JP$65479,MATCH(X$3,[3]Sheet1!$A$2:$JP$2,0),FALSE)</f>
        <v>-9.7119756578138428E-2</v>
      </c>
      <c r="Y38" s="183">
        <f>VLOOKUP(RIGHT($A38,LEN($A38)-4),[3]Sheet1!$A$2:$JP$65479,MATCH(Y$3,[3]Sheet1!$A$2:$JP$2,0),FALSE)</f>
        <v>3.320706136747531E-2</v>
      </c>
      <c r="Z38" s="183">
        <f>VLOOKUP(RIGHT($A38,LEN($A38)-4),[3]Sheet1!$A$2:$JP$65479,MATCH(Z$3,[3]Sheet1!$A$2:$JP$2,0),FALSE)</f>
        <v>0.16392686884588456</v>
      </c>
      <c r="AA38" s="183">
        <f>VLOOKUP(RIGHT($A38,LEN($A38)-4),[3]Sheet1!$A$2:$JP$65479,MATCH(AA$3,[3]Sheet1!$A$2:$JP$2,0),FALSE)</f>
        <v>5.4632090475184469E-2</v>
      </c>
      <c r="AB38" s="44">
        <f>VLOOKUP(RIGHT($A38,LEN($A38)-4),[3]Sheet1!$A$2:$JP$65479,MATCH(AB$3,[3]Sheet1!$A$2:$JP$2,0),FALSE)</f>
        <v>0.13971873260055134</v>
      </c>
      <c r="AC38" s="44">
        <f>VLOOKUP(RIGHT($A38,LEN($A38)-4),[3]Sheet1!$A$2:$JP$65479,MATCH(AC$3,[3]Sheet1!$A$2:$JP$2,0),FALSE)</f>
        <v>3.0382401636474876E-2</v>
      </c>
      <c r="AD38" s="44">
        <f>VLOOKUP(RIGHT($A38,LEN($A38)-4),[3]Sheet1!$A$2:$JP$65479,MATCH(AD$3,[3]Sheet1!$A$2:$JP$2,0),FALSE)</f>
        <v>2.4961474178222254E-2</v>
      </c>
      <c r="AE38" s="44">
        <f>VLOOKUP(RIGHT($A38,LEN($A38)-4),[3]Sheet1!$A$2:$JP$65479,MATCH(AE$3,[3]Sheet1!$A$2:$JP$2,0),FALSE)</f>
        <v>3.1036209654727864E-2</v>
      </c>
      <c r="AF38" s="44">
        <f>VLOOKUP(RIGHT($A38,LEN($A38)-4),[3]Sheet1!$A$2:$JP$65479,MATCH(AF$3,[3]Sheet1!$A$2:$JP$2,0),FALSE)</f>
        <v>-5.2645678175951005E-3</v>
      </c>
      <c r="AG38" s="44">
        <f>VLOOKUP(RIGHT($A38,LEN($A38)-4),[3]Sheet1!$A$2:$JP$65479,MATCH(AG$3,[3]Sheet1!$A$2:$JP$2,0),FALSE)</f>
        <v>1.0879399417170754E-2</v>
      </c>
      <c r="AH38" s="44">
        <f>VLOOKUP(RIGHT($A38,LEN($A38)-4),[3]Sheet1!$A$2:$JP$65479,MATCH(AH$3,[3]Sheet1!$A$2:$JP$2,0),FALSE)</f>
        <v>0.10594036725621603</v>
      </c>
      <c r="AI38" s="44">
        <f>VLOOKUP(RIGHT($A38,LEN($A38)-4),[3]Sheet1!$A$2:$JP$65479,MATCH(AI$3,[3]Sheet1!$A$2:$JP$2,0),FALSE)</f>
        <v>3.1612141062304699E-2</v>
      </c>
      <c r="AJ38" s="44">
        <f>VLOOKUP(RIGHT($A38,LEN($A38)-4),[3]Sheet1!$A$2:$JP$65479,MATCH(AJ$3,[3]Sheet1!$A$2:$JP$2,0),FALSE)</f>
        <v>8.3702623449514846E-2</v>
      </c>
      <c r="AK38" s="44">
        <f>VLOOKUP(RIGHT($A38,LEN($A38)-4),[3]Sheet1!$A$2:$JP$65479,MATCH(AK$3,[3]Sheet1!$A$2:$JP$2,0),FALSE)</f>
        <v>4.285768068222473E-2</v>
      </c>
      <c r="AL38" s="44">
        <f>VLOOKUP(RIGHT($A38,LEN($A38)-4),[3]Sheet1!$A$2:$JP$65479,MATCH(AL$3,[3]Sheet1!$A$2:$JP$2,0),FALSE)</f>
        <v>-6.8326358354338756E-2</v>
      </c>
      <c r="AM38" s="44">
        <f>VLOOKUP(RIGHT($A38,LEN($A38)-4),[3]Sheet1!$A$2:$JP$65479,MATCH(AM$3,[3]Sheet1!$A$2:$JP$2,0),FALSE)</f>
        <v>0.19727535526063966</v>
      </c>
      <c r="AN38" s="44">
        <f>VLOOKUP(RIGHT($A38,LEN($A38)-4),[3]Sheet1!$A$2:$JP$65479,MATCH(AN$3,[3]Sheet1!$A$2:$JP$2,0),FALSE)</f>
        <v>3.0632914236491837E-2</v>
      </c>
      <c r="AO38" s="44">
        <f>VLOOKUP(RIGHT($A38,LEN($A38)-4),[3]Sheet1!$A$2:$JP$65479,MATCH(AO$3,[3]Sheet1!$A$2:$JP$2,0),FALSE)</f>
        <v>-0.10424692104178235</v>
      </c>
      <c r="AP38" s="44">
        <f>VLOOKUP(RIGHT($A38,LEN($A38)-4),[3]Sheet1!$A$2:$JP$65479,MATCH(AP$3,[3]Sheet1!$A$2:$JP$2,0),FALSE)</f>
        <v>0.13201339659805078</v>
      </c>
      <c r="AQ38" s="44">
        <f>VLOOKUP(RIGHT($A38,LEN($A38)-4),[3]Sheet1!$A$2:$JP$65479,MATCH(AQ$3,[3]Sheet1!$A$2:$JP$2,0),FALSE)</f>
        <v>0.12895116438882104</v>
      </c>
      <c r="AR38" s="44">
        <f>VLOOKUP(RIGHT($A38,LEN($A38)-4),[3]Sheet1!$A$2:$JP$65479,MATCH(AR$3,[3]Sheet1!$A$2:$JP$2,0),FALSE)</f>
        <v>3.8410009244964849E-2</v>
      </c>
      <c r="AS38" s="44">
        <f>VLOOKUP(RIGHT($A38,LEN($A38)-4),[3]Sheet1!$A$2:$JP$65479,MATCH(AS$3,[3]Sheet1!$A$2:$JP$2,0),FALSE)</f>
        <v>-9.9272091270705007E-2</v>
      </c>
      <c r="AT38" s="44">
        <f>VLOOKUP(RIGHT($A38,LEN($A38)-4),[3]Sheet1!$A$2:$JP$65479,MATCH(AT$3,[3]Sheet1!$A$2:$JP$2,0),FALSE)</f>
        <v>9.8227906271230334E-2</v>
      </c>
      <c r="AU38" s="44">
        <f>VLOOKUP(RIGHT($A38,LEN($A38)-4),[3]Sheet1!$A$2:$JP$65479,MATCH(AU$3,[3]Sheet1!$A$2:$JP$2,0),FALSE)</f>
        <v>4.5119990913830899E-2</v>
      </c>
      <c r="AV38" s="44">
        <f>VLOOKUP(RIGHT($A38,LEN($A38)-4),[3]Sheet1!$A$2:$JP$65479,MATCH(AV$3,[3]Sheet1!$A$2:$JP$2,0),FALSE)</f>
        <v>7.5653975241849913E-2</v>
      </c>
      <c r="AW38" s="44">
        <f>VLOOKUP(RIGHT($A38,LEN($A38)-4),[3]Sheet1!$A$2:$JP$65479,MATCH(AW$3,[3]Sheet1!$A$2:$JP$2,0),FALSE)</f>
        <v>4.2190024012100258E-2</v>
      </c>
      <c r="AX38" s="44">
        <f>VLOOKUP(RIGHT($A38,LEN($A38)-4),[3]Sheet1!$A$2:$JP$65479,MATCH(AX$3,[3]Sheet1!$A$2:$JP$2,0),FALSE)</f>
        <v>6.9288641933914707E-2</v>
      </c>
      <c r="AY38" s="44">
        <f>VLOOKUP(RIGHT($A38,LEN($A38)-4),[3]Sheet1!$A$2:$JP$65479,MATCH(AY$3,[3]Sheet1!$A$2:$JP$2,0),FALSE)</f>
        <v>6.4367049738376814E-2</v>
      </c>
      <c r="AZ38" s="498">
        <f>VLOOKUP(RIGHT($A38,LEN($A38)-4),[3]Sheet1!$A$2:$JP$65479,MATCH(AZ$3,[3]Sheet1!$A$2:$JP$2,0),FALSE)</f>
        <v>3.6484951277578892E-2</v>
      </c>
      <c r="BA38" s="41">
        <f>VLOOKUP(RIGHT($A38,LEN($A38)-4),[3]Sheet1!$A$2:$JP$65479,MATCH(BA$3,[3]Sheet1!$A$2:$JP$2,0),FALSE)</f>
        <v>5.062499999999992E-2</v>
      </c>
      <c r="BB38" s="41">
        <f>VLOOKUP(RIGHT($A38,LEN($A38)-4),[3]Sheet1!$A$2:$JP$65479,MATCH(BB$3,[3]Sheet1!$A$2:$JP$2,0),FALSE)</f>
        <v>5.062499999999992E-2</v>
      </c>
      <c r="BC38" s="41">
        <f>VLOOKUP(RIGHT($A38,LEN($A38)-4),[3]Sheet1!$A$2:$JP$65479,MATCH(BC$3,[3]Sheet1!$A$2:$JP$2,0),FALSE)</f>
        <v>5.062499999999992E-2</v>
      </c>
      <c r="BD38" s="41">
        <f>VLOOKUP(RIGHT($A38,LEN($A38)-4),[3]Sheet1!$A$2:$JP$65479,MATCH(BD$3,[3]Sheet1!$A$2:$JP$2,0),FALSE)</f>
        <v>5.062499999999992E-2</v>
      </c>
      <c r="BE38" s="41">
        <f>VLOOKUP(RIGHT($A38,LEN($A38)-4),[3]Sheet1!$A$2:$JP$65479,MATCH(BE$3,[3]Sheet1!$A$2:$JP$2,0),FALSE)</f>
        <v>5.062499999999992E-2</v>
      </c>
      <c r="BF38" s="41">
        <f>VLOOKUP(RIGHT($A38,LEN($A38)-4),[3]Sheet1!$A$2:$JP$65479,MATCH(BF$3,[3]Sheet1!$A$2:$JP$2,0),FALSE)</f>
        <v>5.062499999999992E-2</v>
      </c>
      <c r="BG38" s="41">
        <f>VLOOKUP(RIGHT($A38,LEN($A38)-4),[3]Sheet1!$A$2:$JP$65479,MATCH(BG$3,[3]Sheet1!$A$2:$JP$2,0),FALSE)</f>
        <v>5.062499999999992E-2</v>
      </c>
      <c r="BH38" s="41">
        <f>VLOOKUP(RIGHT($A38,LEN($A38)-4),[3]Sheet1!$A$2:$JP$65479,MATCH(BH$3,[3]Sheet1!$A$2:$JP$2,0),FALSE)</f>
        <v>5.062499999999992E-2</v>
      </c>
      <c r="BI38" s="41">
        <f>VLOOKUP(RIGHT($A38,LEN($A38)-4),[3]Sheet1!$A$2:$JP$65479,MATCH(BI$3,[3]Sheet1!$A$2:$JP$2,0),FALSE)</f>
        <v>5.062499999999992E-2</v>
      </c>
      <c r="BJ38" s="41">
        <f>VLOOKUP(RIGHT($A38,LEN($A38)-4),[3]Sheet1!$A$2:$JP$65479,MATCH(BJ$3,[3]Sheet1!$A$2:$JP$2,0),FALSE)</f>
        <v>5.062499999999992E-2</v>
      </c>
      <c r="BK38" s="41">
        <f>VLOOKUP(RIGHT($A38,LEN($A38)-4),[3]Sheet1!$A$2:$JP$65479,MATCH(BK$3,[3]Sheet1!$A$2:$JP$2,0),FALSE)</f>
        <v>5.062499999999992E-2</v>
      </c>
      <c r="BL38" s="41">
        <f>VLOOKUP(RIGHT($A38,LEN($A38)-4),[3]Sheet1!$A$2:$JP$65479,MATCH(BL$3,[3]Sheet1!$A$2:$JP$2,0),FALSE)</f>
        <v>5.062499999999992E-2</v>
      </c>
      <c r="BM38" s="41">
        <f>VLOOKUP(RIGHT($A38,LEN($A38)-4),[3]Sheet1!$A$2:$JP$65479,MATCH(BM$3,[3]Sheet1!$A$2:$JP$2,0),FALSE)</f>
        <v>5.062499999999992E-2</v>
      </c>
      <c r="BN38" s="41">
        <f>VLOOKUP(RIGHT($A38,LEN($A38)-4),[3]Sheet1!$A$2:$JP$65479,MATCH(BN$3,[3]Sheet1!$A$2:$JP$2,0),FALSE)</f>
        <v>5.062499999999992E-2</v>
      </c>
      <c r="BO38" s="41">
        <f>VLOOKUP(RIGHT($A38,LEN($A38)-4),[3]Sheet1!$A$2:$JP$65479,MATCH(BO$3,[3]Sheet1!$A$2:$JP$2,0),FALSE)</f>
        <v>5.062499999999992E-2</v>
      </c>
      <c r="BP38" s="41">
        <f>VLOOKUP(RIGHT($A38,LEN($A38)-4),[3]Sheet1!$A$2:$JP$65479,MATCH(BP$3,[3]Sheet1!$A$2:$JP$2,0),FALSE)</f>
        <v>5.062499999999992E-2</v>
      </c>
      <c r="BQ38" s="41">
        <f>VLOOKUP(RIGHT($A38,LEN($A38)-4),[3]Sheet1!$A$2:$JP$65479,MATCH(BQ$3,[3]Sheet1!$A$2:$JP$2,0),FALSE)</f>
        <v>5.062499999999992E-2</v>
      </c>
      <c r="BR38" s="511"/>
      <c r="BS38" s="552">
        <f>VLOOKUP(RIGHT($A38,LEN($A38)-4),[3]Sheet1!$A$2:$JP$65479,MATCH(BS$3,[3]Sheet1!$A$2:$JP$2,0),FALSE)</f>
        <v>0</v>
      </c>
      <c r="BT38" s="552">
        <f>VLOOKUP(RIGHT($A38,LEN($A38)-4),[3]Sheet1!$A$2:$JP$65479,MATCH(BT$3,[3]Sheet1!$A$2:$JP$2,0),FALSE)</f>
        <v>0.12934728631980197</v>
      </c>
      <c r="BU38" s="552">
        <f>VLOOKUP(RIGHT($A38,LEN($A38)-4),[3]Sheet1!$A$2:$JP$65479,MATCH(BU$3,[3]Sheet1!$A$2:$JP$2,0),FALSE)</f>
        <v>-7.051038892187389E-2</v>
      </c>
      <c r="BV38" s="552">
        <f>VLOOKUP(RIGHT($A38,LEN($A38)-4),[3]Sheet1!$A$2:$JP$65479,MATCH(BV$3,[3]Sheet1!$A$2:$JP$2,0),FALSE)</f>
        <v>8.9513621051370507E-2</v>
      </c>
      <c r="BW38" s="552">
        <f>VLOOKUP(RIGHT($A38,LEN($A38)-4),[3]Sheet1!$A$2:$JP$65479,MATCH(BW$3,[3]Sheet1!$A$2:$JP$2,0),FALSE)</f>
        <v>2.8421507948987124E-2</v>
      </c>
      <c r="BX38" s="552">
        <f>VLOOKUP(RIGHT($A38,LEN($A38)-4),[3]Sheet1!$A$2:$JP$65479,MATCH(BX$3,[3]Sheet1!$A$2:$JP$2,0),FALSE)</f>
        <v>0.14752001095781653</v>
      </c>
      <c r="BY38" s="552">
        <f>VLOOKUP(RIGHT($A38,LEN($A38)-4),[3]Sheet1!$A$2:$JP$65479,MATCH(BY$3,[3]Sheet1!$A$2:$JP$2,0),FALSE)</f>
        <v>3.9065284674339118E-2</v>
      </c>
      <c r="BZ38" s="552">
        <f>VLOOKUP(RIGHT($A38,LEN($A38)-4),[3]Sheet1!$A$2:$JP$65479,MATCH(BZ$3,[3]Sheet1!$A$2:$JP$2,0),FALSE)</f>
        <v>8.646876091720547E-2</v>
      </c>
      <c r="CA38" s="552">
        <f>VLOOKUP(RIGHT($A38,LEN($A38)-4),[3]Sheet1!$A$2:$JP$65479,MATCH(CA$3,[3]Sheet1!$A$2:$JP$2,0),FALSE)</f>
        <v>7.9055583597559709E-2</v>
      </c>
      <c r="CB38" s="552">
        <f>VLOOKUP(RIGHT($A38,LEN($A38)-4),[3]Sheet1!$A$2:$JP$65479,MATCH(CB$3,[3]Sheet1!$A$2:$JP$2,0),FALSE)</f>
        <v>0.1065106330525154</v>
      </c>
      <c r="CC38" s="42">
        <f>(1+D38)*(1+E38)-1</f>
        <v>-4.6905812916549272E-2</v>
      </c>
      <c r="CD38" s="42">
        <f>(1+F38)*(1+G38)-1</f>
        <v>-1.7149132575565051E-2</v>
      </c>
      <c r="CE38" s="42">
        <f>(1+H38)*(1+I38)-1</f>
        <v>0.21607667755160809</v>
      </c>
      <c r="CF38" s="42">
        <f>(1+J38)*(1+K38)-1</f>
        <v>0.26354418918932843</v>
      </c>
      <c r="CG38" s="42">
        <f>(1+L38)*(1+M38)-1</f>
        <v>0.23930858307169878</v>
      </c>
      <c r="CH38" s="42">
        <f>(1+N38)*(1+O38)-1</f>
        <v>0.2865970704109877</v>
      </c>
      <c r="CI38" s="42">
        <f>(1+P38)*(1+Q38)-1</f>
        <v>-0.13404613276811228</v>
      </c>
      <c r="CJ38" s="42">
        <f>(1+R38)*(1+S38)-1</f>
        <v>-0.20137729142054961</v>
      </c>
      <c r="CK38" s="42">
        <f>(1+T38)*(1+U38)-1</f>
        <v>0.1314562404980415</v>
      </c>
      <c r="CL38" s="42">
        <f>(1+V38)*(1+W38)-1</f>
        <v>0.11730510942532368</v>
      </c>
      <c r="CM38" s="45">
        <f>(1+X38)*(1+Y38)-1</f>
        <v>-6.713775692734758E-2</v>
      </c>
      <c r="CN38" s="45">
        <f>(1+Z38)*(1+AA38)-1</f>
        <v>0.22751462685117119</v>
      </c>
      <c r="CO38" s="45">
        <f>(1+AB38)*(1+AC38)-1</f>
        <v>0.17434612488703549</v>
      </c>
      <c r="CP38" s="45">
        <f>(1+AD38)*(1+AE38)-1</f>
        <v>5.6772393378836439E-2</v>
      </c>
      <c r="CQ38" s="45">
        <f>(1+AF38)*(1+AG38)-1</f>
        <v>5.557556263529273E-3</v>
      </c>
      <c r="CR38" s="45">
        <f>(1+AH38)*(1+AI38)-1</f>
        <v>0.1409015101524167</v>
      </c>
      <c r="CS38" s="45">
        <f>(1+AJ38)*(1+AK38)-1</f>
        <v>0.13014760443980333</v>
      </c>
      <c r="CT38" s="45">
        <f>(1+AL38)*(1+AM38)-1</f>
        <v>0.11546989028828292</v>
      </c>
      <c r="CU38" s="45">
        <f>(1+AN38)*(1+AO38)-1</f>
        <v>-7.680739379698176E-2</v>
      </c>
      <c r="CV38" s="45">
        <f>(1+AP38)*(1+AQ38)-1</f>
        <v>0.27798784219311368</v>
      </c>
      <c r="CW38" s="45">
        <f>(1+AR38)*(1+AS38)-1</f>
        <v>-6.4675123969214932E-2</v>
      </c>
      <c r="CX38" s="45">
        <f>(1+AT38)*(1+AU38)-1</f>
        <v>0.14777993942350376</v>
      </c>
      <c r="CY38" s="45">
        <f>(1+AV38)*(1+AW38)-1</f>
        <v>0.12103584228601472</v>
      </c>
      <c r="CZ38" s="43">
        <f>(1+AX38)*(1+AY38)-1</f>
        <v>0.13811559713395649</v>
      </c>
      <c r="DA38" s="42">
        <f>(1+AZ38)*(1+BA38)-1</f>
        <v>8.8957001936006197E-2</v>
      </c>
      <c r="DB38" s="42">
        <f>(1+BB38)*(1+BC38)-1</f>
        <v>0.10381289062499977</v>
      </c>
      <c r="DC38" s="42">
        <f>(1+BD38)*(1+BE38)-1</f>
        <v>0.10381289062499977</v>
      </c>
      <c r="DD38" s="42">
        <f>(1+BF38)*(1+BG38)-1</f>
        <v>0.10381289062499977</v>
      </c>
      <c r="DE38" s="42">
        <f>(1+BH38)*(1+BI38)-1</f>
        <v>0.10381289062499977</v>
      </c>
      <c r="DF38" s="42">
        <f>(1+BJ38)*(1+BK38)-1</f>
        <v>0.10381289062499977</v>
      </c>
      <c r="DG38" s="232">
        <f>(1+BL38)*(1+BM38)-1</f>
        <v>0.10381289062499977</v>
      </c>
      <c r="DH38" s="232">
        <f>(1+BN38)*(1+BO38)-1</f>
        <v>0.10381289062499977</v>
      </c>
      <c r="DI38" s="232">
        <f>(1+BP38)*(1+BQ38)-1</f>
        <v>0.10381289062499977</v>
      </c>
    </row>
    <row r="39" spans="1:113" outlineLevel="1">
      <c r="A39" s="1" t="s">
        <v>848</v>
      </c>
      <c r="B39" s="19" t="s">
        <v>325</v>
      </c>
      <c r="C39" s="551">
        <f>VLOOKUP(RIGHT($A39,LEN($A39)-4),[3]Sheet1!$A$2:$JP$65479,MATCH(C$3,[3]Sheet1!$A$2:$JP$2,0),FALSE)</f>
        <v>1.4918428343217549E-2</v>
      </c>
      <c r="D39" s="551">
        <f>VLOOKUP(RIGHT($A39,LEN($A39)-4),[3]Sheet1!$A$2:$JP$65479,MATCH(D$3,[3]Sheet1!$A$2:$JP$2,0),FALSE)</f>
        <v>3.9313914643012593E-2</v>
      </c>
      <c r="E39" s="551">
        <f>VLOOKUP(RIGHT($A39,LEN($A39)-4),[3]Sheet1!$A$2:$JP$65479,MATCH(E$3,[3]Sheet1!$A$2:$JP$2,0),FALSE)</f>
        <v>2.1745670367618208E-2</v>
      </c>
      <c r="F39" s="551">
        <f>VLOOKUP(RIGHT($A39,LEN($A39)-4),[3]Sheet1!$A$2:$JP$65479,MATCH(F$3,[3]Sheet1!$A$2:$JP$2,0),FALSE)</f>
        <v>6.4960447137943245E-2</v>
      </c>
      <c r="G39" s="551">
        <f>VLOOKUP(RIGHT($A39,LEN($A39)-4),[3]Sheet1!$A$2:$JP$65479,MATCH(G$3,[3]Sheet1!$A$2:$JP$2,0),FALSE)</f>
        <v>3.1203098102437155E-2</v>
      </c>
      <c r="H39" s="551">
        <f>VLOOKUP(RIGHT($A39,LEN($A39)-4),[3]Sheet1!$A$2:$JP$65479,MATCH(H$3,[3]Sheet1!$A$2:$JP$2,0),FALSE)</f>
        <v>-7.0146633443379791E-4</v>
      </c>
      <c r="I39" s="551">
        <f>VLOOKUP(RIGHT($A39,LEN($A39)-4),[3]Sheet1!$A$2:$JP$65479,MATCH(I$3,[3]Sheet1!$A$2:$JP$2,0),FALSE)</f>
        <v>2.3993393102677008E-2</v>
      </c>
      <c r="J39" s="551">
        <f>VLOOKUP(RIGHT($A39,LEN($A39)-4),[3]Sheet1!$A$2:$JP$65479,MATCH(J$3,[3]Sheet1!$A$2:$JP$2,0),FALSE)</f>
        <v>4.4531142962471515E-2</v>
      </c>
      <c r="K39" s="551">
        <f>VLOOKUP(RIGHT($A39,LEN($A39)-4),[3]Sheet1!$A$2:$JP$65479,MATCH(K$3,[3]Sheet1!$A$2:$JP$2,0),FALSE)</f>
        <v>3.1937366170763593E-2</v>
      </c>
      <c r="L39" s="551">
        <f>VLOOKUP(RIGHT($A39,LEN($A39)-4),[3]Sheet1!$A$2:$JP$65479,MATCH(L$3,[3]Sheet1!$A$2:$JP$2,0),FALSE)</f>
        <v>2.5127107539093085E-2</v>
      </c>
      <c r="M39" s="183">
        <f>VLOOKUP(RIGHT($A39,LEN($A39)-4),[3]Sheet1!$A$2:$JP$65479,MATCH(M$3,[3]Sheet1!$A$2:$JP$2,0),FALSE)</f>
        <v>8.7842565125615391E-3</v>
      </c>
      <c r="N39" s="183">
        <f>VLOOKUP(RIGHT($A39,LEN($A39)-4),[3]Sheet1!$A$2:$JP$65479,MATCH(N$3,[3]Sheet1!$A$2:$JP$2,0),FALSE)</f>
        <v>2.2584332189249601E-2</v>
      </c>
      <c r="O39" s="183">
        <f>VLOOKUP(RIGHT($A39,LEN($A39)-4),[3]Sheet1!$A$2:$JP$65479,MATCH(O$3,[3]Sheet1!$A$2:$JP$2,0),FALSE)</f>
        <v>1.6913346942976082E-2</v>
      </c>
      <c r="P39" s="183">
        <f>VLOOKUP(RIGHT($A39,LEN($A39)-4),[3]Sheet1!$A$2:$JP$65479,MATCH(P$3,[3]Sheet1!$A$2:$JP$2,0),FALSE)</f>
        <v>1.7420373036630465E-2</v>
      </c>
      <c r="Q39" s="183">
        <f>VLOOKUP(RIGHT($A39,LEN($A39)-4),[3]Sheet1!$A$2:$JP$65479,MATCH(Q$3,[3]Sheet1!$A$2:$JP$2,0),FALSE)</f>
        <v>2.6326558069215356E-2</v>
      </c>
      <c r="R39" s="183">
        <f>VLOOKUP(RIGHT($A39,LEN($A39)-4),[3]Sheet1!$A$2:$JP$65479,MATCH(R$3,[3]Sheet1!$A$2:$JP$2,0),FALSE)</f>
        <v>0.12000819981087506</v>
      </c>
      <c r="S39" s="183">
        <f>VLOOKUP(RIGHT($A39,LEN($A39)-4),[3]Sheet1!$A$2:$JP$65479,MATCH(S$3,[3]Sheet1!$A$2:$JP$2,0),FALSE)</f>
        <v>-1.0526664923191542E-2</v>
      </c>
      <c r="T39" s="183">
        <f>VLOOKUP(RIGHT($A39,LEN($A39)-4),[3]Sheet1!$A$2:$JP$65479,MATCH(T$3,[3]Sheet1!$A$2:$JP$2,0),FALSE)</f>
        <v>2.8165872381425539E-2</v>
      </c>
      <c r="U39" s="183">
        <f>VLOOKUP(RIGHT($A39,LEN($A39)-4),[3]Sheet1!$A$2:$JP$65479,MATCH(U$3,[3]Sheet1!$A$2:$JP$2,0),FALSE)</f>
        <v>4.901080211194575E-2</v>
      </c>
      <c r="V39" s="183">
        <f>VLOOKUP(RIGHT($A39,LEN($A39)-4),[3]Sheet1!$A$2:$JP$65479,MATCH(V$3,[3]Sheet1!$A$2:$JP$2,0),FALSE)</f>
        <v>1.0810312982610482E-2</v>
      </c>
      <c r="W39" s="183">
        <f>VLOOKUP(RIGHT($A39,LEN($A39)-4),[3]Sheet1!$A$2:$JP$65479,MATCH(W$3,[3]Sheet1!$A$2:$JP$2,0),FALSE)</f>
        <v>4.4179947711294743E-2</v>
      </c>
      <c r="X39" s="183">
        <f>VLOOKUP(RIGHT($A39,LEN($A39)-4),[3]Sheet1!$A$2:$JP$65479,MATCH(X$3,[3]Sheet1!$A$2:$JP$2,0),FALSE)</f>
        <v>6.6616327734368763E-2</v>
      </c>
      <c r="Y39" s="183">
        <f>VLOOKUP(RIGHT($A39,LEN($A39)-4),[3]Sheet1!$A$2:$JP$65479,MATCH(Y$3,[3]Sheet1!$A$2:$JP$2,0),FALSE)</f>
        <v>5.3892935774072948E-2</v>
      </c>
      <c r="Z39" s="183">
        <f>VLOOKUP(RIGHT($A39,LEN($A39)-4),[3]Sheet1!$A$2:$JP$65479,MATCH(Z$3,[3]Sheet1!$A$2:$JP$2,0),FALSE)</f>
        <v>2.1962181228794675E-2</v>
      </c>
      <c r="AA39" s="183">
        <f>VLOOKUP(RIGHT($A39,LEN($A39)-4),[3]Sheet1!$A$2:$JP$65479,MATCH(AA$3,[3]Sheet1!$A$2:$JP$2,0),FALSE)</f>
        <v>5.6885967101847346E-3</v>
      </c>
      <c r="AB39" s="44">
        <f>VLOOKUP(RIGHT($A39,LEN($A39)-4),[3]Sheet1!$A$2:$JP$65479,MATCH(AB$3,[3]Sheet1!$A$2:$JP$2,0),FALSE)</f>
        <v>1.4088194051556702E-2</v>
      </c>
      <c r="AC39" s="44">
        <f>VLOOKUP(RIGHT($A39,LEN($A39)-4),[3]Sheet1!$A$2:$JP$65479,MATCH(AC$3,[3]Sheet1!$A$2:$JP$2,0),FALSE)</f>
        <v>4.6119319908889622E-2</v>
      </c>
      <c r="AD39" s="44">
        <f>VLOOKUP(RIGHT($A39,LEN($A39)-4),[3]Sheet1!$A$2:$JP$65479,MATCH(AD$3,[3]Sheet1!$A$2:$JP$2,0),FALSE)</f>
        <v>4.9686738095085392E-2</v>
      </c>
      <c r="AE39" s="44">
        <f>VLOOKUP(RIGHT($A39,LEN($A39)-4),[3]Sheet1!$A$2:$JP$65479,MATCH(AE$3,[3]Sheet1!$A$2:$JP$2,0),FALSE)</f>
        <v>6.2777177143666929E-3</v>
      </c>
      <c r="AF39" s="44">
        <f>VLOOKUP(RIGHT($A39,LEN($A39)-4),[3]Sheet1!$A$2:$JP$65479,MATCH(AF$3,[3]Sheet1!$A$2:$JP$2,0),FALSE)</f>
        <v>1.94633294828781E-2</v>
      </c>
      <c r="AG39" s="44">
        <f>VLOOKUP(RIGHT($A39,LEN($A39)-4),[3]Sheet1!$A$2:$JP$65479,MATCH(AG$3,[3]Sheet1!$A$2:$JP$2,0),FALSE)</f>
        <v>4.9749360051795755E-2</v>
      </c>
      <c r="AH39" s="44">
        <f>VLOOKUP(RIGHT($A39,LEN($A39)-4),[3]Sheet1!$A$2:$JP$65479,MATCH(AH$3,[3]Sheet1!$A$2:$JP$2,0),FALSE)</f>
        <v>-1.9587204172035855E-2</v>
      </c>
      <c r="AI39" s="44">
        <f>VLOOKUP(RIGHT($A39,LEN($A39)-4),[3]Sheet1!$A$2:$JP$65479,MATCH(AI$3,[3]Sheet1!$A$2:$JP$2,0),FALSE)</f>
        <v>2.2524376973244165E-2</v>
      </c>
      <c r="AJ39" s="44">
        <f>VLOOKUP(RIGHT($A39,LEN($A39)-4),[3]Sheet1!$A$2:$JP$65479,MATCH(AJ$3,[3]Sheet1!$A$2:$JP$2,0),FALSE)</f>
        <v>1.3720963853375068E-2</v>
      </c>
      <c r="AK39" s="44">
        <f>VLOOKUP(RIGHT($A39,LEN($A39)-4),[3]Sheet1!$A$2:$JP$65479,MATCH(AK$3,[3]Sheet1!$A$2:$JP$2,0),FALSE)</f>
        <v>1.6900462405507133E-2</v>
      </c>
      <c r="AL39" s="44">
        <f>VLOOKUP(RIGHT($A39,LEN($A39)-4),[3]Sheet1!$A$2:$JP$65479,MATCH(AL$3,[3]Sheet1!$A$2:$JP$2,0),FALSE)</f>
        <v>2.7977880153603252E-2</v>
      </c>
      <c r="AM39" s="44">
        <f>VLOOKUP(RIGHT($A39,LEN($A39)-4),[3]Sheet1!$A$2:$JP$65479,MATCH(AM$3,[3]Sheet1!$A$2:$JP$2,0),FALSE)</f>
        <v>6.5899891716175274E-2</v>
      </c>
      <c r="AN39" s="44">
        <f>VLOOKUP(RIGHT($A39,LEN($A39)-4),[3]Sheet1!$A$2:$JP$65479,MATCH(AN$3,[3]Sheet1!$A$2:$JP$2,0),FALSE)</f>
        <v>6.2918508017597574E-3</v>
      </c>
      <c r="AO39" s="44">
        <f>VLOOKUP(RIGHT($A39,LEN($A39)-4),[3]Sheet1!$A$2:$JP$65479,MATCH(AO$3,[3]Sheet1!$A$2:$JP$2,0),FALSE)</f>
        <v>3.528679012902658E-2</v>
      </c>
      <c r="AP39" s="44">
        <f>VLOOKUP(RIGHT($A39,LEN($A39)-4),[3]Sheet1!$A$2:$JP$65479,MATCH(AP$3,[3]Sheet1!$A$2:$JP$2,0),FALSE)</f>
        <v>9.193089689715217E-3</v>
      </c>
      <c r="AQ39" s="44">
        <f>VLOOKUP(RIGHT($A39,LEN($A39)-4),[3]Sheet1!$A$2:$JP$65479,MATCH(AQ$3,[3]Sheet1!$A$2:$JP$2,0),FALSE)</f>
        <v>-1.7431704668777415E-2</v>
      </c>
      <c r="AR39" s="44">
        <f>VLOOKUP(RIGHT($A39,LEN($A39)-4),[3]Sheet1!$A$2:$JP$65479,MATCH(AR$3,[3]Sheet1!$A$2:$JP$2,0),FALSE)</f>
        <v>-1.1515614398047158E-2</v>
      </c>
      <c r="AS39" s="44">
        <f>VLOOKUP(RIGHT($A39,LEN($A39)-4),[3]Sheet1!$A$2:$JP$65479,MATCH(AS$3,[3]Sheet1!$A$2:$JP$2,0),FALSE)</f>
        <v>-9.4632212575510355E-2</v>
      </c>
      <c r="AT39" s="44">
        <f>VLOOKUP(RIGHT($A39,LEN($A39)-4),[3]Sheet1!$A$2:$JP$65479,MATCH(AT$3,[3]Sheet1!$A$2:$JP$2,0),FALSE)</f>
        <v>-2.6852435963321541E-3</v>
      </c>
      <c r="AU39" s="44">
        <f>VLOOKUP(RIGHT($A39,LEN($A39)-4),[3]Sheet1!$A$2:$JP$65479,MATCH(AU$3,[3]Sheet1!$A$2:$JP$2,0),FALSE)</f>
        <v>1.513116203206244E-2</v>
      </c>
      <c r="AV39" s="44">
        <f>VLOOKUP(RIGHT($A39,LEN($A39)-4),[3]Sheet1!$A$2:$JP$65479,MATCH(AV$3,[3]Sheet1!$A$2:$JP$2,0),FALSE)</f>
        <v>3.4926840945133319E-2</v>
      </c>
      <c r="AW39" s="44">
        <f>VLOOKUP(RIGHT($A39,LEN($A39)-4),[3]Sheet1!$A$2:$JP$65479,MATCH(AW$3,[3]Sheet1!$A$2:$JP$2,0),FALSE)</f>
        <v>1.7883906472513367E-3</v>
      </c>
      <c r="AX39" s="44">
        <f>VLOOKUP(RIGHT($A39,LEN($A39)-4),[3]Sheet1!$A$2:$JP$65479,MATCH(AX$3,[3]Sheet1!$A$2:$JP$2,0),FALSE)</f>
        <v>2.7481457140412502E-2</v>
      </c>
      <c r="AY39" s="44">
        <f>VLOOKUP(RIGHT($A39,LEN($A39)-4),[3]Sheet1!$A$2:$JP$65479,MATCH(AY$3,[3]Sheet1!$A$2:$JP$2,0),FALSE)</f>
        <v>3.9544563103035557E-2</v>
      </c>
      <c r="AZ39" s="498">
        <f>VLOOKUP(RIGHT($A39,LEN($A39)-4),[3]Sheet1!$A$2:$JP$65479,MATCH(AZ$3,[3]Sheet1!$A$2:$JP$2,0),FALSE)</f>
        <v>-7.5112951004080442E-3</v>
      </c>
      <c r="BA39" s="41">
        <f>VLOOKUP(RIGHT($A39,LEN($A39)-4),[3]Sheet1!$A$2:$JP$65479,MATCH(BA$3,[3]Sheet1!$A$2:$JP$2,0),FALSE)</f>
        <v>2.8988333984375059E-2</v>
      </c>
      <c r="BB39" s="41">
        <f>VLOOKUP(RIGHT($A39,LEN($A39)-4),[3]Sheet1!$A$2:$JP$65479,MATCH(BB$3,[3]Sheet1!$A$2:$JP$2,0),FALSE)</f>
        <v>3.0098104492187305E-2</v>
      </c>
      <c r="BC39" s="41">
        <f>VLOOKUP(RIGHT($A39,LEN($A39)-4),[3]Sheet1!$A$2:$JP$65479,MATCH(BC$3,[3]Sheet1!$A$2:$JP$2,0),FALSE)</f>
        <v>3.0098104492187305E-2</v>
      </c>
      <c r="BD39" s="41">
        <f>VLOOKUP(RIGHT($A39,LEN($A39)-4),[3]Sheet1!$A$2:$JP$65479,MATCH(BD$3,[3]Sheet1!$A$2:$JP$2,0),FALSE)</f>
        <v>2.8829823242187524E-2</v>
      </c>
      <c r="BE39" s="41">
        <f>VLOOKUP(RIGHT($A39,LEN($A39)-4),[3]Sheet1!$A$2:$JP$65479,MATCH(BE$3,[3]Sheet1!$A$2:$JP$2,0),FALSE)</f>
        <v>2.819600000000011E-2</v>
      </c>
      <c r="BF39" s="41">
        <f>VLOOKUP(RIGHT($A39,LEN($A39)-4),[3]Sheet1!$A$2:$JP$65479,MATCH(BF$3,[3]Sheet1!$A$2:$JP$2,0),FALSE)</f>
        <v>2.819600000000011E-2</v>
      </c>
      <c r="BG39" s="41">
        <f>VLOOKUP(RIGHT($A39,LEN($A39)-4),[3]Sheet1!$A$2:$JP$65479,MATCH(BG$3,[3]Sheet1!$A$2:$JP$2,0),FALSE)</f>
        <v>2.819600000000011E-2</v>
      </c>
      <c r="BH39" s="41">
        <f>VLOOKUP(RIGHT($A39,LEN($A39)-4),[3]Sheet1!$A$2:$JP$65479,MATCH(BH$3,[3]Sheet1!$A$2:$JP$2,0),FALSE)</f>
        <v>2.819600000000011E-2</v>
      </c>
      <c r="BI39" s="41">
        <f>VLOOKUP(RIGHT($A39,LEN($A39)-4),[3]Sheet1!$A$2:$JP$65479,MATCH(BI$3,[3]Sheet1!$A$2:$JP$2,0),FALSE)</f>
        <v>2.819600000000011E-2</v>
      </c>
      <c r="BJ39" s="41">
        <f>VLOOKUP(RIGHT($A39,LEN($A39)-4),[3]Sheet1!$A$2:$JP$65479,MATCH(BJ$3,[3]Sheet1!$A$2:$JP$2,0),FALSE)</f>
        <v>2.819600000000011E-2</v>
      </c>
      <c r="BK39" s="41">
        <f>VLOOKUP(RIGHT($A39,LEN($A39)-4),[3]Sheet1!$A$2:$JP$65479,MATCH(BK$3,[3]Sheet1!$A$2:$JP$2,0),FALSE)</f>
        <v>2.819600000000011E-2</v>
      </c>
      <c r="BL39" s="41">
        <f>VLOOKUP(RIGHT($A39,LEN($A39)-4),[3]Sheet1!$A$2:$JP$65479,MATCH(BL$3,[3]Sheet1!$A$2:$JP$2,0),FALSE)</f>
        <v>2.819600000000011E-2</v>
      </c>
      <c r="BM39" s="41">
        <f>VLOOKUP(RIGHT($A39,LEN($A39)-4),[3]Sheet1!$A$2:$JP$65479,MATCH(BM$3,[3]Sheet1!$A$2:$JP$2,0),FALSE)</f>
        <v>2.819600000000011E-2</v>
      </c>
      <c r="BN39" s="41">
        <f>VLOOKUP(RIGHT($A39,LEN($A39)-4),[3]Sheet1!$A$2:$JP$65479,MATCH(BN$3,[3]Sheet1!$A$2:$JP$2,0),FALSE)</f>
        <v>2.819600000000011E-2</v>
      </c>
      <c r="BO39" s="41">
        <f>VLOOKUP(RIGHT($A39,LEN($A39)-4),[3]Sheet1!$A$2:$JP$65479,MATCH(BO$3,[3]Sheet1!$A$2:$JP$2,0),FALSE)</f>
        <v>2.819600000000011E-2</v>
      </c>
      <c r="BP39" s="41">
        <f>VLOOKUP(RIGHT($A39,LEN($A39)-4),[3]Sheet1!$A$2:$JP$65479,MATCH(BP$3,[3]Sheet1!$A$2:$JP$2,0),FALSE)</f>
        <v>2.819600000000011E-2</v>
      </c>
      <c r="BQ39" s="41">
        <f>VLOOKUP(RIGHT($A39,LEN($A39)-4),[3]Sheet1!$A$2:$JP$65479,MATCH(BQ$3,[3]Sheet1!$A$2:$JP$2,0),FALSE)</f>
        <v>2.819600000000011E-2</v>
      </c>
      <c r="BR39" s="511"/>
      <c r="BS39" s="552">
        <f>VLOOKUP(RIGHT($A39,LEN($A39)-4),[3]Sheet1!$A$2:$JP$65479,MATCH(BS$3,[3]Sheet1!$A$2:$JP$2,0),FALSE)</f>
        <v>6.6942362367536923E-2</v>
      </c>
      <c r="BT39" s="552">
        <f>VLOOKUP(RIGHT($A39,LEN($A39)-4),[3]Sheet1!$A$2:$JP$65479,MATCH(BT$3,[3]Sheet1!$A$2:$JP$2,0),FALSE)</f>
        <v>0.10096038778632919</v>
      </c>
      <c r="BU39" s="552">
        <f>VLOOKUP(RIGHT($A39,LEN($A39)-4),[3]Sheet1!$A$2:$JP$65479,MATCH(BU$3,[3]Sheet1!$A$2:$JP$2,0),FALSE)</f>
        <v>-6.4235403833410976E-2</v>
      </c>
      <c r="BV39" s="552">
        <f>VLOOKUP(RIGHT($A39,LEN($A39)-4),[3]Sheet1!$A$2:$JP$65479,MATCH(BV$3,[3]Sheet1!$A$2:$JP$2,0),FALSE)</f>
        <v>9.8410802014563536E-2</v>
      </c>
      <c r="BW39" s="552">
        <f>VLOOKUP(RIGHT($A39,LEN($A39)-4),[3]Sheet1!$A$2:$JP$65479,MATCH(BW$3,[3]Sheet1!$A$2:$JP$2,0),FALSE)</f>
        <v>1.3133615543254207E-2</v>
      </c>
      <c r="BX39" s="552">
        <f>VLOOKUP(RIGHT($A39,LEN($A39)-4),[3]Sheet1!$A$2:$JP$65479,MATCH(BX$3,[3]Sheet1!$A$2:$JP$2,0),FALSE)</f>
        <v>5.7417216230894574E-2</v>
      </c>
      <c r="BY39" s="552">
        <f>VLOOKUP(RIGHT($A39,LEN($A39)-4),[3]Sheet1!$A$2:$JP$65479,MATCH(BY$3,[3]Sheet1!$A$2:$JP$2,0),FALSE)</f>
        <v>4.4742327195550491E-2</v>
      </c>
      <c r="BZ39" s="552">
        <f>VLOOKUP(RIGHT($A39,LEN($A39)-4),[3]Sheet1!$A$2:$JP$65479,MATCH(BZ$3,[3]Sheet1!$A$2:$JP$2,0),FALSE)</f>
        <v>-1.4929078349884217E-2</v>
      </c>
      <c r="CA39" s="552">
        <f>VLOOKUP(RIGHT($A39,LEN($A39)-4),[3]Sheet1!$A$2:$JP$65479,MATCH(CA$3,[3]Sheet1!$A$2:$JP$2,0),FALSE)</f>
        <v>5.8757744835809866E-2</v>
      </c>
      <c r="CB39" s="552">
        <f>VLOOKUP(RIGHT($A39,LEN($A39)-4),[3]Sheet1!$A$2:$JP$65479,MATCH(CB$3,[3]Sheet1!$A$2:$JP$2,0),FALSE)</f>
        <v>1.4918428343217549E-2</v>
      </c>
      <c r="CC39" s="42">
        <f>(1+D39)*(1+E39)-1</f>
        <v>6.1914492439318458E-2</v>
      </c>
      <c r="CD39" s="42">
        <f>(1+F39)*(1+G39)-1</f>
        <v>9.8190512445203826E-2</v>
      </c>
      <c r="CE39" s="42">
        <f>(1+H39)*(1+I39)-1</f>
        <v>2.3275096210732871E-2</v>
      </c>
      <c r="CF39" s="42">
        <f>(1+J39)*(1+K39)-1</f>
        <v>7.789071655203017E-2</v>
      </c>
      <c r="CG39" s="42">
        <f>(1+L39)*(1+M39)-1</f>
        <v>3.4132087009696832E-2</v>
      </c>
      <c r="CH39" s="42">
        <f>(1+N39)*(1+O39)-1</f>
        <v>3.9879655778017886E-2</v>
      </c>
      <c r="CI39" s="42">
        <f>(1+P39)*(1+Q39)-1</f>
        <v>4.4205549568182123E-2</v>
      </c>
      <c r="CJ39" s="42">
        <f>(1+R39)*(1+S39)-1</f>
        <v>0.108218248780239</v>
      </c>
      <c r="CK39" s="42">
        <f>(1+T39)*(1+U39)-1</f>
        <v>7.8557106490967588E-2</v>
      </c>
      <c r="CL39" s="42">
        <f>(1+V39)*(1+W39)-1</f>
        <v>5.5467859756219706E-2</v>
      </c>
      <c r="CM39" s="45">
        <f>(1+X39)*(1+Y39)-1</f>
        <v>0.12409941298053462</v>
      </c>
      <c r="CN39" s="45">
        <f>(1+Z39)*(1+AA39)-1</f>
        <v>2.7775711930865921E-2</v>
      </c>
      <c r="CO39" s="45">
        <f>(1+AB39)*(1+AC39)-1</f>
        <v>6.0857251888848607E-2</v>
      </c>
      <c r="CP39" s="45">
        <f>(1+AD39)*(1+AE39)-1</f>
        <v>5.6276375125360767E-2</v>
      </c>
      <c r="CQ39" s="45">
        <f>(1+AF39)*(1+AG39)-1</f>
        <v>7.0180977720924353E-2</v>
      </c>
      <c r="CR39" s="45">
        <f>(1+AH39)*(1+AI39)-1</f>
        <v>2.4959832305855301E-3</v>
      </c>
      <c r="CS39" s="45">
        <f>(1+AJ39)*(1+AK39)-1</f>
        <v>3.0853316892653471E-2</v>
      </c>
      <c r="CT39" s="45">
        <f>(1+AL39)*(1+AM39)-1</f>
        <v>9.5721511142349058E-2</v>
      </c>
      <c r="CU39" s="45">
        <f>(1+AN39)*(1+AO39)-1</f>
        <v>4.1800660149551083E-2</v>
      </c>
      <c r="CV39" s="45">
        <f>(1+AP39)*(1+AQ39)-1</f>
        <v>-8.3988662035269224E-3</v>
      </c>
      <c r="CW39" s="45">
        <f>(1+AR39)*(1+AS39)-1</f>
        <v>-0.10505807890390395</v>
      </c>
      <c r="CX39" s="45">
        <f>(1+AT39)*(1+AU39)-1</f>
        <v>1.2405287579778657E-2</v>
      </c>
      <c r="CY39" s="45">
        <f>(1+AV39)*(1+AW39)-1</f>
        <v>3.6777694428068886E-2</v>
      </c>
      <c r="CZ39" s="43">
        <f>(1+AX39)*(1+AY39)-1</f>
        <v>6.8112762459500376E-2</v>
      </c>
      <c r="DA39" s="42">
        <f>(1+AZ39)*(1+BA39)-1</f>
        <v>2.1259298952941208E-2</v>
      </c>
      <c r="DB39" s="42">
        <f>(1+BB39)*(1+BC39)-1</f>
        <v>6.110210487839729E-2</v>
      </c>
      <c r="DC39" s="42">
        <f>(1+BD39)*(1+BE39)-1</f>
        <v>5.7838708938324324E-2</v>
      </c>
      <c r="DD39" s="42">
        <f>(1+BF39)*(1+BG39)-1</f>
        <v>5.718701441600027E-2</v>
      </c>
      <c r="DE39" s="42">
        <f>(1+BH39)*(1+BI39)-1</f>
        <v>5.718701441600027E-2</v>
      </c>
      <c r="DF39" s="42">
        <f>(1+BJ39)*(1+BK39)-1</f>
        <v>5.718701441600027E-2</v>
      </c>
      <c r="DG39" s="232">
        <f>(1+BL39)*(1+BM39)-1</f>
        <v>5.718701441600027E-2</v>
      </c>
      <c r="DH39" s="232">
        <f>(1+BN39)*(1+BO39)-1</f>
        <v>5.718701441600027E-2</v>
      </c>
      <c r="DI39" s="232">
        <f>(1+BP39)*(1+BQ39)-1</f>
        <v>5.718701441600027E-2</v>
      </c>
    </row>
    <row r="40" spans="1:113" outlineLevel="1">
      <c r="A40" s="1" t="s">
        <v>849</v>
      </c>
      <c r="B40" s="19" t="s">
        <v>326</v>
      </c>
      <c r="C40" s="551">
        <f>VLOOKUP(RIGHT($A40,LEN($A40)-4),[3]Sheet1!$A$2:$JP$65479,MATCH(C$3,[3]Sheet1!$A$2:$JP$2,0),FALSE)</f>
        <v>5.4166666666666669E-2</v>
      </c>
      <c r="D40" s="551">
        <f>VLOOKUP(RIGHT($A40,LEN($A40)-4),[3]Sheet1!$A$2:$JP$65479,MATCH(D$3,[3]Sheet1!$A$2:$JP$2,0),FALSE)</f>
        <v>4.6666666666666669E-2</v>
      </c>
      <c r="E40" s="551">
        <f>VLOOKUP(RIGHT($A40,LEN($A40)-4),[3]Sheet1!$A$2:$JP$65479,MATCH(E$3,[3]Sheet1!$A$2:$JP$2,0),FALSE)</f>
        <v>4.3749999999999997E-2</v>
      </c>
      <c r="F40" s="551">
        <f>VLOOKUP(RIGHT($A40,LEN($A40)-4),[3]Sheet1!$A$2:$JP$65479,MATCH(F$3,[3]Sheet1!$A$2:$JP$2,0),FALSE)</f>
        <v>4.7500000000000001E-2</v>
      </c>
      <c r="G40" s="551">
        <f>VLOOKUP(RIGHT($A40,LEN($A40)-4),[3]Sheet1!$A$2:$JP$65479,MATCH(G$3,[3]Sheet1!$A$2:$JP$2,0),FALSE)</f>
        <v>4.7500000000000001E-2</v>
      </c>
      <c r="H40" s="551">
        <f>VLOOKUP(RIGHT($A40,LEN($A40)-4),[3]Sheet1!$A$2:$JP$65479,MATCH(H$3,[3]Sheet1!$A$2:$JP$2,0),FALSE)</f>
        <v>4.8750000000000002E-2</v>
      </c>
      <c r="I40" s="551">
        <f>VLOOKUP(RIGHT($A40,LEN($A40)-4),[3]Sheet1!$A$2:$JP$65479,MATCH(I$3,[3]Sheet1!$A$2:$JP$2,0),FALSE)</f>
        <v>5.2499999999999998E-2</v>
      </c>
      <c r="J40" s="551">
        <f>VLOOKUP(RIGHT($A40,LEN($A40)-4),[3]Sheet1!$A$2:$JP$65479,MATCH(J$3,[3]Sheet1!$A$2:$JP$2,0),FALSE)</f>
        <v>5.2499999999999998E-2</v>
      </c>
      <c r="K40" s="551">
        <f>VLOOKUP(RIGHT($A40,LEN($A40)-4),[3]Sheet1!$A$2:$JP$65479,MATCH(K$3,[3]Sheet1!$A$2:$JP$2,0),FALSE)</f>
        <v>5.4166666666666669E-2</v>
      </c>
      <c r="L40" s="551">
        <f>VLOOKUP(RIGHT($A40,LEN($A40)-4),[3]Sheet1!$A$2:$JP$65479,MATCH(L$3,[3]Sheet1!$A$2:$JP$2,0),FALSE)</f>
        <v>5.5E-2</v>
      </c>
      <c r="M40" s="183">
        <f>VLOOKUP(RIGHT($A40,LEN($A40)-4),[3]Sheet1!$A$2:$JP$65479,MATCH(M$3,[3]Sheet1!$A$2:$JP$2,0),FALSE)</f>
        <v>5.5833333333333332E-2</v>
      </c>
      <c r="N40" s="183">
        <f>VLOOKUP(RIGHT($A40,LEN($A40)-4),[3]Sheet1!$A$2:$JP$65479,MATCH(N$3,[3]Sheet1!$A$2:$JP$2,0),FALSE)</f>
        <v>6.0416666666666667E-2</v>
      </c>
      <c r="O40" s="183">
        <f>VLOOKUP(RIGHT($A40,LEN($A40)-4),[3]Sheet1!$A$2:$JP$65479,MATCH(O$3,[3]Sheet1!$A$2:$JP$2,0),FALSE)</f>
        <v>6.25E-2</v>
      </c>
      <c r="P40" s="183">
        <f>VLOOKUP(RIGHT($A40,LEN($A40)-4),[3]Sheet1!$A$2:$JP$65479,MATCH(P$3,[3]Sheet1!$A$2:$JP$2,0),FALSE)</f>
        <v>6.5416666666666665E-2</v>
      </c>
      <c r="Q40" s="183">
        <f>VLOOKUP(RIGHT($A40,LEN($A40)-4),[3]Sheet1!$A$2:$JP$65479,MATCH(Q$3,[3]Sheet1!$A$2:$JP$2,0),FALSE)</f>
        <v>7.1249999999999994E-2</v>
      </c>
      <c r="R40" s="183">
        <f>VLOOKUP(RIGHT($A40,LEN($A40)-4),[3]Sheet1!$A$2:$JP$65479,MATCH(R$3,[3]Sheet1!$A$2:$JP$2,0),FALSE)</f>
        <v>6.1666666666666668E-2</v>
      </c>
      <c r="S40" s="183">
        <f>VLOOKUP(RIGHT($A40,LEN($A40)-4),[3]Sheet1!$A$2:$JP$65479,MATCH(S$3,[3]Sheet1!$A$2:$JP$2,0),FALSE)</f>
        <v>3.2916666666666664E-2</v>
      </c>
      <c r="T40" s="183">
        <f>VLOOKUP(RIGHT($A40,LEN($A40)-4),[3]Sheet1!$A$2:$JP$65479,MATCH(T$3,[3]Sheet1!$A$2:$JP$2,0),FALSE)</f>
        <v>3.2500000000000001E-2</v>
      </c>
      <c r="U40" s="183">
        <f>VLOOKUP(RIGHT($A40,LEN($A40)-4),[3]Sheet1!$A$2:$JP$65479,MATCH(U$3,[3]Sheet1!$A$2:$JP$2,0),FALSE)</f>
        <v>4.1250000000000002E-2</v>
      </c>
      <c r="V40" s="183">
        <f>VLOOKUP(RIGHT($A40,LEN($A40)-4),[3]Sheet1!$A$2:$JP$65479,MATCH(V$3,[3]Sheet1!$A$2:$JP$2,0),FALSE)</f>
        <v>4.583333333333333E-2</v>
      </c>
      <c r="W40" s="183">
        <f>VLOOKUP(RIGHT($A40,LEN($A40)-4),[3]Sheet1!$A$2:$JP$65479,MATCH(W$3,[3]Sheet1!$A$2:$JP$2,0),FALSE)</f>
        <v>4.7500000000000001E-2</v>
      </c>
      <c r="X40" s="183">
        <f>VLOOKUP(RIGHT($A40,LEN($A40)-4),[3]Sheet1!$A$2:$JP$65479,MATCH(X$3,[3]Sheet1!$A$2:$JP$2,0),FALSE)</f>
        <v>4.6249999999999999E-2</v>
      </c>
      <c r="Y40" s="183">
        <f>VLOOKUP(RIGHT($A40,LEN($A40)-4),[3]Sheet1!$A$2:$JP$65479,MATCH(Y$3,[3]Sheet1!$A$2:$JP$2,0),FALSE)</f>
        <v>4.041666666666667E-2</v>
      </c>
      <c r="Z40" s="183">
        <f>VLOOKUP(RIGHT($A40,LEN($A40)-4),[3]Sheet1!$A$2:$JP$65479,MATCH(Z$3,[3]Sheet1!$A$2:$JP$2,0),FALSE)</f>
        <v>3.3333333333333333E-2</v>
      </c>
      <c r="AA40" s="183">
        <f>VLOOKUP(RIGHT($A40,LEN($A40)-4),[3]Sheet1!$A$2:$JP$65479,MATCH(AA$3,[3]Sheet1!$A$2:$JP$2,0),FALSE)</f>
        <v>2.9166666666666664E-2</v>
      </c>
      <c r="AB40" s="44">
        <f>VLOOKUP(RIGHT($A40,LEN($A40)-4),[3]Sheet1!$A$2:$JP$65479,MATCH(AB$3,[3]Sheet1!$A$2:$JP$2,0),FALSE)</f>
        <v>2.5416666666666664E-2</v>
      </c>
      <c r="AC40" s="44">
        <f>VLOOKUP(RIGHT($A40,LEN($A40)-4),[3]Sheet1!$A$2:$JP$65479,MATCH(AC$3,[3]Sheet1!$A$2:$JP$2,0),FALSE)</f>
        <v>2.5000000000000001E-2</v>
      </c>
      <c r="AD40" s="44">
        <f>VLOOKUP(RIGHT($A40,LEN($A40)-4),[3]Sheet1!$A$2:$JP$65479,MATCH(AD$3,[3]Sheet1!$A$2:$JP$2,0),FALSE)</f>
        <v>2.5000000000000001E-2</v>
      </c>
      <c r="AE40" s="44">
        <f>VLOOKUP(RIGHT($A40,LEN($A40)-4),[3]Sheet1!$A$2:$JP$65479,MATCH(AE$3,[3]Sheet1!$A$2:$JP$2,0),FALSE)</f>
        <v>2.2083333333333333E-2</v>
      </c>
      <c r="AF40" s="44">
        <f>VLOOKUP(RIGHT($A40,LEN($A40)-4),[3]Sheet1!$A$2:$JP$65479,MATCH(AF$3,[3]Sheet1!$A$2:$JP$2,0),FALSE)</f>
        <v>0.02</v>
      </c>
      <c r="AG40" s="44">
        <f>VLOOKUP(RIGHT($A40,LEN($A40)-4),[3]Sheet1!$A$2:$JP$65479,MATCH(AG$3,[3]Sheet1!$A$2:$JP$2,0),FALSE)</f>
        <v>1.9166666666666669E-2</v>
      </c>
      <c r="AH40" s="44">
        <f>VLOOKUP(RIGHT($A40,LEN($A40)-4),[3]Sheet1!$A$2:$JP$65479,MATCH(AH$3,[3]Sheet1!$A$2:$JP$2,0),FALSE)</f>
        <v>1.5416666666666667E-2</v>
      </c>
      <c r="AI40" s="44">
        <f>VLOOKUP(RIGHT($A40,LEN($A40)-4),[3]Sheet1!$A$2:$JP$65479,MATCH(AI$3,[3]Sheet1!$A$2:$JP$2,0),FALSE)</f>
        <v>1.4999999999999999E-2</v>
      </c>
      <c r="AJ40" s="44">
        <f>VLOOKUP(RIGHT($A40,LEN($A40)-4),[3]Sheet1!$A$2:$JP$65479,MATCH(AJ$3,[3]Sheet1!$A$2:$JP$2,0),FALSE)</f>
        <v>1.4999999999999999E-2</v>
      </c>
      <c r="AK40" s="44">
        <f>VLOOKUP(RIGHT($A40,LEN($A40)-4),[3]Sheet1!$A$2:$JP$65479,MATCH(AK$3,[3]Sheet1!$A$2:$JP$2,0),FALSE)</f>
        <v>1.4999999999999999E-2</v>
      </c>
      <c r="AL40" s="44">
        <f>VLOOKUP(RIGHT($A40,LEN($A40)-4),[3]Sheet1!$A$2:$JP$65479,MATCH(AL$3,[3]Sheet1!$A$2:$JP$2,0),FALSE)</f>
        <v>1.4999999999999999E-2</v>
      </c>
      <c r="AM40" s="44">
        <f>VLOOKUP(RIGHT($A40,LEN($A40)-4),[3]Sheet1!$A$2:$JP$65479,MATCH(AM$3,[3]Sheet1!$A$2:$JP$2,0),FALSE)</f>
        <v>1.4583333333333332E-2</v>
      </c>
      <c r="AN40" s="44">
        <f>VLOOKUP(RIGHT($A40,LEN($A40)-4),[3]Sheet1!$A$2:$JP$65479,MATCH(AN$3,[3]Sheet1!$A$2:$JP$2,0),FALSE)</f>
        <v>8.7500000000000008E-3</v>
      </c>
      <c r="AO40" s="44">
        <f>VLOOKUP(RIGHT($A40,LEN($A40)-4),[3]Sheet1!$A$2:$JP$65479,MATCH(AO$3,[3]Sheet1!$A$2:$JP$2,0),FALSE)</f>
        <v>4.1666666666666666E-3</v>
      </c>
      <c r="AP40" s="44">
        <f>VLOOKUP(RIGHT($A40,LEN($A40)-4),[3]Sheet1!$A$2:$JP$65479,MATCH(AP$3,[3]Sheet1!$A$2:$JP$2,0),FALSE)</f>
        <v>2.0000000000000005E-3</v>
      </c>
      <c r="AQ40" s="44">
        <f>VLOOKUP(RIGHT($A40,LEN($A40)-4),[3]Sheet1!$A$2:$JP$65479,MATCH(AQ$3,[3]Sheet1!$A$2:$JP$2,0),FALSE)</f>
        <v>1E-3</v>
      </c>
      <c r="AR40" s="44">
        <f>VLOOKUP(RIGHT($A40,LEN($A40)-4),[3]Sheet1!$A$2:$JP$65479,MATCH(AR$3,[3]Sheet1!$A$2:$JP$2,0),FALSE)</f>
        <v>1E-3</v>
      </c>
      <c r="AS40" s="44">
        <f>VLOOKUP(RIGHT($A40,LEN($A40)-4),[3]Sheet1!$A$2:$JP$65479,MATCH(AS$3,[3]Sheet1!$A$2:$JP$2,0),FALSE)</f>
        <v>2.6666666666666666E-3</v>
      </c>
      <c r="AT40" s="44">
        <f>VLOOKUP(RIGHT($A40,LEN($A40)-4),[3]Sheet1!$A$2:$JP$65479,MATCH(AT$3,[3]Sheet1!$A$2:$JP$2,0),FALSE)</f>
        <v>2.35E-2</v>
      </c>
      <c r="AU40" s="44">
        <f>VLOOKUP(RIGHT($A40,LEN($A40)-4),[3]Sheet1!$A$2:$JP$65479,MATCH(AU$3,[3]Sheet1!$A$2:$JP$2,0),FALSE)</f>
        <v>3.6000000000000004E-2</v>
      </c>
      <c r="AV40" s="44">
        <f>VLOOKUP(RIGHT($A40,LEN($A40)-4),[3]Sheet1!$A$2:$JP$65479,MATCH(AV$3,[3]Sheet1!$A$2:$JP$2,0),FALSE)</f>
        <v>4.1833333333333333E-2</v>
      </c>
      <c r="AW40" s="44">
        <f>VLOOKUP(RIGHT($A40,LEN($A40)-4),[3]Sheet1!$A$2:$JP$65479,MATCH(AW$3,[3]Sheet1!$A$2:$JP$2,0),FALSE)</f>
        <v>4.3500000000000004E-2</v>
      </c>
      <c r="AX40" s="44">
        <f>VLOOKUP(RIGHT($A40,LEN($A40)-4),[3]Sheet1!$A$2:$JP$65479,MATCH(AX$3,[3]Sheet1!$A$2:$JP$2,0),FALSE)</f>
        <v>4.3500000000000004E-2</v>
      </c>
      <c r="AY40" s="44">
        <f>VLOOKUP(RIGHT($A40,LEN($A40)-4),[3]Sheet1!$A$2:$JP$65479,MATCH(AY$3,[3]Sheet1!$A$2:$JP$2,0),FALSE)</f>
        <v>4.0583333333333332E-2</v>
      </c>
      <c r="AZ40" s="498">
        <f>VLOOKUP(RIGHT($A40,LEN($A40)-4),[3]Sheet1!$A$2:$JP$65479,MATCH(AZ$3,[3]Sheet1!$A$2:$JP$2,0),FALSE)</f>
        <v>3.6416666666666674E-2</v>
      </c>
      <c r="BA40" s="41">
        <f>VLOOKUP(RIGHT($A40,LEN($A40)-4),[3]Sheet1!$A$2:$JP$65479,MATCH(BA$3,[3]Sheet1!$A$2:$JP$2,0),FALSE)</f>
        <v>3.85E-2</v>
      </c>
      <c r="BB40" s="41">
        <f>VLOOKUP(RIGHT($A40,LEN($A40)-4),[3]Sheet1!$A$2:$JP$65479,MATCH(BB$3,[3]Sheet1!$A$2:$JP$2,0),FALSE)</f>
        <v>4.0999999999999995E-2</v>
      </c>
      <c r="BC40" s="41">
        <f>VLOOKUP(RIGHT($A40,LEN($A40)-4),[3]Sheet1!$A$2:$JP$65479,MATCH(BC$3,[3]Sheet1!$A$2:$JP$2,0),FALSE)</f>
        <v>3.85E-2</v>
      </c>
      <c r="BD40" s="41">
        <f>VLOOKUP(RIGHT($A40,LEN($A40)-4),[3]Sheet1!$A$2:$JP$65479,MATCH(BD$3,[3]Sheet1!$A$2:$JP$2,0),FALSE)</f>
        <v>3.6000000000000004E-2</v>
      </c>
      <c r="BE40" s="41">
        <f>VLOOKUP(RIGHT($A40,LEN($A40)-4),[3]Sheet1!$A$2:$JP$65479,MATCH(BE$3,[3]Sheet1!$A$2:$JP$2,0),FALSE)</f>
        <v>3.6000000000000004E-2</v>
      </c>
      <c r="BF40" s="41">
        <f>VLOOKUP(RIGHT($A40,LEN($A40)-4),[3]Sheet1!$A$2:$JP$65479,MATCH(BF$3,[3]Sheet1!$A$2:$JP$2,0),FALSE)</f>
        <v>3.6000000000000004E-2</v>
      </c>
      <c r="BG40" s="41">
        <f>VLOOKUP(RIGHT($A40,LEN($A40)-4),[3]Sheet1!$A$2:$JP$65479,MATCH(BG$3,[3]Sheet1!$A$2:$JP$2,0),FALSE)</f>
        <v>3.6000000000000004E-2</v>
      </c>
      <c r="BH40" s="41">
        <f>VLOOKUP(RIGHT($A40,LEN($A40)-4),[3]Sheet1!$A$2:$JP$65479,MATCH(BH$3,[3]Sheet1!$A$2:$JP$2,0),FALSE)</f>
        <v>3.6000000000000004E-2</v>
      </c>
      <c r="BI40" s="41">
        <f>VLOOKUP(RIGHT($A40,LEN($A40)-4),[3]Sheet1!$A$2:$JP$65479,MATCH(BI$3,[3]Sheet1!$A$2:$JP$2,0),FALSE)</f>
        <v>3.6000000000000004E-2</v>
      </c>
      <c r="BJ40" s="41">
        <f>VLOOKUP(RIGHT($A40,LEN($A40)-4),[3]Sheet1!$A$2:$JP$65479,MATCH(BJ$3,[3]Sheet1!$A$2:$JP$2,0),FALSE)</f>
        <v>3.6000000000000004E-2</v>
      </c>
      <c r="BK40" s="41">
        <f>VLOOKUP(RIGHT($A40,LEN($A40)-4),[3]Sheet1!$A$2:$JP$65479,MATCH(BK$3,[3]Sheet1!$A$2:$JP$2,0),FALSE)</f>
        <v>3.6000000000000004E-2</v>
      </c>
      <c r="BL40" s="41">
        <f>VLOOKUP(RIGHT($A40,LEN($A40)-4),[3]Sheet1!$A$2:$JP$65479,MATCH(BL$3,[3]Sheet1!$A$2:$JP$2,0),FALSE)</f>
        <v>3.6000000000000004E-2</v>
      </c>
      <c r="BM40" s="41">
        <f>VLOOKUP(RIGHT($A40,LEN($A40)-4),[3]Sheet1!$A$2:$JP$65479,MATCH(BM$3,[3]Sheet1!$A$2:$JP$2,0),FALSE)</f>
        <v>3.6000000000000004E-2</v>
      </c>
      <c r="BN40" s="41">
        <f>VLOOKUP(RIGHT($A40,LEN($A40)-4),[3]Sheet1!$A$2:$JP$65479,MATCH(BN$3,[3]Sheet1!$A$2:$JP$2,0),FALSE)</f>
        <v>3.6000000000000004E-2</v>
      </c>
      <c r="BO40" s="41">
        <f>VLOOKUP(RIGHT($A40,LEN($A40)-4),[3]Sheet1!$A$2:$JP$65479,MATCH(BO$3,[3]Sheet1!$A$2:$JP$2,0),FALSE)</f>
        <v>3.6000000000000004E-2</v>
      </c>
      <c r="BP40" s="41">
        <f>VLOOKUP(RIGHT($A40,LEN($A40)-4),[3]Sheet1!$A$2:$JP$65479,MATCH(BP$3,[3]Sheet1!$A$2:$JP$2,0),FALSE)</f>
        <v>3.6000000000000004E-2</v>
      </c>
      <c r="BQ40" s="41">
        <f>VLOOKUP(RIGHT($A40,LEN($A40)-4),[3]Sheet1!$A$2:$JP$65479,MATCH(BQ$3,[3]Sheet1!$A$2:$JP$2,0),FALSE)</f>
        <v>3.6000000000000004E-2</v>
      </c>
      <c r="BR40" s="511"/>
      <c r="BS40" s="552">
        <f>VLOOKUP(RIGHT($A40,LEN($A40)-4),[3]Sheet1!$A$2:$JP$65479,MATCH(BS$3,[3]Sheet1!$A$2:$JP$2,0),FALSE)</f>
        <v>7.1583333333333346E-2</v>
      </c>
      <c r="BT40" s="552">
        <f>VLOOKUP(RIGHT($A40,LEN($A40)-4),[3]Sheet1!$A$2:$JP$65479,MATCH(BT$3,[3]Sheet1!$A$2:$JP$2,0),FALSE)</f>
        <v>5.3583333333333337E-2</v>
      </c>
      <c r="BU40" s="552">
        <f>VLOOKUP(RIGHT($A40,LEN($A40)-4),[3]Sheet1!$A$2:$JP$65479,MATCH(BU$3,[3]Sheet1!$A$2:$JP$2,0),FALSE)</f>
        <v>4.675E-2</v>
      </c>
      <c r="BV40" s="552">
        <f>VLOOKUP(RIGHT($A40,LEN($A40)-4),[3]Sheet1!$A$2:$JP$65479,MATCH(BV$3,[3]Sheet1!$A$2:$JP$2,0),FALSE)</f>
        <v>7.4366666666666664E-2</v>
      </c>
      <c r="BW40" s="552">
        <f>VLOOKUP(RIGHT($A40,LEN($A40)-4),[3]Sheet1!$A$2:$JP$65479,MATCH(BW$3,[3]Sheet1!$A$2:$JP$2,0),FALSE)</f>
        <v>7.3166666666666658E-2</v>
      </c>
      <c r="BX40" s="552">
        <f>VLOOKUP(RIGHT($A40,LEN($A40)-4),[3]Sheet1!$A$2:$JP$65479,MATCH(BX$3,[3]Sheet1!$A$2:$JP$2,0),FALSE)</f>
        <v>5.8633333333333336E-2</v>
      </c>
      <c r="BY40" s="552">
        <f>VLOOKUP(RIGHT($A40,LEN($A40)-4),[3]Sheet1!$A$2:$JP$65479,MATCH(BY$3,[3]Sheet1!$A$2:$JP$2,0),FALSE)</f>
        <v>4.9766666666666674E-2</v>
      </c>
      <c r="BZ40" s="552">
        <f>VLOOKUP(RIGHT($A40,LEN($A40)-4),[3]Sheet1!$A$2:$JP$65479,MATCH(BZ$3,[3]Sheet1!$A$2:$JP$2,0),FALSE)</f>
        <v>4.7399999999999991E-2</v>
      </c>
      <c r="CA40" s="552">
        <f>VLOOKUP(RIGHT($A40,LEN($A40)-4),[3]Sheet1!$A$2:$JP$65479,MATCH(CA$3,[3]Sheet1!$A$2:$JP$2,0),FALSE)</f>
        <v>5.6250000000000001E-2</v>
      </c>
      <c r="CB40" s="552">
        <f>VLOOKUP(RIGHT($A40,LEN($A40)-4),[3]Sheet1!$A$2:$JP$65479,MATCH(CB$3,[3]Sheet1!$A$2:$JP$2,0),FALSE)</f>
        <v>5.4166666666666669E-2</v>
      </c>
      <c r="CC40" s="42">
        <f>(1+D40)*(1+E40)-1</f>
        <v>9.2458333333333309E-2</v>
      </c>
      <c r="CD40" s="42">
        <f>(1+F40)*(1+G40)-1</f>
        <v>9.7256250000000266E-2</v>
      </c>
      <c r="CE40" s="42">
        <f>(1+H40)*(1+I40)-1</f>
        <v>0.10380937499999998</v>
      </c>
      <c r="CF40" s="42">
        <f>(1+J40)*(1+K40)-1</f>
        <v>0.10951041666666672</v>
      </c>
      <c r="CG40" s="42">
        <f>(1+L40)*(1+M40)-1</f>
        <v>0.1139041666666667</v>
      </c>
      <c r="CH40" s="42">
        <f>(1+N40)*(1+O40)-1</f>
        <v>0.12669270833333313</v>
      </c>
      <c r="CI40" s="42">
        <f>(1+P40)*(1+Q40)-1</f>
        <v>0.14132760416666668</v>
      </c>
      <c r="CJ40" s="42">
        <f>(1+R40)*(1+S40)-1</f>
        <v>9.6613194444444606E-2</v>
      </c>
      <c r="CK40" s="42">
        <f>(1+T40)*(1+U40)-1</f>
        <v>7.5090625000000077E-2</v>
      </c>
      <c r="CL40" s="42">
        <f>(1+V40)*(1+W40)-1</f>
        <v>9.5510416666666931E-2</v>
      </c>
      <c r="CM40" s="45">
        <f>(1+X40)*(1+Y40)-1</f>
        <v>8.8535937500000106E-2</v>
      </c>
      <c r="CN40" s="45">
        <f>(1+Z40)*(1+AA40)-1</f>
        <v>6.3472222222222152E-2</v>
      </c>
      <c r="CO40" s="45">
        <f>(1+AB40)*(1+AC40)-1</f>
        <v>5.105208333333322E-2</v>
      </c>
      <c r="CP40" s="45">
        <f>(1+AD40)*(1+AE40)-1</f>
        <v>4.7635416666666375E-2</v>
      </c>
      <c r="CQ40" s="45">
        <f>(1+AF40)*(1+AG40)-1</f>
        <v>3.9550000000000196E-2</v>
      </c>
      <c r="CR40" s="45">
        <f>(1+AH40)*(1+AI40)-1</f>
        <v>3.0647916666666442E-2</v>
      </c>
      <c r="CS40" s="45">
        <f>(1+AJ40)*(1+AK40)-1</f>
        <v>3.0224999999999724E-2</v>
      </c>
      <c r="CT40" s="45">
        <f>(1+AL40)*(1+AM40)-1</f>
        <v>2.9802083333333229E-2</v>
      </c>
      <c r="CU40" s="45">
        <f>(1+AN40)*(1+AO40)-1</f>
        <v>1.2953125000000121E-2</v>
      </c>
      <c r="CV40" s="45">
        <f>(1+AP40)*(1+AQ40)-1</f>
        <v>3.0019999999999492E-3</v>
      </c>
      <c r="CW40" s="45">
        <f>(1+AR40)*(1+AS40)-1</f>
        <v>3.6693333333330802E-3</v>
      </c>
      <c r="CX40" s="45">
        <f>(1+AT40)*(1+AU40)-1</f>
        <v>6.0346000000000011E-2</v>
      </c>
      <c r="CY40" s="45">
        <f>(1+AV40)*(1+AW40)-1</f>
        <v>8.7153083333333381E-2</v>
      </c>
      <c r="CZ40" s="43">
        <f>(1+AX40)*(1+AY40)-1</f>
        <v>8.5848708333333468E-2</v>
      </c>
      <c r="DA40" s="42">
        <f>(1+AZ40)*(1+BA40)-1</f>
        <v>7.6318708333333429E-2</v>
      </c>
      <c r="DB40" s="42">
        <f>(1+BB40)*(1+BC40)-1</f>
        <v>8.1078499999999831E-2</v>
      </c>
      <c r="DC40" s="42">
        <f>(1+BD40)*(1+BE40)-1</f>
        <v>7.3296000000000028E-2</v>
      </c>
      <c r="DD40" s="42">
        <f>(1+BF40)*(1+BG40)-1</f>
        <v>7.3296000000000028E-2</v>
      </c>
      <c r="DE40" s="42">
        <f>(1+BH40)*(1+BI40)-1</f>
        <v>7.3296000000000028E-2</v>
      </c>
      <c r="DF40" s="42">
        <f>(1+BJ40)*(1+BK40)-1</f>
        <v>7.3296000000000028E-2</v>
      </c>
      <c r="DG40" s="232">
        <f>(1+BL40)*(1+BM40)-1</f>
        <v>7.3296000000000028E-2</v>
      </c>
      <c r="DH40" s="232">
        <f>(1+BN40)*(1+BO40)-1</f>
        <v>7.3296000000000028E-2</v>
      </c>
      <c r="DI40" s="232">
        <f>(1+BP40)*(1+BQ40)-1</f>
        <v>7.3296000000000028E-2</v>
      </c>
    </row>
    <row r="41" spans="1:113" outlineLevel="1">
      <c r="C41" s="232"/>
      <c r="D41" s="232"/>
      <c r="E41" s="232"/>
      <c r="F41" s="232"/>
      <c r="G41" s="232"/>
      <c r="H41" s="232"/>
      <c r="I41" s="232"/>
      <c r="J41" s="232"/>
      <c r="K41" s="232"/>
      <c r="L41" s="232"/>
      <c r="M41" s="42"/>
      <c r="N41" s="42"/>
      <c r="O41" s="42"/>
      <c r="P41" s="42"/>
      <c r="Q41" s="42"/>
      <c r="R41" s="42"/>
      <c r="S41" s="42"/>
      <c r="T41" s="45"/>
      <c r="U41" s="42"/>
      <c r="V41" s="42"/>
      <c r="W41" s="42"/>
      <c r="X41" s="42"/>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3"/>
      <c r="BA41" s="42"/>
      <c r="BB41" s="42"/>
      <c r="BC41" s="42"/>
      <c r="BD41" s="42"/>
      <c r="BE41" s="42"/>
      <c r="BF41" s="42"/>
      <c r="BG41" s="42"/>
      <c r="BH41" s="42"/>
      <c r="BI41" s="42"/>
      <c r="BJ41" s="42"/>
      <c r="BK41" s="42"/>
      <c r="BL41" s="232"/>
      <c r="BM41" s="232"/>
      <c r="BN41" s="232"/>
      <c r="BO41" s="232"/>
      <c r="BP41" s="232"/>
      <c r="BQ41" s="232"/>
      <c r="BR41" s="42"/>
      <c r="BS41" s="232"/>
      <c r="BT41" s="232"/>
      <c r="BU41" s="232"/>
      <c r="BV41" s="232"/>
      <c r="BW41" s="232"/>
      <c r="BX41" s="232"/>
      <c r="BY41" s="232"/>
      <c r="BZ41" s="232"/>
      <c r="CA41" s="232"/>
      <c r="CB41" s="232"/>
      <c r="CC41" s="42"/>
      <c r="CD41" s="42"/>
      <c r="CE41" s="42"/>
      <c r="CF41" s="42"/>
      <c r="CG41" s="42"/>
      <c r="CH41" s="42"/>
      <c r="CI41" s="42"/>
      <c r="CJ41" s="42"/>
      <c r="CK41" s="42"/>
      <c r="CL41" s="42"/>
      <c r="CM41" s="45"/>
      <c r="CN41" s="45"/>
      <c r="CO41" s="45"/>
      <c r="CP41" s="45"/>
      <c r="CQ41" s="45"/>
      <c r="CR41" s="45"/>
      <c r="CS41" s="45"/>
      <c r="CT41" s="45"/>
      <c r="CU41" s="45"/>
      <c r="CV41" s="45"/>
      <c r="CW41" s="45"/>
      <c r="CX41" s="45"/>
      <c r="CY41" s="45"/>
      <c r="CZ41" s="43"/>
      <c r="DA41" s="42"/>
      <c r="DB41" s="42"/>
    </row>
    <row r="42" spans="1:113" outlineLevel="1">
      <c r="B42" s="24" t="s">
        <v>389</v>
      </c>
      <c r="C42" s="232"/>
      <c r="D42" s="232"/>
      <c r="E42" s="232"/>
      <c r="F42" s="232"/>
      <c r="G42" s="232"/>
      <c r="H42" s="232"/>
      <c r="I42" s="232"/>
      <c r="J42" s="232"/>
      <c r="K42" s="232"/>
      <c r="L42" s="232"/>
      <c r="M42" s="42"/>
      <c r="N42" s="42"/>
      <c r="O42" s="42"/>
      <c r="P42" s="42"/>
      <c r="Q42" s="42"/>
      <c r="R42" s="42"/>
      <c r="S42" s="42"/>
      <c r="T42" s="45"/>
      <c r="U42" s="42"/>
      <c r="V42" s="42"/>
      <c r="W42" s="42"/>
      <c r="X42" s="42"/>
      <c r="Y42" s="45"/>
      <c r="Z42" s="45"/>
      <c r="AA42" s="45"/>
      <c r="AB42" s="45"/>
      <c r="AC42" s="45"/>
      <c r="AD42" s="45"/>
      <c r="AE42" s="45"/>
      <c r="AF42" s="45"/>
      <c r="AG42" s="45"/>
      <c r="AH42" s="45"/>
      <c r="AI42" s="45"/>
      <c r="AJ42" s="45"/>
      <c r="AK42" s="45"/>
      <c r="AL42" s="45"/>
      <c r="AM42" s="45"/>
      <c r="AN42" s="771"/>
      <c r="AO42" s="771"/>
      <c r="AP42" s="771"/>
      <c r="AQ42" s="771"/>
      <c r="AR42" s="771"/>
      <c r="AS42" s="771"/>
      <c r="AT42" s="771"/>
      <c r="AU42" s="771"/>
      <c r="AV42" s="771"/>
      <c r="AW42" s="771"/>
      <c r="AX42" s="771"/>
      <c r="AY42" s="45"/>
      <c r="AZ42" s="43"/>
      <c r="BA42" s="42"/>
      <c r="BB42" s="42"/>
      <c r="BC42" s="42"/>
      <c r="BD42" s="42"/>
      <c r="BE42" s="42"/>
      <c r="BF42" s="42"/>
      <c r="BG42" s="42"/>
      <c r="BH42" s="42"/>
      <c r="BI42" s="42"/>
      <c r="BJ42" s="42"/>
      <c r="BK42" s="42"/>
      <c r="BL42" s="232"/>
      <c r="BM42" s="232"/>
      <c r="BN42" s="232"/>
      <c r="BO42" s="232"/>
      <c r="BP42" s="232"/>
      <c r="BQ42" s="232"/>
      <c r="BR42" s="42"/>
      <c r="BS42" s="232"/>
      <c r="BT42" s="232"/>
      <c r="BU42" s="232"/>
      <c r="BV42" s="232"/>
      <c r="BW42" s="232"/>
      <c r="BX42" s="232"/>
      <c r="BY42" s="232"/>
      <c r="BZ42" s="232"/>
      <c r="CA42" s="232"/>
      <c r="CB42" s="232"/>
      <c r="CC42" s="42"/>
      <c r="CD42" s="42"/>
      <c r="CE42" s="42"/>
      <c r="CF42" s="42"/>
      <c r="CG42" s="42"/>
      <c r="CH42" s="42"/>
      <c r="CI42" s="42"/>
      <c r="CJ42" s="42"/>
      <c r="CK42" s="42"/>
      <c r="CL42" s="42"/>
      <c r="CM42" s="45"/>
      <c r="CN42" s="45"/>
      <c r="CO42" s="45"/>
      <c r="CP42" s="45"/>
      <c r="CQ42" s="45"/>
      <c r="CR42" s="45"/>
      <c r="CS42" s="45"/>
      <c r="CT42" s="45"/>
      <c r="CU42" s="45"/>
      <c r="CV42" s="45"/>
      <c r="CW42" s="45"/>
      <c r="CX42" s="45"/>
      <c r="CY42" s="45"/>
      <c r="CZ42" s="43"/>
      <c r="DA42" s="42"/>
      <c r="DB42" s="42"/>
    </row>
    <row r="43" spans="1:113" outlineLevel="1">
      <c r="A43" s="1" t="s">
        <v>383</v>
      </c>
      <c r="B43" s="19" t="s">
        <v>218</v>
      </c>
      <c r="C43" s="232" t="e">
        <f t="shared" ref="C43:L45" si="155">C52-C29</f>
        <v>#VALUE!</v>
      </c>
      <c r="D43" s="232">
        <f t="shared" si="155"/>
        <v>-7.3627388873611782E-3</v>
      </c>
      <c r="E43" s="232">
        <f t="shared" si="155"/>
        <v>-1.8862012501621894E-2</v>
      </c>
      <c r="F43" s="232">
        <f t="shared" si="155"/>
        <v>-7.0581314317932353E-3</v>
      </c>
      <c r="G43" s="232">
        <f t="shared" si="155"/>
        <v>-1.9912978283903149E-2</v>
      </c>
      <c r="H43" s="232">
        <f t="shared" si="155"/>
        <v>8.1158828612768324E-3</v>
      </c>
      <c r="I43" s="232">
        <f t="shared" si="155"/>
        <v>6.094122946016968E-2</v>
      </c>
      <c r="J43" s="232">
        <f t="shared" si="155"/>
        <v>1.5678676735122465E-3</v>
      </c>
      <c r="K43" s="232">
        <f t="shared" si="155"/>
        <v>6.0777783460956858E-3</v>
      </c>
      <c r="L43" s="232">
        <f t="shared" si="155"/>
        <v>-1.5401083154138462E-2</v>
      </c>
      <c r="M43" s="42">
        <f t="shared" ref="M43:Y45" si="156">M52-M29</f>
        <v>-5.248750814200065E-3</v>
      </c>
      <c r="N43" s="42">
        <f t="shared" si="156"/>
        <v>-2.0594627942301935E-2</v>
      </c>
      <c r="O43" s="42">
        <f t="shared" si="156"/>
        <v>2.2458701130435355E-2</v>
      </c>
      <c r="P43" s="42">
        <f t="shared" si="156"/>
        <v>6.2653957197305044E-3</v>
      </c>
      <c r="Q43" s="42">
        <f t="shared" si="156"/>
        <v>3.6321757181448033E-2</v>
      </c>
      <c r="R43" s="42">
        <f t="shared" si="156"/>
        <v>0.22309406998006143</v>
      </c>
      <c r="S43" s="42">
        <f t="shared" si="156"/>
        <v>8.2173966235623785E-2</v>
      </c>
      <c r="T43" s="45">
        <f t="shared" si="156"/>
        <v>2.8536172490666534E-2</v>
      </c>
      <c r="U43" s="42">
        <f t="shared" si="156"/>
        <v>6.8458116108565115E-3</v>
      </c>
      <c r="V43" s="42">
        <f t="shared" si="156"/>
        <v>-1.0966432912306701E-2</v>
      </c>
      <c r="W43" s="42">
        <f t="shared" si="156"/>
        <v>-1.0095726341119438E-3</v>
      </c>
      <c r="X43" s="42">
        <f t="shared" si="156"/>
        <v>7.0244994107810932E-3</v>
      </c>
      <c r="Y43" s="45">
        <f t="shared" si="156"/>
        <v>-2.9160730271742263E-3</v>
      </c>
      <c r="Z43" s="45">
        <f t="shared" ref="Z43:AA45" si="157">Z52-Z29</f>
        <v>-6.8964439956744616E-3</v>
      </c>
      <c r="AA43" s="45">
        <f t="shared" si="157"/>
        <v>7.5259954515065619E-3</v>
      </c>
      <c r="AB43" s="45">
        <f t="shared" ref="AB43:AK43" si="158">AB52-AB29</f>
        <v>1.5668143701759174E-3</v>
      </c>
      <c r="AC43" s="45">
        <f t="shared" si="158"/>
        <v>-2.6475730512132145E-4</v>
      </c>
      <c r="AD43" s="45">
        <f t="shared" si="158"/>
        <v>-7.8621745556934908E-3</v>
      </c>
      <c r="AE43" s="45">
        <f t="shared" si="158"/>
        <v>-9.8004002444662675E-4</v>
      </c>
      <c r="AF43" s="45">
        <f t="shared" si="158"/>
        <v>-9.4789848584275749E-3</v>
      </c>
      <c r="AG43" s="45">
        <f t="shared" si="158"/>
        <v>1.0883476004878823E-2</v>
      </c>
      <c r="AH43" s="45">
        <f t="shared" si="158"/>
        <v>1.1333754510853833E-3</v>
      </c>
      <c r="AI43" s="45">
        <f t="shared" si="158"/>
        <v>-2.2411385585952015E-3</v>
      </c>
      <c r="AJ43" s="45">
        <f t="shared" si="158"/>
        <v>-1.1622450381771898E-2</v>
      </c>
      <c r="AK43" s="45">
        <f t="shared" si="158"/>
        <v>-9.3137273505965457E-3</v>
      </c>
      <c r="AL43" s="45">
        <f t="shared" ref="AL43:AM45" si="159">AL52-AL29</f>
        <v>-3.3774431093618329E-3</v>
      </c>
      <c r="AM43" s="45">
        <f t="shared" si="159"/>
        <v>4.2910907364621664E-3</v>
      </c>
      <c r="AN43" s="45">
        <f t="shared" ref="AN43:AO45" si="160">AN52-AN29</f>
        <v>6.5531447760969197E-3</v>
      </c>
      <c r="AO43" s="45">
        <f t="shared" si="160"/>
        <v>1.5326683513992023E-3</v>
      </c>
      <c r="AP43" s="45">
        <f t="shared" ref="AP43:AQ43" si="161">AP52-AP29</f>
        <v>5.9830729969074792E-3</v>
      </c>
      <c r="AQ43" s="45">
        <f t="shared" si="161"/>
        <v>2.6452229114568571E-3</v>
      </c>
      <c r="AR43" s="45">
        <f t="shared" ref="AR43" si="162">AR52-AR29</f>
        <v>5.622921506064138E-3</v>
      </c>
      <c r="AS43" s="45">
        <f t="shared" ref="AS43:AT43" si="163">AS52-AS29</f>
        <v>-6.7865528884847315E-3</v>
      </c>
      <c r="AT43" s="45">
        <f t="shared" si="163"/>
        <v>-6.5884761830492522E-4</v>
      </c>
      <c r="AU43" s="45">
        <f t="shared" ref="AU43" si="164">AU52-AU29</f>
        <v>3.2082499124868047E-3</v>
      </c>
      <c r="AV43" s="45">
        <f t="shared" ref="AV43:AW43" si="165">AV52-AV29</f>
        <v>-2.4181051547157439E-2</v>
      </c>
      <c r="AW43" s="45">
        <f t="shared" si="165"/>
        <v>-8.1594838237375455E-4</v>
      </c>
      <c r="AX43" s="45">
        <f t="shared" ref="AX43:AY43" si="166">AX52-AX29</f>
        <v>3.3767870375398523E-3</v>
      </c>
      <c r="AY43" s="45">
        <f t="shared" si="166"/>
        <v>-2.3742729697850962E-6</v>
      </c>
      <c r="AZ43" s="43">
        <f t="shared" ref="AZ43" si="167">AZ52-AZ29</f>
        <v>1.6208394787540215E-3</v>
      </c>
      <c r="BA43" s="511">
        <v>0</v>
      </c>
      <c r="BB43" s="511">
        <v>-2E-3</v>
      </c>
      <c r="BC43" s="511">
        <v>-1E-3</v>
      </c>
      <c r="BD43" s="511">
        <v>0</v>
      </c>
      <c r="BE43" s="511">
        <v>0</v>
      </c>
      <c r="BF43" s="511">
        <v>0</v>
      </c>
      <c r="BG43" s="511">
        <v>0</v>
      </c>
      <c r="BH43" s="511">
        <v>0</v>
      </c>
      <c r="BI43" s="511">
        <v>0</v>
      </c>
      <c r="BJ43" s="511">
        <v>0</v>
      </c>
      <c r="BK43" s="511">
        <v>0</v>
      </c>
      <c r="BL43" s="511">
        <v>0</v>
      </c>
      <c r="BM43" s="511">
        <v>0</v>
      </c>
      <c r="BN43" s="511">
        <v>0</v>
      </c>
      <c r="BO43" s="511">
        <v>0</v>
      </c>
      <c r="BP43" s="511">
        <v>0</v>
      </c>
      <c r="BQ43" s="511">
        <v>0</v>
      </c>
      <c r="BR43" s="42"/>
      <c r="BS43" s="232" t="e">
        <f t="shared" ref="BS43:CB45" si="168">BS52-BS29</f>
        <v>#DIV/0!</v>
      </c>
      <c r="BT43" s="232">
        <f t="shared" si="168"/>
        <v>-8.5860736825835865E-3</v>
      </c>
      <c r="BU43" s="232">
        <f t="shared" si="168"/>
        <v>4.0963825336189919E-2</v>
      </c>
      <c r="BV43" s="232">
        <f t="shared" si="168"/>
        <v>4.1010108813609447E-2</v>
      </c>
      <c r="BW43" s="232">
        <f t="shared" si="168"/>
        <v>0.16079199989389514</v>
      </c>
      <c r="BX43" s="232">
        <f t="shared" si="168"/>
        <v>9.6009641826794168E-2</v>
      </c>
      <c r="BY43" s="232">
        <f t="shared" si="168"/>
        <v>4.0016716226427551E-2</v>
      </c>
      <c r="BZ43" s="232">
        <f t="shared" si="168"/>
        <v>4.6259430404919533E-2</v>
      </c>
      <c r="CA43" s="232">
        <f t="shared" si="168"/>
        <v>0.31152452969305267</v>
      </c>
      <c r="CB43" s="232">
        <f t="shared" si="168"/>
        <v>-3.632575465060639E-2</v>
      </c>
      <c r="CC43" s="42">
        <f t="shared" ref="CC43:CQ45" si="169">CC52-CC29</f>
        <v>-2.8356584649174899E-2</v>
      </c>
      <c r="CD43" s="42">
        <f t="shared" si="169"/>
        <v>-2.9288436221853953E-2</v>
      </c>
      <c r="CE43" s="42">
        <f t="shared" si="169"/>
        <v>7.6840891350626439E-2</v>
      </c>
      <c r="CF43" s="42">
        <f t="shared" si="169"/>
        <v>8.2398150981533025E-3</v>
      </c>
      <c r="CG43" s="42">
        <f t="shared" si="169"/>
        <v>-2.1977790665733909E-2</v>
      </c>
      <c r="CH43" s="42">
        <f t="shared" si="169"/>
        <v>1.4813110292255516E-3</v>
      </c>
      <c r="CI43" s="42">
        <f t="shared" si="169"/>
        <v>4.4943972296394241E-2</v>
      </c>
      <c r="CJ43" s="42">
        <f t="shared" si="169"/>
        <v>0.33374543985552263</v>
      </c>
      <c r="CK43" s="42">
        <f t="shared" si="169"/>
        <v>3.6935936924139767E-2</v>
      </c>
      <c r="CL43" s="42">
        <f t="shared" si="169"/>
        <v>-1.229333381995934E-2</v>
      </c>
      <c r="CM43" s="45">
        <f t="shared" si="169"/>
        <v>4.1749766659915366E-3</v>
      </c>
      <c r="CN43" s="45">
        <f t="shared" si="169"/>
        <v>5.7232550291796969E-4</v>
      </c>
      <c r="CO43" s="45">
        <f t="shared" si="169"/>
        <v>1.3470245109450385E-3</v>
      </c>
      <c r="CP43" s="45">
        <f t="shared" si="169"/>
        <v>-9.1556403417130117E-3</v>
      </c>
      <c r="CQ43" s="45">
        <f t="shared" si="169"/>
        <v>1.4110686289940944E-3</v>
      </c>
      <c r="CR43" s="45">
        <f t="shared" ref="CR43:CS45" si="170">CR52-CR29</f>
        <v>-1.1453956184608316E-3</v>
      </c>
      <c r="CS43" s="45">
        <f t="shared" si="170"/>
        <v>-2.1404410097293436E-2</v>
      </c>
      <c r="CT43" s="45">
        <f t="shared" ref="CT43:DC43" si="171">CT52-CT29</f>
        <v>9.3889510240141583E-4</v>
      </c>
      <c r="CU43" s="45">
        <f t="shared" si="171"/>
        <v>8.2207126410092091E-3</v>
      </c>
      <c r="CV43" s="45">
        <f t="shared" si="171"/>
        <v>8.8956547600633762E-3</v>
      </c>
      <c r="CW43" s="45">
        <f t="shared" si="171"/>
        <v>-1.2589341586743963E-3</v>
      </c>
      <c r="CX43" s="45">
        <f t="shared" si="171"/>
        <v>2.616334688215094E-3</v>
      </c>
      <c r="CY43" s="45">
        <f t="shared" si="171"/>
        <v>-2.5611668692179679E-2</v>
      </c>
      <c r="CZ43" s="43">
        <f t="shared" si="171"/>
        <v>3.4749751269900209E-3</v>
      </c>
      <c r="DA43" s="42">
        <f t="shared" si="171"/>
        <v>1.6706511176149963E-3</v>
      </c>
      <c r="DB43" s="42">
        <f t="shared" si="171"/>
        <v>-3.0856307500002345E-3</v>
      </c>
      <c r="DC43" s="42">
        <f t="shared" si="171"/>
        <v>-2.2204460492503131E-16</v>
      </c>
      <c r="DD43" s="42">
        <f t="shared" ref="DD43:DE45" si="172">DD52-DD29</f>
        <v>0</v>
      </c>
      <c r="DE43" s="42">
        <f t="shared" si="172"/>
        <v>0</v>
      </c>
      <c r="DF43" s="42">
        <f>DF52-DF29</f>
        <v>0</v>
      </c>
      <c r="DG43" s="232">
        <f t="shared" ref="DG43:DG45" si="173">DG52-DG29</f>
        <v>0</v>
      </c>
      <c r="DH43" s="232">
        <f t="shared" ref="DH43:DI45" si="174">DH52-DH29</f>
        <v>0</v>
      </c>
      <c r="DI43" s="232">
        <f t="shared" si="174"/>
        <v>0</v>
      </c>
    </row>
    <row r="44" spans="1:113" outlineLevel="1">
      <c r="A44" s="1" t="s">
        <v>308</v>
      </c>
      <c r="B44" s="19" t="s">
        <v>219</v>
      </c>
      <c r="C44" s="232" t="e">
        <f t="shared" si="155"/>
        <v>#DIV/0!</v>
      </c>
      <c r="D44" s="232">
        <f t="shared" si="155"/>
        <v>-0.11304918439097755</v>
      </c>
      <c r="E44" s="232">
        <f t="shared" si="155"/>
        <v>-4.640492670193197E-2</v>
      </c>
      <c r="F44" s="232">
        <f t="shared" si="155"/>
        <v>-6.774280598932847E-2</v>
      </c>
      <c r="G44" s="232">
        <f t="shared" si="155"/>
        <v>-4.456242546708844E-2</v>
      </c>
      <c r="H44" s="232">
        <f t="shared" si="155"/>
        <v>1.5178292200955124E-2</v>
      </c>
      <c r="I44" s="232">
        <f t="shared" si="155"/>
        <v>-0.19517091329487146</v>
      </c>
      <c r="J44" s="232">
        <f t="shared" si="155"/>
        <v>0.23874626488237793</v>
      </c>
      <c r="K44" s="232">
        <f t="shared" si="155"/>
        <v>-4.976301058017718E-3</v>
      </c>
      <c r="L44" s="232">
        <f t="shared" si="155"/>
        <v>2.9573592953010097E-2</v>
      </c>
      <c r="M44" s="42">
        <f t="shared" si="156"/>
        <v>-1.3003560777496523E-2</v>
      </c>
      <c r="N44" s="42">
        <f t="shared" si="156"/>
        <v>6.3572265128610805E-3</v>
      </c>
      <c r="O44" s="42">
        <f t="shared" si="156"/>
        <v>0.19845109273700556</v>
      </c>
      <c r="P44" s="42">
        <f t="shared" si="156"/>
        <v>7.1883091198189572E-2</v>
      </c>
      <c r="Q44" s="42">
        <f t="shared" si="156"/>
        <v>8.9807088134683521E-3</v>
      </c>
      <c r="R44" s="42">
        <f t="shared" si="156"/>
        <v>0.28881541817884004</v>
      </c>
      <c r="S44" s="42">
        <f t="shared" si="156"/>
        <v>1.0073405728443396E-2</v>
      </c>
      <c r="T44" s="45">
        <f t="shared" si="156"/>
        <v>3.7291636018332963E-2</v>
      </c>
      <c r="U44" s="42">
        <f t="shared" si="156"/>
        <v>2.1003128787910885E-4</v>
      </c>
      <c r="V44" s="42">
        <f t="shared" si="156"/>
        <v>-5.8305291307911844E-3</v>
      </c>
      <c r="W44" s="42">
        <f t="shared" si="156"/>
        <v>4.2345724606450696E-3</v>
      </c>
      <c r="X44" s="42">
        <f t="shared" si="156"/>
        <v>4.8909159122700885E-5</v>
      </c>
      <c r="Y44" s="45">
        <f t="shared" si="156"/>
        <v>-4.7200114094014811E-3</v>
      </c>
      <c r="Z44" s="45">
        <f t="shared" si="157"/>
        <v>1.7248000660650131E-3</v>
      </c>
      <c r="AA44" s="45">
        <f t="shared" si="157"/>
        <v>1.8818877608821172E-2</v>
      </c>
      <c r="AB44" s="45">
        <f t="shared" ref="AB44:AK44" si="175">AB53-AB30</f>
        <v>1.8595776434431555E-2</v>
      </c>
      <c r="AC44" s="45">
        <f t="shared" si="175"/>
        <v>-7.6553632740992139E-3</v>
      </c>
      <c r="AD44" s="45">
        <f t="shared" si="175"/>
        <v>1.5710638121327891E-2</v>
      </c>
      <c r="AE44" s="45">
        <f t="shared" si="175"/>
        <v>1.7901896488409896E-2</v>
      </c>
      <c r="AF44" s="45">
        <f t="shared" si="175"/>
        <v>2.8707364369494393E-2</v>
      </c>
      <c r="AG44" s="45">
        <f t="shared" si="175"/>
        <v>1.1674321089208295E-2</v>
      </c>
      <c r="AH44" s="45">
        <f t="shared" si="175"/>
        <v>-3.2560529422922646E-2</v>
      </c>
      <c r="AI44" s="45">
        <f t="shared" si="175"/>
        <v>1.1919690837755681E-2</v>
      </c>
      <c r="AJ44" s="45">
        <f t="shared" si="175"/>
        <v>-2.869694823152924E-2</v>
      </c>
      <c r="AK44" s="45">
        <f t="shared" si="175"/>
        <v>-2.9633158525952719E-2</v>
      </c>
      <c r="AL44" s="45">
        <f t="shared" si="159"/>
        <v>-3.8650689220495527E-2</v>
      </c>
      <c r="AM44" s="45">
        <f t="shared" si="159"/>
        <v>-3.5453696399578516E-2</v>
      </c>
      <c r="AN44" s="45">
        <f t="shared" si="160"/>
        <v>-9.5525527166842039E-3</v>
      </c>
      <c r="AO44" s="45">
        <f t="shared" si="160"/>
        <v>2.1104250139565517E-2</v>
      </c>
      <c r="AP44" s="45">
        <f t="shared" ref="AP44:AQ44" si="176">AP53-AP30</f>
        <v>1.4538056599417648E-2</v>
      </c>
      <c r="AQ44" s="45">
        <f t="shared" si="176"/>
        <v>-1.0375329554287216E-2</v>
      </c>
      <c r="AR44" s="45">
        <f t="shared" ref="AR44" si="177">AR53-AR30</f>
        <v>-2.4576797272201079E-2</v>
      </c>
      <c r="AS44" s="45">
        <f t="shared" ref="AS44:AT44" si="178">AS53-AS30</f>
        <v>4.5538175888765409E-2</v>
      </c>
      <c r="AT44" s="45">
        <f t="shared" si="178"/>
        <v>5.7365610790935939E-3</v>
      </c>
      <c r="AU44" s="45">
        <f t="shared" ref="AU44" si="179">AU53-AU30</f>
        <v>4.3495989074848751E-3</v>
      </c>
      <c r="AV44" s="45">
        <f t="shared" ref="AV44:AW44" si="180">AV53-AV30</f>
        <v>-4.5260052106271154E-2</v>
      </c>
      <c r="AW44" s="45">
        <f t="shared" si="180"/>
        <v>-1.4238218331065644E-2</v>
      </c>
      <c r="AX44" s="45">
        <f t="shared" ref="AX44:AY44" si="181">AX53-AX30</f>
        <v>-3.1308324587832947E-2</v>
      </c>
      <c r="AY44" s="45">
        <f t="shared" si="181"/>
        <v>2.5192144782837156E-2</v>
      </c>
      <c r="AZ44" s="43">
        <f t="shared" ref="AZ44" si="182">AZ53-AZ30</f>
        <v>-4.1599587523053483E-3</v>
      </c>
      <c r="BA44" s="511">
        <v>5.0000000000000001E-3</v>
      </c>
      <c r="BB44" s="511">
        <v>5.0000000000000001E-3</v>
      </c>
      <c r="BC44" s="511">
        <v>0</v>
      </c>
      <c r="BD44" s="511">
        <v>0</v>
      </c>
      <c r="BE44" s="511">
        <v>0</v>
      </c>
      <c r="BF44" s="511">
        <v>0</v>
      </c>
      <c r="BG44" s="511">
        <v>0</v>
      </c>
      <c r="BH44" s="511">
        <v>0</v>
      </c>
      <c r="BI44" s="511">
        <v>0</v>
      </c>
      <c r="BJ44" s="511">
        <v>0</v>
      </c>
      <c r="BK44" s="511">
        <v>0</v>
      </c>
      <c r="BL44" s="511">
        <v>0</v>
      </c>
      <c r="BM44" s="511">
        <v>0</v>
      </c>
      <c r="BN44" s="511">
        <v>0</v>
      </c>
      <c r="BO44" s="511">
        <v>0</v>
      </c>
      <c r="BP44" s="511">
        <v>0</v>
      </c>
      <c r="BQ44" s="511">
        <v>0</v>
      </c>
      <c r="BR44" s="42"/>
      <c r="BS44" s="232" t="e">
        <f t="shared" si="168"/>
        <v>#DIV/0!</v>
      </c>
      <c r="BT44" s="232">
        <f t="shared" si="168"/>
        <v>-4.5555955834100548E-2</v>
      </c>
      <c r="BU44" s="232">
        <f t="shared" si="168"/>
        <v>-0.11441121600015502</v>
      </c>
      <c r="BV44" s="232">
        <f t="shared" si="168"/>
        <v>-0.11000963849594836</v>
      </c>
      <c r="BW44" s="232">
        <f t="shared" si="168"/>
        <v>8.1787130773180117E-2</v>
      </c>
      <c r="BX44" s="232">
        <f t="shared" si="168"/>
        <v>0.12387308867045821</v>
      </c>
      <c r="BY44" s="232">
        <f t="shared" si="168"/>
        <v>3.4411869896473934E-2</v>
      </c>
      <c r="BZ44" s="232">
        <f t="shared" si="168"/>
        <v>0.13343426115419765</v>
      </c>
      <c r="CA44" s="232">
        <f t="shared" si="168"/>
        <v>0.34949046255744975</v>
      </c>
      <c r="CB44" s="232">
        <f t="shared" si="168"/>
        <v>-2.6981837193758906E-2</v>
      </c>
      <c r="CC44" s="42">
        <f t="shared" si="169"/>
        <v>-0.15668081573842119</v>
      </c>
      <c r="CD44" s="42">
        <f t="shared" si="169"/>
        <v>-0.11298133294011503</v>
      </c>
      <c r="CE44" s="42">
        <f t="shared" si="169"/>
        <v>-0.19226583859647828</v>
      </c>
      <c r="CF44" s="42">
        <f t="shared" si="169"/>
        <v>0.2484704025412583</v>
      </c>
      <c r="CG44" s="42">
        <f t="shared" si="169"/>
        <v>1.7565980642939349E-2</v>
      </c>
      <c r="CH44" s="42">
        <f t="shared" si="169"/>
        <v>0.22127621983174905</v>
      </c>
      <c r="CI44" s="42">
        <f t="shared" si="169"/>
        <v>8.5907302708851718E-2</v>
      </c>
      <c r="CJ44" s="42">
        <f t="shared" si="169"/>
        <v>0.29416115986869151</v>
      </c>
      <c r="CK44" s="42">
        <f t="shared" si="169"/>
        <v>3.7403378751219796E-2</v>
      </c>
      <c r="CL44" s="42">
        <f t="shared" si="169"/>
        <v>-1.6600417762574482E-3</v>
      </c>
      <c r="CM44" s="45">
        <f t="shared" si="169"/>
        <v>-4.7494017375731001E-3</v>
      </c>
      <c r="CN44" s="45">
        <f t="shared" si="169"/>
        <v>2.0685844889011706E-2</v>
      </c>
      <c r="CO44" s="45">
        <f t="shared" si="169"/>
        <v>1.1211483106001063E-2</v>
      </c>
      <c r="CP44" s="45">
        <f t="shared" si="169"/>
        <v>3.4637029760803184E-2</v>
      </c>
      <c r="CQ44" s="45">
        <f t="shared" si="169"/>
        <v>4.1926634729822831E-2</v>
      </c>
      <c r="CR44" s="45">
        <f t="shared" si="170"/>
        <v>-2.1092806657245999E-2</v>
      </c>
      <c r="CS44" s="45">
        <f t="shared" si="170"/>
        <v>-5.8388504904638761E-2</v>
      </c>
      <c r="CT44" s="45">
        <f t="shared" ref="CT44:DC44" si="183">CT53-CT30</f>
        <v>-7.4176024308772348E-2</v>
      </c>
      <c r="CU44" s="45">
        <f t="shared" si="183"/>
        <v>1.146241102663148E-2</v>
      </c>
      <c r="CV44" s="45">
        <f t="shared" si="183"/>
        <v>4.4888826280249372E-3</v>
      </c>
      <c r="CW44" s="45">
        <f t="shared" si="183"/>
        <v>2.0698297674263122E-2</v>
      </c>
      <c r="CX44" s="45">
        <f t="shared" si="183"/>
        <v>1.049922747988985E-2</v>
      </c>
      <c r="CY44" s="45">
        <f t="shared" si="183"/>
        <v>-6.1313674966836818E-2</v>
      </c>
      <c r="CZ44" s="43">
        <f t="shared" si="183"/>
        <v>-6.8780365101517305E-3</v>
      </c>
      <c r="DA44" s="42">
        <f t="shared" si="183"/>
        <v>9.393435025624175E-4</v>
      </c>
      <c r="DB44" s="42">
        <f t="shared" si="183"/>
        <v>5.1511250000000341E-3</v>
      </c>
      <c r="DC44" s="42">
        <f t="shared" si="183"/>
        <v>-2.2204460492503131E-16</v>
      </c>
      <c r="DD44" s="42">
        <f t="shared" si="172"/>
        <v>2.2204460492503131E-16</v>
      </c>
      <c r="DE44" s="42">
        <f t="shared" si="172"/>
        <v>0</v>
      </c>
      <c r="DF44" s="42">
        <f>DF53-DF30</f>
        <v>-2.2204460492503131E-16</v>
      </c>
      <c r="DG44" s="232">
        <f t="shared" si="173"/>
        <v>0</v>
      </c>
      <c r="DH44" s="232">
        <f t="shared" si="174"/>
        <v>0</v>
      </c>
      <c r="DI44" s="232">
        <f t="shared" si="174"/>
        <v>0</v>
      </c>
    </row>
    <row r="45" spans="1:113" outlineLevel="1">
      <c r="A45" s="1" t="s">
        <v>309</v>
      </c>
      <c r="B45" s="19" t="s">
        <v>220</v>
      </c>
      <c r="C45" s="232" t="e">
        <f t="shared" si="155"/>
        <v>#VALUE!</v>
      </c>
      <c r="D45" s="232">
        <f t="shared" si="155"/>
        <v>0.4537384052711726</v>
      </c>
      <c r="E45" s="232">
        <f t="shared" si="155"/>
        <v>-2.0380261966126412E-2</v>
      </c>
      <c r="F45" s="232">
        <f t="shared" si="155"/>
        <v>1.9270436616450892E-2</v>
      </c>
      <c r="G45" s="232">
        <f t="shared" si="155"/>
        <v>-6.9596835409011071E-2</v>
      </c>
      <c r="H45" s="232">
        <f t="shared" si="155"/>
        <v>-4.5139089754731465E-2</v>
      </c>
      <c r="I45" s="232">
        <f t="shared" si="155"/>
        <v>-5.2883459400989707E-3</v>
      </c>
      <c r="J45" s="232">
        <f t="shared" si="155"/>
        <v>4.3717351196352006E-2</v>
      </c>
      <c r="K45" s="232">
        <f t="shared" si="155"/>
        <v>6.2705568098750941E-3</v>
      </c>
      <c r="L45" s="232">
        <f t="shared" si="155"/>
        <v>-2.8191254314669179E-2</v>
      </c>
      <c r="M45" s="42">
        <f t="shared" si="156"/>
        <v>3.2639909203929118E-2</v>
      </c>
      <c r="N45" s="42">
        <f t="shared" si="156"/>
        <v>-4.6032458252545094E-3</v>
      </c>
      <c r="O45" s="42">
        <f t="shared" si="156"/>
        <v>6.716630229621115E-3</v>
      </c>
      <c r="P45" s="42">
        <f t="shared" si="156"/>
        <v>-1.0305495355107386E-3</v>
      </c>
      <c r="Q45" s="42">
        <f t="shared" si="156"/>
        <v>-2.1764230812698737E-2</v>
      </c>
      <c r="R45" s="42">
        <f t="shared" si="156"/>
        <v>-6.5025657313402332E-3</v>
      </c>
      <c r="S45" s="42">
        <f t="shared" si="156"/>
        <v>2.5691904064505167E-2</v>
      </c>
      <c r="T45" s="45">
        <f t="shared" si="156"/>
        <v>4.4213727049123408E-2</v>
      </c>
      <c r="U45" s="42">
        <f t="shared" si="156"/>
        <v>-4.5058993437556705E-3</v>
      </c>
      <c r="V45" s="42">
        <f t="shared" si="156"/>
        <v>-1.3269688123294099E-3</v>
      </c>
      <c r="W45" s="42">
        <f t="shared" si="156"/>
        <v>1.4140477349929625E-2</v>
      </c>
      <c r="X45" s="42">
        <f t="shared" si="156"/>
        <v>6.877668874254339E-3</v>
      </c>
      <c r="Y45" s="45">
        <f t="shared" si="156"/>
        <v>8.9996866893184979E-3</v>
      </c>
      <c r="Z45" s="45">
        <f t="shared" si="157"/>
        <v>1.9143572063118452E-2</v>
      </c>
      <c r="AA45" s="45">
        <f t="shared" si="157"/>
        <v>2.0907651391744997E-2</v>
      </c>
      <c r="AB45" s="45">
        <f t="shared" ref="AB45:AK45" si="184">AB54-AB31</f>
        <v>2.0346744955554774E-2</v>
      </c>
      <c r="AC45" s="45">
        <f t="shared" si="184"/>
        <v>1.5069048188161238E-2</v>
      </c>
      <c r="AD45" s="45">
        <f t="shared" si="184"/>
        <v>1.863830251356613E-2</v>
      </c>
      <c r="AE45" s="45">
        <f t="shared" si="184"/>
        <v>-8.3127281512583862E-3</v>
      </c>
      <c r="AF45" s="45">
        <f t="shared" si="184"/>
        <v>2.0956862768686801E-2</v>
      </c>
      <c r="AG45" s="45">
        <f t="shared" si="184"/>
        <v>-2.6849255399788996E-3</v>
      </c>
      <c r="AH45" s="45">
        <f t="shared" si="184"/>
        <v>2.7821128477443224E-3</v>
      </c>
      <c r="AI45" s="45">
        <f t="shared" si="184"/>
        <v>-7.9075483608004316E-3</v>
      </c>
      <c r="AJ45" s="45">
        <f t="shared" si="184"/>
        <v>6.5197696371811498E-3</v>
      </c>
      <c r="AK45" s="45">
        <f t="shared" si="184"/>
        <v>-6.6251945785813504E-3</v>
      </c>
      <c r="AL45" s="45">
        <f t="shared" si="159"/>
        <v>-1.5208008408392981E-2</v>
      </c>
      <c r="AM45" s="45">
        <f t="shared" si="159"/>
        <v>-1.3630682333772959E-2</v>
      </c>
      <c r="AN45" s="45">
        <f t="shared" si="160"/>
        <v>-9.6393311796115766E-3</v>
      </c>
      <c r="AO45" s="45">
        <f t="shared" si="160"/>
        <v>-5.8296286857125623E-2</v>
      </c>
      <c r="AP45" s="45">
        <f t="shared" ref="AP45:AQ45" si="185">AP54-AP31</f>
        <v>1.6175969241699617E-3</v>
      </c>
      <c r="AQ45" s="45">
        <f t="shared" si="185"/>
        <v>-9.992917436948523E-3</v>
      </c>
      <c r="AR45" s="45">
        <f t="shared" ref="AR45" si="186">AR54-AR31</f>
        <v>3.6999410516781461E-3</v>
      </c>
      <c r="AS45" s="45">
        <f t="shared" ref="AS45:AT45" si="187">AS54-AS31</f>
        <v>-3.4184121956616353E-3</v>
      </c>
      <c r="AT45" s="45">
        <f t="shared" si="187"/>
        <v>2.5418675192155127E-2</v>
      </c>
      <c r="AU45" s="45">
        <f t="shared" ref="AU45" si="188">AU54-AU31</f>
        <v>2.5958084845711937E-3</v>
      </c>
      <c r="AV45" s="45">
        <f t="shared" ref="AV45:AW45" si="189">AV54-AV31</f>
        <v>1.0924248067002207E-2</v>
      </c>
      <c r="AW45" s="45">
        <f t="shared" si="189"/>
        <v>-5.4832378570530693E-2</v>
      </c>
      <c r="AX45" s="45">
        <f t="shared" ref="AX45:AY45" si="190">AX54-AX31</f>
        <v>-5.6545631580271483E-3</v>
      </c>
      <c r="AY45" s="45">
        <f t="shared" si="190"/>
        <v>-4.5784262151120636E-2</v>
      </c>
      <c r="AZ45" s="43">
        <f t="shared" ref="AZ45" si="191">AZ54-AZ31</f>
        <v>-2.1335476827299971E-4</v>
      </c>
      <c r="BA45" s="511">
        <v>0</v>
      </c>
      <c r="BB45" s="511">
        <v>0</v>
      </c>
      <c r="BC45" s="511">
        <v>0</v>
      </c>
      <c r="BD45" s="511">
        <v>0</v>
      </c>
      <c r="BE45" s="511">
        <v>0</v>
      </c>
      <c r="BF45" s="511">
        <v>0</v>
      </c>
      <c r="BG45" s="511">
        <v>0</v>
      </c>
      <c r="BH45" s="511">
        <v>0</v>
      </c>
      <c r="BI45" s="511">
        <v>0</v>
      </c>
      <c r="BJ45" s="511">
        <v>0</v>
      </c>
      <c r="BK45" s="511">
        <v>0</v>
      </c>
      <c r="BL45" s="511">
        <v>0</v>
      </c>
      <c r="BM45" s="511">
        <v>0</v>
      </c>
      <c r="BN45" s="511">
        <v>0</v>
      </c>
      <c r="BO45" s="511">
        <v>0</v>
      </c>
      <c r="BP45" s="511">
        <v>0</v>
      </c>
      <c r="BQ45" s="511">
        <v>0</v>
      </c>
      <c r="BR45" s="42"/>
      <c r="BS45" s="232" t="e">
        <f t="shared" si="168"/>
        <v>#DIV/0!</v>
      </c>
      <c r="BT45" s="232">
        <f t="shared" si="168"/>
        <v>3.8535939499737548E-3</v>
      </c>
      <c r="BU45" s="232">
        <f t="shared" si="168"/>
        <v>-2.5927355171252664E-2</v>
      </c>
      <c r="BV45" s="232">
        <f t="shared" si="168"/>
        <v>0.19166969346701634</v>
      </c>
      <c r="BW45" s="232">
        <f t="shared" si="168"/>
        <v>-0.30413525645000328</v>
      </c>
      <c r="BX45" s="232">
        <f t="shared" si="168"/>
        <v>1.3437333376512317E-2</v>
      </c>
      <c r="BY45" s="232">
        <f t="shared" si="168"/>
        <v>0.16968743380620643</v>
      </c>
      <c r="BZ45" s="232">
        <f t="shared" si="168"/>
        <v>0.13019697948219644</v>
      </c>
      <c r="CA45" s="232">
        <f t="shared" si="168"/>
        <v>-0.38423866657732364</v>
      </c>
      <c r="CB45" s="232">
        <f t="shared" si="168"/>
        <v>-1.045072913547429E-2</v>
      </c>
      <c r="CC45" s="42">
        <f t="shared" si="169"/>
        <v>0.44790874679861914</v>
      </c>
      <c r="CD45" s="42">
        <f t="shared" si="169"/>
        <v>-5.3002755353632969E-2</v>
      </c>
      <c r="CE45" s="42">
        <f t="shared" si="169"/>
        <v>-5.2852037529567575E-2</v>
      </c>
      <c r="CF45" s="42">
        <f t="shared" si="169"/>
        <v>5.3095306806856701E-2</v>
      </c>
      <c r="CG45" s="42">
        <f t="shared" si="169"/>
        <v>3.4681580762230269E-3</v>
      </c>
      <c r="CH45" s="42">
        <f t="shared" si="169"/>
        <v>2.0383782326229838E-3</v>
      </c>
      <c r="CI45" s="42">
        <f t="shared" si="169"/>
        <v>-2.357387300130398E-2</v>
      </c>
      <c r="CJ45" s="42">
        <f t="shared" si="169"/>
        <v>1.7982127308920126E-2</v>
      </c>
      <c r="CK45" s="42">
        <f t="shared" si="169"/>
        <v>3.9680567641557918E-2</v>
      </c>
      <c r="CL45" s="42">
        <f t="shared" si="169"/>
        <v>1.2884005665964704E-2</v>
      </c>
      <c r="CM45" s="45">
        <f t="shared" si="169"/>
        <v>1.5837979041697703E-2</v>
      </c>
      <c r="CN45" s="45">
        <f t="shared" si="169"/>
        <v>4.0500785188673838E-2</v>
      </c>
      <c r="CO45" s="45">
        <f t="shared" si="169"/>
        <v>3.5852267864318943E-2</v>
      </c>
      <c r="CP45" s="45">
        <f t="shared" si="169"/>
        <v>1.0158311755511296E-2</v>
      </c>
      <c r="CQ45" s="45">
        <f t="shared" si="169"/>
        <v>1.8142521046909721E-2</v>
      </c>
      <c r="CR45" s="45">
        <f t="shared" si="170"/>
        <v>-5.1196605077550306E-3</v>
      </c>
      <c r="CS45" s="45">
        <f t="shared" si="170"/>
        <v>-1.2935762685151175E-4</v>
      </c>
      <c r="CT45" s="45">
        <f t="shared" ref="CT45:DC45" si="192">CT54-CT31</f>
        <v>-2.8127045368581571E-2</v>
      </c>
      <c r="CU45" s="45">
        <f t="shared" si="192"/>
        <v>-6.4769373480601411E-2</v>
      </c>
      <c r="CV45" s="45">
        <f t="shared" si="192"/>
        <v>-7.9179866771210694E-3</v>
      </c>
      <c r="CW45" s="45">
        <f t="shared" si="192"/>
        <v>3.3499952898874419E-4</v>
      </c>
      <c r="CX45" s="45">
        <f t="shared" si="192"/>
        <v>2.8188346852220825E-2</v>
      </c>
      <c r="CY45" s="45">
        <f t="shared" si="192"/>
        <v>-4.5141717460672748E-2</v>
      </c>
      <c r="CZ45" s="43">
        <f t="shared" si="192"/>
        <v>-5.1871265152716006E-2</v>
      </c>
      <c r="DA45" s="42">
        <f t="shared" si="192"/>
        <v>-2.176431991152139E-4</v>
      </c>
      <c r="DB45" s="42">
        <f t="shared" si="192"/>
        <v>0</v>
      </c>
      <c r="DC45" s="42">
        <f t="shared" si="192"/>
        <v>0</v>
      </c>
      <c r="DD45" s="42">
        <f t="shared" si="172"/>
        <v>2.2204460492503131E-16</v>
      </c>
      <c r="DE45" s="42">
        <f t="shared" si="172"/>
        <v>2.2204460492503131E-16</v>
      </c>
      <c r="DF45" s="42">
        <f>DF54-DF31</f>
        <v>0</v>
      </c>
      <c r="DG45" s="232">
        <f t="shared" si="173"/>
        <v>0</v>
      </c>
      <c r="DH45" s="232">
        <f t="shared" si="174"/>
        <v>0</v>
      </c>
      <c r="DI45" s="232">
        <f t="shared" si="174"/>
        <v>0</v>
      </c>
    </row>
    <row r="46" spans="1:113" outlineLevel="1">
      <c r="A46" s="1" t="s">
        <v>310</v>
      </c>
      <c r="B46" s="19" t="s">
        <v>221</v>
      </c>
      <c r="C46" s="232" t="e">
        <f t="shared" ref="C46:L47" si="193">C56-C32</f>
        <v>#VALUE!</v>
      </c>
      <c r="D46" s="232">
        <f t="shared" si="193"/>
        <v>6.5626787776331019E-2</v>
      </c>
      <c r="E46" s="232">
        <f t="shared" si="193"/>
        <v>3.8404672095246895E-2</v>
      </c>
      <c r="F46" s="232">
        <f t="shared" si="193"/>
        <v>2.8715975562489948E-3</v>
      </c>
      <c r="G46" s="232">
        <f t="shared" si="193"/>
        <v>6.7695547519363908E-2</v>
      </c>
      <c r="H46" s="232">
        <f t="shared" si="193"/>
        <v>6.074530084972031E-2</v>
      </c>
      <c r="I46" s="232">
        <f t="shared" si="193"/>
        <v>4.3624794438163361E-2</v>
      </c>
      <c r="J46" s="232">
        <f t="shared" si="193"/>
        <v>2.7753566820059472E-2</v>
      </c>
      <c r="K46" s="232">
        <f t="shared" si="193"/>
        <v>2.5972478529067589E-2</v>
      </c>
      <c r="L46" s="232">
        <f t="shared" si="193"/>
        <v>2.4635280588740871E-2</v>
      </c>
      <c r="M46" s="42">
        <f t="shared" ref="M46:Y47" si="194">M56-M32</f>
        <v>1.7631778616344018E-2</v>
      </c>
      <c r="N46" s="42">
        <f t="shared" si="194"/>
        <v>6.8472206641414513E-3</v>
      </c>
      <c r="O46" s="42">
        <f t="shared" si="194"/>
        <v>2.5205405696297589E-2</v>
      </c>
      <c r="P46" s="42">
        <f t="shared" si="194"/>
        <v>3.7873504560237858E-2</v>
      </c>
      <c r="Q46" s="42">
        <f t="shared" si="194"/>
        <v>1.5515566070821274E-2</v>
      </c>
      <c r="R46" s="42">
        <f t="shared" si="194"/>
        <v>2.0281202445204816E-2</v>
      </c>
      <c r="S46" s="42">
        <f t="shared" si="194"/>
        <v>-2.4358340352170771E-3</v>
      </c>
      <c r="T46" s="45">
        <f t="shared" si="194"/>
        <v>-3.0812939813006257E-2</v>
      </c>
      <c r="U46" s="42">
        <f t="shared" si="194"/>
        <v>-7.882937687168079E-3</v>
      </c>
      <c r="V46" s="42">
        <f t="shared" si="194"/>
        <v>-1.2028362928934722E-2</v>
      </c>
      <c r="W46" s="42">
        <f t="shared" si="194"/>
        <v>-1.1289669574072403E-2</v>
      </c>
      <c r="X46" s="42">
        <f t="shared" si="194"/>
        <v>-3.8766273465514756E-3</v>
      </c>
      <c r="Y46" s="45">
        <f t="shared" si="194"/>
        <v>-1.545975066040417E-2</v>
      </c>
      <c r="Z46" s="45">
        <f t="shared" ref="Z46:AB47" si="195">Z56-Z32</f>
        <v>1.3926137937865679E-2</v>
      </c>
      <c r="AA46" s="45">
        <f t="shared" si="195"/>
        <v>1.1264286814342661E-2</v>
      </c>
      <c r="AB46" s="45">
        <f t="shared" si="195"/>
        <v>-1.018425119798283E-2</v>
      </c>
      <c r="AC46" s="45">
        <f t="shared" ref="AC46:AK46" si="196">AC56-AC32</f>
        <v>-1.0938577506500291E-2</v>
      </c>
      <c r="AD46" s="45">
        <f t="shared" si="196"/>
        <v>-5.39012595345989E-3</v>
      </c>
      <c r="AE46" s="45">
        <f t="shared" si="196"/>
        <v>3.7541245393197809E-3</v>
      </c>
      <c r="AF46" s="45">
        <f t="shared" si="196"/>
        <v>4.4186613026331312E-3</v>
      </c>
      <c r="AG46" s="45">
        <f t="shared" si="196"/>
        <v>3.3627412838566073E-4</v>
      </c>
      <c r="AH46" s="45">
        <f t="shared" si="196"/>
        <v>8.8723375004082783E-3</v>
      </c>
      <c r="AI46" s="45">
        <f t="shared" si="196"/>
        <v>-1.3790955167080732E-2</v>
      </c>
      <c r="AJ46" s="45">
        <f t="shared" si="196"/>
        <v>1.4531437488092269E-3</v>
      </c>
      <c r="AK46" s="45">
        <f t="shared" si="196"/>
        <v>-5.2618430960518214E-3</v>
      </c>
      <c r="AL46" s="45">
        <f t="shared" ref="AL46:AN47" si="197">AL56-AL32</f>
        <v>-2.7484905417152206E-3</v>
      </c>
      <c r="AM46" s="45">
        <f t="shared" si="197"/>
        <v>3.9505106304438264E-4</v>
      </c>
      <c r="AN46" s="45">
        <f t="shared" si="197"/>
        <v>-5.974811646801248E-3</v>
      </c>
      <c r="AO46" s="45">
        <f t="shared" ref="AO46:AQ47" si="198">AO56-AO32</f>
        <v>-1.0830611068399776E-3</v>
      </c>
      <c r="AP46" s="45">
        <f t="shared" si="198"/>
        <v>1.2603001473902031E-2</v>
      </c>
      <c r="AQ46" s="45">
        <f t="shared" si="198"/>
        <v>-1.0097549104303827E-2</v>
      </c>
      <c r="AR46" s="45">
        <f t="shared" ref="AR46" si="199">AR56-AR32</f>
        <v>-9.7283336891824668E-3</v>
      </c>
      <c r="AS46" s="45">
        <f t="shared" ref="AS46:AT46" si="200">AS56-AS32</f>
        <v>5.3085659484219949E-3</v>
      </c>
      <c r="AT46" s="45">
        <f t="shared" si="200"/>
        <v>3.6621568405870164E-4</v>
      </c>
      <c r="AU46" s="45">
        <f t="shared" ref="AU46" si="201">AU56-AU32</f>
        <v>-3.7075865081785953E-3</v>
      </c>
      <c r="AV46" s="45">
        <f t="shared" ref="AV46:AW46" si="202">AV56-AV32</f>
        <v>-2.2285589237185044E-2</v>
      </c>
      <c r="AW46" s="45">
        <f t="shared" si="202"/>
        <v>-2.1859150338310318E-3</v>
      </c>
      <c r="AX46" s="45">
        <f t="shared" ref="AX46:AY46" si="203">AX56-AX32</f>
        <v>8.8740545063363818E-3</v>
      </c>
      <c r="AY46" s="45">
        <f t="shared" si="203"/>
        <v>8.5383182620086817E-3</v>
      </c>
      <c r="AZ46" s="43">
        <f t="shared" ref="AZ46" si="204">AZ56-AZ32</f>
        <v>1.013717487150112E-2</v>
      </c>
      <c r="BA46" s="511">
        <v>0.01</v>
      </c>
      <c r="BB46" s="511">
        <v>5.0000000000000001E-3</v>
      </c>
      <c r="BC46" s="511">
        <v>5.0000000000000001E-3</v>
      </c>
      <c r="BD46" s="511">
        <v>0</v>
      </c>
      <c r="BE46" s="511">
        <v>0</v>
      </c>
      <c r="BF46" s="511">
        <v>0</v>
      </c>
      <c r="BG46" s="511">
        <v>0</v>
      </c>
      <c r="BH46" s="511">
        <v>0</v>
      </c>
      <c r="BI46" s="511">
        <v>0</v>
      </c>
      <c r="BJ46" s="511">
        <v>0</v>
      </c>
      <c r="BK46" s="511">
        <v>0</v>
      </c>
      <c r="BL46" s="511">
        <v>0</v>
      </c>
      <c r="BM46" s="511">
        <v>0</v>
      </c>
      <c r="BN46" s="511">
        <v>0</v>
      </c>
      <c r="BO46" s="511">
        <v>0</v>
      </c>
      <c r="BP46" s="511">
        <v>0</v>
      </c>
      <c r="BQ46" s="511">
        <v>0</v>
      </c>
      <c r="BR46" s="42"/>
      <c r="BS46" s="232" t="e">
        <f>BS56-BS32</f>
        <v>#VALUE!</v>
      </c>
      <c r="BT46" s="232" t="e">
        <f>BT56-BT32</f>
        <v>#VALUE!</v>
      </c>
      <c r="BU46" s="232" t="e">
        <f t="shared" ref="BU46:CB47" si="205">BU56-BU32</f>
        <v>#VALUE!</v>
      </c>
      <c r="BV46" s="232" t="e">
        <f t="shared" si="205"/>
        <v>#VALUE!</v>
      </c>
      <c r="BW46" s="232">
        <f t="shared" si="205"/>
        <v>0.28043167867505159</v>
      </c>
      <c r="BX46" s="232">
        <f t="shared" si="205"/>
        <v>0.18691455456117456</v>
      </c>
      <c r="BY46" s="232">
        <f t="shared" si="205"/>
        <v>0.1348108598064619</v>
      </c>
      <c r="BZ46" s="232">
        <f t="shared" si="205"/>
        <v>0.13019457537372126</v>
      </c>
      <c r="CA46" s="232">
        <f t="shared" si="205"/>
        <v>2.298371164500157E-3</v>
      </c>
      <c r="CB46" s="232">
        <f t="shared" si="205"/>
        <v>6.007356053838997E-2</v>
      </c>
      <c r="CC46" s="42">
        <f t="shared" ref="CC46:CR47" si="206">CC56-CC32</f>
        <v>0.11088572586125056</v>
      </c>
      <c r="CD46" s="42">
        <f t="shared" si="206"/>
        <v>7.427185296100669E-2</v>
      </c>
      <c r="CE46" s="42">
        <f t="shared" si="206"/>
        <v>0.11561168744420147</v>
      </c>
      <c r="CF46" s="42">
        <f t="shared" si="206"/>
        <v>5.8586619818990826E-2</v>
      </c>
      <c r="CG46" s="42">
        <f t="shared" si="206"/>
        <v>4.563449577114076E-2</v>
      </c>
      <c r="CH46" s="42">
        <f t="shared" si="206"/>
        <v>3.438410940224812E-2</v>
      </c>
      <c r="CI46" s="42">
        <f t="shared" si="206"/>
        <v>5.6014776466633887E-2</v>
      </c>
      <c r="CJ46" s="42">
        <f t="shared" si="206"/>
        <v>1.8155504752801255E-2</v>
      </c>
      <c r="CK46" s="42">
        <f t="shared" si="206"/>
        <v>-3.8973777756566186E-2</v>
      </c>
      <c r="CL46" s="42">
        <f t="shared" si="206"/>
        <v>-2.3351935426977111E-2</v>
      </c>
      <c r="CM46" s="45">
        <f t="shared" si="206"/>
        <v>-1.9373856033154335E-2</v>
      </c>
      <c r="CN46" s="45">
        <f t="shared" si="206"/>
        <v>2.600371079308772E-2</v>
      </c>
      <c r="CO46" s="45">
        <f t="shared" si="206"/>
        <v>-2.1565203906332986E-2</v>
      </c>
      <c r="CP46" s="45">
        <f t="shared" si="206"/>
        <v>-1.7595592398671478E-3</v>
      </c>
      <c r="CQ46" s="45">
        <f t="shared" si="206"/>
        <v>4.9737932555442566E-3</v>
      </c>
      <c r="CR46" s="45">
        <f t="shared" si="206"/>
        <v>-5.3515710542841877E-3</v>
      </c>
      <c r="CS46" s="45">
        <f t="shared" ref="CS46:DC46" si="207">CS56-CS32</f>
        <v>-3.9137188710740567E-3</v>
      </c>
      <c r="CT46" s="45">
        <f t="shared" si="207"/>
        <v>-2.4342449789305221E-3</v>
      </c>
      <c r="CU46" s="45">
        <f t="shared" si="207"/>
        <v>-7.2448682093098071E-3</v>
      </c>
      <c r="CV46" s="45">
        <f t="shared" si="207"/>
        <v>2.5751994506546527E-3</v>
      </c>
      <c r="CW46" s="45">
        <f t="shared" si="207"/>
        <v>-4.4989415045790793E-3</v>
      </c>
      <c r="CX46" s="45">
        <f t="shared" si="207"/>
        <v>-3.4080859524896479E-3</v>
      </c>
      <c r="CY46" s="45">
        <f t="shared" si="207"/>
        <v>-2.4807304851420797E-2</v>
      </c>
      <c r="CZ46" s="43">
        <f t="shared" si="207"/>
        <v>1.7910287696728533E-2</v>
      </c>
      <c r="DA46" s="42">
        <f t="shared" si="207"/>
        <v>2.0744030587799056E-2</v>
      </c>
      <c r="DB46" s="42">
        <f t="shared" si="207"/>
        <v>1.0225999999999846E-2</v>
      </c>
      <c r="DC46" s="42">
        <f t="shared" si="207"/>
        <v>-2.2204460492503131E-16</v>
      </c>
      <c r="DD46" s="42">
        <f t="shared" ref="DD46:DG47" si="208">DD56-DD32</f>
        <v>-2.2204460492503131E-16</v>
      </c>
      <c r="DE46" s="42">
        <f t="shared" si="208"/>
        <v>0</v>
      </c>
      <c r="DF46" s="42">
        <f t="shared" si="208"/>
        <v>0</v>
      </c>
      <c r="DG46" s="232">
        <f t="shared" si="208"/>
        <v>0</v>
      </c>
      <c r="DH46" s="232">
        <f t="shared" ref="DH46" si="209">DH56-DH32</f>
        <v>0</v>
      </c>
      <c r="DI46" s="232">
        <f t="shared" ref="DI46" si="210">DI56-DI32</f>
        <v>0</v>
      </c>
    </row>
    <row r="47" spans="1:113" outlineLevel="1">
      <c r="A47" s="1" t="s">
        <v>311</v>
      </c>
      <c r="B47" s="19" t="s">
        <v>317</v>
      </c>
      <c r="C47" s="232" t="e">
        <f t="shared" si="193"/>
        <v>#VALUE!</v>
      </c>
      <c r="D47" s="232">
        <f t="shared" si="193"/>
        <v>-4.7404721294297625E-2</v>
      </c>
      <c r="E47" s="232">
        <f t="shared" si="193"/>
        <v>-5.1355524610569803E-2</v>
      </c>
      <c r="F47" s="232">
        <f t="shared" si="193"/>
        <v>4.9131260653053177E-2</v>
      </c>
      <c r="G47" s="232">
        <f t="shared" si="193"/>
        <v>-2.5829294802713787E-2</v>
      </c>
      <c r="H47" s="232">
        <f t="shared" si="193"/>
        <v>0.1053873755286896</v>
      </c>
      <c r="I47" s="232">
        <f t="shared" si="193"/>
        <v>-2.1632075759067337E-2</v>
      </c>
      <c r="J47" s="232">
        <f t="shared" si="193"/>
        <v>6.7589670667047352E-2</v>
      </c>
      <c r="K47" s="232">
        <f t="shared" si="193"/>
        <v>-8.1676706005279001E-2</v>
      </c>
      <c r="L47" s="232">
        <f t="shared" si="193"/>
        <v>9.4254944084868564E-2</v>
      </c>
      <c r="M47" s="42">
        <f t="shared" si="194"/>
        <v>-4.3182455100146733E-2</v>
      </c>
      <c r="N47" s="42">
        <f t="shared" si="194"/>
        <v>3.3164763123215465E-2</v>
      </c>
      <c r="O47" s="42">
        <f t="shared" si="194"/>
        <v>-6.3343409830065145E-2</v>
      </c>
      <c r="P47" s="42">
        <f t="shared" si="194"/>
        <v>6.7929059442240369E-2</v>
      </c>
      <c r="Q47" s="42">
        <f t="shared" si="194"/>
        <v>-6.1238208591408716E-2</v>
      </c>
      <c r="R47" s="42">
        <f t="shared" si="194"/>
        <v>3.4789244605401226E-2</v>
      </c>
      <c r="S47" s="42">
        <f t="shared" si="194"/>
        <v>-2.5894665433439767E-2</v>
      </c>
      <c r="T47" s="45">
        <f t="shared" si="194"/>
        <v>6.0224920724686548E-2</v>
      </c>
      <c r="U47" s="42">
        <f t="shared" si="194"/>
        <v>-1.5216983960214203E-2</v>
      </c>
      <c r="V47" s="42">
        <f t="shared" si="194"/>
        <v>3.8908912340744228E-2</v>
      </c>
      <c r="W47" s="42">
        <f t="shared" si="194"/>
        <v>-3.0145912422220977E-2</v>
      </c>
      <c r="X47" s="42">
        <f t="shared" si="194"/>
        <v>-2.6655106547313068E-3</v>
      </c>
      <c r="Y47" s="45">
        <f t="shared" si="194"/>
        <v>-2.2476094640131339E-2</v>
      </c>
      <c r="Z47" s="45">
        <f t="shared" si="195"/>
        <v>2.6231712815234509E-2</v>
      </c>
      <c r="AA47" s="45">
        <f t="shared" si="195"/>
        <v>-2.1070804349069383E-2</v>
      </c>
      <c r="AB47" s="45">
        <f t="shared" si="195"/>
        <v>6.0792259975121388E-2</v>
      </c>
      <c r="AC47" s="45">
        <f t="shared" ref="AC47:AK47" si="211">AC57-AC33</f>
        <v>-7.9783503526169586E-3</v>
      </c>
      <c r="AD47" s="45">
        <f t="shared" si="211"/>
        <v>4.1735803663872639E-2</v>
      </c>
      <c r="AE47" s="45">
        <f t="shared" si="211"/>
        <v>-5.0549075630052953E-2</v>
      </c>
      <c r="AF47" s="45">
        <f t="shared" si="211"/>
        <v>2.4481075915970374E-2</v>
      </c>
      <c r="AG47" s="45">
        <f t="shared" si="211"/>
        <v>-3.899362761171854E-2</v>
      </c>
      <c r="AH47" s="45">
        <f t="shared" si="211"/>
        <v>6.1448120618241564E-2</v>
      </c>
      <c r="AI47" s="45">
        <f t="shared" si="211"/>
        <v>-4.5270334707659843E-2</v>
      </c>
      <c r="AJ47" s="45">
        <f t="shared" si="211"/>
        <v>7.8103224400649207E-2</v>
      </c>
      <c r="AK47" s="45">
        <f t="shared" si="211"/>
        <v>-5.0588451058432571E-2</v>
      </c>
      <c r="AL47" s="45">
        <f t="shared" si="197"/>
        <v>3.1344735971931437E-2</v>
      </c>
      <c r="AM47" s="45">
        <f t="shared" si="197"/>
        <v>-3.8100874108984106E-2</v>
      </c>
      <c r="AN47" s="45">
        <f t="shared" si="197"/>
        <v>1.7664141708142678E-2</v>
      </c>
      <c r="AO47" s="45">
        <f t="shared" si="198"/>
        <v>-0.15570264729384731</v>
      </c>
      <c r="AP47" s="45">
        <f t="shared" si="198"/>
        <v>8.8497632723514075E-2</v>
      </c>
      <c r="AQ47" s="45">
        <f t="shared" si="198"/>
        <v>-4.5340904249285052E-2</v>
      </c>
      <c r="AR47" s="45">
        <f t="shared" ref="AR47" si="212">AR57-AR33</f>
        <v>-2.3497010853579692E-2</v>
      </c>
      <c r="AS47" s="45">
        <f t="shared" ref="AS47:AT47" si="213">AS57-AS33</f>
        <v>-6.2212475150442259E-2</v>
      </c>
      <c r="AT47" s="45">
        <f t="shared" si="213"/>
        <v>5.319519224360203E-2</v>
      </c>
      <c r="AU47" s="45">
        <f t="shared" ref="AU47" si="214">AU57-AU33</f>
        <v>-3.4673526795166665E-2</v>
      </c>
      <c r="AV47" s="45">
        <f t="shared" ref="AV47:AW47" si="215">AV57-AV33</f>
        <v>1.3441168807448278E-2</v>
      </c>
      <c r="AW47" s="45">
        <f t="shared" si="215"/>
        <v>-3.8475230184824682E-2</v>
      </c>
      <c r="AX47" s="45">
        <f t="shared" ref="AX47:AY47" si="216">AX57-AX33</f>
        <v>-1.5016712797983001E-2</v>
      </c>
      <c r="AY47" s="45">
        <f t="shared" si="216"/>
        <v>0.59923926493574553</v>
      </c>
      <c r="AZ47" s="43">
        <f t="shared" ref="AZ47" si="217">AZ57-AZ33</f>
        <v>-2.0355860528543879E-2</v>
      </c>
      <c r="BA47" s="511">
        <v>0</v>
      </c>
      <c r="BB47" s="511">
        <v>0</v>
      </c>
      <c r="BC47" s="511">
        <v>0</v>
      </c>
      <c r="BD47" s="511">
        <v>0</v>
      </c>
      <c r="BE47" s="511">
        <v>0</v>
      </c>
      <c r="BF47" s="511">
        <v>0</v>
      </c>
      <c r="BG47" s="511">
        <v>0</v>
      </c>
      <c r="BH47" s="511">
        <v>0</v>
      </c>
      <c r="BI47" s="511">
        <v>0</v>
      </c>
      <c r="BJ47" s="511">
        <v>0</v>
      </c>
      <c r="BK47" s="511">
        <v>0</v>
      </c>
      <c r="BL47" s="511">
        <v>0</v>
      </c>
      <c r="BM47" s="511">
        <v>0</v>
      </c>
      <c r="BN47" s="511">
        <v>0</v>
      </c>
      <c r="BO47" s="511">
        <v>0</v>
      </c>
      <c r="BP47" s="511">
        <v>0</v>
      </c>
      <c r="BQ47" s="511">
        <v>0</v>
      </c>
      <c r="BR47" s="42"/>
      <c r="BS47" s="232" t="e">
        <f>BS57-BS33</f>
        <v>#VALUE!</v>
      </c>
      <c r="BT47" s="232" t="e">
        <f>BT57-BT33</f>
        <v>#VALUE!</v>
      </c>
      <c r="BU47" s="232" t="e">
        <f t="shared" si="205"/>
        <v>#VALUE!</v>
      </c>
      <c r="BV47" s="232" t="e">
        <f t="shared" si="205"/>
        <v>#VALUE!</v>
      </c>
      <c r="BW47" s="232">
        <f t="shared" si="205"/>
        <v>0.54939453599072263</v>
      </c>
      <c r="BX47" s="232">
        <f t="shared" si="205"/>
        <v>0.59614846243109954</v>
      </c>
      <c r="BY47" s="232">
        <f t="shared" si="205"/>
        <v>-0.32387285447203817</v>
      </c>
      <c r="BZ47" s="232">
        <f t="shared" si="205"/>
        <v>1.2295031638348755</v>
      </c>
      <c r="CA47" s="232">
        <f t="shared" si="205"/>
        <v>1.7443489682356645</v>
      </c>
      <c r="CB47" s="232">
        <f t="shared" si="205"/>
        <v>-0.70314096389197456</v>
      </c>
      <c r="CC47" s="42">
        <f t="shared" si="206"/>
        <v>-0.52320560724375353</v>
      </c>
      <c r="CD47" s="42">
        <f t="shared" si="206"/>
        <v>2.109966672961594E-2</v>
      </c>
      <c r="CE47" s="42">
        <f t="shared" si="206"/>
        <v>8.555899150377666E-2</v>
      </c>
      <c r="CF47" s="42">
        <f t="shared" si="206"/>
        <v>-1.9027790024347402E-2</v>
      </c>
      <c r="CG47" s="42">
        <f t="shared" si="206"/>
        <v>4.9949089961055959E-2</v>
      </c>
      <c r="CH47" s="42">
        <f t="shared" si="206"/>
        <v>-3.5142888292876817E-2</v>
      </c>
      <c r="CI47" s="42">
        <f t="shared" si="206"/>
        <v>2.4606603903281066E-3</v>
      </c>
      <c r="CJ47" s="42">
        <f t="shared" si="206"/>
        <v>5.5384157289084524E-3</v>
      </c>
      <c r="CK47" s="42">
        <f t="shared" si="206"/>
        <v>4.359878519381033E-2</v>
      </c>
      <c r="CL47" s="42">
        <f t="shared" si="206"/>
        <v>6.9355056151736427E-3</v>
      </c>
      <c r="CM47" s="45">
        <f t="shared" si="206"/>
        <v>-2.6250099848695863E-2</v>
      </c>
      <c r="CN47" s="45">
        <f t="shared" si="206"/>
        <v>4.0549997238492619E-3</v>
      </c>
      <c r="CO47" s="45">
        <f t="shared" si="206"/>
        <v>5.2178100200877431E-2</v>
      </c>
      <c r="CP47" s="45">
        <f t="shared" si="206"/>
        <v>-1.07606015543944E-2</v>
      </c>
      <c r="CQ47" s="45">
        <f t="shared" si="206"/>
        <v>-1.6175406690077443E-2</v>
      </c>
      <c r="CR47" s="45">
        <f t="shared" si="206"/>
        <v>1.339313361825778E-2</v>
      </c>
      <c r="CS47" s="45">
        <f t="shared" ref="CS47:DC47" si="218">CS57-CS33</f>
        <v>2.5037577472455608E-2</v>
      </c>
      <c r="CT47" s="45">
        <f t="shared" si="218"/>
        <v>-7.6879813174506317E-3</v>
      </c>
      <c r="CU47" s="45">
        <f t="shared" si="218"/>
        <v>-0.142592493345856</v>
      </c>
      <c r="CV47" s="45">
        <f t="shared" si="218"/>
        <v>3.9000208354499022E-2</v>
      </c>
      <c r="CW47" s="45">
        <f t="shared" si="218"/>
        <v>-8.5423053526559989E-2</v>
      </c>
      <c r="CX47" s="45">
        <f t="shared" si="218"/>
        <v>1.652395578406507E-2</v>
      </c>
      <c r="CY47" s="45">
        <f t="shared" si="218"/>
        <v>-2.589036848544124E-2</v>
      </c>
      <c r="CZ47" s="43">
        <f t="shared" si="218"/>
        <v>0.59475221427025859</v>
      </c>
      <c r="DA47" s="42">
        <f t="shared" si="218"/>
        <v>-2.0584548246862067E-2</v>
      </c>
      <c r="DB47" s="42">
        <f t="shared" si="218"/>
        <v>0</v>
      </c>
      <c r="DC47" s="42">
        <f t="shared" si="218"/>
        <v>0</v>
      </c>
      <c r="DD47" s="42">
        <f t="shared" si="208"/>
        <v>0</v>
      </c>
      <c r="DE47" s="42">
        <f t="shared" si="208"/>
        <v>2.2204460492503131E-16</v>
      </c>
      <c r="DF47" s="42">
        <f t="shared" si="208"/>
        <v>0</v>
      </c>
      <c r="DG47" s="232">
        <f t="shared" si="208"/>
        <v>0</v>
      </c>
      <c r="DH47" s="232">
        <f t="shared" ref="DH47" si="219">DH57-DH33</f>
        <v>2.2204460492503131E-16</v>
      </c>
      <c r="DI47" s="232">
        <f t="shared" ref="DI47" si="220">DI57-DI33</f>
        <v>0</v>
      </c>
    </row>
    <row r="48" spans="1:113" outlineLevel="1">
      <c r="A48" s="1" t="s">
        <v>312</v>
      </c>
      <c r="B48" s="19" t="s">
        <v>318</v>
      </c>
      <c r="C48" s="232" t="e">
        <f t="shared" ref="C48:L49" si="221">C59-C34</f>
        <v>#VALUE!</v>
      </c>
      <c r="D48" s="232" t="e">
        <f t="shared" si="221"/>
        <v>#DIV/0!</v>
      </c>
      <c r="E48" s="232" t="e">
        <f t="shared" si="221"/>
        <v>#DIV/0!</v>
      </c>
      <c r="F48" s="232" t="e">
        <f t="shared" si="221"/>
        <v>#DIV/0!</v>
      </c>
      <c r="G48" s="232" t="e">
        <f t="shared" si="221"/>
        <v>#DIV/0!</v>
      </c>
      <c r="H48" s="232" t="e">
        <f t="shared" si="221"/>
        <v>#DIV/0!</v>
      </c>
      <c r="I48" s="232" t="e">
        <f t="shared" si="221"/>
        <v>#DIV/0!</v>
      </c>
      <c r="J48" s="232" t="e">
        <f t="shared" si="221"/>
        <v>#DIV/0!</v>
      </c>
      <c r="K48" s="232" t="e">
        <f t="shared" si="221"/>
        <v>#DIV/0!</v>
      </c>
      <c r="L48" s="232" t="e">
        <f t="shared" si="221"/>
        <v>#DIV/0!</v>
      </c>
      <c r="M48" s="42" t="e">
        <f t="shared" ref="M48:X49" si="222">M59-M34</f>
        <v>#DIV/0!</v>
      </c>
      <c r="N48" s="42" t="e">
        <f t="shared" si="222"/>
        <v>#DIV/0!</v>
      </c>
      <c r="O48" s="42" t="e">
        <f t="shared" si="222"/>
        <v>#DIV/0!</v>
      </c>
      <c r="P48" s="42" t="e">
        <f t="shared" si="222"/>
        <v>#DIV/0!</v>
      </c>
      <c r="Q48" s="42" t="e">
        <f t="shared" si="222"/>
        <v>#DIV/0!</v>
      </c>
      <c r="R48" s="42" t="e">
        <f t="shared" si="222"/>
        <v>#DIV/0!</v>
      </c>
      <c r="S48" s="42" t="e">
        <f t="shared" si="222"/>
        <v>#DIV/0!</v>
      </c>
      <c r="T48" s="45" t="e">
        <f t="shared" si="222"/>
        <v>#DIV/0!</v>
      </c>
      <c r="U48" s="42">
        <f t="shared" si="222"/>
        <v>2.2527808049302989E-2</v>
      </c>
      <c r="V48" s="42">
        <f t="shared" si="222"/>
        <v>9.0112773613482577E-2</v>
      </c>
      <c r="W48" s="42">
        <f t="shared" si="222"/>
        <v>1.7361989043407355E-3</v>
      </c>
      <c r="X48" s="42">
        <f t="shared" si="222"/>
        <v>3.4225449283166176E-2</v>
      </c>
      <c r="Y48" s="45">
        <f t="shared" ref="Y48:AA49" si="223">Y59-Y34</f>
        <v>1.7349894257070231E-2</v>
      </c>
      <c r="Z48" s="45">
        <f t="shared" si="223"/>
        <v>4.9203180905928345E-2</v>
      </c>
      <c r="AA48" s="45">
        <f t="shared" si="223"/>
        <v>-2.5237444154323829E-2</v>
      </c>
      <c r="AB48" s="45">
        <f t="shared" ref="AB48:AK48" si="224">AB59-AB34</f>
        <v>-4.1322773910124511E-2</v>
      </c>
      <c r="AC48" s="45">
        <f t="shared" si="224"/>
        <v>3.1331134312857056E-2</v>
      </c>
      <c r="AD48" s="45">
        <f t="shared" si="224"/>
        <v>-8.9788262332855528E-2</v>
      </c>
      <c r="AE48" s="45">
        <f t="shared" si="224"/>
        <v>-7.5681430921303861E-2</v>
      </c>
      <c r="AF48" s="45">
        <f t="shared" si="224"/>
        <v>-5.2081156810753093E-2</v>
      </c>
      <c r="AG48" s="45">
        <f t="shared" si="224"/>
        <v>1.6354638319389769E-2</v>
      </c>
      <c r="AH48" s="45">
        <f t="shared" si="224"/>
        <v>-2.4078104461884187E-2</v>
      </c>
      <c r="AI48" s="45">
        <f t="shared" si="224"/>
        <v>-4.6086959112498715E-2</v>
      </c>
      <c r="AJ48" s="45">
        <f t="shared" si="224"/>
        <v>-0.10736009623858134</v>
      </c>
      <c r="AK48" s="45">
        <f t="shared" si="224"/>
        <v>-6.7984827113614088E-2</v>
      </c>
      <c r="AL48" s="45">
        <f t="shared" ref="AL48:AN49" si="225">AL59-AL34</f>
        <v>-4.4158014902320852E-2</v>
      </c>
      <c r="AM48" s="45">
        <f t="shared" si="225"/>
        <v>-2.3152125956485192E-2</v>
      </c>
      <c r="AN48" s="45">
        <f t="shared" si="225"/>
        <v>-0.1019807223148641</v>
      </c>
      <c r="AO48" s="45">
        <f t="shared" ref="AO48:AQ49" si="226">AO59-AO34</f>
        <v>-0.17118769136063239</v>
      </c>
      <c r="AP48" s="45">
        <f t="shared" si="226"/>
        <v>-0.11849432250187619</v>
      </c>
      <c r="AQ48" s="45">
        <f t="shared" si="226"/>
        <v>-0.18605059444936933</v>
      </c>
      <c r="AR48" s="45">
        <f t="shared" ref="AR48" si="227">AR59-AR34</f>
        <v>-0.16818118141069849</v>
      </c>
      <c r="AS48" s="45">
        <f t="shared" ref="AS48:AT48" si="228">AS59-AS34</f>
        <v>-0.18474328737194312</v>
      </c>
      <c r="AT48" s="45">
        <f t="shared" si="228"/>
        <v>-0.1979449387947253</v>
      </c>
      <c r="AU48" s="45">
        <f t="shared" ref="AU48" si="229">AU59-AU34</f>
        <v>-8.3153686088973555E-2</v>
      </c>
      <c r="AV48" s="45">
        <f t="shared" ref="AV48:AW48" si="230">AV59-AV34</f>
        <v>-0.71530775061054586</v>
      </c>
      <c r="AW48" s="45">
        <f t="shared" si="230"/>
        <v>-0.21787970171349513</v>
      </c>
      <c r="AX48" s="45">
        <f t="shared" ref="AX48:AY48" si="231">AX59-AX34</f>
        <v>-0.32757960377682216</v>
      </c>
      <c r="AY48" s="45">
        <f t="shared" si="231"/>
        <v>-0.11352463070826002</v>
      </c>
      <c r="AZ48" s="43">
        <f t="shared" ref="AZ48" si="232">AZ59-AZ34</f>
        <v>-0.24511164588749201</v>
      </c>
      <c r="BA48" s="511">
        <v>0</v>
      </c>
      <c r="BB48" s="511">
        <v>0</v>
      </c>
      <c r="BC48" s="511">
        <v>0</v>
      </c>
      <c r="BD48" s="511">
        <v>0</v>
      </c>
      <c r="BE48" s="511">
        <v>0</v>
      </c>
      <c r="BF48" s="511">
        <v>0</v>
      </c>
      <c r="BG48" s="511">
        <v>0</v>
      </c>
      <c r="BH48" s="511">
        <v>0</v>
      </c>
      <c r="BI48" s="511">
        <v>0</v>
      </c>
      <c r="BJ48" s="511">
        <v>0</v>
      </c>
      <c r="BK48" s="511">
        <v>0</v>
      </c>
      <c r="BL48" s="511">
        <v>0</v>
      </c>
      <c r="BM48" s="511">
        <v>0</v>
      </c>
      <c r="BN48" s="511">
        <v>0</v>
      </c>
      <c r="BO48" s="511">
        <v>0</v>
      </c>
      <c r="BP48" s="511">
        <v>0</v>
      </c>
      <c r="BQ48" s="511">
        <v>0</v>
      </c>
      <c r="BR48" s="42"/>
      <c r="BS48" s="232" t="e">
        <f>BS59-BS34</f>
        <v>#DIV/0!</v>
      </c>
      <c r="BT48" s="232" t="e">
        <f>BT59-BT34</f>
        <v>#DIV/0!</v>
      </c>
      <c r="BU48" s="232" t="e">
        <f t="shared" ref="BU48:CB48" si="233">BU59-BU34</f>
        <v>#DIV/0!</v>
      </c>
      <c r="BV48" s="232" t="e">
        <f t="shared" si="233"/>
        <v>#DIV/0!</v>
      </c>
      <c r="BW48" s="232" t="e">
        <f t="shared" si="233"/>
        <v>#DIV/0!</v>
      </c>
      <c r="BX48" s="232" t="e">
        <f t="shared" si="233"/>
        <v>#DIV/0!</v>
      </c>
      <c r="BY48" s="232" t="e">
        <f t="shared" si="233"/>
        <v>#DIV/0!</v>
      </c>
      <c r="BZ48" s="232" t="e">
        <f t="shared" si="233"/>
        <v>#DIV/0!</v>
      </c>
      <c r="CA48" s="232" t="e">
        <f t="shared" si="233"/>
        <v>#DIV/0!</v>
      </c>
      <c r="CB48" s="232" t="e">
        <f t="shared" si="233"/>
        <v>#DIV/0!</v>
      </c>
      <c r="CC48" s="42" t="e">
        <f t="shared" ref="CC48:CR49" si="234">CC59-CC34</f>
        <v>#DIV/0!</v>
      </c>
      <c r="CD48" s="42" t="e">
        <f t="shared" si="234"/>
        <v>#DIV/0!</v>
      </c>
      <c r="CE48" s="42" t="e">
        <f t="shared" si="234"/>
        <v>#DIV/0!</v>
      </c>
      <c r="CF48" s="42" t="e">
        <f t="shared" si="234"/>
        <v>#DIV/0!</v>
      </c>
      <c r="CG48" s="42" t="e">
        <f t="shared" si="234"/>
        <v>#DIV/0!</v>
      </c>
      <c r="CH48" s="42" t="e">
        <f t="shared" si="234"/>
        <v>#DIV/0!</v>
      </c>
      <c r="CI48" s="42" t="e">
        <f t="shared" si="234"/>
        <v>#DIV/0!</v>
      </c>
      <c r="CJ48" s="42" t="e">
        <f t="shared" si="234"/>
        <v>#DIV/0!</v>
      </c>
      <c r="CK48" s="42" t="e">
        <f t="shared" si="234"/>
        <v>#DIV/0!</v>
      </c>
      <c r="CL48" s="42">
        <f t="shared" si="234"/>
        <v>9.2005426216638098E-2</v>
      </c>
      <c r="CM48" s="45">
        <f t="shared" si="234"/>
        <v>5.2169151466199937E-2</v>
      </c>
      <c r="CN48" s="45">
        <f t="shared" si="234"/>
        <v>2.2723974221276144E-2</v>
      </c>
      <c r="CO48" s="45">
        <f t="shared" si="234"/>
        <v>-1.2515633724716535E-2</v>
      </c>
      <c r="CP48" s="45">
        <f t="shared" si="234"/>
        <v>-0.16387705066991365</v>
      </c>
      <c r="CQ48" s="45">
        <f t="shared" si="234"/>
        <v>-3.7940970093728543E-2</v>
      </c>
      <c r="CR48" s="45">
        <f t="shared" si="234"/>
        <v>-7.1557763362703475E-2</v>
      </c>
      <c r="CS48" s="45">
        <f t="shared" ref="CS48:DC48" si="235">CS59-CS34</f>
        <v>-0.17300844536902227</v>
      </c>
      <c r="CT48" s="45">
        <f t="shared" si="235"/>
        <v>-6.7899466089084703E-2</v>
      </c>
      <c r="CU48" s="45">
        <f t="shared" si="235"/>
        <v>-0.26217094404139929</v>
      </c>
      <c r="CV48" s="45">
        <f t="shared" si="235"/>
        <v>-0.29505235135046792</v>
      </c>
      <c r="CW48" s="45">
        <f t="shared" si="235"/>
        <v>-0.33479519339992247</v>
      </c>
      <c r="CX48" s="45">
        <f t="shared" si="235"/>
        <v>-0.26974190592360381</v>
      </c>
      <c r="CY48" s="45">
        <f t="shared" si="235"/>
        <v>-0.79610257053063305</v>
      </c>
      <c r="CZ48" s="43">
        <f t="shared" si="235"/>
        <v>-0.41596633224225943</v>
      </c>
      <c r="DA48" s="42">
        <f t="shared" si="235"/>
        <v>-0.25134140347936862</v>
      </c>
      <c r="DB48" s="42">
        <f t="shared" si="235"/>
        <v>-4.4408920985006262E-16</v>
      </c>
      <c r="DC48" s="42">
        <f t="shared" si="235"/>
        <v>-2.2204460492503131E-16</v>
      </c>
      <c r="DD48" s="42">
        <f t="shared" ref="DD48:DG49" si="236">DD59-DD34</f>
        <v>0</v>
      </c>
      <c r="DE48" s="42">
        <f t="shared" si="236"/>
        <v>2.2204460492503131E-16</v>
      </c>
      <c r="DF48" s="42">
        <f t="shared" si="236"/>
        <v>-2.2204460492503131E-16</v>
      </c>
      <c r="DG48" s="232">
        <f t="shared" si="236"/>
        <v>2.2204460492503131E-16</v>
      </c>
      <c r="DH48" s="232">
        <f t="shared" ref="DH48" si="237">DH59-DH34</f>
        <v>0</v>
      </c>
      <c r="DI48" s="232">
        <f t="shared" ref="DI48" si="238">DI59-DI34</f>
        <v>-2.2204460492503131E-16</v>
      </c>
    </row>
    <row r="49" spans="1:113" outlineLevel="1">
      <c r="A49" s="1" t="s">
        <v>382</v>
      </c>
      <c r="B49" s="19" t="s">
        <v>319</v>
      </c>
      <c r="C49" s="232" t="e">
        <f t="shared" si="221"/>
        <v>#VALUE!</v>
      </c>
      <c r="D49" s="232" t="e">
        <f t="shared" si="221"/>
        <v>#DIV/0!</v>
      </c>
      <c r="E49" s="232" t="e">
        <f t="shared" si="221"/>
        <v>#DIV/0!</v>
      </c>
      <c r="F49" s="232" t="e">
        <f t="shared" si="221"/>
        <v>#DIV/0!</v>
      </c>
      <c r="G49" s="232" t="e">
        <f t="shared" si="221"/>
        <v>#DIV/0!</v>
      </c>
      <c r="H49" s="232" t="e">
        <f t="shared" si="221"/>
        <v>#DIV/0!</v>
      </c>
      <c r="I49" s="232" t="e">
        <f t="shared" si="221"/>
        <v>#DIV/0!</v>
      </c>
      <c r="J49" s="232" t="e">
        <f t="shared" si="221"/>
        <v>#DIV/0!</v>
      </c>
      <c r="K49" s="232" t="e">
        <f t="shared" si="221"/>
        <v>#DIV/0!</v>
      </c>
      <c r="L49" s="232" t="e">
        <f t="shared" si="221"/>
        <v>#DIV/0!</v>
      </c>
      <c r="M49" s="42" t="e">
        <f t="shared" si="222"/>
        <v>#DIV/0!</v>
      </c>
      <c r="N49" s="42" t="e">
        <f t="shared" si="222"/>
        <v>#DIV/0!</v>
      </c>
      <c r="O49" s="42" t="e">
        <f t="shared" si="222"/>
        <v>#DIV/0!</v>
      </c>
      <c r="P49" s="42" t="e">
        <f t="shared" si="222"/>
        <v>#DIV/0!</v>
      </c>
      <c r="Q49" s="42" t="e">
        <f t="shared" si="222"/>
        <v>#DIV/0!</v>
      </c>
      <c r="R49" s="42" t="e">
        <f t="shared" si="222"/>
        <v>#DIV/0!</v>
      </c>
      <c r="S49" s="42" t="e">
        <f t="shared" si="222"/>
        <v>#DIV/0!</v>
      </c>
      <c r="T49" s="45" t="e">
        <f t="shared" si="222"/>
        <v>#DIV/0!</v>
      </c>
      <c r="U49" s="42">
        <f t="shared" si="222"/>
        <v>-0.14289511269729571</v>
      </c>
      <c r="V49" s="42">
        <f t="shared" si="222"/>
        <v>3.0514154511527503E-2</v>
      </c>
      <c r="W49" s="42">
        <f t="shared" si="222"/>
        <v>0.1105349848379904</v>
      </c>
      <c r="X49" s="42">
        <f t="shared" si="222"/>
        <v>9.1426729694886077E-2</v>
      </c>
      <c r="Y49" s="45">
        <f t="shared" si="223"/>
        <v>0.1457792037534138</v>
      </c>
      <c r="Z49" s="45">
        <f t="shared" si="223"/>
        <v>6.6329959359877178E-2</v>
      </c>
      <c r="AA49" s="45">
        <f t="shared" si="223"/>
        <v>0.13129709448090909</v>
      </c>
      <c r="AB49" s="45">
        <f t="shared" ref="AB49:AK49" si="239">AB60-AB35</f>
        <v>0.23902465518360549</v>
      </c>
      <c r="AC49" s="45">
        <f t="shared" si="239"/>
        <v>4.5733297065475131E-2</v>
      </c>
      <c r="AD49" s="45">
        <f t="shared" si="239"/>
        <v>1.7043752221584718E-2</v>
      </c>
      <c r="AE49" s="45">
        <f t="shared" si="239"/>
        <v>-3.5205868892983716E-2</v>
      </c>
      <c r="AF49" s="45">
        <f t="shared" si="239"/>
        <v>9.2282777963640372E-3</v>
      </c>
      <c r="AG49" s="45">
        <f t="shared" si="239"/>
        <v>-9.610000699988408E-3</v>
      </c>
      <c r="AH49" s="45">
        <f t="shared" si="239"/>
        <v>-3.8415666645565172E-2</v>
      </c>
      <c r="AI49" s="45">
        <f t="shared" si="239"/>
        <v>8.5522683989389892E-2</v>
      </c>
      <c r="AJ49" s="45">
        <f t="shared" si="239"/>
        <v>2.9240442945935863E-3</v>
      </c>
      <c r="AK49" s="45">
        <f t="shared" si="239"/>
        <v>-7.0391161749009168E-2</v>
      </c>
      <c r="AL49" s="45">
        <f t="shared" si="225"/>
        <v>-8.0773458045902746E-2</v>
      </c>
      <c r="AM49" s="45">
        <f t="shared" si="225"/>
        <v>-0.17346072204466156</v>
      </c>
      <c r="AN49" s="45">
        <f t="shared" si="225"/>
        <v>-0.10541168619720809</v>
      </c>
      <c r="AO49" s="45">
        <f t="shared" si="226"/>
        <v>-9.5756677552979785E-2</v>
      </c>
      <c r="AP49" s="45">
        <f t="shared" si="226"/>
        <v>2.1488990222395588E-2</v>
      </c>
      <c r="AQ49" s="45">
        <f t="shared" si="226"/>
        <v>2.3106366134503009E-2</v>
      </c>
      <c r="AR49" s="45">
        <f t="shared" ref="AR49" si="240">AR60-AR35</f>
        <v>-3.5408872914251655E-2</v>
      </c>
      <c r="AS49" s="45">
        <f t="shared" ref="AS49:AT49" si="241">AS60-AS35</f>
        <v>-9.7920925785504931E-2</v>
      </c>
      <c r="AT49" s="45">
        <f t="shared" si="241"/>
        <v>-0.18353132819468054</v>
      </c>
      <c r="AU49" s="45">
        <f t="shared" ref="AU49" si="242">AU60-AU35</f>
        <v>-2.8492397482979381E-2</v>
      </c>
      <c r="AV49" s="45">
        <f t="shared" ref="AV49:AW49" si="243">AV60-AV35</f>
        <v>2.3194636077230157E-2</v>
      </c>
      <c r="AW49" s="45">
        <f t="shared" si="243"/>
        <v>-2.7983329819985969E-2</v>
      </c>
      <c r="AX49" s="45">
        <f t="shared" ref="AX49:AY49" si="244">AX60-AX35</f>
        <v>7.8306462186969461E-2</v>
      </c>
      <c r="AY49" s="45">
        <f t="shared" si="244"/>
        <v>0.10198838437923824</v>
      </c>
      <c r="AZ49" s="43">
        <f t="shared" ref="AZ49" si="245">AZ60-AZ35</f>
        <v>-4.8834720083051009E-2</v>
      </c>
      <c r="BA49" s="511">
        <v>0</v>
      </c>
      <c r="BB49" s="511">
        <v>0</v>
      </c>
      <c r="BC49" s="511">
        <v>0</v>
      </c>
      <c r="BD49" s="511">
        <v>0</v>
      </c>
      <c r="BE49" s="511">
        <v>0</v>
      </c>
      <c r="BF49" s="511">
        <v>0</v>
      </c>
      <c r="BG49" s="511">
        <v>0</v>
      </c>
      <c r="BH49" s="511">
        <v>0</v>
      </c>
      <c r="BI49" s="511">
        <v>0</v>
      </c>
      <c r="BJ49" s="511">
        <v>0</v>
      </c>
      <c r="BK49" s="511">
        <v>0</v>
      </c>
      <c r="BL49" s="511">
        <v>0</v>
      </c>
      <c r="BM49" s="511">
        <v>0</v>
      </c>
      <c r="BN49" s="511">
        <v>0</v>
      </c>
      <c r="BO49" s="511">
        <v>0</v>
      </c>
      <c r="BP49" s="511">
        <v>0</v>
      </c>
      <c r="BQ49" s="511">
        <v>0</v>
      </c>
      <c r="BR49" s="42"/>
      <c r="BS49" s="232" t="e">
        <f t="shared" ref="BS49:CB49" si="246">BS60-BS35</f>
        <v>#DIV/0!</v>
      </c>
      <c r="BT49" s="232" t="e">
        <f t="shared" si="246"/>
        <v>#DIV/0!</v>
      </c>
      <c r="BU49" s="232" t="e">
        <f t="shared" si="246"/>
        <v>#DIV/0!</v>
      </c>
      <c r="BV49" s="232" t="e">
        <f t="shared" si="246"/>
        <v>#DIV/0!</v>
      </c>
      <c r="BW49" s="232" t="e">
        <f t="shared" si="246"/>
        <v>#DIV/0!</v>
      </c>
      <c r="BX49" s="232" t="e">
        <f t="shared" si="246"/>
        <v>#DIV/0!</v>
      </c>
      <c r="BY49" s="232" t="e">
        <f t="shared" si="246"/>
        <v>#DIV/0!</v>
      </c>
      <c r="BZ49" s="232" t="e">
        <f t="shared" si="246"/>
        <v>#DIV/0!</v>
      </c>
      <c r="CA49" s="232" t="e">
        <f t="shared" si="246"/>
        <v>#DIV/0!</v>
      </c>
      <c r="CB49" s="232" t="e">
        <f t="shared" si="246"/>
        <v>#DIV/0!</v>
      </c>
      <c r="CC49" s="42" t="e">
        <f t="shared" ref="CC49:CO49" si="247">CC60-CC35</f>
        <v>#DIV/0!</v>
      </c>
      <c r="CD49" s="42" t="e">
        <f t="shared" si="247"/>
        <v>#DIV/0!</v>
      </c>
      <c r="CE49" s="42" t="e">
        <f t="shared" si="247"/>
        <v>#DIV/0!</v>
      </c>
      <c r="CF49" s="42" t="e">
        <f t="shared" si="247"/>
        <v>#DIV/0!</v>
      </c>
      <c r="CG49" s="42" t="e">
        <f t="shared" si="247"/>
        <v>#DIV/0!</v>
      </c>
      <c r="CH49" s="42" t="e">
        <f t="shared" si="247"/>
        <v>#DIV/0!</v>
      </c>
      <c r="CI49" s="42" t="e">
        <f t="shared" si="247"/>
        <v>#DIV/0!</v>
      </c>
      <c r="CJ49" s="42" t="e">
        <f t="shared" si="247"/>
        <v>#DIV/0!</v>
      </c>
      <c r="CK49" s="42" t="e">
        <f t="shared" si="247"/>
        <v>#DIV/0!</v>
      </c>
      <c r="CL49" s="42" t="e">
        <f t="shared" si="247"/>
        <v>#DIV/0!</v>
      </c>
      <c r="CM49" s="45" t="e">
        <f t="shared" si="247"/>
        <v>#DIV/0!</v>
      </c>
      <c r="CN49" s="45" t="e">
        <f t="shared" si="247"/>
        <v>#DIV/0!</v>
      </c>
      <c r="CO49" s="45" t="e">
        <f t="shared" si="247"/>
        <v>#DIV/0!</v>
      </c>
      <c r="CP49" s="45" t="e">
        <f t="shared" si="234"/>
        <v>#DIV/0!</v>
      </c>
      <c r="CQ49" s="45" t="e">
        <f t="shared" si="234"/>
        <v>#DIV/0!</v>
      </c>
      <c r="CR49" s="45" t="e">
        <f t="shared" si="234"/>
        <v>#DIV/0!</v>
      </c>
      <c r="CS49" s="45" t="e">
        <f t="shared" ref="CS49:DC49" si="248">CS60-CS35</f>
        <v>#DIV/0!</v>
      </c>
      <c r="CT49" s="45" t="e">
        <f t="shared" si="248"/>
        <v>#DIV/0!</v>
      </c>
      <c r="CU49" s="45" t="e">
        <f t="shared" si="248"/>
        <v>#DIV/0!</v>
      </c>
      <c r="CV49" s="45" t="e">
        <f t="shared" si="248"/>
        <v>#DIV/0!</v>
      </c>
      <c r="CW49" s="45">
        <f t="shared" si="248"/>
        <v>-7.7132559255444821E-2</v>
      </c>
      <c r="CX49" s="45">
        <f t="shared" si="248"/>
        <v>-4.832318080703768E-2</v>
      </c>
      <c r="CY49" s="45">
        <f t="shared" si="248"/>
        <v>-4.5794007453678232E-2</v>
      </c>
      <c r="CZ49" s="43">
        <f t="shared" si="248"/>
        <v>-5.4485904175993083E-2</v>
      </c>
      <c r="DA49" s="42">
        <f t="shared" si="248"/>
        <v>-7.2248472113199291E-2</v>
      </c>
      <c r="DB49" s="42">
        <f t="shared" si="248"/>
        <v>-4.1889212667180376E-2</v>
      </c>
      <c r="DC49" s="42">
        <f t="shared" si="248"/>
        <v>-3.1579952903622033E-2</v>
      </c>
      <c r="DD49" s="42">
        <f t="shared" si="236"/>
        <v>-3.1579952903622033E-2</v>
      </c>
      <c r="DE49" s="42">
        <f t="shared" si="236"/>
        <v>-3.1579952903622033E-2</v>
      </c>
      <c r="DF49" s="42">
        <f t="shared" si="236"/>
        <v>-3.1579952903622033E-2</v>
      </c>
      <c r="DG49" s="232">
        <f t="shared" si="236"/>
        <v>-3.1579952903622033E-2</v>
      </c>
      <c r="DH49" s="232">
        <f t="shared" ref="DH49" si="249">DH60-DH35</f>
        <v>-3.1579952903622033E-2</v>
      </c>
      <c r="DI49" s="232">
        <f t="shared" ref="DI49" si="250">DI60-DI35</f>
        <v>-3.1579952903622033E-2</v>
      </c>
    </row>
    <row r="50" spans="1:113" outlineLevel="1">
      <c r="CZ50" s="22"/>
      <c r="DC50" s="21"/>
      <c r="DD50" s="21"/>
      <c r="DE50" s="21"/>
      <c r="DF50" s="21"/>
      <c r="DG50" s="21"/>
      <c r="DH50" s="21"/>
      <c r="DI50" s="21"/>
    </row>
    <row r="51" spans="1:113" outlineLevel="1">
      <c r="B51" s="24" t="s">
        <v>390</v>
      </c>
      <c r="AH51" s="45"/>
      <c r="AI51" s="45"/>
      <c r="AJ51" s="45"/>
      <c r="CZ51" s="22"/>
      <c r="DC51" s="21"/>
      <c r="DD51" s="21"/>
      <c r="DE51" s="21"/>
      <c r="DF51" s="21"/>
      <c r="DG51" s="21"/>
      <c r="DH51" s="21"/>
      <c r="DI51" s="21"/>
    </row>
    <row r="52" spans="1:113" outlineLevel="1">
      <c r="A52" s="1" t="s">
        <v>850</v>
      </c>
      <c r="B52" s="19" t="s">
        <v>218</v>
      </c>
      <c r="C52" s="232" t="e">
        <f>C157/B157-1</f>
        <v>#VALUE!</v>
      </c>
      <c r="D52" s="232">
        <f>D157/C157-1</f>
        <v>7.9613845354840729E-2</v>
      </c>
      <c r="E52" s="232">
        <f>E157/D157-1</f>
        <v>6.6725147853646138E-2</v>
      </c>
      <c r="F52" s="232">
        <f t="shared" ref="F52:L52" si="251">F157/E157-1</f>
        <v>8.3813035520067913E-2</v>
      </c>
      <c r="G52" s="232">
        <f t="shared" si="251"/>
        <v>7.1946936228017622E-2</v>
      </c>
      <c r="H52" s="232">
        <f t="shared" si="251"/>
        <v>0.11572974700885919</v>
      </c>
      <c r="I52" s="232">
        <f t="shared" si="251"/>
        <v>0.15101965639677073</v>
      </c>
      <c r="J52" s="232">
        <f t="shared" si="251"/>
        <v>8.1928739065500356E-2</v>
      </c>
      <c r="K52" s="232">
        <f t="shared" si="251"/>
        <v>6.7450535726023775E-2</v>
      </c>
      <c r="L52" s="232">
        <f t="shared" si="251"/>
        <v>4.6777458760863144E-2</v>
      </c>
      <c r="M52" s="42">
        <f t="shared" ref="M52:X52" si="252">M157/L157-1</f>
        <v>6.5034193690712616E-2</v>
      </c>
      <c r="N52" s="42">
        <f t="shared" si="252"/>
        <v>4.1426736815941112E-2</v>
      </c>
      <c r="O52" s="42">
        <f t="shared" si="252"/>
        <v>8.6220613389554002E-2</v>
      </c>
      <c r="P52" s="42">
        <f t="shared" si="252"/>
        <v>5.7556503640769252E-2</v>
      </c>
      <c r="Q52" s="42">
        <f t="shared" si="252"/>
        <v>7.8819638827487992E-2</v>
      </c>
      <c r="R52" s="42">
        <f t="shared" si="252"/>
        <v>0.2527417266725871</v>
      </c>
      <c r="S52" s="42">
        <f t="shared" si="252"/>
        <v>0.11672716402613492</v>
      </c>
      <c r="T52" s="45">
        <f t="shared" si="252"/>
        <v>6.9402380078316117E-2</v>
      </c>
      <c r="U52" s="42">
        <f t="shared" si="252"/>
        <v>4.4651764865744292E-2</v>
      </c>
      <c r="V52" s="42">
        <f t="shared" si="252"/>
        <v>2.1814883275142138E-2</v>
      </c>
      <c r="W52" s="42">
        <f t="shared" si="252"/>
        <v>2.5918469212396156E-2</v>
      </c>
      <c r="X52" s="42">
        <f t="shared" si="252"/>
        <v>3.3345306122448903E-2</v>
      </c>
      <c r="Y52" s="45">
        <f>Y157/X157-1</f>
        <v>2.0400553620971928E-2</v>
      </c>
      <c r="Z52" s="45">
        <f>Z157/Y157-1</f>
        <v>1.4579552703782417E-2</v>
      </c>
      <c r="AA52" s="45">
        <f>AA157/Z157-1</f>
        <v>3.173435563722049E-2</v>
      </c>
      <c r="AB52" s="45">
        <f>AB157/AA157-1</f>
        <v>3.0953514997500209E-2</v>
      </c>
      <c r="AC52" s="45">
        <f>AC157/AB157-1</f>
        <v>3.3665627887490501E-2</v>
      </c>
      <c r="AD52" s="45">
        <f t="shared" ref="AD52:AZ52" si="253">AD157/AC157-1</f>
        <v>2.7275150048026386E-2</v>
      </c>
      <c r="AE52" s="45">
        <f t="shared" si="253"/>
        <v>3.5485065249173831E-2</v>
      </c>
      <c r="AF52" s="45">
        <f t="shared" si="253"/>
        <v>2.6674565602050171E-2</v>
      </c>
      <c r="AG52" s="45">
        <f t="shared" si="253"/>
        <v>4.0816482161694978E-2</v>
      </c>
      <c r="AH52" s="45">
        <f t="shared" si="253"/>
        <v>3.3486220607055195E-2</v>
      </c>
      <c r="AI52" s="45">
        <f t="shared" si="253"/>
        <v>3.0770648662572064E-2</v>
      </c>
      <c r="AJ52" s="45">
        <f t="shared" si="253"/>
        <v>1.781129064798348E-2</v>
      </c>
      <c r="AK52" s="45">
        <f t="shared" si="253"/>
        <v>1.6699965987390541E-2</v>
      </c>
      <c r="AL52" s="45">
        <f t="shared" si="253"/>
        <v>1.6873187450566762E-2</v>
      </c>
      <c r="AM52" s="45">
        <f t="shared" si="253"/>
        <v>1.8253399363375111E-2</v>
      </c>
      <c r="AN52" s="45">
        <f t="shared" si="253"/>
        <v>2.2124225170692569E-2</v>
      </c>
      <c r="AO52" s="45">
        <f t="shared" si="253"/>
        <v>1.6943653038197448E-2</v>
      </c>
      <c r="AP52" s="45">
        <f t="shared" si="253"/>
        <v>2.5751603042435622E-2</v>
      </c>
      <c r="AQ52" s="45">
        <f t="shared" si="253"/>
        <v>3.5945856453377001E-2</v>
      </c>
      <c r="AR52" s="45">
        <f t="shared" si="253"/>
        <v>4.547118750447976E-2</v>
      </c>
      <c r="AS52" s="45">
        <f t="shared" si="253"/>
        <v>3.1145657692378981E-2</v>
      </c>
      <c r="AT52" s="45">
        <f t="shared" si="253"/>
        <v>2.5027897624254392E-2</v>
      </c>
      <c r="AU52" s="45">
        <f t="shared" si="253"/>
        <v>2.349117415550106E-2</v>
      </c>
      <c r="AV52" s="45">
        <f t="shared" si="253"/>
        <v>-3.1893009401757766E-3</v>
      </c>
      <c r="AW52" s="45">
        <f t="shared" si="253"/>
        <v>2.4711108056326481E-2</v>
      </c>
      <c r="AX52" s="45">
        <f t="shared" si="253"/>
        <v>3.2155828998601477E-2</v>
      </c>
      <c r="AY52" s="45">
        <f t="shared" si="253"/>
        <v>2.9800721988815893E-2</v>
      </c>
      <c r="AZ52" s="43">
        <f t="shared" si="253"/>
        <v>3.9205509059500043E-2</v>
      </c>
      <c r="BA52" s="232">
        <f t="shared" ref="BA52:BE52" si="254">BA29+BA43</f>
        <v>3.0731999999999982E-2</v>
      </c>
      <c r="BB52" s="232">
        <f t="shared" si="254"/>
        <v>2.7210249999999991E-2</v>
      </c>
      <c r="BC52" s="232">
        <f t="shared" si="254"/>
        <v>2.8210249999999992E-2</v>
      </c>
      <c r="BD52" s="232">
        <f t="shared" si="254"/>
        <v>2.9210249999999993E-2</v>
      </c>
      <c r="BE52" s="232">
        <f t="shared" si="254"/>
        <v>2.9210249999999993E-2</v>
      </c>
      <c r="BF52" s="232">
        <f t="shared" ref="BF52:BI54" si="255">BF29+BF43</f>
        <v>2.9210249999999993E-2</v>
      </c>
      <c r="BG52" s="232">
        <f t="shared" si="255"/>
        <v>2.5156249999999991E-2</v>
      </c>
      <c r="BH52" s="232">
        <f t="shared" si="255"/>
        <v>2.5156249999999991E-2</v>
      </c>
      <c r="BI52" s="232">
        <f t="shared" si="255"/>
        <v>2.0100000000000007E-2</v>
      </c>
      <c r="BJ52" s="232">
        <f t="shared" ref="BJ52:BQ54" si="256">BJ29+BJ43</f>
        <v>2.0100000000000007E-2</v>
      </c>
      <c r="BK52" s="232">
        <f t="shared" si="256"/>
        <v>2.0100000000000007E-2</v>
      </c>
      <c r="BL52" s="232">
        <f t="shared" si="256"/>
        <v>2.0100000000000007E-2</v>
      </c>
      <c r="BM52" s="232">
        <f t="shared" si="256"/>
        <v>2.0100000000000007E-2</v>
      </c>
      <c r="BN52" s="232">
        <f t="shared" si="256"/>
        <v>2.0100000000000007E-2</v>
      </c>
      <c r="BO52" s="232">
        <f t="shared" si="256"/>
        <v>2.0100000000000007E-2</v>
      </c>
      <c r="BP52" s="232">
        <f t="shared" si="256"/>
        <v>2.0100000000000007E-2</v>
      </c>
      <c r="BQ52" s="232">
        <f t="shared" si="256"/>
        <v>2.0100000000000007E-2</v>
      </c>
      <c r="BR52" s="42"/>
      <c r="BS52" s="232" t="e">
        <f t="shared" ref="BS52:CB52" si="257">BS157/BR157-1</f>
        <v>#DIV/0!</v>
      </c>
      <c r="BT52" s="232">
        <f t="shared" si="257"/>
        <v>7.3291798590542356E-2</v>
      </c>
      <c r="BU52" s="232">
        <f t="shared" si="257"/>
        <v>0.15074795881468517</v>
      </c>
      <c r="BV52" s="232">
        <f t="shared" si="257"/>
        <v>9.9667155940542873E-2</v>
      </c>
      <c r="BW52" s="232">
        <f t="shared" si="257"/>
        <v>0.21585952774853356</v>
      </c>
      <c r="BX52" s="232">
        <f t="shared" si="257"/>
        <v>0.1565698735194978</v>
      </c>
      <c r="BY52" s="232">
        <f t="shared" si="257"/>
        <v>9.9919786096256624E-2</v>
      </c>
      <c r="BZ52" s="232">
        <f t="shared" si="257"/>
        <v>0.10593869266110811</v>
      </c>
      <c r="CA52" s="232">
        <f t="shared" si="257"/>
        <v>0.39512034289482356</v>
      </c>
      <c r="CB52" s="232">
        <f t="shared" si="257"/>
        <v>3.1431677458997109E-2</v>
      </c>
      <c r="CC52" s="42">
        <f t="shared" ref="CC52:CS52" si="258">CC157/CB157-1</f>
        <v>0.15165123881098586</v>
      </c>
      <c r="CD52" s="42">
        <f t="shared" si="258"/>
        <v>0.16179006286972442</v>
      </c>
      <c r="CE52" s="42">
        <f t="shared" si="258"/>
        <v>0.2842268700337931</v>
      </c>
      <c r="CF52" s="42">
        <f t="shared" si="258"/>
        <v>0.1549054121328497</v>
      </c>
      <c r="CG52" s="42">
        <f t="shared" si="258"/>
        <v>0.11485378676498881</v>
      </c>
      <c r="CH52" s="42">
        <f t="shared" si="258"/>
        <v>0.13121918886449313</v>
      </c>
      <c r="CI52" s="42">
        <f t="shared" si="258"/>
        <v>0.14091272529739562</v>
      </c>
      <c r="CJ52" s="42">
        <f t="shared" si="258"/>
        <v>0.39897071568428144</v>
      </c>
      <c r="CK52" s="42">
        <f t="shared" si="258"/>
        <v>0.11715308370044042</v>
      </c>
      <c r="CL52" s="42">
        <f t="shared" si="258"/>
        <v>4.829876086807694E-2</v>
      </c>
      <c r="CM52" s="45">
        <f t="shared" si="258"/>
        <v>5.4426122448979486E-2</v>
      </c>
      <c r="CN52" s="45">
        <f t="shared" si="258"/>
        <v>4.677658105153637E-2</v>
      </c>
      <c r="CO52" s="45">
        <f t="shared" si="258"/>
        <v>6.5661212402706282E-2</v>
      </c>
      <c r="CP52" s="45">
        <f t="shared" si="258"/>
        <v>6.3728075776335436E-2</v>
      </c>
      <c r="CQ52" s="45">
        <f t="shared" si="258"/>
        <v>6.8579809694812255E-2</v>
      </c>
      <c r="CR52" s="45">
        <f t="shared" si="258"/>
        <v>6.5287261998964397E-2</v>
      </c>
      <c r="CS52" s="45">
        <f t="shared" si="258"/>
        <v>3.4808704583386918E-2</v>
      </c>
      <c r="CT52" s="45">
        <f t="shared" ref="CT52:DI52" si="259">CT157/CS157-1</f>
        <v>3.5434579843010239E-2</v>
      </c>
      <c r="CU52" s="45">
        <f t="shared" si="259"/>
        <v>3.9442743403921066E-2</v>
      </c>
      <c r="CV52" s="45">
        <f t="shared" si="259"/>
        <v>6.2623122922220276E-2</v>
      </c>
      <c r="CW52" s="45">
        <f t="shared" si="259"/>
        <v>7.8033075237739169E-2</v>
      </c>
      <c r="CX52" s="45">
        <f t="shared" si="259"/>
        <v>4.9107006481593052E-2</v>
      </c>
      <c r="CY52" s="45">
        <f t="shared" si="259"/>
        <v>2.144299595599386E-2</v>
      </c>
      <c r="CZ52" s="43">
        <f t="shared" si="259"/>
        <v>6.2914817907724796E-2</v>
      </c>
      <c r="DA52" s="42">
        <f t="shared" si="259"/>
        <v>7.1142372763916439E-2</v>
      </c>
      <c r="DB52" s="42">
        <f t="shared" si="259"/>
        <v>5.618810795506235E-2</v>
      </c>
      <c r="DC52" s="42">
        <f t="shared" si="259"/>
        <v>5.9273738705062362E-2</v>
      </c>
      <c r="DD52" s="42">
        <f t="shared" si="259"/>
        <v>5.5101320351562455E-2</v>
      </c>
      <c r="DE52" s="42">
        <f t="shared" si="259"/>
        <v>4.5761890624999912E-2</v>
      </c>
      <c r="DF52" s="42">
        <f t="shared" si="259"/>
        <v>4.0604010000000024E-2</v>
      </c>
      <c r="DG52" s="232">
        <f t="shared" si="259"/>
        <v>4.0604010000000024E-2</v>
      </c>
      <c r="DH52" s="232">
        <f t="shared" si="259"/>
        <v>4.0604010000000024E-2</v>
      </c>
      <c r="DI52" s="232">
        <f t="shared" si="259"/>
        <v>4.0604010000000024E-2</v>
      </c>
    </row>
    <row r="53" spans="1:113" outlineLevel="1">
      <c r="A53" s="1" t="s">
        <v>453</v>
      </c>
      <c r="B53" s="19" t="s">
        <v>219</v>
      </c>
      <c r="C53" s="232" t="e">
        <f>SUM(C158:C159)/SUM(B158:B159)-1</f>
        <v>#DIV/0!</v>
      </c>
      <c r="D53" s="232">
        <f>SUM(D158:D159)/SUM(C158:C159)-1</f>
        <v>-0.11980612149844372</v>
      </c>
      <c r="E53" s="232">
        <f>SUM(E158:E159)/SUM(D158:D159)-1</f>
        <v>-2.1758141790566343E-2</v>
      </c>
      <c r="F53" s="232">
        <f t="shared" ref="F53:L53" si="260">SUM(F158:F159)/SUM(E158:E159)-1</f>
        <v>-4.1695030633083774E-2</v>
      </c>
      <c r="G53" s="232">
        <f t="shared" si="260"/>
        <v>-7.1542735367988719E-3</v>
      </c>
      <c r="H53" s="232">
        <f t="shared" si="260"/>
        <v>6.5516800817682297E-2</v>
      </c>
      <c r="I53" s="232">
        <f t="shared" si="260"/>
        <v>-0.1613228134967265</v>
      </c>
      <c r="J53" s="232">
        <f t="shared" si="260"/>
        <v>0.28359830721720236</v>
      </c>
      <c r="K53" s="232">
        <f t="shared" si="260"/>
        <v>6.2508353753619961E-2</v>
      </c>
      <c r="L53" s="232">
        <f t="shared" si="260"/>
        <v>0.10923577303104892</v>
      </c>
      <c r="M53" s="42">
        <f t="shared" ref="M53:X53" si="261">SUM(M158:M159)/SUM(L158:L159)-1</f>
        <v>6.870455243523077E-2</v>
      </c>
      <c r="N53" s="42">
        <f t="shared" si="261"/>
        <v>7.9393714295820761E-2</v>
      </c>
      <c r="O53" s="42">
        <f t="shared" si="261"/>
        <v>0.31047026052760929</v>
      </c>
      <c r="P53" s="42">
        <f t="shared" si="261"/>
        <v>0.18760159043737024</v>
      </c>
      <c r="Q53" s="42">
        <f t="shared" si="261"/>
        <v>5.5705291528921341E-2</v>
      </c>
      <c r="R53" s="42">
        <f t="shared" si="261"/>
        <v>0.3297497830921583</v>
      </c>
      <c r="S53" s="42">
        <f t="shared" si="261"/>
        <v>-1.7796877109301223E-2</v>
      </c>
      <c r="T53" s="45">
        <f t="shared" si="261"/>
        <v>-1.5882105906158683E-3</v>
      </c>
      <c r="U53" s="42">
        <f t="shared" si="261"/>
        <v>-2.4166966204486329E-3</v>
      </c>
      <c r="V53" s="42">
        <f t="shared" si="261"/>
        <v>-2.4785151907759095E-2</v>
      </c>
      <c r="W53" s="42">
        <f t="shared" si="261"/>
        <v>-2.7749827054902587E-3</v>
      </c>
      <c r="X53" s="42">
        <f t="shared" si="261"/>
        <v>1.6869654329746631E-2</v>
      </c>
      <c r="Y53" s="45">
        <f t="shared" ref="Y53:AZ53" si="262">SUM(Y158:Y159)/SUM(X158:X159)-1</f>
        <v>2.2380712430714267E-2</v>
      </c>
      <c r="Z53" s="45">
        <f t="shared" si="262"/>
        <v>6.8773600642999533E-3</v>
      </c>
      <c r="AA53" s="45">
        <f t="shared" si="262"/>
        <v>2.6206990036825362E-2</v>
      </c>
      <c r="AB53" s="45">
        <f t="shared" si="262"/>
        <v>2.719620750133922E-2</v>
      </c>
      <c r="AC53" s="45">
        <f t="shared" si="262"/>
        <v>1.8117520985890367E-2</v>
      </c>
      <c r="AD53" s="45">
        <f t="shared" si="262"/>
        <v>3.6039323280308233E-2</v>
      </c>
      <c r="AE53" s="45">
        <f t="shared" si="262"/>
        <v>4.2046231890928931E-2</v>
      </c>
      <c r="AF53" s="45">
        <f t="shared" si="262"/>
        <v>6.8155081082837743E-2</v>
      </c>
      <c r="AG53" s="45">
        <f t="shared" si="262"/>
        <v>3.7775113939917615E-2</v>
      </c>
      <c r="AH53" s="45">
        <f t="shared" si="262"/>
        <v>-3.7877677383039154E-3</v>
      </c>
      <c r="AI53" s="45">
        <f t="shared" si="262"/>
        <v>2.4413930301407261E-2</v>
      </c>
      <c r="AJ53" s="45">
        <f t="shared" si="262"/>
        <v>-1.0387759909451844E-2</v>
      </c>
      <c r="AK53" s="45">
        <f t="shared" si="262"/>
        <v>-1.6871512920699216E-2</v>
      </c>
      <c r="AL53" s="45">
        <f t="shared" si="262"/>
        <v>-4.0510933818361794E-3</v>
      </c>
      <c r="AM53" s="45">
        <f t="shared" si="262"/>
        <v>-2.9884198729921541E-2</v>
      </c>
      <c r="AN53" s="45">
        <f t="shared" si="262"/>
        <v>3.5755542109026095E-3</v>
      </c>
      <c r="AO53" s="45">
        <f t="shared" si="262"/>
        <v>3.8350507929547639E-2</v>
      </c>
      <c r="AP53" s="45">
        <f t="shared" si="262"/>
        <v>-2.346137378074209E-4</v>
      </c>
      <c r="AQ53" s="45">
        <f t="shared" si="262"/>
        <v>1.189184115269315E-2</v>
      </c>
      <c r="AR53" s="45">
        <f t="shared" si="262"/>
        <v>2.8235157699443514E-2</v>
      </c>
      <c r="AS53" s="45">
        <f t="shared" si="262"/>
        <v>0.1085593459261347</v>
      </c>
      <c r="AT53" s="45">
        <f t="shared" si="262"/>
        <v>5.5502713590331876E-2</v>
      </c>
      <c r="AU53" s="45">
        <f t="shared" si="262"/>
        <v>3.4272221285208238E-2</v>
      </c>
      <c r="AV53" s="45">
        <f t="shared" si="262"/>
        <v>-1.2468142405196003E-2</v>
      </c>
      <c r="AW53" s="45">
        <f t="shared" si="262"/>
        <v>2.9794622341956289E-2</v>
      </c>
      <c r="AX53" s="45">
        <f t="shared" si="262"/>
        <v>1.6136274087581226E-2</v>
      </c>
      <c r="AY53" s="45">
        <f t="shared" si="262"/>
        <v>6.2510144822984115E-2</v>
      </c>
      <c r="AZ53" s="43">
        <f t="shared" si="262"/>
        <v>5.3472917692190203E-2</v>
      </c>
      <c r="BA53" s="232">
        <f t="shared" ref="BA53:BE53" si="263">BA30+BA44</f>
        <v>4.5399999999999989E-2</v>
      </c>
      <c r="BB53" s="232">
        <f t="shared" si="263"/>
        <v>3.5224999999999722E-2</v>
      </c>
      <c r="BC53" s="232">
        <f t="shared" si="263"/>
        <v>3.0224999999999724E-2</v>
      </c>
      <c r="BD53" s="232">
        <f t="shared" si="263"/>
        <v>2.0100000000000007E-2</v>
      </c>
      <c r="BE53" s="232">
        <f t="shared" si="263"/>
        <v>2.0100000000000007E-2</v>
      </c>
      <c r="BF53" s="232">
        <f t="shared" si="255"/>
        <v>2.0100000000000007E-2</v>
      </c>
      <c r="BG53" s="232">
        <f t="shared" si="255"/>
        <v>2.0100000000000007E-2</v>
      </c>
      <c r="BH53" s="232">
        <f t="shared" si="255"/>
        <v>2.0100000000000007E-2</v>
      </c>
      <c r="BI53" s="232">
        <f t="shared" si="255"/>
        <v>2.0100000000000007E-2</v>
      </c>
      <c r="BJ53" s="232">
        <f t="shared" ref="BJ53:BK53" si="264">BJ30+BJ44</f>
        <v>2.0100000000000007E-2</v>
      </c>
      <c r="BK53" s="232">
        <f t="shared" si="264"/>
        <v>2.0100000000000007E-2</v>
      </c>
      <c r="BL53" s="232">
        <f t="shared" si="256"/>
        <v>2.0100000000000007E-2</v>
      </c>
      <c r="BM53" s="232">
        <f t="shared" si="256"/>
        <v>2.0100000000000007E-2</v>
      </c>
      <c r="BN53" s="232">
        <f t="shared" ref="BN53:BO53" si="265">BN30+BN44</f>
        <v>2.0100000000000007E-2</v>
      </c>
      <c r="BO53" s="232">
        <f t="shared" si="265"/>
        <v>2.0100000000000007E-2</v>
      </c>
      <c r="BP53" s="232">
        <f t="shared" ref="BP53:BQ53" si="266">BP30+BP44</f>
        <v>2.0100000000000007E-2</v>
      </c>
      <c r="BQ53" s="232">
        <f t="shared" si="266"/>
        <v>2.0100000000000007E-2</v>
      </c>
      <c r="BR53" s="42"/>
      <c r="BS53" s="232" t="e">
        <f t="shared" ref="BS53:CB53" si="267">SUM(BS158:BS159)/SUM(BR158:BR159)-1</f>
        <v>#DIV/0!</v>
      </c>
      <c r="BT53" s="232">
        <f t="shared" si="267"/>
        <v>-5.2505607844044233E-2</v>
      </c>
      <c r="BU53" s="232">
        <f t="shared" si="267"/>
        <v>-0.11011857546728476</v>
      </c>
      <c r="BV53" s="232">
        <f t="shared" si="267"/>
        <v>-7.3979265327019261E-2</v>
      </c>
      <c r="BW53" s="232">
        <f t="shared" si="267"/>
        <v>0.14833645967025366</v>
      </c>
      <c r="BX53" s="232">
        <f t="shared" si="267"/>
        <v>0.17057129347031763</v>
      </c>
      <c r="BY53" s="232">
        <f t="shared" si="267"/>
        <v>6.9589805736109511E-2</v>
      </c>
      <c r="BZ53" s="232">
        <f t="shared" si="267"/>
        <v>0.16950490970267107</v>
      </c>
      <c r="CA53" s="232">
        <f t="shared" si="267"/>
        <v>0.39978862695593453</v>
      </c>
      <c r="CB53" s="232">
        <f t="shared" si="267"/>
        <v>1.8665715903609659E-3</v>
      </c>
      <c r="CC53" s="42">
        <f t="shared" ref="CC53:CS53" si="268">SUM(CC158:CC159)/SUM(CB158:CB159)-1</f>
        <v>-0.13895750471006907</v>
      </c>
      <c r="CD53" s="42">
        <f t="shared" si="268"/>
        <v>-4.8551006515608286E-2</v>
      </c>
      <c r="CE53" s="42">
        <f t="shared" si="268"/>
        <v>-0.10637536731825736</v>
      </c>
      <c r="CF53" s="42">
        <f t="shared" si="268"/>
        <v>0.36383392428228301</v>
      </c>
      <c r="CG53" s="42">
        <f t="shared" si="268"/>
        <v>0.18544532036229455</v>
      </c>
      <c r="CH53" s="42">
        <f t="shared" si="268"/>
        <v>0.41451336198510824</v>
      </c>
      <c r="CI53" s="42">
        <f t="shared" si="268"/>
        <v>0.25375728325289448</v>
      </c>
      <c r="CJ53" s="42">
        <f t="shared" si="268"/>
        <v>0.30608438961634743</v>
      </c>
      <c r="CK53" s="42">
        <f t="shared" si="268"/>
        <v>-4.0010689878975381E-3</v>
      </c>
      <c r="CL53" s="42">
        <f t="shared" si="268"/>
        <v>-2.7491356245352261E-2</v>
      </c>
      <c r="CM53" s="45">
        <f t="shared" si="268"/>
        <v>3.9627921642820585E-2</v>
      </c>
      <c r="CN53" s="45">
        <f t="shared" si="268"/>
        <v>3.3264585007809933E-2</v>
      </c>
      <c r="CO53" s="45">
        <f t="shared" si="268"/>
        <v>4.5806456347371682E-2</v>
      </c>
      <c r="CP53" s="45">
        <f t="shared" si="268"/>
        <v>7.9600872915073229E-2</v>
      </c>
      <c r="CQ53" s="45">
        <f t="shared" si="268"/>
        <v>0.10850476097624395</v>
      </c>
      <c r="CR53" s="45">
        <f t="shared" si="268"/>
        <v>2.0533688265542471E-2</v>
      </c>
      <c r="CS53" s="45">
        <f t="shared" si="268"/>
        <v>-2.7084015604621592E-2</v>
      </c>
      <c r="CT53" s="45">
        <f t="shared" ref="CT53:DI53" si="269">SUM(CT158:CT159)/SUM(CS158:CS159)-1</f>
        <v>-3.3814228432061499E-2</v>
      </c>
      <c r="CU53" s="45">
        <f t="shared" si="269"/>
        <v>4.2063186460568058E-2</v>
      </c>
      <c r="CV53" s="45">
        <f t="shared" si="269"/>
        <v>1.1654437425583364E-2</v>
      </c>
      <c r="CW53" s="45">
        <f t="shared" si="269"/>
        <v>0.13985969387755093</v>
      </c>
      <c r="CX53" s="45">
        <f t="shared" si="269"/>
        <v>9.1677136157637396E-2</v>
      </c>
      <c r="CY53" s="45">
        <f t="shared" si="269"/>
        <v>1.6954996342491757E-2</v>
      </c>
      <c r="CZ53" s="43">
        <f t="shared" si="269"/>
        <v>7.9655099740683299E-2</v>
      </c>
      <c r="DA53" s="42">
        <f t="shared" si="269"/>
        <v>0.10130058815541565</v>
      </c>
      <c r="DB53" s="42">
        <f t="shared" si="269"/>
        <v>6.6514675624999464E-2</v>
      </c>
      <c r="DC53" s="42">
        <f t="shared" si="269"/>
        <v>4.0604009999999802E-2</v>
      </c>
      <c r="DD53" s="42">
        <f t="shared" si="269"/>
        <v>4.0604010000000246E-2</v>
      </c>
      <c r="DE53" s="42">
        <f t="shared" si="269"/>
        <v>4.0604010000000024E-2</v>
      </c>
      <c r="DF53" s="42">
        <f t="shared" si="269"/>
        <v>4.0604009999999802E-2</v>
      </c>
      <c r="DG53" s="232">
        <f t="shared" si="269"/>
        <v>4.0604010000000024E-2</v>
      </c>
      <c r="DH53" s="232">
        <f t="shared" si="269"/>
        <v>4.0604010000000024E-2</v>
      </c>
      <c r="DI53" s="232">
        <f t="shared" si="269"/>
        <v>4.0604010000000024E-2</v>
      </c>
    </row>
    <row r="54" spans="1:113" outlineLevel="1">
      <c r="A54" s="1" t="s">
        <v>454</v>
      </c>
      <c r="B54" s="19" t="s">
        <v>220</v>
      </c>
      <c r="C54" s="232" t="e">
        <f>C160/B160-1</f>
        <v>#VALUE!</v>
      </c>
      <c r="D54" s="232">
        <f>D160/C160-1</f>
        <v>0.49052308019957058</v>
      </c>
      <c r="E54" s="232">
        <f>E160/D160-1</f>
        <v>3.3720497597748311E-2</v>
      </c>
      <c r="F54" s="232">
        <f t="shared" ref="F54:L54" si="270">F160/E160-1</f>
        <v>6.038840117052402E-2</v>
      </c>
      <c r="G54" s="232">
        <f t="shared" si="270"/>
        <v>9.6169928081619727E-3</v>
      </c>
      <c r="H54" s="232">
        <f t="shared" si="270"/>
        <v>1.7145697009856686E-2</v>
      </c>
      <c r="I54" s="232">
        <f t="shared" si="270"/>
        <v>4.6416938110749095E-2</v>
      </c>
      <c r="J54" s="232">
        <f t="shared" si="270"/>
        <v>0.12038910505836586</v>
      </c>
      <c r="K54" s="232">
        <f t="shared" si="270"/>
        <v>6.0081961519760974E-2</v>
      </c>
      <c r="L54" s="232">
        <f t="shared" si="270"/>
        <v>1.4873542130782402E-2</v>
      </c>
      <c r="M54" s="42">
        <f t="shared" ref="M54:X54" si="271">M160/L160-1</f>
        <v>8.4640712763897064E-2</v>
      </c>
      <c r="N54" s="42">
        <f t="shared" si="271"/>
        <v>5.4702380952381002E-2</v>
      </c>
      <c r="O54" s="42">
        <f t="shared" si="271"/>
        <v>0.10282747333370956</v>
      </c>
      <c r="P54" s="42">
        <f t="shared" si="271"/>
        <v>3.5975640960032695E-2</v>
      </c>
      <c r="Q54" s="42">
        <f t="shared" si="271"/>
        <v>-2.5538431140090911E-2</v>
      </c>
      <c r="R54" s="42">
        <f t="shared" si="271"/>
        <v>-5.3327926192528019E-2</v>
      </c>
      <c r="S54" s="42">
        <f t="shared" si="271"/>
        <v>6.4257028112457704E-4</v>
      </c>
      <c r="T54" s="45">
        <f t="shared" si="271"/>
        <v>6.7480066356290447E-2</v>
      </c>
      <c r="U54" s="42">
        <f t="shared" si="271"/>
        <v>1.7545618608381108E-3</v>
      </c>
      <c r="V54" s="42">
        <f t="shared" si="271"/>
        <v>5.0042536155732176E-3</v>
      </c>
      <c r="W54" s="42">
        <f t="shared" si="271"/>
        <v>1.4340486979036893E-2</v>
      </c>
      <c r="X54" s="42">
        <f t="shared" si="271"/>
        <v>-2.650827156251534E-3</v>
      </c>
      <c r="Y54" s="45">
        <f t="shared" ref="Y54:AZ54" si="272">Y160/X160-1</f>
        <v>6.7431215238469289E-3</v>
      </c>
      <c r="Z54" s="45">
        <f t="shared" si="272"/>
        <v>1.8089371272122845E-2</v>
      </c>
      <c r="AA54" s="45">
        <f t="shared" si="272"/>
        <v>2.4635036496350349E-2</v>
      </c>
      <c r="AB54" s="45">
        <f t="shared" si="272"/>
        <v>2.3339738482448302E-2</v>
      </c>
      <c r="AC54" s="45">
        <f t="shared" si="272"/>
        <v>1.9235172887565932E-2</v>
      </c>
      <c r="AD54" s="45">
        <f t="shared" si="272"/>
        <v>2.5297685913277856E-2</v>
      </c>
      <c r="AE54" s="45">
        <f t="shared" si="272"/>
        <v>-6.0040319046367197E-3</v>
      </c>
      <c r="AF54" s="45">
        <f t="shared" si="272"/>
        <v>1.8473612274590989E-2</v>
      </c>
      <c r="AG54" s="45">
        <f t="shared" si="272"/>
        <v>-6.4935064935064402E-3</v>
      </c>
      <c r="AH54" s="45">
        <f t="shared" si="272"/>
        <v>-2.2657952069716769E-3</v>
      </c>
      <c r="AI54" s="45">
        <f t="shared" si="272"/>
        <v>-1.2271814132238656E-2</v>
      </c>
      <c r="AJ54" s="45">
        <f t="shared" si="272"/>
        <v>-1.3264358668257925E-3</v>
      </c>
      <c r="AK54" s="45">
        <f t="shared" si="272"/>
        <v>-1.1643865940585307E-2</v>
      </c>
      <c r="AL54" s="45">
        <f t="shared" si="272"/>
        <v>-3.1849130980111107E-2</v>
      </c>
      <c r="AM54" s="45">
        <f t="shared" si="272"/>
        <v>-3.1878961735992251E-2</v>
      </c>
      <c r="AN54" s="45">
        <f t="shared" si="272"/>
        <v>-4.1244503918944742E-2</v>
      </c>
      <c r="AO54" s="45">
        <f t="shared" si="272"/>
        <v>-0.13733114002293001</v>
      </c>
      <c r="AP54" s="45">
        <f t="shared" si="272"/>
        <v>-4.7960245001733459E-2</v>
      </c>
      <c r="AQ54" s="45">
        <f t="shared" si="272"/>
        <v>-2.3549405195435802E-2</v>
      </c>
      <c r="AR54" s="45">
        <f t="shared" si="272"/>
        <v>-1.9766285430134256E-2</v>
      </c>
      <c r="AS54" s="45">
        <f t="shared" si="272"/>
        <v>-7.2289156626506035E-3</v>
      </c>
      <c r="AT54" s="45">
        <f t="shared" si="272"/>
        <v>2.5293817066939228E-2</v>
      </c>
      <c r="AU54" s="45">
        <f t="shared" si="272"/>
        <v>6.8527286319461922E-3</v>
      </c>
      <c r="AV54" s="45">
        <f t="shared" si="272"/>
        <v>2.5306273975993054E-2</v>
      </c>
      <c r="AW54" s="45">
        <f t="shared" si="272"/>
        <v>-4.0733812081346965E-2</v>
      </c>
      <c r="AX54" s="45">
        <f t="shared" si="272"/>
        <v>6.3537996980371769E-3</v>
      </c>
      <c r="AY54" s="45">
        <f t="shared" si="272"/>
        <v>-2.0753891354629017E-2</v>
      </c>
      <c r="AZ54" s="43">
        <f t="shared" si="272"/>
        <v>1.4427066709224334E-2</v>
      </c>
      <c r="BA54" s="232">
        <f t="shared" ref="BA54:BE54" si="273">BA31+BA45</f>
        <v>2.0100000000000007E-2</v>
      </c>
      <c r="BB54" s="232">
        <f t="shared" si="273"/>
        <v>1.2537499999999868E-2</v>
      </c>
      <c r="BC54" s="232">
        <f t="shared" si="273"/>
        <v>1.0024999999999729E-2</v>
      </c>
      <c r="BD54" s="232">
        <f t="shared" si="273"/>
        <v>1.0024999999999729E-2</v>
      </c>
      <c r="BE54" s="232">
        <f t="shared" si="273"/>
        <v>1.0024999999999729E-2</v>
      </c>
      <c r="BF54" s="232">
        <f t="shared" si="255"/>
        <v>1.0024999999999729E-2</v>
      </c>
      <c r="BG54" s="232">
        <f t="shared" si="255"/>
        <v>1.0024999999999729E-2</v>
      </c>
      <c r="BH54" s="232">
        <f t="shared" si="255"/>
        <v>1.0024999999999729E-2</v>
      </c>
      <c r="BI54" s="232">
        <f t="shared" si="255"/>
        <v>1.0024999999999729E-2</v>
      </c>
      <c r="BJ54" s="232">
        <f t="shared" ref="BJ54:BK54" si="274">BJ31+BJ45</f>
        <v>1.0024999999999729E-2</v>
      </c>
      <c r="BK54" s="232">
        <f t="shared" si="274"/>
        <v>1.0024999999999729E-2</v>
      </c>
      <c r="BL54" s="232">
        <f t="shared" si="256"/>
        <v>1.0024999999999729E-2</v>
      </c>
      <c r="BM54" s="232">
        <f t="shared" si="256"/>
        <v>1.0024999999999729E-2</v>
      </c>
      <c r="BN54" s="232">
        <f t="shared" ref="BN54:BO54" si="275">BN31+BN45</f>
        <v>1.0024999999999729E-2</v>
      </c>
      <c r="BO54" s="232">
        <f t="shared" si="275"/>
        <v>1.0024999999999729E-2</v>
      </c>
      <c r="BP54" s="232">
        <f t="shared" ref="BP54:BQ54" si="276">BP31+BP45</f>
        <v>1.0024999999999729E-2</v>
      </c>
      <c r="BQ54" s="232">
        <f t="shared" si="276"/>
        <v>1.0024999999999729E-2</v>
      </c>
      <c r="BR54" s="42"/>
      <c r="BS54" s="232" t="e">
        <f t="shared" ref="BS54:CB54" si="277">BS160/BR160-1</f>
        <v>#DIV/0!</v>
      </c>
      <c r="BT54" s="232">
        <f t="shared" si="277"/>
        <v>-3.1065280234715553E-3</v>
      </c>
      <c r="BU54" s="232">
        <f t="shared" si="277"/>
        <v>-3.029647262497992E-4</v>
      </c>
      <c r="BV54" s="232">
        <f t="shared" si="277"/>
        <v>0.25104626663203167</v>
      </c>
      <c r="BW54" s="232">
        <f t="shared" si="277"/>
        <v>-0.24397277656015692</v>
      </c>
      <c r="BX54" s="232">
        <f t="shared" si="277"/>
        <v>4.7146780592004944E-2</v>
      </c>
      <c r="BY54" s="232">
        <f t="shared" si="277"/>
        <v>0.21812618388459848</v>
      </c>
      <c r="BZ54" s="232">
        <f t="shared" si="277"/>
        <v>0.21339712918660281</v>
      </c>
      <c r="CA54" s="232">
        <f t="shared" si="277"/>
        <v>-0.30372634069400628</v>
      </c>
      <c r="CB54" s="232">
        <f t="shared" si="277"/>
        <v>3.6245221577233533E-2</v>
      </c>
      <c r="CC54" s="42">
        <f t="shared" ref="CC54:CS54" si="278">CC160/CB160-1</f>
        <v>0.5407842601448285</v>
      </c>
      <c r="CD54" s="42">
        <f t="shared" si="278"/>
        <v>7.0586148798439385E-2</v>
      </c>
      <c r="CE54" s="42">
        <f t="shared" si="278"/>
        <v>6.4358485877578087E-2</v>
      </c>
      <c r="CF54" s="42">
        <f t="shared" si="278"/>
        <v>0.18770428015564211</v>
      </c>
      <c r="CG54" s="42">
        <f t="shared" si="278"/>
        <v>0.10077316210195253</v>
      </c>
      <c r="CH54" s="42">
        <f t="shared" si="278"/>
        <v>0.16315476190476197</v>
      </c>
      <c r="CI54" s="42">
        <f t="shared" si="278"/>
        <v>9.5184483905634831E-3</v>
      </c>
      <c r="CJ54" s="42">
        <f t="shared" si="278"/>
        <v>-5.2719622851928882E-2</v>
      </c>
      <c r="CK54" s="42">
        <f t="shared" si="278"/>
        <v>6.935302616792427E-2</v>
      </c>
      <c r="CL54" s="42">
        <f t="shared" si="278"/>
        <v>1.9416504028424209E-2</v>
      </c>
      <c r="CM54" s="45">
        <f t="shared" si="278"/>
        <v>4.0744195179420739E-3</v>
      </c>
      <c r="CN54" s="45">
        <f t="shared" si="278"/>
        <v>4.3170040089957951E-2</v>
      </c>
      <c r="CO54" s="45">
        <f t="shared" si="278"/>
        <v>4.3023855274874734E-2</v>
      </c>
      <c r="CP54" s="45">
        <f t="shared" si="278"/>
        <v>1.9141765895304363E-2</v>
      </c>
      <c r="CQ54" s="45">
        <f t="shared" si="278"/>
        <v>1.1860147259820986E-2</v>
      </c>
      <c r="CR54" s="45">
        <f t="shared" si="278"/>
        <v>-1.4509803921568643E-2</v>
      </c>
      <c r="CS54" s="45">
        <f t="shared" si="278"/>
        <v>-1.2954856965999073E-2</v>
      </c>
      <c r="CT54" s="45">
        <f t="shared" ref="CT54:DI54" si="279">CT160/CS160-1</f>
        <v>-6.2712775488263706E-2</v>
      </c>
      <c r="CU54" s="45">
        <f t="shared" si="279"/>
        <v>-0.1729114891990059</v>
      </c>
      <c r="CV54" s="45">
        <f t="shared" si="279"/>
        <v>-7.0380214954351095E-2</v>
      </c>
      <c r="CW54" s="45">
        <f t="shared" si="279"/>
        <v>-2.6852312282446555E-2</v>
      </c>
      <c r="CX54" s="45">
        <f t="shared" si="279"/>
        <v>3.23198773633111E-2</v>
      </c>
      <c r="CY54" s="45">
        <f t="shared" si="279"/>
        <v>-1.6458359113971088E-2</v>
      </c>
      <c r="CZ54" s="43">
        <f t="shared" si="279"/>
        <v>-1.4531957725213873E-2</v>
      </c>
      <c r="DA54" s="42">
        <f t="shared" si="279"/>
        <v>3.4817050750079792E-2</v>
      </c>
      <c r="DB54" s="42">
        <f t="shared" si="279"/>
        <v>2.2688188437499646E-2</v>
      </c>
      <c r="DC54" s="42">
        <f t="shared" si="279"/>
        <v>2.0150500624999346E-2</v>
      </c>
      <c r="DD54" s="42">
        <f t="shared" si="279"/>
        <v>2.0150500624999568E-2</v>
      </c>
      <c r="DE54" s="42">
        <f t="shared" si="279"/>
        <v>2.0150500624999568E-2</v>
      </c>
      <c r="DF54" s="42">
        <f t="shared" si="279"/>
        <v>2.0150500624999346E-2</v>
      </c>
      <c r="DG54" s="232">
        <f t="shared" si="279"/>
        <v>2.0150500624999346E-2</v>
      </c>
      <c r="DH54" s="232">
        <f t="shared" si="279"/>
        <v>2.0150500624999346E-2</v>
      </c>
      <c r="DI54" s="232">
        <f t="shared" si="279"/>
        <v>2.0150500624999346E-2</v>
      </c>
    </row>
    <row r="55" spans="1:113" outlineLevel="1">
      <c r="A55" s="1" t="s">
        <v>851</v>
      </c>
      <c r="B55" s="19" t="s">
        <v>473</v>
      </c>
      <c r="C55" s="232">
        <f t="shared" ref="C55:L55" si="280">C161/C186</f>
        <v>1.1821435575603059</v>
      </c>
      <c r="D55" s="232">
        <f t="shared" si="280"/>
        <v>1.154034275473248</v>
      </c>
      <c r="E55" s="232">
        <f t="shared" si="280"/>
        <v>1.1138584090849668</v>
      </c>
      <c r="F55" s="232">
        <f t="shared" si="280"/>
        <v>1.1379322138240022</v>
      </c>
      <c r="G55" s="232">
        <f t="shared" si="280"/>
        <v>1.1849676438950263</v>
      </c>
      <c r="H55" s="232">
        <f t="shared" si="280"/>
        <v>1.1515625355811783</v>
      </c>
      <c r="I55" s="232">
        <f t="shared" si="280"/>
        <v>1.1825061961524843</v>
      </c>
      <c r="J55" s="232">
        <f t="shared" si="280"/>
        <v>1.3111489423355549</v>
      </c>
      <c r="K55" s="232">
        <f t="shared" si="280"/>
        <v>1.3890301253843993</v>
      </c>
      <c r="L55" s="232">
        <f t="shared" si="280"/>
        <v>1.4178898733037315</v>
      </c>
      <c r="M55" s="42">
        <f t="shared" ref="M55:X55" si="281">M161/M186</f>
        <v>1.4660918999556494</v>
      </c>
      <c r="N55" s="42">
        <f t="shared" si="281"/>
        <v>1.4448087500471989</v>
      </c>
      <c r="O55" s="42">
        <f t="shared" si="281"/>
        <v>1.4053630032818378</v>
      </c>
      <c r="P55" s="42">
        <f t="shared" si="281"/>
        <v>1.3192081870061458</v>
      </c>
      <c r="Q55" s="42">
        <f t="shared" si="281"/>
        <v>1.3202708283148079</v>
      </c>
      <c r="R55" s="42">
        <f t="shared" si="281"/>
        <v>1.2948732564377683</v>
      </c>
      <c r="S55" s="42">
        <f t="shared" si="281"/>
        <v>1.2993625742267618</v>
      </c>
      <c r="T55" s="45">
        <f t="shared" si="281"/>
        <v>1.3263822967391974</v>
      </c>
      <c r="U55" s="42">
        <f t="shared" si="281"/>
        <v>1.3422703988013818</v>
      </c>
      <c r="V55" s="42">
        <f t="shared" si="281"/>
        <v>1.2793034774473848</v>
      </c>
      <c r="W55" s="42">
        <f t="shared" si="281"/>
        <v>1.2612110491828812</v>
      </c>
      <c r="X55" s="42">
        <f t="shared" si="281"/>
        <v>1.2208889028686463</v>
      </c>
      <c r="Y55" s="45">
        <f t="shared" ref="Y55:AD55" si="282">Y161/Y186</f>
        <v>1.2415917320222165</v>
      </c>
      <c r="Z55" s="45">
        <f t="shared" si="282"/>
        <v>1.2169863567969452</v>
      </c>
      <c r="AA55" s="45">
        <f t="shared" si="282"/>
        <v>1.2261579909602116</v>
      </c>
      <c r="AB55" s="45">
        <f t="shared" si="282"/>
        <v>1.2196454563488743</v>
      </c>
      <c r="AC55" s="45">
        <f t="shared" si="282"/>
        <v>1.2156797362010356</v>
      </c>
      <c r="AD55" s="45">
        <f t="shared" si="282"/>
        <v>1.2046196088220087</v>
      </c>
      <c r="AE55" s="45">
        <f t="shared" ref="AE55:AK55" si="283">AE161/AE186</f>
        <v>1.1970972461052793</v>
      </c>
      <c r="AF55" s="45">
        <f t="shared" si="283"/>
        <v>1.2143200605449884</v>
      </c>
      <c r="AG55" s="45">
        <f t="shared" si="283"/>
        <v>1.2082774735129265</v>
      </c>
      <c r="AH55" s="45">
        <f t="shared" si="283"/>
        <v>1.1925246020974947</v>
      </c>
      <c r="AI55" s="45">
        <f t="shared" si="283"/>
        <v>1.1858422667063913</v>
      </c>
      <c r="AJ55" s="45">
        <f t="shared" si="283"/>
        <v>1.1922865147462591</v>
      </c>
      <c r="AK55" s="45">
        <f t="shared" si="283"/>
        <v>1.2178145442011448</v>
      </c>
      <c r="AL55" s="45">
        <f t="shared" ref="AL55:AQ55" si="284">AL161/AL186</f>
        <v>1.2154609974221062</v>
      </c>
      <c r="AM55" s="45">
        <f t="shared" si="284"/>
        <v>1.2143887036381587</v>
      </c>
      <c r="AN55" s="45">
        <f t="shared" si="284"/>
        <v>1.1919976230563534</v>
      </c>
      <c r="AO55" s="45">
        <f t="shared" si="284"/>
        <v>1.1230834383732484</v>
      </c>
      <c r="AP55" s="45">
        <f t="shared" si="284"/>
        <v>1.0793364268995347</v>
      </c>
      <c r="AQ55" s="45">
        <f t="shared" si="284"/>
        <v>1.0697378266921054</v>
      </c>
      <c r="AR55" s="45">
        <f t="shared" ref="AR55" si="285">AR161/AR186</f>
        <v>1.0572094264630567</v>
      </c>
      <c r="AS55" s="45">
        <f t="shared" ref="AS55:AT55" si="286">AS161/AS186</f>
        <v>1.0522801561533282</v>
      </c>
      <c r="AT55" s="45">
        <f t="shared" si="286"/>
        <v>1.062297389324232</v>
      </c>
      <c r="AU55" s="45">
        <f t="shared" ref="AU55" si="287">AU161/AU186</f>
        <v>1.061541067775186</v>
      </c>
      <c r="AV55" s="45">
        <f t="shared" ref="AV55:AW55" si="288">AV161/AV186</f>
        <v>1.0487410376815269</v>
      </c>
      <c r="AW55" s="45">
        <f t="shared" si="288"/>
        <v>1.0651621583145334</v>
      </c>
      <c r="AX55" s="45">
        <f t="shared" ref="AX55:AY55" si="289">AX161/AX186</f>
        <v>1.0799194591461454</v>
      </c>
      <c r="AY55" s="45">
        <f t="shared" si="289"/>
        <v>1.0781780223581543</v>
      </c>
      <c r="AZ55" s="43">
        <f t="shared" ref="AZ55" si="290">AZ161/AZ186</f>
        <v>1.0683067605252283</v>
      </c>
      <c r="BA55" s="511">
        <f>BA161/((AZ186*(1+3%)))</f>
        <v>1.0729685967134444</v>
      </c>
      <c r="BB55" s="511">
        <f>BB161/((BA186*(1+2.5%)))</f>
        <v>1.0773021740888542</v>
      </c>
      <c r="BC55" s="511">
        <f t="shared" ref="BC55:BH55" si="291">BC161/((BB186*(1+2.5%)))</f>
        <v>1.0809359708704189</v>
      </c>
      <c r="BD55" s="511">
        <f t="shared" si="291"/>
        <v>1.0824124101588011</v>
      </c>
      <c r="BE55" s="511">
        <f t="shared" si="291"/>
        <v>1.0839123440276328</v>
      </c>
      <c r="BF55" s="511">
        <f t="shared" si="291"/>
        <v>1.0854357379910993</v>
      </c>
      <c r="BG55" s="511">
        <f t="shared" si="291"/>
        <v>1.0839109843765891</v>
      </c>
      <c r="BH55" s="511">
        <f t="shared" si="291"/>
        <v>1.0823965405094995</v>
      </c>
      <c r="BI55" s="511">
        <f>BH55</f>
        <v>1.0823965405094995</v>
      </c>
      <c r="BJ55" s="511">
        <f t="shared" ref="BJ55" si="292">BI55</f>
        <v>1.0823965405094995</v>
      </c>
      <c r="BK55" s="511">
        <f t="shared" ref="BK55:BM55" si="293">BJ55</f>
        <v>1.0823965405094995</v>
      </c>
      <c r="BL55" s="511">
        <f t="shared" si="293"/>
        <v>1.0823965405094995</v>
      </c>
      <c r="BM55" s="511">
        <f t="shared" si="293"/>
        <v>1.0823965405094995</v>
      </c>
      <c r="BN55" s="511">
        <f t="shared" ref="BN55" si="294">BM55</f>
        <v>1.0823965405094995</v>
      </c>
      <c r="BO55" s="511">
        <f t="shared" ref="BO55" si="295">BN55</f>
        <v>1.0823965405094995</v>
      </c>
      <c r="BP55" s="511">
        <f t="shared" ref="BP55" si="296">BO55</f>
        <v>1.0823965405094995</v>
      </c>
      <c r="BQ55" s="511">
        <f t="shared" ref="BQ55" si="297">BP55</f>
        <v>1.0823965405094995</v>
      </c>
      <c r="BR55" s="42"/>
      <c r="BS55" s="232">
        <f t="shared" ref="BS55:CB55" si="298">BS161/BS186</f>
        <v>0.86716622604097826</v>
      </c>
      <c r="BT55" s="232">
        <f t="shared" si="298"/>
        <v>0.76256296360812315</v>
      </c>
      <c r="BU55" s="232">
        <f t="shared" si="298"/>
        <v>0.7827833254549752</v>
      </c>
      <c r="BV55" s="232">
        <f t="shared" si="298"/>
        <v>0.81361917880484158</v>
      </c>
      <c r="BW55" s="232">
        <f t="shared" si="298"/>
        <v>1.0207419815736316</v>
      </c>
      <c r="BX55" s="232">
        <f t="shared" si="298"/>
        <v>1.0750492458986813</v>
      </c>
      <c r="BY55" s="232">
        <f t="shared" si="298"/>
        <v>1.1081309636227819</v>
      </c>
      <c r="BZ55" s="232">
        <f t="shared" si="298"/>
        <v>1.1090751730959445</v>
      </c>
      <c r="CA55" s="232">
        <f t="shared" si="298"/>
        <v>1.195745627787949</v>
      </c>
      <c r="CB55" s="232">
        <f t="shared" si="298"/>
        <v>1.1821435575603059</v>
      </c>
      <c r="CC55" s="42">
        <f t="shared" ref="CC55:CR55" si="299">CC161/CC186</f>
        <v>1.1138584090849668</v>
      </c>
      <c r="CD55" s="42">
        <f t="shared" si="299"/>
        <v>1.1849676438950263</v>
      </c>
      <c r="CE55" s="42">
        <f t="shared" si="299"/>
        <v>1.1825061961524843</v>
      </c>
      <c r="CF55" s="42">
        <f t="shared" si="299"/>
        <v>1.3890301253843993</v>
      </c>
      <c r="CG55" s="42">
        <f t="shared" si="299"/>
        <v>1.4660918999556494</v>
      </c>
      <c r="CH55" s="42">
        <f t="shared" si="299"/>
        <v>1.4053630032818378</v>
      </c>
      <c r="CI55" s="42">
        <f t="shared" si="299"/>
        <v>1.3202708283148079</v>
      </c>
      <c r="CJ55" s="42">
        <f t="shared" si="299"/>
        <v>1.2993625742267618</v>
      </c>
      <c r="CK55" s="42">
        <f t="shared" si="299"/>
        <v>1.3422703988013818</v>
      </c>
      <c r="CL55" s="42">
        <f t="shared" si="299"/>
        <v>1.2612110491828812</v>
      </c>
      <c r="CM55" s="45">
        <f t="shared" si="299"/>
        <v>1.2415917320222165</v>
      </c>
      <c r="CN55" s="45">
        <f t="shared" si="299"/>
        <v>1.2261579909602116</v>
      </c>
      <c r="CO55" s="45">
        <f t="shared" si="299"/>
        <v>1.2156797362010356</v>
      </c>
      <c r="CP55" s="45">
        <f t="shared" si="299"/>
        <v>1.1970972461052793</v>
      </c>
      <c r="CQ55" s="45">
        <f t="shared" si="299"/>
        <v>1.2082774735129265</v>
      </c>
      <c r="CR55" s="45">
        <f t="shared" si="299"/>
        <v>1.1858422667063913</v>
      </c>
      <c r="CS55" s="45">
        <f t="shared" ref="CS55:DC55" si="300">CS161/CS186</f>
        <v>1.2178145442011448</v>
      </c>
      <c r="CT55" s="45">
        <f t="shared" si="300"/>
        <v>1.2143887036381587</v>
      </c>
      <c r="CU55" s="45">
        <f t="shared" si="300"/>
        <v>1.1230834383732484</v>
      </c>
      <c r="CV55" s="45">
        <f t="shared" si="300"/>
        <v>1.0697378266921054</v>
      </c>
      <c r="CW55" s="45">
        <f t="shared" si="300"/>
        <v>1.0522801561533282</v>
      </c>
      <c r="CX55" s="45">
        <f t="shared" si="300"/>
        <v>1.061541067775186</v>
      </c>
      <c r="CY55" s="45">
        <f t="shared" si="300"/>
        <v>1.0651621583145334</v>
      </c>
      <c r="CZ55" s="43">
        <f t="shared" si="300"/>
        <v>1.0781780223581543</v>
      </c>
      <c r="DA55" s="42">
        <f t="shared" si="300"/>
        <v>1.0729685967134444</v>
      </c>
      <c r="DB55" s="42">
        <f t="shared" si="300"/>
        <v>1.0809359708704189</v>
      </c>
      <c r="DC55" s="42">
        <f t="shared" si="300"/>
        <v>1.0839123440276328</v>
      </c>
      <c r="DD55" s="42">
        <f t="shared" ref="DD55:DI55" si="301">DD161/DD186</f>
        <v>1.0839109843765891</v>
      </c>
      <c r="DE55" s="42">
        <f t="shared" si="301"/>
        <v>1.0823965405094995</v>
      </c>
      <c r="DF55" s="42">
        <f t="shared" si="301"/>
        <v>1.0823965405094995</v>
      </c>
      <c r="DG55" s="232">
        <f t="shared" si="301"/>
        <v>1.0823965405094995</v>
      </c>
      <c r="DH55" s="232">
        <f t="shared" si="301"/>
        <v>1.0823965405094995</v>
      </c>
      <c r="DI55" s="232">
        <f t="shared" si="301"/>
        <v>1.0823965405094995</v>
      </c>
    </row>
    <row r="56" spans="1:113" outlineLevel="1">
      <c r="A56" s="1" t="s">
        <v>455</v>
      </c>
      <c r="B56" s="19" t="s">
        <v>385</v>
      </c>
      <c r="C56" s="232" t="e">
        <f t="shared" ref="C56:L56" si="302">(C164*C19)/(B164*B19)-1</f>
        <v>#VALUE!</v>
      </c>
      <c r="D56" s="232">
        <f t="shared" si="302"/>
        <v>0.100358971650234</v>
      </c>
      <c r="E56" s="232">
        <f t="shared" si="302"/>
        <v>8.4117904348116612E-2</v>
      </c>
      <c r="F56" s="232">
        <f t="shared" si="302"/>
        <v>5.1719092800034616E-2</v>
      </c>
      <c r="G56" s="232">
        <f t="shared" si="302"/>
        <v>0.13858137922220837</v>
      </c>
      <c r="H56" s="232">
        <f t="shared" si="302"/>
        <v>0.14690468711061166</v>
      </c>
      <c r="I56" s="232">
        <f t="shared" si="302"/>
        <v>0.12318494660649226</v>
      </c>
      <c r="J56" s="232">
        <f t="shared" si="302"/>
        <v>0.10295870328380352</v>
      </c>
      <c r="K56" s="232">
        <f t="shared" si="302"/>
        <v>0.10475448783333752</v>
      </c>
      <c r="L56" s="232">
        <f t="shared" si="302"/>
        <v>0.10110214442935783</v>
      </c>
      <c r="M56" s="42">
        <f t="shared" ref="M56:X56" si="303">(M164*M19)/(L164*L19)-1</f>
        <v>8.1963334822129585E-2</v>
      </c>
      <c r="N56" s="42">
        <f t="shared" si="303"/>
        <v>7.2548738713306582E-2</v>
      </c>
      <c r="O56" s="42">
        <f t="shared" si="303"/>
        <v>9.8645809394545925E-2</v>
      </c>
      <c r="P56" s="42">
        <f t="shared" si="303"/>
        <v>8.8971375099185845E-2</v>
      </c>
      <c r="Q56" s="42">
        <f t="shared" si="303"/>
        <v>4.8395137192389193E-2</v>
      </c>
      <c r="R56" s="42">
        <f t="shared" si="303"/>
        <v>3.1320482583459652E-2</v>
      </c>
      <c r="S56" s="42">
        <f t="shared" si="303"/>
        <v>1.6617663474788769E-2</v>
      </c>
      <c r="T56" s="45">
        <f t="shared" si="303"/>
        <v>-1.4923278522058214E-2</v>
      </c>
      <c r="U56" s="42">
        <f t="shared" si="303"/>
        <v>4.9538618350482011E-3</v>
      </c>
      <c r="V56" s="42">
        <f t="shared" si="303"/>
        <v>-7.1707113942219847E-3</v>
      </c>
      <c r="W56" s="42">
        <f t="shared" si="303"/>
        <v>-1.740748669334713E-3</v>
      </c>
      <c r="X56" s="42">
        <f t="shared" si="303"/>
        <v>-1.6272420200323934E-3</v>
      </c>
      <c r="Y56" s="45">
        <f t="shared" ref="Y56:AZ56" si="304">(Y164*Y19)/(X164*X19)-1</f>
        <v>6.9727876061431715E-4</v>
      </c>
      <c r="Z56" s="45">
        <f t="shared" si="304"/>
        <v>3.3994334126163706E-2</v>
      </c>
      <c r="AA56" s="45">
        <f t="shared" si="304"/>
        <v>4.21676221927485E-2</v>
      </c>
      <c r="AB56" s="45">
        <f t="shared" si="304"/>
        <v>1.6637572010823831E-2</v>
      </c>
      <c r="AC56" s="45">
        <f t="shared" si="304"/>
        <v>1.4628724971371465E-2</v>
      </c>
      <c r="AD56" s="45">
        <f t="shared" si="304"/>
        <v>1.4511882279012234E-2</v>
      </c>
      <c r="AE56" s="45">
        <f t="shared" si="304"/>
        <v>3.6784380351484014E-2</v>
      </c>
      <c r="AF56" s="45">
        <f t="shared" si="304"/>
        <v>4.4008098820830899E-2</v>
      </c>
      <c r="AG56" s="45">
        <f t="shared" si="304"/>
        <v>4.6517464646668838E-2</v>
      </c>
      <c r="AH56" s="45">
        <f t="shared" si="304"/>
        <v>5.1521460254958296E-2</v>
      </c>
      <c r="AI56" s="45">
        <f t="shared" si="304"/>
        <v>1.7494685273691468E-2</v>
      </c>
      <c r="AJ56" s="45">
        <f t="shared" si="304"/>
        <v>2.8437944481938482E-2</v>
      </c>
      <c r="AK56" s="45">
        <f t="shared" si="304"/>
        <v>2.5441573577969834E-2</v>
      </c>
      <c r="AL56" s="45">
        <f t="shared" si="304"/>
        <v>2.6308719492237786E-2</v>
      </c>
      <c r="AM56" s="45">
        <f t="shared" si="304"/>
        <v>3.3576459722895136E-2</v>
      </c>
      <c r="AN56" s="45">
        <f t="shared" si="304"/>
        <v>2.9266333036298553E-2</v>
      </c>
      <c r="AO56" s="45">
        <f t="shared" si="304"/>
        <v>2.4909093591513054E-2</v>
      </c>
      <c r="AP56" s="45">
        <f t="shared" si="304"/>
        <v>6.8230176389855401E-2</v>
      </c>
      <c r="AQ56" s="45">
        <f t="shared" si="304"/>
        <v>5.0102764219436935E-2</v>
      </c>
      <c r="AR56" s="45">
        <f t="shared" si="304"/>
        <v>3.2457269888066742E-2</v>
      </c>
      <c r="AS56" s="45">
        <f t="shared" si="304"/>
        <v>3.1158349637988803E-2</v>
      </c>
      <c r="AT56" s="45">
        <f t="shared" si="304"/>
        <v>1.9234941302318509E-2</v>
      </c>
      <c r="AU56" s="45">
        <f t="shared" si="304"/>
        <v>8.8535371379052652E-3</v>
      </c>
      <c r="AV56" s="45">
        <f t="shared" si="304"/>
        <v>-6.3292338084041111E-3</v>
      </c>
      <c r="AW56" s="45">
        <f t="shared" si="304"/>
        <v>1.3502956551208811E-2</v>
      </c>
      <c r="AX56" s="45">
        <f t="shared" si="304"/>
        <v>3.1249774804013697E-2</v>
      </c>
      <c r="AY56" s="45">
        <f t="shared" si="304"/>
        <v>3.4579898841182288E-2</v>
      </c>
      <c r="AZ56" s="43">
        <f t="shared" si="304"/>
        <v>4.0309850138083414E-2</v>
      </c>
      <c r="BA56" s="232">
        <f t="shared" ref="BA56:BE56" si="305">BA46+BA32</f>
        <v>3.0100000000000009E-2</v>
      </c>
      <c r="BB56" s="232">
        <f t="shared" si="305"/>
        <v>2.5100000000000008E-2</v>
      </c>
      <c r="BC56" s="232">
        <f t="shared" si="305"/>
        <v>2.5100000000000008E-2</v>
      </c>
      <c r="BD56" s="232">
        <f t="shared" si="305"/>
        <v>2.0100000000000007E-2</v>
      </c>
      <c r="BE56" s="232">
        <f t="shared" si="305"/>
        <v>2.0100000000000007E-2</v>
      </c>
      <c r="BF56" s="232">
        <f t="shared" ref="BF56:BI57" si="306">BF46+BF32</f>
        <v>2.0100000000000007E-2</v>
      </c>
      <c r="BG56" s="232">
        <f t="shared" si="306"/>
        <v>2.0100000000000007E-2</v>
      </c>
      <c r="BH56" s="232">
        <f t="shared" si="306"/>
        <v>2.0100000000000007E-2</v>
      </c>
      <c r="BI56" s="232">
        <f t="shared" si="306"/>
        <v>2.0100000000000007E-2</v>
      </c>
      <c r="BJ56" s="232">
        <f t="shared" ref="BJ56:BM57" si="307">BJ46+BJ32</f>
        <v>2.0100000000000007E-2</v>
      </c>
      <c r="BK56" s="232">
        <f t="shared" si="307"/>
        <v>2.0100000000000007E-2</v>
      </c>
      <c r="BL56" s="232">
        <f t="shared" si="307"/>
        <v>2.0100000000000007E-2</v>
      </c>
      <c r="BM56" s="232">
        <f t="shared" si="307"/>
        <v>2.0100000000000007E-2</v>
      </c>
      <c r="BN56" s="232">
        <f t="shared" ref="BN56:BO56" si="308">BN46+BN32</f>
        <v>2.0100000000000007E-2</v>
      </c>
      <c r="BO56" s="232">
        <f t="shared" si="308"/>
        <v>2.0100000000000007E-2</v>
      </c>
      <c r="BP56" s="232">
        <f t="shared" ref="BP56:BQ56" si="309">BP46+BP32</f>
        <v>2.0100000000000007E-2</v>
      </c>
      <c r="BQ56" s="232">
        <f t="shared" si="309"/>
        <v>2.0100000000000007E-2</v>
      </c>
      <c r="BR56" s="42"/>
      <c r="BS56" s="232" t="e">
        <f t="shared" ref="BS56:CB56" si="310">(BS164*BS19)/(BR164*BR19)-1</f>
        <v>#VALUE!</v>
      </c>
      <c r="BT56" s="232" t="e">
        <f t="shared" si="310"/>
        <v>#VALUE!</v>
      </c>
      <c r="BU56" s="232" t="e">
        <f t="shared" si="310"/>
        <v>#VALUE!</v>
      </c>
      <c r="BV56" s="232" t="e">
        <f t="shared" si="310"/>
        <v>#VALUE!</v>
      </c>
      <c r="BW56" s="232">
        <f t="shared" si="310"/>
        <v>0.28043167867505159</v>
      </c>
      <c r="BX56" s="232">
        <f t="shared" si="310"/>
        <v>0.18691455456117456</v>
      </c>
      <c r="BY56" s="232">
        <f t="shared" si="310"/>
        <v>0.1348108598064619</v>
      </c>
      <c r="BZ56" s="232">
        <f t="shared" si="310"/>
        <v>0.1862285057654498</v>
      </c>
      <c r="CA56" s="232">
        <f t="shared" si="310"/>
        <v>3.4634291233292425E-2</v>
      </c>
      <c r="CB56" s="232">
        <f t="shared" si="310"/>
        <v>9.6326774307130325E-2</v>
      </c>
      <c r="CC56" s="42">
        <f t="shared" ref="CC56:CS56" si="311">(CC164*CC19)/(CB164*CB19)-1</f>
        <v>0.19291886237610045</v>
      </c>
      <c r="CD56" s="42">
        <f t="shared" si="311"/>
        <v>0.19746777523459325</v>
      </c>
      <c r="CE56" s="42">
        <f t="shared" si="311"/>
        <v>0.28818607975506816</v>
      </c>
      <c r="CF56" s="42">
        <f t="shared" si="311"/>
        <v>0.21849857734762046</v>
      </c>
      <c r="CG56" s="42">
        <f t="shared" si="311"/>
        <v>0.19135214816658608</v>
      </c>
      <c r="CH56" s="42">
        <f t="shared" si="311"/>
        <v>0.17835117715878002</v>
      </c>
      <c r="CI56" s="42">
        <f t="shared" si="311"/>
        <v>0.14167229419569582</v>
      </c>
      <c r="CJ56" s="42">
        <f t="shared" si="311"/>
        <v>4.8458619297688355E-2</v>
      </c>
      <c r="CK56" s="42">
        <f t="shared" si="311"/>
        <v>-1.0043344546934119E-2</v>
      </c>
      <c r="CL56" s="42">
        <f t="shared" si="311"/>
        <v>-8.8989776572390156E-3</v>
      </c>
      <c r="CM56" s="45">
        <f t="shared" si="311"/>
        <v>-9.3109790071699283E-4</v>
      </c>
      <c r="CN56" s="45">
        <f t="shared" si="311"/>
        <v>7.7595416557038277E-2</v>
      </c>
      <c r="CO56" s="45">
        <f t="shared" si="311"/>
        <v>3.1509683447332959E-2</v>
      </c>
      <c r="CP56" s="45">
        <f t="shared" si="311"/>
        <v>5.1830073227863593E-2</v>
      </c>
      <c r="CQ56" s="45">
        <f t="shared" si="311"/>
        <v>9.2572708648564817E-2</v>
      </c>
      <c r="CR56" s="45">
        <f t="shared" si="311"/>
        <v>6.9917497260651329E-2</v>
      </c>
      <c r="CS56" s="45">
        <f t="shared" si="311"/>
        <v>5.4603024116851584E-2</v>
      </c>
      <c r="CT56" s="45">
        <f t="shared" ref="CT56:DI56" si="312">(CT164*CT19)/(CS164*CS19)-1</f>
        <v>6.0768532875524972E-2</v>
      </c>
      <c r="CU56" s="45">
        <f t="shared" si="312"/>
        <v>5.4904424456493128E-2</v>
      </c>
      <c r="CV56" s="45">
        <f t="shared" si="312"/>
        <v>0.12175146104960377</v>
      </c>
      <c r="CW56" s="45">
        <f t="shared" si="312"/>
        <v>6.4626934489522725E-2</v>
      </c>
      <c r="CX56" s="45">
        <f t="shared" si="312"/>
        <v>2.8258775707389105E-2</v>
      </c>
      <c r="CY56" s="45">
        <f t="shared" si="312"/>
        <v>7.0882593736874E-3</v>
      </c>
      <c r="CZ56" s="43">
        <f t="shared" si="312"/>
        <v>6.6910287696728465E-2</v>
      </c>
      <c r="DA56" s="42">
        <f t="shared" si="312"/>
        <v>7.1623176627239715E-2</v>
      </c>
      <c r="DB56" s="42">
        <f t="shared" si="312"/>
        <v>5.083000999999987E-2</v>
      </c>
      <c r="DC56" s="42">
        <f t="shared" si="312"/>
        <v>4.0604009999999802E-2</v>
      </c>
      <c r="DD56" s="42">
        <f t="shared" si="312"/>
        <v>4.0604009999999802E-2</v>
      </c>
      <c r="DE56" s="42">
        <f t="shared" si="312"/>
        <v>4.0604010000000024E-2</v>
      </c>
      <c r="DF56" s="42">
        <f t="shared" si="312"/>
        <v>4.0604010000000024E-2</v>
      </c>
      <c r="DG56" s="232">
        <f t="shared" si="312"/>
        <v>4.0604010000000024E-2</v>
      </c>
      <c r="DH56" s="232">
        <f t="shared" si="312"/>
        <v>4.0604010000000024E-2</v>
      </c>
      <c r="DI56" s="232">
        <f t="shared" si="312"/>
        <v>4.0604010000000024E-2</v>
      </c>
    </row>
    <row r="57" spans="1:113" outlineLevel="1">
      <c r="A57" s="1" t="s">
        <v>456</v>
      </c>
      <c r="B57" s="19" t="s">
        <v>507</v>
      </c>
      <c r="C57" s="232" t="e">
        <f t="shared" ref="C57:L57" si="313">(SUM(C166:C166)*C19)/(SUM(B166:B166)*B19)-1</f>
        <v>#VALUE!</v>
      </c>
      <c r="D57" s="232">
        <f t="shared" si="313"/>
        <v>6.8407466243050052E-3</v>
      </c>
      <c r="E57" s="232">
        <f t="shared" si="313"/>
        <v>-2.3167938743109517E-2</v>
      </c>
      <c r="F57" s="232">
        <f t="shared" si="313"/>
        <v>9.4360526779027509E-2</v>
      </c>
      <c r="G57" s="232">
        <f t="shared" si="313"/>
        <v>-2.1046866261941521E-2</v>
      </c>
      <c r="H57" s="232">
        <f t="shared" si="313"/>
        <v>0.13236482363999147</v>
      </c>
      <c r="I57" s="232">
        <f t="shared" si="313"/>
        <v>2.2652333104495659E-2</v>
      </c>
      <c r="J57" s="232">
        <f t="shared" si="313"/>
        <v>0.1285218797598553</v>
      </c>
      <c r="K57" s="232">
        <f t="shared" si="313"/>
        <v>5.3243996981566788E-4</v>
      </c>
      <c r="L57" s="232">
        <f t="shared" si="313"/>
        <v>0.15290393570701166</v>
      </c>
      <c r="M57" s="42">
        <f t="shared" ref="M57:X57" si="314">(SUM(M166:M166)*M19)/(SUM(L166:L166)*L19)-1</f>
        <v>1.49510292261954E-2</v>
      </c>
      <c r="N57" s="42">
        <f t="shared" si="314"/>
        <v>0.11756532048222446</v>
      </c>
      <c r="O57" s="42">
        <f t="shared" si="314"/>
        <v>1.1517570839604918E-2</v>
      </c>
      <c r="P57" s="42">
        <f t="shared" si="314"/>
        <v>0.14680795279263648</v>
      </c>
      <c r="Q57" s="42">
        <f t="shared" si="314"/>
        <v>8.8358600704281365E-3</v>
      </c>
      <c r="R57" s="42">
        <f t="shared" si="314"/>
        <v>0.10047063650268617</v>
      </c>
      <c r="S57" s="42">
        <f t="shared" si="314"/>
        <v>-4.7582688082090097E-2</v>
      </c>
      <c r="T57" s="45">
        <f t="shared" si="314"/>
        <v>4.6723361118950146E-2</v>
      </c>
      <c r="U57" s="42">
        <f t="shared" si="314"/>
        <v>-2.6809575956128096E-2</v>
      </c>
      <c r="V57" s="42">
        <f t="shared" si="314"/>
        <v>5.6059416961554476E-2</v>
      </c>
      <c r="W57" s="42">
        <f t="shared" si="314"/>
        <v>-3.3680630329038119E-2</v>
      </c>
      <c r="X57" s="42">
        <f t="shared" si="314"/>
        <v>4.7644992522928309E-2</v>
      </c>
      <c r="Y57" s="45">
        <f t="shared" ref="Y57:AZ57" si="315">(SUM(Y166:Y166)*Y19)/(SUM(X166:X166)*X19)-1</f>
        <v>-8.3620288446289992E-3</v>
      </c>
      <c r="Z57" s="45">
        <f t="shared" si="315"/>
        <v>5.9048335202839919E-2</v>
      </c>
      <c r="AA57" s="45">
        <f t="shared" si="315"/>
        <v>-1.5799048865340892E-2</v>
      </c>
      <c r="AB57" s="45">
        <f t="shared" si="315"/>
        <v>8.5702400790285127E-2</v>
      </c>
      <c r="AC57" s="45">
        <f t="shared" si="315"/>
        <v>-7.1895269405926054E-3</v>
      </c>
      <c r="AD57" s="45">
        <f t="shared" si="315"/>
        <v>7.3793382601899493E-2</v>
      </c>
      <c r="AE57" s="45">
        <f t="shared" si="315"/>
        <v>-7.8313720418982102E-3</v>
      </c>
      <c r="AF57" s="45">
        <f t="shared" si="315"/>
        <v>5.5935269614360017E-2</v>
      </c>
      <c r="AG57" s="45">
        <f t="shared" si="315"/>
        <v>-1.7823639774859346E-2</v>
      </c>
      <c r="AH57" s="45">
        <f t="shared" si="315"/>
        <v>8.5161970709965118E-2</v>
      </c>
      <c r="AI57" s="45">
        <f t="shared" si="315"/>
        <v>-2.7846553226503423E-2</v>
      </c>
      <c r="AJ57" s="45">
        <f t="shared" si="315"/>
        <v>9.6852068045363948E-2</v>
      </c>
      <c r="AK57" s="45">
        <f t="shared" si="315"/>
        <v>-1.9573083216081977E-2</v>
      </c>
      <c r="AL57" s="45">
        <f t="shared" si="315"/>
        <v>4.5419965609481805E-2</v>
      </c>
      <c r="AM57" s="45">
        <f t="shared" si="315"/>
        <v>-1.2619810493123218E-2</v>
      </c>
      <c r="AN57" s="45">
        <f t="shared" si="315"/>
        <v>2.9567312421859171E-2</v>
      </c>
      <c r="AO57" s="45">
        <f t="shared" si="315"/>
        <v>-0.15288784552664036</v>
      </c>
      <c r="AP57" s="45">
        <f t="shared" si="315"/>
        <v>6.4265751869695853E-2</v>
      </c>
      <c r="AQ57" s="45">
        <f t="shared" si="315"/>
        <v>-5.9382554624047734E-2</v>
      </c>
      <c r="AR57" s="45">
        <f t="shared" si="315"/>
        <v>-1.4782856311702064E-2</v>
      </c>
      <c r="AS57" s="45">
        <f t="shared" si="315"/>
        <v>-3.5262425740824277E-2</v>
      </c>
      <c r="AT57" s="45">
        <f t="shared" si="315"/>
        <v>6.4567600521339585E-2</v>
      </c>
      <c r="AU57" s="45">
        <f t="shared" si="315"/>
        <v>-3.0141599148356124E-2</v>
      </c>
      <c r="AV57" s="45">
        <f t="shared" si="315"/>
        <v>2.3531401087201642E-2</v>
      </c>
      <c r="AW57" s="45">
        <f t="shared" si="315"/>
        <v>-3.4824582979978369E-2</v>
      </c>
      <c r="AX57" s="45">
        <f t="shared" si="315"/>
        <v>1.7339506286323969E-2</v>
      </c>
      <c r="AY57" s="45">
        <f t="shared" si="315"/>
        <v>0.58997298056295455</v>
      </c>
      <c r="AZ57" s="43">
        <f t="shared" si="315"/>
        <v>1.2536602049531886E-2</v>
      </c>
      <c r="BA57" s="232">
        <f t="shared" ref="BA57:BE57" si="316">BA47+BA33</f>
        <v>1.1234490332522551E-2</v>
      </c>
      <c r="BB57" s="232">
        <f t="shared" si="316"/>
        <v>1.1234490332522551E-2</v>
      </c>
      <c r="BC57" s="232">
        <f t="shared" si="316"/>
        <v>1.1234490332522551E-2</v>
      </c>
      <c r="BD57" s="232">
        <f t="shared" si="316"/>
        <v>1.1234490332522551E-2</v>
      </c>
      <c r="BE57" s="232">
        <f t="shared" si="316"/>
        <v>1.1234490332522551E-2</v>
      </c>
      <c r="BF57" s="232">
        <f t="shared" si="306"/>
        <v>1.1234490332522551E-2</v>
      </c>
      <c r="BG57" s="232">
        <f t="shared" si="306"/>
        <v>1.1234490332522551E-2</v>
      </c>
      <c r="BH57" s="232">
        <f t="shared" si="306"/>
        <v>1.1234490332522551E-2</v>
      </c>
      <c r="BI57" s="232">
        <f t="shared" si="306"/>
        <v>1.1234490332522551E-2</v>
      </c>
      <c r="BJ57" s="232">
        <f t="shared" ref="BJ57:BK57" si="317">BJ47+BJ33</f>
        <v>1.1234490332522551E-2</v>
      </c>
      <c r="BK57" s="232">
        <f t="shared" si="317"/>
        <v>1.1234490332522551E-2</v>
      </c>
      <c r="BL57" s="232">
        <f t="shared" si="307"/>
        <v>1.1234490332522551E-2</v>
      </c>
      <c r="BM57" s="232">
        <f t="shared" si="307"/>
        <v>1.1234490332522551E-2</v>
      </c>
      <c r="BN57" s="232">
        <f t="shared" ref="BN57:BO57" si="318">BN47+BN33</f>
        <v>1.1234490332522551E-2</v>
      </c>
      <c r="BO57" s="232">
        <f t="shared" si="318"/>
        <v>1.1234490332522551E-2</v>
      </c>
      <c r="BP57" s="232">
        <f t="shared" ref="BP57:BQ57" si="319">BP47+BP33</f>
        <v>1.1234490332522551E-2</v>
      </c>
      <c r="BQ57" s="232">
        <f t="shared" si="319"/>
        <v>1.1234490332522551E-2</v>
      </c>
      <c r="BR57" s="42"/>
      <c r="BS57" s="232" t="e">
        <f t="shared" ref="BS57:CB57" si="320">(SUM(BS166:BS166)*BS19)/(SUM(BR166:BR166)*BR19)-1</f>
        <v>#VALUE!</v>
      </c>
      <c r="BT57" s="232" t="e">
        <f t="shared" si="320"/>
        <v>#VALUE!</v>
      </c>
      <c r="BU57" s="232" t="e">
        <f t="shared" si="320"/>
        <v>#VALUE!</v>
      </c>
      <c r="BV57" s="232" t="e">
        <f t="shared" si="320"/>
        <v>#VALUE!</v>
      </c>
      <c r="BW57" s="232">
        <f t="shared" si="320"/>
        <v>0.54939453599072263</v>
      </c>
      <c r="BX57" s="232">
        <f t="shared" si="320"/>
        <v>0.59614846243109954</v>
      </c>
      <c r="BY57" s="232">
        <f t="shared" si="320"/>
        <v>-0.32387285447203817</v>
      </c>
      <c r="BZ57" s="232">
        <f t="shared" si="320"/>
        <v>1.2615903897849461</v>
      </c>
      <c r="CA57" s="232">
        <f t="shared" si="320"/>
        <v>1.7770699709516085</v>
      </c>
      <c r="CB57" s="232">
        <f t="shared" si="320"/>
        <v>-0.69756059718421382</v>
      </c>
      <c r="CC57" s="42">
        <f t="shared" ref="CC57:CS57" si="321">(SUM(CC166:CC166)*CC19)/(SUM(CB166:CB166)*CB19)-1</f>
        <v>-0.43924350467281437</v>
      </c>
      <c r="CD57" s="42">
        <f t="shared" si="321"/>
        <v>7.1327667129561512E-2</v>
      </c>
      <c r="CE57" s="42">
        <f t="shared" si="321"/>
        <v>0.15801552882089798</v>
      </c>
      <c r="CF57" s="42">
        <f t="shared" si="321"/>
        <v>0.12912274991545081</v>
      </c>
      <c r="CG57" s="42">
        <f t="shared" si="321"/>
        <v>0.17014103614476284</v>
      </c>
      <c r="CH57" s="42">
        <f t="shared" si="321"/>
        <v>0.13043695822876433</v>
      </c>
      <c r="CI57" s="42">
        <f t="shared" si="321"/>
        <v>0.15694098739116646</v>
      </c>
      <c r="CJ57" s="42">
        <f t="shared" si="321"/>
        <v>4.8107285462479776E-2</v>
      </c>
      <c r="CK57" s="42">
        <f t="shared" si="321"/>
        <v>1.866115166397786E-2</v>
      </c>
      <c r="CL57" s="42">
        <f t="shared" si="321"/>
        <v>2.049067013337269E-2</v>
      </c>
      <c r="CM57" s="45">
        <f t="shared" si="321"/>
        <v>3.8884554876520427E-2</v>
      </c>
      <c r="CN57" s="45">
        <f t="shared" si="321"/>
        <v>4.2316378804212462E-2</v>
      </c>
      <c r="CO57" s="45">
        <f t="shared" si="321"/>
        <v>7.7896714130337275E-2</v>
      </c>
      <c r="CP57" s="45">
        <f t="shared" si="321"/>
        <v>6.5384107126615687E-2</v>
      </c>
      <c r="CQ57" s="45">
        <f t="shared" si="321"/>
        <v>3.7114659743184619E-2</v>
      </c>
      <c r="CR57" s="45">
        <f t="shared" si="321"/>
        <v>5.4943950133212738E-2</v>
      </c>
      <c r="CS57" s="45">
        <f t="shared" si="321"/>
        <v>7.5383291241780448E-2</v>
      </c>
      <c r="CT57" s="45">
        <f t="shared" ref="CT57:DI57" si="322">(SUM(CT166:CT166)*CT19)/(SUM(CS166:CS166)*CS19)-1</f>
        <v>3.2226963757762794E-2</v>
      </c>
      <c r="CU57" s="45">
        <f t="shared" si="322"/>
        <v>-0.12784101579897222</v>
      </c>
      <c r="CV57" s="45">
        <f t="shared" si="322"/>
        <v>1.0669327247903038E-3</v>
      </c>
      <c r="CW57" s="45">
        <f t="shared" si="322"/>
        <v>-4.9524002679597667E-2</v>
      </c>
      <c r="CX57" s="45">
        <f t="shared" si="322"/>
        <v>3.2479830640097962E-2</v>
      </c>
      <c r="CY57" s="45">
        <f t="shared" si="322"/>
        <v>-1.2112653122573258E-2</v>
      </c>
      <c r="CZ57" s="43">
        <f t="shared" si="322"/>
        <v>0.61754232705451106</v>
      </c>
      <c r="DA57" s="42">
        <f t="shared" si="322"/>
        <v>2.3911934716582595E-2</v>
      </c>
      <c r="DB57" s="42">
        <f t="shared" si="322"/>
        <v>2.2595194438076671E-2</v>
      </c>
      <c r="DC57" s="42">
        <f t="shared" si="322"/>
        <v>2.2595194438076671E-2</v>
      </c>
      <c r="DD57" s="42">
        <f t="shared" si="322"/>
        <v>2.2595194438076671E-2</v>
      </c>
      <c r="DE57" s="42">
        <f t="shared" si="322"/>
        <v>2.2595194438076893E-2</v>
      </c>
      <c r="DF57" s="42">
        <f t="shared" si="322"/>
        <v>2.2595194438076671E-2</v>
      </c>
      <c r="DG57" s="232">
        <f t="shared" si="322"/>
        <v>2.2595194438076671E-2</v>
      </c>
      <c r="DH57" s="232">
        <f t="shared" si="322"/>
        <v>2.2595194438076893E-2</v>
      </c>
      <c r="DI57" s="232">
        <f t="shared" si="322"/>
        <v>2.2595194438076671E-2</v>
      </c>
    </row>
    <row r="58" spans="1:113" outlineLevel="1">
      <c r="A58" s="1" t="s">
        <v>852</v>
      </c>
      <c r="B58" s="19" t="s">
        <v>508</v>
      </c>
      <c r="C58" s="232">
        <f t="shared" ref="C58:L58" si="323">C167/C192</f>
        <v>1.1494499597531527</v>
      </c>
      <c r="D58" s="232">
        <f t="shared" si="323"/>
        <v>1.1422550661047284</v>
      </c>
      <c r="E58" s="232">
        <f t="shared" si="323"/>
        <v>1.2090372598935433</v>
      </c>
      <c r="F58" s="232">
        <f t="shared" si="323"/>
        <v>1.0984399449950211</v>
      </c>
      <c r="G58" s="232">
        <f t="shared" si="323"/>
        <v>1.1528124687780996</v>
      </c>
      <c r="H58" s="232">
        <f t="shared" si="323"/>
        <v>1.154310229253251</v>
      </c>
      <c r="I58" s="232">
        <f t="shared" si="323"/>
        <v>1.3047387709878122</v>
      </c>
      <c r="J58" s="232">
        <f t="shared" si="323"/>
        <v>1.2960096453018046</v>
      </c>
      <c r="K58" s="232">
        <f t="shared" si="323"/>
        <v>1.3965296114673709</v>
      </c>
      <c r="L58" s="232">
        <f t="shared" si="323"/>
        <v>1.8184093557157037</v>
      </c>
      <c r="M58" s="42">
        <f t="shared" ref="M58:X58" si="324">M167/M192</f>
        <v>1.8353258270660349</v>
      </c>
      <c r="N58" s="42">
        <f t="shared" si="324"/>
        <v>1.8082701283547258</v>
      </c>
      <c r="O58" s="42">
        <f t="shared" si="324"/>
        <v>1.8834745762711864</v>
      </c>
      <c r="P58" s="42">
        <f t="shared" si="324"/>
        <v>1.8049431982750297</v>
      </c>
      <c r="Q58" s="42">
        <f t="shared" si="324"/>
        <v>1.8913476134255356</v>
      </c>
      <c r="R58" s="42">
        <f t="shared" si="324"/>
        <v>1.5212979322859461</v>
      </c>
      <c r="S58" s="42">
        <f t="shared" si="324"/>
        <v>1.3815590832151516</v>
      </c>
      <c r="T58" s="45">
        <f t="shared" si="324"/>
        <v>1.8641960738030607</v>
      </c>
      <c r="U58" s="42">
        <f t="shared" si="324"/>
        <v>1.8324424104910972</v>
      </c>
      <c r="V58" s="42">
        <f t="shared" si="324"/>
        <v>1.7625515887326202</v>
      </c>
      <c r="W58" s="42">
        <f t="shared" si="324"/>
        <v>1.6902054504105153</v>
      </c>
      <c r="X58" s="42">
        <f t="shared" si="324"/>
        <v>1.4859268401385033</v>
      </c>
      <c r="Y58" s="45">
        <f t="shared" ref="Y58:AD58" si="325">Y167/Y192</f>
        <v>1.4823599169878448</v>
      </c>
      <c r="Z58" s="45">
        <f t="shared" si="325"/>
        <v>1.503347187410768</v>
      </c>
      <c r="AA58" s="45">
        <f t="shared" si="325"/>
        <v>1.5127921851378068</v>
      </c>
      <c r="AB58" s="45">
        <f t="shared" si="325"/>
        <v>1.466757534454036</v>
      </c>
      <c r="AC58" s="45">
        <f t="shared" si="325"/>
        <v>1.4558996184326387</v>
      </c>
      <c r="AD58" s="45">
        <f t="shared" si="325"/>
        <v>1.4029370660396194</v>
      </c>
      <c r="AE58" s="45">
        <f t="shared" ref="AE58:AK58" si="326">AE167/AE192</f>
        <v>1.3411015099938901</v>
      </c>
      <c r="AF58" s="45">
        <f t="shared" si="326"/>
        <v>1.3689988760436738</v>
      </c>
      <c r="AG58" s="45">
        <f t="shared" si="326"/>
        <v>1.3942544670363524</v>
      </c>
      <c r="AH58" s="45">
        <f t="shared" si="326"/>
        <v>1.4200604296809831</v>
      </c>
      <c r="AI58" s="45">
        <f t="shared" si="326"/>
        <v>1.4083396759812983</v>
      </c>
      <c r="AJ58" s="45">
        <f t="shared" si="326"/>
        <v>1.3852368244285895</v>
      </c>
      <c r="AK58" s="45">
        <f t="shared" si="326"/>
        <v>1.3844573956395043</v>
      </c>
      <c r="AL58" s="45">
        <f t="shared" ref="AL58:AQ58" si="327">AL167/AL192</f>
        <v>1.3496697447736308</v>
      </c>
      <c r="AM58" s="45">
        <f t="shared" si="327"/>
        <v>1.3735585820718454</v>
      </c>
      <c r="AN58" s="45">
        <f t="shared" si="327"/>
        <v>1.3601768562280836</v>
      </c>
      <c r="AO58" s="45">
        <f t="shared" si="327"/>
        <v>1.2626927118570874</v>
      </c>
      <c r="AP58" s="45">
        <f t="shared" si="327"/>
        <v>1.292073605231169</v>
      </c>
      <c r="AQ58" s="45">
        <f t="shared" si="327"/>
        <v>1.3350804994021634</v>
      </c>
      <c r="AR58" s="45">
        <f t="shared" ref="AR58" si="328">AR167/AR192</f>
        <v>1.3089120598072004</v>
      </c>
      <c r="AS58" s="45">
        <f t="shared" ref="AS58:AT58" si="329">AS167/AS192</f>
        <v>1.352916075926716</v>
      </c>
      <c r="AT58" s="45">
        <f t="shared" si="329"/>
        <v>1.3374022234041174</v>
      </c>
      <c r="AU58" s="45">
        <f t="shared" ref="AU58" si="330">AU167/AU192</f>
        <v>1.3219339774764896</v>
      </c>
      <c r="AV58" s="45">
        <f t="shared" ref="AV58:AW58" si="331">AV167/AV192</f>
        <v>1.2801828281067078</v>
      </c>
      <c r="AW58" s="45">
        <f t="shared" si="331"/>
        <v>1.2812734363281837</v>
      </c>
      <c r="AX58" s="45">
        <f t="shared" ref="AX58:AY58" si="332">AX167/AX192</f>
        <v>1.2663246325361992</v>
      </c>
      <c r="AY58" s="45">
        <f t="shared" si="332"/>
        <v>1.2823312137647278</v>
      </c>
      <c r="AZ58" s="43">
        <f t="shared" ref="AZ58" si="333">AZ167/AZ192</f>
        <v>1.2952456904484388</v>
      </c>
      <c r="BA58" s="511">
        <f>BA167/((AZ192*(1+2.1%)))</f>
        <v>1.3953754017492446</v>
      </c>
      <c r="BB58" s="511">
        <f>BB167/((BA192*(1+2.5%)))</f>
        <v>1.3382476099220921</v>
      </c>
      <c r="BC58" s="511">
        <f t="shared" ref="BC58:BH58" si="334">BC167/((BB192*(1+2.5%)))</f>
        <v>1.3250493082454737</v>
      </c>
      <c r="BD58" s="511">
        <f t="shared" si="334"/>
        <v>1.3079110297892798</v>
      </c>
      <c r="BE58" s="511">
        <f t="shared" si="334"/>
        <v>1.2807009257786204</v>
      </c>
      <c r="BF58" s="511">
        <f t="shared" si="334"/>
        <v>1.2545760793158538</v>
      </c>
      <c r="BG58" s="511">
        <f t="shared" si="334"/>
        <v>1.2321666779412317</v>
      </c>
      <c r="BH58" s="511">
        <f t="shared" si="334"/>
        <v>1.2108625394756047</v>
      </c>
      <c r="BI58" s="511">
        <f t="shared" ref="BI58" si="335">BH58</f>
        <v>1.2108625394756047</v>
      </c>
      <c r="BJ58" s="511">
        <f t="shared" ref="BJ58:BM58" si="336">BI58</f>
        <v>1.2108625394756047</v>
      </c>
      <c r="BK58" s="511">
        <f t="shared" si="336"/>
        <v>1.2108625394756047</v>
      </c>
      <c r="BL58" s="511">
        <f t="shared" si="336"/>
        <v>1.2108625394756047</v>
      </c>
      <c r="BM58" s="511">
        <f t="shared" si="336"/>
        <v>1.2108625394756047</v>
      </c>
      <c r="BN58" s="511">
        <f t="shared" ref="BN58" si="337">BM58</f>
        <v>1.2108625394756047</v>
      </c>
      <c r="BO58" s="511">
        <f t="shared" ref="BO58" si="338">BN58</f>
        <v>1.2108625394756047</v>
      </c>
      <c r="BP58" s="511">
        <f t="shared" ref="BP58" si="339">BO58</f>
        <v>1.2108625394756047</v>
      </c>
      <c r="BQ58" s="511">
        <f t="shared" ref="BQ58" si="340">BP58</f>
        <v>1.2108625394756047</v>
      </c>
      <c r="BR58" s="42"/>
      <c r="BS58" s="232">
        <f t="shared" ref="BS58:CB58" si="341">BS167/BS192</f>
        <v>0.65137414708112207</v>
      </c>
      <c r="BT58" s="232">
        <f t="shared" si="341"/>
        <v>1.1130940170940171</v>
      </c>
      <c r="BU58" s="232">
        <f t="shared" si="341"/>
        <v>1.122992097040985</v>
      </c>
      <c r="BV58" s="232">
        <f t="shared" si="341"/>
        <v>1.1306999306999308</v>
      </c>
      <c r="BW58" s="232">
        <f t="shared" si="341"/>
        <v>0.98811259392172257</v>
      </c>
      <c r="BX58" s="232">
        <f t="shared" si="341"/>
        <v>1.0491943127962085</v>
      </c>
      <c r="BY58" s="232">
        <f t="shared" si="341"/>
        <v>1.0288619219416202</v>
      </c>
      <c r="BZ58" s="232">
        <f t="shared" si="341"/>
        <v>1.1370417193426043</v>
      </c>
      <c r="CA58" s="232">
        <f t="shared" si="341"/>
        <v>1.241922835633626</v>
      </c>
      <c r="CB58" s="232">
        <f t="shared" si="341"/>
        <v>1.1494499597531527</v>
      </c>
      <c r="CC58" s="42">
        <f t="shared" ref="CC58:CR58" si="342">CC167/CC192</f>
        <v>1.2090372598935433</v>
      </c>
      <c r="CD58" s="42">
        <f t="shared" si="342"/>
        <v>1.1528124687780996</v>
      </c>
      <c r="CE58" s="42">
        <f t="shared" si="342"/>
        <v>1.3047387709878122</v>
      </c>
      <c r="CF58" s="42">
        <f t="shared" si="342"/>
        <v>1.3965296114673709</v>
      </c>
      <c r="CG58" s="42">
        <f t="shared" si="342"/>
        <v>1.8353258270660349</v>
      </c>
      <c r="CH58" s="42">
        <f t="shared" si="342"/>
        <v>1.8834745762711864</v>
      </c>
      <c r="CI58" s="42">
        <f t="shared" si="342"/>
        <v>1.8913476134255356</v>
      </c>
      <c r="CJ58" s="42">
        <f t="shared" si="342"/>
        <v>1.3815590832151516</v>
      </c>
      <c r="CK58" s="42">
        <f t="shared" si="342"/>
        <v>1.8324424104910972</v>
      </c>
      <c r="CL58" s="42">
        <f t="shared" si="342"/>
        <v>1.6902054504105153</v>
      </c>
      <c r="CM58" s="45">
        <f t="shared" si="342"/>
        <v>1.4823599169878448</v>
      </c>
      <c r="CN58" s="45">
        <f t="shared" si="342"/>
        <v>1.5127921851378068</v>
      </c>
      <c r="CO58" s="45">
        <f t="shared" si="342"/>
        <v>1.4558996184326387</v>
      </c>
      <c r="CP58" s="45">
        <f t="shared" si="342"/>
        <v>1.3411015099938901</v>
      </c>
      <c r="CQ58" s="45">
        <f t="shared" si="342"/>
        <v>1.3942544670363524</v>
      </c>
      <c r="CR58" s="45">
        <f t="shared" si="342"/>
        <v>1.4083396759812983</v>
      </c>
      <c r="CS58" s="45">
        <f t="shared" ref="CS58:DC58" si="343">CS167/CS192</f>
        <v>1.3844573956395043</v>
      </c>
      <c r="CT58" s="45">
        <f t="shared" si="343"/>
        <v>1.3735585820718454</v>
      </c>
      <c r="CU58" s="45">
        <f t="shared" si="343"/>
        <v>1.2626927118570874</v>
      </c>
      <c r="CV58" s="45">
        <f t="shared" si="343"/>
        <v>1.3350804994021634</v>
      </c>
      <c r="CW58" s="45">
        <f t="shared" si="343"/>
        <v>1.352916075926716</v>
      </c>
      <c r="CX58" s="45">
        <f t="shared" si="343"/>
        <v>1.3219339774764896</v>
      </c>
      <c r="CY58" s="45">
        <f t="shared" si="343"/>
        <v>1.2812734363281837</v>
      </c>
      <c r="CZ58" s="43">
        <f t="shared" si="343"/>
        <v>1.2823312137647278</v>
      </c>
      <c r="DA58" s="42">
        <f t="shared" si="343"/>
        <v>1.3953754017492446</v>
      </c>
      <c r="DB58" s="42">
        <f t="shared" si="343"/>
        <v>1.3250493082454737</v>
      </c>
      <c r="DC58" s="42">
        <f t="shared" si="343"/>
        <v>1.2807009257786204</v>
      </c>
      <c r="DD58" s="42">
        <f t="shared" ref="DD58:DI58" si="344">DD167/DD192</f>
        <v>1.2321666779412317</v>
      </c>
      <c r="DE58" s="42">
        <f t="shared" si="344"/>
        <v>1.2108625394756047</v>
      </c>
      <c r="DF58" s="42">
        <f t="shared" si="344"/>
        <v>1.2108625394756047</v>
      </c>
      <c r="DG58" s="232">
        <f t="shared" si="344"/>
        <v>1.2108625394756047</v>
      </c>
      <c r="DH58" s="232">
        <f t="shared" si="344"/>
        <v>1.2108625394756047</v>
      </c>
      <c r="DI58" s="232">
        <f t="shared" si="344"/>
        <v>1.2108625394756047</v>
      </c>
    </row>
    <row r="59" spans="1:113" outlineLevel="1">
      <c r="A59" s="1" t="s">
        <v>457</v>
      </c>
      <c r="B59" s="19" t="s">
        <v>179</v>
      </c>
      <c r="C59" s="232" t="e">
        <f t="shared" ref="C59:L59" si="345">(C170*C18)/(B170*B18)-1</f>
        <v>#VALUE!</v>
      </c>
      <c r="D59" s="232" t="e">
        <f t="shared" si="345"/>
        <v>#DIV/0!</v>
      </c>
      <c r="E59" s="232" t="e">
        <f t="shared" si="345"/>
        <v>#DIV/0!</v>
      </c>
      <c r="F59" s="232" t="e">
        <f t="shared" si="345"/>
        <v>#DIV/0!</v>
      </c>
      <c r="G59" s="232" t="e">
        <f t="shared" si="345"/>
        <v>#DIV/0!</v>
      </c>
      <c r="H59" s="232" t="e">
        <f t="shared" si="345"/>
        <v>#DIV/0!</v>
      </c>
      <c r="I59" s="232" t="e">
        <f t="shared" si="345"/>
        <v>#DIV/0!</v>
      </c>
      <c r="J59" s="232" t="e">
        <f t="shared" si="345"/>
        <v>#DIV/0!</v>
      </c>
      <c r="K59" s="232" t="e">
        <f t="shared" si="345"/>
        <v>#DIV/0!</v>
      </c>
      <c r="L59" s="232" t="e">
        <f t="shared" si="345"/>
        <v>#DIV/0!</v>
      </c>
      <c r="M59" s="42" t="e">
        <f t="shared" ref="M59:X59" si="346">(M170*M18)/(L170*L18)-1</f>
        <v>#DIV/0!</v>
      </c>
      <c r="N59" s="42" t="e">
        <f t="shared" si="346"/>
        <v>#DIV/0!</v>
      </c>
      <c r="O59" s="42" t="e">
        <f t="shared" si="346"/>
        <v>#DIV/0!</v>
      </c>
      <c r="P59" s="42" t="e">
        <f t="shared" si="346"/>
        <v>#DIV/0!</v>
      </c>
      <c r="Q59" s="42" t="e">
        <f t="shared" si="346"/>
        <v>#DIV/0!</v>
      </c>
      <c r="R59" s="42" t="e">
        <f>(R170*R18)/(Q170*Q18)-1</f>
        <v>#DIV/0!</v>
      </c>
      <c r="S59" s="42" t="e">
        <f>(S170*S18)/(R170*R18)-1</f>
        <v>#DIV/0!</v>
      </c>
      <c r="T59" s="45" t="e">
        <f>(T170*T18)/(S170*S18)-1</f>
        <v>#DIV/0!</v>
      </c>
      <c r="U59" s="42">
        <f t="shared" si="346"/>
        <v>2.2527808049302989E-2</v>
      </c>
      <c r="V59" s="42">
        <f t="shared" si="346"/>
        <v>9.0112773613482577E-2</v>
      </c>
      <c r="W59" s="42">
        <f t="shared" si="346"/>
        <v>1.7361989043407355E-3</v>
      </c>
      <c r="X59" s="42">
        <f t="shared" si="346"/>
        <v>3.4225449283166176E-2</v>
      </c>
      <c r="Y59" s="45">
        <f t="shared" ref="Y59:AK59" si="347">(Y170*Y18)/(X170*X18)-1</f>
        <v>1.7349894257070231E-2</v>
      </c>
      <c r="Z59" s="45">
        <f t="shared" si="347"/>
        <v>4.9203180905928345E-2</v>
      </c>
      <c r="AA59" s="45">
        <f t="shared" si="347"/>
        <v>-2.5237444154323829E-2</v>
      </c>
      <c r="AB59" s="45">
        <f t="shared" si="347"/>
        <v>-4.1322773910124511E-2</v>
      </c>
      <c r="AC59" s="45">
        <f t="shared" si="347"/>
        <v>6.1079978148098846E-2</v>
      </c>
      <c r="AD59" s="45">
        <f t="shared" si="347"/>
        <v>-6.2268595914759528E-2</v>
      </c>
      <c r="AE59" s="45">
        <f t="shared" si="347"/>
        <v>-4.0933750378411515E-2</v>
      </c>
      <c r="AF59" s="45">
        <f t="shared" si="347"/>
        <v>-1.4209662821415336E-2</v>
      </c>
      <c r="AG59" s="45">
        <f t="shared" si="347"/>
        <v>5.4411736656939436E-2</v>
      </c>
      <c r="AH59" s="45">
        <f t="shared" si="347"/>
        <v>1.3422879493375728E-2</v>
      </c>
      <c r="AI59" s="45">
        <f t="shared" si="347"/>
        <v>-1.3938245281528983E-2</v>
      </c>
      <c r="AJ59" s="45">
        <f t="shared" si="347"/>
        <v>-7.9150825357139021E-2</v>
      </c>
      <c r="AK59" s="45">
        <f t="shared" si="347"/>
        <v>-3.9626272107609717E-2</v>
      </c>
      <c r="AL59" s="45">
        <f t="shared" ref="AL59:AS59" si="348">(AL170*AL18)/(AK170*AK18)-1</f>
        <v>-1.9504094605380051E-2</v>
      </c>
      <c r="AM59" s="45">
        <f t="shared" si="348"/>
        <v>4.1973268689665666E-4</v>
      </c>
      <c r="AN59" s="45">
        <f t="shared" si="348"/>
        <v>-7.6574609776016378E-2</v>
      </c>
      <c r="AO59" s="45">
        <f t="shared" si="348"/>
        <v>-0.15048612166805675</v>
      </c>
      <c r="AP59" s="45">
        <f t="shared" si="348"/>
        <v>-8.0796470021135436E-2</v>
      </c>
      <c r="AQ59" s="45">
        <f t="shared" si="348"/>
        <v>-0.13930012101653888</v>
      </c>
      <c r="AR59" s="45">
        <f t="shared" si="348"/>
        <v>-0.12716424662286607</v>
      </c>
      <c r="AS59" s="45">
        <f t="shared" si="348"/>
        <v>-0.15285229023672786</v>
      </c>
      <c r="AT59" s="45">
        <f t="shared" ref="AT59:AZ59" si="349">(AT170*AT18)/(AS170*AS18)-1</f>
        <v>-0.17566720336431574</v>
      </c>
      <c r="AU59" s="45">
        <f t="shared" si="349"/>
        <v>-6.6731662144424497E-2</v>
      </c>
      <c r="AV59" s="45">
        <f t="shared" si="349"/>
        <v>-0.69683369759266456</v>
      </c>
      <c r="AW59" s="45">
        <f t="shared" si="349"/>
        <v>-0.19727173770162509</v>
      </c>
      <c r="AX59" s="45">
        <f t="shared" si="349"/>
        <v>-0.30200222264745269</v>
      </c>
      <c r="AY59" s="45">
        <f t="shared" si="349"/>
        <v>-8.5602292287780379E-2</v>
      </c>
      <c r="AZ59" s="43">
        <f t="shared" si="349"/>
        <v>-0.21123297346382786</v>
      </c>
      <c r="BA59" s="232">
        <f t="shared" ref="BA59:BE59" si="350">BA48+BA34</f>
        <v>2.5415999999999994E-2</v>
      </c>
      <c r="BB59" s="232">
        <f t="shared" si="350"/>
        <v>2.4655125E-2</v>
      </c>
      <c r="BC59" s="232">
        <f t="shared" si="350"/>
        <v>2.4655125E-2</v>
      </c>
      <c r="BD59" s="232">
        <f t="shared" si="350"/>
        <v>2.4655125E-2</v>
      </c>
      <c r="BE59" s="232">
        <f t="shared" si="350"/>
        <v>2.4655125E-2</v>
      </c>
      <c r="BF59" s="232">
        <f t="shared" ref="BF59:BI60" si="351">BF48+BF34</f>
        <v>2.4655125E-2</v>
      </c>
      <c r="BG59" s="232">
        <f t="shared" si="351"/>
        <v>2.2628124999999999E-2</v>
      </c>
      <c r="BH59" s="232">
        <f t="shared" si="351"/>
        <v>2.2628124999999999E-2</v>
      </c>
      <c r="BI59" s="232">
        <f t="shared" si="351"/>
        <v>2.0100000000000007E-2</v>
      </c>
      <c r="BJ59" s="232">
        <f t="shared" ref="BJ59:BM60" si="352">BJ48+BJ34</f>
        <v>2.0100000000000007E-2</v>
      </c>
      <c r="BK59" s="232">
        <f t="shared" si="352"/>
        <v>2.0100000000000007E-2</v>
      </c>
      <c r="BL59" s="232">
        <f t="shared" si="352"/>
        <v>2.0100000000000007E-2</v>
      </c>
      <c r="BM59" s="232">
        <f t="shared" si="352"/>
        <v>2.0100000000000007E-2</v>
      </c>
      <c r="BN59" s="232">
        <f t="shared" ref="BN59:BO59" si="353">BN48+BN34</f>
        <v>2.0100000000000007E-2</v>
      </c>
      <c r="BO59" s="232">
        <f t="shared" si="353"/>
        <v>2.0100000000000007E-2</v>
      </c>
      <c r="BP59" s="232">
        <f t="shared" ref="BP59:BQ59" si="354">BP48+BP34</f>
        <v>2.0100000000000007E-2</v>
      </c>
      <c r="BQ59" s="232">
        <f t="shared" si="354"/>
        <v>2.0100000000000007E-2</v>
      </c>
      <c r="BR59" s="42"/>
      <c r="BS59" s="232" t="e">
        <f t="shared" ref="BS59:CB59" si="355">(BS170*BS18)/(BR170*BR18)-1</f>
        <v>#DIV/0!</v>
      </c>
      <c r="BT59" s="232" t="e">
        <f t="shared" si="355"/>
        <v>#DIV/0!</v>
      </c>
      <c r="BU59" s="232" t="e">
        <f t="shared" si="355"/>
        <v>#DIV/0!</v>
      </c>
      <c r="BV59" s="232" t="e">
        <f t="shared" si="355"/>
        <v>#DIV/0!</v>
      </c>
      <c r="BW59" s="232" t="e">
        <f t="shared" si="355"/>
        <v>#DIV/0!</v>
      </c>
      <c r="BX59" s="232" t="e">
        <f t="shared" si="355"/>
        <v>#DIV/0!</v>
      </c>
      <c r="BY59" s="232" t="e">
        <f t="shared" si="355"/>
        <v>#DIV/0!</v>
      </c>
      <c r="BZ59" s="232" t="e">
        <f t="shared" si="355"/>
        <v>#DIV/0!</v>
      </c>
      <c r="CA59" s="232" t="e">
        <f t="shared" si="355"/>
        <v>#DIV/0!</v>
      </c>
      <c r="CB59" s="232" t="e">
        <f t="shared" si="355"/>
        <v>#DIV/0!</v>
      </c>
      <c r="CC59" s="42" t="e">
        <f t="shared" ref="CC59:CS59" si="356">(CC170*CC18)/(CB170*CB18)-1</f>
        <v>#DIV/0!</v>
      </c>
      <c r="CD59" s="42" t="e">
        <f t="shared" si="356"/>
        <v>#DIV/0!</v>
      </c>
      <c r="CE59" s="42" t="e">
        <f t="shared" si="356"/>
        <v>#DIV/0!</v>
      </c>
      <c r="CF59" s="42" t="e">
        <f t="shared" si="356"/>
        <v>#DIV/0!</v>
      </c>
      <c r="CG59" s="42" t="e">
        <f t="shared" si="356"/>
        <v>#DIV/0!</v>
      </c>
      <c r="CH59" s="42" t="e">
        <f t="shared" si="356"/>
        <v>#DIV/0!</v>
      </c>
      <c r="CI59" s="42" t="e">
        <f t="shared" si="356"/>
        <v>#DIV/0!</v>
      </c>
      <c r="CJ59" s="42" t="e">
        <f t="shared" si="356"/>
        <v>#DIV/0!</v>
      </c>
      <c r="CK59" s="42" t="e">
        <f t="shared" si="356"/>
        <v>#DIV/0!</v>
      </c>
      <c r="CL59" s="42">
        <f t="shared" si="356"/>
        <v>9.2005426216638098E-2</v>
      </c>
      <c r="CM59" s="45">
        <f t="shared" si="356"/>
        <v>5.2169151466199937E-2</v>
      </c>
      <c r="CN59" s="45">
        <f t="shared" si="356"/>
        <v>2.2723974221276144E-2</v>
      </c>
      <c r="CO59" s="45">
        <f t="shared" si="356"/>
        <v>1.7233210110525254E-2</v>
      </c>
      <c r="CP59" s="45">
        <f t="shared" si="356"/>
        <v>-0.10065345913158219</v>
      </c>
      <c r="CQ59" s="45">
        <f t="shared" si="356"/>
        <v>3.9428901404101158E-2</v>
      </c>
      <c r="CR59" s="45">
        <f t="shared" si="356"/>
        <v>-7.0245717491623783E-4</v>
      </c>
      <c r="CS59" s="45">
        <f t="shared" si="356"/>
        <v>-0.1156406453216049</v>
      </c>
      <c r="CT59" s="45">
        <f t="shared" ref="CT59:DI59" si="357">(CT170*CT18)/(CS170*CS18)-1</f>
        <v>-1.9092548424517575E-2</v>
      </c>
      <c r="CU59" s="45">
        <f t="shared" si="357"/>
        <v>-0.21553731540063548</v>
      </c>
      <c r="CV59" s="45">
        <f t="shared" si="357"/>
        <v>-0.20884163298602099</v>
      </c>
      <c r="CW59" s="45">
        <f t="shared" si="357"/>
        <v>-0.26057919052706069</v>
      </c>
      <c r="CX59" s="45">
        <f t="shared" si="357"/>
        <v>-0.23067630104397685</v>
      </c>
      <c r="CY59" s="45">
        <f t="shared" si="357"/>
        <v>-0.75663984088113589</v>
      </c>
      <c r="CZ59" s="43">
        <f t="shared" si="357"/>
        <v>-0.36175243240060639</v>
      </c>
      <c r="DA59" s="42">
        <f t="shared" si="357"/>
        <v>-0.19118567071738468</v>
      </c>
      <c r="DB59" s="42">
        <f t="shared" si="357"/>
        <v>4.9918125188765261E-2</v>
      </c>
      <c r="DC59" s="42">
        <f t="shared" si="357"/>
        <v>4.9918125188765483E-2</v>
      </c>
      <c r="DD59" s="42">
        <f t="shared" si="357"/>
        <v>4.7841149250390513E-2</v>
      </c>
      <c r="DE59" s="42">
        <f t="shared" si="357"/>
        <v>4.3182950312500301E-2</v>
      </c>
      <c r="DF59" s="42">
        <f t="shared" si="357"/>
        <v>4.0604009999999802E-2</v>
      </c>
      <c r="DG59" s="232">
        <f t="shared" si="357"/>
        <v>4.0604010000000246E-2</v>
      </c>
      <c r="DH59" s="232">
        <f t="shared" si="357"/>
        <v>4.0604010000000024E-2</v>
      </c>
      <c r="DI59" s="232">
        <f t="shared" si="357"/>
        <v>4.0604009999999802E-2</v>
      </c>
    </row>
    <row r="60" spans="1:113" outlineLevel="1">
      <c r="A60" s="1" t="s">
        <v>307</v>
      </c>
      <c r="B60" s="19" t="s">
        <v>180</v>
      </c>
      <c r="C60" s="232" t="e">
        <f t="shared" ref="C60:L60" si="358">(SUM(C172:C172)*C18)/(SUM(B172:B172)*B18)-1</f>
        <v>#VALUE!</v>
      </c>
      <c r="D60" s="232" t="e">
        <f t="shared" si="358"/>
        <v>#DIV/0!</v>
      </c>
      <c r="E60" s="232" t="e">
        <f t="shared" si="358"/>
        <v>#DIV/0!</v>
      </c>
      <c r="F60" s="232" t="e">
        <f t="shared" si="358"/>
        <v>#DIV/0!</v>
      </c>
      <c r="G60" s="232" t="e">
        <f t="shared" si="358"/>
        <v>#DIV/0!</v>
      </c>
      <c r="H60" s="232" t="e">
        <f t="shared" si="358"/>
        <v>#DIV/0!</v>
      </c>
      <c r="I60" s="232" t="e">
        <f t="shared" si="358"/>
        <v>#DIV/0!</v>
      </c>
      <c r="J60" s="232" t="e">
        <f t="shared" si="358"/>
        <v>#DIV/0!</v>
      </c>
      <c r="K60" s="232" t="e">
        <f t="shared" si="358"/>
        <v>#DIV/0!</v>
      </c>
      <c r="L60" s="232" t="e">
        <f t="shared" si="358"/>
        <v>#DIV/0!</v>
      </c>
      <c r="M60" s="42" t="e">
        <f t="shared" ref="M60:T60" si="359">(SUM(M172:M172)*M18)/(SUM(L172:L172)*L18)-1</f>
        <v>#DIV/0!</v>
      </c>
      <c r="N60" s="42" t="e">
        <f t="shared" si="359"/>
        <v>#DIV/0!</v>
      </c>
      <c r="O60" s="42" t="e">
        <f t="shared" si="359"/>
        <v>#DIV/0!</v>
      </c>
      <c r="P60" s="42" t="e">
        <f t="shared" si="359"/>
        <v>#DIV/0!</v>
      </c>
      <c r="Q60" s="42" t="e">
        <f t="shared" si="359"/>
        <v>#DIV/0!</v>
      </c>
      <c r="R60" s="42" t="e">
        <f t="shared" si="359"/>
        <v>#DIV/0!</v>
      </c>
      <c r="S60" s="42" t="e">
        <f t="shared" si="359"/>
        <v>#DIV/0!</v>
      </c>
      <c r="T60" s="45" t="e">
        <f t="shared" si="359"/>
        <v>#DIV/0!</v>
      </c>
      <c r="U60" s="45">
        <f t="shared" ref="U60:AK60" si="360">(SUM(U171:U172)*U18)/(SUM(T171:T172)*T18)-1</f>
        <v>-0.14289511269729571</v>
      </c>
      <c r="V60" s="45">
        <f t="shared" si="360"/>
        <v>3.0514154511527503E-2</v>
      </c>
      <c r="W60" s="45">
        <f t="shared" si="360"/>
        <v>0.1105349848379904</v>
      </c>
      <c r="X60" s="45">
        <f t="shared" si="360"/>
        <v>9.1426729694886077E-2</v>
      </c>
      <c r="Y60" s="45">
        <f t="shared" si="360"/>
        <v>0.1457792037534138</v>
      </c>
      <c r="Z60" s="45">
        <f t="shared" si="360"/>
        <v>6.6329959359877178E-2</v>
      </c>
      <c r="AA60" s="45">
        <f t="shared" si="360"/>
        <v>0.13129709448090909</v>
      </c>
      <c r="AB60" s="45">
        <f t="shared" si="360"/>
        <v>0.23902465518360549</v>
      </c>
      <c r="AC60" s="45">
        <f t="shared" si="360"/>
        <v>5.9014150901482099E-2</v>
      </c>
      <c r="AD60" s="45">
        <f t="shared" si="360"/>
        <v>4.3236884270088316E-2</v>
      </c>
      <c r="AE60" s="45">
        <f t="shared" si="360"/>
        <v>-1.7748493976468271E-3</v>
      </c>
      <c r="AF60" s="45">
        <f t="shared" si="360"/>
        <v>4.4679233002230534E-2</v>
      </c>
      <c r="AG60" s="45">
        <f t="shared" si="360"/>
        <v>1.4025389643795849E-2</v>
      </c>
      <c r="AH60" s="45">
        <f t="shared" si="360"/>
        <v>-1.217236075739403E-2</v>
      </c>
      <c r="AI60" s="45">
        <f t="shared" si="360"/>
        <v>0.10048169446179389</v>
      </c>
      <c r="AJ60" s="45">
        <f t="shared" si="360"/>
        <v>2.1453060277989655E-2</v>
      </c>
      <c r="AK60" s="45">
        <f t="shared" si="360"/>
        <v>-4.850265502520712E-2</v>
      </c>
      <c r="AL60" s="45">
        <f t="shared" ref="AL60:AZ60" si="361">(SUM(AL171:AL172)*AL18)/(SUM(AK171:AK172)*AK18)-1</f>
        <v>-5.6436045307797889E-2</v>
      </c>
      <c r="AM60" s="45">
        <f t="shared" si="361"/>
        <v>-0.15793544140190263</v>
      </c>
      <c r="AN60" s="45">
        <f t="shared" si="361"/>
        <v>-9.2896047376556434E-2</v>
      </c>
      <c r="AO60" s="45">
        <f t="shared" si="361"/>
        <v>-8.5726147774385253E-2</v>
      </c>
      <c r="AP60" s="45">
        <f t="shared" si="361"/>
        <v>1.9867146268739422E-3</v>
      </c>
      <c r="AQ60" s="45">
        <f t="shared" si="361"/>
        <v>2.7219126300611851E-2</v>
      </c>
      <c r="AR60" s="45">
        <f t="shared" si="361"/>
        <v>-4.6458181574905444E-3</v>
      </c>
      <c r="AS60" s="45">
        <f t="shared" si="361"/>
        <v>-5.2935316062011295E-2</v>
      </c>
      <c r="AT60" s="45">
        <f t="shared" si="361"/>
        <v>-0.15296204780019262</v>
      </c>
      <c r="AU60" s="45">
        <f t="shared" si="361"/>
        <v>-1.126512247071243E-2</v>
      </c>
      <c r="AV60" s="45">
        <f t="shared" si="361"/>
        <v>4.4635707067644415E-2</v>
      </c>
      <c r="AW60" s="45">
        <f t="shared" si="361"/>
        <v>-4.1415858810518458E-3</v>
      </c>
      <c r="AX60" s="45">
        <f t="shared" si="361"/>
        <v>0.11820687106683003</v>
      </c>
      <c r="AY60" s="45">
        <f t="shared" si="361"/>
        <v>0.11601424221291623</v>
      </c>
      <c r="AZ60" s="43">
        <f t="shared" si="361"/>
        <v>-3.5720505717653506E-3</v>
      </c>
      <c r="BA60" s="232">
        <f t="shared" ref="BA60:BE60" si="362">BA49+BA35</f>
        <v>2.5817245166261271E-2</v>
      </c>
      <c r="BB60" s="232">
        <f t="shared" si="362"/>
        <v>2.0729745166261138E-2</v>
      </c>
      <c r="BC60" s="232">
        <f t="shared" si="362"/>
        <v>2.0729745166261138E-2</v>
      </c>
      <c r="BD60" s="232">
        <f t="shared" si="362"/>
        <v>1.5667245166261279E-2</v>
      </c>
      <c r="BE60" s="232">
        <f t="shared" si="362"/>
        <v>1.5667245166261279E-2</v>
      </c>
      <c r="BF60" s="232">
        <f t="shared" si="351"/>
        <v>1.5667245166261279E-2</v>
      </c>
      <c r="BG60" s="232">
        <f t="shared" si="351"/>
        <v>1.5667245166261279E-2</v>
      </c>
      <c r="BH60" s="232">
        <f t="shared" si="351"/>
        <v>1.5667245166261279E-2</v>
      </c>
      <c r="BI60" s="232">
        <f t="shared" si="351"/>
        <v>1.5667245166261279E-2</v>
      </c>
      <c r="BJ60" s="232">
        <f t="shared" ref="BJ60:BK60" si="363">BJ49+BJ35</f>
        <v>1.5667245166261279E-2</v>
      </c>
      <c r="BK60" s="232">
        <f t="shared" si="363"/>
        <v>1.5667245166261279E-2</v>
      </c>
      <c r="BL60" s="232">
        <f t="shared" si="352"/>
        <v>1.5667245166261279E-2</v>
      </c>
      <c r="BM60" s="232">
        <f t="shared" si="352"/>
        <v>1.5667245166261279E-2</v>
      </c>
      <c r="BN60" s="232">
        <f t="shared" ref="BN60:BO60" si="364">BN49+BN35</f>
        <v>1.5667245166261279E-2</v>
      </c>
      <c r="BO60" s="232">
        <f t="shared" si="364"/>
        <v>1.5667245166261279E-2</v>
      </c>
      <c r="BP60" s="232">
        <f t="shared" ref="BP60:BQ60" si="365">BP49+BP35</f>
        <v>1.5667245166261279E-2</v>
      </c>
      <c r="BQ60" s="232">
        <f t="shared" si="365"/>
        <v>1.5667245166261279E-2</v>
      </c>
      <c r="BR60" s="42"/>
      <c r="BS60" s="232" t="e">
        <f t="shared" ref="BS60:CB60" si="366">(SUM(BS172:BS172)*BS18)/(SUM(BR172:BR172)*BR18)-1</f>
        <v>#DIV/0!</v>
      </c>
      <c r="BT60" s="232" t="e">
        <f t="shared" si="366"/>
        <v>#DIV/0!</v>
      </c>
      <c r="BU60" s="232" t="e">
        <f t="shared" si="366"/>
        <v>#DIV/0!</v>
      </c>
      <c r="BV60" s="232" t="e">
        <f t="shared" si="366"/>
        <v>#DIV/0!</v>
      </c>
      <c r="BW60" s="232" t="e">
        <f t="shared" si="366"/>
        <v>#DIV/0!</v>
      </c>
      <c r="BX60" s="232" t="e">
        <f t="shared" si="366"/>
        <v>#DIV/0!</v>
      </c>
      <c r="BY60" s="232" t="e">
        <f t="shared" si="366"/>
        <v>#DIV/0!</v>
      </c>
      <c r="BZ60" s="232" t="e">
        <f t="shared" si="366"/>
        <v>#DIV/0!</v>
      </c>
      <c r="CA60" s="232" t="e">
        <f t="shared" si="366"/>
        <v>#DIV/0!</v>
      </c>
      <c r="CB60" s="232" t="e">
        <f t="shared" si="366"/>
        <v>#DIV/0!</v>
      </c>
      <c r="CC60" s="42" t="e">
        <f t="shared" ref="CC60:CS60" si="367">(SUM(CC172:CC172)*CC18)/(SUM(CB172:CB172)*CB18)-1</f>
        <v>#DIV/0!</v>
      </c>
      <c r="CD60" s="42" t="e">
        <f t="shared" si="367"/>
        <v>#DIV/0!</v>
      </c>
      <c r="CE60" s="42" t="e">
        <f t="shared" si="367"/>
        <v>#DIV/0!</v>
      </c>
      <c r="CF60" s="42" t="e">
        <f t="shared" si="367"/>
        <v>#DIV/0!</v>
      </c>
      <c r="CG60" s="42" t="e">
        <f t="shared" si="367"/>
        <v>#DIV/0!</v>
      </c>
      <c r="CH60" s="42" t="e">
        <f t="shared" si="367"/>
        <v>#DIV/0!</v>
      </c>
      <c r="CI60" s="42" t="e">
        <f t="shared" si="367"/>
        <v>#DIV/0!</v>
      </c>
      <c r="CJ60" s="42" t="e">
        <f t="shared" si="367"/>
        <v>#DIV/0!</v>
      </c>
      <c r="CK60" s="42" t="e">
        <f t="shared" si="367"/>
        <v>#DIV/0!</v>
      </c>
      <c r="CL60" s="42" t="e">
        <f t="shared" si="367"/>
        <v>#DIV/0!</v>
      </c>
      <c r="CM60" s="45" t="e">
        <f t="shared" si="367"/>
        <v>#DIV/0!</v>
      </c>
      <c r="CN60" s="45" t="e">
        <f t="shared" si="367"/>
        <v>#DIV/0!</v>
      </c>
      <c r="CO60" s="45" t="e">
        <f t="shared" si="367"/>
        <v>#DIV/0!</v>
      </c>
      <c r="CP60" s="45" t="e">
        <f t="shared" si="367"/>
        <v>#DIV/0!</v>
      </c>
      <c r="CQ60" s="45" t="e">
        <f t="shared" si="367"/>
        <v>#DIV/0!</v>
      </c>
      <c r="CR60" s="45" t="e">
        <f t="shared" si="367"/>
        <v>#DIV/0!</v>
      </c>
      <c r="CS60" s="45" t="e">
        <f t="shared" si="367"/>
        <v>#DIV/0!</v>
      </c>
      <c r="CT60" s="45" t="e">
        <f t="shared" ref="CT60:CV60" si="368">(SUM(CT172:CT172)*CT18)/(SUM(CS172:CS172)*CS18)-1</f>
        <v>#DIV/0!</v>
      </c>
      <c r="CU60" s="45" t="e">
        <f t="shared" si="368"/>
        <v>#DIV/0!</v>
      </c>
      <c r="CV60" s="45" t="e">
        <f t="shared" si="368"/>
        <v>#DIV/0!</v>
      </c>
      <c r="CW60" s="45">
        <v>0</v>
      </c>
      <c r="CX60" s="45">
        <v>0</v>
      </c>
      <c r="CY60" s="45">
        <v>0</v>
      </c>
      <c r="CZ60" s="43">
        <v>0</v>
      </c>
      <c r="DA60" s="42">
        <v>0</v>
      </c>
      <c r="DB60" s="42">
        <v>0</v>
      </c>
      <c r="DC60" s="42">
        <v>0</v>
      </c>
      <c r="DD60" s="42">
        <v>0</v>
      </c>
      <c r="DE60" s="42">
        <v>0</v>
      </c>
      <c r="DF60" s="42">
        <v>0</v>
      </c>
      <c r="DG60" s="232">
        <v>0</v>
      </c>
      <c r="DH60" s="232">
        <v>0</v>
      </c>
      <c r="DI60" s="232">
        <v>0</v>
      </c>
    </row>
    <row r="61" spans="1:113" outlineLevel="1">
      <c r="A61" s="1" t="s">
        <v>853</v>
      </c>
      <c r="B61" s="19" t="s">
        <v>281</v>
      </c>
      <c r="C61" s="232" t="e">
        <f>C173/C198</f>
        <v>#DIV/0!</v>
      </c>
      <c r="D61" s="232" t="e">
        <f>D173/D198</f>
        <v>#DIV/0!</v>
      </c>
      <c r="E61" s="232" t="e">
        <f>E173/E198</f>
        <v>#DIV/0!</v>
      </c>
      <c r="F61" s="232" t="e">
        <f t="shared" ref="F61:L61" si="369">F173/F198</f>
        <v>#DIV/0!</v>
      </c>
      <c r="G61" s="232" t="e">
        <f t="shared" si="369"/>
        <v>#DIV/0!</v>
      </c>
      <c r="H61" s="232" t="e">
        <f t="shared" si="369"/>
        <v>#DIV/0!</v>
      </c>
      <c r="I61" s="232" t="e">
        <f t="shared" si="369"/>
        <v>#DIV/0!</v>
      </c>
      <c r="J61" s="232" t="e">
        <f t="shared" si="369"/>
        <v>#DIV/0!</v>
      </c>
      <c r="K61" s="232" t="e">
        <f t="shared" si="369"/>
        <v>#DIV/0!</v>
      </c>
      <c r="L61" s="232" t="e">
        <f t="shared" si="369"/>
        <v>#DIV/0!</v>
      </c>
      <c r="M61" s="42" t="e">
        <f t="shared" ref="M61:T61" si="370">M173/M198</f>
        <v>#DIV/0!</v>
      </c>
      <c r="N61" s="42" t="e">
        <f t="shared" si="370"/>
        <v>#DIV/0!</v>
      </c>
      <c r="O61" s="42" t="e">
        <f t="shared" si="370"/>
        <v>#DIV/0!</v>
      </c>
      <c r="P61" s="42" t="e">
        <f t="shared" si="370"/>
        <v>#DIV/0!</v>
      </c>
      <c r="Q61" s="42" t="e">
        <f t="shared" si="370"/>
        <v>#DIV/0!</v>
      </c>
      <c r="R61" s="42" t="e">
        <f t="shared" si="370"/>
        <v>#DIV/0!</v>
      </c>
      <c r="S61" s="42" t="e">
        <f t="shared" si="370"/>
        <v>#DIV/0!</v>
      </c>
      <c r="T61" s="45">
        <f t="shared" si="370"/>
        <v>0.58362967504598406</v>
      </c>
      <c r="U61" s="42">
        <f t="shared" ref="U61:Z61" si="371">U173/U198</f>
        <v>0.65776901493895501</v>
      </c>
      <c r="V61" s="42">
        <f t="shared" si="371"/>
        <v>0.43381720121636352</v>
      </c>
      <c r="W61" s="42">
        <f t="shared" si="371"/>
        <v>0.68010358221838585</v>
      </c>
      <c r="X61" s="42">
        <f t="shared" si="371"/>
        <v>0.51844426623897355</v>
      </c>
      <c r="Y61" s="45">
        <f t="shared" si="371"/>
        <v>0.53203631647211413</v>
      </c>
      <c r="Z61" s="45">
        <f t="shared" si="371"/>
        <v>0.63626099358212507</v>
      </c>
      <c r="AA61" s="45">
        <f t="shared" ref="AA61:AK61" si="372">AA173/AA198</f>
        <v>0.88149265477439664</v>
      </c>
      <c r="AB61" s="45">
        <f t="shared" si="372"/>
        <v>1.0142372073628403</v>
      </c>
      <c r="AC61" s="45">
        <f t="shared" si="372"/>
        <v>1.0942348209155335</v>
      </c>
      <c r="AD61" s="45">
        <f t="shared" si="372"/>
        <v>1.0363064753308655</v>
      </c>
      <c r="AE61" s="45">
        <f t="shared" si="372"/>
        <v>1.2868235433584256</v>
      </c>
      <c r="AF61" s="45">
        <f t="shared" si="372"/>
        <v>1.1649928966834859</v>
      </c>
      <c r="AG61" s="45">
        <f t="shared" si="372"/>
        <v>1.1895532852564104</v>
      </c>
      <c r="AH61" s="45">
        <f t="shared" si="372"/>
        <v>1.0669674451521585</v>
      </c>
      <c r="AI61" s="45">
        <f t="shared" si="372"/>
        <v>1.1559684161634929</v>
      </c>
      <c r="AJ61" s="45">
        <f t="shared" si="372"/>
        <v>1.1456315137046049</v>
      </c>
      <c r="AK61" s="45">
        <f t="shared" si="372"/>
        <v>1.1117761816085838</v>
      </c>
      <c r="AL61" s="45">
        <f t="shared" ref="AL61:AQ61" si="373">AL173/AL198</f>
        <v>1.1154088333183412</v>
      </c>
      <c r="AM61" s="45">
        <f t="shared" si="373"/>
        <v>1.2510052034058656</v>
      </c>
      <c r="AN61" s="45">
        <f t="shared" si="373"/>
        <v>0.8922655778777896</v>
      </c>
      <c r="AO61" s="45">
        <f t="shared" si="373"/>
        <v>1.127888671997985</v>
      </c>
      <c r="AP61" s="45">
        <f t="shared" si="373"/>
        <v>1.0672032193158953</v>
      </c>
      <c r="AQ61" s="45">
        <f t="shared" si="373"/>
        <v>1.0212295987237698</v>
      </c>
      <c r="AR61" s="45">
        <f t="shared" ref="AR61" si="374">AR173/AR198</f>
        <v>0.79269253952798258</v>
      </c>
      <c r="AS61" s="45">
        <f t="shared" ref="AS61:AT61" si="375">AS173/AS198</f>
        <v>0.80333820547880619</v>
      </c>
      <c r="AT61" s="45">
        <f t="shared" si="375"/>
        <v>0.70526721603778131</v>
      </c>
      <c r="AU61" s="45">
        <f t="shared" ref="AU61" si="376">AU173/AU198</f>
        <v>0.83105638949794791</v>
      </c>
      <c r="AV61" s="45">
        <f t="shared" ref="AV61:AW61" si="377">AV173/AV198</f>
        <v>0.85577258458318806</v>
      </c>
      <c r="AW61" s="45">
        <f t="shared" si="377"/>
        <v>0.65068699659732088</v>
      </c>
      <c r="AX61" s="45">
        <f t="shared" ref="AX61:AY61" si="378">AX173/AX198</f>
        <v>0.59708883054733974</v>
      </c>
      <c r="AY61" s="45">
        <f t="shared" si="378"/>
        <v>0.60820263838758104</v>
      </c>
      <c r="AZ61" s="43">
        <f t="shared" ref="AZ61" si="379">AZ173/AZ198</f>
        <v>0.50024209167204647</v>
      </c>
      <c r="BA61" s="511">
        <f>BA173/((AZ198*(1+2.1%)))</f>
        <v>0.49324831349327447</v>
      </c>
      <c r="BB61" s="511">
        <f>BB173/((BA198*(1+2.5%)))</f>
        <v>0.51386820977428771</v>
      </c>
      <c r="BC61" s="511">
        <f t="shared" ref="BC61:BH61" si="380">BC173/((BB198*(1+2.5%)))</f>
        <v>0.50018891470437055</v>
      </c>
      <c r="BD61" s="511">
        <f t="shared" si="380"/>
        <v>0.48471103970056706</v>
      </c>
      <c r="BE61" s="511">
        <f t="shared" si="380"/>
        <v>0.46994086378719641</v>
      </c>
      <c r="BF61" s="511">
        <f t="shared" si="380"/>
        <v>0.45583317994677081</v>
      </c>
      <c r="BG61" s="511">
        <f t="shared" si="380"/>
        <v>0.43692066994915663</v>
      </c>
      <c r="BH61" s="511">
        <f t="shared" si="380"/>
        <v>0.41924110746844817</v>
      </c>
      <c r="BI61" s="511">
        <f>BH61</f>
        <v>0.41924110746844817</v>
      </c>
      <c r="BJ61" s="511">
        <f t="shared" ref="BJ61:BM61" si="381">BI61</f>
        <v>0.41924110746844817</v>
      </c>
      <c r="BK61" s="511">
        <f t="shared" si="381"/>
        <v>0.41924110746844817</v>
      </c>
      <c r="BL61" s="511">
        <f t="shared" si="381"/>
        <v>0.41924110746844817</v>
      </c>
      <c r="BM61" s="511">
        <f t="shared" si="381"/>
        <v>0.41924110746844817</v>
      </c>
      <c r="BN61" s="511">
        <f t="shared" ref="BN61" si="382">BM61</f>
        <v>0.41924110746844817</v>
      </c>
      <c r="BO61" s="511">
        <f t="shared" ref="BO61" si="383">BN61</f>
        <v>0.41924110746844817</v>
      </c>
      <c r="BP61" s="511">
        <f t="shared" ref="BP61" si="384">BO61</f>
        <v>0.41924110746844817</v>
      </c>
      <c r="BQ61" s="511">
        <f t="shared" ref="BQ61" si="385">BP61</f>
        <v>0.41924110746844817</v>
      </c>
      <c r="BR61" s="42"/>
      <c r="BS61" s="232" t="e">
        <f t="shared" ref="BS61:CB61" si="386">BS173/BS198</f>
        <v>#DIV/0!</v>
      </c>
      <c r="BT61" s="232" t="e">
        <f t="shared" si="386"/>
        <v>#DIV/0!</v>
      </c>
      <c r="BU61" s="232" t="e">
        <f t="shared" si="386"/>
        <v>#DIV/0!</v>
      </c>
      <c r="BV61" s="232" t="e">
        <f t="shared" si="386"/>
        <v>#DIV/0!</v>
      </c>
      <c r="BW61" s="232" t="e">
        <f t="shared" si="386"/>
        <v>#DIV/0!</v>
      </c>
      <c r="BX61" s="232" t="e">
        <f t="shared" si="386"/>
        <v>#DIV/0!</v>
      </c>
      <c r="BY61" s="232" t="e">
        <f t="shared" si="386"/>
        <v>#DIV/0!</v>
      </c>
      <c r="BZ61" s="232" t="e">
        <f t="shared" si="386"/>
        <v>#DIV/0!</v>
      </c>
      <c r="CA61" s="232" t="e">
        <f t="shared" si="386"/>
        <v>#DIV/0!</v>
      </c>
      <c r="CB61" s="232" t="e">
        <f t="shared" si="386"/>
        <v>#DIV/0!</v>
      </c>
      <c r="CC61" s="42" t="e">
        <f t="shared" ref="CC61:CO61" si="387">CC173/CC198</f>
        <v>#DIV/0!</v>
      </c>
      <c r="CD61" s="42" t="e">
        <f t="shared" si="387"/>
        <v>#DIV/0!</v>
      </c>
      <c r="CE61" s="42" t="e">
        <f t="shared" si="387"/>
        <v>#DIV/0!</v>
      </c>
      <c r="CF61" s="42" t="e">
        <f t="shared" si="387"/>
        <v>#DIV/0!</v>
      </c>
      <c r="CG61" s="42" t="e">
        <f t="shared" si="387"/>
        <v>#DIV/0!</v>
      </c>
      <c r="CH61" s="42" t="e">
        <f t="shared" si="387"/>
        <v>#DIV/0!</v>
      </c>
      <c r="CI61" s="42" t="e">
        <f t="shared" si="387"/>
        <v>#DIV/0!</v>
      </c>
      <c r="CJ61" s="42" t="e">
        <f t="shared" si="387"/>
        <v>#DIV/0!</v>
      </c>
      <c r="CK61" s="42">
        <f t="shared" si="387"/>
        <v>0.65776901493895501</v>
      </c>
      <c r="CL61" s="42">
        <f t="shared" si="387"/>
        <v>0.68010358221838585</v>
      </c>
      <c r="CM61" s="45">
        <f t="shared" si="387"/>
        <v>0.53203631647211413</v>
      </c>
      <c r="CN61" s="45">
        <f t="shared" si="387"/>
        <v>0.88149265477439664</v>
      </c>
      <c r="CO61" s="45">
        <f t="shared" si="387"/>
        <v>1.0942348209155335</v>
      </c>
      <c r="CP61" s="45">
        <f t="shared" ref="CP61:DC61" si="388">CP173/CP198</f>
        <v>1.2868235433584256</v>
      </c>
      <c r="CQ61" s="45">
        <f t="shared" si="388"/>
        <v>1.1895532852564104</v>
      </c>
      <c r="CR61" s="45">
        <f t="shared" si="388"/>
        <v>1.1559684161634929</v>
      </c>
      <c r="CS61" s="45">
        <f t="shared" si="388"/>
        <v>1.1117761816085838</v>
      </c>
      <c r="CT61" s="45">
        <f t="shared" si="388"/>
        <v>1.2510052034058656</v>
      </c>
      <c r="CU61" s="45">
        <f t="shared" si="388"/>
        <v>1.127888671997985</v>
      </c>
      <c r="CV61" s="45">
        <f t="shared" si="388"/>
        <v>1.0212295987237698</v>
      </c>
      <c r="CW61" s="45">
        <f t="shared" si="388"/>
        <v>0.80333820547880619</v>
      </c>
      <c r="CX61" s="45">
        <f t="shared" si="388"/>
        <v>0.83105638949794791</v>
      </c>
      <c r="CY61" s="45">
        <f t="shared" si="388"/>
        <v>0.65068699659732088</v>
      </c>
      <c r="CZ61" s="43">
        <f t="shared" si="388"/>
        <v>0.60820263838758104</v>
      </c>
      <c r="DA61" s="42">
        <f t="shared" si="388"/>
        <v>0.49324831349327447</v>
      </c>
      <c r="DB61" s="42">
        <f t="shared" si="388"/>
        <v>0.50018891470437055</v>
      </c>
      <c r="DC61" s="42">
        <f t="shared" si="388"/>
        <v>0.46994086378719641</v>
      </c>
      <c r="DD61" s="42">
        <f t="shared" ref="DD61:DI61" si="389">DD173/DD198</f>
        <v>0.43692066994915663</v>
      </c>
      <c r="DE61" s="42">
        <f t="shared" si="389"/>
        <v>0.41924110746844817</v>
      </c>
      <c r="DF61" s="42">
        <f t="shared" si="389"/>
        <v>0.41924110746844817</v>
      </c>
      <c r="DG61" s="232">
        <f t="shared" si="389"/>
        <v>0.41924110746844817</v>
      </c>
      <c r="DH61" s="232">
        <f t="shared" si="389"/>
        <v>0.41924110746844817</v>
      </c>
      <c r="DI61" s="232">
        <f t="shared" si="389"/>
        <v>0.41924110746844817</v>
      </c>
    </row>
    <row r="62" spans="1:113" outlineLevel="1">
      <c r="C62" s="232"/>
      <c r="D62" s="232"/>
      <c r="E62" s="232"/>
      <c r="F62" s="232"/>
      <c r="G62" s="232"/>
      <c r="H62" s="232"/>
      <c r="I62" s="232"/>
      <c r="J62" s="232"/>
      <c r="K62" s="232"/>
      <c r="L62" s="232"/>
      <c r="M62" s="42"/>
      <c r="N62" s="42"/>
      <c r="O62" s="42"/>
      <c r="P62" s="42"/>
      <c r="Q62" s="42"/>
      <c r="R62" s="42"/>
      <c r="S62" s="42"/>
      <c r="T62" s="45"/>
      <c r="U62" s="42"/>
      <c r="V62" s="42"/>
      <c r="W62" s="42"/>
      <c r="X62" s="42"/>
      <c r="Y62" s="45"/>
      <c r="Z62" s="45"/>
      <c r="AA62" s="45"/>
      <c r="AB62" s="45"/>
      <c r="AC62" s="376"/>
      <c r="AD62" s="376"/>
      <c r="AE62" s="376"/>
      <c r="AF62" s="376"/>
      <c r="AG62" s="376"/>
      <c r="AH62" s="376"/>
      <c r="AI62" s="376"/>
      <c r="AJ62" s="376"/>
      <c r="AK62" s="376"/>
      <c r="AL62" s="376"/>
      <c r="AM62" s="376"/>
      <c r="AN62" s="376"/>
      <c r="AO62" s="376"/>
      <c r="AP62" s="376"/>
      <c r="AQ62" s="376"/>
      <c r="AR62" s="376"/>
      <c r="AS62" s="376"/>
      <c r="AT62" s="376"/>
      <c r="AU62" s="376"/>
      <c r="AV62" s="376"/>
      <c r="AW62" s="376"/>
      <c r="AX62" s="376"/>
      <c r="AY62" s="376"/>
      <c r="AZ62" s="375"/>
      <c r="BA62" s="232"/>
      <c r="BB62" s="232"/>
      <c r="BC62" s="232"/>
      <c r="BD62" s="232"/>
      <c r="BE62" s="232"/>
      <c r="BF62" s="232"/>
      <c r="BG62" s="232"/>
      <c r="BH62" s="232"/>
      <c r="BI62" s="232"/>
      <c r="BJ62" s="232"/>
      <c r="BK62" s="232"/>
      <c r="BL62" s="232"/>
      <c r="BM62" s="232"/>
      <c r="BN62" s="232"/>
      <c r="BO62" s="232"/>
      <c r="BP62" s="232"/>
      <c r="BQ62" s="232"/>
      <c r="BR62" s="42"/>
      <c r="BS62" s="232"/>
      <c r="BT62" s="232"/>
      <c r="BU62" s="232"/>
      <c r="BV62" s="232"/>
      <c r="BW62" s="232"/>
      <c r="BX62" s="232"/>
      <c r="BY62" s="232"/>
      <c r="BZ62" s="232"/>
      <c r="CA62" s="232"/>
      <c r="CB62" s="232"/>
      <c r="CC62" s="42"/>
      <c r="CD62" s="42"/>
      <c r="CE62" s="42"/>
      <c r="CF62" s="42"/>
      <c r="CG62" s="42"/>
      <c r="CH62" s="42"/>
      <c r="CI62" s="42"/>
      <c r="CJ62" s="42"/>
      <c r="CK62" s="42"/>
      <c r="CL62" s="42"/>
      <c r="CM62" s="45"/>
      <c r="CN62" s="45"/>
      <c r="CO62" s="45"/>
      <c r="CP62" s="45"/>
      <c r="CQ62" s="45"/>
      <c r="CR62" s="45"/>
      <c r="CS62" s="45"/>
      <c r="CT62" s="45"/>
      <c r="CU62" s="45"/>
      <c r="CV62" s="45"/>
      <c r="CW62" s="45"/>
      <c r="CX62" s="45"/>
      <c r="CY62" s="45"/>
      <c r="CZ62" s="43"/>
      <c r="DA62" s="42"/>
      <c r="DB62" s="42"/>
    </row>
    <row r="63" spans="1:113" outlineLevel="1">
      <c r="A63" s="1" t="s">
        <v>864</v>
      </c>
      <c r="B63" s="19" t="s">
        <v>433</v>
      </c>
      <c r="C63" s="232" t="e">
        <f t="shared" ref="C63:L64" si="390">C208/B208-1</f>
        <v>#VALUE!</v>
      </c>
      <c r="D63" s="232">
        <f t="shared" si="390"/>
        <v>0.34806810740013105</v>
      </c>
      <c r="E63" s="232">
        <f t="shared" si="390"/>
        <v>9.4451577084562199E-2</v>
      </c>
      <c r="F63" s="232">
        <f t="shared" si="390"/>
        <v>-0.24133667290193717</v>
      </c>
      <c r="G63" s="232">
        <f t="shared" si="390"/>
        <v>-4.4757407330017984E-2</v>
      </c>
      <c r="H63" s="232">
        <f t="shared" si="390"/>
        <v>0.19380523230378865</v>
      </c>
      <c r="I63" s="232">
        <f t="shared" si="390"/>
        <v>-0.13910876575784226</v>
      </c>
      <c r="J63" s="232">
        <f t="shared" si="390"/>
        <v>-1.1535841988762119E-2</v>
      </c>
      <c r="K63" s="232">
        <f t="shared" si="390"/>
        <v>-1.1282890487059105E-2</v>
      </c>
      <c r="L63" s="232">
        <f t="shared" si="390"/>
        <v>-7.5874384772855907E-2</v>
      </c>
      <c r="M63" s="42">
        <f t="shared" ref="M63:X64" si="391">M208/L208-1</f>
        <v>-2.0031107131074144E-2</v>
      </c>
      <c r="N63" s="42">
        <f t="shared" si="391"/>
        <v>9.3160831088880292E-2</v>
      </c>
      <c r="O63" s="42">
        <f t="shared" si="391"/>
        <v>-4.9100268379603129E-2</v>
      </c>
      <c r="P63" s="42">
        <f t="shared" si="391"/>
        <v>-4.3584879470688898E-2</v>
      </c>
      <c r="Q63" s="42">
        <f t="shared" si="391"/>
        <v>-0.10526825020560204</v>
      </c>
      <c r="R63" s="42">
        <f t="shared" si="391"/>
        <v>-8.6401730197350646E-2</v>
      </c>
      <c r="S63" s="42">
        <f t="shared" si="391"/>
        <v>-4.9772148902171964E-2</v>
      </c>
      <c r="T63" s="45">
        <f t="shared" si="391"/>
        <v>1.3452914798206317E-2</v>
      </c>
      <c r="U63" s="42">
        <f t="shared" si="391"/>
        <v>-0.10324483775811211</v>
      </c>
      <c r="V63" s="42">
        <f t="shared" si="391"/>
        <v>-3.3785635964912242E-2</v>
      </c>
      <c r="W63" s="42">
        <f t="shared" si="391"/>
        <v>-3.1704376196893369E-2</v>
      </c>
      <c r="X63" s="42">
        <f t="shared" si="391"/>
        <v>-5.6475241722824476E-2</v>
      </c>
      <c r="Y63" s="45">
        <f>Y208/X208-1</f>
        <v>8.7726108221410914E-3</v>
      </c>
      <c r="Z63" s="45">
        <f>Z208/Y208-1</f>
        <v>2.9244266584578238E-3</v>
      </c>
      <c r="AA63" s="45">
        <f t="shared" ref="AA63:AO64" si="392">AA208/Z208-1</f>
        <v>-2.1485573971762317E-3</v>
      </c>
      <c r="AB63" s="45">
        <f t="shared" si="392"/>
        <v>1.0458320516764097E-2</v>
      </c>
      <c r="AC63" s="45">
        <f t="shared" si="392"/>
        <v>1.9786910197869823E-3</v>
      </c>
      <c r="AD63" s="45">
        <f t="shared" si="392"/>
        <v>8.354853410299512E-4</v>
      </c>
      <c r="AE63" s="45">
        <f t="shared" si="392"/>
        <v>-2.0186688927677054E-2</v>
      </c>
      <c r="AF63" s="45">
        <f t="shared" si="392"/>
        <v>-2.3236000309813321E-2</v>
      </c>
      <c r="AG63" s="376">
        <f t="shared" si="392"/>
        <v>1.9823963206724304E-3</v>
      </c>
      <c r="AH63" s="376">
        <f t="shared" si="392"/>
        <v>-1.9626464070908511E-2</v>
      </c>
      <c r="AI63" s="376">
        <f t="shared" si="392"/>
        <v>-2.9867613819825611E-2</v>
      </c>
      <c r="AJ63" s="376">
        <f t="shared" si="392"/>
        <v>-0.95997670161424531</v>
      </c>
      <c r="AK63" s="376">
        <f t="shared" si="392"/>
        <v>-6.2370062370062374E-2</v>
      </c>
      <c r="AL63" s="376">
        <f t="shared" si="392"/>
        <v>-1</v>
      </c>
      <c r="AM63" s="530" t="s">
        <v>215</v>
      </c>
      <c r="AN63" s="530" t="s">
        <v>215</v>
      </c>
      <c r="AO63" s="530" t="s">
        <v>215</v>
      </c>
      <c r="AP63" s="530" t="s">
        <v>215</v>
      </c>
      <c r="AQ63" s="530" t="s">
        <v>215</v>
      </c>
      <c r="AR63" s="530" t="s">
        <v>215</v>
      </c>
      <c r="AS63" s="530" t="s">
        <v>215</v>
      </c>
      <c r="AT63" s="530" t="s">
        <v>215</v>
      </c>
      <c r="AU63" s="530" t="s">
        <v>215</v>
      </c>
      <c r="AV63" s="530" t="s">
        <v>215</v>
      </c>
      <c r="AW63" s="530" t="s">
        <v>215</v>
      </c>
      <c r="AX63" s="530" t="s">
        <v>215</v>
      </c>
      <c r="AY63" s="530" t="s">
        <v>215</v>
      </c>
      <c r="AZ63" s="767" t="s">
        <v>215</v>
      </c>
      <c r="BA63" s="511" t="s">
        <v>215</v>
      </c>
      <c r="BB63" s="511" t="s">
        <v>215</v>
      </c>
      <c r="BC63" s="511" t="s">
        <v>215</v>
      </c>
      <c r="BD63" s="511" t="s">
        <v>215</v>
      </c>
      <c r="BE63" s="511" t="s">
        <v>215</v>
      </c>
      <c r="BF63" s="511" t="s">
        <v>215</v>
      </c>
      <c r="BG63" s="511" t="s">
        <v>215</v>
      </c>
      <c r="BH63" s="511" t="s">
        <v>215</v>
      </c>
      <c r="BI63" s="511" t="s">
        <v>215</v>
      </c>
      <c r="BJ63" s="511" t="s">
        <v>215</v>
      </c>
      <c r="BK63" s="511" t="s">
        <v>215</v>
      </c>
      <c r="BL63" s="511" t="s">
        <v>215</v>
      </c>
      <c r="BM63" s="511" t="s">
        <v>215</v>
      </c>
      <c r="BN63" s="511" t="s">
        <v>215</v>
      </c>
      <c r="BO63" s="511" t="s">
        <v>215</v>
      </c>
      <c r="BP63" s="511" t="s">
        <v>215</v>
      </c>
      <c r="BQ63" s="511" t="s">
        <v>215</v>
      </c>
      <c r="BR63" s="42"/>
      <c r="BS63" s="232" t="e">
        <f t="shared" ref="BS63:CB64" si="393">BS208/BR208-1</f>
        <v>#DIV/0!</v>
      </c>
      <c r="BT63" s="232" t="e">
        <f t="shared" si="393"/>
        <v>#DIV/0!</v>
      </c>
      <c r="BU63" s="232" t="e">
        <f t="shared" si="393"/>
        <v>#DIV/0!</v>
      </c>
      <c r="BV63" s="232" t="e">
        <f t="shared" si="393"/>
        <v>#DIV/0!</v>
      </c>
      <c r="BW63" s="232" t="e">
        <f t="shared" si="393"/>
        <v>#DIV/0!</v>
      </c>
      <c r="BX63" s="232" t="e">
        <f t="shared" si="393"/>
        <v>#DIV/0!</v>
      </c>
      <c r="BY63" s="232" t="e">
        <f t="shared" si="393"/>
        <v>#DIV/0!</v>
      </c>
      <c r="BZ63" s="232" t="e">
        <f t="shared" si="393"/>
        <v>#DIV/0!</v>
      </c>
      <c r="CA63" s="232" t="e">
        <f t="shared" si="393"/>
        <v>#DIV/0!</v>
      </c>
      <c r="CB63" s="232">
        <f t="shared" si="393"/>
        <v>6.9100545842892158E-2</v>
      </c>
      <c r="CC63" s="42">
        <f t="shared" ref="CC63:CS64" si="394">CC208/CB208-1</f>
        <v>0.16693181397757972</v>
      </c>
      <c r="CD63" s="42">
        <f t="shared" si="394"/>
        <v>-0.27529247645921184</v>
      </c>
      <c r="CE63" s="42">
        <f t="shared" si="394"/>
        <v>2.7736459882754305E-2</v>
      </c>
      <c r="CF63" s="42">
        <f t="shared" si="394"/>
        <v>-2.2688574833986008E-2</v>
      </c>
      <c r="CG63" s="42">
        <f t="shared" si="394"/>
        <v>-9.43856439740407E-2</v>
      </c>
      <c r="CH63" s="42">
        <f t="shared" si="394"/>
        <v>3.9486340900346306E-2</v>
      </c>
      <c r="CI63" s="42">
        <f t="shared" si="394"/>
        <v>-0.14426502567898947</v>
      </c>
      <c r="CJ63" s="42">
        <f t="shared" si="394"/>
        <v>-0.13187347931873483</v>
      </c>
      <c r="CK63" s="42">
        <f t="shared" si="394"/>
        <v>-9.1180866965620333E-2</v>
      </c>
      <c r="CL63" s="42">
        <f t="shared" si="394"/>
        <v>-6.4418859649122862E-2</v>
      </c>
      <c r="CM63" s="45">
        <f t="shared" si="394"/>
        <v>-4.8198066217404079E-2</v>
      </c>
      <c r="CN63" s="45">
        <f t="shared" si="394"/>
        <v>7.6958596275211733E-4</v>
      </c>
      <c r="CO63" s="45">
        <f t="shared" si="394"/>
        <v>1.2457705321439638E-2</v>
      </c>
      <c r="CP63" s="45">
        <f t="shared" si="394"/>
        <v>-1.9368069269330102E-2</v>
      </c>
      <c r="CQ63" s="45">
        <f t="shared" si="394"/>
        <v>-2.129966695066221E-2</v>
      </c>
      <c r="CR63" s="45">
        <f t="shared" si="394"/>
        <v>-4.8907882241215561E-2</v>
      </c>
      <c r="CS63" s="45">
        <f t="shared" si="394"/>
        <v>-0.96247295723082038</v>
      </c>
      <c r="CT63" s="45">
        <f t="shared" ref="CT63:CV64" si="395">CT208/CS208-1</f>
        <v>-1</v>
      </c>
      <c r="CU63" s="45" t="e">
        <f t="shared" si="395"/>
        <v>#DIV/0!</v>
      </c>
      <c r="CV63" s="45" t="e">
        <f t="shared" si="395"/>
        <v>#DIV/0!</v>
      </c>
      <c r="CW63" s="45"/>
      <c r="CX63" s="45"/>
      <c r="CY63" s="45"/>
      <c r="CZ63" s="43"/>
      <c r="DA63" s="42"/>
      <c r="DB63" s="42"/>
      <c r="DC63" s="42"/>
      <c r="DD63" s="42"/>
      <c r="DE63" s="42"/>
      <c r="DF63" s="42"/>
      <c r="DG63" s="232"/>
      <c r="DH63" s="232"/>
      <c r="DI63" s="232"/>
    </row>
    <row r="64" spans="1:113" outlineLevel="1">
      <c r="A64" s="1" t="s">
        <v>865</v>
      </c>
      <c r="B64" s="19" t="s">
        <v>434</v>
      </c>
      <c r="C64" s="232" t="e">
        <f>D209/B209-1</f>
        <v>#VALUE!</v>
      </c>
      <c r="D64" s="232">
        <f>E209/D209-1</f>
        <v>-3.2707888593435985E-2</v>
      </c>
      <c r="E64" s="232">
        <f>F209/E209-1</f>
        <v>-7.9836867441890447E-2</v>
      </c>
      <c r="F64" s="232">
        <f>G209/F209-1</f>
        <v>7.1882407394420422E-2</v>
      </c>
      <c r="G64" s="232">
        <f>H209/G209-1</f>
        <v>2.3762790819397583E-2</v>
      </c>
      <c r="H64" s="232">
        <f>I209/H209-1</f>
        <v>0.10420767402029707</v>
      </c>
      <c r="I64" s="232">
        <f t="shared" si="390"/>
        <v>0.10420767402029707</v>
      </c>
      <c r="J64" s="232">
        <f t="shared" si="390"/>
        <v>9.0611290527948585E-2</v>
      </c>
      <c r="K64" s="232">
        <f t="shared" si="390"/>
        <v>6.2471476029251072E-2</v>
      </c>
      <c r="L64" s="232">
        <f t="shared" si="390"/>
        <v>0.15635582638229861</v>
      </c>
      <c r="M64" s="42">
        <f t="shared" si="391"/>
        <v>0.12927080003801072</v>
      </c>
      <c r="N64" s="42">
        <f t="shared" si="391"/>
        <v>5.5798226757751257E-2</v>
      </c>
      <c r="O64" s="42">
        <f t="shared" si="391"/>
        <v>6.6529000470963329E-2</v>
      </c>
      <c r="P64" s="42">
        <f t="shared" si="391"/>
        <v>0.21716475199902163</v>
      </c>
      <c r="Q64" s="42">
        <f t="shared" si="391"/>
        <v>-7.0818193488610959E-2</v>
      </c>
      <c r="R64" s="42">
        <f t="shared" si="391"/>
        <v>-0.1477999699654603</v>
      </c>
      <c r="S64" s="42">
        <f t="shared" si="391"/>
        <v>7.9537604849510224E-2</v>
      </c>
      <c r="T64" s="45">
        <f t="shared" si="391"/>
        <v>0.10625253013306857</v>
      </c>
      <c r="U64" s="42">
        <f t="shared" si="391"/>
        <v>-2.5999397970807525E-2</v>
      </c>
      <c r="V64" s="42">
        <f t="shared" si="391"/>
        <v>7.4735489813479328E-2</v>
      </c>
      <c r="W64" s="42">
        <f t="shared" si="391"/>
        <v>-1.4073468467198591E-2</v>
      </c>
      <c r="X64" s="42">
        <f t="shared" si="391"/>
        <v>-2.1131311513848283E-2</v>
      </c>
      <c r="Y64" s="45">
        <f>Y209/X209-1</f>
        <v>7.0347736673599615E-2</v>
      </c>
      <c r="Z64" s="45">
        <f>Z209/Y209-1</f>
        <v>-0.17505526595889853</v>
      </c>
      <c r="AA64" s="45">
        <f t="shared" ref="AA64:AF64" si="396">AA209/Z209-1</f>
        <v>0.50428096920613497</v>
      </c>
      <c r="AB64" s="45">
        <f t="shared" si="396"/>
        <v>8.7671763112057377E-2</v>
      </c>
      <c r="AC64" s="45">
        <f t="shared" si="396"/>
        <v>-2.8158362989323837E-2</v>
      </c>
      <c r="AD64" s="45">
        <f t="shared" si="396"/>
        <v>-0.52174835737796332</v>
      </c>
      <c r="AE64" s="45">
        <f t="shared" si="396"/>
        <v>3.5325235791598519E-2</v>
      </c>
      <c r="AF64" s="45">
        <f t="shared" si="396"/>
        <v>3.2548406615570791E-2</v>
      </c>
      <c r="AG64" s="376">
        <f t="shared" si="392"/>
        <v>2.4417043096081059E-3</v>
      </c>
      <c r="AH64" s="376">
        <f t="shared" si="392"/>
        <v>4.2763772175536952E-2</v>
      </c>
      <c r="AI64" s="376">
        <f t="shared" si="392"/>
        <v>4.927120966737264E-2</v>
      </c>
      <c r="AJ64" s="376">
        <f t="shared" si="392"/>
        <v>6.2533392698129964E-2</v>
      </c>
      <c r="AK64" s="376">
        <f t="shared" si="392"/>
        <v>3.0456675536187028E-2</v>
      </c>
      <c r="AL64" s="376">
        <f t="shared" si="392"/>
        <v>-0.9070448704707067</v>
      </c>
      <c r="AM64" s="376">
        <f t="shared" si="392"/>
        <v>9.5423639246080549E-2</v>
      </c>
      <c r="AN64" s="376">
        <f t="shared" si="392"/>
        <v>3.5505698921964868E-2</v>
      </c>
      <c r="AO64" s="376">
        <f t="shared" si="392"/>
        <v>-1</v>
      </c>
      <c r="AP64" s="376" t="str">
        <f t="shared" ref="AP64:AZ64" si="397">IF(ISERROR(AP209/AO209-1),"n.a.",AP209/AO209-1)</f>
        <v>n.a.</v>
      </c>
      <c r="AQ64" s="376" t="str">
        <f t="shared" si="397"/>
        <v>n.a.</v>
      </c>
      <c r="AR64" s="376" t="str">
        <f t="shared" si="397"/>
        <v>n.a.</v>
      </c>
      <c r="AS64" s="376" t="str">
        <f t="shared" si="397"/>
        <v>n.a.</v>
      </c>
      <c r="AT64" s="376" t="str">
        <f t="shared" si="397"/>
        <v>n.a.</v>
      </c>
      <c r="AU64" s="376" t="str">
        <f t="shared" si="397"/>
        <v>n.a.</v>
      </c>
      <c r="AV64" s="376" t="str">
        <f t="shared" si="397"/>
        <v>n.a.</v>
      </c>
      <c r="AW64" s="376" t="str">
        <f t="shared" si="397"/>
        <v>n.a.</v>
      </c>
      <c r="AX64" s="376" t="str">
        <f t="shared" si="397"/>
        <v>n.a.</v>
      </c>
      <c r="AY64" s="376" t="str">
        <f t="shared" si="397"/>
        <v>n.a.</v>
      </c>
      <c r="AZ64" s="375" t="str">
        <f t="shared" si="397"/>
        <v>n.a.</v>
      </c>
      <c r="BA64" s="764">
        <f t="shared" ref="BA64:BG64" si="398">BA38+0%</f>
        <v>5.062499999999992E-2</v>
      </c>
      <c r="BB64" s="46">
        <f t="shared" si="398"/>
        <v>5.062499999999992E-2</v>
      </c>
      <c r="BC64" s="46">
        <f t="shared" si="398"/>
        <v>5.062499999999992E-2</v>
      </c>
      <c r="BD64" s="46">
        <f t="shared" si="398"/>
        <v>5.062499999999992E-2</v>
      </c>
      <c r="BE64" s="46">
        <f t="shared" si="398"/>
        <v>5.062499999999992E-2</v>
      </c>
      <c r="BF64" s="46">
        <f t="shared" si="398"/>
        <v>5.062499999999992E-2</v>
      </c>
      <c r="BG64" s="46">
        <f t="shared" si="398"/>
        <v>5.062499999999992E-2</v>
      </c>
      <c r="BH64" s="46">
        <f>BH38+0%</f>
        <v>5.062499999999992E-2</v>
      </c>
      <c r="BI64" s="46">
        <f>BI38+0%</f>
        <v>5.062499999999992E-2</v>
      </c>
      <c r="BJ64" s="46">
        <f>BJ38+0%</f>
        <v>5.062499999999992E-2</v>
      </c>
      <c r="BK64" s="46">
        <f>BK38+0%</f>
        <v>5.062499999999992E-2</v>
      </c>
      <c r="BL64" s="511">
        <f t="shared" ref="BL64:BM64" si="399">BL38+0%</f>
        <v>5.062499999999992E-2</v>
      </c>
      <c r="BM64" s="511">
        <f t="shared" si="399"/>
        <v>5.062499999999992E-2</v>
      </c>
      <c r="BN64" s="511">
        <f t="shared" ref="BN64:BO64" si="400">BN38+0%</f>
        <v>5.062499999999992E-2</v>
      </c>
      <c r="BO64" s="511">
        <f t="shared" si="400"/>
        <v>5.062499999999992E-2</v>
      </c>
      <c r="BP64" s="511">
        <f t="shared" ref="BP64:BQ64" si="401">BP38+0%</f>
        <v>5.062499999999992E-2</v>
      </c>
      <c r="BQ64" s="511">
        <f t="shared" si="401"/>
        <v>5.062499999999992E-2</v>
      </c>
      <c r="BR64" s="42"/>
      <c r="BS64" s="232" t="e">
        <f t="shared" si="393"/>
        <v>#DIV/0!</v>
      </c>
      <c r="BT64" s="232">
        <f t="shared" si="393"/>
        <v>8.4033613445378075E-2</v>
      </c>
      <c r="BU64" s="232">
        <f t="shared" si="393"/>
        <v>0.10852713178294571</v>
      </c>
      <c r="BV64" s="232">
        <f t="shared" si="393"/>
        <v>-6.9930069930069783E-3</v>
      </c>
      <c r="BW64" s="232">
        <f t="shared" si="393"/>
        <v>1.0070422535211287E-2</v>
      </c>
      <c r="BX64" s="232">
        <f t="shared" si="393"/>
        <v>0.53384926444955738</v>
      </c>
      <c r="BY64" s="232">
        <f t="shared" si="393"/>
        <v>0.23636363636363633</v>
      </c>
      <c r="BZ64" s="232">
        <f t="shared" si="393"/>
        <v>1.2169117647058858E-2</v>
      </c>
      <c r="CA64" s="232">
        <f t="shared" si="393"/>
        <v>1.2846972503723078</v>
      </c>
      <c r="CB64" s="232">
        <f t="shared" si="393"/>
        <v>0.18365659777424481</v>
      </c>
      <c r="CC64" s="42">
        <f t="shared" si="394"/>
        <v>4.0710793531402834E-2</v>
      </c>
      <c r="CD64" s="42">
        <f t="shared" si="394"/>
        <v>-1.3693326278022222E-2</v>
      </c>
      <c r="CE64" s="42">
        <f t="shared" si="394"/>
        <v>0.13044672999921492</v>
      </c>
      <c r="CF64" s="42">
        <f t="shared" si="394"/>
        <v>0.15874338762139573</v>
      </c>
      <c r="CG64" s="42">
        <f t="shared" si="394"/>
        <v>0.30583886918735326</v>
      </c>
      <c r="CH64" s="42">
        <f t="shared" si="394"/>
        <v>0.12603942748295993</v>
      </c>
      <c r="CI64" s="42">
        <f t="shared" si="394"/>
        <v>0.1309673430844378</v>
      </c>
      <c r="CJ64" s="42">
        <f t="shared" si="394"/>
        <v>-8.0018020723832461E-2</v>
      </c>
      <c r="CK64" s="42">
        <f t="shared" si="394"/>
        <v>7.7490630345926403E-2</v>
      </c>
      <c r="CL64" s="42">
        <f t="shared" si="394"/>
        <v>5.9610233787010136E-2</v>
      </c>
      <c r="CM64" s="45">
        <f t="shared" si="394"/>
        <v>4.7729885221807322E-2</v>
      </c>
      <c r="CN64" s="45">
        <f t="shared" si="394"/>
        <v>0.2409486640648455</v>
      </c>
      <c r="CO64" s="45">
        <f t="shared" si="394"/>
        <v>5.7044706793110134E-2</v>
      </c>
      <c r="CP64" s="45">
        <f t="shared" si="394"/>
        <v>-0.50485400533462055</v>
      </c>
      <c r="CQ64" s="45">
        <f t="shared" si="394"/>
        <v>3.5069584509882956E-2</v>
      </c>
      <c r="CR64" s="45">
        <f t="shared" si="394"/>
        <v>9.4142004627938203E-2</v>
      </c>
      <c r="CS64" s="45">
        <f t="shared" si="394"/>
        <v>9.4894627485900829E-2</v>
      </c>
      <c r="CT64" s="45">
        <f t="shared" si="395"/>
        <v>-0.89817475372443067</v>
      </c>
      <c r="CU64" s="45">
        <f t="shared" si="395"/>
        <v>-1</v>
      </c>
      <c r="CV64" s="45" t="e">
        <f t="shared" si="395"/>
        <v>#DIV/0!</v>
      </c>
      <c r="CW64" s="45"/>
      <c r="CX64" s="45"/>
      <c r="CY64" s="45"/>
      <c r="CZ64" s="43"/>
      <c r="DA64" s="42"/>
      <c r="DB64" s="42"/>
      <c r="DC64" s="42"/>
      <c r="DD64" s="42"/>
      <c r="DE64" s="42"/>
      <c r="DF64" s="42"/>
      <c r="DG64" s="232"/>
      <c r="DH64" s="232"/>
      <c r="DI64" s="232"/>
    </row>
    <row r="65" spans="1:113" outlineLevel="1">
      <c r="AM65" s="55"/>
      <c r="AN65" s="55"/>
      <c r="AO65" s="55"/>
      <c r="AP65" s="55"/>
      <c r="AQ65" s="55"/>
      <c r="AR65" s="55"/>
      <c r="AS65" s="55"/>
      <c r="AT65" s="55"/>
      <c r="AU65" s="55"/>
      <c r="AV65" s="55"/>
      <c r="AW65" s="55"/>
      <c r="AX65" s="55"/>
      <c r="AY65" s="55"/>
      <c r="AZ65" s="56"/>
      <c r="BA65" s="55"/>
      <c r="BB65" s="55"/>
      <c r="BC65" s="55"/>
      <c r="BD65" s="55"/>
      <c r="BE65" s="55"/>
      <c r="BF65" s="55"/>
      <c r="BG65" s="55"/>
      <c r="BH65" s="55"/>
      <c r="BI65" s="55"/>
      <c r="BJ65" s="55"/>
      <c r="BK65" s="55"/>
      <c r="BL65" s="55"/>
      <c r="BM65" s="55"/>
      <c r="BN65" s="55"/>
      <c r="BO65" s="55"/>
      <c r="BP65" s="55"/>
      <c r="BQ65" s="55"/>
      <c r="BR65" s="55"/>
      <c r="CZ65" s="22"/>
      <c r="DC65" s="21"/>
      <c r="DD65" s="21"/>
      <c r="DE65" s="21"/>
      <c r="DF65" s="21"/>
      <c r="DG65" s="21"/>
      <c r="DH65" s="21"/>
      <c r="DI65" s="21"/>
    </row>
    <row r="66" spans="1:113" outlineLevel="1">
      <c r="B66" s="24" t="s">
        <v>435</v>
      </c>
      <c r="AG66" s="45"/>
      <c r="AK66" s="754"/>
      <c r="AL66" s="754"/>
      <c r="AM66" s="55"/>
      <c r="AN66" s="55"/>
      <c r="AO66" s="55"/>
      <c r="AP66" s="55"/>
      <c r="AQ66" s="55"/>
      <c r="AR66" s="55"/>
      <c r="AS66" s="55"/>
      <c r="AT66" s="55"/>
      <c r="AU66" s="55"/>
      <c r="AV66" s="55"/>
      <c r="AW66" s="55"/>
      <c r="AX66" s="55"/>
      <c r="AY66" s="45"/>
      <c r="AZ66" s="43"/>
      <c r="BA66" s="42"/>
      <c r="BD66" s="710"/>
      <c r="BE66" s="710"/>
      <c r="BF66" s="710"/>
      <c r="BG66" s="710"/>
      <c r="BH66" s="710"/>
      <c r="BI66" s="710"/>
      <c r="BJ66" s="710"/>
      <c r="BK66" s="710"/>
      <c r="BL66" s="710"/>
      <c r="BM66" s="710"/>
      <c r="BN66" s="710"/>
      <c r="BO66" s="710"/>
      <c r="BP66" s="710"/>
      <c r="BQ66" s="710"/>
      <c r="BR66" s="55"/>
      <c r="CZ66" s="22"/>
      <c r="DC66" s="21"/>
      <c r="DD66" s="21"/>
      <c r="DE66" s="21"/>
      <c r="DF66" s="21"/>
      <c r="DG66" s="21"/>
      <c r="DH66" s="21"/>
      <c r="DI66" s="21"/>
    </row>
    <row r="67" spans="1:113" outlineLevel="2">
      <c r="A67" s="1" t="s">
        <v>866</v>
      </c>
      <c r="B67" s="19" t="s">
        <v>218</v>
      </c>
      <c r="C67" s="485">
        <f>VLOOKUP($A67,[3]Sheet1!$2:$65479,MATCH(C$3,[3]Sheet1!$2:$2,0),FALSE)</f>
        <v>1.6435933333333326E-2</v>
      </c>
      <c r="D67" s="485">
        <f>VLOOKUP($A67,[3]Sheet1!$2:$65479,MATCH(D$3,[3]Sheet1!$2:$2,0),FALSE)</f>
        <v>1.5919752777777671E-2</v>
      </c>
      <c r="E67" s="485">
        <f>VLOOKUP($A67,[3]Sheet1!$2:$65479,MATCH(E$3,[3]Sheet1!$2:$2,0),FALSE)</f>
        <v>1.2329127777777829E-2</v>
      </c>
      <c r="F67" s="485">
        <f>VLOOKUP($A67,[3]Sheet1!$2:$65479,MATCH(F$3,[3]Sheet1!$2:$2,0),FALSE)</f>
        <v>1.339829444444442E-2</v>
      </c>
      <c r="G67" s="485">
        <f>VLOOKUP($A67,[3]Sheet1!$2:$65479,MATCH(G$3,[3]Sheet1!$2:$2,0),FALSE)</f>
        <v>1.4326245833333247E-2</v>
      </c>
      <c r="H67" s="485">
        <f>VLOOKUP($A67,[3]Sheet1!$2:$65479,MATCH(H$3,[3]Sheet1!$2:$2,0),FALSE)</f>
        <v>1.2691176388888933E-2</v>
      </c>
      <c r="I67" s="485">
        <f>VLOOKUP($A67,[3]Sheet1!$2:$65479,MATCH(I$3,[3]Sheet1!$2:$2,0),FALSE)</f>
        <v>2.9787097222221982E-3</v>
      </c>
      <c r="J67" s="485">
        <f>VLOOKUP($A67,[3]Sheet1!$2:$65479,MATCH(J$3,[3]Sheet1!$2:$2,0),FALSE)</f>
        <v>9.817905555555546E-3</v>
      </c>
      <c r="K67" s="485">
        <f>VLOOKUP($A67,[3]Sheet1!$2:$65479,MATCH(K$3,[3]Sheet1!$2:$2,0),FALSE)</f>
        <v>8.4945652777777235E-3</v>
      </c>
      <c r="L67" s="485">
        <f>VLOOKUP($A67,[3]Sheet1!$2:$65479,MATCH(L$3,[3]Sheet1!$2:$2,0),FALSE)</f>
        <v>8.8003430555555311E-3</v>
      </c>
      <c r="M67" s="191">
        <f>VLOOKUP($A67,[3]Sheet1!$2:$65479,MATCH(M$3,[3]Sheet1!$2:$2,0),FALSE)</f>
        <v>8.1543013888888613E-3</v>
      </c>
      <c r="N67" s="191">
        <f>VLOOKUP($A67,[3]Sheet1!$2:$65479,MATCH(N$3,[3]Sheet1!$2:$2,0),FALSE)</f>
        <v>7.6080930555555218E-3</v>
      </c>
      <c r="O67" s="191">
        <f>VLOOKUP($A67,[3]Sheet1!$2:$65479,MATCH(O$3,[3]Sheet1!$2:$2,0),FALSE)</f>
        <v>8.3322527777777416E-3</v>
      </c>
      <c r="P67" s="191">
        <f>VLOOKUP($A67,[3]Sheet1!$2:$65479,MATCH(P$3,[3]Sheet1!$2:$2,0),FALSE)</f>
        <v>5.800669444444408E-3</v>
      </c>
      <c r="Q67" s="191">
        <f>VLOOKUP($A67,[3]Sheet1!$2:$65479,MATCH(Q$3,[3]Sheet1!$2:$2,0),FALSE)</f>
        <v>6.5584333333332905E-3</v>
      </c>
      <c r="R67" s="191">
        <f>VLOOKUP($A67,[3]Sheet1!$2:$65479,MATCH(R$3,[3]Sheet1!$2:$2,0),FALSE)</f>
        <v>1.5186329166666658E-2</v>
      </c>
      <c r="S67" s="191">
        <f>VLOOKUP($A67,[3]Sheet1!$2:$65479,MATCH(S$3,[3]Sheet1!$2:$2,0),FALSE)</f>
        <v>1.7912606944444413E-2</v>
      </c>
      <c r="T67" s="191">
        <f>VLOOKUP($A67,[3]Sheet1!$2:$65479,MATCH(T$3,[3]Sheet1!$2:$2,0),FALSE)</f>
        <v>1.5119099999999958E-2</v>
      </c>
      <c r="U67" s="191">
        <f>VLOOKUP($A67,[3]Sheet1!$2:$65479,MATCH(U$3,[3]Sheet1!$2:$2,0),FALSE)</f>
        <v>1.6638620833333319E-2</v>
      </c>
      <c r="V67" s="191">
        <f>VLOOKUP($A67,[3]Sheet1!$2:$65479,MATCH(V$3,[3]Sheet1!$2:$2,0),FALSE)</f>
        <v>1.8763197222222194E-2</v>
      </c>
      <c r="W67" s="191">
        <f>VLOOKUP($A67,[3]Sheet1!$2:$65479,MATCH(W$3,[3]Sheet1!$2:$2,0),FALSE)</f>
        <v>2.0380273611111093E-2</v>
      </c>
      <c r="X67" s="191">
        <f>VLOOKUP($A67,[3]Sheet1!$2:$65479,MATCH(X$3,[3]Sheet1!$2:$2,0),FALSE)</f>
        <v>2.0964238888888844E-2</v>
      </c>
      <c r="Y67" s="191">
        <f>VLOOKUP($A67,[3]Sheet1!$2:$65479,MATCH(Y$3,[3]Sheet1!$2:$2,0),FALSE)</f>
        <v>2.3648926388888832E-2</v>
      </c>
      <c r="Z67" s="191">
        <f>VLOOKUP($A67,[3]Sheet1!$2:$65479,MATCH(Z$3,[3]Sheet1!$2:$2,0),FALSE)</f>
        <v>2.4509891666666665E-2</v>
      </c>
      <c r="AA67" s="191">
        <f>VLOOKUP($A67,[3]Sheet1!$2:$65479,MATCH(AA$3,[3]Sheet1!$2:$2,0),FALSE)</f>
        <v>2.3896943749999969E-2</v>
      </c>
      <c r="AB67" s="191">
        <f>VLOOKUP($A67,[3]Sheet1!$2:$65479,MATCH(AB$3,[3]Sheet1!$2:$2,0),FALSE)</f>
        <v>2.3450377777777733E-2</v>
      </c>
      <c r="AC67" s="191">
        <f>VLOOKUP($A67,[3]Sheet1!$2:$65479,MATCH(AC$3,[3]Sheet1!$2:$2,0),FALSE)</f>
        <v>2.2563849999999955E-2</v>
      </c>
      <c r="AD67" s="191">
        <f>VLOOKUP($A67,[3]Sheet1!$2:$65479,MATCH(AD$3,[3]Sheet1!$2:$2,0),FALSE)</f>
        <v>2.2263086111111042E-2</v>
      </c>
      <c r="AE67" s="191">
        <f>VLOOKUP($A67,[3]Sheet1!$2:$65479,MATCH(AE$3,[3]Sheet1!$2:$2,0),FALSE)</f>
        <v>2.3435030555555517E-2</v>
      </c>
      <c r="AF67" s="191">
        <f>VLOOKUP($A67,[3]Sheet1!$2:$65479,MATCH(AF$3,[3]Sheet1!$2:$2,0),FALSE)</f>
        <v>2.3350794444444423E-2</v>
      </c>
      <c r="AG67" s="191">
        <f>VLOOKUP($A67,[3]Sheet1!$2:$65479,MATCH(AG$3,[3]Sheet1!$2:$2,0),FALSE)</f>
        <v>2.3983711111111066E-2</v>
      </c>
      <c r="AH67" s="191">
        <f>VLOOKUP($A67,[3]Sheet1!$2:$65479,MATCH(AH$3,[3]Sheet1!$2:$2,0),FALSE)</f>
        <v>2.491537777777773E-2</v>
      </c>
      <c r="AI67" s="191">
        <f>VLOOKUP($A67,[3]Sheet1!$2:$65479,MATCH(AI$3,[3]Sheet1!$2:$2,0),FALSE)</f>
        <v>2.5169683333333182E-2</v>
      </c>
      <c r="AJ67" s="191">
        <f>VLOOKUP($A67,[3]Sheet1!$2:$65479,MATCH(AJ$3,[3]Sheet1!$2:$2,0),FALSE)</f>
        <v>2.4891072222222196E-2</v>
      </c>
      <c r="AK67" s="191">
        <f>VLOOKUP($A67,[3]Sheet1!$2:$65479,MATCH(AK$3,[3]Sheet1!$2:$2,0),FALSE)</f>
        <v>2.3145447222222105E-2</v>
      </c>
      <c r="AL67" s="191">
        <f>VLOOKUP($A67,[3]Sheet1!$2:$65479,MATCH(AL$3,[3]Sheet1!$2:$2,0),FALSE)</f>
        <v>2.3711488888888865E-2</v>
      </c>
      <c r="AM67" s="191">
        <f>VLOOKUP($A67,[3]Sheet1!$2:$65479,MATCH(AM$3,[3]Sheet1!$2:$2,0),FALSE)</f>
        <v>2.677534444444445E-2</v>
      </c>
      <c r="AN67" s="191">
        <f>VLOOKUP($A67,[3]Sheet1!$2:$65479,MATCH(AN$3,[3]Sheet1!$2:$2,0),FALSE)</f>
        <v>2.8250269273151052E-2</v>
      </c>
      <c r="AO67" s="191">
        <f>VLOOKUP($A67,[3]Sheet1!$2:$65479,MATCH(AO$3,[3]Sheet1!$2:$2,0),FALSE)</f>
        <v>2.9505419585783208E-2</v>
      </c>
      <c r="AP67" s="191">
        <f>VLOOKUP($A67,[3]Sheet1!$2:$65479,MATCH(AP$3,[3]Sheet1!$2:$2,0),FALSE)</f>
        <v>2.9879089617949012E-2</v>
      </c>
      <c r="AQ67" s="191">
        <f>VLOOKUP($A67,[3]Sheet1!$2:$65479,MATCH(AQ$3,[3]Sheet1!$2:$2,0),FALSE)</f>
        <v>2.8448043234391363E-2</v>
      </c>
      <c r="AR67" s="191">
        <f>VLOOKUP($A67,[3]Sheet1!$2:$65479,MATCH(AR$3,[3]Sheet1!$2:$2,0),FALSE)</f>
        <v>2.6836724461759387E-2</v>
      </c>
      <c r="AS67" s="191">
        <f>VLOOKUP($A67,[3]Sheet1!$2:$65479,MATCH(AS$3,[3]Sheet1!$2:$2,0),FALSE)</f>
        <v>2.2974869087428487E-2</v>
      </c>
      <c r="AT67" s="191">
        <f>VLOOKUP($A67,[3]Sheet1!$2:$65479,MATCH(AT$3,[3]Sheet1!$2:$2,0),FALSE)</f>
        <v>2.0719381799387596E-2</v>
      </c>
      <c r="AU67" s="191">
        <f>VLOOKUP($A67,[3]Sheet1!$2:$65479,MATCH(AU$3,[3]Sheet1!$2:$2,0),FALSE)</f>
        <v>2.0952050218593823E-2</v>
      </c>
      <c r="AV67" s="191">
        <f>VLOOKUP($A67,[3]Sheet1!$2:$65479,MATCH(AV$3,[3]Sheet1!$2:$2,0),FALSE)</f>
        <v>2.0858823983164562E-2</v>
      </c>
      <c r="AW67" s="191">
        <f>VLOOKUP($A67,[3]Sheet1!$2:$65479,MATCH(AW$3,[3]Sheet1!$2:$2,0),FALSE)</f>
        <v>2.0805326121862575E-2</v>
      </c>
      <c r="AX67" s="835">
        <f>VLOOKUP($A67,[3]Sheet1!$2:$65479,MATCH(AX$3,[3]Sheet1!$2:$2,0),FALSE)</f>
        <v>2.0805326121862575E-2</v>
      </c>
      <c r="AY67" s="939"/>
      <c r="AZ67" s="841"/>
      <c r="BA67" s="510"/>
      <c r="BB67" s="510"/>
      <c r="BC67" s="510"/>
      <c r="BD67" s="510"/>
      <c r="BE67" s="510"/>
      <c r="BF67" s="510"/>
      <c r="BG67" s="510"/>
      <c r="BH67" s="510"/>
      <c r="BI67" s="47"/>
      <c r="BJ67" s="47"/>
      <c r="BK67" s="47"/>
      <c r="BL67" s="47"/>
      <c r="BM67" s="47"/>
      <c r="BN67" s="47"/>
      <c r="BO67" s="47"/>
      <c r="BP67" s="47"/>
      <c r="BQ67" s="47"/>
      <c r="BR67" s="48"/>
      <c r="BS67" s="235"/>
      <c r="BT67" s="235"/>
      <c r="BU67" s="235"/>
      <c r="BV67" s="235"/>
      <c r="BW67" s="235"/>
      <c r="BX67" s="235"/>
      <c r="BY67" s="235"/>
      <c r="BZ67" s="235"/>
      <c r="CA67" s="235"/>
      <c r="CB67" s="235"/>
      <c r="CC67" s="48">
        <f>CC272</f>
        <v>1.4074962313884821E-2</v>
      </c>
      <c r="CD67" s="48">
        <f t="shared" ref="CD67:CQ71" si="402">CD272</f>
        <v>1.3866449344575675E-2</v>
      </c>
      <c r="CE67" s="48">
        <f t="shared" si="402"/>
        <v>7.5480622955385011E-3</v>
      </c>
      <c r="CF67" s="48">
        <f t="shared" si="402"/>
        <v>9.1412632334729651E-3</v>
      </c>
      <c r="CG67" s="48">
        <f t="shared" si="402"/>
        <v>8.4463162032808528E-3</v>
      </c>
      <c r="CH67" s="48">
        <f t="shared" si="402"/>
        <v>7.8385618789786303E-3</v>
      </c>
      <c r="CI67" s="48">
        <f t="shared" si="402"/>
        <v>6.1171608341674946E-3</v>
      </c>
      <c r="CJ67" s="48">
        <f t="shared" si="402"/>
        <v>1.634107108585571E-2</v>
      </c>
      <c r="CK67" s="48">
        <f t="shared" si="402"/>
        <v>1.5904370327032222E-2</v>
      </c>
      <c r="CL67" s="48">
        <f t="shared" si="402"/>
        <v>1.9142415527415486E-2</v>
      </c>
      <c r="CM67" s="50">
        <f t="shared" si="402"/>
        <v>2.1855388667174874E-2</v>
      </c>
      <c r="CN67" s="50">
        <f t="shared" si="402"/>
        <v>2.3808315541300352E-2</v>
      </c>
      <c r="CO67" s="50">
        <f t="shared" si="402"/>
        <v>2.2751899350804804E-2</v>
      </c>
      <c r="CP67" s="50">
        <f t="shared" si="402"/>
        <v>2.2725622779412057E-2</v>
      </c>
      <c r="CQ67" s="50">
        <f t="shared" si="402"/>
        <v>2.3524896160076653E-2</v>
      </c>
      <c r="CR67" s="50">
        <f t="shared" ref="CR67:CS71" si="403">CR272</f>
        <v>2.5043043033720278E-2</v>
      </c>
      <c r="CS67" s="50">
        <f t="shared" si="403"/>
        <v>2.3995932381176917E-2</v>
      </c>
      <c r="CT67" s="50">
        <f t="shared" ref="CT67:CV71" si="404">CT272</f>
        <v>2.5191381282101761E-2</v>
      </c>
      <c r="CU67" s="50">
        <f t="shared" si="404"/>
        <v>0</v>
      </c>
      <c r="CV67" s="50">
        <f t="shared" si="404"/>
        <v>0</v>
      </c>
      <c r="CW67" s="50"/>
      <c r="CX67" s="50"/>
      <c r="CY67" s="50"/>
      <c r="CZ67" s="49"/>
      <c r="DA67" s="48"/>
      <c r="DB67" s="48"/>
      <c r="DC67" s="48"/>
      <c r="DD67" s="48"/>
      <c r="DE67" s="48"/>
      <c r="DF67" s="48"/>
      <c r="DG67" s="235"/>
      <c r="DH67" s="235"/>
      <c r="DI67" s="235"/>
    </row>
    <row r="68" spans="1:113" outlineLevel="2">
      <c r="A68" s="1" t="s">
        <v>867</v>
      </c>
      <c r="B68" s="19" t="s">
        <v>436</v>
      </c>
      <c r="C68" s="485">
        <f>VLOOKUP($A68,[3]Sheet1!$2:$65479,MATCH(C$3,[3]Sheet1!$2:$2,0),FALSE)</f>
        <v>2.6515636183866487E-2</v>
      </c>
      <c r="D68" s="485">
        <f>VLOOKUP($A68,[3]Sheet1!$2:$65479,MATCH(D$3,[3]Sheet1!$2:$2,0),FALSE)</f>
        <v>2.6298422710389069E-2</v>
      </c>
      <c r="E68" s="485">
        <f>VLOOKUP($A68,[3]Sheet1!$2:$65479,MATCH(E$3,[3]Sheet1!$2:$2,0),FALSE)</f>
        <v>2.2058940843833752E-2</v>
      </c>
      <c r="F68" s="485">
        <f>VLOOKUP($A68,[3]Sheet1!$2:$65479,MATCH(F$3,[3]Sheet1!$2:$2,0),FALSE)</f>
        <v>2.254133001474401E-2</v>
      </c>
      <c r="G68" s="485">
        <f>VLOOKUP($A68,[3]Sheet1!$2:$65479,MATCH(G$3,[3]Sheet1!$2:$2,0),FALSE)</f>
        <v>2.2587906391744017E-2</v>
      </c>
      <c r="H68" s="485">
        <f>VLOOKUP($A68,[3]Sheet1!$2:$65479,MATCH(H$3,[3]Sheet1!$2:$2,0),FALSE)</f>
        <v>1.9929990342290704E-2</v>
      </c>
      <c r="I68" s="485">
        <f>VLOOKUP($A68,[3]Sheet1!$2:$65479,MATCH(I$3,[3]Sheet1!$2:$2,0),FALSE)</f>
        <v>1.9661709918541215E-2</v>
      </c>
      <c r="J68" s="485">
        <f>VLOOKUP($A68,[3]Sheet1!$2:$65479,MATCH(J$3,[3]Sheet1!$2:$2,0),FALSE)</f>
        <v>1.9244571097848051E-2</v>
      </c>
      <c r="K68" s="485">
        <f>VLOOKUP($A68,[3]Sheet1!$2:$65479,MATCH(K$3,[3]Sheet1!$2:$2,0),FALSE)</f>
        <v>1.6857532300595168E-2</v>
      </c>
      <c r="L68" s="485">
        <f>VLOOKUP($A68,[3]Sheet1!$2:$65479,MATCH(L$3,[3]Sheet1!$2:$2,0),FALSE)</f>
        <v>1.7149227409423817E-2</v>
      </c>
      <c r="M68" s="191">
        <f>VLOOKUP($A68,[3]Sheet1!$2:$65479,MATCH(M$3,[3]Sheet1!$2:$2,0),FALSE)</f>
        <v>1.5897354058396207E-2</v>
      </c>
      <c r="N68" s="191">
        <f>VLOOKUP($A68,[3]Sheet1!$2:$65479,MATCH(N$3,[3]Sheet1!$2:$2,0),FALSE)</f>
        <v>1.4866969304818678E-2</v>
      </c>
      <c r="O68" s="191">
        <f>VLOOKUP($A68,[3]Sheet1!$2:$65479,MATCH(O$3,[3]Sheet1!$2:$2,0),FALSE)</f>
        <v>1.4207438097186831E-2</v>
      </c>
      <c r="P68" s="191">
        <f>VLOOKUP($A68,[3]Sheet1!$2:$65479,MATCH(P$3,[3]Sheet1!$2:$2,0),FALSE)</f>
        <v>1.2143238194871731E-2</v>
      </c>
      <c r="Q68" s="191">
        <f>VLOOKUP($A68,[3]Sheet1!$2:$65479,MATCH(Q$3,[3]Sheet1!$2:$2,0),FALSE)</f>
        <v>1.1687509333655033E-2</v>
      </c>
      <c r="R68" s="191">
        <f>VLOOKUP($A68,[3]Sheet1!$2:$65479,MATCH(R$3,[3]Sheet1!$2:$2,0),FALSE)</f>
        <v>2.1997480030668592E-2</v>
      </c>
      <c r="S68" s="191">
        <f>VLOOKUP($A68,[3]Sheet1!$2:$65479,MATCH(S$3,[3]Sheet1!$2:$2,0),FALSE)</f>
        <v>2.7080497684543237E-2</v>
      </c>
      <c r="T68" s="191">
        <f>VLOOKUP($A68,[3]Sheet1!$2:$65479,MATCH(T$3,[3]Sheet1!$2:$2,0),FALSE)</f>
        <v>2.6171740771211427E-2</v>
      </c>
      <c r="U68" s="191">
        <f>VLOOKUP($A68,[3]Sheet1!$2:$65479,MATCH(U$3,[3]Sheet1!$2:$2,0),FALSE)</f>
        <v>2.6545840605477822E-2</v>
      </c>
      <c r="V68" s="191">
        <f>VLOOKUP($A68,[3]Sheet1!$2:$65479,MATCH(V$3,[3]Sheet1!$2:$2,0),FALSE)</f>
        <v>2.8502241144599427E-2</v>
      </c>
      <c r="W68" s="191">
        <f>VLOOKUP($A68,[3]Sheet1!$2:$65479,MATCH(W$3,[3]Sheet1!$2:$2,0),FALSE)</f>
        <v>3.0917115179291077E-2</v>
      </c>
      <c r="X68" s="191">
        <f>VLOOKUP($A68,[3]Sheet1!$2:$65479,MATCH(X$3,[3]Sheet1!$2:$2,0),FALSE)</f>
        <v>3.23548112542974E-2</v>
      </c>
      <c r="Y68" s="191">
        <f>VLOOKUP($A68,[3]Sheet1!$2:$65479,MATCH(Y$3,[3]Sheet1!$2:$2,0),FALSE)</f>
        <v>3.4073607247926296E-2</v>
      </c>
      <c r="Z68" s="191">
        <f>VLOOKUP($A68,[3]Sheet1!$2:$65479,MATCH(Z$3,[3]Sheet1!$2:$2,0),FALSE)</f>
        <v>3.530143649481654E-2</v>
      </c>
      <c r="AA68" s="191">
        <f>VLOOKUP($A68,[3]Sheet1!$2:$65479,MATCH(AA$3,[3]Sheet1!$2:$2,0),FALSE)</f>
        <v>3.5320725378313433E-2</v>
      </c>
      <c r="AB68" s="191">
        <f>VLOOKUP($A68,[3]Sheet1!$2:$65479,MATCH(AB$3,[3]Sheet1!$2:$2,0),FALSE)</f>
        <v>3.5629129458359943E-2</v>
      </c>
      <c r="AC68" s="191">
        <f>VLOOKUP($A68,[3]Sheet1!$2:$65479,MATCH(AC$3,[3]Sheet1!$2:$2,0),FALSE)</f>
        <v>3.5403413111693149E-2</v>
      </c>
      <c r="AD68" s="191">
        <f>VLOOKUP($A68,[3]Sheet1!$2:$65479,MATCH(AD$3,[3]Sheet1!$2:$2,0),FALSE)</f>
        <v>3.4256548680391408E-2</v>
      </c>
      <c r="AE68" s="191">
        <f>VLOOKUP($A68,[3]Sheet1!$2:$65479,MATCH(AE$3,[3]Sheet1!$2:$2,0),FALSE)</f>
        <v>3.494003822147751E-2</v>
      </c>
      <c r="AF68" s="191">
        <f>VLOOKUP($A68,[3]Sheet1!$2:$65479,MATCH(AF$3,[3]Sheet1!$2:$2,0),FALSE)</f>
        <v>3.2946400854567903E-2</v>
      </c>
      <c r="AG68" s="191">
        <f>VLOOKUP($A68,[3]Sheet1!$2:$65479,MATCH(AG$3,[3]Sheet1!$2:$2,0),FALSE)</f>
        <v>3.3033057755038397E-2</v>
      </c>
      <c r="AH68" s="191">
        <f>VLOOKUP($A68,[3]Sheet1!$2:$65479,MATCH(AH$3,[3]Sheet1!$2:$2,0),FALSE)</f>
        <v>3.3172997416979877E-2</v>
      </c>
      <c r="AI68" s="191">
        <f>VLOOKUP($A68,[3]Sheet1!$2:$65479,MATCH(AI$3,[3]Sheet1!$2:$2,0),FALSE)</f>
        <v>3.2888242512773447E-2</v>
      </c>
      <c r="AJ68" s="191">
        <f>VLOOKUP($A68,[3]Sheet1!$2:$65479,MATCH(AJ$3,[3]Sheet1!$2:$2,0),FALSE)</f>
        <v>3.2556594473240219E-2</v>
      </c>
      <c r="AK68" s="191">
        <f>VLOOKUP($A68,[3]Sheet1!$2:$65479,MATCH(AK$3,[3]Sheet1!$2:$2,0),FALSE)</f>
        <v>3.0373643242260773E-2</v>
      </c>
      <c r="AL68" s="191">
        <f>VLOOKUP($A68,[3]Sheet1!$2:$65479,MATCH(AL$3,[3]Sheet1!$2:$2,0),FALSE)</f>
        <v>3.0589779429510022E-2</v>
      </c>
      <c r="AM68" s="191">
        <f>VLOOKUP($A68,[3]Sheet1!$2:$65479,MATCH(AM$3,[3]Sheet1!$2:$2,0),FALSE)</f>
        <v>3.3323039406147892E-2</v>
      </c>
      <c r="AN68" s="191">
        <f>VLOOKUP($A68,[3]Sheet1!$2:$65479,MATCH(AN$3,[3]Sheet1!$2:$2,0),FALSE)</f>
        <v>3.3672120612451943E-2</v>
      </c>
      <c r="AO68" s="191">
        <f>VLOOKUP($A68,[3]Sheet1!$2:$65479,MATCH(AO$3,[3]Sheet1!$2:$2,0),FALSE)</f>
        <v>3.4699984042093325E-2</v>
      </c>
      <c r="AP68" s="191">
        <f>VLOOKUP($A68,[3]Sheet1!$2:$65479,MATCH(AP$3,[3]Sheet1!$2:$2,0),FALSE)</f>
        <v>3.4129720277799501E-2</v>
      </c>
      <c r="AQ68" s="191">
        <f>VLOOKUP($A68,[3]Sheet1!$2:$65479,MATCH(AQ$3,[3]Sheet1!$2:$2,0),FALSE)</f>
        <v>3.2712703587712798E-2</v>
      </c>
      <c r="AR68" s="191">
        <f>VLOOKUP($A68,[3]Sheet1!$2:$65479,MATCH(AR$3,[3]Sheet1!$2:$2,0),FALSE)</f>
        <v>3.1015078852221999E-2</v>
      </c>
      <c r="AS68" s="191">
        <f>VLOOKUP($A68,[3]Sheet1!$2:$65479,MATCH(AS$3,[3]Sheet1!$2:$2,0),FALSE)</f>
        <v>2.5428800563193955E-2</v>
      </c>
      <c r="AT68" s="191">
        <f>VLOOKUP($A68,[3]Sheet1!$2:$65479,MATCH(AT$3,[3]Sheet1!$2:$2,0),FALSE)</f>
        <v>2.0634596626374107E-2</v>
      </c>
      <c r="AU68" s="191">
        <f>VLOOKUP($A68,[3]Sheet1!$2:$65479,MATCH(AU$3,[3]Sheet1!$2:$2,0),FALSE)</f>
        <v>2.0650919426219706E-2</v>
      </c>
      <c r="AV68" s="191">
        <f>VLOOKUP($A68,[3]Sheet1!$2:$65479,MATCH(AV$3,[3]Sheet1!$2:$2,0),FALSE)</f>
        <v>2.0848663812578726E-2</v>
      </c>
      <c r="AW68" s="191">
        <f>VLOOKUP($A68,[3]Sheet1!$2:$65479,MATCH(AW$3,[3]Sheet1!$2:$2,0),FALSE)</f>
        <v>2.1617185607577083E-2</v>
      </c>
      <c r="AX68" s="835">
        <f>VLOOKUP($A68,[3]Sheet1!$2:$65479,MATCH(AX$3,[3]Sheet1!$2:$2,0),FALSE)</f>
        <v>2.1617185607577083E-2</v>
      </c>
      <c r="AY68" s="939"/>
      <c r="AZ68" s="841"/>
      <c r="BA68" s="510"/>
      <c r="BB68" s="510"/>
      <c r="BC68" s="510"/>
      <c r="BD68" s="47"/>
      <c r="BE68" s="510"/>
      <c r="BF68" s="510"/>
      <c r="BG68" s="510"/>
      <c r="BH68" s="47"/>
      <c r="BI68" s="47"/>
      <c r="BJ68" s="47"/>
      <c r="BK68" s="47"/>
      <c r="BL68" s="47"/>
      <c r="BM68" s="47"/>
      <c r="BN68" s="47"/>
      <c r="BO68" s="47"/>
      <c r="BP68" s="47"/>
      <c r="BQ68" s="47"/>
      <c r="BR68" s="48"/>
      <c r="BS68" s="235"/>
      <c r="BT68" s="235"/>
      <c r="BU68" s="235"/>
      <c r="BV68" s="235"/>
      <c r="BW68" s="235"/>
      <c r="BX68" s="235"/>
      <c r="BY68" s="235"/>
      <c r="BZ68" s="235"/>
      <c r="CA68" s="235"/>
      <c r="CB68" s="235"/>
      <c r="CC68" s="48">
        <f>CC273</f>
        <v>2.4301516779997711E-2</v>
      </c>
      <c r="CD68" s="48">
        <f t="shared" si="402"/>
        <v>2.2570013298941836E-2</v>
      </c>
      <c r="CE68" s="48">
        <f t="shared" si="402"/>
        <v>1.9787547740808924E-2</v>
      </c>
      <c r="CF68" s="48">
        <f t="shared" si="402"/>
        <v>1.8033269760517084E-2</v>
      </c>
      <c r="CG68" s="48">
        <f t="shared" si="402"/>
        <v>1.6797533239915185E-2</v>
      </c>
      <c r="CH68" s="48">
        <f t="shared" si="402"/>
        <v>1.447205090755764E-2</v>
      </c>
      <c r="CI68" s="48">
        <f t="shared" si="402"/>
        <v>1.2159901366238872E-2</v>
      </c>
      <c r="CJ68" s="48">
        <f t="shared" si="402"/>
        <v>2.3832654669759971E-2</v>
      </c>
      <c r="CK68" s="48">
        <f t="shared" si="402"/>
        <v>2.6410199245496761E-2</v>
      </c>
      <c r="CL68" s="48">
        <f t="shared" si="402"/>
        <v>3.3234834374285531E-2</v>
      </c>
      <c r="CM68" s="50">
        <f t="shared" si="402"/>
        <v>3.7164031945437249E-2</v>
      </c>
      <c r="CN68" s="50">
        <f t="shared" si="402"/>
        <v>3.8696739857080671E-2</v>
      </c>
      <c r="CO68" s="50">
        <f t="shared" si="402"/>
        <v>3.750254844191394E-2</v>
      </c>
      <c r="CP68" s="50">
        <f t="shared" si="402"/>
        <v>3.5944002323838424E-2</v>
      </c>
      <c r="CQ68" s="50">
        <f t="shared" si="402"/>
        <v>3.3334906245108029E-2</v>
      </c>
      <c r="CR68" s="50">
        <f t="shared" si="403"/>
        <v>3.3549659178630141E-2</v>
      </c>
      <c r="CS68" s="50">
        <f t="shared" si="403"/>
        <v>3.1577574528835139E-2</v>
      </c>
      <c r="CT68" s="50">
        <f t="shared" si="404"/>
        <v>3.1754818663066418E-2</v>
      </c>
      <c r="CU68" s="50">
        <f t="shared" si="404"/>
        <v>0</v>
      </c>
      <c r="CV68" s="50">
        <f t="shared" si="404"/>
        <v>0</v>
      </c>
      <c r="CW68" s="50"/>
      <c r="CX68" s="50"/>
      <c r="CY68" s="50"/>
      <c r="CZ68" s="49"/>
      <c r="DA68" s="48"/>
      <c r="DB68" s="48"/>
      <c r="DC68" s="48"/>
      <c r="DD68" s="48"/>
      <c r="DE68" s="48"/>
      <c r="DF68" s="48"/>
      <c r="DG68" s="235"/>
      <c r="DH68" s="235"/>
      <c r="DI68" s="235"/>
    </row>
    <row r="69" spans="1:113" outlineLevel="2">
      <c r="A69" s="1" t="s">
        <v>868</v>
      </c>
      <c r="B69" s="19" t="s">
        <v>437</v>
      </c>
      <c r="C69" s="235">
        <f>C274</f>
        <v>3.39303757320931E-2</v>
      </c>
      <c r="D69" s="235">
        <f>D274</f>
        <v>3.4516506905834354E-2</v>
      </c>
      <c r="E69" s="235">
        <f t="shared" ref="E69:L69" si="405">E274</f>
        <v>2.6900528243176597E-2</v>
      </c>
      <c r="F69" s="235">
        <f t="shared" si="405"/>
        <v>1.5755539273944456E-2</v>
      </c>
      <c r="G69" s="235">
        <f t="shared" si="405"/>
        <v>1.8086284576542277E-2</v>
      </c>
      <c r="H69" s="235">
        <f t="shared" si="405"/>
        <v>7.8925199510965684E-3</v>
      </c>
      <c r="I69" s="235">
        <f t="shared" si="405"/>
        <v>7.5737037341146868E-2</v>
      </c>
      <c r="J69" s="235">
        <f t="shared" si="405"/>
        <v>4.0563592001387906E-2</v>
      </c>
      <c r="K69" s="235">
        <f t="shared" si="405"/>
        <v>3.3310747314499671E-2</v>
      </c>
      <c r="L69" s="235">
        <f t="shared" si="405"/>
        <v>4.3510499168092964E-2</v>
      </c>
      <c r="M69" s="48">
        <f t="shared" ref="M69:V69" si="406">M274</f>
        <v>-4.334733219168891E-2</v>
      </c>
      <c r="N69" s="48">
        <f t="shared" si="406"/>
        <v>1.9556631900052229E-2</v>
      </c>
      <c r="O69" s="48">
        <f t="shared" si="406"/>
        <v>-3.2499122202661754E-2</v>
      </c>
      <c r="P69" s="48">
        <f t="shared" si="406"/>
        <v>-8.5928376789993988E-2</v>
      </c>
      <c r="Q69" s="48">
        <f t="shared" si="406"/>
        <v>-5.0903381544537052E-2</v>
      </c>
      <c r="R69" s="48">
        <f t="shared" si="406"/>
        <v>-6.6411564745017691E-3</v>
      </c>
      <c r="S69" s="48">
        <f t="shared" si="406"/>
        <v>5.3403734112461083E-2</v>
      </c>
      <c r="T69" s="50">
        <f t="shared" si="406"/>
        <v>3.6842291989933267E-2</v>
      </c>
      <c r="U69" s="48">
        <f t="shared" si="406"/>
        <v>1.8303066874104455E-2</v>
      </c>
      <c r="V69" s="48">
        <f t="shared" si="406"/>
        <v>-2.8398278928327956E-3</v>
      </c>
      <c r="W69" s="48">
        <f t="shared" ref="W69:AC69" si="407">W274</f>
        <v>-6.1260881856963836E-3</v>
      </c>
      <c r="X69" s="48">
        <f t="shared" si="407"/>
        <v>-4.9145407770998725E-3</v>
      </c>
      <c r="Y69" s="50">
        <f t="shared" si="407"/>
        <v>6.1232575115524731E-3</v>
      </c>
      <c r="Z69" s="50">
        <f t="shared" si="407"/>
        <v>1.475368095745784E-2</v>
      </c>
      <c r="AA69" s="50">
        <f t="shared" si="407"/>
        <v>2.9739813538248928E-2</v>
      </c>
      <c r="AB69" s="50">
        <f t="shared" si="407"/>
        <v>3.0152302011222976E-2</v>
      </c>
      <c r="AC69" s="50">
        <f t="shared" si="407"/>
        <v>2.0419040171043821E-2</v>
      </c>
      <c r="AD69" s="50">
        <f t="shared" ref="AD69:AL69" si="408">AD274</f>
        <v>1.2059590866059355E-2</v>
      </c>
      <c r="AE69" s="50">
        <f t="shared" si="408"/>
        <v>1.4972778201126E-2</v>
      </c>
      <c r="AF69" s="50">
        <f t="shared" si="408"/>
        <v>2.2820349503912624E-2</v>
      </c>
      <c r="AG69" s="50">
        <f t="shared" si="408"/>
        <v>1.8977478715678321E-2</v>
      </c>
      <c r="AH69" s="50">
        <f t="shared" si="408"/>
        <v>2.5509682113281983E-2</v>
      </c>
      <c r="AI69" s="50">
        <f t="shared" si="408"/>
        <v>2.1745718730295825E-2</v>
      </c>
      <c r="AJ69" s="50">
        <f t="shared" si="408"/>
        <v>2.9166737544287318E-2</v>
      </c>
      <c r="AK69" s="50">
        <f t="shared" si="408"/>
        <v>2.2555129804926174E-2</v>
      </c>
      <c r="AL69" s="50">
        <f t="shared" si="408"/>
        <v>1.2649176557063624E-2</v>
      </c>
      <c r="AM69" s="50">
        <f t="shared" ref="AM69:AQ69" si="409">AM274</f>
        <v>4.5764364183766681E-3</v>
      </c>
      <c r="AN69" s="50">
        <f t="shared" si="409"/>
        <v>3.3989028213481778E-2</v>
      </c>
      <c r="AO69" s="50">
        <f t="shared" si="409"/>
        <v>3.4142954372679599E-2</v>
      </c>
      <c r="AP69" s="50">
        <f t="shared" si="409"/>
        <v>4.0165330951836366E-2</v>
      </c>
      <c r="AQ69" s="50">
        <f t="shared" si="409"/>
        <v>4.4845762030612253E-2</v>
      </c>
      <c r="AR69" s="50">
        <f t="shared" ref="AR69" si="410">AR274</f>
        <v>0</v>
      </c>
      <c r="AS69" s="50">
        <f t="shared" ref="AS69" si="411">AS274</f>
        <v>0</v>
      </c>
      <c r="AT69" s="50">
        <f t="shared" ref="AT69" si="412">AT274</f>
        <v>0</v>
      </c>
      <c r="AU69" s="50">
        <f t="shared" ref="AU69" si="413">AU274</f>
        <v>0</v>
      </c>
      <c r="AV69" s="50">
        <f t="shared" ref="AV69:AW69" si="414">AV274</f>
        <v>0</v>
      </c>
      <c r="AW69" s="50">
        <f t="shared" si="414"/>
        <v>0</v>
      </c>
      <c r="AX69" s="50">
        <f t="shared" ref="AX69" si="415">AX274</f>
        <v>0</v>
      </c>
      <c r="AY69" s="939"/>
      <c r="AZ69" s="841"/>
      <c r="BA69" s="510"/>
      <c r="BB69" s="510"/>
      <c r="BC69" s="510"/>
      <c r="BD69" s="47"/>
      <c r="BE69" s="47"/>
      <c r="BF69" s="47"/>
      <c r="BG69" s="47"/>
      <c r="BH69" s="47"/>
      <c r="BI69" s="47"/>
      <c r="BJ69" s="47"/>
      <c r="BK69" s="47"/>
      <c r="BL69" s="47"/>
      <c r="BM69" s="47"/>
      <c r="BN69" s="47"/>
      <c r="BO69" s="47"/>
      <c r="BP69" s="47"/>
      <c r="BQ69" s="47"/>
      <c r="BR69" s="47"/>
      <c r="BS69" s="235"/>
      <c r="BT69" s="235"/>
      <c r="BU69" s="235"/>
      <c r="BV69" s="235"/>
      <c r="BW69" s="235"/>
      <c r="BX69" s="235"/>
      <c r="BY69" s="235"/>
      <c r="BZ69" s="235"/>
      <c r="CA69" s="235"/>
      <c r="CB69" s="235"/>
      <c r="CC69" s="48">
        <f>CC274</f>
        <v>3.0920422752985285E-2</v>
      </c>
      <c r="CD69" s="48">
        <f t="shared" si="402"/>
        <v>1.6897074609634424E-2</v>
      </c>
      <c r="CE69" s="48">
        <f t="shared" si="402"/>
        <v>3.7672399354334189E-2</v>
      </c>
      <c r="CF69" s="48">
        <f t="shared" si="402"/>
        <v>3.6353828912106763E-2</v>
      </c>
      <c r="CG69" s="48">
        <f t="shared" si="402"/>
        <v>2.6839349056500427E-4</v>
      </c>
      <c r="CH69" s="48">
        <f t="shared" si="402"/>
        <v>-9.4554977375214608E-3</v>
      </c>
      <c r="CI69" s="48">
        <f t="shared" si="402"/>
        <v>-6.8630608734859197E-2</v>
      </c>
      <c r="CJ69" s="48">
        <f t="shared" si="402"/>
        <v>2.7416861946438116E-2</v>
      </c>
      <c r="CK69" s="48">
        <f t="shared" si="402"/>
        <v>2.7661664076745043E-2</v>
      </c>
      <c r="CL69" s="48">
        <f t="shared" si="402"/>
        <v>-4.3629660879621699E-3</v>
      </c>
      <c r="CM69" s="50">
        <f t="shared" si="402"/>
        <v>6.2382460485631091E-4</v>
      </c>
      <c r="CN69" s="50">
        <f t="shared" si="402"/>
        <v>2.1751124701873865E-2</v>
      </c>
      <c r="CO69" s="50">
        <f t="shared" si="402"/>
        <v>2.5173198110084033E-2</v>
      </c>
      <c r="CP69" s="50">
        <f t="shared" si="402"/>
        <v>1.3355105832699865E-2</v>
      </c>
      <c r="CQ69" s="50">
        <f t="shared" si="402"/>
        <v>2.1225482533960369E-2</v>
      </c>
      <c r="CR69" s="50">
        <f t="shared" si="403"/>
        <v>2.3281397353095184E-2</v>
      </c>
      <c r="CS69" s="50">
        <f t="shared" si="403"/>
        <v>2.6006386182471485E-2</v>
      </c>
      <c r="CT69" s="50">
        <f t="shared" si="404"/>
        <v>8.9227928057660812E-3</v>
      </c>
      <c r="CU69" s="50">
        <f t="shared" si="404"/>
        <v>0</v>
      </c>
      <c r="CV69" s="50">
        <f t="shared" si="404"/>
        <v>0</v>
      </c>
      <c r="CW69" s="50"/>
      <c r="CX69" s="50"/>
      <c r="CY69" s="50"/>
      <c r="CZ69" s="49"/>
      <c r="DA69" s="48"/>
      <c r="DB69" s="48"/>
      <c r="DC69" s="48"/>
      <c r="DD69" s="48"/>
      <c r="DE69" s="48"/>
      <c r="DF69" s="48"/>
      <c r="DG69" s="235"/>
      <c r="DH69" s="235"/>
      <c r="DI69" s="235"/>
    </row>
    <row r="70" spans="1:113" outlineLevel="2">
      <c r="A70" s="1" t="s">
        <v>869</v>
      </c>
      <c r="B70" s="19" t="s">
        <v>220</v>
      </c>
      <c r="C70" s="485">
        <f>VLOOKUP($A70,[3]Sheet1!$2:$65479,MATCH(C$3,[3]Sheet1!$2:$2,0),FALSE)</f>
        <v>1.8635766098308963E-2</v>
      </c>
      <c r="D70" s="485">
        <f>VLOOKUP($A70,[3]Sheet1!$2:$65479,MATCH(D$3,[3]Sheet1!$2:$2,0),FALSE)</f>
        <v>2.095898584894347E-2</v>
      </c>
      <c r="E70" s="485">
        <f>VLOOKUP($A70,[3]Sheet1!$2:$65479,MATCH(E$3,[3]Sheet1!$2:$2,0),FALSE)</f>
        <v>1.9173711396496998E-2</v>
      </c>
      <c r="F70" s="485">
        <f>VLOOKUP($A70,[3]Sheet1!$2:$65479,MATCH(F$3,[3]Sheet1!$2:$2,0),FALSE)</f>
        <v>2.0128833264515748E-2</v>
      </c>
      <c r="G70" s="485">
        <f>VLOOKUP($A70,[3]Sheet1!$2:$65479,MATCH(G$3,[3]Sheet1!$2:$2,0),FALSE)</f>
        <v>2.247326063061994E-2</v>
      </c>
      <c r="H70" s="485">
        <f>VLOOKUP($A70,[3]Sheet1!$2:$65479,MATCH(H$3,[3]Sheet1!$2:$2,0),FALSE)</f>
        <v>1.7603788034111403E-2</v>
      </c>
      <c r="I70" s="485">
        <f>VLOOKUP($A70,[3]Sheet1!$2:$65479,MATCH(I$3,[3]Sheet1!$2:$2,0),FALSE)</f>
        <v>1.5193249894360321E-2</v>
      </c>
      <c r="J70" s="485">
        <f>VLOOKUP($A70,[3]Sheet1!$2:$65479,MATCH(J$3,[3]Sheet1!$2:$2,0),FALSE)</f>
        <v>1.5666062258918416E-2</v>
      </c>
      <c r="K70" s="485">
        <f>VLOOKUP($A70,[3]Sheet1!$2:$65479,MATCH(K$3,[3]Sheet1!$2:$2,0),FALSE)</f>
        <v>1.4007067780205176E-2</v>
      </c>
      <c r="L70" s="485">
        <f>VLOOKUP($A70,[3]Sheet1!$2:$65479,MATCH(L$3,[3]Sheet1!$2:$2,0),FALSE)</f>
        <v>1.4801320878503013E-2</v>
      </c>
      <c r="M70" s="191">
        <f>VLOOKUP($A70,[3]Sheet1!$2:$65479,MATCH(M$3,[3]Sheet1!$2:$2,0),FALSE)</f>
        <v>1.3926433757629177E-2</v>
      </c>
      <c r="N70" s="191">
        <f>VLOOKUP($A70,[3]Sheet1!$2:$65479,MATCH(N$3,[3]Sheet1!$2:$2,0),FALSE)</f>
        <v>1.1254514139820294E-2</v>
      </c>
      <c r="O70" s="191">
        <f>VLOOKUP($A70,[3]Sheet1!$2:$65479,MATCH(O$3,[3]Sheet1!$2:$2,0),FALSE)</f>
        <v>9.7096577564007164E-3</v>
      </c>
      <c r="P70" s="191">
        <f>VLOOKUP($A70,[3]Sheet1!$2:$65479,MATCH(P$3,[3]Sheet1!$2:$2,0),FALSE)</f>
        <v>8.0553150180827232E-3</v>
      </c>
      <c r="Q70" s="191">
        <f>VLOOKUP($A70,[3]Sheet1!$2:$65479,MATCH(Q$3,[3]Sheet1!$2:$2,0),FALSE)</f>
        <v>1.0201520200173654E-2</v>
      </c>
      <c r="R70" s="191">
        <f>VLOOKUP($A70,[3]Sheet1!$2:$65479,MATCH(R$3,[3]Sheet1!$2:$2,0),FALSE)</f>
        <v>3.017232629464317E-2</v>
      </c>
      <c r="S70" s="191">
        <f>VLOOKUP($A70,[3]Sheet1!$2:$65479,MATCH(S$3,[3]Sheet1!$2:$2,0),FALSE)</f>
        <v>5.0699940408169525E-2</v>
      </c>
      <c r="T70" s="191">
        <f>VLOOKUP($A70,[3]Sheet1!$2:$65479,MATCH(T$3,[3]Sheet1!$2:$2,0),FALSE)</f>
        <v>4.6205490430322627E-2</v>
      </c>
      <c r="U70" s="191">
        <f>VLOOKUP($A70,[3]Sheet1!$2:$65479,MATCH(U$3,[3]Sheet1!$2:$2,0),FALSE)</f>
        <v>4.5607568128101406E-2</v>
      </c>
      <c r="V70" s="191">
        <f>VLOOKUP($A70,[3]Sheet1!$2:$65479,MATCH(V$3,[3]Sheet1!$2:$2,0),FALSE)</f>
        <v>4.5919721677392111E-2</v>
      </c>
      <c r="W70" s="191">
        <f>VLOOKUP($A70,[3]Sheet1!$2:$65479,MATCH(W$3,[3]Sheet1!$2:$2,0),FALSE)</f>
        <v>4.5852977655322924E-2</v>
      </c>
      <c r="X70" s="191">
        <f>VLOOKUP($A70,[3]Sheet1!$2:$65479,MATCH(X$3,[3]Sheet1!$2:$2,0),FALSE)</f>
        <v>4.7479169678848201E-2</v>
      </c>
      <c r="Y70" s="191">
        <f>VLOOKUP($A70,[3]Sheet1!$2:$65479,MATCH(Y$3,[3]Sheet1!$2:$2,0),FALSE)</f>
        <v>5.2863213445058982E-2</v>
      </c>
      <c r="Z70" s="191">
        <f>VLOOKUP($A70,[3]Sheet1!$2:$65479,MATCH(Z$3,[3]Sheet1!$2:$2,0),FALSE)</f>
        <v>5.719106706515209E-2</v>
      </c>
      <c r="AA70" s="191">
        <f>VLOOKUP($A70,[3]Sheet1!$2:$65479,MATCH(AA$3,[3]Sheet1!$2:$2,0),FALSE)</f>
        <v>6.0971445207642042E-2</v>
      </c>
      <c r="AB70" s="191">
        <f>VLOOKUP($A70,[3]Sheet1!$2:$65479,MATCH(AB$3,[3]Sheet1!$2:$2,0),FALSE)</f>
        <v>6.3403021973661502E-2</v>
      </c>
      <c r="AC70" s="191">
        <f>VLOOKUP($A70,[3]Sheet1!$2:$65479,MATCH(AC$3,[3]Sheet1!$2:$2,0),FALSE)</f>
        <v>6.2475750323156554E-2</v>
      </c>
      <c r="AD70" s="191">
        <f>VLOOKUP($A70,[3]Sheet1!$2:$65479,MATCH(AD$3,[3]Sheet1!$2:$2,0),FALSE)</f>
        <v>6.0691182513120445E-2</v>
      </c>
      <c r="AE70" s="191">
        <f>VLOOKUP($A70,[3]Sheet1!$2:$65479,MATCH(AE$3,[3]Sheet1!$2:$2,0),FALSE)</f>
        <v>6.3061193138813046E-2</v>
      </c>
      <c r="AF70" s="191">
        <f>VLOOKUP($A70,[3]Sheet1!$2:$65479,MATCH(AF$3,[3]Sheet1!$2:$2,0),FALSE)</f>
        <v>6.2745247817979966E-2</v>
      </c>
      <c r="AG70" s="191">
        <f>VLOOKUP($A70,[3]Sheet1!$2:$65479,MATCH(AG$3,[3]Sheet1!$2:$2,0),FALSE)</f>
        <v>6.2559540615919979E-2</v>
      </c>
      <c r="AH70" s="191">
        <f>VLOOKUP($A70,[3]Sheet1!$2:$65479,MATCH(AH$3,[3]Sheet1!$2:$2,0),FALSE)</f>
        <v>6.5622224154752523E-2</v>
      </c>
      <c r="AI70" s="191">
        <f>VLOOKUP($A70,[3]Sheet1!$2:$65479,MATCH(AI$3,[3]Sheet1!$2:$2,0),FALSE)</f>
        <v>6.6534907280107497E-2</v>
      </c>
      <c r="AJ70" s="191">
        <f>VLOOKUP($A70,[3]Sheet1!$2:$65479,MATCH(AJ$3,[3]Sheet1!$2:$2,0),FALSE)</f>
        <v>6.3516017403794756E-2</v>
      </c>
      <c r="AK70" s="191">
        <f>VLOOKUP($A70,[3]Sheet1!$2:$65479,MATCH(AK$3,[3]Sheet1!$2:$2,0),FALSE)</f>
        <v>6.0883479145981717E-2</v>
      </c>
      <c r="AL70" s="191">
        <f>VLOOKUP($A70,[3]Sheet1!$2:$65479,MATCH(AL$3,[3]Sheet1!$2:$2,0),FALSE)</f>
        <v>5.991977299858231E-2</v>
      </c>
      <c r="AM70" s="191">
        <f>VLOOKUP($A70,[3]Sheet1!$2:$65479,MATCH(AM$3,[3]Sheet1!$2:$2,0),FALSE)</f>
        <v>6.3927599172305755E-2</v>
      </c>
      <c r="AN70" s="191">
        <f>VLOOKUP($A70,[3]Sheet1!$2:$65479,MATCH(AN$3,[3]Sheet1!$2:$2,0),FALSE)</f>
        <v>6.5064945839474642E-2</v>
      </c>
      <c r="AO70" s="191">
        <f>VLOOKUP($A70,[3]Sheet1!$2:$65479,MATCH(AO$3,[3]Sheet1!$2:$2,0),FALSE)</f>
        <v>6.7192655931039E-2</v>
      </c>
      <c r="AP70" s="191">
        <f>VLOOKUP($A70,[3]Sheet1!$2:$65479,MATCH(AP$3,[3]Sheet1!$2:$2,0),FALSE)</f>
        <v>6.543315368452092E-2</v>
      </c>
      <c r="AQ70" s="191">
        <f>VLOOKUP($A70,[3]Sheet1!$2:$65479,MATCH(AQ$3,[3]Sheet1!$2:$2,0),FALSE)</f>
        <v>6.4049455243246622E-2</v>
      </c>
      <c r="AR70" s="191">
        <f>VLOOKUP($A70,[3]Sheet1!$2:$65479,MATCH(AR$3,[3]Sheet1!$2:$2,0),FALSE)</f>
        <v>6.1699692125150675E-2</v>
      </c>
      <c r="AS70" s="191">
        <f>VLOOKUP($A70,[3]Sheet1!$2:$65479,MATCH(AS$3,[3]Sheet1!$2:$2,0),FALSE)</f>
        <v>5.5344288326760784E-2</v>
      </c>
      <c r="AT70" s="191">
        <f>VLOOKUP($A70,[3]Sheet1!$2:$65479,MATCH(AT$3,[3]Sheet1!$2:$2,0),FALSE)</f>
        <v>4.3797034590042229E-2</v>
      </c>
      <c r="AU70" s="191">
        <f>VLOOKUP($A70,[3]Sheet1!$2:$65479,MATCH(AU$3,[3]Sheet1!$2:$2,0),FALSE)</f>
        <v>4.090926467368753E-2</v>
      </c>
      <c r="AV70" s="191">
        <f>VLOOKUP($A70,[3]Sheet1!$2:$65479,MATCH(AV$3,[3]Sheet1!$2:$2,0),FALSE)</f>
        <v>3.9797449907440212E-2</v>
      </c>
      <c r="AW70" s="191">
        <f>VLOOKUP($A70,[3]Sheet1!$2:$65479,MATCH(AW$3,[3]Sheet1!$2:$2,0),FALSE)</f>
        <v>4.0862480625620173E-2</v>
      </c>
      <c r="AX70" s="835">
        <f>VLOOKUP($A70,[3]Sheet1!$2:$65479,MATCH(AX$3,[3]Sheet1!$2:$2,0),FALSE)</f>
        <v>4.0862480625620173E-2</v>
      </c>
      <c r="AY70" s="939"/>
      <c r="AZ70" s="841"/>
      <c r="BA70" s="510"/>
      <c r="BB70" s="510"/>
      <c r="BC70" s="510"/>
      <c r="BD70" s="47"/>
      <c r="BE70" s="47"/>
      <c r="BF70" s="47"/>
      <c r="BG70" s="47"/>
      <c r="BH70" s="47"/>
      <c r="BI70" s="47"/>
      <c r="BJ70" s="47"/>
      <c r="BK70" s="47"/>
      <c r="BL70" s="47"/>
      <c r="BM70" s="47"/>
      <c r="BN70" s="47"/>
      <c r="BO70" s="47"/>
      <c r="BP70" s="47"/>
      <c r="BQ70" s="47"/>
      <c r="BR70" s="47"/>
      <c r="BS70" s="235"/>
      <c r="BT70" s="235"/>
      <c r="BU70" s="235"/>
      <c r="BV70" s="235"/>
      <c r="BW70" s="235"/>
      <c r="BX70" s="235"/>
      <c r="BY70" s="235"/>
      <c r="BZ70" s="235"/>
      <c r="CA70" s="235"/>
      <c r="CB70" s="235"/>
      <c r="CC70" s="48">
        <f>CC275</f>
        <v>1.995827627913033E-2</v>
      </c>
      <c r="CD70" s="48">
        <f t="shared" si="402"/>
        <v>2.1302365969382318E-2</v>
      </c>
      <c r="CE70" s="48">
        <f t="shared" si="402"/>
        <v>1.6382673408656657E-2</v>
      </c>
      <c r="CF70" s="48">
        <f t="shared" si="402"/>
        <v>1.4809410005749906E-2</v>
      </c>
      <c r="CG70" s="48">
        <f t="shared" si="402"/>
        <v>1.4144184573191134E-2</v>
      </c>
      <c r="CH70" s="48">
        <f t="shared" si="402"/>
        <v>1.0245083470186126E-2</v>
      </c>
      <c r="CI70" s="48">
        <f t="shared" si="402"/>
        <v>9.2149452393053537E-3</v>
      </c>
      <c r="CJ70" s="48">
        <f t="shared" si="402"/>
        <v>3.7993444694164567E-2</v>
      </c>
      <c r="CK70" s="48">
        <f t="shared" si="402"/>
        <v>4.6443924860762292E-2</v>
      </c>
      <c r="CL70" s="48">
        <f t="shared" si="402"/>
        <v>4.4820527194177673E-2</v>
      </c>
      <c r="CM70" s="50">
        <f t="shared" si="402"/>
        <v>4.8865304327015704E-2</v>
      </c>
      <c r="CN70" s="50">
        <f t="shared" si="402"/>
        <v>5.8263999564937531E-2</v>
      </c>
      <c r="CO70" s="50">
        <f t="shared" si="402"/>
        <v>6.2364408025522157E-2</v>
      </c>
      <c r="CP70" s="50">
        <f t="shared" si="402"/>
        <v>6.2148780105447464E-2</v>
      </c>
      <c r="CQ70" s="50">
        <f t="shared" si="402"/>
        <v>6.2901967018166555E-2</v>
      </c>
      <c r="CR70" s="50">
        <f t="shared" si="403"/>
        <v>6.6225148034933165E-2</v>
      </c>
      <c r="CS70" s="50">
        <f t="shared" si="403"/>
        <v>6.2311916401998346E-2</v>
      </c>
      <c r="CT70" s="50">
        <f t="shared" si="404"/>
        <v>6.1770727588934794E-2</v>
      </c>
      <c r="CU70" s="50">
        <f t="shared" si="404"/>
        <v>0</v>
      </c>
      <c r="CV70" s="50">
        <f t="shared" si="404"/>
        <v>0</v>
      </c>
      <c r="CW70" s="50"/>
      <c r="CX70" s="50"/>
      <c r="CY70" s="50"/>
      <c r="CZ70" s="49"/>
      <c r="DA70" s="48"/>
      <c r="DB70" s="48"/>
      <c r="DC70" s="48"/>
      <c r="DD70" s="48"/>
      <c r="DE70" s="48"/>
      <c r="DF70" s="48"/>
      <c r="DG70" s="235"/>
      <c r="DH70" s="235"/>
      <c r="DI70" s="235"/>
    </row>
    <row r="71" spans="1:113" outlineLevel="2">
      <c r="A71" s="1" t="s">
        <v>870</v>
      </c>
      <c r="B71" s="19" t="s">
        <v>440</v>
      </c>
      <c r="C71" s="235">
        <f>C276</f>
        <v>2.1713995351030857E-2</v>
      </c>
      <c r="D71" s="235">
        <f>D276</f>
        <v>2.1296937069433731E-2</v>
      </c>
      <c r="E71" s="235">
        <f>E276</f>
        <v>1.6778969528356738E-2</v>
      </c>
      <c r="F71" s="235">
        <f t="shared" ref="F71:L71" si="416">F276</f>
        <v>1.600025536534478E-2</v>
      </c>
      <c r="G71" s="235">
        <f t="shared" si="416"/>
        <v>1.6923982335277095E-2</v>
      </c>
      <c r="H71" s="235">
        <f t="shared" si="416"/>
        <v>1.3805720284544888E-2</v>
      </c>
      <c r="I71" s="235">
        <f t="shared" si="416"/>
        <v>1.254343861800148E-2</v>
      </c>
      <c r="J71" s="235">
        <f t="shared" si="416"/>
        <v>1.4094983826307673E-2</v>
      </c>
      <c r="K71" s="235">
        <f t="shared" si="416"/>
        <v>1.2549610928635047E-2</v>
      </c>
      <c r="L71" s="235">
        <f t="shared" si="416"/>
        <v>1.3755354687392911E-2</v>
      </c>
      <c r="M71" s="48">
        <f t="shared" ref="M71:T71" si="417">M276</f>
        <v>5.5027114061053511E-3</v>
      </c>
      <c r="N71" s="48">
        <f t="shared" si="417"/>
        <v>1.0182176061664619E-2</v>
      </c>
      <c r="O71" s="48">
        <f t="shared" si="417"/>
        <v>5.1735172541449714E-3</v>
      </c>
      <c r="P71" s="48">
        <f t="shared" si="417"/>
        <v>-5.3761601357767697E-3</v>
      </c>
      <c r="Q71" s="48">
        <f t="shared" si="417"/>
        <v>-6.1213092914026712E-4</v>
      </c>
      <c r="R71" s="48">
        <f t="shared" si="417"/>
        <v>1.3382150900831211E-2</v>
      </c>
      <c r="S71" s="48">
        <f t="shared" si="417"/>
        <v>2.7243552728129554E-2</v>
      </c>
      <c r="T71" s="50">
        <f t="shared" si="417"/>
        <v>2.1705132384092975E-2</v>
      </c>
      <c r="U71" s="48">
        <f t="shared" ref="U71:Z71" si="418">U276</f>
        <v>1.9705978978310716E-2</v>
      </c>
      <c r="V71" s="48">
        <f t="shared" si="418"/>
        <v>1.8644565413285963E-2</v>
      </c>
      <c r="W71" s="48">
        <f t="shared" si="418"/>
        <v>1.982361392197643E-2</v>
      </c>
      <c r="X71" s="48">
        <f t="shared" si="418"/>
        <v>2.0770567694524913E-2</v>
      </c>
      <c r="Y71" s="50">
        <f t="shared" si="418"/>
        <v>2.4402879959798604E-2</v>
      </c>
      <c r="Z71" s="50">
        <f t="shared" si="418"/>
        <v>2.6441608387995724E-2</v>
      </c>
      <c r="AA71" s="50">
        <f t="shared" ref="AA71:AK71" si="419">AA276</f>
        <v>2.8042978981607406E-2</v>
      </c>
      <c r="AB71" s="50">
        <f t="shared" si="419"/>
        <v>2.7886880811439949E-2</v>
      </c>
      <c r="AC71" s="50">
        <f t="shared" si="419"/>
        <v>2.5883582964142917E-2</v>
      </c>
      <c r="AD71" s="50">
        <f t="shared" si="419"/>
        <v>2.4300378659717584E-2</v>
      </c>
      <c r="AE71" s="50">
        <f t="shared" si="419"/>
        <v>2.5603258901372192E-2</v>
      </c>
      <c r="AF71" s="50">
        <f t="shared" si="419"/>
        <v>2.6203627781987645E-2</v>
      </c>
      <c r="AG71" s="50">
        <f t="shared" si="419"/>
        <v>2.6004390810127464E-2</v>
      </c>
      <c r="AH71" s="50">
        <f t="shared" si="419"/>
        <v>2.7678113423808284E-2</v>
      </c>
      <c r="AI71" s="50">
        <f t="shared" si="419"/>
        <v>2.7277309156361999E-2</v>
      </c>
      <c r="AJ71" s="50">
        <f t="shared" si="419"/>
        <v>2.7898986533115962E-2</v>
      </c>
      <c r="AK71" s="50">
        <f t="shared" si="419"/>
        <v>2.5401363061844626E-2</v>
      </c>
      <c r="AL71" s="50">
        <f t="shared" ref="AL71:AQ71" si="420">AL276</f>
        <v>2.454390329884024E-2</v>
      </c>
      <c r="AM71" s="50">
        <f t="shared" si="420"/>
        <v>2.6326755058919269E-2</v>
      </c>
      <c r="AN71" s="50">
        <f t="shared" si="420"/>
        <v>3.078650865384313E-2</v>
      </c>
      <c r="AO71" s="50">
        <f t="shared" si="420"/>
        <v>3.1798493494955893E-2</v>
      </c>
      <c r="AP71" s="50">
        <f t="shared" si="420"/>
        <v>3.2507161434874594E-2</v>
      </c>
      <c r="AQ71" s="50">
        <f t="shared" si="420"/>
        <v>3.158606076674686E-2</v>
      </c>
      <c r="AR71" s="50">
        <f t="shared" ref="AR71" si="421">AR276</f>
        <v>0</v>
      </c>
      <c r="AS71" s="50">
        <f t="shared" ref="AS71" si="422">AS276</f>
        <v>0</v>
      </c>
      <c r="AT71" s="50">
        <f t="shared" ref="AT71:AU71" si="423">AT276</f>
        <v>0</v>
      </c>
      <c r="AU71" s="50">
        <f t="shared" si="423"/>
        <v>0</v>
      </c>
      <c r="AV71" s="50">
        <f t="shared" ref="AV71" si="424">AV276</f>
        <v>0</v>
      </c>
      <c r="AW71" s="50">
        <f t="shared" ref="AW71" si="425">AW276</f>
        <v>0</v>
      </c>
      <c r="AX71" s="236">
        <f t="shared" ref="AX71" si="426">AX276</f>
        <v>0</v>
      </c>
      <c r="AY71" s="236"/>
      <c r="AZ71" s="766"/>
      <c r="BA71" s="235"/>
      <c r="BB71" s="235"/>
      <c r="BC71" s="235"/>
      <c r="BD71" s="235"/>
      <c r="BE71" s="235"/>
      <c r="BF71" s="235"/>
      <c r="BG71" s="235"/>
      <c r="BH71" s="235"/>
      <c r="BI71" s="235"/>
      <c r="BJ71" s="235"/>
      <c r="BK71" s="235"/>
      <c r="BL71" s="235"/>
      <c r="BM71" s="235"/>
      <c r="BN71" s="235"/>
      <c r="BO71" s="235"/>
      <c r="BP71" s="235"/>
      <c r="BQ71" s="235"/>
      <c r="BR71" s="48"/>
      <c r="BS71" s="235"/>
      <c r="BT71" s="235"/>
      <c r="BU71" s="235"/>
      <c r="BV71" s="235"/>
      <c r="BW71" s="235"/>
      <c r="BX71" s="235"/>
      <c r="BY71" s="235"/>
      <c r="BZ71" s="235"/>
      <c r="CA71" s="235"/>
      <c r="CB71" s="235"/>
      <c r="CC71" s="48">
        <f t="shared" ref="CC71:CI71" si="427">CC276</f>
        <v>1.9027896411931592E-2</v>
      </c>
      <c r="CD71" s="48">
        <f t="shared" si="427"/>
        <v>1.6461598046161884E-2</v>
      </c>
      <c r="CE71" s="48">
        <f t="shared" si="427"/>
        <v>1.3149973625517583E-2</v>
      </c>
      <c r="CF71" s="48">
        <f t="shared" si="427"/>
        <v>1.3294142625369779E-2</v>
      </c>
      <c r="CG71" s="48">
        <f t="shared" si="427"/>
        <v>9.5406540008162437E-3</v>
      </c>
      <c r="CH71" s="48">
        <f t="shared" si="427"/>
        <v>7.31201630070145E-3</v>
      </c>
      <c r="CI71" s="48">
        <f t="shared" si="427"/>
        <v>-2.9150803956545504E-3</v>
      </c>
      <c r="CJ71" s="48">
        <f t="shared" si="402"/>
        <v>2.0485286415933866E-2</v>
      </c>
      <c r="CK71" s="48">
        <f t="shared" si="402"/>
        <v>2.0699956032398405E-2</v>
      </c>
      <c r="CL71" s="48">
        <f t="shared" si="402"/>
        <v>1.9230981744231511E-2</v>
      </c>
      <c r="CM71" s="50">
        <f t="shared" si="402"/>
        <v>2.259456750240298E-2</v>
      </c>
      <c r="CN71" s="50">
        <f t="shared" si="402"/>
        <v>2.7238961613632966E-2</v>
      </c>
      <c r="CO71" s="50">
        <f t="shared" si="402"/>
        <v>2.6879881436211756E-2</v>
      </c>
      <c r="CP71" s="50">
        <f t="shared" si="402"/>
        <v>2.495620124146819E-2</v>
      </c>
      <c r="CQ71" s="50">
        <f t="shared" si="402"/>
        <v>2.6103392454318142E-2</v>
      </c>
      <c r="CR71" s="50">
        <f t="shared" si="403"/>
        <v>2.7477621588968326E-2</v>
      </c>
      <c r="CS71" s="50">
        <f t="shared" si="403"/>
        <v>2.6658814668508866E-2</v>
      </c>
      <c r="CT71" s="50">
        <f t="shared" si="404"/>
        <v>2.5430151114707495E-2</v>
      </c>
      <c r="CU71" s="50">
        <f t="shared" si="404"/>
        <v>0</v>
      </c>
      <c r="CV71" s="50">
        <f t="shared" si="404"/>
        <v>0</v>
      </c>
      <c r="CW71" s="50"/>
      <c r="CX71" s="50"/>
      <c r="CY71" s="50"/>
      <c r="CZ71" s="49"/>
      <c r="DA71" s="48"/>
      <c r="DB71" s="48"/>
      <c r="DC71" s="48"/>
      <c r="DD71" s="48"/>
      <c r="DE71" s="48"/>
      <c r="DF71" s="48"/>
      <c r="DG71" s="235"/>
      <c r="DH71" s="235"/>
      <c r="DI71" s="235"/>
    </row>
    <row r="72" spans="1:113" outlineLevel="2">
      <c r="A72" s="1" t="s">
        <v>871</v>
      </c>
      <c r="B72" s="19" t="s">
        <v>364</v>
      </c>
      <c r="C72" s="235">
        <f t="shared" ref="C72:L74" si="428">C299</f>
        <v>3.8864497831949417E-2</v>
      </c>
      <c r="D72" s="235">
        <f t="shared" si="428"/>
        <v>3.4187479334667648E-2</v>
      </c>
      <c r="E72" s="235">
        <f t="shared" si="428"/>
        <v>3.6085342553598541E-2</v>
      </c>
      <c r="F72" s="235">
        <f t="shared" si="428"/>
        <v>3.708257765788571E-2</v>
      </c>
      <c r="G72" s="235">
        <f t="shared" si="428"/>
        <v>3.6234343703498442E-2</v>
      </c>
      <c r="H72" s="235">
        <f t="shared" si="428"/>
        <v>3.7916529164263933E-2</v>
      </c>
      <c r="I72" s="235">
        <f t="shared" si="428"/>
        <v>4.2858749767581611E-2</v>
      </c>
      <c r="J72" s="235">
        <f t="shared" si="428"/>
        <v>4.0461905313266808E-2</v>
      </c>
      <c r="K72" s="235">
        <f t="shared" si="428"/>
        <v>4.3337271085435662E-2</v>
      </c>
      <c r="L72" s="235">
        <f t="shared" si="428"/>
        <v>4.2426914206533516E-2</v>
      </c>
      <c r="M72" s="48">
        <f t="shared" ref="M72:X74" si="429">M299</f>
        <v>4.9180738215857556E-2</v>
      </c>
      <c r="N72" s="48">
        <f t="shared" si="429"/>
        <v>4.603596520148065E-2</v>
      </c>
      <c r="O72" s="48">
        <f t="shared" si="429"/>
        <v>4.7660754397017939E-2</v>
      </c>
      <c r="P72" s="48">
        <f t="shared" si="429"/>
        <v>5.8470364178324449E-2</v>
      </c>
      <c r="Q72" s="48">
        <f t="shared" si="429"/>
        <v>5.8999033175993448E-2</v>
      </c>
      <c r="R72" s="48">
        <f t="shared" si="429"/>
        <v>5.0539846047940207E-2</v>
      </c>
      <c r="S72" s="48">
        <f t="shared" si="429"/>
        <v>2.0368866484867618E-2</v>
      </c>
      <c r="T72" s="50">
        <f t="shared" si="429"/>
        <v>2.4896846666633658E-2</v>
      </c>
      <c r="U72" s="48">
        <f t="shared" si="429"/>
        <v>3.367433785761325E-2</v>
      </c>
      <c r="V72" s="48">
        <f t="shared" si="429"/>
        <v>3.4261680510358425E-2</v>
      </c>
      <c r="W72" s="48">
        <f t="shared" si="429"/>
        <v>3.5001162539956734E-2</v>
      </c>
      <c r="X72" s="48">
        <f t="shared" si="429"/>
        <v>3.3678046025847411E-2</v>
      </c>
      <c r="Y72" s="50">
        <f t="shared" ref="Y72:AA73" si="430">Y299</f>
        <v>2.7187541034655354E-2</v>
      </c>
      <c r="Z72" s="50">
        <f t="shared" si="430"/>
        <v>2.3257602165803436E-2</v>
      </c>
      <c r="AA72" s="50">
        <f t="shared" si="430"/>
        <v>1.9039562222611512E-2</v>
      </c>
      <c r="AB72" s="50">
        <f t="shared" ref="AB72:AK72" si="431">AB299</f>
        <v>1.7629725691774269E-2</v>
      </c>
      <c r="AC72" s="50">
        <f t="shared" si="431"/>
        <v>1.8191089328137934E-2</v>
      </c>
      <c r="AD72" s="50">
        <f t="shared" si="431"/>
        <v>1.8953669376424079E-2</v>
      </c>
      <c r="AE72" s="50">
        <f t="shared" si="431"/>
        <v>1.5176699855634778E-2</v>
      </c>
      <c r="AF72" s="50">
        <f t="shared" si="431"/>
        <v>1.5038755747616858E-2</v>
      </c>
      <c r="AG72" s="50">
        <f t="shared" si="431"/>
        <v>1.5018592577453756E-2</v>
      </c>
      <c r="AH72" s="50">
        <f t="shared" si="431"/>
        <v>7.6052564078537398E-3</v>
      </c>
      <c r="AI72" s="50">
        <f t="shared" si="431"/>
        <v>7.2401724943008802E-3</v>
      </c>
      <c r="AJ72" s="50">
        <f t="shared" si="431"/>
        <v>8.3729465337628213E-3</v>
      </c>
      <c r="AK72" s="50">
        <f t="shared" si="431"/>
        <v>8.618588120354511E-3</v>
      </c>
      <c r="AL72" s="50">
        <f t="shared" ref="AL72:AM74" si="432">AL299</f>
        <v>9.514819069428658E-3</v>
      </c>
      <c r="AM72" s="50">
        <f t="shared" si="432"/>
        <v>9.6445979357601807E-3</v>
      </c>
      <c r="AN72" s="50">
        <f t="shared" ref="AN72:AO74" si="433">AN299</f>
        <v>0</v>
      </c>
      <c r="AO72" s="50">
        <f t="shared" si="433"/>
        <v>0</v>
      </c>
      <c r="AP72" s="50">
        <f t="shared" ref="AP72:AQ72" si="434">AP299</f>
        <v>0</v>
      </c>
      <c r="AQ72" s="50">
        <f t="shared" si="434"/>
        <v>0</v>
      </c>
      <c r="AR72" s="50">
        <f t="shared" ref="AR72" si="435">AR299</f>
        <v>0</v>
      </c>
      <c r="AS72" s="50">
        <f t="shared" ref="AS72:AT72" si="436">AS299</f>
        <v>0</v>
      </c>
      <c r="AT72" s="50">
        <f t="shared" si="436"/>
        <v>0</v>
      </c>
      <c r="AU72" s="50">
        <f t="shared" ref="AU72" si="437">AU299</f>
        <v>0</v>
      </c>
      <c r="AV72" s="50">
        <f t="shared" ref="AV72:AW72" si="438">AV299</f>
        <v>0</v>
      </c>
      <c r="AW72" s="50">
        <f t="shared" si="438"/>
        <v>0</v>
      </c>
      <c r="AX72" s="50">
        <f>AX299</f>
        <v>0</v>
      </c>
      <c r="AY72" s="939"/>
      <c r="AZ72" s="841"/>
      <c r="BA72" s="510"/>
      <c r="BB72" s="510"/>
      <c r="BC72" s="510"/>
      <c r="BD72" s="47"/>
      <c r="BE72" s="47"/>
      <c r="BF72" s="47"/>
      <c r="BG72" s="47"/>
      <c r="BH72" s="47"/>
      <c r="BI72" s="47"/>
      <c r="BJ72" s="47"/>
      <c r="BK72" s="47"/>
      <c r="BL72" s="47"/>
      <c r="BM72" s="47"/>
      <c r="BN72" s="47"/>
      <c r="BO72" s="47"/>
      <c r="BP72" s="47"/>
      <c r="BQ72" s="47"/>
      <c r="BR72" s="48"/>
      <c r="BS72" s="235"/>
      <c r="BT72" s="235"/>
      <c r="BU72" s="235"/>
      <c r="BV72" s="235"/>
      <c r="BW72" s="235"/>
      <c r="BX72" s="235"/>
      <c r="BY72" s="235"/>
      <c r="BZ72" s="235"/>
      <c r="CA72" s="235"/>
      <c r="CB72" s="235"/>
      <c r="CC72" s="48">
        <f t="shared" ref="CC72:CQ74" si="439">CC299</f>
        <v>3.5132592246043912E-2</v>
      </c>
      <c r="CD72" s="48">
        <f t="shared" si="439"/>
        <v>3.6645187237243887E-2</v>
      </c>
      <c r="CE72" s="48">
        <f t="shared" si="439"/>
        <v>4.0417915569883403E-2</v>
      </c>
      <c r="CF72" s="48">
        <f t="shared" si="439"/>
        <v>4.1900545182769748E-2</v>
      </c>
      <c r="CG72" s="48">
        <f t="shared" si="439"/>
        <v>4.5738410839616037E-2</v>
      </c>
      <c r="CH72" s="48">
        <f t="shared" si="439"/>
        <v>4.4114562591525214E-2</v>
      </c>
      <c r="CI72" s="48">
        <f t="shared" si="439"/>
        <v>5.8336634257296113E-2</v>
      </c>
      <c r="CJ72" s="48">
        <f t="shared" si="439"/>
        <v>3.4509257479997106E-2</v>
      </c>
      <c r="CK72" s="48">
        <f t="shared" si="439"/>
        <v>2.8969958597848785E-2</v>
      </c>
      <c r="CL72" s="48">
        <f t="shared" si="439"/>
        <v>3.3946459933291977E-2</v>
      </c>
      <c r="CM72" s="50">
        <f t="shared" si="439"/>
        <v>3.0255390037649574E-2</v>
      </c>
      <c r="CN72" s="50">
        <f t="shared" si="439"/>
        <v>2.098753510124118E-2</v>
      </c>
      <c r="CO72" s="50">
        <f t="shared" si="439"/>
        <v>1.8000940540359882E-2</v>
      </c>
      <c r="CP72" s="50">
        <f t="shared" si="439"/>
        <v>1.69186321919059E-2</v>
      </c>
      <c r="CQ72" s="50">
        <f t="shared" si="439"/>
        <v>1.4979576049212026E-2</v>
      </c>
      <c r="CR72" s="50">
        <f t="shared" ref="CR72:CS74" si="440">CR299</f>
        <v>7.4162129065869428E-3</v>
      </c>
      <c r="CS72" s="50">
        <f t="shared" si="440"/>
        <v>8.4941855823954283E-3</v>
      </c>
      <c r="CT72" s="50">
        <f t="shared" ref="CT72:CV74" si="441">CT299</f>
        <v>9.582891273710677E-3</v>
      </c>
      <c r="CU72" s="50">
        <f t="shared" si="441"/>
        <v>0</v>
      </c>
      <c r="CV72" s="50">
        <f t="shared" si="441"/>
        <v>0</v>
      </c>
      <c r="CW72" s="50"/>
      <c r="CX72" s="50"/>
      <c r="CY72" s="50"/>
      <c r="CZ72" s="49"/>
      <c r="DA72" s="48"/>
      <c r="DB72" s="48"/>
      <c r="DC72" s="48"/>
      <c r="DD72" s="48"/>
      <c r="DE72" s="48"/>
      <c r="DF72" s="48"/>
      <c r="DG72" s="235"/>
      <c r="DH72" s="235"/>
      <c r="DI72" s="235"/>
    </row>
    <row r="73" spans="1:113" outlineLevel="2">
      <c r="A73" s="1" t="s">
        <v>872</v>
      </c>
      <c r="B73" s="19" t="s">
        <v>262</v>
      </c>
      <c r="C73" s="235">
        <f t="shared" si="428"/>
        <v>-2.7645945464916596E-2</v>
      </c>
      <c r="D73" s="235">
        <f t="shared" si="428"/>
        <v>-2.0886291086632289E-2</v>
      </c>
      <c r="E73" s="235">
        <f t="shared" si="428"/>
        <v>-1.2652444282183786E-2</v>
      </c>
      <c r="F73" s="235">
        <f t="shared" si="428"/>
        <v>-1.4652010418995009E-2</v>
      </c>
      <c r="G73" s="235">
        <f t="shared" si="428"/>
        <v>-1.4815766683819122E-2</v>
      </c>
      <c r="H73" s="235">
        <f t="shared" si="428"/>
        <v>-1.1915960140955835E-2</v>
      </c>
      <c r="I73" s="235">
        <f t="shared" si="428"/>
        <v>-1.6106810528206426E-2</v>
      </c>
      <c r="J73" s="235">
        <f t="shared" si="428"/>
        <v>-1.522899530546906E-2</v>
      </c>
      <c r="K73" s="235">
        <f t="shared" si="428"/>
        <v>-1.7372987037857907E-2</v>
      </c>
      <c r="L73" s="235">
        <f t="shared" si="428"/>
        <v>-2.3326480395098031E-2</v>
      </c>
      <c r="M73" s="48">
        <f t="shared" si="429"/>
        <v>-1.6007654689998221E-2</v>
      </c>
      <c r="N73" s="48">
        <f t="shared" si="429"/>
        <v>-2.3289765887986445E-2</v>
      </c>
      <c r="O73" s="48">
        <f t="shared" si="429"/>
        <v>-1.7944901651276844E-2</v>
      </c>
      <c r="P73" s="48">
        <f t="shared" si="429"/>
        <v>-5.6609189950600405E-3</v>
      </c>
      <c r="Q73" s="48">
        <f t="shared" si="429"/>
        <v>-1.5282230986071399E-2</v>
      </c>
      <c r="R73" s="48">
        <f t="shared" si="429"/>
        <v>-3.4623167405734449E-2</v>
      </c>
      <c r="S73" s="48">
        <f t="shared" si="429"/>
        <v>-2.8088095270120652E-2</v>
      </c>
      <c r="T73" s="50">
        <f t="shared" si="429"/>
        <v>-2.0850680151021577E-2</v>
      </c>
      <c r="U73" s="48">
        <f t="shared" si="429"/>
        <v>-2.5611027173005774E-2</v>
      </c>
      <c r="V73" s="48">
        <f t="shared" si="429"/>
        <v>-2.3243053532467348E-2</v>
      </c>
      <c r="W73" s="48">
        <f t="shared" si="429"/>
        <v>-2.3802334586678964E-2</v>
      </c>
      <c r="X73" s="48">
        <f t="shared" si="429"/>
        <v>-2.5193464280991687E-2</v>
      </c>
      <c r="Y73" s="50">
        <f t="shared" si="430"/>
        <v>-2.5933394232035802E-2</v>
      </c>
      <c r="Z73" s="50">
        <f t="shared" si="430"/>
        <v>-2.6578810697144368E-2</v>
      </c>
      <c r="AA73" s="50">
        <f t="shared" si="430"/>
        <v>-2.4496879959506827E-2</v>
      </c>
      <c r="AB73" s="50">
        <f t="shared" ref="AB73:AK73" si="442">AB300</f>
        <v>-2.4693296211248644E-2</v>
      </c>
      <c r="AC73" s="50">
        <f t="shared" si="442"/>
        <v>-2.1579679820687758E-2</v>
      </c>
      <c r="AD73" s="50">
        <f t="shared" si="442"/>
        <v>-2.1526726134975607E-2</v>
      </c>
      <c r="AE73" s="50">
        <f t="shared" si="442"/>
        <v>-2.0804507279577569E-2</v>
      </c>
      <c r="AF73" s="50">
        <f t="shared" si="442"/>
        <v>-2.2485634036430658E-2</v>
      </c>
      <c r="AG73" s="50">
        <f t="shared" si="442"/>
        <v>-2.2117710681280496E-2</v>
      </c>
      <c r="AH73" s="50">
        <f t="shared" si="442"/>
        <v>-1.0865211281218879E-2</v>
      </c>
      <c r="AI73" s="50">
        <f t="shared" si="442"/>
        <v>-7.6978056074296797E-3</v>
      </c>
      <c r="AJ73" s="50">
        <f t="shared" si="442"/>
        <v>-8.9804127887118754E-3</v>
      </c>
      <c r="AK73" s="50">
        <f t="shared" si="442"/>
        <v>-4.0553290530742653E-3</v>
      </c>
      <c r="AL73" s="50">
        <f t="shared" si="432"/>
        <v>-3.9297426244377393E-3</v>
      </c>
      <c r="AM73" s="50">
        <f t="shared" si="432"/>
        <v>-9.9311800042400852E-3</v>
      </c>
      <c r="AN73" s="50">
        <f t="shared" si="433"/>
        <v>-6.6674732871992697E-3</v>
      </c>
      <c r="AO73" s="50">
        <f t="shared" si="433"/>
        <v>6.4209462096987474E-3</v>
      </c>
      <c r="AP73" s="50">
        <f t="shared" ref="AP73:AQ73" si="443">AP300</f>
        <v>-1.7243058712004669E-2</v>
      </c>
      <c r="AQ73" s="50">
        <f t="shared" si="443"/>
        <v>1.6973192676857762E-2</v>
      </c>
      <c r="AR73" s="50">
        <f t="shared" ref="AR73" si="444">AR300</f>
        <v>0</v>
      </c>
      <c r="AS73" s="50">
        <f t="shared" ref="AS73:AT73" si="445">AS300</f>
        <v>0</v>
      </c>
      <c r="AT73" s="50">
        <f t="shared" si="445"/>
        <v>0</v>
      </c>
      <c r="AU73" s="50">
        <f t="shared" ref="AU73" si="446">AU300</f>
        <v>0</v>
      </c>
      <c r="AV73" s="50">
        <f t="shared" ref="AV73:AW73" si="447">AV300</f>
        <v>0</v>
      </c>
      <c r="AW73" s="50">
        <f t="shared" si="447"/>
        <v>0</v>
      </c>
      <c r="AX73" s="50">
        <f>AX300</f>
        <v>0</v>
      </c>
      <c r="AY73" s="939"/>
      <c r="AZ73" s="841"/>
      <c r="BA73" s="510"/>
      <c r="BB73" s="510"/>
      <c r="BC73" s="510"/>
      <c r="BD73" s="47"/>
      <c r="BE73" s="47"/>
      <c r="BF73" s="47"/>
      <c r="BG73" s="47"/>
      <c r="BH73" s="47"/>
      <c r="BI73" s="47"/>
      <c r="BJ73" s="47"/>
      <c r="BK73" s="47"/>
      <c r="BL73" s="47"/>
      <c r="BM73" s="47"/>
      <c r="BN73" s="47"/>
      <c r="BO73" s="47"/>
      <c r="BP73" s="47"/>
      <c r="BQ73" s="47"/>
      <c r="BR73" s="48"/>
      <c r="BS73" s="235"/>
      <c r="BT73" s="235"/>
      <c r="BU73" s="235"/>
      <c r="BV73" s="235"/>
      <c r="BW73" s="235"/>
      <c r="BX73" s="235"/>
      <c r="BY73" s="235"/>
      <c r="BZ73" s="235"/>
      <c r="CA73" s="235"/>
      <c r="CB73" s="235"/>
      <c r="CC73" s="48">
        <f t="shared" si="439"/>
        <v>-1.6806311604417944E-2</v>
      </c>
      <c r="CD73" s="48">
        <f t="shared" si="439"/>
        <v>-1.4733677670009887E-2</v>
      </c>
      <c r="CE73" s="48">
        <f t="shared" si="439"/>
        <v>-1.4163130684289116E-2</v>
      </c>
      <c r="CF73" s="48">
        <f t="shared" si="439"/>
        <v>-1.6289021422511343E-2</v>
      </c>
      <c r="CG73" s="48">
        <f t="shared" si="439"/>
        <v>-1.9744807414247431E-2</v>
      </c>
      <c r="CH73" s="48">
        <f t="shared" si="439"/>
        <v>-2.0225170234893321E-2</v>
      </c>
      <c r="CI73" s="48">
        <f t="shared" si="439"/>
        <v>-1.0997034519082188E-2</v>
      </c>
      <c r="CJ73" s="48">
        <f t="shared" si="439"/>
        <v>-3.141064444875806E-2</v>
      </c>
      <c r="CK73" s="48">
        <f t="shared" si="439"/>
        <v>-2.3436368329907389E-2</v>
      </c>
      <c r="CL73" s="48">
        <f t="shared" si="439"/>
        <v>-2.3973936669860595E-2</v>
      </c>
      <c r="CM73" s="50">
        <f t="shared" si="439"/>
        <v>-2.5726595397783585E-2</v>
      </c>
      <c r="CN73" s="50">
        <f t="shared" si="439"/>
        <v>-2.5717146916460536E-2</v>
      </c>
      <c r="CO73" s="50">
        <f t="shared" si="439"/>
        <v>-2.3023777462971122E-2</v>
      </c>
      <c r="CP73" s="50">
        <f t="shared" si="439"/>
        <v>-2.1355964280435465E-2</v>
      </c>
      <c r="CQ73" s="50">
        <f t="shared" si="439"/>
        <v>-2.1794201253820158E-2</v>
      </c>
      <c r="CR73" s="50">
        <f t="shared" si="440"/>
        <v>-9.2622867909073186E-3</v>
      </c>
      <c r="CS73" s="50">
        <f t="shared" si="440"/>
        <v>-6.545645551802131E-3</v>
      </c>
      <c r="CT73" s="50">
        <f t="shared" si="441"/>
        <v>-6.9106127136081275E-3</v>
      </c>
      <c r="CU73" s="50">
        <f t="shared" si="441"/>
        <v>0</v>
      </c>
      <c r="CV73" s="50">
        <f t="shared" si="441"/>
        <v>0</v>
      </c>
      <c r="CW73" s="50"/>
      <c r="CX73" s="50"/>
      <c r="CY73" s="50"/>
      <c r="CZ73" s="49"/>
      <c r="DA73" s="48"/>
      <c r="DB73" s="48"/>
      <c r="DC73" s="48"/>
      <c r="DD73" s="48"/>
      <c r="DE73" s="48"/>
      <c r="DF73" s="48"/>
      <c r="DG73" s="235"/>
      <c r="DH73" s="235"/>
      <c r="DI73" s="235"/>
    </row>
    <row r="74" spans="1:113" outlineLevel="2">
      <c r="A74" s="1" t="s">
        <v>873</v>
      </c>
      <c r="B74" s="19" t="s">
        <v>359</v>
      </c>
      <c r="C74" s="235">
        <f t="shared" si="428"/>
        <v>1.2105751234311492E-2</v>
      </c>
      <c r="D74" s="235">
        <f t="shared" si="428"/>
        <v>1.2608544095662762E-2</v>
      </c>
      <c r="E74" s="235">
        <f t="shared" si="428"/>
        <v>1.7253710705101229E-2</v>
      </c>
      <c r="F74" s="235">
        <f t="shared" si="428"/>
        <v>1.7044760985021487E-2</v>
      </c>
      <c r="G74" s="235">
        <f t="shared" si="428"/>
        <v>1.6924975836335135E-2</v>
      </c>
      <c r="H74" s="235">
        <f t="shared" si="428"/>
        <v>1.8163140646221355E-2</v>
      </c>
      <c r="I74" s="235">
        <f t="shared" si="428"/>
        <v>1.7695443034095537E-2</v>
      </c>
      <c r="J74" s="235">
        <f t="shared" si="428"/>
        <v>1.6366932090829178E-2</v>
      </c>
      <c r="K74" s="235">
        <f t="shared" si="428"/>
        <v>1.769426733015908E-2</v>
      </c>
      <c r="L74" s="235">
        <f t="shared" si="428"/>
        <v>1.5046576068043847E-2</v>
      </c>
      <c r="M74" s="48">
        <f t="shared" si="429"/>
        <v>2.2119244709906581E-2</v>
      </c>
      <c r="N74" s="48">
        <f t="shared" si="429"/>
        <v>1.7201159743169075E-2</v>
      </c>
      <c r="O74" s="48">
        <f t="shared" si="429"/>
        <v>2.1583653705762651E-2</v>
      </c>
      <c r="P74" s="48">
        <f t="shared" si="429"/>
        <v>3.2196441559082495E-2</v>
      </c>
      <c r="Q74" s="48">
        <f t="shared" si="429"/>
        <v>2.5422472655640647E-2</v>
      </c>
      <c r="R74" s="48">
        <f t="shared" si="429"/>
        <v>9.6841872568839971E-3</v>
      </c>
      <c r="S74" s="48">
        <f t="shared" si="429"/>
        <v>-3.4307955592930359E-3</v>
      </c>
      <c r="T74" s="50">
        <f t="shared" si="429"/>
        <v>2.094357543255515E-3</v>
      </c>
      <c r="U74" s="48">
        <f t="shared" si="429"/>
        <v>4.0270787074777117E-3</v>
      </c>
      <c r="V74" s="48">
        <f t="shared" si="429"/>
        <v>4.9707580193287387E-3</v>
      </c>
      <c r="W74" s="48">
        <f t="shared" si="429"/>
        <v>4.7221328725209066E-3</v>
      </c>
      <c r="X74" s="48">
        <f t="shared" si="429"/>
        <v>3.4133899217065194E-3</v>
      </c>
      <c r="Y74" s="50">
        <f>Y301</f>
        <v>-3.7858525920264618E-4</v>
      </c>
      <c r="Z74" s="50">
        <f>Z301</f>
        <v>-2.4352587217083971E-3</v>
      </c>
      <c r="AA74" s="50">
        <f>AA301</f>
        <v>-2.9084346348915886E-3</v>
      </c>
      <c r="AB74" s="50">
        <f t="shared" ref="AB74:AK74" si="448">AB301</f>
        <v>-2.7254658626180497E-3</v>
      </c>
      <c r="AC74" s="50">
        <f t="shared" si="448"/>
        <v>-3.494436791216804E-5</v>
      </c>
      <c r="AD74" s="50">
        <f t="shared" si="448"/>
        <v>1.0850874969389329E-3</v>
      </c>
      <c r="AE74" s="50">
        <f t="shared" si="448"/>
        <v>1.0754794501487835E-4</v>
      </c>
      <c r="AF74" s="50">
        <f t="shared" si="448"/>
        <v>4.1675691326942613E-4</v>
      </c>
      <c r="AG74" s="50">
        <f t="shared" si="448"/>
        <v>1.2858141802423659E-3</v>
      </c>
      <c r="AH74" s="50">
        <f t="shared" si="448"/>
        <v>-1.0824170072349162E-4</v>
      </c>
      <c r="AI74" s="50">
        <f t="shared" si="448"/>
        <v>1.0018861783655832E-3</v>
      </c>
      <c r="AJ74" s="50">
        <f t="shared" si="448"/>
        <v>1.3895641414374028E-3</v>
      </c>
      <c r="AK74" s="50">
        <f t="shared" si="448"/>
        <v>3.5183185768035848E-3</v>
      </c>
      <c r="AL74" s="50">
        <f t="shared" si="432"/>
        <v>4.1468161905238443E-3</v>
      </c>
      <c r="AM74" s="50">
        <f t="shared" si="432"/>
        <v>1.8285876610136963E-3</v>
      </c>
      <c r="AN74" s="50">
        <f t="shared" si="433"/>
        <v>-2.3865708340922998E-3</v>
      </c>
      <c r="AO74" s="50">
        <f t="shared" si="433"/>
        <v>2.2983283608743982E-3</v>
      </c>
      <c r="AP74" s="50">
        <f t="shared" ref="AP74:AQ74" si="449">AP301</f>
        <v>-4.8179391599173747E-3</v>
      </c>
      <c r="AQ74" s="50">
        <f t="shared" si="449"/>
        <v>4.7425350126380581E-3</v>
      </c>
      <c r="AR74" s="50">
        <f t="shared" ref="AR74" si="450">AR301</f>
        <v>0</v>
      </c>
      <c r="AS74" s="50">
        <f t="shared" ref="AS74:AT74" si="451">AS301</f>
        <v>0</v>
      </c>
      <c r="AT74" s="50">
        <f t="shared" si="451"/>
        <v>0</v>
      </c>
      <c r="AU74" s="50">
        <f t="shared" ref="AU74" si="452">AU301</f>
        <v>0</v>
      </c>
      <c r="AV74" s="50">
        <f t="shared" ref="AV74" si="453">AV301</f>
        <v>0</v>
      </c>
      <c r="AW74" s="50">
        <f t="shared" ref="AW74" si="454">AW301</f>
        <v>0</v>
      </c>
      <c r="AX74" s="236">
        <f>AX301</f>
        <v>0</v>
      </c>
      <c r="AY74" s="236"/>
      <c r="AZ74" s="766"/>
      <c r="BA74" s="235"/>
      <c r="BB74" s="235"/>
      <c r="BC74" s="235"/>
      <c r="BD74" s="235"/>
      <c r="BE74" s="235"/>
      <c r="BF74" s="235"/>
      <c r="BG74" s="235"/>
      <c r="BH74" s="235"/>
      <c r="BI74" s="235"/>
      <c r="BJ74" s="235"/>
      <c r="BK74" s="235"/>
      <c r="BL74" s="235"/>
      <c r="BM74" s="235"/>
      <c r="BN74" s="235"/>
      <c r="BO74" s="235"/>
      <c r="BP74" s="235"/>
      <c r="BQ74" s="235"/>
      <c r="BR74" s="48"/>
      <c r="BS74" s="235"/>
      <c r="BT74" s="235"/>
      <c r="BU74" s="235"/>
      <c r="BV74" s="235"/>
      <c r="BW74" s="235"/>
      <c r="BX74" s="235"/>
      <c r="BY74" s="235"/>
      <c r="BZ74" s="235"/>
      <c r="CA74" s="235"/>
      <c r="CB74" s="235"/>
      <c r="CC74" s="48">
        <f t="shared" si="439"/>
        <v>1.4925068233062146E-2</v>
      </c>
      <c r="CD74" s="48">
        <f t="shared" si="439"/>
        <v>1.6982317981820125E-2</v>
      </c>
      <c r="CE74" s="48">
        <f t="shared" si="439"/>
        <v>1.7910230727528991E-2</v>
      </c>
      <c r="CF74" s="48">
        <f t="shared" si="439"/>
        <v>1.7028247669492163E-2</v>
      </c>
      <c r="CG74" s="48">
        <f t="shared" si="439"/>
        <v>1.8645690193388551E-2</v>
      </c>
      <c r="CH74" s="48">
        <f t="shared" si="439"/>
        <v>1.8768218700096127E-2</v>
      </c>
      <c r="CI74" s="48">
        <f t="shared" si="439"/>
        <v>2.8667120809655153E-2</v>
      </c>
      <c r="CJ74" s="48">
        <f>CJ301</f>
        <v>2.7407023904388729E-3</v>
      </c>
      <c r="CK74" s="48">
        <f t="shared" si="439"/>
        <v>3.0552099074339649E-3</v>
      </c>
      <c r="CL74" s="48">
        <f t="shared" si="439"/>
        <v>4.843029720792565E-3</v>
      </c>
      <c r="CM74" s="50">
        <f t="shared" si="439"/>
        <v>1.513957845157495E-3</v>
      </c>
      <c r="CN74" s="50">
        <f t="shared" si="439"/>
        <v>-2.672900100167025E-3</v>
      </c>
      <c r="CO74" s="50">
        <f t="shared" si="439"/>
        <v>-1.3629273449978047E-3</v>
      </c>
      <c r="CP74" s="50">
        <f t="shared" si="439"/>
        <v>5.90605927633311E-4</v>
      </c>
      <c r="CQ74" s="50">
        <f t="shared" si="439"/>
        <v>8.4288616255103171E-4</v>
      </c>
      <c r="CR74" s="50">
        <f t="shared" si="440"/>
        <v>4.510630232064175E-4</v>
      </c>
      <c r="CS74" s="50">
        <f t="shared" si="440"/>
        <v>2.4418190074650195E-3</v>
      </c>
      <c r="CT74" s="50">
        <f t="shared" si="441"/>
        <v>2.997538853665084E-3</v>
      </c>
      <c r="CU74" s="50">
        <f t="shared" si="441"/>
        <v>0</v>
      </c>
      <c r="CV74" s="50">
        <f t="shared" si="441"/>
        <v>0</v>
      </c>
      <c r="CW74" s="50"/>
      <c r="CX74" s="50"/>
      <c r="CY74" s="50"/>
      <c r="CZ74" s="49"/>
      <c r="DA74" s="48"/>
      <c r="DB74" s="48"/>
      <c r="DC74" s="48"/>
      <c r="DD74" s="48"/>
      <c r="DE74" s="48"/>
      <c r="DF74" s="48"/>
      <c r="DG74" s="235"/>
      <c r="DH74" s="235"/>
      <c r="DI74" s="235"/>
    </row>
    <row r="75" spans="1:113" outlineLevel="2">
      <c r="A75" s="1" t="s">
        <v>874</v>
      </c>
      <c r="B75" s="19" t="s">
        <v>273</v>
      </c>
      <c r="C75" s="235">
        <f>C281</f>
        <v>2.3797615125272037E-2</v>
      </c>
      <c r="D75" s="235">
        <f>D281</f>
        <v>2.3241906024979768E-2</v>
      </c>
      <c r="E75" s="235">
        <f>E281</f>
        <v>1.7522124712341838E-2</v>
      </c>
      <c r="F75" s="235">
        <f t="shared" ref="F75:L75" si="455">F281</f>
        <v>1.7274127079151234E-2</v>
      </c>
      <c r="G75" s="235">
        <f t="shared" si="455"/>
        <v>2.6779151535019106E-2</v>
      </c>
      <c r="H75" s="235">
        <f t="shared" si="455"/>
        <v>1.5693341078215205E-2</v>
      </c>
      <c r="I75" s="235">
        <f t="shared" si="455"/>
        <v>1.1135351900718606E-2</v>
      </c>
      <c r="J75" s="235">
        <f t="shared" si="455"/>
        <v>1.4783421929546188E-2</v>
      </c>
      <c r="K75" s="235">
        <f t="shared" si="455"/>
        <v>1.5654913191766914E-2</v>
      </c>
      <c r="L75" s="235">
        <f t="shared" si="455"/>
        <v>1.4574892771928007E-2</v>
      </c>
      <c r="M75" s="48">
        <f t="shared" ref="M75:T75" si="456">M281</f>
        <v>1.2266433175541755E-2</v>
      </c>
      <c r="N75" s="48">
        <f t="shared" si="456"/>
        <v>1.1448750451322126E-2</v>
      </c>
      <c r="O75" s="48">
        <f t="shared" si="456"/>
        <v>1.2328280198178207E-2</v>
      </c>
      <c r="P75" s="48">
        <f t="shared" si="456"/>
        <v>2.6543188784551308E-3</v>
      </c>
      <c r="Q75" s="48">
        <f t="shared" si="456"/>
        <v>7.1221325883485537E-3</v>
      </c>
      <c r="R75" s="48">
        <f t="shared" si="456"/>
        <v>1.945647083090872E-2</v>
      </c>
      <c r="S75" s="48">
        <f t="shared" si="456"/>
        <v>3.3885726634702948E-2</v>
      </c>
      <c r="T75" s="50">
        <f t="shared" si="456"/>
        <v>2.9852522247041845E-2</v>
      </c>
      <c r="U75" s="48">
        <f t="shared" ref="U75:Z75" si="457">U281</f>
        <v>2.1362061909004658E-2</v>
      </c>
      <c r="V75" s="48">
        <f t="shared" si="457"/>
        <v>1.5964650472483466E-2</v>
      </c>
      <c r="W75" s="48">
        <f t="shared" si="457"/>
        <v>1.3352990002729534E-2</v>
      </c>
      <c r="X75" s="48">
        <f t="shared" si="457"/>
        <v>1.3380172067130533E-2</v>
      </c>
      <c r="Y75" s="50">
        <f t="shared" si="457"/>
        <v>1.960118569852054E-2</v>
      </c>
      <c r="Z75" s="50">
        <f t="shared" si="457"/>
        <v>2.463733523260752E-2</v>
      </c>
      <c r="AA75" s="50">
        <f t="shared" ref="AA75:AK75" si="458">AA281</f>
        <v>2.8955623080771781E-2</v>
      </c>
      <c r="AB75" s="50">
        <f t="shared" si="458"/>
        <v>3.0770656929626907E-2</v>
      </c>
      <c r="AC75" s="50">
        <f t="shared" si="458"/>
        <v>3.1014545908667781E-2</v>
      </c>
      <c r="AD75" s="50">
        <f t="shared" si="458"/>
        <v>3.3819018482334304E-2</v>
      </c>
      <c r="AE75" s="50">
        <f t="shared" si="458"/>
        <v>3.6983173565968905E-2</v>
      </c>
      <c r="AF75" s="50">
        <f t="shared" si="458"/>
        <v>3.5856910246642573E-2</v>
      </c>
      <c r="AG75" s="50">
        <f t="shared" si="458"/>
        <v>3.0651607503354158E-2</v>
      </c>
      <c r="AH75" s="50">
        <f t="shared" si="458"/>
        <v>3.2717245522180353E-2</v>
      </c>
      <c r="AI75" s="50">
        <f t="shared" si="458"/>
        <v>3.2017820423252664E-2</v>
      </c>
      <c r="AJ75" s="50">
        <f t="shared" si="458"/>
        <v>3.1760016256136094E-2</v>
      </c>
      <c r="AK75" s="50">
        <f t="shared" si="458"/>
        <v>2.9512978424004816E-2</v>
      </c>
      <c r="AL75" s="50">
        <f t="shared" ref="AL75:AQ75" si="459">AL281</f>
        <v>2.8960385948264045E-2</v>
      </c>
      <c r="AM75" s="50">
        <f t="shared" si="459"/>
        <v>3.0219642145350018E-2</v>
      </c>
      <c r="AN75" s="50">
        <f t="shared" si="459"/>
        <v>3.5532057704812006E-2</v>
      </c>
      <c r="AO75" s="50">
        <f t="shared" si="459"/>
        <v>3.71964953582231E-2</v>
      </c>
      <c r="AP75" s="50">
        <f t="shared" si="459"/>
        <v>3.6813617788668672E-2</v>
      </c>
      <c r="AQ75" s="50">
        <f t="shared" si="459"/>
        <v>3.3787169785559998E-2</v>
      </c>
      <c r="AR75" s="50">
        <f t="shared" ref="AR75" si="460">AR281</f>
        <v>0</v>
      </c>
      <c r="AS75" s="50">
        <f t="shared" ref="AS75:AT75" si="461">AS281</f>
        <v>0</v>
      </c>
      <c r="AT75" s="50">
        <f t="shared" si="461"/>
        <v>0</v>
      </c>
      <c r="AU75" s="50">
        <f t="shared" ref="AU75" si="462">AU281</f>
        <v>0</v>
      </c>
      <c r="AV75" s="50">
        <f t="shared" ref="AV75:AW75" si="463">AV281</f>
        <v>0</v>
      </c>
      <c r="AW75" s="50">
        <f t="shared" si="463"/>
        <v>0</v>
      </c>
      <c r="AX75" s="50">
        <f>AX281</f>
        <v>0</v>
      </c>
      <c r="AY75" s="939"/>
      <c r="AZ75" s="841"/>
      <c r="BA75" s="510"/>
      <c r="BB75" s="510"/>
      <c r="BC75" s="510"/>
      <c r="BD75" s="47"/>
      <c r="BE75" s="47"/>
      <c r="BF75" s="47"/>
      <c r="BG75" s="47"/>
      <c r="BH75" s="47"/>
      <c r="BI75" s="47"/>
      <c r="BJ75" s="47"/>
      <c r="BK75" s="47"/>
      <c r="BL75" s="47"/>
      <c r="BM75" s="47"/>
      <c r="BN75" s="47"/>
      <c r="BO75" s="47"/>
      <c r="BP75" s="47"/>
      <c r="BQ75" s="47"/>
      <c r="BR75" s="48"/>
      <c r="BS75" s="235">
        <f t="shared" ref="BS75:CB75" si="464">BS281</f>
        <v>6.1702344448703039E-3</v>
      </c>
      <c r="BT75" s="235">
        <f t="shared" si="464"/>
        <v>1.460145856014293E-2</v>
      </c>
      <c r="BU75" s="235">
        <f t="shared" si="464"/>
        <v>2.1634840620532871E-2</v>
      </c>
      <c r="BV75" s="235">
        <f t="shared" si="464"/>
        <v>1.0675077516635975E-2</v>
      </c>
      <c r="BW75" s="235">
        <f t="shared" si="464"/>
        <v>1.880803444905936E-2</v>
      </c>
      <c r="BX75" s="235">
        <f t="shared" si="464"/>
        <v>2.8521019934237564E-2</v>
      </c>
      <c r="BY75" s="235">
        <f t="shared" si="464"/>
        <v>4.270158895538629E-2</v>
      </c>
      <c r="BZ75" s="235">
        <f t="shared" si="464"/>
        <v>2.1975458477378626E-2</v>
      </c>
      <c r="CA75" s="235">
        <f t="shared" si="464"/>
        <v>1.3840528395863826E-2</v>
      </c>
      <c r="CB75" s="235">
        <f t="shared" si="464"/>
        <v>1.9363985223815758E-2</v>
      </c>
      <c r="CC75" s="48">
        <f t="shared" ref="CC75:CO75" si="465">CC281</f>
        <v>2.0313393331320793E-2</v>
      </c>
      <c r="CD75" s="48">
        <f t="shared" si="465"/>
        <v>2.2098225117859013E-2</v>
      </c>
      <c r="CE75" s="48">
        <f t="shared" si="465"/>
        <v>1.3269148673418774E-2</v>
      </c>
      <c r="CF75" s="48">
        <f t="shared" si="465"/>
        <v>1.5222715920027894E-2</v>
      </c>
      <c r="CG75" s="48">
        <f t="shared" si="465"/>
        <v>1.3378532329045689E-2</v>
      </c>
      <c r="CH75" s="48">
        <f t="shared" si="465"/>
        <v>1.1905949608138783E-2</v>
      </c>
      <c r="CI75" s="48">
        <f t="shared" si="465"/>
        <v>4.9224315845349661E-3</v>
      </c>
      <c r="CJ75" s="48">
        <f t="shared" si="465"/>
        <v>2.6577250054202542E-2</v>
      </c>
      <c r="CK75" s="48">
        <f t="shared" si="465"/>
        <v>2.5703912434449267E-2</v>
      </c>
      <c r="CL75" s="48">
        <f t="shared" si="465"/>
        <v>1.4709255307934904E-2</v>
      </c>
      <c r="CM75" s="50">
        <f t="shared" si="465"/>
        <v>1.6487349612457933E-2</v>
      </c>
      <c r="CN75" s="50">
        <f t="shared" si="465"/>
        <v>2.6861461574898073E-2</v>
      </c>
      <c r="CO75" s="50">
        <f t="shared" si="465"/>
        <v>3.0896025704402211E-2</v>
      </c>
      <c r="CP75" s="50">
        <f t="shared" ref="CP75:CV75" si="466">CP281</f>
        <v>3.5446603508108611E-2</v>
      </c>
      <c r="CQ75" s="50">
        <f t="shared" si="466"/>
        <v>3.3192537640398215E-2</v>
      </c>
      <c r="CR75" s="50">
        <f t="shared" si="466"/>
        <v>3.236718576901907E-2</v>
      </c>
      <c r="CS75" s="50">
        <f t="shared" si="466"/>
        <v>3.0623345318520769E-2</v>
      </c>
      <c r="CT75" s="50">
        <f t="shared" si="466"/>
        <v>2.9603705729278767E-2</v>
      </c>
      <c r="CU75" s="50">
        <f t="shared" si="466"/>
        <v>0</v>
      </c>
      <c r="CV75" s="50">
        <f t="shared" si="466"/>
        <v>0</v>
      </c>
      <c r="CW75" s="50"/>
      <c r="CX75" s="50"/>
      <c r="CY75" s="50"/>
      <c r="CZ75" s="49"/>
      <c r="DA75" s="48"/>
      <c r="DB75" s="48"/>
      <c r="DC75" s="48"/>
      <c r="DD75" s="48"/>
      <c r="DE75" s="48"/>
      <c r="DF75" s="48"/>
      <c r="DG75" s="235"/>
      <c r="DH75" s="235"/>
      <c r="DI75" s="235"/>
    </row>
    <row r="76" spans="1:113" outlineLevel="2">
      <c r="A76" s="1" t="s">
        <v>829</v>
      </c>
      <c r="B76" s="19" t="s">
        <v>274</v>
      </c>
      <c r="C76" s="235">
        <f>C306</f>
        <v>-5.4670878380818286E-3</v>
      </c>
      <c r="D76" s="235">
        <f>D306</f>
        <v>-8.4609723446082349E-3</v>
      </c>
      <c r="E76" s="235">
        <f>E306</f>
        <v>4.6074301734799761E-4</v>
      </c>
      <c r="F76" s="235">
        <f t="shared" ref="F76:L76" si="467">F306</f>
        <v>1.7891671538411841E-3</v>
      </c>
      <c r="G76" s="235">
        <f t="shared" si="467"/>
        <v>-6.4833695839459082E-3</v>
      </c>
      <c r="H76" s="235">
        <f t="shared" si="467"/>
        <v>1.2913990722147883E-4</v>
      </c>
      <c r="I76" s="235">
        <f t="shared" si="467"/>
        <v>-4.2506472609270957E-4</v>
      </c>
      <c r="J76" s="235">
        <f t="shared" si="467"/>
        <v>-4.6483425179354443E-3</v>
      </c>
      <c r="K76" s="235">
        <f t="shared" si="467"/>
        <v>-6.884772184976129E-3</v>
      </c>
      <c r="L76" s="235">
        <f t="shared" si="467"/>
        <v>4.9892373295398612E-3</v>
      </c>
      <c r="M76" s="48">
        <f t="shared" ref="M76:T76" si="468">M306</f>
        <v>5.1488812944619697E-3</v>
      </c>
      <c r="N76" s="48">
        <f t="shared" si="468"/>
        <v>6.5291661157326208E-3</v>
      </c>
      <c r="O76" s="48">
        <f t="shared" si="468"/>
        <v>9.8632811106977095E-3</v>
      </c>
      <c r="P76" s="48">
        <f t="shared" si="468"/>
        <v>1.5719639266137439E-2</v>
      </c>
      <c r="Q76" s="48">
        <f t="shared" si="468"/>
        <v>1.4262361161480441E-2</v>
      </c>
      <c r="R76" s="48">
        <f t="shared" si="468"/>
        <v>4.6749593596156006E-3</v>
      </c>
      <c r="S76" s="48">
        <f t="shared" si="468"/>
        <v>-9.6472016034792329E-3</v>
      </c>
      <c r="T76" s="50">
        <f t="shared" si="468"/>
        <v>-1.6995282728722569E-2</v>
      </c>
      <c r="U76" s="48">
        <f t="shared" ref="U76:Z76" si="469">U306</f>
        <v>-8.4705403566892809E-3</v>
      </c>
      <c r="V76" s="48">
        <f t="shared" si="469"/>
        <v>-1.8973284162233511E-3</v>
      </c>
      <c r="W76" s="48">
        <f t="shared" si="469"/>
        <v>2.6364381900632339E-3</v>
      </c>
      <c r="X76" s="48">
        <f t="shared" si="469"/>
        <v>3.6592598782206331E-3</v>
      </c>
      <c r="Y76" s="50">
        <f t="shared" si="469"/>
        <v>-1.4705318188937486E-3</v>
      </c>
      <c r="Z76" s="50">
        <f t="shared" si="469"/>
        <v>-2.8115282535602984E-3</v>
      </c>
      <c r="AA76" s="50">
        <f t="shared" ref="AA76:AK76" si="470">AA306</f>
        <v>-7.1232637488109589E-3</v>
      </c>
      <c r="AB76" s="50">
        <f t="shared" si="470"/>
        <v>-7.5185278015228764E-3</v>
      </c>
      <c r="AC76" s="50">
        <f t="shared" si="470"/>
        <v>-6.7073347905215776E-3</v>
      </c>
      <c r="AD76" s="50">
        <f t="shared" si="470"/>
        <v>-7.6423555023761303E-3</v>
      </c>
      <c r="AE76" s="50">
        <f t="shared" si="470"/>
        <v>-1.2184508277229143E-2</v>
      </c>
      <c r="AF76" s="50">
        <f t="shared" si="470"/>
        <v>-1.1879907908655379E-2</v>
      </c>
      <c r="AG76" s="50">
        <f t="shared" si="470"/>
        <v>-6.9279493455689789E-3</v>
      </c>
      <c r="AH76" s="50">
        <f t="shared" si="470"/>
        <v>-9.0904865942433126E-3</v>
      </c>
      <c r="AI76" s="50">
        <f t="shared" si="470"/>
        <v>-9.2167723871373567E-3</v>
      </c>
      <c r="AJ76" s="50">
        <f t="shared" si="470"/>
        <v>-8.3888180480820237E-3</v>
      </c>
      <c r="AK76" s="50">
        <f t="shared" si="470"/>
        <v>-5.2435121075708182E-3</v>
      </c>
      <c r="AL76" s="50">
        <f t="shared" ref="AL76:AQ76" si="471">AL306</f>
        <v>-4.4475330078415261E-3</v>
      </c>
      <c r="AM76" s="50">
        <f t="shared" si="471"/>
        <v>-5.6220758806242782E-3</v>
      </c>
      <c r="AN76" s="50">
        <f t="shared" si="471"/>
        <v>-1.2763290227524959E-2</v>
      </c>
      <c r="AO76" s="50">
        <f t="shared" si="471"/>
        <v>1.2106972915426024E-2</v>
      </c>
      <c r="AP76" s="50">
        <f t="shared" si="471"/>
        <v>-1.4033824633886265E-2</v>
      </c>
      <c r="AQ76" s="50">
        <f t="shared" si="471"/>
        <v>1.399203142304121E-2</v>
      </c>
      <c r="AR76" s="50">
        <f t="shared" ref="AR76" si="472">AR306</f>
        <v>0</v>
      </c>
      <c r="AS76" s="50">
        <f t="shared" ref="AS76:AT76" si="473">AS306</f>
        <v>0</v>
      </c>
      <c r="AT76" s="50">
        <f t="shared" si="473"/>
        <v>0</v>
      </c>
      <c r="AU76" s="50">
        <f t="shared" ref="AU76" si="474">AU306</f>
        <v>0</v>
      </c>
      <c r="AV76" s="50">
        <f t="shared" ref="AV76:AW76" si="475">AV306</f>
        <v>0</v>
      </c>
      <c r="AW76" s="50">
        <f t="shared" si="475"/>
        <v>0</v>
      </c>
      <c r="AX76" s="50">
        <f>AX306</f>
        <v>0</v>
      </c>
      <c r="AY76" s="939"/>
      <c r="AZ76" s="841"/>
      <c r="BA76" s="510"/>
      <c r="BB76" s="510"/>
      <c r="BC76" s="510"/>
      <c r="BD76" s="47"/>
      <c r="BE76" s="47"/>
      <c r="BF76" s="47"/>
      <c r="BG76" s="47"/>
      <c r="BH76" s="47"/>
      <c r="BI76" s="47"/>
      <c r="BJ76" s="47"/>
      <c r="BK76" s="47"/>
      <c r="BL76" s="47"/>
      <c r="BM76" s="47"/>
      <c r="BN76" s="47"/>
      <c r="BO76" s="47"/>
      <c r="BP76" s="47"/>
      <c r="BQ76" s="47"/>
      <c r="BR76" s="48"/>
      <c r="BS76" s="235">
        <f t="shared" ref="BS76:CB76" si="476">BS306</f>
        <v>7.5003780645727935E-3</v>
      </c>
      <c r="BT76" s="235">
        <f t="shared" si="476"/>
        <v>1.7995599974306442E-3</v>
      </c>
      <c r="BU76" s="235">
        <f t="shared" si="476"/>
        <v>3.2057130184438287E-3</v>
      </c>
      <c r="BV76" s="235">
        <f t="shared" si="476"/>
        <v>1.4883862126245859E-2</v>
      </c>
      <c r="BW76" s="235">
        <f t="shared" si="476"/>
        <v>2.8353310613437183E-3</v>
      </c>
      <c r="BX76" s="235">
        <f t="shared" si="476"/>
        <v>-6.7422242161068666E-3</v>
      </c>
      <c r="BY76" s="235">
        <f t="shared" si="476"/>
        <v>-2.4335746670463503E-2</v>
      </c>
      <c r="BZ76" s="235">
        <f t="shared" si="476"/>
        <v>-5.0926627226852289E-3</v>
      </c>
      <c r="CA76" s="235">
        <f t="shared" si="476"/>
        <v>9.267649397986924E-3</v>
      </c>
      <c r="CB76" s="235">
        <f t="shared" si="476"/>
        <v>-1.1860054168177578E-3</v>
      </c>
      <c r="CC76" s="48">
        <f t="shared" ref="CC76:CO76" si="477">CC306</f>
        <v>-3.6102036399559244E-3</v>
      </c>
      <c r="CD76" s="48">
        <f t="shared" si="477"/>
        <v>-2.2651687349681273E-3</v>
      </c>
      <c r="CE76" s="48">
        <f t="shared" si="477"/>
        <v>-1.490073670873103E-4</v>
      </c>
      <c r="CF76" s="48">
        <f t="shared" si="477"/>
        <v>-5.7871301730194483E-3</v>
      </c>
      <c r="CG76" s="48">
        <f t="shared" si="477"/>
        <v>5.07623454922839E-3</v>
      </c>
      <c r="CH76" s="48">
        <f t="shared" si="477"/>
        <v>8.2694936893585244E-3</v>
      </c>
      <c r="CI76" s="48">
        <f t="shared" si="477"/>
        <v>1.4969540905968927E-2</v>
      </c>
      <c r="CJ76" s="48">
        <f t="shared" si="477"/>
        <v>-2.6242656659695328E-3</v>
      </c>
      <c r="CK76" s="48">
        <f t="shared" si="477"/>
        <v>-1.2762799870266598E-2</v>
      </c>
      <c r="CL76" s="48">
        <f t="shared" si="477"/>
        <v>3.6000831609123965E-4</v>
      </c>
      <c r="CM76" s="50">
        <f t="shared" si="477"/>
        <v>1.0302976309912815E-3</v>
      </c>
      <c r="CN76" s="50">
        <f t="shared" si="477"/>
        <v>-5.0364597287149947E-3</v>
      </c>
      <c r="CO76" s="50">
        <f t="shared" si="477"/>
        <v>-7.1234889383877589E-3</v>
      </c>
      <c r="CP76" s="50">
        <f t="shared" ref="CP76:CV76" si="478">CP306</f>
        <v>-1.0064366322875589E-2</v>
      </c>
      <c r="CQ76" s="50">
        <f t="shared" si="478"/>
        <v>-9.3990365955970642E-3</v>
      </c>
      <c r="CR76" s="50">
        <f t="shared" si="478"/>
        <v>-9.1322825783731569E-3</v>
      </c>
      <c r="CS76" s="50">
        <f t="shared" si="478"/>
        <v>-6.8073417993489219E-3</v>
      </c>
      <c r="CT76" s="50">
        <f t="shared" si="478"/>
        <v>-5.0233987699841859E-3</v>
      </c>
      <c r="CU76" s="50">
        <f t="shared" si="478"/>
        <v>0</v>
      </c>
      <c r="CV76" s="50">
        <f t="shared" si="478"/>
        <v>0</v>
      </c>
      <c r="CW76" s="50"/>
      <c r="CX76" s="50"/>
      <c r="CY76" s="50"/>
      <c r="CZ76" s="49"/>
      <c r="DA76" s="48"/>
      <c r="DB76" s="48"/>
      <c r="DC76" s="48"/>
      <c r="DD76" s="48"/>
      <c r="DE76" s="48"/>
      <c r="DF76" s="48"/>
      <c r="DG76" s="235"/>
      <c r="DH76" s="235"/>
      <c r="DI76" s="235"/>
    </row>
    <row r="77" spans="1:113" outlineLevel="2">
      <c r="A77" s="1" t="s">
        <v>381</v>
      </c>
      <c r="B77" s="19" t="s">
        <v>275</v>
      </c>
      <c r="C77" s="235">
        <f>C286</f>
        <v>0</v>
      </c>
      <c r="D77" s="235">
        <f>D286</f>
        <v>0</v>
      </c>
      <c r="E77" s="235">
        <f>E286</f>
        <v>0</v>
      </c>
      <c r="F77" s="235">
        <f t="shared" ref="F77:L77" si="479">F286</f>
        <v>0</v>
      </c>
      <c r="G77" s="235">
        <f t="shared" si="479"/>
        <v>0</v>
      </c>
      <c r="H77" s="235">
        <f t="shared" si="479"/>
        <v>0</v>
      </c>
      <c r="I77" s="235">
        <f t="shared" si="479"/>
        <v>0</v>
      </c>
      <c r="J77" s="235">
        <f t="shared" si="479"/>
        <v>0</v>
      </c>
      <c r="K77" s="235">
        <f t="shared" si="479"/>
        <v>0</v>
      </c>
      <c r="L77" s="235">
        <f t="shared" si="479"/>
        <v>0</v>
      </c>
      <c r="M77" s="48">
        <f t="shared" ref="M77:T77" si="480">M286</f>
        <v>0</v>
      </c>
      <c r="N77" s="48">
        <f t="shared" si="480"/>
        <v>0</v>
      </c>
      <c r="O77" s="48">
        <f t="shared" si="480"/>
        <v>0</v>
      </c>
      <c r="P77" s="48">
        <f t="shared" si="480"/>
        <v>0</v>
      </c>
      <c r="Q77" s="48">
        <f t="shared" si="480"/>
        <v>0</v>
      </c>
      <c r="R77" s="48">
        <f t="shared" si="480"/>
        <v>0</v>
      </c>
      <c r="S77" s="48">
        <f t="shared" si="480"/>
        <v>0</v>
      </c>
      <c r="T77" s="50">
        <f t="shared" si="480"/>
        <v>-1.0225373968301005E-3</v>
      </c>
      <c r="U77" s="48">
        <f t="shared" ref="U77:Z77" si="481">U286</f>
        <v>-9.7194511327892349E-3</v>
      </c>
      <c r="V77" s="48">
        <f t="shared" si="481"/>
        <v>-1.2464327349977773E-2</v>
      </c>
      <c r="W77" s="48">
        <f t="shared" si="481"/>
        <v>-1.5350843251930507E-2</v>
      </c>
      <c r="X77" s="48">
        <f t="shared" si="481"/>
        <v>-1.2343957859265592E-2</v>
      </c>
      <c r="Y77" s="50">
        <f t="shared" si="481"/>
        <v>-5.2922981825866133E-3</v>
      </c>
      <c r="Z77" s="50">
        <f t="shared" si="481"/>
        <v>3.9405753728972703E-3</v>
      </c>
      <c r="AA77" s="50">
        <f t="shared" ref="AA77:AK77" si="482">AA286</f>
        <v>5.0464526715430259E-3</v>
      </c>
      <c r="AB77" s="50">
        <f t="shared" si="482"/>
        <v>6.9037973633395248E-3</v>
      </c>
      <c r="AC77" s="50">
        <f t="shared" si="482"/>
        <v>4.5122876483294251E-3</v>
      </c>
      <c r="AD77" s="50">
        <f t="shared" si="482"/>
        <v>3.5112051510984149E-3</v>
      </c>
      <c r="AE77" s="50">
        <f t="shared" si="482"/>
        <v>7.724965051408253E-3</v>
      </c>
      <c r="AF77" s="50">
        <f t="shared" si="482"/>
        <v>5.7553647090446032E-3</v>
      </c>
      <c r="AG77" s="50">
        <f t="shared" si="482"/>
        <v>7.1750828558111573E-3</v>
      </c>
      <c r="AH77" s="50">
        <f t="shared" si="482"/>
        <v>1.0026812741194029E-2</v>
      </c>
      <c r="AI77" s="50">
        <f t="shared" si="482"/>
        <v>1.3478974253563612E-2</v>
      </c>
      <c r="AJ77" s="50">
        <f t="shared" si="482"/>
        <v>1.4989766301055224E-2</v>
      </c>
      <c r="AK77" s="50">
        <f t="shared" si="482"/>
        <v>1.4252646465837456E-2</v>
      </c>
      <c r="AL77" s="50">
        <f t="shared" ref="AL77:AQ77" si="483">AL286</f>
        <v>1.9076465317901688E-2</v>
      </c>
      <c r="AM77" s="50">
        <f t="shared" si="483"/>
        <v>2.4840955587617137E-2</v>
      </c>
      <c r="AN77" s="50">
        <f t="shared" si="483"/>
        <v>3.1297055359511931E-2</v>
      </c>
      <c r="AO77" s="50">
        <f t="shared" si="483"/>
        <v>3.0927720800756744E-2</v>
      </c>
      <c r="AP77" s="50">
        <f t="shared" si="483"/>
        <v>2.7809752751080448E-2</v>
      </c>
      <c r="AQ77" s="50">
        <f t="shared" si="483"/>
        <v>2.5135321483264493E-2</v>
      </c>
      <c r="AR77" s="50">
        <f t="shared" ref="AR77" si="484">AR286</f>
        <v>0</v>
      </c>
      <c r="AS77" s="50">
        <f t="shared" ref="AS77:AT77" si="485">AS286</f>
        <v>0</v>
      </c>
      <c r="AT77" s="50">
        <f t="shared" si="485"/>
        <v>0</v>
      </c>
      <c r="AU77" s="50">
        <f t="shared" ref="AU77" si="486">AU286</f>
        <v>0</v>
      </c>
      <c r="AV77" s="50">
        <f t="shared" ref="AV77:AW77" si="487">AV286</f>
        <v>0</v>
      </c>
      <c r="AW77" s="50">
        <f t="shared" si="487"/>
        <v>0</v>
      </c>
      <c r="AX77" s="50">
        <f t="shared" ref="AX77" si="488">AX286</f>
        <v>0</v>
      </c>
      <c r="AY77" s="939"/>
      <c r="AZ77" s="841"/>
      <c r="BA77" s="510"/>
      <c r="BB77" s="510"/>
      <c r="BC77" s="510"/>
      <c r="BD77" s="47"/>
      <c r="BE77" s="47"/>
      <c r="BF77" s="47"/>
      <c r="BG77" s="47"/>
      <c r="BH77" s="47"/>
      <c r="BI77" s="47"/>
      <c r="BJ77" s="47"/>
      <c r="BK77" s="47"/>
      <c r="BL77" s="47"/>
      <c r="BM77" s="47"/>
      <c r="BN77" s="47"/>
      <c r="BO77" s="47"/>
      <c r="BP77" s="47"/>
      <c r="BQ77" s="47"/>
      <c r="BR77" s="48"/>
      <c r="BS77" s="235">
        <f t="shared" ref="BS77:CB77" si="489">BS286</f>
        <v>0</v>
      </c>
      <c r="BT77" s="235">
        <f t="shared" si="489"/>
        <v>0</v>
      </c>
      <c r="BU77" s="235">
        <f t="shared" si="489"/>
        <v>0</v>
      </c>
      <c r="BV77" s="235">
        <f t="shared" si="489"/>
        <v>0</v>
      </c>
      <c r="BW77" s="235">
        <f t="shared" si="489"/>
        <v>0</v>
      </c>
      <c r="BX77" s="235">
        <f t="shared" si="489"/>
        <v>0</v>
      </c>
      <c r="BY77" s="235">
        <f t="shared" si="489"/>
        <v>0</v>
      </c>
      <c r="BZ77" s="235">
        <f t="shared" si="489"/>
        <v>0</v>
      </c>
      <c r="CA77" s="235">
        <f t="shared" si="489"/>
        <v>0</v>
      </c>
      <c r="CB77" s="235">
        <f t="shared" si="489"/>
        <v>0</v>
      </c>
      <c r="CC77" s="48" t="e">
        <f t="shared" ref="CC77:CO77" si="490">CC286</f>
        <v>#DIV/0!</v>
      </c>
      <c r="CD77" s="48" t="e">
        <f t="shared" si="490"/>
        <v>#DIV/0!</v>
      </c>
      <c r="CE77" s="48" t="e">
        <f t="shared" si="490"/>
        <v>#DIV/0!</v>
      </c>
      <c r="CF77" s="48" t="e">
        <f t="shared" si="490"/>
        <v>#DIV/0!</v>
      </c>
      <c r="CG77" s="48">
        <f t="shared" si="490"/>
        <v>0</v>
      </c>
      <c r="CH77" s="48">
        <f t="shared" si="490"/>
        <v>0</v>
      </c>
      <c r="CI77" s="48">
        <f t="shared" si="490"/>
        <v>0</v>
      </c>
      <c r="CJ77" s="48">
        <f t="shared" si="490"/>
        <v>0</v>
      </c>
      <c r="CK77" s="48">
        <f t="shared" si="490"/>
        <v>-4.7863653974962511E-3</v>
      </c>
      <c r="CL77" s="48">
        <f t="shared" si="490"/>
        <v>-1.3903852479570138E-2</v>
      </c>
      <c r="CM77" s="50">
        <f t="shared" si="490"/>
        <v>-8.624000011702845E-3</v>
      </c>
      <c r="CN77" s="50">
        <f t="shared" si="490"/>
        <v>4.5283664830598029E-3</v>
      </c>
      <c r="CO77" s="50">
        <f t="shared" si="490"/>
        <v>5.6162057844715034E-3</v>
      </c>
      <c r="CP77" s="50">
        <f t="shared" ref="CP77:CV77" si="491">CP286</f>
        <v>5.7238065527449649E-3</v>
      </c>
      <c r="CQ77" s="50">
        <f t="shared" si="491"/>
        <v>6.4654152992971812E-3</v>
      </c>
      <c r="CR77" s="50">
        <f t="shared" si="491"/>
        <v>1.1747727886861689E-2</v>
      </c>
      <c r="CS77" s="50">
        <f t="shared" si="491"/>
        <v>1.4622936884719931E-2</v>
      </c>
      <c r="CT77" s="50">
        <f t="shared" si="491"/>
        <v>2.1766356863276062E-2</v>
      </c>
      <c r="CU77" s="50">
        <f t="shared" si="491"/>
        <v>0</v>
      </c>
      <c r="CV77" s="50">
        <f t="shared" si="491"/>
        <v>0</v>
      </c>
      <c r="CW77" s="50"/>
      <c r="CX77" s="50"/>
      <c r="CY77" s="50"/>
      <c r="CZ77" s="49"/>
      <c r="DA77" s="48"/>
      <c r="DB77" s="48"/>
      <c r="DC77" s="48"/>
      <c r="DD77" s="48"/>
      <c r="DE77" s="48"/>
      <c r="DF77" s="48"/>
      <c r="DG77" s="235"/>
      <c r="DH77" s="235"/>
      <c r="DI77" s="235"/>
    </row>
    <row r="78" spans="1:113" outlineLevel="2">
      <c r="A78" s="1" t="s">
        <v>452</v>
      </c>
      <c r="B78" s="19" t="s">
        <v>276</v>
      </c>
      <c r="C78" s="235">
        <f>C311</f>
        <v>0</v>
      </c>
      <c r="D78" s="235">
        <f>D311</f>
        <v>0</v>
      </c>
      <c r="E78" s="235">
        <f>E311</f>
        <v>0</v>
      </c>
      <c r="F78" s="235">
        <f t="shared" ref="F78:L78" si="492">F311</f>
        <v>0</v>
      </c>
      <c r="G78" s="235">
        <f t="shared" si="492"/>
        <v>0</v>
      </c>
      <c r="H78" s="235">
        <f t="shared" si="492"/>
        <v>0</v>
      </c>
      <c r="I78" s="235">
        <f t="shared" si="492"/>
        <v>0</v>
      </c>
      <c r="J78" s="235">
        <f t="shared" si="492"/>
        <v>0</v>
      </c>
      <c r="K78" s="235">
        <f t="shared" si="492"/>
        <v>0</v>
      </c>
      <c r="L78" s="235">
        <f t="shared" si="492"/>
        <v>0</v>
      </c>
      <c r="M78" s="48">
        <f t="shared" ref="M78:T78" si="493">M311</f>
        <v>0</v>
      </c>
      <c r="N78" s="48">
        <f t="shared" si="493"/>
        <v>0</v>
      </c>
      <c r="O78" s="48">
        <f t="shared" si="493"/>
        <v>0</v>
      </c>
      <c r="P78" s="48">
        <f t="shared" si="493"/>
        <v>0</v>
      </c>
      <c r="Q78" s="48">
        <f t="shared" si="493"/>
        <v>0</v>
      </c>
      <c r="R78" s="48">
        <f t="shared" si="493"/>
        <v>0</v>
      </c>
      <c r="S78" s="48">
        <f t="shared" si="493"/>
        <v>0</v>
      </c>
      <c r="T78" s="50">
        <f t="shared" si="493"/>
        <v>2.5693121691799548E-2</v>
      </c>
      <c r="U78" s="48">
        <f t="shared" ref="U78:Z78" si="494">U311</f>
        <v>3.3578313071399357E-2</v>
      </c>
      <c r="V78" s="48">
        <f t="shared" si="494"/>
        <v>3.8563683178647806E-2</v>
      </c>
      <c r="W78" s="48">
        <f t="shared" si="494"/>
        <v>3.9804382372323019E-2</v>
      </c>
      <c r="X78" s="48">
        <f t="shared" si="494"/>
        <v>3.7662755518227696E-2</v>
      </c>
      <c r="Y78" s="50">
        <f t="shared" si="494"/>
        <v>3.061622015741363E-2</v>
      </c>
      <c r="Z78" s="50">
        <f t="shared" si="494"/>
        <v>2.6886758797667276E-2</v>
      </c>
      <c r="AA78" s="50">
        <f t="shared" ref="AA78:AK78" si="495">AA311</f>
        <v>2.2643053457643277E-2</v>
      </c>
      <c r="AB78" s="50">
        <f t="shared" si="495"/>
        <v>2.1085442177741803E-2</v>
      </c>
      <c r="AC78" s="50">
        <f t="shared" si="495"/>
        <v>2.0029288093941746E-2</v>
      </c>
      <c r="AD78" s="50">
        <f t="shared" si="495"/>
        <v>2.1055401745405766E-2</v>
      </c>
      <c r="AE78" s="50">
        <f t="shared" si="495"/>
        <v>1.6367589649650488E-2</v>
      </c>
      <c r="AF78" s="50">
        <f t="shared" si="495"/>
        <v>4.3448995445732261E-3</v>
      </c>
      <c r="AG78" s="50">
        <f t="shared" si="495"/>
        <v>8.9915136992158896E-3</v>
      </c>
      <c r="AH78" s="50">
        <f t="shared" si="495"/>
        <v>2.839012920688895E-3</v>
      </c>
      <c r="AI78" s="50">
        <f t="shared" si="495"/>
        <v>3.8860033086693683E-4</v>
      </c>
      <c r="AJ78" s="50">
        <f t="shared" si="495"/>
        <v>-3.6894025289167624E-3</v>
      </c>
      <c r="AK78" s="50">
        <f t="shared" si="495"/>
        <v>-2.9071761512836072E-3</v>
      </c>
      <c r="AL78" s="50">
        <f t="shared" ref="AL78:AQ78" si="496">AL311</f>
        <v>-7.4947706558771525E-3</v>
      </c>
      <c r="AM78" s="50">
        <f t="shared" si="496"/>
        <v>-1.3817699607355438E-2</v>
      </c>
      <c r="AN78" s="50">
        <f t="shared" si="496"/>
        <v>-1.7240401477440791E-2</v>
      </c>
      <c r="AO78" s="50">
        <f t="shared" si="496"/>
        <v>1.6001791852243073E-2</v>
      </c>
      <c r="AP78" s="50">
        <f t="shared" si="496"/>
        <v>-1.1981051963147632E-2</v>
      </c>
      <c r="AQ78" s="50">
        <f t="shared" si="496"/>
        <v>1.2007395701489504E-2</v>
      </c>
      <c r="AR78" s="50">
        <f t="shared" ref="AR78" si="497">AR311</f>
        <v>0</v>
      </c>
      <c r="AS78" s="50">
        <f t="shared" ref="AS78:AT78" si="498">AS311</f>
        <v>0</v>
      </c>
      <c r="AT78" s="50">
        <f t="shared" si="498"/>
        <v>0</v>
      </c>
      <c r="AU78" s="50">
        <f t="shared" ref="AU78" si="499">AU311</f>
        <v>0</v>
      </c>
      <c r="AV78" s="50">
        <f t="shared" ref="AV78:AW78" si="500">AV311</f>
        <v>0</v>
      </c>
      <c r="AW78" s="50">
        <f t="shared" si="500"/>
        <v>0</v>
      </c>
      <c r="AX78" s="50">
        <f>AX311</f>
        <v>0</v>
      </c>
      <c r="AY78" s="939"/>
      <c r="AZ78" s="841"/>
      <c r="BA78" s="510"/>
      <c r="BB78" s="510"/>
      <c r="BC78" s="510"/>
      <c r="BD78" s="47"/>
      <c r="BE78" s="47"/>
      <c r="BF78" s="47"/>
      <c r="BG78" s="47"/>
      <c r="BH78" s="47"/>
      <c r="BI78" s="47"/>
      <c r="BJ78" s="47"/>
      <c r="BK78" s="47"/>
      <c r="BL78" s="47"/>
      <c r="BM78" s="47"/>
      <c r="BN78" s="47"/>
      <c r="BO78" s="47"/>
      <c r="BP78" s="47"/>
      <c r="BQ78" s="47"/>
      <c r="BR78" s="48"/>
      <c r="BS78" s="235">
        <f t="shared" ref="BS78:CB78" si="501">BS311</f>
        <v>0</v>
      </c>
      <c r="BT78" s="235">
        <f t="shared" si="501"/>
        <v>0</v>
      </c>
      <c r="BU78" s="235">
        <f t="shared" si="501"/>
        <v>0</v>
      </c>
      <c r="BV78" s="235">
        <f t="shared" si="501"/>
        <v>0</v>
      </c>
      <c r="BW78" s="235">
        <f t="shared" si="501"/>
        <v>0</v>
      </c>
      <c r="BX78" s="235">
        <f t="shared" si="501"/>
        <v>0</v>
      </c>
      <c r="BY78" s="235">
        <f t="shared" si="501"/>
        <v>0</v>
      </c>
      <c r="BZ78" s="235">
        <f t="shared" si="501"/>
        <v>0</v>
      </c>
      <c r="CA78" s="235">
        <f t="shared" si="501"/>
        <v>0</v>
      </c>
      <c r="CB78" s="235">
        <f t="shared" si="501"/>
        <v>0</v>
      </c>
      <c r="CC78" s="48" t="e">
        <f t="shared" ref="CC78:CO78" si="502">CC311</f>
        <v>#DIV/0!</v>
      </c>
      <c r="CD78" s="48" t="e">
        <f t="shared" si="502"/>
        <v>#DIV/0!</v>
      </c>
      <c r="CE78" s="48" t="e">
        <f t="shared" si="502"/>
        <v>#DIV/0!</v>
      </c>
      <c r="CF78" s="48" t="e">
        <f t="shared" si="502"/>
        <v>#DIV/0!</v>
      </c>
      <c r="CG78" s="48">
        <f t="shared" si="502"/>
        <v>0</v>
      </c>
      <c r="CH78" s="48">
        <f t="shared" si="502"/>
        <v>0</v>
      </c>
      <c r="CI78" s="48">
        <f t="shared" si="502"/>
        <v>0</v>
      </c>
      <c r="CJ78" s="48">
        <f t="shared" si="502"/>
        <v>0</v>
      </c>
      <c r="CK78" s="48">
        <f t="shared" si="502"/>
        <v>2.9055595990856206E-2</v>
      </c>
      <c r="CL78" s="48">
        <f t="shared" si="502"/>
        <v>3.9179444316236892E-2</v>
      </c>
      <c r="CM78" s="50">
        <f t="shared" si="502"/>
        <v>3.4030479558037056E-2</v>
      </c>
      <c r="CN78" s="50">
        <f t="shared" si="502"/>
        <v>2.4936881815008988E-2</v>
      </c>
      <c r="CO78" s="50">
        <f t="shared" si="502"/>
        <v>2.0631613346664537E-2</v>
      </c>
      <c r="CP78" s="50">
        <f t="shared" ref="CP78:CV78" si="503">CP311</f>
        <v>1.8777877491454879E-2</v>
      </c>
      <c r="CQ78" s="50">
        <f t="shared" si="503"/>
        <v>6.8324383543814276E-3</v>
      </c>
      <c r="CR78" s="50">
        <f t="shared" si="503"/>
        <v>1.6162252215662573E-3</v>
      </c>
      <c r="CS78" s="50">
        <f t="shared" si="503"/>
        <v>-3.2849998354657489E-3</v>
      </c>
      <c r="CT78" s="50">
        <f t="shared" si="503"/>
        <v>-1.045790065084902E-2</v>
      </c>
      <c r="CU78" s="50">
        <f t="shared" si="503"/>
        <v>0</v>
      </c>
      <c r="CV78" s="50">
        <f t="shared" si="503"/>
        <v>0</v>
      </c>
      <c r="CW78" s="50"/>
      <c r="CX78" s="50"/>
      <c r="CY78" s="50"/>
      <c r="CZ78" s="49"/>
      <c r="DA78" s="48"/>
      <c r="DB78" s="48"/>
      <c r="DC78" s="48"/>
      <c r="DD78" s="48"/>
      <c r="DE78" s="48"/>
      <c r="DF78" s="48"/>
      <c r="DG78" s="235"/>
      <c r="DH78" s="235"/>
      <c r="DI78" s="235"/>
    </row>
    <row r="79" spans="1:113" outlineLevel="2">
      <c r="A79" s="1" t="s">
        <v>830</v>
      </c>
      <c r="B79" s="19" t="s">
        <v>277</v>
      </c>
      <c r="C79" s="235">
        <f>C317</f>
        <v>-8.5333459412329782E-3</v>
      </c>
      <c r="D79" s="235">
        <f>D317</f>
        <v>1.6486643271238252E-3</v>
      </c>
      <c r="E79" s="235">
        <f>E317</f>
        <v>8.7096942937115469E-3</v>
      </c>
      <c r="F79" s="235">
        <f t="shared" ref="F79:L79" si="504">F317</f>
        <v>6.3150451145394968E-3</v>
      </c>
      <c r="G79" s="235">
        <f t="shared" si="504"/>
        <v>5.371976992285212E-3</v>
      </c>
      <c r="H79" s="235">
        <f t="shared" si="504"/>
        <v>1.1134879916725435E-2</v>
      </c>
      <c r="I79" s="235">
        <f t="shared" si="504"/>
        <v>1.4455563883101295E-2</v>
      </c>
      <c r="J79" s="235">
        <f t="shared" si="504"/>
        <v>7.4406771402511099E-3</v>
      </c>
      <c r="K79" s="235">
        <f t="shared" si="504"/>
        <v>6.5393318656458369E-3</v>
      </c>
      <c r="L79" s="235">
        <f t="shared" si="504"/>
        <v>3.5240941861665372E-3</v>
      </c>
      <c r="M79" s="48">
        <f t="shared" ref="M79:T79" si="505">M317</f>
        <v>8.2602581868330277E-3</v>
      </c>
      <c r="N79" s="48">
        <f t="shared" si="505"/>
        <v>2.2192748140002919E-3</v>
      </c>
      <c r="O79" s="48">
        <f t="shared" si="505"/>
        <v>2.1002094748855519E-3</v>
      </c>
      <c r="P79" s="48">
        <f t="shared" si="505"/>
        <v>1.2100524854360936E-2</v>
      </c>
      <c r="Q79" s="48">
        <f t="shared" si="505"/>
        <v>9.196327171394925E-3</v>
      </c>
      <c r="R79" s="48">
        <f t="shared" si="505"/>
        <v>2.1447626963237948E-3</v>
      </c>
      <c r="S79" s="48">
        <f t="shared" si="505"/>
        <v>-2.9823314832099798E-3</v>
      </c>
      <c r="T79" s="50">
        <f t="shared" si="505"/>
        <v>8.4347115525217975E-4</v>
      </c>
      <c r="U79" s="48">
        <f t="shared" ref="U79:Z79" si="506">U317</f>
        <v>2.8562049716149124E-3</v>
      </c>
      <c r="V79" s="48">
        <f t="shared" si="506"/>
        <v>3.2348706276258726E-3</v>
      </c>
      <c r="W79" s="48">
        <f t="shared" si="506"/>
        <v>3.7794104976217129E-3</v>
      </c>
      <c r="X79" s="48">
        <f t="shared" si="506"/>
        <v>3.4950192261866686E-3</v>
      </c>
      <c r="Y79" s="50">
        <f t="shared" si="506"/>
        <v>-1.9824917369344456E-3</v>
      </c>
      <c r="Z79" s="50">
        <f t="shared" si="506"/>
        <v>-2.7904647900941926E-3</v>
      </c>
      <c r="AA79" s="50">
        <f t="shared" ref="AA79:AK79" si="507">AA317</f>
        <v>-3.1193195253385562E-3</v>
      </c>
      <c r="AB79" s="50">
        <f t="shared" si="507"/>
        <v>-1.5663111290380161E-3</v>
      </c>
      <c r="AC79" s="50">
        <f t="shared" si="507"/>
        <v>-7.7877894094973419E-4</v>
      </c>
      <c r="AD79" s="50">
        <f t="shared" si="507"/>
        <v>-5.7118834910269752E-4</v>
      </c>
      <c r="AE79" s="50">
        <f t="shared" si="507"/>
        <v>-1.9385217002617409E-3</v>
      </c>
      <c r="AF79" s="50">
        <f t="shared" si="507"/>
        <v>4.340280729965354E-4</v>
      </c>
      <c r="AG79" s="50">
        <f t="shared" si="507"/>
        <v>-3.9529577614077866E-3</v>
      </c>
      <c r="AH79" s="50">
        <f t="shared" si="507"/>
        <v>-5.7910935705859125E-3</v>
      </c>
      <c r="AI79" s="50">
        <f t="shared" si="507"/>
        <v>-6.6809208571495041E-3</v>
      </c>
      <c r="AJ79" s="50">
        <f t="shared" si="507"/>
        <v>-7.6858983915394658E-3</v>
      </c>
      <c r="AK79" s="50">
        <f t="shared" si="507"/>
        <v>-6.4931697778509408E-3</v>
      </c>
      <c r="AL79" s="50">
        <f t="shared" ref="AL79:AQ79" si="508">AL317</f>
        <v>-9.5013256149037943E-3</v>
      </c>
      <c r="AM79" s="50">
        <f t="shared" si="508"/>
        <v>-1.1814697588849173E-2</v>
      </c>
      <c r="AN79" s="50">
        <f t="shared" si="508"/>
        <v>-1.3246541501976286E-2</v>
      </c>
      <c r="AO79" s="50">
        <f t="shared" si="508"/>
        <v>-4.1219475263128524E-2</v>
      </c>
      <c r="AP79" s="50">
        <f t="shared" si="508"/>
        <v>-9.0967987857607149E-3</v>
      </c>
      <c r="AQ79" s="50">
        <f t="shared" si="508"/>
        <v>-4.7045952905650029E-2</v>
      </c>
      <c r="AR79" s="50">
        <f t="shared" ref="AR79" si="509">AR317</f>
        <v>0</v>
      </c>
      <c r="AS79" s="50">
        <f t="shared" ref="AS79:AT79" si="510">AS317</f>
        <v>0</v>
      </c>
      <c r="AT79" s="50">
        <f t="shared" si="510"/>
        <v>0</v>
      </c>
      <c r="AU79" s="50">
        <f t="shared" ref="AU79" si="511">AU317</f>
        <v>0</v>
      </c>
      <c r="AV79" s="50">
        <f t="shared" ref="AV79:AW79" si="512">AV317</f>
        <v>0</v>
      </c>
      <c r="AW79" s="50">
        <f t="shared" si="512"/>
        <v>0</v>
      </c>
      <c r="AX79" s="50">
        <f t="shared" ref="AX79" si="513">AX317</f>
        <v>0</v>
      </c>
      <c r="AY79" s="939"/>
      <c r="AZ79" s="841"/>
      <c r="BA79" s="510"/>
      <c r="BB79" s="510"/>
      <c r="BC79" s="510"/>
      <c r="BD79" s="47"/>
      <c r="BE79" s="47"/>
      <c r="BF79" s="47"/>
      <c r="BG79" s="47"/>
      <c r="BH79" s="47"/>
      <c r="BI79" s="47"/>
      <c r="BJ79" s="47"/>
      <c r="BK79" s="47"/>
      <c r="BL79" s="47"/>
      <c r="BM79" s="47"/>
      <c r="BN79" s="47"/>
      <c r="BO79" s="47"/>
      <c r="BP79" s="47"/>
      <c r="BQ79" s="47"/>
      <c r="BR79" s="48"/>
      <c r="BS79" s="235">
        <f t="shared" ref="BS79:CB79" si="514">BS317</f>
        <v>2.420926292109079E-3</v>
      </c>
      <c r="BT79" s="235">
        <f t="shared" si="514"/>
        <v>-1.4144617837964536E-2</v>
      </c>
      <c r="BU79" s="235">
        <f t="shared" si="514"/>
        <v>-1.7521180518030258E-2</v>
      </c>
      <c r="BV79" s="235">
        <f t="shared" si="514"/>
        <v>1.3105057710064641E-2</v>
      </c>
      <c r="BW79" s="235">
        <f t="shared" si="514"/>
        <v>8.6502912019825965E-3</v>
      </c>
      <c r="BX79" s="235">
        <f t="shared" si="514"/>
        <v>-1.4520635598969428E-3</v>
      </c>
      <c r="BY79" s="235">
        <f t="shared" si="514"/>
        <v>-6.3603504543979323E-3</v>
      </c>
      <c r="BZ79" s="235">
        <f t="shared" si="514"/>
        <v>-4.1551100212858954E-4</v>
      </c>
      <c r="CA79" s="235">
        <f t="shared" si="514"/>
        <v>-1.7198690002723374E-3</v>
      </c>
      <c r="CB79" s="235">
        <f t="shared" si="514"/>
        <v>-4.1283680669972865E-3</v>
      </c>
      <c r="CC79" s="48">
        <f t="shared" ref="CC79:CR80" si="515">CC317</f>
        <v>5.1296235252556704E-3</v>
      </c>
      <c r="CD79" s="48">
        <f t="shared" si="515"/>
        <v>5.8170721563902319E-3</v>
      </c>
      <c r="CE79" s="48">
        <f t="shared" si="515"/>
        <v>1.2868692937395503E-2</v>
      </c>
      <c r="CF79" s="48">
        <f t="shared" si="515"/>
        <v>6.9628815020078153E-3</v>
      </c>
      <c r="CG79" s="48">
        <f t="shared" si="515"/>
        <v>5.9846438360828926E-3</v>
      </c>
      <c r="CH79" s="48">
        <f t="shared" si="515"/>
        <v>2.1584381622633277E-3</v>
      </c>
      <c r="CI79" s="48">
        <f t="shared" si="515"/>
        <v>1.0649109462316635E-2</v>
      </c>
      <c r="CJ79" s="48">
        <f t="shared" si="515"/>
        <v>-2.7571025776322751E-4</v>
      </c>
      <c r="CK79" s="48">
        <f t="shared" si="515"/>
        <v>1.8927289584780664E-3</v>
      </c>
      <c r="CL79" s="48">
        <f t="shared" si="515"/>
        <v>3.4989521956673595E-3</v>
      </c>
      <c r="CM79" s="50">
        <f t="shared" si="515"/>
        <v>7.5751052534004791E-4</v>
      </c>
      <c r="CN79" s="50">
        <f t="shared" si="515"/>
        <v>-2.9542215949140966E-3</v>
      </c>
      <c r="CO79" s="50">
        <f t="shared" si="515"/>
        <v>-1.1691122430904197E-3</v>
      </c>
      <c r="CP79" s="50">
        <f t="shared" si="515"/>
        <v>-1.2785606791646518E-3</v>
      </c>
      <c r="CQ79" s="50">
        <f t="shared" si="515"/>
        <v>-1.7144275349026022E-3</v>
      </c>
      <c r="CR79" s="50">
        <f t="shared" si="515"/>
        <v>-6.2347431151376651E-3</v>
      </c>
      <c r="CS79" s="50">
        <f t="shared" ref="CS79:CV79" si="516">CS317</f>
        <v>-7.0864965196152669E-3</v>
      </c>
      <c r="CT79" s="50">
        <f t="shared" si="516"/>
        <v>-1.0622560333549193E-2</v>
      </c>
      <c r="CU79" s="50">
        <f t="shared" si="516"/>
        <v>0</v>
      </c>
      <c r="CV79" s="50">
        <f t="shared" si="516"/>
        <v>0</v>
      </c>
      <c r="CW79" s="50"/>
      <c r="CX79" s="50"/>
      <c r="CY79" s="50"/>
      <c r="CZ79" s="49"/>
      <c r="DA79" s="48"/>
      <c r="DB79" s="48"/>
      <c r="DC79" s="48"/>
      <c r="DD79" s="48"/>
      <c r="DE79" s="48"/>
      <c r="DF79" s="48"/>
      <c r="DG79" s="235"/>
      <c r="DH79" s="235"/>
      <c r="DI79" s="235"/>
    </row>
    <row r="80" spans="1:113" outlineLevel="1">
      <c r="A80" s="192" t="s">
        <v>1128</v>
      </c>
      <c r="B80" s="19" t="s">
        <v>1067</v>
      </c>
      <c r="C80" s="553">
        <v>5.2130499999999996E-2</v>
      </c>
      <c r="D80" s="553">
        <v>4.5136000000000003E-2</v>
      </c>
      <c r="E80" s="553">
        <v>4.6577833333333346E-2</v>
      </c>
      <c r="F80" s="553">
        <v>4.8975166666666674E-2</v>
      </c>
      <c r="G80" s="553">
        <v>4.7716666666666664E-2</v>
      </c>
      <c r="H80" s="553">
        <v>5.0808166666666675E-2</v>
      </c>
      <c r="I80" s="553">
        <v>5.5549999999999995E-2</v>
      </c>
      <c r="J80" s="553">
        <v>5.4416666666666662E-2</v>
      </c>
      <c r="K80" s="553">
        <v>5.7039000000000006E-2</v>
      </c>
      <c r="L80" s="553">
        <v>5.7423560606060582E-2</v>
      </c>
      <c r="M80" s="51">
        <v>6.4177384615384622E-2</v>
      </c>
      <c r="N80" s="51">
        <v>6.2552595419847326E-2</v>
      </c>
      <c r="O80" s="51">
        <v>6.4177384615384622E-2</v>
      </c>
      <c r="P80" s="51">
        <v>7.6398484848484841E-2</v>
      </c>
      <c r="Q80" s="51">
        <v>7.692715384615384E-2</v>
      </c>
      <c r="R80" s="51">
        <v>6.2784545454545454E-2</v>
      </c>
      <c r="S80" s="51">
        <v>3.2613565891472865E-2</v>
      </c>
      <c r="T80" s="51">
        <v>3.6205454545454534E-2</v>
      </c>
      <c r="U80" s="51">
        <v>4.4982945736434125E-2</v>
      </c>
      <c r="V80" s="51">
        <v>4.8731060606060597E-2</v>
      </c>
      <c r="W80" s="51">
        <v>4.9470542635658907E-2</v>
      </c>
      <c r="X80" s="51">
        <v>4.7434351145038176E-2</v>
      </c>
      <c r="Y80" s="95">
        <v>4.0943846153846122E-2</v>
      </c>
      <c r="Z80" s="95">
        <v>3.3609923664122125E-2</v>
      </c>
      <c r="AA80" s="180">
        <v>2.9391883720930202E-2</v>
      </c>
      <c r="AB80" s="529">
        <v>2.6180303030303002E-2</v>
      </c>
      <c r="AC80" s="529">
        <v>2.6741666666666667E-2</v>
      </c>
      <c r="AD80" s="529">
        <v>2.6935977272727264E-2</v>
      </c>
      <c r="AE80" s="529">
        <v>2.3159007751937962E-2</v>
      </c>
      <c r="AF80" s="529">
        <v>2.1939393939393901E-2</v>
      </c>
      <c r="AG80" s="180">
        <f>2.19192307692308%</f>
        <v>2.1919230769230798E-2</v>
      </c>
      <c r="AH80" s="180">
        <v>1.7833850393700799E-2</v>
      </c>
      <c r="AI80" s="180">
        <v>1.76165E-2</v>
      </c>
      <c r="AJ80" s="180">
        <v>1.71896153846154E-2</v>
      </c>
      <c r="AK80" s="180">
        <v>1.93084615384615E-2</v>
      </c>
      <c r="AL80" s="180">
        <v>1.968549618320611E-2</v>
      </c>
      <c r="AM80" s="180">
        <v>1.7356798449612399E-2</v>
      </c>
      <c r="AN80" s="180">
        <v>9.57954545454545E-3</v>
      </c>
      <c r="AO80" s="180">
        <v>4.4738461538461598E-3</v>
      </c>
      <c r="AP80" s="180">
        <v>6.7689393939393842E-4</v>
      </c>
      <c r="AQ80" s="180">
        <v>3.6350364963503521E-4</v>
      </c>
      <c r="AR80" s="180">
        <v>4.4586466165413526E-4</v>
      </c>
      <c r="AS80" s="180">
        <v>5.7041162790697634E-3</v>
      </c>
      <c r="AT80" s="180">
        <v>2.7344832061068712E-2</v>
      </c>
      <c r="AU80" s="180">
        <v>3.7218838461538457E-2</v>
      </c>
      <c r="AV80" s="180">
        <v>4.2656746153846202E-2</v>
      </c>
      <c r="AW80" s="180">
        <v>4.3675592307692294E-2</v>
      </c>
      <c r="AX80" s="180">
        <v>4.4300166666666661E-2</v>
      </c>
      <c r="AY80" s="180">
        <v>4.2139000000000003E-2</v>
      </c>
      <c r="AZ80" s="944">
        <v>3.6100333333333338E-2</v>
      </c>
      <c r="BA80" s="485">
        <f>VLOOKUP($A80,[3]Sheet1!$2:$65479,MATCH(BA$3,[3]Sheet1!$2:$2,0),FALSE)</f>
        <v>4.0999999999999995E-2</v>
      </c>
      <c r="BB80" s="485">
        <f>VLOOKUP($A80,[3]Sheet1!$2:$65479,MATCH(BB$3,[3]Sheet1!$2:$2,0),FALSE)</f>
        <v>4.3249999999999997E-2</v>
      </c>
      <c r="BC80" s="485">
        <f>VLOOKUP($A80,[3]Sheet1!$2:$65479,MATCH(BC$3,[3]Sheet1!$2:$2,0),FALSE)</f>
        <v>3.9750000000000008E-2</v>
      </c>
      <c r="BD80" s="485">
        <f>VLOOKUP($A80,[3]Sheet1!$2:$65479,MATCH(BD$3,[3]Sheet1!$2:$2,0),FALSE)</f>
        <v>3.8500000000000006E-2</v>
      </c>
      <c r="BE80" s="485">
        <f>VLOOKUP($A80,[3]Sheet1!$2:$65479,MATCH(BE$3,[3]Sheet1!$2:$2,0),FALSE)</f>
        <v>3.8500000000000006E-2</v>
      </c>
      <c r="BF80" s="485">
        <f>VLOOKUP($A80,[3]Sheet1!$2:$65479,MATCH(BF$3,[3]Sheet1!$2:$2,0),FALSE)</f>
        <v>3.8500000000000006E-2</v>
      </c>
      <c r="BG80" s="485">
        <f>VLOOKUP($A80,[3]Sheet1!$2:$65479,MATCH(BG$3,[3]Sheet1!$2:$2,0),FALSE)</f>
        <v>3.8500000000000006E-2</v>
      </c>
      <c r="BH80" s="485">
        <f>VLOOKUP($A80,[3]Sheet1!$2:$65479,MATCH(BH$3,[3]Sheet1!$2:$2,0),FALSE)</f>
        <v>3.8500000000000006E-2</v>
      </c>
      <c r="BI80" s="485">
        <f>VLOOKUP($A80,[3]Sheet1!$2:$65479,MATCH(BI$3,[3]Sheet1!$2:$2,0),FALSE)</f>
        <v>3.8500000000000006E-2</v>
      </c>
      <c r="BJ80" s="485">
        <f>VLOOKUP($A80,[3]Sheet1!$2:$65479,MATCH(BJ$3,[3]Sheet1!$2:$2,0),FALSE)</f>
        <v>3.8500000000000006E-2</v>
      </c>
      <c r="BK80" s="485">
        <f>VLOOKUP($A80,[3]Sheet1!$2:$65479,MATCH(BK$3,[3]Sheet1!$2:$2,0),FALSE)</f>
        <v>3.8500000000000006E-2</v>
      </c>
      <c r="BL80" s="485">
        <f>VLOOKUP($A80,[3]Sheet1!$2:$65479,MATCH(BL$3,[3]Sheet1!$2:$2,0),FALSE)</f>
        <v>3.8500000000000006E-2</v>
      </c>
      <c r="BM80" s="485">
        <f>VLOOKUP($A80,[3]Sheet1!$2:$65479,MATCH(BM$3,[3]Sheet1!$2:$2,0),FALSE)</f>
        <v>3.8500000000000006E-2</v>
      </c>
      <c r="BN80" s="485">
        <f>VLOOKUP($A80,[3]Sheet1!$2:$65479,MATCH(BN$3,[3]Sheet1!$2:$2,0),FALSE)</f>
        <v>3.8500000000000006E-2</v>
      </c>
      <c r="BO80" s="485">
        <f>VLOOKUP($A80,[3]Sheet1!$2:$65479,MATCH(BO$3,[3]Sheet1!$2:$2,0),FALSE)</f>
        <v>3.8500000000000006E-2</v>
      </c>
      <c r="BP80" s="485">
        <f>VLOOKUP($A80,[3]Sheet1!$2:$65479,MATCH(BP$3,[3]Sheet1!$2:$2,0),FALSE)</f>
        <v>3.8500000000000006E-2</v>
      </c>
      <c r="BQ80" s="485">
        <f>VLOOKUP($A80,[3]Sheet1!$2:$65479,MATCH(BQ$3,[3]Sheet1!$2:$2,0),FALSE)</f>
        <v>3.8500000000000006E-2</v>
      </c>
      <c r="BR80" s="191"/>
      <c r="BS80" s="553">
        <v>8.0391666666666681E-2</v>
      </c>
      <c r="BT80" s="553">
        <v>5.6316666666666668E-2</v>
      </c>
      <c r="BU80" s="553">
        <v>4.9116666666666663E-2</v>
      </c>
      <c r="BV80" s="553">
        <v>7.229250000000001E-2</v>
      </c>
      <c r="BW80" s="553">
        <v>7.5255000000000002E-2</v>
      </c>
      <c r="BX80" s="553">
        <v>6.2107833333333341E-2</v>
      </c>
      <c r="BY80" s="553">
        <v>4.9790250000000001E-2</v>
      </c>
      <c r="BZ80" s="553">
        <v>4.9345749999999994E-2</v>
      </c>
      <c r="CA80" s="553">
        <v>5.608854961832057E-2</v>
      </c>
      <c r="CB80" s="553">
        <v>5.8143076923076895E-2</v>
      </c>
      <c r="CC80" s="48">
        <f t="shared" si="515"/>
        <v>4.5849784667124999E-2</v>
      </c>
      <c r="CD80" s="48">
        <f t="shared" si="515"/>
        <v>4.8078213566793988E-2</v>
      </c>
      <c r="CE80" s="48">
        <f t="shared" si="515"/>
        <v>5.3310320873989195E-2</v>
      </c>
      <c r="CF80" s="48">
        <f t="shared" si="515"/>
        <v>5.5750510646398806E-2</v>
      </c>
      <c r="CG80" s="48">
        <f t="shared" si="515"/>
        <v>5.9913694518859036E-2</v>
      </c>
      <c r="CH80" s="48">
        <f t="shared" si="515"/>
        <v>6.2096554347416254E-2</v>
      </c>
      <c r="CI80" s="48">
        <f t="shared" si="515"/>
        <v>7.6747865323370384E-2</v>
      </c>
      <c r="CJ80" s="48">
        <f t="shared" si="515"/>
        <v>4.6398269280661854E-2</v>
      </c>
      <c r="CK80" s="48">
        <f t="shared" si="515"/>
        <v>4.0453224582359504E-2</v>
      </c>
      <c r="CL80" s="48">
        <f t="shared" si="515"/>
        <v>4.908768319632343E-2</v>
      </c>
      <c r="CM80" s="50">
        <f t="shared" si="515"/>
        <v>4.3884343979663246E-2</v>
      </c>
      <c r="CN80" s="50">
        <f t="shared" si="515"/>
        <v>3.1390987810901959E-2</v>
      </c>
      <c r="CO80" s="50">
        <f t="shared" si="515"/>
        <v>2.6397262081891113E-2</v>
      </c>
      <c r="CP80" s="50">
        <f t="shared" si="515"/>
        <v>2.4285638826904401E-2</v>
      </c>
      <c r="CQ80" s="50">
        <f t="shared" si="515"/>
        <v>2.560129507103185E-2</v>
      </c>
      <c r="CR80" s="50">
        <f t="shared" si="515"/>
        <v>1.7942401379270171E-2</v>
      </c>
      <c r="CS80" s="50">
        <f t="shared" ref="CS80:CV80" si="517">CS318</f>
        <v>1.8187532646868419E-2</v>
      </c>
      <c r="CT80" s="50">
        <f t="shared" si="517"/>
        <v>1.8517608145287578E-2</v>
      </c>
      <c r="CU80" s="50">
        <f t="shared" si="517"/>
        <v>7.1842856079397726E-3</v>
      </c>
      <c r="CV80" s="50">
        <f t="shared" si="517"/>
        <v>5.2907990056118466E-4</v>
      </c>
      <c r="CW80" s="48">
        <f t="shared" ref="CW80" si="518">AVERAGE(AU80:AV80)</f>
        <v>3.993779230769233E-2</v>
      </c>
      <c r="CX80" s="48">
        <f t="shared" ref="CX80" si="519">AVERAGE(AV80:AW80)</f>
        <v>4.3166169230769248E-2</v>
      </c>
      <c r="CY80" s="50">
        <f t="shared" ref="CY80" si="520">AVERAGE(AW80:AX80)</f>
        <v>4.3987879487179478E-2</v>
      </c>
      <c r="CZ80" s="49">
        <f>AVERAGE(AX80:AY80)</f>
        <v>4.3219583333333332E-2</v>
      </c>
      <c r="DA80" s="48">
        <f>AVERAGE(AZ80:BA80)</f>
        <v>3.8550166666666663E-2</v>
      </c>
      <c r="DB80" s="48">
        <f>AVERAGE(BB80:BC80)</f>
        <v>4.1500000000000002E-2</v>
      </c>
      <c r="DC80" s="48">
        <f>AVERAGE(BD80:BE80)</f>
        <v>3.8500000000000006E-2</v>
      </c>
      <c r="DD80" s="48">
        <f>AVERAGE(BF80:BG80)</f>
        <v>3.8500000000000006E-2</v>
      </c>
      <c r="DE80" s="48">
        <f>AVERAGE(BH80:BI80)</f>
        <v>3.8500000000000006E-2</v>
      </c>
      <c r="DF80" s="823">
        <f>AVERAGE(BJ80:BK80)</f>
        <v>3.8500000000000006E-2</v>
      </c>
      <c r="DG80" s="823">
        <f>AVERAGE(BL80:BM80)</f>
        <v>3.8500000000000006E-2</v>
      </c>
      <c r="DH80" s="823">
        <f>AVERAGE(BN80:BO80)</f>
        <v>3.8500000000000006E-2</v>
      </c>
      <c r="DI80" s="823">
        <f>AVERAGE(BP80:BQ80)</f>
        <v>3.8500000000000006E-2</v>
      </c>
    </row>
    <row r="81" spans="1:113" outlineLevel="1">
      <c r="A81" s="1" t="s">
        <v>695</v>
      </c>
      <c r="B81" s="19" t="s">
        <v>528</v>
      </c>
      <c r="C81" s="235">
        <f t="shared" ref="C81:L81" si="521">C323</f>
        <v>2.7811331460835462E-2</v>
      </c>
      <c r="D81" s="235">
        <f t="shared" si="521"/>
        <v>2.769971280187207E-2</v>
      </c>
      <c r="E81" s="235">
        <f t="shared" si="521"/>
        <v>2.750764135728942E-2</v>
      </c>
      <c r="F81" s="235">
        <f t="shared" si="521"/>
        <v>2.6503275516182284E-2</v>
      </c>
      <c r="G81" s="235">
        <f t="shared" si="521"/>
        <v>2.6881808182013987E-2</v>
      </c>
      <c r="H81" s="235">
        <f t="shared" si="521"/>
        <v>2.6002786721535741E-2</v>
      </c>
      <c r="I81" s="235">
        <f t="shared" si="521"/>
        <v>2.4572175682989382E-2</v>
      </c>
      <c r="J81" s="235">
        <f t="shared" si="521"/>
        <v>2.3816231787587447E-2</v>
      </c>
      <c r="K81" s="235">
        <f t="shared" si="521"/>
        <v>2.3769159775208638E-2</v>
      </c>
      <c r="L81" s="235">
        <f t="shared" si="521"/>
        <v>2.3294908572079318E-2</v>
      </c>
      <c r="M81" s="48">
        <f t="shared" ref="M81:AD81" si="522">M323</f>
        <v>2.2328886733799153E-2</v>
      </c>
      <c r="N81" s="48">
        <f t="shared" si="522"/>
        <v>2.1704407477908687E-2</v>
      </c>
      <c r="O81" s="48">
        <f t="shared" si="522"/>
        <v>1.9964303726664377E-2</v>
      </c>
      <c r="P81" s="48">
        <f t="shared" si="522"/>
        <v>2.0132752801532067E-2</v>
      </c>
      <c r="Q81" s="48">
        <f t="shared" si="522"/>
        <v>1.9510365021069037E-2</v>
      </c>
      <c r="R81" s="48">
        <f t="shared" si="522"/>
        <v>1.9634266489011058E-2</v>
      </c>
      <c r="S81" s="48">
        <f t="shared" si="522"/>
        <v>2.1062322220075799E-2</v>
      </c>
      <c r="T81" s="50">
        <f t="shared" si="522"/>
        <v>2.1505802541814154E-2</v>
      </c>
      <c r="U81" s="48">
        <f t="shared" si="522"/>
        <v>2.0528584881594585E-2</v>
      </c>
      <c r="V81" s="48">
        <f t="shared" si="522"/>
        <v>2.0622979235762097E-2</v>
      </c>
      <c r="W81" s="48">
        <f t="shared" si="522"/>
        <v>2.1716884758774542E-2</v>
      </c>
      <c r="X81" s="48">
        <f t="shared" si="522"/>
        <v>2.1216607869499735E-2</v>
      </c>
      <c r="Y81" s="50">
        <f t="shared" si="522"/>
        <v>2.0575969140647007E-2</v>
      </c>
      <c r="Z81" s="50">
        <f>Z323</f>
        <v>2.0961264756399645E-2</v>
      </c>
      <c r="AA81" s="385">
        <f t="shared" si="522"/>
        <v>2.170584316380645E-2</v>
      </c>
      <c r="AB81" s="236">
        <f t="shared" si="522"/>
        <v>2.1397626501990435E-2</v>
      </c>
      <c r="AC81" s="236">
        <f t="shared" si="522"/>
        <v>2.1391290276802099E-2</v>
      </c>
      <c r="AD81" s="236">
        <f t="shared" si="522"/>
        <v>2.1200829123551396E-2</v>
      </c>
      <c r="AE81" s="236">
        <f t="shared" ref="AE81:AW81" si="523">AE323</f>
        <v>2.0683833344866894E-2</v>
      </c>
      <c r="AF81" s="236">
        <f t="shared" si="523"/>
        <v>2.1464914087229111E-2</v>
      </c>
      <c r="AG81" s="236">
        <f t="shared" si="523"/>
        <v>2.1376740900866345E-2</v>
      </c>
      <c r="AH81" s="236">
        <f t="shared" si="523"/>
        <v>2.0992432040554593E-2</v>
      </c>
      <c r="AI81" s="236">
        <f t="shared" si="523"/>
        <v>2.1018018900646467E-2</v>
      </c>
      <c r="AJ81" s="236">
        <f t="shared" si="523"/>
        <v>2.1564998499362213E-2</v>
      </c>
      <c r="AK81" s="236">
        <f t="shared" si="523"/>
        <v>2.1376325897552353E-2</v>
      </c>
      <c r="AL81" s="236">
        <f t="shared" si="523"/>
        <v>2.0924322934170993E-2</v>
      </c>
      <c r="AM81" s="236">
        <f t="shared" ref="AM81:AR81" si="524">AM323</f>
        <v>2.090159582687582E-2</v>
      </c>
      <c r="AN81" s="236">
        <f t="shared" si="524"/>
        <v>2.1090173572849563E-2</v>
      </c>
      <c r="AO81" s="236">
        <f t="shared" si="524"/>
        <v>2.0393125517318002E-2</v>
      </c>
      <c r="AP81" s="236">
        <f t="shared" si="524"/>
        <v>2.0633853124276284E-2</v>
      </c>
      <c r="AQ81" s="236">
        <f t="shared" si="524"/>
        <v>2.0882870785182625E-2</v>
      </c>
      <c r="AR81" s="236">
        <f t="shared" si="524"/>
        <v>1.9182264344134139E-2</v>
      </c>
      <c r="AS81" s="236">
        <f t="shared" ref="AS81:AU81" si="525">AS323</f>
        <v>1.8747634313552995E-2</v>
      </c>
      <c r="AT81" s="236">
        <f t="shared" si="525"/>
        <v>2.0985181549496353E-2</v>
      </c>
      <c r="AU81" s="236">
        <f t="shared" si="525"/>
        <v>2.0511215875562538E-2</v>
      </c>
      <c r="AV81" s="236">
        <f t="shared" ref="AV81" si="526">AV323</f>
        <v>1.9886195039560049E-2</v>
      </c>
      <c r="AW81" s="236">
        <f t="shared" si="523"/>
        <v>2.000370581509928E-2</v>
      </c>
      <c r="AX81" s="50">
        <f t="shared" ref="AX81" si="527">AX323</f>
        <v>2.0841868500441934E-2</v>
      </c>
      <c r="AY81" s="50">
        <f t="shared" ref="AY81:AZ81" si="528">AY323</f>
        <v>2.0804136328042792E-2</v>
      </c>
      <c r="AZ81" s="49">
        <f t="shared" si="528"/>
        <v>2.043535258068711E-2</v>
      </c>
      <c r="BA81" s="48">
        <f t="shared" ref="BA81:BB81" si="529">BA323</f>
        <v>2.0359979598231919E-2</v>
      </c>
      <c r="BB81" s="48">
        <f t="shared" si="529"/>
        <v>2.0456794373185858E-2</v>
      </c>
      <c r="BC81" s="48">
        <f t="shared" ref="BC81" si="530">BC323</f>
        <v>2.0317345597955949E-2</v>
      </c>
      <c r="BD81" s="48">
        <f t="shared" ref="BD81" si="531">BD323</f>
        <v>2.0226099071897582E-2</v>
      </c>
      <c r="BE81" s="48">
        <f t="shared" ref="BE81:BF81" si="532">BE323</f>
        <v>2.0199727217929356E-2</v>
      </c>
      <c r="BF81" s="48">
        <f t="shared" si="532"/>
        <v>2.016415892062659E-2</v>
      </c>
      <c r="BG81" s="48">
        <f t="shared" ref="BG81:BO81" si="533">BG323</f>
        <v>2.0116271785994056E-2</v>
      </c>
      <c r="BH81" s="48">
        <f t="shared" si="533"/>
        <v>1.9938239805234344E-2</v>
      </c>
      <c r="BI81" s="48">
        <f t="shared" si="533"/>
        <v>1.9877553368743538E-2</v>
      </c>
      <c r="BJ81" s="48">
        <f t="shared" si="533"/>
        <v>1.9777553368743539E-2</v>
      </c>
      <c r="BK81" s="48">
        <f t="shared" si="533"/>
        <v>1.967755336874354E-2</v>
      </c>
      <c r="BL81" s="48">
        <f t="shared" si="533"/>
        <v>1.957755336874354E-2</v>
      </c>
      <c r="BM81" s="48">
        <f t="shared" si="533"/>
        <v>1.9477553368743541E-2</v>
      </c>
      <c r="BN81" s="48">
        <f t="shared" si="533"/>
        <v>1.9377553368743541E-2</v>
      </c>
      <c r="BO81" s="48">
        <f t="shared" si="533"/>
        <v>1.9277553368743542E-2</v>
      </c>
      <c r="BP81" s="48">
        <f t="shared" ref="BP81:BQ81" si="534">BP323</f>
        <v>1.9177553368743543E-2</v>
      </c>
      <c r="BQ81" s="48">
        <f t="shared" si="534"/>
        <v>1.9077553368743543E-2</v>
      </c>
      <c r="BR81" s="48"/>
      <c r="BS81" s="235">
        <f t="shared" ref="BS81:CB81" si="535">BS323</f>
        <v>4.5207000475863166E-2</v>
      </c>
      <c r="BT81" s="235">
        <f t="shared" si="535"/>
        <v>4.1206417750967256E-2</v>
      </c>
      <c r="BU81" s="235">
        <f t="shared" si="535"/>
        <v>3.8055324734756792E-2</v>
      </c>
      <c r="BV81" s="235">
        <f t="shared" si="535"/>
        <v>4.0325766941537833E-2</v>
      </c>
      <c r="BW81" s="235">
        <f t="shared" si="535"/>
        <v>3.9594381956990499E-2</v>
      </c>
      <c r="BX81" s="235">
        <f t="shared" si="535"/>
        <v>3.5273441968324611E-2</v>
      </c>
      <c r="BY81" s="235">
        <f t="shared" si="535"/>
        <v>3.3250134586208582E-2</v>
      </c>
      <c r="BZ81" s="235">
        <f t="shared" si="535"/>
        <v>3.0865223897576809E-2</v>
      </c>
      <c r="CA81" s="235">
        <f t="shared" si="535"/>
        <v>2.8793075416334392E-2</v>
      </c>
      <c r="CB81" s="235">
        <f t="shared" si="535"/>
        <v>2.7856818195969045E-2</v>
      </c>
      <c r="CC81" s="48">
        <f t="shared" ref="CC81:CO81" si="536">CC323</f>
        <v>2.7596635257190881E-2</v>
      </c>
      <c r="CD81" s="48">
        <f t="shared" si="536"/>
        <v>2.6684848246026419E-2</v>
      </c>
      <c r="CE81" s="48">
        <f t="shared" si="536"/>
        <v>2.5245490291197388E-2</v>
      </c>
      <c r="CF81" s="48">
        <f t="shared" si="536"/>
        <v>2.3781506354816087E-2</v>
      </c>
      <c r="CG81" s="48">
        <f t="shared" si="536"/>
        <v>2.2801337137056552E-2</v>
      </c>
      <c r="CH81" s="48">
        <f t="shared" si="536"/>
        <v>2.0344903364600556E-2</v>
      </c>
      <c r="CI81" s="48">
        <f t="shared" si="536"/>
        <v>1.9812375029441692E-2</v>
      </c>
      <c r="CJ81" s="48">
        <f t="shared" si="536"/>
        <v>2.036124295545836E-2</v>
      </c>
      <c r="CK81" s="48">
        <f t="shared" si="536"/>
        <v>2.1016394487712101E-2</v>
      </c>
      <c r="CL81" s="48">
        <f t="shared" si="536"/>
        <v>2.116650987770461E-2</v>
      </c>
      <c r="CM81" s="50">
        <f t="shared" si="536"/>
        <v>2.0894574271262616E-2</v>
      </c>
      <c r="CN81" s="50">
        <f t="shared" si="536"/>
        <v>2.1332941678638147E-2</v>
      </c>
      <c r="CO81" s="50">
        <f t="shared" si="536"/>
        <v>2.1394415137565907E-2</v>
      </c>
      <c r="CP81" s="50">
        <f t="shared" ref="CP81:CX81" si="537">CP323</f>
        <v>2.0938730367046274E-2</v>
      </c>
      <c r="CQ81" s="50">
        <f t="shared" si="537"/>
        <v>2.1420548548183899E-2</v>
      </c>
      <c r="CR81" s="50">
        <f t="shared" si="537"/>
        <v>2.1005317817143286E-2</v>
      </c>
      <c r="CS81" s="50">
        <f t="shared" si="537"/>
        <v>2.1471114315949169E-2</v>
      </c>
      <c r="CT81" s="50">
        <f t="shared" si="537"/>
        <v>2.0913040584426765E-2</v>
      </c>
      <c r="CU81" s="50">
        <f t="shared" si="537"/>
        <v>2.0577225681397797E-2</v>
      </c>
      <c r="CV81" s="50">
        <f t="shared" si="537"/>
        <v>2.0749673078869164E-2</v>
      </c>
      <c r="CW81" s="50">
        <f t="shared" si="537"/>
        <v>1.8959833155804982E-2</v>
      </c>
      <c r="CX81" s="50">
        <f t="shared" si="537"/>
        <v>2.0745995625128785E-2</v>
      </c>
      <c r="CY81" s="50">
        <f t="shared" ref="CY81:DD81" si="538">CY323</f>
        <v>1.994446762541207E-2</v>
      </c>
      <c r="CZ81" s="49">
        <f t="shared" si="538"/>
        <v>2.0820197749844758E-2</v>
      </c>
      <c r="DA81" s="48">
        <f t="shared" si="538"/>
        <v>2.039396460737081E-2</v>
      </c>
      <c r="DB81" s="48">
        <f t="shared" si="538"/>
        <v>2.0384690890932745E-2</v>
      </c>
      <c r="DC81" s="48">
        <f t="shared" si="538"/>
        <v>2.0211602625635289E-2</v>
      </c>
      <c r="DD81" s="48">
        <f t="shared" si="538"/>
        <v>2.0138499304353807E-2</v>
      </c>
      <c r="DE81" s="48">
        <f>DE323</f>
        <v>1.9906463494078049E-2</v>
      </c>
      <c r="DF81" s="48">
        <f>DF323</f>
        <v>1.9727553368743538E-2</v>
      </c>
      <c r="DG81" s="235">
        <f>DG323</f>
        <v>1.9527553368743539E-2</v>
      </c>
      <c r="DH81" s="235">
        <f>DH323</f>
        <v>1.932755336874354E-2</v>
      </c>
      <c r="DI81" s="235">
        <f>DI323</f>
        <v>1.9127553368743541E-2</v>
      </c>
    </row>
    <row r="82" spans="1:113" outlineLevel="1">
      <c r="C82" s="235"/>
      <c r="D82" s="235"/>
      <c r="E82" s="235"/>
      <c r="F82" s="235"/>
      <c r="G82" s="235"/>
      <c r="H82" s="235"/>
      <c r="I82" s="235"/>
      <c r="J82" s="235"/>
      <c r="K82" s="235"/>
      <c r="L82" s="235"/>
      <c r="M82" s="48"/>
      <c r="N82" s="48"/>
      <c r="O82" s="48"/>
      <c r="P82" s="48"/>
      <c r="Q82" s="48"/>
      <c r="R82" s="48"/>
      <c r="S82" s="48"/>
      <c r="T82" s="50"/>
      <c r="U82" s="50"/>
      <c r="V82" s="50"/>
      <c r="W82" s="50"/>
      <c r="X82" s="50"/>
      <c r="Y82" s="50"/>
      <c r="Z82" s="385"/>
      <c r="AA82" s="50"/>
      <c r="AB82" s="236"/>
      <c r="AC82" s="574"/>
      <c r="AD82" s="236"/>
      <c r="AE82" s="236"/>
      <c r="AF82" s="45"/>
      <c r="AG82" s="636"/>
      <c r="AH82" s="50"/>
      <c r="AI82" s="50"/>
      <c r="AJ82" s="50"/>
      <c r="AK82" s="636"/>
      <c r="AL82" s="82"/>
      <c r="AM82" s="82"/>
      <c r="AN82" s="772"/>
      <c r="AO82" s="772"/>
      <c r="AP82" s="574"/>
      <c r="AQ82" s="782"/>
      <c r="AR82" s="782"/>
      <c r="AS82" s="782"/>
      <c r="AT82" s="782"/>
      <c r="AU82" s="782"/>
      <c r="AV82" s="782"/>
      <c r="AW82" s="782"/>
      <c r="AX82" s="819"/>
      <c r="AY82" s="812"/>
      <c r="AZ82" s="842"/>
      <c r="BA82" s="812"/>
      <c r="BB82" s="812"/>
      <c r="BC82" s="812"/>
      <c r="BD82" s="812"/>
      <c r="BE82" s="812"/>
      <c r="BF82" s="812"/>
      <c r="BG82" s="812"/>
      <c r="BH82" s="812"/>
      <c r="BI82" s="812"/>
      <c r="BJ82" s="799"/>
      <c r="BK82" s="799"/>
      <c r="BL82" s="799"/>
      <c r="BM82" s="799"/>
      <c r="BN82" s="799"/>
      <c r="BO82" s="799"/>
      <c r="BP82" s="799"/>
      <c r="BQ82" s="799"/>
      <c r="BR82" s="799"/>
      <c r="BS82" s="235"/>
      <c r="BT82" s="235"/>
      <c r="BU82" s="235"/>
      <c r="BV82" s="235"/>
      <c r="BW82" s="235"/>
      <c r="BX82" s="235"/>
      <c r="BY82" s="235"/>
      <c r="BZ82" s="235"/>
      <c r="CA82" s="235"/>
      <c r="CB82" s="235"/>
      <c r="CC82" s="48"/>
      <c r="CD82" s="48"/>
      <c r="CE82" s="48"/>
      <c r="CF82" s="48"/>
      <c r="CG82" s="48"/>
      <c r="CH82" s="48"/>
      <c r="CI82" s="48"/>
      <c r="CJ82" s="48"/>
      <c r="CK82" s="48"/>
      <c r="CL82" s="48"/>
      <c r="CM82" s="50"/>
      <c r="CN82" s="50"/>
      <c r="CO82" s="50"/>
      <c r="CP82" s="50"/>
      <c r="CQ82" s="50"/>
      <c r="CR82" s="50"/>
      <c r="CS82" s="234"/>
      <c r="CT82" s="636"/>
      <c r="CU82" s="50"/>
      <c r="CV82" s="50"/>
      <c r="CW82" s="50"/>
      <c r="CX82" s="50"/>
      <c r="CY82" s="50"/>
      <c r="CZ82" s="49"/>
      <c r="DA82" s="48"/>
      <c r="DB82" s="48"/>
      <c r="DC82" s="48"/>
      <c r="DD82" s="48"/>
      <c r="DE82" s="48"/>
      <c r="DF82" s="48"/>
      <c r="DG82" s="235"/>
      <c r="DH82" s="235"/>
      <c r="DI82" s="235"/>
    </row>
    <row r="83" spans="1:113" outlineLevel="1">
      <c r="B83" s="24" t="s">
        <v>529</v>
      </c>
      <c r="C83" s="235"/>
      <c r="D83" s="235"/>
      <c r="E83" s="235"/>
      <c r="F83" s="235"/>
      <c r="G83" s="235"/>
      <c r="H83" s="235"/>
      <c r="I83" s="235"/>
      <c r="J83" s="235"/>
      <c r="K83" s="235"/>
      <c r="L83" s="235"/>
      <c r="M83" s="48"/>
      <c r="N83" s="48"/>
      <c r="O83" s="48"/>
      <c r="P83" s="48"/>
      <c r="Q83" s="48"/>
      <c r="R83" s="48"/>
      <c r="S83" s="48"/>
      <c r="T83" s="50"/>
      <c r="U83" s="48"/>
      <c r="V83" s="48"/>
      <c r="W83" s="48"/>
      <c r="X83" s="48"/>
      <c r="Y83" s="50"/>
      <c r="Z83" s="385"/>
      <c r="AA83" s="50"/>
      <c r="AB83" s="236"/>
      <c r="AC83" s="236"/>
      <c r="AD83" s="236"/>
      <c r="AE83" s="236"/>
      <c r="AG83" s="50"/>
      <c r="AH83" s="50"/>
      <c r="AI83" s="50"/>
      <c r="AJ83" s="236"/>
      <c r="AK83" s="236"/>
      <c r="AL83" s="236"/>
      <c r="AM83" s="236"/>
      <c r="AN83" s="772"/>
      <c r="AO83" s="772"/>
      <c r="AP83" s="772"/>
      <c r="AQ83" s="772"/>
      <c r="AR83" s="772"/>
      <c r="AS83" s="772"/>
      <c r="AT83" s="772"/>
      <c r="AU83" s="772"/>
      <c r="AV83" s="772"/>
      <c r="AW83" s="772"/>
      <c r="AX83" s="836"/>
      <c r="AY83" s="799"/>
      <c r="AZ83" s="843"/>
      <c r="BA83" s="806"/>
      <c r="BB83" s="806"/>
      <c r="BC83" s="806"/>
      <c r="BD83" s="806"/>
      <c r="BE83" s="806"/>
      <c r="BF83" s="806"/>
      <c r="BG83" s="806"/>
      <c r="BH83" s="806"/>
      <c r="BI83" s="806"/>
      <c r="BJ83" s="806"/>
      <c r="BK83" s="806"/>
      <c r="BL83" s="806"/>
      <c r="BM83" s="806"/>
      <c r="BN83" s="806"/>
      <c r="BO83" s="806"/>
      <c r="BP83" s="799"/>
      <c r="BQ83" s="799"/>
      <c r="BR83" s="799"/>
      <c r="BS83" s="235"/>
      <c r="BT83" s="235"/>
      <c r="BU83" s="235"/>
      <c r="BV83" s="235"/>
      <c r="BW83" s="235"/>
      <c r="BX83" s="235"/>
      <c r="BY83" s="235"/>
      <c r="BZ83" s="235"/>
      <c r="CA83" s="235"/>
      <c r="CB83" s="235"/>
      <c r="CC83" s="48"/>
      <c r="CD83" s="48"/>
      <c r="CE83" s="48"/>
      <c r="CF83" s="48"/>
      <c r="CG83" s="48"/>
      <c r="CH83" s="48"/>
      <c r="CI83" s="48"/>
      <c r="CJ83" s="48"/>
      <c r="CK83" s="48"/>
      <c r="CL83" s="48"/>
      <c r="CM83" s="50"/>
      <c r="CN83" s="50"/>
      <c r="CO83" s="50"/>
      <c r="CP83" s="50"/>
      <c r="CQ83" s="50"/>
      <c r="CR83" s="50"/>
      <c r="CS83" s="50"/>
      <c r="CT83" s="50"/>
      <c r="CU83" s="50"/>
      <c r="CV83" s="50"/>
      <c r="CW83" s="50"/>
      <c r="CX83" s="50"/>
      <c r="CY83" s="50"/>
      <c r="CZ83" s="49"/>
      <c r="DA83" s="48"/>
      <c r="DB83" s="48"/>
      <c r="DC83" s="48"/>
      <c r="DD83" s="48"/>
      <c r="DE83" s="48"/>
      <c r="DF83" s="48"/>
      <c r="DG83" s="235"/>
      <c r="DH83" s="235"/>
      <c r="DI83" s="235"/>
    </row>
    <row r="84" spans="1:113" outlineLevel="1">
      <c r="A84" s="1" t="s">
        <v>696</v>
      </c>
      <c r="B84" s="19" t="s">
        <v>530</v>
      </c>
      <c r="C84" s="235">
        <f t="shared" ref="C84:K84" si="539">C395/(C233+AVERAGE(B179:C179))*C$5</f>
        <v>7.5024992114556058E-3</v>
      </c>
      <c r="D84" s="235">
        <f t="shared" si="539"/>
        <v>7.655089150300427E-3</v>
      </c>
      <c r="E84" s="235">
        <f t="shared" si="539"/>
        <v>8.7706469846613611E-3</v>
      </c>
      <c r="F84" s="235">
        <f t="shared" si="539"/>
        <v>8.2674623714699899E-3</v>
      </c>
      <c r="G84" s="235">
        <f t="shared" si="539"/>
        <v>9.1173837954995618E-3</v>
      </c>
      <c r="H84" s="235">
        <f t="shared" si="539"/>
        <v>8.8654806765233671E-3</v>
      </c>
      <c r="I84" s="235">
        <f t="shared" si="539"/>
        <v>9.9160953184924579E-3</v>
      </c>
      <c r="J84" s="235">
        <f t="shared" si="539"/>
        <v>8.1877972549361643E-3</v>
      </c>
      <c r="K84" s="235">
        <f t="shared" si="539"/>
        <v>8.3385725436132957E-3</v>
      </c>
      <c r="L84" s="235">
        <f>L395/(L233+L235)*L$5</f>
        <v>9.3657720293769762E-3</v>
      </c>
      <c r="M84" s="48">
        <f t="shared" ref="M84:X84" si="540">M395/(M233+M235)*M$5</f>
        <v>9.2437924493231662E-3</v>
      </c>
      <c r="N84" s="48">
        <f t="shared" si="540"/>
        <v>8.4004731883644164E-3</v>
      </c>
      <c r="O84" s="48">
        <f t="shared" si="540"/>
        <v>8.2991458107989965E-3</v>
      </c>
      <c r="P84" s="48">
        <f t="shared" si="540"/>
        <v>7.0868763911122587E-3</v>
      </c>
      <c r="Q84" s="48">
        <f t="shared" si="540"/>
        <v>7.0874702885509629E-3</v>
      </c>
      <c r="R84" s="48">
        <f t="shared" si="540"/>
        <v>7.2712104383919193E-3</v>
      </c>
      <c r="S84" s="48">
        <f t="shared" si="540"/>
        <v>8.664396143734104E-3</v>
      </c>
      <c r="T84" s="50">
        <f t="shared" si="540"/>
        <v>7.8002302120323153E-3</v>
      </c>
      <c r="U84" s="48">
        <f t="shared" si="540"/>
        <v>8.2345408027774455E-3</v>
      </c>
      <c r="V84" s="48">
        <f t="shared" si="540"/>
        <v>7.586622981211961E-3</v>
      </c>
      <c r="W84" s="48">
        <f t="shared" si="540"/>
        <v>3.1550803211872484E-3</v>
      </c>
      <c r="X84" s="48">
        <f t="shared" si="540"/>
        <v>5.0313394780319822E-3</v>
      </c>
      <c r="Y84" s="50">
        <f t="shared" ref="Y84:AD84" si="541">Y395/(Y233+Y235)*Y$5</f>
        <v>5.8151120267111072E-3</v>
      </c>
      <c r="Z84" s="50">
        <f t="shared" si="541"/>
        <v>5.361888231740033E-3</v>
      </c>
      <c r="AA84" s="50">
        <f t="shared" si="541"/>
        <v>5.7599911337549384E-3</v>
      </c>
      <c r="AB84" s="50">
        <f t="shared" si="541"/>
        <v>5.394374556376519E-3</v>
      </c>
      <c r="AC84" s="50">
        <f t="shared" si="541"/>
        <v>5.3813158538548195E-3</v>
      </c>
      <c r="AD84" s="50">
        <f t="shared" si="541"/>
        <v>4.9865981991452429E-3</v>
      </c>
      <c r="AE84" s="50">
        <f t="shared" ref="AE84:AK84" si="542">AE395/(AE233+AE235)*AE$5</f>
        <v>4.8053240239712362E-3</v>
      </c>
      <c r="AF84" s="50">
        <f t="shared" si="542"/>
        <v>4.5263371955978913E-3</v>
      </c>
      <c r="AG84" s="50">
        <f t="shared" si="542"/>
        <v>4.3953218165450839E-3</v>
      </c>
      <c r="AH84" s="50">
        <f t="shared" si="542"/>
        <v>4.5181852601220924E-3</v>
      </c>
      <c r="AI84" s="50">
        <f t="shared" si="542"/>
        <v>4.6802497817825537E-3</v>
      </c>
      <c r="AJ84" s="50">
        <f t="shared" si="542"/>
        <v>4.6780348406636587E-3</v>
      </c>
      <c r="AK84" s="50">
        <f t="shared" si="542"/>
        <v>4.7364345342628972E-3</v>
      </c>
      <c r="AL84" s="50">
        <f t="shared" ref="AL84:AQ84" si="543">AL395/(AL233+AL235)*AL$5</f>
        <v>4.3283309747118876E-3</v>
      </c>
      <c r="AM84" s="50">
        <f t="shared" si="543"/>
        <v>4.3060659290762469E-3</v>
      </c>
      <c r="AN84" s="50">
        <f t="shared" si="543"/>
        <v>4.316853106644241E-3</v>
      </c>
      <c r="AO84" s="50">
        <f t="shared" si="543"/>
        <v>4.5135509323022474E-3</v>
      </c>
      <c r="AP84" s="50">
        <f t="shared" si="543"/>
        <v>2.6797806093984493E-3</v>
      </c>
      <c r="AQ84" s="50">
        <f t="shared" si="543"/>
        <v>3.4050672278297766E-3</v>
      </c>
      <c r="AR84" s="50">
        <f t="shared" ref="AR84" si="544">AR395/(AR233+AR235)*AR$5</f>
        <v>3.3247355442333308E-3</v>
      </c>
      <c r="AS84" s="50">
        <f t="shared" ref="AS84:AT84" si="545">AS395/(AS233+AS235)*AS$5</f>
        <v>3.0920812487683397E-3</v>
      </c>
      <c r="AT84" s="50">
        <f t="shared" si="545"/>
        <v>2.8639782681504698E-3</v>
      </c>
      <c r="AU84" s="50">
        <f t="shared" ref="AU84:AV84" si="546">AU395/(AU233+AU235)*AU$5</f>
        <v>3.1307163830852007E-3</v>
      </c>
      <c r="AV84" s="50">
        <f t="shared" si="546"/>
        <v>3.1362057257067373E-3</v>
      </c>
      <c r="AW84" s="50">
        <f t="shared" ref="AW84:AX84" si="547">AW395/(AW233+AW235)*AW$5</f>
        <v>3.257312974032537E-3</v>
      </c>
      <c r="AX84" s="50">
        <f t="shared" si="547"/>
        <v>3.4019467823775281E-3</v>
      </c>
      <c r="AY84" s="50">
        <f t="shared" ref="AY84:AZ84" si="548">AY395/(AY233+AY235)*AY$5</f>
        <v>3.2098991130175385E-3</v>
      </c>
      <c r="AZ84" s="49">
        <f t="shared" si="548"/>
        <v>3.2506197429083864E-3</v>
      </c>
      <c r="BA84" s="809">
        <f>(AZ395/SUM(AZ$395:AZ$396)*[5]CBA!L$129)/SUM(BA$233,BA$235)*BA$5</f>
        <v>2.9736973904032895E-3</v>
      </c>
      <c r="BB84" s="809">
        <f>(BA395/SUM(BA$395:BA$396)*[5]CBA!M$129)/SUM(BB$233,BB$235)*BB$5</f>
        <v>2.9053300025431144E-3</v>
      </c>
      <c r="BC84" s="809">
        <f>(BB395/SUM(BB$395:BB$396)*[5]CBA!N$129)/SUM(BC$233,BC$235)*BC$5</f>
        <v>2.8320896924951206E-3</v>
      </c>
      <c r="BD84" s="809">
        <f>(BC395/SUM(BC$395:BC$396)*[5]CBA!O$129)/SUM(BD$233,BD$235)*BD$5</f>
        <v>2.8354320805587061E-3</v>
      </c>
      <c r="BE84" s="809">
        <f>(BD395/SUM(BD$395:BD$396)*[5]CBA!P$129)/SUM(BE$233,BE$235)*BE$5</f>
        <v>2.836744082229586E-3</v>
      </c>
      <c r="BF84" s="809">
        <f>(BE395/SUM(BE$395:BE$396)*[5]CBA!Q$129)/SUM(BF$233,BF$235)*BF$5</f>
        <v>2.836642645090425E-3</v>
      </c>
      <c r="BG84" s="809">
        <f>(BF395/SUM(BF$395:BF$396)*[5]CBA!R$129)/SUM(BG$233,BG$235)*BG$5</f>
        <v>2.8342786382657471E-3</v>
      </c>
      <c r="BH84" s="809">
        <f>(BG395/SUM(BG$395:BG$396)*[5]CBA!S$129)/SUM(BH$233,BH$235)*BH$5</f>
        <v>2.8280210697499558E-3</v>
      </c>
      <c r="BI84" s="809">
        <f>(BH395/SUM(BH$395:BH$396)*[5]CBA!T$129)/SUM(BI$233,BI$235)*BI$5</f>
        <v>2.8168720306550538E-3</v>
      </c>
      <c r="BJ84" s="510">
        <f>BH84*0.995</f>
        <v>2.813880964401206E-3</v>
      </c>
      <c r="BK84" s="510">
        <f t="shared" ref="BK84" si="549">BI84*0.995</f>
        <v>2.8027876705017784E-3</v>
      </c>
      <c r="BL84" s="510">
        <f t="shared" ref="BL84" si="550">BJ84*0.995</f>
        <v>2.7998115595792E-3</v>
      </c>
      <c r="BM84" s="510">
        <f t="shared" ref="BM84" si="551">BK84*0.995</f>
        <v>2.7887737321492696E-3</v>
      </c>
      <c r="BN84" s="510">
        <f t="shared" ref="BN84" si="552">BL84*0.995</f>
        <v>2.7858125017813039E-3</v>
      </c>
      <c r="BO84" s="510">
        <f t="shared" ref="BO84" si="553">BM84*0.995</f>
        <v>2.7748298634885232E-3</v>
      </c>
      <c r="BP84" s="510">
        <f t="shared" ref="BP84" si="554">BN84*0.995</f>
        <v>2.7718834392723973E-3</v>
      </c>
      <c r="BQ84" s="510">
        <f t="shared" ref="BQ84" si="555">BO84*0.995</f>
        <v>2.7609557141710806E-3</v>
      </c>
      <c r="BR84" s="510"/>
      <c r="BS84" s="235">
        <f t="shared" ref="BS84:CB84" si="556">BS395/(BS233+AVERAGE(BR179:BS179))*BS$5</f>
        <v>1.0330825424568389E-2</v>
      </c>
      <c r="BT84" s="235">
        <f t="shared" si="556"/>
        <v>1.1204833835687983E-2</v>
      </c>
      <c r="BU84" s="235">
        <f t="shared" si="556"/>
        <v>1.1496093481859551E-2</v>
      </c>
      <c r="BV84" s="235">
        <f t="shared" si="556"/>
        <v>1.2017499685019434E-2</v>
      </c>
      <c r="BW84" s="235">
        <f t="shared" si="556"/>
        <v>1.0754628181415675E-2</v>
      </c>
      <c r="BX84" s="235">
        <f t="shared" si="556"/>
        <v>9.7033027033093071E-3</v>
      </c>
      <c r="BY84" s="235">
        <f t="shared" si="556"/>
        <v>9.3956324973035275E-3</v>
      </c>
      <c r="BZ84" s="235">
        <f t="shared" si="556"/>
        <v>8.3748587329297661E-3</v>
      </c>
      <c r="CA84" s="235">
        <f t="shared" si="556"/>
        <v>8.831661564741116E-3</v>
      </c>
      <c r="CB84" s="235">
        <f t="shared" si="556"/>
        <v>7.9847209452592015E-3</v>
      </c>
      <c r="CC84" s="48">
        <f>CC395/(CC233+AVERAGE(CB179:CC179))*CC$5</f>
        <v>8.1816021046829841E-3</v>
      </c>
      <c r="CD84" s="48">
        <f>CD395/(CD233+AVERAGE(CC179:CD179))*CD$5</f>
        <v>8.6864921844722939E-3</v>
      </c>
      <c r="CE84" s="48">
        <f>CE395/(CE233+AVERAGE(CD179:CE179))*CE$5</f>
        <v>9.3675180201531292E-3</v>
      </c>
      <c r="CF84" s="48">
        <f>CF395/(CF233+AVERAGE(CE179:CF179))*CF$5</f>
        <v>8.2784741177930905E-3</v>
      </c>
      <c r="CG84" s="48">
        <f t="shared" ref="CG84:CR84" si="557">CG395/(CG233+CG235)*CG$5</f>
        <v>9.3221918987310918E-3</v>
      </c>
      <c r="CH84" s="48">
        <f t="shared" si="557"/>
        <v>8.0350117016085125E-3</v>
      </c>
      <c r="CI84" s="48">
        <f t="shared" si="557"/>
        <v>7.1695797420507435E-3</v>
      </c>
      <c r="CJ84" s="48">
        <f t="shared" si="557"/>
        <v>8.1645899452598286E-3</v>
      </c>
      <c r="CK84" s="48">
        <f t="shared" si="557"/>
        <v>7.928947630555707E-3</v>
      </c>
      <c r="CL84" s="48">
        <f t="shared" si="557"/>
        <v>5.6156718030288136E-3</v>
      </c>
      <c r="CM84" s="50">
        <f t="shared" si="557"/>
        <v>5.6268261240912526E-3</v>
      </c>
      <c r="CN84" s="50">
        <f t="shared" si="557"/>
        <v>5.7286017300023605E-3</v>
      </c>
      <c r="CO84" s="50">
        <f t="shared" si="557"/>
        <v>5.4958247630895402E-3</v>
      </c>
      <c r="CP84" s="50">
        <f t="shared" si="557"/>
        <v>4.9441986510740839E-3</v>
      </c>
      <c r="CQ84" s="50">
        <f t="shared" si="557"/>
        <v>4.5080159333812557E-3</v>
      </c>
      <c r="CR84" s="50">
        <f t="shared" si="557"/>
        <v>4.5961789470583244E-3</v>
      </c>
      <c r="CS84" s="50">
        <f t="shared" ref="CS84:DC84" si="558">CS395/(CS233+CS235)*CS$5</f>
        <v>4.7153301546534864E-3</v>
      </c>
      <c r="CT84" s="50">
        <f t="shared" si="558"/>
        <v>4.3369239244223749E-3</v>
      </c>
      <c r="CU84" s="50">
        <f t="shared" si="558"/>
        <v>4.4013056857504784E-3</v>
      </c>
      <c r="CV84" s="50">
        <f t="shared" si="558"/>
        <v>3.0390284160264889E-3</v>
      </c>
      <c r="CW84" s="50">
        <f t="shared" si="558"/>
        <v>3.205978788732273E-3</v>
      </c>
      <c r="CX84" s="50">
        <f t="shared" si="558"/>
        <v>2.9975573381118442E-3</v>
      </c>
      <c r="CY84" s="50">
        <f t="shared" si="558"/>
        <v>3.1964888048884978E-3</v>
      </c>
      <c r="CZ84" s="49">
        <f t="shared" si="558"/>
        <v>3.303954942542096E-3</v>
      </c>
      <c r="DA84" s="48">
        <f t="shared" si="558"/>
        <v>3.1094490708293175E-3</v>
      </c>
      <c r="DB84" s="48">
        <f t="shared" si="558"/>
        <v>2.8681537206910867E-3</v>
      </c>
      <c r="DC84" s="48">
        <f t="shared" si="558"/>
        <v>2.8358847127858307E-3</v>
      </c>
      <c r="DD84" s="48">
        <f t="shared" ref="DD84:DI84" si="559">DD395/(DD233+DD235)*DD$5</f>
        <v>2.8351591043748563E-3</v>
      </c>
      <c r="DE84" s="48">
        <f t="shared" si="559"/>
        <v>2.8221404925342099E-3</v>
      </c>
      <c r="DF84" s="48">
        <f t="shared" si="559"/>
        <v>2.8079592251382124E-3</v>
      </c>
      <c r="DG84" s="48">
        <f t="shared" si="559"/>
        <v>2.7940288136665522E-3</v>
      </c>
      <c r="DH84" s="48">
        <f t="shared" si="559"/>
        <v>2.7799479968588676E-3</v>
      </c>
      <c r="DI84" s="48">
        <f t="shared" si="559"/>
        <v>2.7660473486920069E-3</v>
      </c>
    </row>
    <row r="85" spans="1:113" outlineLevel="1">
      <c r="A85" s="1" t="s">
        <v>697</v>
      </c>
      <c r="B85" s="19" t="s">
        <v>531</v>
      </c>
      <c r="C85" s="235">
        <f t="shared" ref="C85:L85" si="560">C396/C259*C$5</f>
        <v>1.0324828505269992E-2</v>
      </c>
      <c r="D85" s="235">
        <f t="shared" si="560"/>
        <v>9.6495549266371657E-3</v>
      </c>
      <c r="E85" s="235">
        <f t="shared" si="560"/>
        <v>9.9638859567281347E-3</v>
      </c>
      <c r="F85" s="235">
        <f t="shared" si="560"/>
        <v>9.9835664910317909E-3</v>
      </c>
      <c r="G85" s="235">
        <f t="shared" si="560"/>
        <v>1.0205028424898736E-2</v>
      </c>
      <c r="H85" s="235">
        <f t="shared" si="560"/>
        <v>1.0235662614661795E-2</v>
      </c>
      <c r="I85" s="235">
        <f t="shared" si="560"/>
        <v>9.0396236634803107E-3</v>
      </c>
      <c r="J85" s="235">
        <f t="shared" si="560"/>
        <v>9.3479750718027839E-3</v>
      </c>
      <c r="K85" s="235">
        <f t="shared" si="560"/>
        <v>9.1802934874198258E-3</v>
      </c>
      <c r="L85" s="235">
        <f t="shared" si="560"/>
        <v>9.8606152029455316E-3</v>
      </c>
      <c r="M85" s="48">
        <f t="shared" ref="M85:X85" si="561">M396/M259*M$5</f>
        <v>9.6922004227230716E-3</v>
      </c>
      <c r="N85" s="48">
        <f t="shared" si="561"/>
        <v>9.3679863724907518E-3</v>
      </c>
      <c r="O85" s="48">
        <f t="shared" si="561"/>
        <v>8.1988176223173302E-3</v>
      </c>
      <c r="P85" s="48">
        <f t="shared" si="561"/>
        <v>7.6084598395540094E-3</v>
      </c>
      <c r="Q85" s="48">
        <f t="shared" si="561"/>
        <v>7.0904420396932285E-3</v>
      </c>
      <c r="R85" s="48">
        <f t="shared" si="561"/>
        <v>6.2490039479607242E-3</v>
      </c>
      <c r="S85" s="48">
        <f t="shared" si="561"/>
        <v>5.7493997540397036E-3</v>
      </c>
      <c r="T85" s="50">
        <f t="shared" si="561"/>
        <v>5.4524078373902182E-3</v>
      </c>
      <c r="U85" s="48">
        <f t="shared" si="561"/>
        <v>5.2397603138267584E-3</v>
      </c>
      <c r="V85" s="48">
        <f t="shared" si="561"/>
        <v>5.0424371515009623E-3</v>
      </c>
      <c r="W85" s="48">
        <f t="shared" si="561"/>
        <v>4.8183196837284434E-3</v>
      </c>
      <c r="X85" s="48">
        <f t="shared" si="561"/>
        <v>4.7469518623752876E-3</v>
      </c>
      <c r="Y85" s="50">
        <f t="shared" ref="Y85:AD85" si="562">Y396/Y259*Y$5</f>
        <v>4.6050746213801216E-3</v>
      </c>
      <c r="Z85" s="50">
        <f t="shared" si="562"/>
        <v>4.3839212122349829E-3</v>
      </c>
      <c r="AA85" s="50">
        <f t="shared" si="562"/>
        <v>4.3975984922547074E-3</v>
      </c>
      <c r="AB85" s="50">
        <f t="shared" si="562"/>
        <v>4.5241458317729806E-3</v>
      </c>
      <c r="AC85" s="50">
        <f t="shared" si="562"/>
        <v>4.2634227722528964E-3</v>
      </c>
      <c r="AD85" s="50">
        <f t="shared" si="562"/>
        <v>4.3703773210527815E-3</v>
      </c>
      <c r="AE85" s="50">
        <f t="shared" ref="AE85:AK85" si="563">AE396/AE259*AE$5</f>
        <v>4.1389542492305757E-3</v>
      </c>
      <c r="AF85" s="50">
        <f t="shared" si="563"/>
        <v>4.3180391547481345E-3</v>
      </c>
      <c r="AG85" s="50">
        <f t="shared" si="563"/>
        <v>3.9512053974806666E-3</v>
      </c>
      <c r="AH85" s="50">
        <f t="shared" si="563"/>
        <v>4.5223256772023495E-3</v>
      </c>
      <c r="AI85" s="50">
        <f t="shared" si="563"/>
        <v>4.4029105154218843E-3</v>
      </c>
      <c r="AJ85" s="50">
        <f t="shared" si="563"/>
        <v>4.7429726577874771E-3</v>
      </c>
      <c r="AK85" s="50">
        <f t="shared" si="563"/>
        <v>4.8462954620279676E-3</v>
      </c>
      <c r="AL85" s="50">
        <f t="shared" ref="AL85:AQ85" si="564">AL396/AL259*AL$5</f>
        <v>4.5569962542665841E-3</v>
      </c>
      <c r="AM85" s="50">
        <f t="shared" si="564"/>
        <v>4.4656130117160788E-3</v>
      </c>
      <c r="AN85" s="50">
        <f t="shared" si="564"/>
        <v>4.3120621368755042E-3</v>
      </c>
      <c r="AO85" s="50">
        <f t="shared" si="564"/>
        <v>3.8741249881464241E-3</v>
      </c>
      <c r="AP85" s="50">
        <f t="shared" si="564"/>
        <v>3.8091179100484679E-3</v>
      </c>
      <c r="AQ85" s="50">
        <f t="shared" si="564"/>
        <v>3.6580946984595638E-3</v>
      </c>
      <c r="AR85" s="50">
        <f t="shared" ref="AR85" si="565">AR396/AR259*AR$5</f>
        <v>2.8920224394000426E-3</v>
      </c>
      <c r="AS85" s="50">
        <f t="shared" ref="AS85:AT85" si="566">AS396/AS259*AS$5</f>
        <v>2.6716194789096399E-3</v>
      </c>
      <c r="AT85" s="50">
        <f t="shared" si="566"/>
        <v>2.5504719530239413E-3</v>
      </c>
      <c r="AU85" s="50">
        <f t="shared" ref="AU85:AV85" si="567">AU396/AU259*AU$5</f>
        <v>2.4365492507834549E-3</v>
      </c>
      <c r="AV85" s="50">
        <f t="shared" si="567"/>
        <v>2.6051680880757591E-3</v>
      </c>
      <c r="AW85" s="50">
        <f t="shared" ref="AW85:AX85" si="568">AW396/AW259*AW$5</f>
        <v>2.6555449080699796E-3</v>
      </c>
      <c r="AX85" s="50">
        <f t="shared" si="568"/>
        <v>2.6568691632235775E-3</v>
      </c>
      <c r="AY85" s="50">
        <f t="shared" ref="AY85:AZ85" si="569">AY396/AY259*AY$5</f>
        <v>2.5336070584698655E-3</v>
      </c>
      <c r="AZ85" s="49">
        <f t="shared" si="569"/>
        <v>2.6109982293975147E-3</v>
      </c>
      <c r="BA85" s="809">
        <f>(AZ396/SUM(AZ$395:AZ$396)*[5]CBA!L$129)/BA$259*BA$5</f>
        <v>2.397459018104316E-3</v>
      </c>
      <c r="BB85" s="809">
        <f>(BA396/SUM(BA$395:BA$396)*[5]CBA!M$129)/BB$259*BB$5</f>
        <v>2.3384660264305366E-3</v>
      </c>
      <c r="BC85" s="809">
        <f>(BB396/SUM(BB$395:BB$396)*[5]CBA!N$129)/BC$259*BC$5</f>
        <v>2.2698960838909515E-3</v>
      </c>
      <c r="BD85" s="809">
        <f>(BC396/SUM(BC$395:BC$396)*[5]CBA!O$129)/BD$259*BD$5</f>
        <v>2.2481113912943308E-3</v>
      </c>
      <c r="BE85" s="809">
        <f>(BD396/SUM(BD$395:BD$396)*[5]CBA!P$129)/BE$259*BE$5</f>
        <v>2.2233855146198637E-3</v>
      </c>
      <c r="BF85" s="809">
        <f>(BE396/SUM(BE$395:BE$396)*[5]CBA!Q$129)/BF$259*BF$5</f>
        <v>2.1982802552629175E-3</v>
      </c>
      <c r="BG85" s="809">
        <f>(BF396/SUM(BF$395:BF$396)*[5]CBA!R$129)/BG$259*BG$5</f>
        <v>2.1709721815785094E-3</v>
      </c>
      <c r="BH85" s="809">
        <f>(BG396/SUM(BG$395:BG$396)*[5]CBA!S$129)/BH$259*BH$5</f>
        <v>2.1416108575136946E-3</v>
      </c>
      <c r="BI85" s="809">
        <f>(BH396/SUM(BH$395:BH$396)*[5]CBA!T$129)/BI$259*BI$5</f>
        <v>2.1174060011428094E-3</v>
      </c>
      <c r="BJ85" s="510">
        <f>BH85*0.995</f>
        <v>2.1309028032261259E-3</v>
      </c>
      <c r="BK85" s="510">
        <f t="shared" ref="BK85:BQ85" si="570">BI85*0.995</f>
        <v>2.1068189711370955E-3</v>
      </c>
      <c r="BL85" s="510">
        <f t="shared" si="570"/>
        <v>2.1202482892099953E-3</v>
      </c>
      <c r="BM85" s="510">
        <f t="shared" si="570"/>
        <v>2.0962848762814102E-3</v>
      </c>
      <c r="BN85" s="510">
        <f t="shared" si="570"/>
        <v>2.1096470477639452E-3</v>
      </c>
      <c r="BO85" s="510">
        <f t="shared" si="570"/>
        <v>2.0858034519000033E-3</v>
      </c>
      <c r="BP85" s="510">
        <f t="shared" si="570"/>
        <v>2.0990988125251255E-3</v>
      </c>
      <c r="BQ85" s="510">
        <f t="shared" si="570"/>
        <v>2.0753744346405033E-3</v>
      </c>
      <c r="BR85" s="510"/>
      <c r="BS85" s="235">
        <f t="shared" ref="BS85:CB85" si="571">BS396/BS259*BS$5</f>
        <v>9.4649950929892607E-3</v>
      </c>
      <c r="BT85" s="235">
        <f t="shared" si="571"/>
        <v>7.5502598753483573E-3</v>
      </c>
      <c r="BU85" s="235">
        <f t="shared" si="571"/>
        <v>8.5120231304620861E-3</v>
      </c>
      <c r="BV85" s="235">
        <f t="shared" si="571"/>
        <v>8.1371274495642548E-3</v>
      </c>
      <c r="BW85" s="235">
        <f t="shared" si="571"/>
        <v>7.7078922113729496E-3</v>
      </c>
      <c r="BX85" s="235">
        <f t="shared" si="571"/>
        <v>7.6577730440996047E-3</v>
      </c>
      <c r="BY85" s="235">
        <f t="shared" si="571"/>
        <v>8.4706587873714725E-3</v>
      </c>
      <c r="BZ85" s="235">
        <f t="shared" si="571"/>
        <v>8.9891395154553053E-3</v>
      </c>
      <c r="CA85" s="235">
        <f t="shared" si="571"/>
        <v>9.6048410023149081E-3</v>
      </c>
      <c r="CB85" s="235">
        <f t="shared" si="571"/>
        <v>1.0259235936188077E-2</v>
      </c>
      <c r="CC85" s="48">
        <f t="shared" ref="CC85:CR85" si="572">CC396/CC259*CC$5</f>
        <v>9.8053527922505653E-3</v>
      </c>
      <c r="CD85" s="48">
        <f t="shared" si="572"/>
        <v>1.0093064037110166E-2</v>
      </c>
      <c r="CE85" s="48">
        <f t="shared" si="572"/>
        <v>9.6116458136351526E-3</v>
      </c>
      <c r="CF85" s="48">
        <f t="shared" si="572"/>
        <v>9.2621213604383874E-3</v>
      </c>
      <c r="CG85" s="48">
        <f t="shared" si="572"/>
        <v>9.7860242406105045E-3</v>
      </c>
      <c r="CH85" s="48">
        <f t="shared" si="572"/>
        <v>8.4362862774947783E-3</v>
      </c>
      <c r="CI85" s="48">
        <f t="shared" si="572"/>
        <v>7.3384398484915431E-3</v>
      </c>
      <c r="CJ85" s="48">
        <f t="shared" si="572"/>
        <v>5.9971662377468699E-3</v>
      </c>
      <c r="CK85" s="48">
        <f t="shared" si="572"/>
        <v>5.3454988288401117E-3</v>
      </c>
      <c r="CL85" s="48">
        <f t="shared" si="572"/>
        <v>4.927705046719506E-3</v>
      </c>
      <c r="CM85" s="50">
        <f t="shared" si="572"/>
        <v>4.6767383204490793E-3</v>
      </c>
      <c r="CN85" s="50">
        <f t="shared" si="572"/>
        <v>4.3922960451678126E-3</v>
      </c>
      <c r="CO85" s="50">
        <f t="shared" si="572"/>
        <v>4.3926628095100123E-3</v>
      </c>
      <c r="CP85" s="50">
        <f t="shared" si="572"/>
        <v>4.2571543046313288E-3</v>
      </c>
      <c r="CQ85" s="50">
        <f t="shared" si="572"/>
        <v>4.0953523759514991E-3</v>
      </c>
      <c r="CR85" s="50">
        <f t="shared" si="572"/>
        <v>4.458607055828491E-3</v>
      </c>
      <c r="CS85" s="50">
        <f t="shared" ref="CS85:DC85" si="573">CS396/CS259*CS$5</f>
        <v>4.7946237221754345E-3</v>
      </c>
      <c r="CT85" s="50">
        <f t="shared" si="573"/>
        <v>4.5114533192009343E-3</v>
      </c>
      <c r="CU85" s="50">
        <f t="shared" si="573"/>
        <v>4.0781987025363146E-3</v>
      </c>
      <c r="CV85" s="50">
        <f t="shared" si="573"/>
        <v>3.7321485859891134E-3</v>
      </c>
      <c r="CW85" s="50">
        <f t="shared" si="573"/>
        <v>2.7794687492215648E-3</v>
      </c>
      <c r="CX85" s="50">
        <f t="shared" si="573"/>
        <v>2.4932117936224637E-3</v>
      </c>
      <c r="CY85" s="50">
        <f t="shared" si="573"/>
        <v>2.6301964941764597E-3</v>
      </c>
      <c r="CZ85" s="49">
        <f t="shared" si="573"/>
        <v>2.5943849947843295E-3</v>
      </c>
      <c r="DA85" s="48">
        <f t="shared" si="573"/>
        <v>2.5023791856806951E-3</v>
      </c>
      <c r="DB85" s="48">
        <f t="shared" si="573"/>
        <v>2.3035720233416869E-3</v>
      </c>
      <c r="DC85" s="48">
        <f t="shared" si="573"/>
        <v>2.2353617478426666E-3</v>
      </c>
      <c r="DD85" s="48">
        <f t="shared" ref="DD85:DI85" si="574">DD396/DD259*DD$5</f>
        <v>2.1841265718499179E-3</v>
      </c>
      <c r="DE85" s="48">
        <f t="shared" si="574"/>
        <v>2.129114296170236E-3</v>
      </c>
      <c r="DF85" s="48">
        <f t="shared" si="574"/>
        <v>2.1185282911906902E-3</v>
      </c>
      <c r="DG85" s="48">
        <f t="shared" si="574"/>
        <v>2.1079926483516232E-3</v>
      </c>
      <c r="DH85" s="48">
        <f t="shared" si="574"/>
        <v>2.0973733626108815E-3</v>
      </c>
      <c r="DI85" s="48">
        <f t="shared" si="574"/>
        <v>2.0868863282037797E-3</v>
      </c>
    </row>
    <row r="86" spans="1:113" outlineLevel="1">
      <c r="A86" s="1" t="s">
        <v>698</v>
      </c>
      <c r="B86" s="19" t="s">
        <v>532</v>
      </c>
      <c r="C86" s="235">
        <f t="shared" ref="C86:K86" si="575">C397/(C233+AVERAGE(B179:C179))*C$5</f>
        <v>5.8646296652927624E-3</v>
      </c>
      <c r="D86" s="235">
        <f t="shared" si="575"/>
        <v>6.5577726168102634E-3</v>
      </c>
      <c r="E86" s="235">
        <f t="shared" si="575"/>
        <v>6.4228122533827817E-3</v>
      </c>
      <c r="F86" s="235">
        <f t="shared" si="575"/>
        <v>5.9504665476185284E-3</v>
      </c>
      <c r="G86" s="235">
        <f t="shared" si="575"/>
        <v>7.4449642827156201E-3</v>
      </c>
      <c r="H86" s="235">
        <f t="shared" si="575"/>
        <v>6.9731412338736422E-3</v>
      </c>
      <c r="I86" s="235">
        <f t="shared" si="575"/>
        <v>5.970423882861951E-3</v>
      </c>
      <c r="J86" s="235">
        <f t="shared" si="575"/>
        <v>5.1379014293152434E-3</v>
      </c>
      <c r="K86" s="235">
        <f t="shared" si="575"/>
        <v>4.7990222191107764E-3</v>
      </c>
      <c r="L86" s="235">
        <f>L397/(L233+L235)*L$5</f>
        <v>5.8746744862930127E-3</v>
      </c>
      <c r="M86" s="48">
        <f t="shared" ref="M86:X86" si="576">M397/(M233+M235)*M$5</f>
        <v>5.8701455700081416E-3</v>
      </c>
      <c r="N86" s="48">
        <f t="shared" si="576"/>
        <v>6.1643760087278449E-3</v>
      </c>
      <c r="O86" s="48">
        <f t="shared" si="576"/>
        <v>4.3141697429831937E-3</v>
      </c>
      <c r="P86" s="48">
        <f t="shared" si="576"/>
        <v>3.0221221284060804E-3</v>
      </c>
      <c r="Q86" s="48">
        <f t="shared" si="576"/>
        <v>4.8368140430742265E-3</v>
      </c>
      <c r="R86" s="48">
        <f t="shared" si="576"/>
        <v>4.952041623681399E-3</v>
      </c>
      <c r="S86" s="48">
        <f t="shared" si="576"/>
        <v>3.2588807061798364E-3</v>
      </c>
      <c r="T86" s="50">
        <f t="shared" si="576"/>
        <v>3.1569777353287953E-3</v>
      </c>
      <c r="U86" s="48">
        <f t="shared" si="576"/>
        <v>3.5192311252093553E-3</v>
      </c>
      <c r="V86" s="48">
        <f t="shared" si="576"/>
        <v>4.6170019857089935E-3</v>
      </c>
      <c r="W86" s="48">
        <f t="shared" si="576"/>
        <v>3.2557743739910967E-3</v>
      </c>
      <c r="X86" s="48">
        <f t="shared" si="576"/>
        <v>2.630266408255331E-3</v>
      </c>
      <c r="Y86" s="50">
        <f>Y397/(Y233+Y235)*Y$5</f>
        <v>3.0485941781825021E-3</v>
      </c>
      <c r="Z86" s="50">
        <f>Z397/(Z233+Z235)*Z$5</f>
        <v>4.666633569078261E-3</v>
      </c>
      <c r="AA86" s="50">
        <f>AA397/(AA233+AA235)*AA$5</f>
        <v>4.4470519782666808E-3</v>
      </c>
      <c r="AB86" s="50">
        <f>AB397/(AB233+AB235)*AB$5</f>
        <v>5.1030582395517159E-3</v>
      </c>
      <c r="AC86" s="50">
        <f>AC397/(AC233+AC235)*AC$5</f>
        <v>4.0803383946811265E-3</v>
      </c>
      <c r="AD86" s="50">
        <f t="shared" ref="AD86:AI86" si="577">AD397/(AD233+AD235)*AD$5</f>
        <v>4.9960425139163513E-3</v>
      </c>
      <c r="AE86" s="50">
        <f t="shared" si="577"/>
        <v>4.6948568050293685E-3</v>
      </c>
      <c r="AF86" s="50">
        <f t="shared" si="577"/>
        <v>4.4281326410582919E-3</v>
      </c>
      <c r="AG86" s="50">
        <f t="shared" si="577"/>
        <v>5.1642846790817985E-3</v>
      </c>
      <c r="AH86" s="50">
        <f t="shared" si="577"/>
        <v>5.086137253420742E-3</v>
      </c>
      <c r="AI86" s="50">
        <f t="shared" si="577"/>
        <v>4.7146002388965547E-3</v>
      </c>
      <c r="AJ86" s="50">
        <f t="shared" ref="AJ86:AO86" si="578">AJ397/(AJ233+AJ235)*AJ$5</f>
        <v>4.6612676906971229E-3</v>
      </c>
      <c r="AK86" s="50">
        <f t="shared" si="578"/>
        <v>4.0315567995813043E-3</v>
      </c>
      <c r="AL86" s="50">
        <f t="shared" si="578"/>
        <v>4.2256828093037001E-3</v>
      </c>
      <c r="AM86" s="50">
        <f t="shared" si="578"/>
        <v>4.261673496817729E-3</v>
      </c>
      <c r="AN86" s="50">
        <f t="shared" si="578"/>
        <v>4.5402927084374212E-3</v>
      </c>
      <c r="AO86" s="50">
        <f t="shared" si="578"/>
        <v>3.8764493096512349E-3</v>
      </c>
      <c r="AP86" s="50">
        <f t="shared" ref="AP86:AQ86" si="579">AP397/(AP233+AP235)*AP$5</f>
        <v>4.8435223852303054E-3</v>
      </c>
      <c r="AQ86" s="50">
        <f t="shared" si="579"/>
        <v>2.9252203556152825E-3</v>
      </c>
      <c r="AR86" s="50">
        <f t="shared" ref="AR86" si="580">AR397/(AR233+AR235)*AR$5</f>
        <v>3.2453651996760366E-3</v>
      </c>
      <c r="AS86" s="50">
        <f t="shared" ref="AS86:AT86" si="581">AS397/(AS233+AS235)*AS$5</f>
        <v>3.772511384291178E-3</v>
      </c>
      <c r="AT86" s="50">
        <f t="shared" si="581"/>
        <v>4.1154645701994138E-3</v>
      </c>
      <c r="AU86" s="50">
        <f t="shared" ref="AU86:AV86" si="582">AU397/(AU233+AU235)*AU$5</f>
        <v>4.6012043812009764E-3</v>
      </c>
      <c r="AV86" s="50">
        <f t="shared" si="582"/>
        <v>4.9604838087292207E-3</v>
      </c>
      <c r="AW86" s="50">
        <f t="shared" ref="AW86:AX86" si="583">AW397/(AW233+AW235)*AW$5</f>
        <v>4.2024805276486927E-3</v>
      </c>
      <c r="AX86" s="50">
        <f t="shared" si="583"/>
        <v>3.9323171047971868E-3</v>
      </c>
      <c r="AY86" s="50">
        <f t="shared" ref="AY86:AZ86" si="584">AY397/(AY233+AY235)*AY$5</f>
        <v>5.0489238294846982E-3</v>
      </c>
      <c r="AZ86" s="49">
        <f t="shared" si="584"/>
        <v>4.215319795642488E-3</v>
      </c>
      <c r="BA86" s="826">
        <f>[5]CBA!L$130/SUM(BA$233,BA$235)*BA$5</f>
        <v>4.1952466771468444E-3</v>
      </c>
      <c r="BB86" s="826">
        <f>[5]CBA!M$130/SUM(BB$233,BB$235)*BB$5</f>
        <v>3.7508077055206854E-3</v>
      </c>
      <c r="BC86" s="826">
        <f>[5]CBA!N$130/SUM(BC$233,BC$235)*BC$5</f>
        <v>4.2259494547161464E-3</v>
      </c>
      <c r="BD86" s="826">
        <f>[5]CBA!O$130/SUM(BD$233,BD$235)*BD$5</f>
        <v>3.5614625646599291E-3</v>
      </c>
      <c r="BE86" s="826">
        <f>[5]CBA!P$130/SUM(BE$233,BE$235)*BE$5</f>
        <v>3.9734655865700476E-3</v>
      </c>
      <c r="BF86" s="826">
        <f>[5]CBA!Q$130/SUM(BF$233,BF$235)*BF$5</f>
        <v>3.4932844590362592E-3</v>
      </c>
      <c r="BG86" s="826">
        <f>[5]CBA!R$130/SUM(BG$233,BG$235)*BG$5</f>
        <v>3.679298165163397E-3</v>
      </c>
      <c r="BH86" s="826">
        <f>[5]CBA!S$130/SUM(BH$233,BH$235)*BH$5</f>
        <v>3.4365930470951172E-3</v>
      </c>
      <c r="BI86" s="826">
        <f>[5]CBA!T$130/SUM(BI$233,BI$235)*BI$5</f>
        <v>3.5985120801222013E-3</v>
      </c>
      <c r="BJ86" s="510">
        <f t="shared" ref="BJ86:BM86" si="585">BH86</f>
        <v>3.4365930470951172E-3</v>
      </c>
      <c r="BK86" s="510">
        <f t="shared" si="585"/>
        <v>3.5985120801222013E-3</v>
      </c>
      <c r="BL86" s="510">
        <f t="shared" si="585"/>
        <v>3.4365930470951172E-3</v>
      </c>
      <c r="BM86" s="510">
        <f t="shared" si="585"/>
        <v>3.5985120801222013E-3</v>
      </c>
      <c r="BN86" s="510">
        <f t="shared" ref="BN86" si="586">BL86</f>
        <v>3.4365930470951172E-3</v>
      </c>
      <c r="BO86" s="510">
        <f t="shared" ref="BO86" si="587">BM86</f>
        <v>3.5985120801222013E-3</v>
      </c>
      <c r="BP86" s="510">
        <f t="shared" ref="BP86" si="588">BN86</f>
        <v>3.4365930470951172E-3</v>
      </c>
      <c r="BQ86" s="510">
        <f t="shared" ref="BQ86" si="589">BO86</f>
        <v>3.5985120801222013E-3</v>
      </c>
      <c r="BR86" s="510"/>
      <c r="BS86" s="235">
        <f t="shared" ref="BS86:CB86" si="590">BS397/(BS233+AVERAGE(BR179:BS179))*BS$5</f>
        <v>1.956396267424635E-3</v>
      </c>
      <c r="BT86" s="235">
        <f t="shared" si="590"/>
        <v>3.7449082598698018E-3</v>
      </c>
      <c r="BU86" s="235">
        <f t="shared" si="590"/>
        <v>4.5432823193199776E-3</v>
      </c>
      <c r="BV86" s="235">
        <f t="shared" si="590"/>
        <v>3.4061575953548097E-3</v>
      </c>
      <c r="BW86" s="235">
        <f t="shared" si="590"/>
        <v>3.4303555406239652E-3</v>
      </c>
      <c r="BX86" s="235">
        <f t="shared" si="590"/>
        <v>3.7771245422277841E-3</v>
      </c>
      <c r="BY86" s="235">
        <f t="shared" si="590"/>
        <v>4.837158256027028E-3</v>
      </c>
      <c r="BZ86" s="235">
        <f t="shared" si="590"/>
        <v>4.8234945866873968E-3</v>
      </c>
      <c r="CA86" s="235">
        <f t="shared" si="590"/>
        <v>4.9578461130586416E-3</v>
      </c>
      <c r="CB86" s="235">
        <f t="shared" si="590"/>
        <v>5.6503174795355816E-3</v>
      </c>
      <c r="CC86" s="48">
        <f>CC397/(CC233+AVERAGE(CB179:CC179))*CC$5</f>
        <v>6.473791956618089E-3</v>
      </c>
      <c r="CD86" s="48">
        <f>CD397/(CD233+AVERAGE(CC179:CD179))*CD$5</f>
        <v>6.6880660684127177E-3</v>
      </c>
      <c r="CE86" s="48">
        <f>CE397/(CE233+AVERAGE(CD179:CE179))*CE$5</f>
        <v>6.4563418398569218E-3</v>
      </c>
      <c r="CF86" s="48">
        <f>CF397/(CF233+AVERAGE(CE179:CF179))*CF$5</f>
        <v>4.9693432630681577E-3</v>
      </c>
      <c r="CG86" s="48">
        <f t="shared" ref="CG86:CR86" si="591">CG397/(CG233+CG235)*CG$5</f>
        <v>5.8846336360740019E-3</v>
      </c>
      <c r="CH86" s="48">
        <f t="shared" si="591"/>
        <v>4.9770440785633085E-3</v>
      </c>
      <c r="CI86" s="48">
        <f t="shared" si="591"/>
        <v>4.0108509622537973E-3</v>
      </c>
      <c r="CJ86" s="48">
        <f t="shared" si="591"/>
        <v>4.2023624718249119E-3</v>
      </c>
      <c r="CK86" s="48">
        <f t="shared" si="591"/>
        <v>3.2986632302730015E-3</v>
      </c>
      <c r="CL86" s="48">
        <f t="shared" si="591"/>
        <v>4.1002410211524029E-3</v>
      </c>
      <c r="CM86" s="50">
        <f t="shared" si="591"/>
        <v>2.9460413608582087E-3</v>
      </c>
      <c r="CN86" s="50">
        <f t="shared" si="591"/>
        <v>4.6949508955289997E-3</v>
      </c>
      <c r="CO86" s="50">
        <f t="shared" si="591"/>
        <v>4.6788092627595163E-3</v>
      </c>
      <c r="CP86" s="50">
        <f t="shared" si="591"/>
        <v>4.8924022842533081E-3</v>
      </c>
      <c r="CQ86" s="50">
        <f t="shared" si="591"/>
        <v>4.8516963560251728E-3</v>
      </c>
      <c r="CR86" s="50">
        <f t="shared" si="591"/>
        <v>4.898895742272741E-3</v>
      </c>
      <c r="CS86" s="50">
        <f t="shared" ref="CS86:DC86" si="592">CS397/(CS233+CS235)*CS$5</f>
        <v>4.3581725955994808E-3</v>
      </c>
      <c r="CT86" s="50">
        <f t="shared" si="592"/>
        <v>4.2625266421668952E-3</v>
      </c>
      <c r="CU86" s="50">
        <f t="shared" si="592"/>
        <v>4.1959709377337225E-3</v>
      </c>
      <c r="CV86" s="50">
        <f t="shared" si="592"/>
        <v>3.8936123465482236E-3</v>
      </c>
      <c r="CW86" s="50">
        <f t="shared" si="592"/>
        <v>3.510895249617136E-3</v>
      </c>
      <c r="CX86" s="50">
        <f t="shared" si="592"/>
        <v>4.3589977227522832E-3</v>
      </c>
      <c r="CY86" s="50">
        <f t="shared" si="592"/>
        <v>4.5825424157780285E-3</v>
      </c>
      <c r="CZ86" s="49">
        <f t="shared" si="592"/>
        <v>4.4949158145076301E-3</v>
      </c>
      <c r="DA86" s="48">
        <f t="shared" si="592"/>
        <v>4.2037594861894356E-3</v>
      </c>
      <c r="DB86" s="48">
        <f t="shared" si="592"/>
        <v>3.9881858566401685E-3</v>
      </c>
      <c r="DC86" s="48">
        <f t="shared" si="592"/>
        <v>3.767423802407507E-3</v>
      </c>
      <c r="DD86" s="48">
        <f t="shared" ref="DD86:DI86" si="593">DD397/(DD233+DD235)*DD$5</f>
        <v>3.5857486937355878E-3</v>
      </c>
      <c r="DE86" s="48">
        <f t="shared" si="593"/>
        <v>3.5170438290423127E-3</v>
      </c>
      <c r="DF86" s="48">
        <f t="shared" si="593"/>
        <v>3.5170754086823268E-3</v>
      </c>
      <c r="DG86" s="48">
        <f t="shared" si="593"/>
        <v>3.5174568300926816E-3</v>
      </c>
      <c r="DH86" s="48">
        <f t="shared" si="593"/>
        <v>3.5170762381704639E-3</v>
      </c>
      <c r="DI86" s="48">
        <f t="shared" si="593"/>
        <v>3.5170766507637533E-3</v>
      </c>
    </row>
    <row r="87" spans="1:113" outlineLevel="2">
      <c r="A87" s="1" t="s">
        <v>699</v>
      </c>
      <c r="B87" s="19" t="s">
        <v>647</v>
      </c>
      <c r="C87" s="235">
        <f t="shared" ref="C87:L87" si="594">C398/C267*C$5</f>
        <v>7.5710223305551962E-3</v>
      </c>
      <c r="D87" s="235">
        <f t="shared" si="594"/>
        <v>7.4466275330303837E-3</v>
      </c>
      <c r="E87" s="235">
        <f t="shared" si="594"/>
        <v>8.0801831441256137E-3</v>
      </c>
      <c r="F87" s="235">
        <f t="shared" si="594"/>
        <v>1.1517741740043623E-2</v>
      </c>
      <c r="G87" s="235">
        <f t="shared" si="594"/>
        <v>1.1197086735042558E-2</v>
      </c>
      <c r="H87" s="235">
        <f t="shared" si="594"/>
        <v>1.130507810360515E-2</v>
      </c>
      <c r="I87" s="235">
        <f t="shared" si="594"/>
        <v>1.0754700781579881E-2</v>
      </c>
      <c r="J87" s="235">
        <f t="shared" si="594"/>
        <v>1.0628670677176644E-2</v>
      </c>
      <c r="K87" s="235">
        <f t="shared" si="594"/>
        <v>1.0698987007578745E-2</v>
      </c>
      <c r="L87" s="235">
        <f t="shared" si="594"/>
        <v>1.0908731733856959E-2</v>
      </c>
      <c r="M87" s="48">
        <f t="shared" ref="M87:X87" si="595">M398/M267*M$5</f>
        <v>1.1575729630146782E-2</v>
      </c>
      <c r="N87" s="48">
        <f t="shared" si="595"/>
        <v>1.1346040072064386E-2</v>
      </c>
      <c r="O87" s="48">
        <f t="shared" si="595"/>
        <v>1.2005678392665768E-2</v>
      </c>
      <c r="P87" s="48">
        <f t="shared" si="595"/>
        <v>1.2313222654305817E-2</v>
      </c>
      <c r="Q87" s="48">
        <f t="shared" si="595"/>
        <v>1.2187052041107612E-2</v>
      </c>
      <c r="R87" s="48">
        <f t="shared" si="595"/>
        <v>1.1715067548483416E-2</v>
      </c>
      <c r="S87" s="48">
        <f t="shared" si="595"/>
        <v>9.9360154229922847E-3</v>
      </c>
      <c r="T87" s="50">
        <f t="shared" si="595"/>
        <v>1.0586149027546191E-2</v>
      </c>
      <c r="U87" s="48">
        <f t="shared" si="595"/>
        <v>1.0499283797396898E-2</v>
      </c>
      <c r="V87" s="48">
        <f t="shared" si="595"/>
        <v>1.0873578310503033E-2</v>
      </c>
      <c r="W87" s="48">
        <f t="shared" si="595"/>
        <v>1.0869276779127593E-2</v>
      </c>
      <c r="X87" s="48">
        <f t="shared" si="595"/>
        <v>1.0432688963713421E-2</v>
      </c>
      <c r="Y87" s="50">
        <f t="shared" ref="Y87:AD87" si="596">Y398/Y267*Y$5</f>
        <v>1.036581369209892E-2</v>
      </c>
      <c r="Z87" s="50">
        <f t="shared" si="596"/>
        <v>9.732282305560969E-3</v>
      </c>
      <c r="AA87" s="50">
        <f t="shared" si="596"/>
        <v>9.411924358568859E-3</v>
      </c>
      <c r="AB87" s="50">
        <f t="shared" si="596"/>
        <v>7.9463178417740407E-3</v>
      </c>
      <c r="AC87" s="50">
        <f t="shared" si="596"/>
        <v>7.2987095410646909E-3</v>
      </c>
      <c r="AD87" s="50">
        <f t="shared" si="596"/>
        <v>1.0085037331016875E-2</v>
      </c>
      <c r="AE87" s="50">
        <f t="shared" ref="AE87:AK87" si="597">AE398/AE267*AE$5</f>
        <v>1.5015031605426115E-2</v>
      </c>
      <c r="AF87" s="50">
        <f t="shared" si="597"/>
        <v>1.5354852914369881E-2</v>
      </c>
      <c r="AG87" s="50">
        <f t="shared" si="597"/>
        <v>1.4588875480141603E-2</v>
      </c>
      <c r="AH87" s="50">
        <f t="shared" si="597"/>
        <v>1.3524822771951515E-2</v>
      </c>
      <c r="AI87" s="50">
        <f t="shared" si="597"/>
        <v>1.3602857795021512E-2</v>
      </c>
      <c r="AJ87" s="50">
        <f t="shared" si="597"/>
        <v>7.7586823742436303E-3</v>
      </c>
      <c r="AK87" s="50">
        <f t="shared" si="597"/>
        <v>7.619186241056293E-3</v>
      </c>
      <c r="AL87" s="50">
        <f>AL398/AL267*AL$5</f>
        <v>1.8937204039119474E-2</v>
      </c>
      <c r="AM87" s="50">
        <f>AM398/AM267*AM$5</f>
        <v>1.664860911960701E-2</v>
      </c>
      <c r="AN87" s="50">
        <f>AN398/AN267*AN$5</f>
        <v>1.271424358261777E-2</v>
      </c>
      <c r="AO87" s="50" t="str">
        <f t="shared" ref="AO87:AT87" si="598">IF(ISERROR(AO398/AO267*AO$5),"n.a.",AO398/AO267*AO$5)</f>
        <v>n.a.</v>
      </c>
      <c r="AP87" s="50" t="str">
        <f t="shared" si="598"/>
        <v>n.a.</v>
      </c>
      <c r="AQ87" s="50" t="str">
        <f t="shared" si="598"/>
        <v>n.a.</v>
      </c>
      <c r="AR87" s="50" t="str">
        <f t="shared" si="598"/>
        <v>n.a.</v>
      </c>
      <c r="AS87" s="50" t="str">
        <f t="shared" si="598"/>
        <v>n.a.</v>
      </c>
      <c r="AT87" s="50" t="str">
        <f t="shared" si="598"/>
        <v>n.a.</v>
      </c>
      <c r="AU87" s="50" t="str">
        <f t="shared" ref="AU87:AV87" si="599">IF(ISERROR(AU398/AU267*AU$5),"n.a.",AU398/AU267*AU$5)</f>
        <v>n.a.</v>
      </c>
      <c r="AV87" s="50" t="str">
        <f t="shared" si="599"/>
        <v>n.a.</v>
      </c>
      <c r="AW87" s="50" t="str">
        <f t="shared" ref="AW87:AX87" si="600">IF(ISERROR(AW398/AW267*AW$5),"n.a.",AW398/AW267*AW$5)</f>
        <v>n.a.</v>
      </c>
      <c r="AX87" s="50" t="str">
        <f t="shared" si="600"/>
        <v>n.a.</v>
      </c>
      <c r="AY87" s="50" t="str">
        <f t="shared" ref="AY87:AZ87" si="601">IF(ISERROR(AY398/AY267*AY$5),"n.a.",AY398/AY267*AY$5)</f>
        <v>n.a.</v>
      </c>
      <c r="AZ87" s="49" t="str">
        <f t="shared" si="601"/>
        <v>n.a.</v>
      </c>
      <c r="BA87" s="50" t="str">
        <f t="shared" ref="BA87:BI87" si="602">IF(ISERROR(BA398/BA267*BA$5),"n.a.",BA398/BA267*BA$5)</f>
        <v>n.a.</v>
      </c>
      <c r="BB87" s="50" t="str">
        <f t="shared" si="602"/>
        <v>n.a.</v>
      </c>
      <c r="BC87" s="50" t="str">
        <f t="shared" si="602"/>
        <v>n.a.</v>
      </c>
      <c r="BD87" s="50" t="str">
        <f t="shared" si="602"/>
        <v>n.a.</v>
      </c>
      <c r="BE87" s="50" t="str">
        <f t="shared" si="602"/>
        <v>n.a.</v>
      </c>
      <c r="BF87" s="50" t="str">
        <f t="shared" si="602"/>
        <v>n.a.</v>
      </c>
      <c r="BG87" s="50" t="str">
        <f t="shared" si="602"/>
        <v>n.a.</v>
      </c>
      <c r="BH87" s="50" t="str">
        <f t="shared" si="602"/>
        <v>n.a.</v>
      </c>
      <c r="BI87" s="50" t="str">
        <f t="shared" si="602"/>
        <v>n.a.</v>
      </c>
      <c r="BJ87" s="50" t="str">
        <f t="shared" ref="BJ87:BM87" si="603">IF(ISERROR(BJ398/BJ267*BJ$5),"n.a.",BJ398/BJ267*BJ$5)</f>
        <v>n.a.</v>
      </c>
      <c r="BK87" s="50" t="str">
        <f t="shared" si="603"/>
        <v>n.a.</v>
      </c>
      <c r="BL87" s="236" t="str">
        <f t="shared" si="603"/>
        <v>n.a.</v>
      </c>
      <c r="BM87" s="236" t="str">
        <f t="shared" si="603"/>
        <v>n.a.</v>
      </c>
      <c r="BN87" s="236" t="str">
        <f t="shared" ref="BN87:BO87" si="604">IF(ISERROR(BN398/BN267*BN$5),"n.a.",BN398/BN267*BN$5)</f>
        <v>n.a.</v>
      </c>
      <c r="BO87" s="236" t="str">
        <f t="shared" si="604"/>
        <v>n.a.</v>
      </c>
      <c r="BP87" s="236" t="str">
        <f t="shared" ref="BP87:BQ87" si="605">IF(ISERROR(BP398/BP267*BP$5),"n.a.",BP398/BP267*BP$5)</f>
        <v>n.a.</v>
      </c>
      <c r="BQ87" s="236" t="str">
        <f t="shared" si="605"/>
        <v>n.a.</v>
      </c>
      <c r="BR87" s="50"/>
      <c r="BS87" s="235">
        <f t="shared" ref="BS87:CB87" si="606">BS398/BS267*BS$5</f>
        <v>0</v>
      </c>
      <c r="BT87" s="235">
        <f t="shared" si="606"/>
        <v>0</v>
      </c>
      <c r="BU87" s="235">
        <f t="shared" si="606"/>
        <v>0</v>
      </c>
      <c r="BV87" s="235">
        <f t="shared" si="606"/>
        <v>5.6421052631578953E-3</v>
      </c>
      <c r="BW87" s="235">
        <f t="shared" si="606"/>
        <v>3.640207372188987E-3</v>
      </c>
      <c r="BX87" s="235">
        <f t="shared" si="606"/>
        <v>3.9662752514491003E-3</v>
      </c>
      <c r="BY87" s="235">
        <f t="shared" si="606"/>
        <v>3.0487804878048782E-3</v>
      </c>
      <c r="BZ87" s="235">
        <f t="shared" si="606"/>
        <v>3.544609088085363E-3</v>
      </c>
      <c r="CA87" s="235">
        <f t="shared" si="606"/>
        <v>2.4716324008538368E-3</v>
      </c>
      <c r="CB87" s="235">
        <f t="shared" si="606"/>
        <v>7.3920585459472856E-3</v>
      </c>
      <c r="CC87" s="48">
        <f t="shared" ref="CC87:CR87" si="607">CC398/CC267*CC$5</f>
        <v>7.7614174166827149E-3</v>
      </c>
      <c r="CD87" s="48">
        <f t="shared" si="607"/>
        <v>1.1361877537455737E-2</v>
      </c>
      <c r="CE87" s="48">
        <f t="shared" si="607"/>
        <v>1.1021409090017847E-2</v>
      </c>
      <c r="CF87" s="48">
        <f t="shared" si="607"/>
        <v>1.0659592481569781E-2</v>
      </c>
      <c r="CG87" s="48">
        <f t="shared" si="607"/>
        <v>1.1247199483375117E-2</v>
      </c>
      <c r="CH87" s="48">
        <f t="shared" si="607"/>
        <v>1.1676864269695837E-2</v>
      </c>
      <c r="CI87" s="48">
        <f t="shared" si="607"/>
        <v>1.2246257979063003E-2</v>
      </c>
      <c r="CJ87" s="48">
        <f t="shared" si="607"/>
        <v>1.0857904510669982E-2</v>
      </c>
      <c r="CK87" s="48">
        <f t="shared" si="607"/>
        <v>1.0539942830048971E-2</v>
      </c>
      <c r="CL87" s="48">
        <f t="shared" si="607"/>
        <v>1.0869302908204759E-2</v>
      </c>
      <c r="CM87" s="50">
        <f t="shared" si="607"/>
        <v>1.0397931951672993E-2</v>
      </c>
      <c r="CN87" s="50">
        <f t="shared" si="607"/>
        <v>9.5550985466381771E-3</v>
      </c>
      <c r="CO87" s="50">
        <f t="shared" si="607"/>
        <v>7.6193635128142178E-3</v>
      </c>
      <c r="CP87" s="50">
        <f t="shared" si="607"/>
        <v>1.2101066150168385E-2</v>
      </c>
      <c r="CQ87" s="50">
        <f t="shared" si="607"/>
        <v>1.5291826801388268E-2</v>
      </c>
      <c r="CR87" s="50">
        <f t="shared" si="607"/>
        <v>1.4205165118778189E-2</v>
      </c>
      <c r="CS87" s="50">
        <f t="shared" ref="CS87:DC87" si="608">CS398/CS267*CS$5</f>
        <v>8.169948247296362E-3</v>
      </c>
      <c r="CT87" s="50">
        <f t="shared" si="608"/>
        <v>1.7951425554382259E-2</v>
      </c>
      <c r="CU87" s="50">
        <f t="shared" si="608"/>
        <v>1.1283589877380642E-2</v>
      </c>
      <c r="CV87" s="50" t="e">
        <f t="shared" si="608"/>
        <v>#DIV/0!</v>
      </c>
      <c r="CW87" s="50" t="e">
        <f t="shared" si="608"/>
        <v>#DIV/0!</v>
      </c>
      <c r="CX87" s="50" t="e">
        <f t="shared" si="608"/>
        <v>#DIV/0!</v>
      </c>
      <c r="CY87" s="50" t="e">
        <f t="shared" si="608"/>
        <v>#DIV/0!</v>
      </c>
      <c r="CZ87" s="49" t="e">
        <f t="shared" si="608"/>
        <v>#DIV/0!</v>
      </c>
      <c r="DA87" s="48" t="e">
        <f t="shared" si="608"/>
        <v>#DIV/0!</v>
      </c>
      <c r="DB87" s="48" t="e">
        <f t="shared" si="608"/>
        <v>#DIV/0!</v>
      </c>
      <c r="DC87" s="48" t="e">
        <f t="shared" si="608"/>
        <v>#DIV/0!</v>
      </c>
      <c r="DD87" s="48" t="e">
        <f>DD398/DD267*DD$5</f>
        <v>#DIV/0!</v>
      </c>
      <c r="DE87" s="48" t="e">
        <f>DE398/DE267*DE$5</f>
        <v>#DIV/0!</v>
      </c>
      <c r="DF87" s="48" t="e">
        <f>DF398/DF267*DF$5</f>
        <v>#DIV/0!</v>
      </c>
      <c r="DG87" s="235" t="e">
        <f>DG398/DG267*#REF!</f>
        <v>#DIV/0!</v>
      </c>
      <c r="DH87" s="235" t="e">
        <f>DH398/DH267*#REF!</f>
        <v>#DIV/0!</v>
      </c>
      <c r="DI87" s="235" t="e">
        <f>DI398/DI267*#REF!</f>
        <v>#DIV/0!</v>
      </c>
    </row>
    <row r="88" spans="1:113" outlineLevel="2">
      <c r="A88" s="1" t="s">
        <v>700</v>
      </c>
      <c r="B88" s="19" t="s">
        <v>384</v>
      </c>
      <c r="C88" s="235">
        <f t="shared" ref="C88:L88" si="609">C399*C$5/C265</f>
        <v>5.8861565227638891E-2</v>
      </c>
      <c r="D88" s="235">
        <f t="shared" si="609"/>
        <v>4.1810267545869279E-2</v>
      </c>
      <c r="E88" s="235">
        <f t="shared" si="609"/>
        <v>3.127093790846084E-2</v>
      </c>
      <c r="F88" s="235">
        <f t="shared" si="609"/>
        <v>2.0026492973091604E-2</v>
      </c>
      <c r="G88" s="235">
        <f t="shared" si="609"/>
        <v>2.7412346088958227E-2</v>
      </c>
      <c r="H88" s="235">
        <f t="shared" si="609"/>
        <v>2.5545407410361744E-2</v>
      </c>
      <c r="I88" s="235">
        <f t="shared" si="609"/>
        <v>2.8196616302169672E-2</v>
      </c>
      <c r="J88" s="235">
        <f t="shared" si="609"/>
        <v>3.0575233223411415E-2</v>
      </c>
      <c r="K88" s="235">
        <f t="shared" si="609"/>
        <v>3.3798803145988918E-2</v>
      </c>
      <c r="L88" s="235">
        <f t="shared" si="609"/>
        <v>3.4666177188479287E-2</v>
      </c>
      <c r="M88" s="48">
        <f t="shared" ref="M88:X88" si="610">M399*M$5/M265</f>
        <v>3.4178416648155768E-2</v>
      </c>
      <c r="N88" s="48">
        <f t="shared" si="610"/>
        <v>3.4823268726841515E-2</v>
      </c>
      <c r="O88" s="48">
        <f t="shared" si="610"/>
        <v>3.9565646328599581E-2</v>
      </c>
      <c r="P88" s="48">
        <f t="shared" si="610"/>
        <v>3.6975132951923437E-2</v>
      </c>
      <c r="Q88" s="48">
        <f t="shared" si="610"/>
        <v>4.5081150785077656E-2</v>
      </c>
      <c r="R88" s="48">
        <f t="shared" si="610"/>
        <v>5.0780635761459234E-2</v>
      </c>
      <c r="S88" s="48">
        <f t="shared" si="610"/>
        <v>5.8502876941929516E-2</v>
      </c>
      <c r="T88" s="50">
        <f t="shared" si="610"/>
        <v>5.6820779940393577E-2</v>
      </c>
      <c r="U88" s="48">
        <f t="shared" si="610"/>
        <v>6.2985287083737893E-2</v>
      </c>
      <c r="V88" s="48">
        <f t="shared" si="610"/>
        <v>6.3332237196030275E-2</v>
      </c>
      <c r="W88" s="48">
        <f t="shared" si="610"/>
        <v>5.7842721709694997E-2</v>
      </c>
      <c r="X88" s="48">
        <f t="shared" si="610"/>
        <v>7.5118105591232567E-2</v>
      </c>
      <c r="Y88" s="50">
        <f t="shared" ref="Y88:AD88" si="611">Y399*Y$5/Y265</f>
        <v>7.1346392737697079E-2</v>
      </c>
      <c r="Z88" s="50">
        <f t="shared" si="611"/>
        <v>5.3963594933494605E-2</v>
      </c>
      <c r="AA88" s="50">
        <f t="shared" si="611"/>
        <v>5.9639054806392172E-2</v>
      </c>
      <c r="AB88" s="50">
        <f t="shared" si="611"/>
        <v>5.8576080304401049E-2</v>
      </c>
      <c r="AC88" s="50">
        <f t="shared" si="611"/>
        <v>6.6386132105231546E-2</v>
      </c>
      <c r="AD88" s="50">
        <f t="shared" si="611"/>
        <v>6.2651739840135737E-2</v>
      </c>
      <c r="AE88" s="50">
        <f t="shared" ref="AE88:AK88" si="612">AE399*AE$5/AE265</f>
        <v>5.8128798236652492E-2</v>
      </c>
      <c r="AF88" s="50">
        <f t="shared" si="612"/>
        <v>7.5911489831449755E-2</v>
      </c>
      <c r="AG88" s="50">
        <f t="shared" si="612"/>
        <v>4.9065997178644224E-2</v>
      </c>
      <c r="AH88" s="50">
        <f t="shared" si="612"/>
        <v>2.5684038974758149E-2</v>
      </c>
      <c r="AI88" s="50">
        <f t="shared" si="612"/>
        <v>1.0080394142731862E-2</v>
      </c>
      <c r="AJ88" s="50">
        <f t="shared" si="612"/>
        <v>3.5550670140567765E-2</v>
      </c>
      <c r="AK88" s="50">
        <f t="shared" si="612"/>
        <v>0.54525407251084823</v>
      </c>
      <c r="AL88" s="50" t="e">
        <f>AL399*AL$5/AL265</f>
        <v>#DIV/0!</v>
      </c>
      <c r="AM88" s="50" t="s">
        <v>215</v>
      </c>
      <c r="AN88" s="50" t="s">
        <v>215</v>
      </c>
      <c r="AO88" s="50" t="s">
        <v>215</v>
      </c>
      <c r="AP88" s="50" t="s">
        <v>215</v>
      </c>
      <c r="AQ88" s="50" t="s">
        <v>215</v>
      </c>
      <c r="AR88" s="50" t="s">
        <v>215</v>
      </c>
      <c r="AS88" s="50" t="s">
        <v>215</v>
      </c>
      <c r="AT88" s="50" t="s">
        <v>215</v>
      </c>
      <c r="AU88" s="50" t="s">
        <v>215</v>
      </c>
      <c r="AV88" s="50" t="s">
        <v>215</v>
      </c>
      <c r="AW88" s="50" t="s">
        <v>215</v>
      </c>
      <c r="AX88" s="50" t="s">
        <v>215</v>
      </c>
      <c r="AY88" s="50" t="s">
        <v>215</v>
      </c>
      <c r="AZ88" s="49" t="s">
        <v>215</v>
      </c>
      <c r="BA88" s="235" t="s">
        <v>215</v>
      </c>
      <c r="BB88" s="235" t="s">
        <v>215</v>
      </c>
      <c r="BC88" s="235" t="s">
        <v>215</v>
      </c>
      <c r="BD88" s="235" t="s">
        <v>215</v>
      </c>
      <c r="BE88" s="235" t="s">
        <v>215</v>
      </c>
      <c r="BF88" s="235" t="s">
        <v>215</v>
      </c>
      <c r="BG88" s="235" t="s">
        <v>215</v>
      </c>
      <c r="BH88" s="235" t="s">
        <v>215</v>
      </c>
      <c r="BI88" s="235" t="s">
        <v>215</v>
      </c>
      <c r="BJ88" s="235" t="s">
        <v>215</v>
      </c>
      <c r="BK88" s="235" t="s">
        <v>215</v>
      </c>
      <c r="BL88" s="235" t="s">
        <v>215</v>
      </c>
      <c r="BM88" s="235" t="s">
        <v>215</v>
      </c>
      <c r="BN88" s="235" t="s">
        <v>215</v>
      </c>
      <c r="BO88" s="235" t="s">
        <v>215</v>
      </c>
      <c r="BP88" s="235" t="s">
        <v>215</v>
      </c>
      <c r="BQ88" s="235" t="s">
        <v>215</v>
      </c>
      <c r="BR88" s="236"/>
      <c r="BS88" s="235" t="e">
        <f t="shared" ref="BS88:CB88" si="613">BS399*BS$5/BS265</f>
        <v>#DIV/0!</v>
      </c>
      <c r="BT88" s="235" t="e">
        <f t="shared" si="613"/>
        <v>#DIV/0!</v>
      </c>
      <c r="BU88" s="235" t="e">
        <f t="shared" si="613"/>
        <v>#DIV/0!</v>
      </c>
      <c r="BV88" s="235" t="e">
        <f t="shared" si="613"/>
        <v>#DIV/0!</v>
      </c>
      <c r="BW88" s="235" t="e">
        <f t="shared" si="613"/>
        <v>#DIV/0!</v>
      </c>
      <c r="BX88" s="235" t="e">
        <f t="shared" si="613"/>
        <v>#DIV/0!</v>
      </c>
      <c r="BY88" s="235" t="e">
        <f t="shared" si="613"/>
        <v>#DIV/0!</v>
      </c>
      <c r="BZ88" s="235" t="e">
        <f t="shared" si="613"/>
        <v>#DIV/0!</v>
      </c>
      <c r="CA88" s="235">
        <f t="shared" si="613"/>
        <v>2.5789098963689583E-2</v>
      </c>
      <c r="CB88" s="235">
        <f t="shared" si="613"/>
        <v>4.8479287339182962E-2</v>
      </c>
      <c r="CC88" s="48">
        <f t="shared" ref="CC88:CR88" si="614">CC399*CC$5/CC265</f>
        <v>3.6044656923517389E-2</v>
      </c>
      <c r="CD88" s="48">
        <f t="shared" si="614"/>
        <v>2.3408378777532893E-2</v>
      </c>
      <c r="CE88" s="48">
        <f t="shared" si="614"/>
        <v>2.6870250565075689E-2</v>
      </c>
      <c r="CF88" s="48">
        <f t="shared" si="614"/>
        <v>3.2167557516077729E-2</v>
      </c>
      <c r="CG88" s="48">
        <f t="shared" si="614"/>
        <v>3.4444665458269338E-2</v>
      </c>
      <c r="CH88" s="48">
        <f t="shared" si="614"/>
        <v>3.7191412020868501E-2</v>
      </c>
      <c r="CI88" s="48">
        <f t="shared" si="614"/>
        <v>4.0867971992383421E-2</v>
      </c>
      <c r="CJ88" s="48">
        <f t="shared" si="614"/>
        <v>5.4504244984323102E-2</v>
      </c>
      <c r="CK88" s="48">
        <f t="shared" si="614"/>
        <v>5.9829090962073637E-2</v>
      </c>
      <c r="CL88" s="48">
        <f t="shared" si="614"/>
        <v>6.0672349601985774E-2</v>
      </c>
      <c r="CM88" s="50">
        <f t="shared" si="614"/>
        <v>7.3276283664473196E-2</v>
      </c>
      <c r="CN88" s="50">
        <f t="shared" si="614"/>
        <v>5.6778366818119146E-2</v>
      </c>
      <c r="CO88" s="50">
        <f t="shared" si="614"/>
        <v>6.2457899654505551E-2</v>
      </c>
      <c r="CP88" s="50">
        <f t="shared" si="614"/>
        <v>6.0424684700220263E-2</v>
      </c>
      <c r="CQ88" s="50">
        <f t="shared" si="614"/>
        <v>6.1611336611834086E-2</v>
      </c>
      <c r="CR88" s="50">
        <f t="shared" si="614"/>
        <v>1.7570296902669535E-2</v>
      </c>
      <c r="CS88" s="50">
        <f>CS399*CS$5/CS265</f>
        <v>1.8936785569347612E-2</v>
      </c>
      <c r="CT88" s="50" t="e">
        <f>CT399*CT$5/CT265</f>
        <v>#DIV/0!</v>
      </c>
      <c r="CU88" s="50" t="s">
        <v>215</v>
      </c>
      <c r="CV88" s="50" t="s">
        <v>215</v>
      </c>
      <c r="CW88" s="50" t="s">
        <v>215</v>
      </c>
      <c r="CX88" s="50" t="s">
        <v>215</v>
      </c>
      <c r="CY88" s="50" t="s">
        <v>215</v>
      </c>
      <c r="CZ88" s="49" t="s">
        <v>215</v>
      </c>
      <c r="DA88" s="48" t="s">
        <v>215</v>
      </c>
      <c r="DB88" s="48" t="s">
        <v>215</v>
      </c>
      <c r="DC88" s="48" t="s">
        <v>215</v>
      </c>
      <c r="DD88" s="48" t="s">
        <v>215</v>
      </c>
      <c r="DE88" s="48" t="s">
        <v>215</v>
      </c>
      <c r="DF88" s="48" t="s">
        <v>215</v>
      </c>
      <c r="DG88" s="235" t="s">
        <v>215</v>
      </c>
      <c r="DH88" s="235" t="s">
        <v>215</v>
      </c>
      <c r="DI88" s="235" t="s">
        <v>215</v>
      </c>
    </row>
    <row r="89" spans="1:113" outlineLevel="1">
      <c r="A89" s="1" t="s">
        <v>701</v>
      </c>
      <c r="B89" s="19" t="s">
        <v>321</v>
      </c>
      <c r="C89" s="235">
        <f t="shared" ref="C89:K89" si="615">C405/SUM(C237,C259,AVERAGE(B179:C179))*C$5</f>
        <v>2.0483004842469169E-4</v>
      </c>
      <c r="D89" s="235">
        <f t="shared" si="615"/>
        <v>5.9553633379065486E-4</v>
      </c>
      <c r="E89" s="235">
        <f t="shared" si="615"/>
        <v>5.3717646494741542E-4</v>
      </c>
      <c r="F89" s="235">
        <f t="shared" si="615"/>
        <v>-3.2839598516924148E-4</v>
      </c>
      <c r="G89" s="235">
        <f t="shared" si="615"/>
        <v>4.6236027830110117E-4</v>
      </c>
      <c r="H89" s="235">
        <f t="shared" si="615"/>
        <v>6.7643957587935346E-4</v>
      </c>
      <c r="I89" s="235">
        <f t="shared" si="615"/>
        <v>1.1714629075154572E-3</v>
      </c>
      <c r="J89" s="235">
        <f t="shared" si="615"/>
        <v>1.9476588382483237E-4</v>
      </c>
      <c r="K89" s="235">
        <f t="shared" si="615"/>
        <v>4.41100909657754E-4</v>
      </c>
      <c r="L89" s="235">
        <f>L405/SUM(L237,L259)*L$5</f>
        <v>-1.4888828179333176E-5</v>
      </c>
      <c r="M89" s="48">
        <f t="shared" ref="M89:X89" si="616">M405/SUM(M237,M259)*M$5</f>
        <v>4.7306752977784017E-4</v>
      </c>
      <c r="N89" s="48">
        <f t="shared" si="616"/>
        <v>5.6903821005835061E-4</v>
      </c>
      <c r="O89" s="48">
        <f t="shared" si="616"/>
        <v>4.2591840698580873E-5</v>
      </c>
      <c r="P89" s="48">
        <f t="shared" si="616"/>
        <v>-1.2640803061699207E-4</v>
      </c>
      <c r="Q89" s="48">
        <f t="shared" si="616"/>
        <v>-3.2742691851307489E-6</v>
      </c>
      <c r="R89" s="48">
        <f t="shared" si="616"/>
        <v>1.0442461394005655E-5</v>
      </c>
      <c r="S89" s="48">
        <f t="shared" si="616"/>
        <v>4.3837439657589165E-5</v>
      </c>
      <c r="T89" s="50">
        <f t="shared" si="616"/>
        <v>7.8418794021315759E-5</v>
      </c>
      <c r="U89" s="48">
        <f t="shared" si="616"/>
        <v>9.3150453812103524E-5</v>
      </c>
      <c r="V89" s="48">
        <f t="shared" si="616"/>
        <v>-1.3063738114180669E-4</v>
      </c>
      <c r="W89" s="48">
        <f t="shared" si="616"/>
        <v>9.0433408925752684E-4</v>
      </c>
      <c r="X89" s="48">
        <f t="shared" si="616"/>
        <v>4.5405849934033549E-4</v>
      </c>
      <c r="Y89" s="50">
        <f t="shared" ref="Y89:AD89" si="617">Y405/SUM(Y237,Y259)*Y$5</f>
        <v>4.0606583961878622E-4</v>
      </c>
      <c r="Z89" s="50">
        <f t="shared" si="617"/>
        <v>3.1906255400570801E-4</v>
      </c>
      <c r="AA89" s="50">
        <f t="shared" si="617"/>
        <v>1.7936675476349915E-4</v>
      </c>
      <c r="AB89" s="50">
        <f t="shared" si="617"/>
        <v>2.0408984451211729E-4</v>
      </c>
      <c r="AC89" s="50">
        <f t="shared" si="617"/>
        <v>1.47678954651485E-4</v>
      </c>
      <c r="AD89" s="50">
        <f t="shared" si="617"/>
        <v>3.1050997977334898E-4</v>
      </c>
      <c r="AE89" s="50">
        <f t="shared" ref="AE89:AJ89" si="618">AE405/SUM(AE237,AE259)*AE$5</f>
        <v>5.5085719746854334E-4</v>
      </c>
      <c r="AF89" s="50">
        <f t="shared" si="618"/>
        <v>4.4688329797301434E-4</v>
      </c>
      <c r="AG89" s="50">
        <f t="shared" si="618"/>
        <v>4.8123350690491194E-4</v>
      </c>
      <c r="AH89" s="50">
        <f t="shared" si="618"/>
        <v>3.2354585119081462E-4</v>
      </c>
      <c r="AI89" s="50">
        <f t="shared" si="618"/>
        <v>3.371169211098525E-4</v>
      </c>
      <c r="AJ89" s="50">
        <f t="shared" si="618"/>
        <v>3.0341691212447364E-4</v>
      </c>
      <c r="AK89" s="50">
        <f t="shared" ref="AK89:AO89" si="619">AK405/SUM(AK237,AK259)*AK$5</f>
        <v>1.3162543874368129E-4</v>
      </c>
      <c r="AL89" s="50">
        <f t="shared" si="619"/>
        <v>3.4031044981481655E-4</v>
      </c>
      <c r="AM89" s="50">
        <f t="shared" si="619"/>
        <v>1.362136571822047E-4</v>
      </c>
      <c r="AN89" s="50">
        <f t="shared" si="619"/>
        <v>3.4635398624409419E-4</v>
      </c>
      <c r="AO89" s="50">
        <f t="shared" si="619"/>
        <v>1.8049667329491495E-4</v>
      </c>
      <c r="AP89" s="50">
        <f t="shared" ref="AP89:AU89" si="620">AP405/SUM(AP237,AP259)*AP$5</f>
        <v>8.4715845646336638E-5</v>
      </c>
      <c r="AQ89" s="50">
        <f t="shared" si="620"/>
        <v>5.6449663617742026E-4</v>
      </c>
      <c r="AR89" s="50">
        <f t="shared" si="620"/>
        <v>5.9225407060340698E-4</v>
      </c>
      <c r="AS89" s="50">
        <f t="shared" si="620"/>
        <v>5.4666090942802066E-4</v>
      </c>
      <c r="AT89" s="50">
        <f t="shared" si="620"/>
        <v>9.2192475067989045E-5</v>
      </c>
      <c r="AU89" s="50">
        <f t="shared" si="620"/>
        <v>1.1503538519126822E-4</v>
      </c>
      <c r="AV89" s="50">
        <f t="shared" ref="AV89:AW89" si="621">AV405/SUM(AV237,AV259)*AV$5</f>
        <v>1.205776579087973E-4</v>
      </c>
      <c r="AW89" s="50">
        <f t="shared" si="621"/>
        <v>3.0199283487509366E-5</v>
      </c>
      <c r="AX89" s="50">
        <f t="shared" ref="AX89:AY89" si="622">AX405/SUM(AX237,AX259)*AX$5</f>
        <v>5.8979528887423486E-5</v>
      </c>
      <c r="AY89" s="50">
        <f t="shared" si="622"/>
        <v>6.9822222276280427E-5</v>
      </c>
      <c r="AZ89" s="49">
        <f t="shared" ref="AZ89" si="623">AZ405/SUM(AZ237,AZ259)*AZ$5</f>
        <v>4.9509545331825903E-5</v>
      </c>
      <c r="BA89" s="826">
        <f>[5]CBA!L$132/SUM(BA$237,BA$259)*BA$5</f>
        <v>4.9421901475390619E-5</v>
      </c>
      <c r="BB89" s="826">
        <f>[5]CBA!M$132/SUM(BB$237,BB$259)*BB$5</f>
        <v>4.8377529180929898E-5</v>
      </c>
      <c r="BC89" s="826">
        <f>[5]CBA!N$132/SUM(BC$237,BC$259)*BC$5</f>
        <v>4.8934633338304838E-5</v>
      </c>
      <c r="BD89" s="826">
        <f>[5]CBA!O$132/SUM(BD$237,BD$259)*BD$5</f>
        <v>4.8071684308669958E-5</v>
      </c>
      <c r="BE89" s="826">
        <f>[5]CBA!P$132/SUM(BE$237,BE$259)*BE$5</f>
        <v>4.8420994507267432E-5</v>
      </c>
      <c r="BF89" s="826">
        <f>[5]CBA!Q$132/SUM(BF$237,BF$259)*BF$5</f>
        <v>4.7583943754231734E-5</v>
      </c>
      <c r="BG89" s="826">
        <f>[5]CBA!R$132/SUM(BG$237,BG$259)*BG$5</f>
        <v>4.824833251220553E-5</v>
      </c>
      <c r="BH89" s="826">
        <f>[5]CBA!S$132/SUM(BH$237,BH$259)*BH$5</f>
        <v>4.7335703668595655E-5</v>
      </c>
      <c r="BI89" s="826">
        <f>[5]CBA!T$132/SUM(BI$237,BI$259)*BI$5</f>
        <v>4.8153722861155053E-5</v>
      </c>
      <c r="BJ89" s="510">
        <f t="shared" ref="BJ89:BM89" si="624">BI89</f>
        <v>4.8153722861155053E-5</v>
      </c>
      <c r="BK89" s="510">
        <f t="shared" si="624"/>
        <v>4.8153722861155053E-5</v>
      </c>
      <c r="BL89" s="510">
        <f t="shared" si="624"/>
        <v>4.8153722861155053E-5</v>
      </c>
      <c r="BM89" s="510">
        <f t="shared" si="624"/>
        <v>4.8153722861155053E-5</v>
      </c>
      <c r="BN89" s="510">
        <f t="shared" ref="BN89" si="625">BM89</f>
        <v>4.8153722861155053E-5</v>
      </c>
      <c r="BO89" s="510">
        <f t="shared" ref="BO89" si="626">BN89</f>
        <v>4.8153722861155053E-5</v>
      </c>
      <c r="BP89" s="510">
        <f t="shared" ref="BP89" si="627">BO89</f>
        <v>4.8153722861155053E-5</v>
      </c>
      <c r="BQ89" s="510">
        <f t="shared" ref="BQ89" si="628">BP89</f>
        <v>4.8153722861155053E-5</v>
      </c>
      <c r="BR89" s="48"/>
      <c r="BS89" s="235">
        <f t="shared" ref="BS89:CB89" si="629">BS405/SUM(BS237,BS259,AVERAGE(BR179:BS179))*BS$5</f>
        <v>2.3567465793380357E-3</v>
      </c>
      <c r="BT89" s="235">
        <f t="shared" si="629"/>
        <v>1.8977182346599491E-3</v>
      </c>
      <c r="BU89" s="235">
        <f t="shared" si="629"/>
        <v>1.334233171023623E-3</v>
      </c>
      <c r="BV89" s="235">
        <f t="shared" si="629"/>
        <v>1.5708142708476508E-3</v>
      </c>
      <c r="BW89" s="235">
        <f t="shared" si="629"/>
        <v>6.674910766982378E-4</v>
      </c>
      <c r="BX89" s="235">
        <f t="shared" si="629"/>
        <v>6.4109546409398584E-4</v>
      </c>
      <c r="BY89" s="235">
        <f t="shared" si="629"/>
        <v>1.3422013816106987E-3</v>
      </c>
      <c r="BZ89" s="235">
        <f t="shared" si="629"/>
        <v>9.6364410430810094E-4</v>
      </c>
      <c r="CA89" s="235">
        <f t="shared" si="629"/>
        <v>6.4251277567813785E-4</v>
      </c>
      <c r="CB89" s="235">
        <f t="shared" si="629"/>
        <v>6.8745321498953548E-4</v>
      </c>
      <c r="CC89" s="48">
        <f>CC405/SUM(CC237,CC259,AVERAGE(CB179:CC179))*CC$5</f>
        <v>5.6555872768260045E-4</v>
      </c>
      <c r="CD89" s="48">
        <f>CD405/SUM(CD237,CD259,AVERAGE(CC179:CD179))*CD$5</f>
        <v>6.8652244834809754E-5</v>
      </c>
      <c r="CE89" s="48">
        <f>CE405/SUM(CE237,CE259,AVERAGE(CD179:CE179))*CE$5</f>
        <v>9.3176794301172384E-4</v>
      </c>
      <c r="CF89" s="48">
        <f>CF405/SUM(CF237,CF259,AVERAGE(CE179:CF179))*CF$5</f>
        <v>3.2003129520137834E-4</v>
      </c>
      <c r="CG89" s="48">
        <f t="shared" ref="CG89:CR89" si="630">CG405/SUM(CG237,CG259)*CG$5</f>
        <v>2.3381273061607219E-4</v>
      </c>
      <c r="CH89" s="48">
        <f t="shared" si="630"/>
        <v>2.8128946281692443E-4</v>
      </c>
      <c r="CI89" s="48">
        <f t="shared" si="630"/>
        <v>-6.2689020102843878E-5</v>
      </c>
      <c r="CJ89" s="48">
        <f t="shared" si="630"/>
        <v>2.7742888993134894E-5</v>
      </c>
      <c r="CK89" s="48">
        <f t="shared" si="630"/>
        <v>8.5736961319885763E-5</v>
      </c>
      <c r="CL89" s="48">
        <f t="shared" si="630"/>
        <v>3.8777888869862069E-4</v>
      </c>
      <c r="CM89" s="50">
        <f t="shared" si="630"/>
        <v>4.2999278114309029E-4</v>
      </c>
      <c r="CN89" s="50">
        <f t="shared" si="630"/>
        <v>2.4923335819020695E-4</v>
      </c>
      <c r="CO89" s="50">
        <f t="shared" si="630"/>
        <v>1.7556843783779998E-4</v>
      </c>
      <c r="CP89" s="50">
        <f t="shared" si="630"/>
        <v>4.3235383977716346E-4</v>
      </c>
      <c r="CQ89" s="50">
        <f t="shared" si="630"/>
        <v>4.62211665952544E-4</v>
      </c>
      <c r="CR89" s="50">
        <f t="shared" si="630"/>
        <v>3.3023531659316803E-4</v>
      </c>
      <c r="CS89" s="50">
        <f t="shared" ref="CS89:DC89" si="631">CS405/SUM(CS237,CS259)*CS$5</f>
        <v>2.1805070457633915E-4</v>
      </c>
      <c r="CT89" s="50">
        <f t="shared" si="631"/>
        <v>2.3885851741823895E-4</v>
      </c>
      <c r="CU89" s="50">
        <f t="shared" si="631"/>
        <v>2.6222154238859382E-4</v>
      </c>
      <c r="CV89" s="50">
        <f t="shared" si="631"/>
        <v>3.254957502561624E-4</v>
      </c>
      <c r="CW89" s="50">
        <f t="shared" si="631"/>
        <v>5.6905176147869303E-4</v>
      </c>
      <c r="CX89" s="50">
        <f t="shared" si="631"/>
        <v>1.0362152901495793E-4</v>
      </c>
      <c r="CY89" s="50">
        <f t="shared" si="631"/>
        <v>7.5425805006468837E-5</v>
      </c>
      <c r="CZ89" s="49">
        <f t="shared" si="631"/>
        <v>6.4421746063081796E-5</v>
      </c>
      <c r="DA89" s="48">
        <f t="shared" si="631"/>
        <v>4.9449800206564314E-5</v>
      </c>
      <c r="DB89" s="48">
        <f t="shared" si="631"/>
        <v>4.8647331459722391E-5</v>
      </c>
      <c r="DC89" s="48">
        <f t="shared" si="631"/>
        <v>4.8241243649130773E-5</v>
      </c>
      <c r="DD89" s="48">
        <f t="shared" ref="DD89:DI89" si="632">DD405/SUM(DD237,DD259)*DD$5</f>
        <v>4.7908313042511505E-5</v>
      </c>
      <c r="DE89" s="48">
        <f t="shared" si="632"/>
        <v>4.7737761517448608E-5</v>
      </c>
      <c r="DF89" s="48">
        <f t="shared" si="632"/>
        <v>4.8146346462180806E-5</v>
      </c>
      <c r="DG89" s="48">
        <f t="shared" si="632"/>
        <v>4.8148692326246619E-5</v>
      </c>
      <c r="DH89" s="48">
        <f t="shared" si="632"/>
        <v>4.8146151970967036E-5</v>
      </c>
      <c r="DI89" s="48">
        <f t="shared" si="632"/>
        <v>4.8146147422613806E-5</v>
      </c>
    </row>
    <row r="90" spans="1:113" outlineLevel="1">
      <c r="B90" s="24"/>
      <c r="AI90" s="50"/>
      <c r="AJ90" s="50"/>
      <c r="AK90" s="50"/>
      <c r="AL90" s="50"/>
      <c r="AM90" s="55"/>
      <c r="AN90" s="55"/>
      <c r="AO90" s="55"/>
      <c r="AP90" s="50"/>
      <c r="AQ90" s="782"/>
      <c r="AR90" s="782"/>
      <c r="AS90" s="782"/>
      <c r="AT90" s="782"/>
      <c r="AU90" s="782"/>
      <c r="AV90" s="782"/>
      <c r="AW90" s="782"/>
      <c r="AX90" s="837"/>
      <c r="AY90" s="940"/>
      <c r="AZ90" s="845"/>
      <c r="BA90" s="149"/>
      <c r="BB90" s="177"/>
      <c r="BC90" s="149"/>
      <c r="BD90" s="177"/>
      <c r="BE90" s="149"/>
      <c r="BF90" s="177"/>
      <c r="BG90" s="177"/>
      <c r="BH90" s="177"/>
      <c r="BI90" s="177"/>
      <c r="BJ90" s="234"/>
      <c r="BK90" s="234"/>
      <c r="BL90" s="234"/>
      <c r="BM90" s="234"/>
      <c r="BN90" s="234"/>
      <c r="BO90" s="234"/>
      <c r="BP90" s="234"/>
      <c r="BQ90" s="234"/>
      <c r="CZ90" s="22"/>
    </row>
    <row r="91" spans="1:113" outlineLevel="1">
      <c r="B91" s="24" t="s">
        <v>322</v>
      </c>
      <c r="AI91" s="55"/>
      <c r="AM91" s="55"/>
      <c r="AN91" s="55"/>
      <c r="AO91" s="109"/>
      <c r="AP91" s="109"/>
      <c r="AQ91" s="109"/>
      <c r="AR91" s="782"/>
      <c r="AS91" s="782"/>
      <c r="AT91" s="782"/>
      <c r="AU91" s="782"/>
      <c r="AV91" s="782"/>
      <c r="AW91" s="782"/>
      <c r="AX91" s="45"/>
      <c r="AY91" s="582"/>
      <c r="AZ91" s="844"/>
      <c r="BA91" s="582"/>
      <c r="BB91" s="149"/>
      <c r="BC91" s="149"/>
      <c r="BD91" s="177"/>
      <c r="BE91" s="177"/>
      <c r="BF91" s="177"/>
      <c r="BG91" s="177"/>
      <c r="BH91" s="177"/>
      <c r="BI91" s="177"/>
      <c r="CT91" s="109"/>
      <c r="CU91" s="109"/>
      <c r="CY91" s="837"/>
      <c r="CZ91" s="801"/>
      <c r="DA91" s="109"/>
    </row>
    <row r="92" spans="1:113" outlineLevel="1">
      <c r="A92" s="1" t="s">
        <v>840</v>
      </c>
      <c r="B92" s="19" t="s">
        <v>459</v>
      </c>
      <c r="C92" s="53">
        <v>34960</v>
      </c>
      <c r="D92" s="53">
        <v>34265</v>
      </c>
      <c r="E92" s="53">
        <v>34498</v>
      </c>
      <c r="F92" s="53">
        <v>36421</v>
      </c>
      <c r="G92" s="53">
        <v>35845</v>
      </c>
      <c r="H92" s="53">
        <v>34956</v>
      </c>
      <c r="I92" s="53">
        <v>36296</v>
      </c>
      <c r="J92" s="53">
        <v>35442</v>
      </c>
      <c r="K92" s="53">
        <v>35313</v>
      </c>
      <c r="L92" s="53">
        <v>34918</v>
      </c>
      <c r="M92" s="53">
        <v>36664</v>
      </c>
      <c r="N92" s="53">
        <v>37216</v>
      </c>
      <c r="O92" s="53">
        <v>37873</v>
      </c>
      <c r="P92" s="53">
        <v>38452</v>
      </c>
      <c r="Q92" s="53">
        <v>39621</v>
      </c>
      <c r="R92" s="53">
        <v>45013</v>
      </c>
      <c r="S92" s="53">
        <v>44218</v>
      </c>
      <c r="T92" s="53">
        <v>43423</v>
      </c>
      <c r="U92" s="53">
        <v>45025</v>
      </c>
      <c r="V92" s="53">
        <v>45025</v>
      </c>
      <c r="W92" s="53">
        <v>46060</v>
      </c>
      <c r="X92" s="53">
        <v>45810</v>
      </c>
      <c r="Y92" s="53">
        <v>44844</v>
      </c>
      <c r="Z92" s="53">
        <v>44363</v>
      </c>
      <c r="AA92" s="164">
        <v>44969</v>
      </c>
      <c r="AB92" s="164">
        <v>44007</v>
      </c>
      <c r="AC92" s="164">
        <v>44329</v>
      </c>
      <c r="AD92" s="164">
        <v>44520</v>
      </c>
      <c r="AE92" s="164">
        <v>45948</v>
      </c>
      <c r="AF92" s="164">
        <v>45221</v>
      </c>
      <c r="AG92" s="164">
        <v>45129</v>
      </c>
      <c r="AH92" s="164">
        <v>43660</v>
      </c>
      <c r="AI92" s="164">
        <v>44024</v>
      </c>
      <c r="AJ92" s="164">
        <v>41308</v>
      </c>
      <c r="AK92" s="164">
        <v>42462</v>
      </c>
      <c r="AL92" s="164">
        <f>41458/42921*42519</f>
        <v>41069.702523240368</v>
      </c>
      <c r="AM92" s="164">
        <f>41458/42921*42921</f>
        <v>41458</v>
      </c>
      <c r="AN92" s="164">
        <v>40519</v>
      </c>
      <c r="AO92" s="164">
        <v>41778</v>
      </c>
      <c r="AP92" s="164">
        <v>42720</v>
      </c>
      <c r="AQ92" s="164">
        <v>44375</v>
      </c>
      <c r="AR92" s="164">
        <v>47532</v>
      </c>
      <c r="AS92" s="164">
        <v>49245</v>
      </c>
      <c r="AT92" s="164">
        <v>48538</v>
      </c>
      <c r="AU92" s="164">
        <v>49219</v>
      </c>
      <c r="AV92" s="164">
        <v>49216</v>
      </c>
      <c r="AW92" s="164">
        <v>49274</v>
      </c>
      <c r="AX92" s="164">
        <v>49307</v>
      </c>
      <c r="AY92" s="164">
        <v>50639</v>
      </c>
      <c r="AZ92" s="171">
        <v>51755</v>
      </c>
      <c r="BA92" s="827">
        <f>AZ92*(1+[5]CBA!L$210)</f>
        <v>52272.55</v>
      </c>
      <c r="BB92" s="827">
        <f>BA92*(1+[5]CBA!M$210)</f>
        <v>53318.001000000004</v>
      </c>
      <c r="BC92" s="827">
        <f>BB92*(1+[5]CBA!N$210)</f>
        <v>53851.181010000008</v>
      </c>
      <c r="BD92" s="827">
        <f>BC92*(1+[5]CBA!O$210)</f>
        <v>54928.204630200009</v>
      </c>
      <c r="BE92" s="827">
        <f>BD92*(1+[5]CBA!P$210)</f>
        <v>54928.204630200009</v>
      </c>
      <c r="BF92" s="827">
        <f>BE92*(1+[5]CBA!Q$210)</f>
        <v>56026.768722804009</v>
      </c>
      <c r="BG92" s="827">
        <f>BF92*(1+[5]CBA!R$210)</f>
        <v>56026.768722804009</v>
      </c>
      <c r="BH92" s="827">
        <f>BG92*(1+[5]CBA!S$210)</f>
        <v>57147.304097260087</v>
      </c>
      <c r="BI92" s="827">
        <f>BH92*(1+[5]CBA!T$210)</f>
        <v>57147.304097260087</v>
      </c>
      <c r="BJ92" s="54">
        <f t="shared" ref="BJ92:BM92" si="633">BI92+100</f>
        <v>57247.304097260087</v>
      </c>
      <c r="BK92" s="54">
        <f t="shared" si="633"/>
        <v>57347.304097260087</v>
      </c>
      <c r="BL92" s="54">
        <f t="shared" si="633"/>
        <v>57447.304097260087</v>
      </c>
      <c r="BM92" s="54">
        <f t="shared" si="633"/>
        <v>57547.304097260087</v>
      </c>
      <c r="BN92" s="54">
        <f t="shared" ref="BN92" si="634">BM92+100</f>
        <v>57647.304097260087</v>
      </c>
      <c r="BO92" s="54">
        <f t="shared" ref="BO92" si="635">BN92+100</f>
        <v>57747.304097260087</v>
      </c>
      <c r="BP92" s="54">
        <f t="shared" ref="BP92" si="636">BO92+100</f>
        <v>57847.304097260087</v>
      </c>
      <c r="BQ92" s="54">
        <f t="shared" ref="BQ92" si="637">BP92+100</f>
        <v>57947.304097260087</v>
      </c>
      <c r="BR92" s="55"/>
      <c r="BS92" s="53">
        <v>41571</v>
      </c>
      <c r="BT92" s="53">
        <v>42329</v>
      </c>
      <c r="BU92" s="53">
        <v>37269</v>
      </c>
      <c r="BV92" s="53">
        <v>35822</v>
      </c>
      <c r="BW92" s="53">
        <v>36084</v>
      </c>
      <c r="BX92" s="53">
        <v>33543</v>
      </c>
      <c r="BY92" s="53">
        <v>30743</v>
      </c>
      <c r="BZ92" s="53">
        <v>28964</v>
      </c>
      <c r="CA92" s="53">
        <v>37131</v>
      </c>
      <c r="CB92" s="53">
        <v>34960</v>
      </c>
      <c r="CC92" s="55">
        <f>E92</f>
        <v>34498</v>
      </c>
      <c r="CD92" s="55">
        <f>G92</f>
        <v>35845</v>
      </c>
      <c r="CE92" s="55">
        <f>I92</f>
        <v>36296</v>
      </c>
      <c r="CF92" s="55">
        <f>K92</f>
        <v>35313</v>
      </c>
      <c r="CG92" s="55">
        <f>M92</f>
        <v>36664</v>
      </c>
      <c r="CH92" s="55">
        <f>O92</f>
        <v>37873</v>
      </c>
      <c r="CI92" s="55">
        <f>Q92</f>
        <v>39621</v>
      </c>
      <c r="CJ92" s="55">
        <f>S92</f>
        <v>44218</v>
      </c>
      <c r="CK92" s="55">
        <f>U92</f>
        <v>45025</v>
      </c>
      <c r="CL92" s="55">
        <f>W92</f>
        <v>46060</v>
      </c>
      <c r="CM92" s="55">
        <f>Y92</f>
        <v>44844</v>
      </c>
      <c r="CN92" s="55">
        <f>AA92</f>
        <v>44969</v>
      </c>
      <c r="CO92" s="55">
        <f>AC92</f>
        <v>44329</v>
      </c>
      <c r="CP92" s="55">
        <f>AE92</f>
        <v>45948</v>
      </c>
      <c r="CQ92" s="55">
        <f>AG92</f>
        <v>45129</v>
      </c>
      <c r="CR92" s="55">
        <f>AI92</f>
        <v>44024</v>
      </c>
      <c r="CS92" s="55">
        <f>AK92</f>
        <v>42462</v>
      </c>
      <c r="CT92" s="55">
        <f>AM92</f>
        <v>41458</v>
      </c>
      <c r="CU92" s="55">
        <f>AO92</f>
        <v>41778</v>
      </c>
      <c r="CV92" s="55">
        <f>AQ92</f>
        <v>44375</v>
      </c>
      <c r="CW92" s="55">
        <f>AS92</f>
        <v>49245</v>
      </c>
      <c r="CX92" s="55">
        <f>AU92</f>
        <v>49219</v>
      </c>
      <c r="CY92" s="55">
        <f>AW92</f>
        <v>49274</v>
      </c>
      <c r="CZ92" s="56">
        <f>AY92</f>
        <v>50639</v>
      </c>
      <c r="DA92" s="55">
        <f>BA92</f>
        <v>52272.55</v>
      </c>
      <c r="DB92" s="55">
        <f>BC92</f>
        <v>53851.181010000008</v>
      </c>
      <c r="DC92" s="55">
        <f>BE92</f>
        <v>54928.204630200009</v>
      </c>
      <c r="DD92" s="55">
        <f>BG92</f>
        <v>56026.768722804009</v>
      </c>
      <c r="DE92" s="55">
        <f>BI92</f>
        <v>57147.304097260087</v>
      </c>
      <c r="DF92" s="55">
        <f>BK92</f>
        <v>57347.304097260087</v>
      </c>
      <c r="DG92" s="55">
        <f>BM92</f>
        <v>57547.304097260087</v>
      </c>
      <c r="DH92" s="55">
        <f>BO92</f>
        <v>57747.304097260087</v>
      </c>
      <c r="DI92" s="55">
        <f>BP92</f>
        <v>57847.304097260087</v>
      </c>
    </row>
    <row r="93" spans="1:113" outlineLevel="1">
      <c r="A93" s="1" t="s">
        <v>841</v>
      </c>
      <c r="B93" s="19" t="s">
        <v>976</v>
      </c>
      <c r="C93" s="55">
        <f t="shared" ref="C93:L93" si="638">-C432/AVERAGE(B92:C92)*1000000*C$5</f>
        <v>66969.196050419108</v>
      </c>
      <c r="D93" s="55">
        <f t="shared" si="638"/>
        <v>69633.520184653084</v>
      </c>
      <c r="E93" s="55">
        <f t="shared" si="638"/>
        <v>68917.15422891808</v>
      </c>
      <c r="F93" s="55">
        <f t="shared" si="638"/>
        <v>67802.397959214955</v>
      </c>
      <c r="G93" s="55">
        <f t="shared" si="638"/>
        <v>70599.36486947471</v>
      </c>
      <c r="H93" s="55">
        <f t="shared" si="638"/>
        <v>78665.064298404031</v>
      </c>
      <c r="I93" s="55">
        <f t="shared" si="638"/>
        <v>74566.790644935812</v>
      </c>
      <c r="J93" s="55">
        <f t="shared" si="638"/>
        <v>74162.532258084073</v>
      </c>
      <c r="K93" s="55">
        <f t="shared" si="638"/>
        <v>78776.230014785295</v>
      </c>
      <c r="L93" s="55">
        <f t="shared" si="638"/>
        <v>78295.971121386377</v>
      </c>
      <c r="M93" s="55">
        <f t="shared" ref="M93:AA93" si="639">-M432/AVERAGE(L92:M92)*1000000*M$5</f>
        <v>80964.982245760417</v>
      </c>
      <c r="N93" s="55">
        <f t="shared" si="639"/>
        <v>85222.658364916089</v>
      </c>
      <c r="O93" s="55">
        <f t="shared" si="639"/>
        <v>88194.421809140069</v>
      </c>
      <c r="P93" s="55">
        <f t="shared" si="639"/>
        <v>92778.307865392562</v>
      </c>
      <c r="Q93" s="55">
        <f t="shared" si="639"/>
        <v>96900.857650412552</v>
      </c>
      <c r="R93" s="55">
        <f t="shared" si="639"/>
        <v>100926.26460123436</v>
      </c>
      <c r="S93" s="55">
        <f t="shared" si="639"/>
        <v>94872.635188412532</v>
      </c>
      <c r="T93" s="55">
        <f t="shared" si="639"/>
        <v>103619.98032487277</v>
      </c>
      <c r="U93" s="55">
        <f t="shared" si="639"/>
        <v>104604.33473786889</v>
      </c>
      <c r="V93" s="55">
        <f t="shared" si="639"/>
        <v>106487.33795234533</v>
      </c>
      <c r="W93" s="55">
        <f t="shared" si="639"/>
        <v>104941.1377933974</v>
      </c>
      <c r="X93" s="55">
        <f t="shared" si="639"/>
        <v>107305.21862177651</v>
      </c>
      <c r="Y93" s="55">
        <f t="shared" si="639"/>
        <v>109540.2710996066</v>
      </c>
      <c r="Z93" s="55">
        <f t="shared" si="639"/>
        <v>115899.22023081635</v>
      </c>
      <c r="AA93" s="55">
        <f t="shared" si="639"/>
        <v>118558.29628528305</v>
      </c>
      <c r="AB93" s="55">
        <f t="shared" ref="AB93:AZ93" si="640">-AB432/AVERAGE(AA92:AB92)*1000000*AB$5</f>
        <v>124181.63080615779</v>
      </c>
      <c r="AC93" s="55">
        <f t="shared" si="640"/>
        <v>125876.11240256939</v>
      </c>
      <c r="AD93" s="55">
        <f t="shared" si="640"/>
        <v>129762.17099162379</v>
      </c>
      <c r="AE93" s="55">
        <f t="shared" si="640"/>
        <v>129730.55763803543</v>
      </c>
      <c r="AF93" s="55">
        <f t="shared" si="640"/>
        <v>134355.59474592574</v>
      </c>
      <c r="AG93" s="55">
        <f t="shared" si="640"/>
        <v>137552.98381751066</v>
      </c>
      <c r="AH93" s="55">
        <f t="shared" si="640"/>
        <v>133871.36185592908</v>
      </c>
      <c r="AI93" s="55">
        <f t="shared" si="640"/>
        <v>140151.0597698768</v>
      </c>
      <c r="AJ93" s="55">
        <f t="shared" si="640"/>
        <v>127345.95207669685</v>
      </c>
      <c r="AK93" s="55">
        <f t="shared" si="640"/>
        <v>129992.87050771088</v>
      </c>
      <c r="AL93" s="55">
        <f t="shared" si="640"/>
        <v>131182.94553567798</v>
      </c>
      <c r="AM93" s="55">
        <f t="shared" si="640"/>
        <v>137569.74409810934</v>
      </c>
      <c r="AN93" s="55">
        <f t="shared" si="640"/>
        <v>140006.13109403432</v>
      </c>
      <c r="AO93" s="55">
        <f t="shared" si="640"/>
        <v>139088.29544879461</v>
      </c>
      <c r="AP93" s="55">
        <f t="shared" si="640"/>
        <v>139120.22100857546</v>
      </c>
      <c r="AQ93" s="55">
        <f t="shared" si="640"/>
        <v>139941.17682507733</v>
      </c>
      <c r="AR93" s="55">
        <f t="shared" si="640"/>
        <v>144956.3145353455</v>
      </c>
      <c r="AS93" s="55">
        <f t="shared" si="640"/>
        <v>133108.88385710111</v>
      </c>
      <c r="AT93" s="55">
        <f t="shared" si="640"/>
        <v>143508.20739267828</v>
      </c>
      <c r="AU93" s="55">
        <f t="shared" si="640"/>
        <v>150175.056348143</v>
      </c>
      <c r="AV93" s="55">
        <f t="shared" si="640"/>
        <v>150303.77583088377</v>
      </c>
      <c r="AW93" s="55">
        <f t="shared" si="640"/>
        <v>153912.42933125357</v>
      </c>
      <c r="AX93" s="55">
        <f t="shared" si="640"/>
        <v>159772.60809142602</v>
      </c>
      <c r="AY93" s="55">
        <f>-AY432/AVERAGE(AX92:AY92)*1000000*AY$5</f>
        <v>161413.12994099688</v>
      </c>
      <c r="AZ93" s="56">
        <f t="shared" si="640"/>
        <v>160371.04331011244</v>
      </c>
      <c r="BA93" s="827">
        <f>[5]CBA!L$178*1000000/AVERAGE(AZ92:BA92)*BA$5</f>
        <v>159418.01711043232</v>
      </c>
      <c r="BB93" s="827">
        <f>[5]CBA!M$178*1000000/AVERAGE(BA92:BB92)*BB$5</f>
        <v>163884.46087602174</v>
      </c>
      <c r="BC93" s="827">
        <f>[5]CBA!N$178*1000000/AVERAGE(BB92:BC92)*BC$5</f>
        <v>163449.71513905798</v>
      </c>
      <c r="BD93" s="827">
        <f>[5]CBA!O$178*1000000/AVERAGE(BC92:BD92)*BD$5</f>
        <v>166775.08778527443</v>
      </c>
      <c r="BE93" s="827">
        <f>[5]CBA!P$178*1000000/AVERAGE(BD92:BE92)*BE$5</f>
        <v>164830.01250312806</v>
      </c>
      <c r="BF93" s="827">
        <f>[5]CBA!Q$178*1000000/AVERAGE(BE92:BF92)*BF$5</f>
        <v>169163.69564733765</v>
      </c>
      <c r="BG93" s="827">
        <f>[5]CBA!R$178*1000000/AVERAGE(BF92:BG92)*BG$5</f>
        <v>168206.31992471463</v>
      </c>
      <c r="BH93" s="827">
        <f>[5]CBA!S$178*1000000/AVERAGE(BG92:BH92)*BH$5</f>
        <v>172194.30007396275</v>
      </c>
      <c r="BI93" s="827">
        <f>[5]CBA!T$178*1000000/AVERAGE(BH92:BI92)*BI$5</f>
        <v>171180.90652464223</v>
      </c>
      <c r="BJ93" s="55">
        <f t="shared" ref="BJ93:BM93" si="641">BI93*(1+BJ95)</f>
        <v>173748.62012251184</v>
      </c>
      <c r="BK93" s="55">
        <f t="shared" si="641"/>
        <v>176789.22097465582</v>
      </c>
      <c r="BL93" s="55">
        <f t="shared" si="641"/>
        <v>179441.05928927564</v>
      </c>
      <c r="BM93" s="55">
        <f t="shared" si="641"/>
        <v>182581.27782683796</v>
      </c>
      <c r="BN93" s="55">
        <f t="shared" ref="BN93" si="642">BM93*(1+BN95)</f>
        <v>184407.09060510635</v>
      </c>
      <c r="BO93" s="55">
        <f t="shared" ref="BO93" si="643">BN93*(1+BO95)</f>
        <v>186251.16151115741</v>
      </c>
      <c r="BP93" s="55">
        <f t="shared" ref="BP93" si="644">BO93*(1+BP95)</f>
        <v>188113.67312626899</v>
      </c>
      <c r="BQ93" s="55">
        <f t="shared" ref="BQ93" si="645">BP93*(1+BQ95)</f>
        <v>189994.80985753168</v>
      </c>
      <c r="BR93" s="55"/>
      <c r="BS93" s="55">
        <f t="shared" ref="BS93:CB93" si="646">-BS432/AVERAGE(BR92:BS92)*1000000*BS$5</f>
        <v>42200.091409877081</v>
      </c>
      <c r="BT93" s="55">
        <f t="shared" si="646"/>
        <v>39954.707985697256</v>
      </c>
      <c r="BU93" s="55">
        <f t="shared" si="646"/>
        <v>40805.045352898313</v>
      </c>
      <c r="BV93" s="55">
        <f t="shared" si="646"/>
        <v>41674.077519804079</v>
      </c>
      <c r="BW93" s="55">
        <f t="shared" si="646"/>
        <v>44001.891358162044</v>
      </c>
      <c r="BX93" s="55">
        <f t="shared" si="646"/>
        <v>47768.825312019762</v>
      </c>
      <c r="BY93" s="55">
        <f t="shared" si="646"/>
        <v>50461.997946675794</v>
      </c>
      <c r="BZ93" s="55">
        <f t="shared" si="646"/>
        <v>53729.043495737518</v>
      </c>
      <c r="CA93" s="55">
        <f t="shared" si="646"/>
        <v>51592.40487177547</v>
      </c>
      <c r="CB93" s="55">
        <f t="shared" si="646"/>
        <v>65472.805204533164</v>
      </c>
      <c r="CC93" s="55">
        <f t="shared" ref="CC93:CI93" si="647">-CC432/AVERAGE(CB92:CC92)*1000000*CC$5</f>
        <v>68818.56661579659</v>
      </c>
      <c r="CD93" s="55">
        <f t="shared" si="647"/>
        <v>70426.339507840152</v>
      </c>
      <c r="CE93" s="55">
        <f t="shared" si="647"/>
        <v>75435.605273007022</v>
      </c>
      <c r="CF93" s="55">
        <f t="shared" si="647"/>
        <v>76051.892918487894</v>
      </c>
      <c r="CG93" s="55">
        <f t="shared" si="647"/>
        <v>78441.72443975159</v>
      </c>
      <c r="CH93" s="55">
        <f t="shared" si="647"/>
        <v>86641.533734923607</v>
      </c>
      <c r="CI93" s="55">
        <f t="shared" si="647"/>
        <v>94484.734302010474</v>
      </c>
      <c r="CJ93" s="55">
        <f t="shared" ref="CJ93:CR93" si="648">-CJ432/AVERAGE(CI92:CJ92)*1000000*CJ$5</f>
        <v>101432.50754422166</v>
      </c>
      <c r="CK93" s="55">
        <f t="shared" si="648"/>
        <v>102708.33566778347</v>
      </c>
      <c r="CL93" s="55">
        <f t="shared" si="648"/>
        <v>105110.61096777735</v>
      </c>
      <c r="CM93" s="55">
        <f t="shared" si="648"/>
        <v>108840.09504532254</v>
      </c>
      <c r="CN93" s="55">
        <f t="shared" si="648"/>
        <v>116508.74594991817</v>
      </c>
      <c r="CO93" s="55">
        <f t="shared" si="648"/>
        <v>124123.72057604873</v>
      </c>
      <c r="CP93" s="55">
        <f t="shared" si="648"/>
        <v>128847.87930480632</v>
      </c>
      <c r="CQ93" s="55">
        <f t="shared" si="648"/>
        <v>135467.79099004139</v>
      </c>
      <c r="CR93" s="55">
        <f t="shared" si="648"/>
        <v>135564.70337509675</v>
      </c>
      <c r="CS93" s="55">
        <f t="shared" ref="CS93:CX93" si="649">-CS432/AVERAGE(CS92:CS92)*1000000*CS$5</f>
        <v>128090.9990108803</v>
      </c>
      <c r="CT93" s="55">
        <f t="shared" si="649"/>
        <v>134521.68459645909</v>
      </c>
      <c r="CU93" s="55">
        <f t="shared" si="649"/>
        <v>137177.4618220116</v>
      </c>
      <c r="CV93" s="55">
        <f t="shared" si="649"/>
        <v>134873.23943661971</v>
      </c>
      <c r="CW93" s="55">
        <f t="shared" si="649"/>
        <v>133049.04051172707</v>
      </c>
      <c r="CX93" s="55">
        <f t="shared" si="649"/>
        <v>145817.6720372214</v>
      </c>
      <c r="CY93" s="55">
        <f t="shared" ref="CY93:DD93" si="650">-CY432/AVERAGE(CY92:CY92)*1000000*CY$5</f>
        <v>151966.55436944435</v>
      </c>
      <c r="CZ93" s="56">
        <f t="shared" si="650"/>
        <v>157388.5740239736</v>
      </c>
      <c r="DA93" s="55">
        <f t="shared" si="650"/>
        <v>157843.64833932911</v>
      </c>
      <c r="DB93" s="55">
        <f t="shared" si="650"/>
        <v>161647.70519414407</v>
      </c>
      <c r="DC93" s="55">
        <f t="shared" si="650"/>
        <v>164985.87226801697</v>
      </c>
      <c r="DD93" s="55">
        <f t="shared" si="650"/>
        <v>167852.89278431918</v>
      </c>
      <c r="DE93" s="55">
        <f>-DE432/AVERAGE(DE92:DE92)*1000000*DE$5</f>
        <v>170840.74050046923</v>
      </c>
      <c r="DF93" s="55">
        <f>-DF432/AVERAGE(DF92:DF92)*1000000*DF$5</f>
        <v>174950.88910493054</v>
      </c>
      <c r="DG93" s="55">
        <f>-DG432/AVERAGE(DG92:DG92)*1000000*DG$5</f>
        <v>180688.56515362207</v>
      </c>
      <c r="DH93" s="55">
        <f>-DH432/AVERAGE(DH92:DH92)*1000000*DH$5</f>
        <v>185000.10903142518</v>
      </c>
      <c r="DI93" s="55">
        <f>-DI432/AVERAGE(DI92:DI92)*1000000*DI$5</f>
        <v>189045.98068868788</v>
      </c>
    </row>
    <row r="94" spans="1:113" outlineLevel="1">
      <c r="A94" s="1" t="s">
        <v>977</v>
      </c>
      <c r="B94" s="19" t="s">
        <v>559</v>
      </c>
      <c r="C94" s="230"/>
      <c r="D94" s="230"/>
      <c r="E94" s="230"/>
      <c r="F94" s="230"/>
      <c r="G94" s="230"/>
      <c r="H94" s="230"/>
      <c r="I94" s="230"/>
      <c r="J94" s="230"/>
      <c r="K94" s="230"/>
      <c r="L94" s="230"/>
      <c r="M94" s="57"/>
      <c r="N94" s="57"/>
      <c r="O94" s="57"/>
      <c r="P94" s="57"/>
      <c r="Q94" s="57"/>
      <c r="R94" s="57"/>
      <c r="S94" s="57"/>
      <c r="T94" s="58"/>
      <c r="U94" s="57"/>
      <c r="V94" s="57"/>
      <c r="W94" s="57"/>
      <c r="X94" s="57"/>
      <c r="Y94" s="58"/>
      <c r="Z94" s="58"/>
      <c r="AA94" s="58"/>
      <c r="AB94" s="58"/>
      <c r="AC94" s="58"/>
      <c r="AD94" s="58"/>
      <c r="AE94" s="58"/>
      <c r="AF94" s="58"/>
      <c r="AG94" s="637"/>
      <c r="AH94" s="637"/>
      <c r="AI94" s="637"/>
      <c r="AJ94" s="637"/>
      <c r="AK94" s="637"/>
      <c r="AL94" s="637"/>
      <c r="AM94" s="637"/>
      <c r="AN94" s="637"/>
      <c r="AO94" s="637"/>
      <c r="AP94" s="637"/>
      <c r="AQ94" s="637"/>
      <c r="AR94" s="637"/>
      <c r="AS94" s="637"/>
      <c r="AT94" s="637"/>
      <c r="AU94" s="637"/>
      <c r="AV94" s="637"/>
      <c r="AW94" s="637"/>
      <c r="AX94" s="637"/>
      <c r="AY94" s="637"/>
      <c r="AZ94" s="601"/>
      <c r="BA94" s="486"/>
      <c r="BB94" s="486"/>
      <c r="BC94" s="486"/>
      <c r="BD94" s="486"/>
      <c r="BE94" s="486"/>
      <c r="BF94" s="486"/>
      <c r="BG94" s="486"/>
      <c r="BH94" s="486"/>
      <c r="BI94" s="486"/>
      <c r="BJ94" s="486">
        <v>0.6</v>
      </c>
      <c r="BK94" s="486">
        <v>0.6</v>
      </c>
      <c r="BL94" s="486">
        <v>0.6</v>
      </c>
      <c r="BM94" s="486">
        <v>0.6</v>
      </c>
      <c r="BN94" s="486">
        <v>0.6</v>
      </c>
      <c r="BO94" s="486">
        <v>0.6</v>
      </c>
      <c r="BP94" s="486">
        <v>0.6</v>
      </c>
      <c r="BQ94" s="486">
        <v>0.6</v>
      </c>
      <c r="BR94" s="57"/>
      <c r="BS94" s="230"/>
      <c r="BT94" s="230"/>
      <c r="BU94" s="230"/>
      <c r="BV94" s="230"/>
      <c r="BW94" s="230"/>
      <c r="BX94" s="230"/>
      <c r="BY94" s="230"/>
      <c r="BZ94" s="230"/>
      <c r="CA94" s="230"/>
      <c r="CB94" s="230"/>
      <c r="CC94" s="57"/>
      <c r="CD94" s="57"/>
      <c r="CE94" s="57"/>
      <c r="CF94" s="57"/>
      <c r="CG94" s="57"/>
      <c r="CH94" s="57"/>
      <c r="CI94" s="57"/>
      <c r="CJ94" s="57"/>
      <c r="CK94" s="57"/>
      <c r="CL94" s="57"/>
      <c r="CM94" s="58"/>
      <c r="CN94" s="58"/>
      <c r="CO94" s="58"/>
      <c r="CP94" s="58"/>
      <c r="CQ94" s="58"/>
      <c r="CR94" s="58"/>
      <c r="CS94" s="58"/>
      <c r="CT94" s="58"/>
      <c r="CU94" s="58"/>
      <c r="CV94" s="58"/>
      <c r="CW94" s="58"/>
      <c r="CX94" s="58"/>
      <c r="CY94" s="58"/>
      <c r="CZ94" s="59"/>
      <c r="DA94" s="57"/>
      <c r="DB94" s="57"/>
    </row>
    <row r="95" spans="1:113" outlineLevel="1">
      <c r="A95" s="1" t="s">
        <v>978</v>
      </c>
      <c r="B95" s="19" t="s">
        <v>560</v>
      </c>
      <c r="C95" s="232"/>
      <c r="D95" s="232"/>
      <c r="E95" s="232"/>
      <c r="F95" s="232"/>
      <c r="G95" s="232"/>
      <c r="H95" s="232"/>
      <c r="I95" s="232"/>
      <c r="J95" s="232"/>
      <c r="K95" s="232"/>
      <c r="L95" s="232"/>
      <c r="M95" s="42"/>
      <c r="N95" s="42"/>
      <c r="O95" s="42"/>
      <c r="P95" s="42"/>
      <c r="Q95" s="42"/>
      <c r="R95" s="42"/>
      <c r="S95" s="42"/>
      <c r="T95" s="45"/>
      <c r="U95" s="42"/>
      <c r="V95" s="42"/>
      <c r="W95" s="42"/>
      <c r="X95" s="42"/>
      <c r="Y95" s="45"/>
      <c r="Z95" s="45"/>
      <c r="AA95" s="45"/>
      <c r="AB95" s="45"/>
      <c r="AC95" s="45"/>
      <c r="AD95" s="45"/>
      <c r="AE95" s="45"/>
      <c r="AF95" s="45"/>
      <c r="AG95" s="638"/>
      <c r="AH95" s="638"/>
      <c r="AI95" s="638"/>
      <c r="AJ95" s="638"/>
      <c r="AK95" s="638"/>
      <c r="AL95" s="638"/>
      <c r="AM95" s="638"/>
      <c r="AN95" s="638"/>
      <c r="AO95" s="638"/>
      <c r="AP95" s="638"/>
      <c r="AQ95" s="638"/>
      <c r="AR95" s="638"/>
      <c r="AS95" s="638"/>
      <c r="AT95" s="638"/>
      <c r="AU95" s="638"/>
      <c r="AV95" s="638"/>
      <c r="AW95" s="638"/>
      <c r="AX95" s="638"/>
      <c r="AY95" s="638"/>
      <c r="AZ95" s="602"/>
      <c r="BA95" s="511"/>
      <c r="BB95" s="511"/>
      <c r="BC95" s="511"/>
      <c r="BD95" s="511"/>
      <c r="BE95" s="511"/>
      <c r="BF95" s="511"/>
      <c r="BG95" s="511"/>
      <c r="BH95" s="511"/>
      <c r="BI95" s="511"/>
      <c r="BJ95" s="511">
        <v>1.4999999999999999E-2</v>
      </c>
      <c r="BK95" s="511">
        <v>1.7500000000000002E-2</v>
      </c>
      <c r="BL95" s="511">
        <v>1.4999999999999999E-2</v>
      </c>
      <c r="BM95" s="511">
        <v>1.7500000000000002E-2</v>
      </c>
      <c r="BN95" s="511">
        <v>0.01</v>
      </c>
      <c r="BO95" s="511">
        <v>0.01</v>
      </c>
      <c r="BP95" s="511">
        <v>0.01</v>
      </c>
      <c r="BQ95" s="511">
        <v>0.01</v>
      </c>
      <c r="BR95" s="42"/>
      <c r="BS95" s="232"/>
      <c r="BT95" s="232"/>
      <c r="BU95" s="232"/>
      <c r="BV95" s="232"/>
      <c r="BW95" s="232"/>
      <c r="BX95" s="232"/>
      <c r="BY95" s="232"/>
      <c r="BZ95" s="232"/>
      <c r="CA95" s="232"/>
      <c r="CB95" s="232"/>
      <c r="CC95" s="42"/>
      <c r="CD95" s="42"/>
      <c r="CE95" s="42"/>
      <c r="CF95" s="42"/>
      <c r="CG95" s="42"/>
      <c r="CH95" s="42"/>
      <c r="CI95" s="42"/>
      <c r="CJ95" s="42"/>
      <c r="CK95" s="42"/>
      <c r="CL95" s="42"/>
      <c r="CM95" s="45"/>
      <c r="CN95" s="45"/>
      <c r="CO95" s="45"/>
      <c r="CP95" s="45"/>
      <c r="CQ95" s="45"/>
      <c r="CR95" s="45"/>
      <c r="CS95" s="45"/>
      <c r="CT95" s="45"/>
      <c r="CU95" s="45"/>
      <c r="CV95" s="45"/>
      <c r="CW95" s="45"/>
      <c r="CX95" s="45"/>
      <c r="CY95" s="45"/>
      <c r="CZ95" s="43"/>
      <c r="DA95" s="42"/>
      <c r="DB95" s="42"/>
    </row>
    <row r="96" spans="1:113" outlineLevel="1">
      <c r="A96" s="1" t="s">
        <v>984</v>
      </c>
      <c r="B96" s="19" t="s">
        <v>562</v>
      </c>
      <c r="C96" s="232"/>
      <c r="D96" s="232"/>
      <c r="E96" s="232"/>
      <c r="F96" s="232"/>
      <c r="G96" s="232"/>
      <c r="H96" s="232"/>
      <c r="I96" s="232"/>
      <c r="J96" s="232"/>
      <c r="K96" s="232"/>
      <c r="L96" s="232"/>
      <c r="M96" s="42"/>
      <c r="N96" s="42"/>
      <c r="O96" s="42"/>
      <c r="P96" s="45">
        <f t="shared" ref="P96:X96" si="651">-P102/SUM(O432:O435,O440,O442)</f>
        <v>1.85805665549802E-2</v>
      </c>
      <c r="Q96" s="45">
        <f t="shared" si="651"/>
        <v>4.7365304914150384E-2</v>
      </c>
      <c r="R96" s="45">
        <f t="shared" si="651"/>
        <v>7.3291243480647819E-2</v>
      </c>
      <c r="S96" s="45">
        <f t="shared" si="651"/>
        <v>5.1147704590818362E-2</v>
      </c>
      <c r="T96" s="45">
        <f t="shared" si="651"/>
        <v>5.4579971523493115E-2</v>
      </c>
      <c r="U96" s="45">
        <f t="shared" si="651"/>
        <v>5.2717900656044987E-2</v>
      </c>
      <c r="V96" s="45">
        <f t="shared" si="651"/>
        <v>5.3311793214862679E-2</v>
      </c>
      <c r="W96" s="45">
        <f t="shared" si="651"/>
        <v>6.7831215970961881E-2</v>
      </c>
      <c r="X96" s="45">
        <f t="shared" si="651"/>
        <v>6.1565915681463308E-2</v>
      </c>
      <c r="Y96" s="45">
        <f t="shared" ref="Y96:AY96" si="652">-Y102/SUM(X432:X435,X440,X442)</f>
        <v>6.7362016514558892E-2</v>
      </c>
      <c r="Z96" s="45">
        <f t="shared" si="652"/>
        <v>5.289508053983457E-2</v>
      </c>
      <c r="AA96" s="45">
        <f t="shared" si="652"/>
        <v>5.0369375419744795E-2</v>
      </c>
      <c r="AB96" s="45">
        <f t="shared" si="652"/>
        <v>4.9526744441998678E-2</v>
      </c>
      <c r="AC96" s="45">
        <f t="shared" si="652"/>
        <v>2.189012839402231E-2</v>
      </c>
      <c r="AD96" s="45">
        <f t="shared" si="652"/>
        <v>5.8550968828980622E-2</v>
      </c>
      <c r="AE96" s="45">
        <f t="shared" si="652"/>
        <v>5.6166056166056168E-2</v>
      </c>
      <c r="AF96" s="45">
        <f t="shared" si="652"/>
        <v>5.3553849182910021E-2</v>
      </c>
      <c r="AG96" s="45">
        <f t="shared" si="652"/>
        <v>4.7408829174664109E-2</v>
      </c>
      <c r="AH96" s="45">
        <f t="shared" si="652"/>
        <v>5.3981623277182235E-2</v>
      </c>
      <c r="AI96" s="45">
        <f t="shared" si="652"/>
        <v>3.8180489587139203E-2</v>
      </c>
      <c r="AJ96" s="45">
        <f t="shared" si="652"/>
        <v>3.1568816169393644E-2</v>
      </c>
      <c r="AK96" s="45">
        <f t="shared" si="652"/>
        <v>5.0219941348973604E-2</v>
      </c>
      <c r="AL96" s="45">
        <f t="shared" si="652"/>
        <v>3.5024372630438706E-2</v>
      </c>
      <c r="AM96" s="45">
        <f t="shared" si="652"/>
        <v>2.9329880714369462E-2</v>
      </c>
      <c r="AN96" s="45">
        <f t="shared" si="652"/>
        <v>3.4993909854726397E-2</v>
      </c>
      <c r="AO96" s="45">
        <f t="shared" si="652"/>
        <v>2.8935846183133447E-2</v>
      </c>
      <c r="AP96" s="45">
        <f t="shared" si="652"/>
        <v>4.8058506007313248E-2</v>
      </c>
      <c r="AQ96" s="45">
        <f t="shared" si="652"/>
        <v>4.9543909855124309E-2</v>
      </c>
      <c r="AR96" s="45">
        <f t="shared" si="652"/>
        <v>5.5131761442441057E-2</v>
      </c>
      <c r="AS96" s="45">
        <f t="shared" si="652"/>
        <v>7.7413479052823309E-2</v>
      </c>
      <c r="AT96" s="45">
        <f t="shared" si="652"/>
        <v>7.022566520714045E-2</v>
      </c>
      <c r="AU96" s="45">
        <f t="shared" si="652"/>
        <v>8.3318898319764426E-2</v>
      </c>
      <c r="AV96" s="45">
        <f t="shared" si="652"/>
        <v>7.1815940838126535E-2</v>
      </c>
      <c r="AW96" s="45">
        <f t="shared" si="652"/>
        <v>7.7358176676093834E-2</v>
      </c>
      <c r="AX96" s="45">
        <f t="shared" si="652"/>
        <v>8.2970839374899311E-2</v>
      </c>
      <c r="AY96" s="45">
        <f t="shared" si="652"/>
        <v>0.10138104205900816</v>
      </c>
      <c r="AZ96" s="43">
        <f t="shared" ref="AZ96" si="653">-AZ102/SUM(AY432:AY435,AY440,AY442)</f>
        <v>8.9221014492753617E-2</v>
      </c>
      <c r="BA96" s="45">
        <f>-BA102/SUM(AZ432:AZ435,AZ440,AZ442)</f>
        <v>8.3731843971732139E-2</v>
      </c>
      <c r="BB96" s="45">
        <f t="shared" ref="BB96" si="654">-BB102/SUM(BA432:BA435,BA440,BA442)</f>
        <v>8.3388012583905297E-2</v>
      </c>
      <c r="BC96" s="45">
        <f t="shared" ref="BC96" si="655">-BC102/SUM(BB432:BB435,BB440,BB442)</f>
        <v>7.7939057698713107E-2</v>
      </c>
      <c r="BD96" s="45">
        <f t="shared" ref="BD96" si="656">-BD102/SUM(BC432:BC435,BC440,BC442)</f>
        <v>7.5522668477965141E-2</v>
      </c>
      <c r="BE96" s="45">
        <f t="shared" ref="BE96" si="657">-BE102/SUM(BD432:BD435,BD440,BD442)</f>
        <v>7.4288501083747488E-2</v>
      </c>
      <c r="BF96" s="45">
        <f t="shared" ref="BF96" si="658">-BF102/SUM(BE432:BE435,BE440,BE442)</f>
        <v>7.6105781138822465E-2</v>
      </c>
      <c r="BG96" s="45">
        <f t="shared" ref="BG96" si="659">-BG102/SUM(BF432:BF435,BF440,BF442)</f>
        <v>7.5129936068768277E-2</v>
      </c>
      <c r="BH96" s="45">
        <f t="shared" ref="BH96" si="660">-BH102/SUM(BG432:BG435,BG440,BG442)</f>
        <v>7.6935547210627522E-2</v>
      </c>
      <c r="BI96" s="45">
        <f t="shared" ref="BI96" si="661">-BI102/SUM(BH432:BH435,BH440,BH442)</f>
        <v>7.5907227721033102E-2</v>
      </c>
      <c r="BJ96" s="511">
        <f t="shared" ref="BJ96:BM97" si="662">BI96</f>
        <v>7.5907227721033102E-2</v>
      </c>
      <c r="BK96" s="511">
        <f t="shared" si="662"/>
        <v>7.5907227721033102E-2</v>
      </c>
      <c r="BL96" s="511">
        <f t="shared" si="662"/>
        <v>7.5907227721033102E-2</v>
      </c>
      <c r="BM96" s="511">
        <f t="shared" si="662"/>
        <v>7.5907227721033102E-2</v>
      </c>
      <c r="BN96" s="511">
        <f t="shared" ref="BN96:BN97" si="663">BM96</f>
        <v>7.5907227721033102E-2</v>
      </c>
      <c r="BO96" s="511">
        <f t="shared" ref="BO96:BO97" si="664">BN96</f>
        <v>7.5907227721033102E-2</v>
      </c>
      <c r="BP96" s="511">
        <f t="shared" ref="BP96:BP97" si="665">BO96</f>
        <v>7.5907227721033102E-2</v>
      </c>
      <c r="BQ96" s="511">
        <f t="shared" ref="BQ96:BQ97" si="666">BP96</f>
        <v>7.5907227721033102E-2</v>
      </c>
      <c r="BR96" s="42"/>
      <c r="BS96" s="376" t="e">
        <f t="shared" ref="BS96:CB96" si="667">-BS102/SUM(BR432:BR435,BR440,BR442)</f>
        <v>#DIV/0!</v>
      </c>
      <c r="BT96" s="376">
        <f t="shared" si="667"/>
        <v>0</v>
      </c>
      <c r="BU96" s="376">
        <f t="shared" si="667"/>
        <v>0</v>
      </c>
      <c r="BV96" s="376">
        <f t="shared" si="667"/>
        <v>0</v>
      </c>
      <c r="BW96" s="376">
        <f t="shared" si="667"/>
        <v>0</v>
      </c>
      <c r="BX96" s="376">
        <f t="shared" si="667"/>
        <v>0</v>
      </c>
      <c r="BY96" s="376">
        <f t="shared" si="667"/>
        <v>0</v>
      </c>
      <c r="BZ96" s="376">
        <f t="shared" si="667"/>
        <v>0</v>
      </c>
      <c r="CA96" s="376">
        <f t="shared" si="667"/>
        <v>0</v>
      </c>
      <c r="CB96" s="376">
        <f t="shared" si="667"/>
        <v>0</v>
      </c>
      <c r="CC96" s="45">
        <f t="shared" ref="CC96:CS96" si="668">-CC102/SUM(CB432:CB435,CB440,CB442)</f>
        <v>3.4042553191489362E-2</v>
      </c>
      <c r="CD96" s="45">
        <f t="shared" si="668"/>
        <v>2.249567390886368E-2</v>
      </c>
      <c r="CE96" s="45">
        <f t="shared" si="668"/>
        <v>1.6033147180688163E-2</v>
      </c>
      <c r="CF96" s="45">
        <f t="shared" si="668"/>
        <v>1.4882381180988958E-2</v>
      </c>
      <c r="CG96" s="45">
        <f t="shared" si="668"/>
        <v>1.5334810018742545E-2</v>
      </c>
      <c r="CH96" s="45">
        <f t="shared" si="668"/>
        <v>2.1688355021688355E-2</v>
      </c>
      <c r="CI96" s="45">
        <f t="shared" si="668"/>
        <v>3.438618328924848E-2</v>
      </c>
      <c r="CJ96" s="45">
        <f t="shared" si="668"/>
        <v>6.7226890756302518E-2</v>
      </c>
      <c r="CK96" s="45">
        <f t="shared" si="668"/>
        <v>5.5339333495499882E-2</v>
      </c>
      <c r="CL96" s="45">
        <f t="shared" si="668"/>
        <v>6.1620741774212298E-2</v>
      </c>
      <c r="CM96" s="45">
        <f t="shared" si="668"/>
        <v>6.5909346530199073E-2</v>
      </c>
      <c r="CN96" s="45">
        <f t="shared" si="668"/>
        <v>5.0891692040017401E-2</v>
      </c>
      <c r="CO96" s="45">
        <f t="shared" si="668"/>
        <v>3.6514983351831301E-2</v>
      </c>
      <c r="CP96" s="45">
        <f t="shared" si="668"/>
        <v>5.832192862406569E-2</v>
      </c>
      <c r="CQ96" s="45">
        <f t="shared" si="668"/>
        <v>5.193635544881417E-2</v>
      </c>
      <c r="CR96" s="45">
        <f t="shared" si="668"/>
        <v>4.7057695993866208E-2</v>
      </c>
      <c r="CS96" s="45">
        <f t="shared" si="668"/>
        <v>4.1053519542600059E-2</v>
      </c>
      <c r="CT96" s="45">
        <f t="shared" ref="CT96:DI96" si="669">-CT102/SUM(CS432:CS435,CS440,CS442)</f>
        <v>3.119599818099136E-2</v>
      </c>
      <c r="CU96" s="45">
        <f t="shared" si="669"/>
        <v>3.2612712490761274E-2</v>
      </c>
      <c r="CV96" s="45">
        <f t="shared" si="669"/>
        <v>5.0291014914514369E-2</v>
      </c>
      <c r="CW96" s="45">
        <f t="shared" si="669"/>
        <v>6.5410687560524691E-2</v>
      </c>
      <c r="CX96" s="45">
        <f t="shared" si="669"/>
        <v>7.8578928946447316E-2</v>
      </c>
      <c r="CY96" s="45">
        <f t="shared" si="669"/>
        <v>7.6066790352504632E-2</v>
      </c>
      <c r="CZ96" s="43">
        <f t="shared" si="669"/>
        <v>9.5023735472254053E-2</v>
      </c>
      <c r="DA96" s="45">
        <f t="shared" si="669"/>
        <v>8.9867067171840148E-2</v>
      </c>
      <c r="DB96" s="45">
        <f t="shared" si="669"/>
        <v>8.1778467491508869E-2</v>
      </c>
      <c r="DC96" s="45">
        <f t="shared" si="669"/>
        <v>7.6552468372236379E-2</v>
      </c>
      <c r="DD96" s="45">
        <f t="shared" si="669"/>
        <v>7.6699060970343E-2</v>
      </c>
      <c r="DE96" s="45">
        <f t="shared" si="669"/>
        <v>7.7551579476904872E-2</v>
      </c>
      <c r="DF96" s="45">
        <f t="shared" si="669"/>
        <v>7.693966921807735E-2</v>
      </c>
      <c r="DG96" s="376">
        <f t="shared" si="669"/>
        <v>7.7139125764979638E-2</v>
      </c>
      <c r="DH96" s="376">
        <f t="shared" si="669"/>
        <v>7.7150850641150293E-2</v>
      </c>
      <c r="DI96" s="376">
        <f t="shared" si="669"/>
        <v>7.6832916392137032E-2</v>
      </c>
    </row>
    <row r="97" spans="1:113" outlineLevel="1">
      <c r="A97" s="1" t="s">
        <v>985</v>
      </c>
      <c r="B97" s="19" t="s">
        <v>563</v>
      </c>
      <c r="C97" s="232"/>
      <c r="D97" s="232"/>
      <c r="E97" s="232"/>
      <c r="F97" s="232"/>
      <c r="G97" s="232"/>
      <c r="H97" s="232"/>
      <c r="I97" s="232"/>
      <c r="J97" s="232"/>
      <c r="K97" s="232"/>
      <c r="L97" s="232"/>
      <c r="M97" s="42"/>
      <c r="N97" s="42"/>
      <c r="O97" s="42"/>
      <c r="P97" s="61">
        <f t="shared" ref="P97:X97" si="670">-AVERAGE(P101,P106)/(P103*P$5)</f>
        <v>3.6687483736664066</v>
      </c>
      <c r="Q97" s="61">
        <f t="shared" si="670"/>
        <v>3.6160014255167496</v>
      </c>
      <c r="R97" s="61">
        <f t="shared" si="670"/>
        <v>4.7530332681017615</v>
      </c>
      <c r="S97" s="61">
        <f t="shared" si="670"/>
        <v>4.2252580221429916</v>
      </c>
      <c r="T97" s="61">
        <f t="shared" si="670"/>
        <v>3.56754478398314</v>
      </c>
      <c r="U97" s="61">
        <f t="shared" si="670"/>
        <v>5.8602184376156972</v>
      </c>
      <c r="V97" s="61">
        <f t="shared" si="670"/>
        <v>6.3791645526805336</v>
      </c>
      <c r="W97" s="61">
        <f t="shared" si="670"/>
        <v>5.8267123287671234</v>
      </c>
      <c r="X97" s="61">
        <f t="shared" si="670"/>
        <v>7.843187818505557</v>
      </c>
      <c r="Y97" s="61">
        <f t="shared" ref="Y97:AD97" si="671">-AVERAGE(Y101,Y106)/(Y103*Y$5)</f>
        <v>8.7850637522768675</v>
      </c>
      <c r="Z97" s="61">
        <f t="shared" si="671"/>
        <v>7.946477495107632</v>
      </c>
      <c r="AA97" s="61">
        <f t="shared" si="671"/>
        <v>6.9983932433824281</v>
      </c>
      <c r="AB97" s="61">
        <f t="shared" si="671"/>
        <v>7.5092939936775558</v>
      </c>
      <c r="AC97" s="61">
        <f t="shared" si="671"/>
        <v>4.7635533416355331</v>
      </c>
      <c r="AD97" s="61">
        <f t="shared" si="671"/>
        <v>6.7561260657151072</v>
      </c>
      <c r="AE97" s="61">
        <f t="shared" ref="AE97:AK97" si="672">-AVERAGE(AE101,AE106)/(AE103*AE$5)</f>
        <v>6.1129763387297631</v>
      </c>
      <c r="AF97" s="61">
        <f t="shared" si="672"/>
        <v>6.0668704269704543</v>
      </c>
      <c r="AG97" s="61">
        <f t="shared" si="672"/>
        <v>5.4293269490883516</v>
      </c>
      <c r="AH97" s="61">
        <f t="shared" si="672"/>
        <v>4.7260273972602738</v>
      </c>
      <c r="AI97" s="61">
        <f t="shared" si="672"/>
        <v>5.5225469894870978</v>
      </c>
      <c r="AJ97" s="61">
        <f t="shared" si="672"/>
        <v>4.7790587277905869</v>
      </c>
      <c r="AK97" s="61">
        <f t="shared" si="672"/>
        <v>2.6242633571400695</v>
      </c>
      <c r="AL97" s="61">
        <f t="shared" ref="AL97:AQ97" si="673">-AVERAGE(AL101,AL106)/(AL103*AL$5)</f>
        <v>3.9292178141493208</v>
      </c>
      <c r="AM97" s="61">
        <f t="shared" si="673"/>
        <v>3.9558015887908926</v>
      </c>
      <c r="AN97" s="61">
        <f t="shared" si="673"/>
        <v>2.86100347739692</v>
      </c>
      <c r="AO97" s="61">
        <f t="shared" si="673"/>
        <v>2.4627458019225403</v>
      </c>
      <c r="AP97" s="61">
        <f t="shared" si="673"/>
        <v>2.7853113848279039</v>
      </c>
      <c r="AQ97" s="61">
        <f t="shared" si="673"/>
        <v>3.7205256104824302</v>
      </c>
      <c r="AR97" s="61">
        <f t="shared" ref="AR97" si="674">-AVERAGE(AR101,AR106)/(AR103*AR$5)</f>
        <v>4.7449315068493148</v>
      </c>
      <c r="AS97" s="61">
        <f t="shared" ref="AS97" si="675">-AVERAGE(AS101,AS106)/(AS103*AS$5)</f>
        <v>3.5016412509692425</v>
      </c>
      <c r="AT97" s="61">
        <f t="shared" ref="AT97:AU97" si="676">-AVERAGE(AT101,AT106)/(AT103*AT$5)</f>
        <v>4.2036679392170067</v>
      </c>
      <c r="AU97" s="61">
        <f t="shared" si="676"/>
        <v>4.1577604032049624</v>
      </c>
      <c r="AV97" s="61">
        <f t="shared" ref="AV97:AW97" si="677">-AVERAGE(AV101,AV106)/(AV103*AV$5)</f>
        <v>3.1596881417284468</v>
      </c>
      <c r="AW97" s="61">
        <f t="shared" si="677"/>
        <v>2.7905969687596657</v>
      </c>
      <c r="AX97" s="61">
        <f t="shared" ref="AX97:AY97" si="678">-AVERAGE(AX101,AX106)/(AX103*AX$5)</f>
        <v>3.4046550360161554</v>
      </c>
      <c r="AY97" s="61">
        <f t="shared" si="678"/>
        <v>3.4474189304233418</v>
      </c>
      <c r="AZ97" s="62">
        <f t="shared" ref="AZ97:BI97" si="679">-AVERAGE(AZ101,AZ106)/(AZ103*AZ$5)</f>
        <v>3.8350348205402924</v>
      </c>
      <c r="BA97" s="61">
        <f t="shared" si="679"/>
        <v>3.7299693855634217</v>
      </c>
      <c r="BB97" s="61">
        <f t="shared" si="679"/>
        <v>3.7615933565915514</v>
      </c>
      <c r="BC97" s="61">
        <f t="shared" si="679"/>
        <v>3.6772813959296307</v>
      </c>
      <c r="BD97" s="61">
        <f t="shared" si="679"/>
        <v>3.709391068614583</v>
      </c>
      <c r="BE97" s="61">
        <f t="shared" si="679"/>
        <v>3.6672055447260048</v>
      </c>
      <c r="BF97" s="61">
        <f t="shared" si="679"/>
        <v>3.7160805842122948</v>
      </c>
      <c r="BG97" s="61">
        <f t="shared" si="679"/>
        <v>3.6541893742617377</v>
      </c>
      <c r="BH97" s="61">
        <f t="shared" si="679"/>
        <v>3.7136449893443961</v>
      </c>
      <c r="BI97" s="61">
        <f t="shared" si="679"/>
        <v>3.6521784463945819</v>
      </c>
      <c r="BJ97" s="63">
        <f t="shared" ref="BJ97:BK97" si="680">BI97</f>
        <v>3.6521784463945819</v>
      </c>
      <c r="BK97" s="63">
        <f t="shared" si="680"/>
        <v>3.6521784463945819</v>
      </c>
      <c r="BL97" s="63">
        <f t="shared" si="662"/>
        <v>3.6521784463945819</v>
      </c>
      <c r="BM97" s="63">
        <f t="shared" si="662"/>
        <v>3.6521784463945819</v>
      </c>
      <c r="BN97" s="63">
        <f t="shared" si="663"/>
        <v>3.6521784463945819</v>
      </c>
      <c r="BO97" s="63">
        <f t="shared" si="664"/>
        <v>3.6521784463945819</v>
      </c>
      <c r="BP97" s="63">
        <f t="shared" si="665"/>
        <v>3.6521784463945819</v>
      </c>
      <c r="BQ97" s="63">
        <f t="shared" si="666"/>
        <v>3.6521784463945819</v>
      </c>
      <c r="BR97" s="42"/>
      <c r="BS97" s="61" t="e">
        <f t="shared" ref="BS97:CB97" si="681">-AVERAGE(BS101,BS106)/(BS103*BS$5)</f>
        <v>#DIV/0!</v>
      </c>
      <c r="BT97" s="61" t="e">
        <f t="shared" si="681"/>
        <v>#DIV/0!</v>
      </c>
      <c r="BU97" s="61" t="e">
        <f t="shared" si="681"/>
        <v>#DIV/0!</v>
      </c>
      <c r="BV97" s="61" t="e">
        <f t="shared" si="681"/>
        <v>#DIV/0!</v>
      </c>
      <c r="BW97" s="61" t="e">
        <f t="shared" si="681"/>
        <v>#DIV/0!</v>
      </c>
      <c r="BX97" s="61" t="e">
        <f t="shared" si="681"/>
        <v>#DIV/0!</v>
      </c>
      <c r="BY97" s="61" t="e">
        <f t="shared" si="681"/>
        <v>#DIV/0!</v>
      </c>
      <c r="BZ97" s="61" t="e">
        <f t="shared" si="681"/>
        <v>#DIV/0!</v>
      </c>
      <c r="CA97" s="61" t="e">
        <f t="shared" si="681"/>
        <v>#DIV/0!</v>
      </c>
      <c r="CB97" s="61" t="e">
        <f t="shared" si="681"/>
        <v>#DIV/0!</v>
      </c>
      <c r="CC97" s="61">
        <f t="shared" ref="CC97:CK97" si="682">-AVERAGE(CC101,CC106)/(CC103*CC$5)</f>
        <v>4</v>
      </c>
      <c r="CD97" s="61">
        <f t="shared" si="682"/>
        <v>3.0544871794871793</v>
      </c>
      <c r="CE97" s="61">
        <f t="shared" si="682"/>
        <v>8.1818181818181817</v>
      </c>
      <c r="CF97" s="61">
        <f t="shared" si="682"/>
        <v>9.5833333333333339</v>
      </c>
      <c r="CG97" s="61">
        <f t="shared" si="682"/>
        <v>4.8488372093023253</v>
      </c>
      <c r="CH97" s="61">
        <f t="shared" si="682"/>
        <v>4.5483870967741939</v>
      </c>
      <c r="CI97" s="61">
        <f t="shared" si="682"/>
        <v>3.6931818181818183</v>
      </c>
      <c r="CJ97" s="61">
        <f t="shared" si="682"/>
        <v>4.2049180327868854</v>
      </c>
      <c r="CK97" s="61">
        <f t="shared" si="682"/>
        <v>4.558988764044944</v>
      </c>
      <c r="CL97" s="61">
        <f t="shared" ref="CL97:CR97" si="683">-AVERAGE(CL101,CL106)/(CL103*CL$5)</f>
        <v>6.139344262295082</v>
      </c>
      <c r="CM97" s="61">
        <f t="shared" si="683"/>
        <v>8.3715083798882688</v>
      </c>
      <c r="CN97" s="61">
        <f t="shared" si="683"/>
        <v>7.3938775510204078</v>
      </c>
      <c r="CO97" s="61">
        <f t="shared" si="683"/>
        <v>5.7576219512195124</v>
      </c>
      <c r="CP97" s="61">
        <f t="shared" si="683"/>
        <v>6.4009740259740262</v>
      </c>
      <c r="CQ97" s="61">
        <f t="shared" si="683"/>
        <v>5.6952506596306067</v>
      </c>
      <c r="CR97" s="61">
        <f t="shared" si="683"/>
        <v>5.3086734693877551</v>
      </c>
      <c r="CS97" s="61">
        <f t="shared" ref="CS97:DC97" si="684">-AVERAGE(CS101,CS106)/(CS103*CS$5)</f>
        <v>3.3933092224231465</v>
      </c>
      <c r="CT97" s="61">
        <f t="shared" si="684"/>
        <v>3.9233333333333333</v>
      </c>
      <c r="CU97" s="61">
        <f t="shared" si="684"/>
        <v>2.7395264116575593</v>
      </c>
      <c r="CV97" s="61">
        <f t="shared" si="684"/>
        <v>3.2263033175355451</v>
      </c>
      <c r="CW97" s="61">
        <f t="shared" si="684"/>
        <v>3.8118279569892475</v>
      </c>
      <c r="CX97" s="61">
        <f t="shared" si="684"/>
        <v>4.2037974683544306</v>
      </c>
      <c r="CY97" s="61">
        <f t="shared" si="684"/>
        <v>2.9496350364963502</v>
      </c>
      <c r="CZ97" s="62">
        <f t="shared" si="684"/>
        <v>3.4670571010248903</v>
      </c>
      <c r="DA97" s="61">
        <f t="shared" si="684"/>
        <v>3.766006104468445</v>
      </c>
      <c r="DB97" s="61">
        <f t="shared" si="684"/>
        <v>3.7093625754299455</v>
      </c>
      <c r="DC97" s="61">
        <f t="shared" si="684"/>
        <v>3.6879594757629444</v>
      </c>
      <c r="DD97" s="61">
        <f t="shared" ref="DD97:DI97" si="685">-AVERAGE(DD101,DD106)/(DD103*DD$5)</f>
        <v>3.6849994834308859</v>
      </c>
      <c r="DE97" s="61">
        <f t="shared" si="685"/>
        <v>3.6829204745474864</v>
      </c>
      <c r="DF97" s="61">
        <f t="shared" si="685"/>
        <v>3.6566211733365108</v>
      </c>
      <c r="DG97" s="61">
        <f t="shared" si="685"/>
        <v>3.6552997887161367</v>
      </c>
      <c r="DH97" s="61">
        <f t="shared" si="685"/>
        <v>3.6555261605362457</v>
      </c>
      <c r="DI97" s="61">
        <f t="shared" si="685"/>
        <v>3.6559812575680031</v>
      </c>
    </row>
    <row r="98" spans="1:113" outlineLevel="1">
      <c r="A98" s="1" t="s">
        <v>564</v>
      </c>
      <c r="B98" s="19" t="s">
        <v>642</v>
      </c>
      <c r="C98" s="232" t="s">
        <v>215</v>
      </c>
      <c r="D98" s="232" t="s">
        <v>215</v>
      </c>
      <c r="E98" s="232" t="s">
        <v>215</v>
      </c>
      <c r="F98" s="232">
        <f t="shared" ref="F98:L98" si="686">F443/D443-1</f>
        <v>4.4718581341557373E-2</v>
      </c>
      <c r="G98" s="232">
        <f t="shared" si="686"/>
        <v>8.9758342922899859E-2</v>
      </c>
      <c r="H98" s="232">
        <f t="shared" si="686"/>
        <v>0.18191881918819197</v>
      </c>
      <c r="I98" s="232">
        <f t="shared" si="686"/>
        <v>7.2157690953889464E-2</v>
      </c>
      <c r="J98" s="232">
        <f t="shared" si="686"/>
        <v>-0.10427724008741801</v>
      </c>
      <c r="K98" s="232">
        <f t="shared" si="686"/>
        <v>-1.5101772816808912E-2</v>
      </c>
      <c r="L98" s="232">
        <f t="shared" si="686"/>
        <v>3.4158243290345114E-2</v>
      </c>
      <c r="M98" s="42">
        <f t="shared" ref="M98:X98" si="687">M443/K443-1</f>
        <v>8.999999999999897E-3</v>
      </c>
      <c r="N98" s="42">
        <f t="shared" si="687"/>
        <v>5.9656218402426742E-2</v>
      </c>
      <c r="O98" s="42">
        <f t="shared" si="687"/>
        <v>8.4572183680211355E-2</v>
      </c>
      <c r="P98" s="42">
        <f t="shared" si="687"/>
        <v>7.4427480916030575E-2</v>
      </c>
      <c r="Q98" s="42">
        <f t="shared" si="687"/>
        <v>0.10965580261955532</v>
      </c>
      <c r="R98" s="42">
        <f t="shared" si="687"/>
        <v>0.18650088809946719</v>
      </c>
      <c r="S98" s="42">
        <f t="shared" si="687"/>
        <v>0.15673895141367011</v>
      </c>
      <c r="T98" s="45">
        <f t="shared" si="687"/>
        <v>6.4870259481037973E-2</v>
      </c>
      <c r="U98" s="42">
        <f t="shared" si="687"/>
        <v>2.8239202657807327E-2</v>
      </c>
      <c r="V98" s="42">
        <f t="shared" si="687"/>
        <v>3.2802249297094743E-2</v>
      </c>
      <c r="W98" s="42">
        <f t="shared" si="687"/>
        <v>3.4618047542118724E-2</v>
      </c>
      <c r="X98" s="42">
        <f t="shared" si="687"/>
        <v>4.4010889292195987E-2</v>
      </c>
      <c r="Y98" s="45">
        <f t="shared" ref="Y98:AX98" si="688">Y443/W443-1</f>
        <v>2.4760205219718889E-2</v>
      </c>
      <c r="Z98" s="45">
        <f t="shared" si="688"/>
        <v>-2.933507170795302E-2</v>
      </c>
      <c r="AA98" s="45">
        <f t="shared" si="688"/>
        <v>-1.1101436656508534E-2</v>
      </c>
      <c r="AB98" s="45">
        <f t="shared" si="688"/>
        <v>6.3577344974255601E-2</v>
      </c>
      <c r="AC98" s="45">
        <f t="shared" si="688"/>
        <v>4.512436715826551E-2</v>
      </c>
      <c r="AD98" s="45">
        <f t="shared" si="688"/>
        <v>3.4308566617554215E-2</v>
      </c>
      <c r="AE98" s="45">
        <f t="shared" si="688"/>
        <v>6.9713563605728668E-2</v>
      </c>
      <c r="AF98" s="45">
        <f t="shared" si="688"/>
        <v>6.0236060236060318E-2</v>
      </c>
      <c r="AG98" s="45">
        <f t="shared" si="688"/>
        <v>2.8548926954124809E-2</v>
      </c>
      <c r="AH98" s="45">
        <f t="shared" si="688"/>
        <v>5.0671785028790772E-2</v>
      </c>
      <c r="AI98" s="45">
        <f t="shared" si="688"/>
        <v>-5.5513016845328833E-3</v>
      </c>
      <c r="AJ98" s="45">
        <f t="shared" si="688"/>
        <v>-3.2882718304713121E-3</v>
      </c>
      <c r="AK98" s="45">
        <f t="shared" si="688"/>
        <v>6.6217516843118274E-2</v>
      </c>
      <c r="AL98" s="45">
        <f t="shared" si="688"/>
        <v>-6.8888672607410051E-2</v>
      </c>
      <c r="AM98" s="45">
        <f t="shared" si="688"/>
        <v>3.6984401109591669E-2</v>
      </c>
      <c r="AN98" s="45">
        <f t="shared" si="688"/>
        <v>3.4025928809280348E-2</v>
      </c>
      <c r="AO98" s="45">
        <f t="shared" si="688"/>
        <v>-1.4913285724516001E-4</v>
      </c>
      <c r="AP98" s="45">
        <f t="shared" si="688"/>
        <v>6.4344184275652028E-2</v>
      </c>
      <c r="AQ98" s="45">
        <f t="shared" si="688"/>
        <v>4.3531255441406902E-3</v>
      </c>
      <c r="AR98" s="45">
        <f t="shared" si="688"/>
        <v>-1.8064746914684293E-2</v>
      </c>
      <c r="AS98" s="45">
        <f t="shared" si="688"/>
        <v>2.9472954230235882E-2</v>
      </c>
      <c r="AT98" s="45">
        <f t="shared" si="688"/>
        <v>5.1548269581056516E-2</v>
      </c>
      <c r="AU98" s="45">
        <f t="shared" si="688"/>
        <v>2.4755810037049519E-2</v>
      </c>
      <c r="AV98" s="45">
        <f t="shared" si="688"/>
        <v>4.1226398752814752E-2</v>
      </c>
      <c r="AW98" s="45">
        <f t="shared" si="688"/>
        <v>2.0049301561216204E-2</v>
      </c>
      <c r="AX98" s="45">
        <f t="shared" si="688"/>
        <v>6.0056562967892191E-2</v>
      </c>
      <c r="AY98" s="376">
        <f t="shared" ref="AY98" si="689">AY443/AW443-1</f>
        <v>6.7182213629772836E-2</v>
      </c>
      <c r="AZ98" s="375">
        <f t="shared" ref="AZ98" si="690">AZ443/AX443-1</f>
        <v>8.1293157564344076E-2</v>
      </c>
      <c r="BA98" s="232">
        <f t="shared" ref="BA98" si="691">BA443/AY443-1</f>
        <v>2.3027033698012289E-2</v>
      </c>
      <c r="BB98" s="232">
        <f t="shared" ref="BB98" si="692">BB443/AZ443-1</f>
        <v>2.8950461880378864E-2</v>
      </c>
      <c r="BC98" s="232">
        <f t="shared" ref="BC98" si="693">BC443/BA443-1</f>
        <v>5.3738573563144598E-2</v>
      </c>
      <c r="BD98" s="232">
        <f t="shared" ref="BD98" si="694">BD443/BB443-1</f>
        <v>4.4437668583776846E-2</v>
      </c>
      <c r="BE98" s="232">
        <f t="shared" ref="BE98" si="695">BE443/BC443-1</f>
        <v>3.2428589638290983E-2</v>
      </c>
      <c r="BF98" s="232">
        <f t="shared" ref="BF98" si="696">BF443/BD443-1</f>
        <v>2.8747801100025727E-2</v>
      </c>
      <c r="BG98" s="232">
        <f t="shared" ref="BG98" si="697">BG443/BE443-1</f>
        <v>2.9179066993017422E-2</v>
      </c>
      <c r="BH98" s="232">
        <f t="shared" ref="BH98" si="698">BH443/BF443-1</f>
        <v>2.9746281516322082E-2</v>
      </c>
      <c r="BI98" s="232">
        <f t="shared" ref="BI98" si="699">BI443/BG443-1</f>
        <v>2.9220689977357717E-2</v>
      </c>
      <c r="BJ98" s="232">
        <f t="shared" ref="BJ98:BM98" si="700">BJ443/BH443-1</f>
        <v>2.714223493147383E-2</v>
      </c>
      <c r="BK98" s="232">
        <f t="shared" si="700"/>
        <v>3.677582260650003E-2</v>
      </c>
      <c r="BL98" s="232">
        <f t="shared" si="700"/>
        <v>3.2537356783545412E-2</v>
      </c>
      <c r="BM98" s="232">
        <f t="shared" si="700"/>
        <v>3.7125298478325242E-2</v>
      </c>
      <c r="BN98" s="232">
        <f t="shared" ref="BN98" si="701">BN443/BL443-1</f>
        <v>3.2920192361775902E-2</v>
      </c>
      <c r="BO98" s="232">
        <f t="shared" ref="BO98" si="702">BO443/BM443-1</f>
        <v>2.2139855130569597E-2</v>
      </c>
      <c r="BP98" s="232">
        <f t="shared" ref="BP98" si="703">BP443/BN443-1</f>
        <v>2.4375623943011959E-2</v>
      </c>
      <c r="BQ98" s="232">
        <f t="shared" ref="BQ98" si="704">BQ443/BO443-1</f>
        <v>2.425463656315463E-2</v>
      </c>
      <c r="BR98" s="42"/>
      <c r="BS98" s="232" t="e">
        <f t="shared" ref="BS98:CB98" si="705">BS443/BR443-1</f>
        <v>#DIV/0!</v>
      </c>
      <c r="BT98" s="232">
        <f t="shared" si="705"/>
        <v>-6.1924420450936823E-2</v>
      </c>
      <c r="BU98" s="232">
        <f t="shared" si="705"/>
        <v>-2.3696682464454999E-2</v>
      </c>
      <c r="BV98" s="232">
        <f t="shared" si="705"/>
        <v>2.0457697642163764E-2</v>
      </c>
      <c r="BW98" s="232">
        <f t="shared" si="705"/>
        <v>-2.7183146449201501E-2</v>
      </c>
      <c r="BX98" s="232">
        <f t="shared" si="705"/>
        <v>2.1306322039818415E-2</v>
      </c>
      <c r="BY98" s="232">
        <f t="shared" si="705"/>
        <v>3.9329685362517131E-2</v>
      </c>
      <c r="BZ98" s="232">
        <f t="shared" si="705"/>
        <v>1.0200723922342947E-2</v>
      </c>
      <c r="CA98" s="232">
        <f t="shared" si="705"/>
        <v>0.10977198697068413</v>
      </c>
      <c r="CB98" s="232">
        <f t="shared" si="705"/>
        <v>0.51746404461402995</v>
      </c>
      <c r="CC98" s="42">
        <f t="shared" ref="CC98:CS98" si="706">CC443/CB443-1</f>
        <v>5.9961315280463445E-3</v>
      </c>
      <c r="CD98" s="42">
        <f t="shared" si="706"/>
        <v>6.7294751009421283E-2</v>
      </c>
      <c r="CE98" s="42">
        <f t="shared" si="706"/>
        <v>0.12574310934966682</v>
      </c>
      <c r="CF98" s="42">
        <f t="shared" si="706"/>
        <v>-6.0809729556729031E-2</v>
      </c>
      <c r="CG98" s="42">
        <f t="shared" si="706"/>
        <v>2.1298347248253524E-2</v>
      </c>
      <c r="CH98" s="42">
        <f t="shared" si="706"/>
        <v>7.2238905572238998E-2</v>
      </c>
      <c r="CI98" s="42">
        <f t="shared" si="706"/>
        <v>9.2422592189201902E-2</v>
      </c>
      <c r="CJ98" s="42">
        <f t="shared" si="706"/>
        <v>0.17105825380999851</v>
      </c>
      <c r="CK98" s="42">
        <f t="shared" si="706"/>
        <v>4.6095840428119761E-2</v>
      </c>
      <c r="CL98" s="42">
        <f t="shared" si="706"/>
        <v>3.3717009650040763E-2</v>
      </c>
      <c r="CM98" s="45">
        <f t="shared" si="706"/>
        <v>3.4304352716229891E-2</v>
      </c>
      <c r="CN98" s="45">
        <f t="shared" si="706"/>
        <v>-2.0226185297955612E-2</v>
      </c>
      <c r="CO98" s="45">
        <f t="shared" si="706"/>
        <v>5.4273029966703579E-2</v>
      </c>
      <c r="CP98" s="45">
        <f t="shared" si="706"/>
        <v>5.2005474260448548E-2</v>
      </c>
      <c r="CQ98" s="45">
        <f t="shared" si="706"/>
        <v>4.413089162413697E-2</v>
      </c>
      <c r="CR98" s="45">
        <f t="shared" si="706"/>
        <v>2.2522522522522515E-2</v>
      </c>
      <c r="CS98" s="45">
        <f t="shared" si="706"/>
        <v>3.0555815915268569E-2</v>
      </c>
      <c r="CT98" s="45">
        <f t="shared" ref="CT98:DI98" si="707">CT443/CS443-1</f>
        <v>-1.5552523874488355E-2</v>
      </c>
      <c r="CU98" s="45">
        <f t="shared" si="707"/>
        <v>1.5890613451589042E-2</v>
      </c>
      <c r="CV98" s="45">
        <f t="shared" si="707"/>
        <v>3.3012004365223779E-2</v>
      </c>
      <c r="CW98" s="45">
        <f t="shared" si="707"/>
        <v>6.0744783871820029E-3</v>
      </c>
      <c r="CX98" s="45">
        <f t="shared" si="707"/>
        <v>3.762688134406722E-2</v>
      </c>
      <c r="CY98" s="45">
        <f t="shared" si="707"/>
        <v>3.0359251138471821E-2</v>
      </c>
      <c r="CZ98" s="43">
        <f t="shared" si="707"/>
        <v>6.3676542805696457E-2</v>
      </c>
      <c r="DA98" s="42">
        <f t="shared" si="707"/>
        <v>5.1595188613083431E-2</v>
      </c>
      <c r="DB98" s="42">
        <f t="shared" si="707"/>
        <v>4.1241613756425544E-2</v>
      </c>
      <c r="DC98" s="42">
        <f t="shared" si="707"/>
        <v>3.8411514911126821E-2</v>
      </c>
      <c r="DD98" s="42">
        <f t="shared" si="707"/>
        <v>2.8962963382440199E-2</v>
      </c>
      <c r="DE98" s="42">
        <f t="shared" si="707"/>
        <v>2.9484004281558507E-2</v>
      </c>
      <c r="DF98" s="42">
        <f t="shared" si="707"/>
        <v>3.1948294950732592E-2</v>
      </c>
      <c r="DG98" s="232">
        <f t="shared" si="707"/>
        <v>3.4836923155799004E-2</v>
      </c>
      <c r="DH98" s="232">
        <f t="shared" si="707"/>
        <v>2.7504927314788929E-2</v>
      </c>
      <c r="DI98" s="232">
        <f t="shared" si="707"/>
        <v>2.4315165932458527E-2</v>
      </c>
    </row>
    <row r="99" spans="1:113" outlineLevel="1">
      <c r="A99" s="1" t="s">
        <v>565</v>
      </c>
      <c r="B99" s="19" t="s">
        <v>472</v>
      </c>
      <c r="C99" s="232">
        <f t="shared" ref="C99:L99" si="708">-C443/SUM(C408,C381)</f>
        <v>0.58181408957911318</v>
      </c>
      <c r="D99" s="232">
        <f t="shared" si="708"/>
        <v>0.57061152661680603</v>
      </c>
      <c r="E99" s="232">
        <f t="shared" si="708"/>
        <v>0.57651481645289693</v>
      </c>
      <c r="F99" s="232">
        <f t="shared" si="708"/>
        <v>0.60423634336677812</v>
      </c>
      <c r="G99" s="232">
        <f t="shared" si="708"/>
        <v>0.5781440781440782</v>
      </c>
      <c r="H99" s="232">
        <f t="shared" si="708"/>
        <v>0.61466129341777009</v>
      </c>
      <c r="I99" s="232">
        <f t="shared" si="708"/>
        <v>0.5768939393939394</v>
      </c>
      <c r="J99" s="232">
        <f t="shared" si="708"/>
        <v>0.52593950504124654</v>
      </c>
      <c r="K99" s="232">
        <f t="shared" si="708"/>
        <v>0.53125553391181157</v>
      </c>
      <c r="L99" s="232">
        <f t="shared" si="708"/>
        <v>0.4936772046589018</v>
      </c>
      <c r="M99" s="42">
        <f t="shared" ref="M99:X99" si="709">-M443/SUM(M408,M381)</f>
        <v>0.49859990116949432</v>
      </c>
      <c r="N99" s="42">
        <f t="shared" si="709"/>
        <v>0.47948757053530577</v>
      </c>
      <c r="O99" s="42">
        <f t="shared" si="709"/>
        <v>0.4944277108433735</v>
      </c>
      <c r="P99" s="42">
        <f t="shared" si="709"/>
        <v>0.48147092360319271</v>
      </c>
      <c r="Q99" s="42">
        <f t="shared" si="709"/>
        <v>0.49733788395904438</v>
      </c>
      <c r="R99" s="42">
        <f t="shared" si="709"/>
        <v>0.4725857799787761</v>
      </c>
      <c r="S99" s="42">
        <f t="shared" si="709"/>
        <v>0.46900389538119086</v>
      </c>
      <c r="T99" s="45">
        <f t="shared" si="709"/>
        <v>0.4403631861328931</v>
      </c>
      <c r="U99" s="42">
        <f t="shared" si="709"/>
        <v>0.46258140279705351</v>
      </c>
      <c r="V99" s="42">
        <f t="shared" si="709"/>
        <v>0.45261320464113358</v>
      </c>
      <c r="W99" s="42">
        <f t="shared" si="709"/>
        <v>0.45191532258064515</v>
      </c>
      <c r="X99" s="42">
        <f t="shared" si="709"/>
        <v>0.45541810984661057</v>
      </c>
      <c r="Y99" s="45">
        <f t="shared" ref="Y99:AD99" si="710">-Y443/SUM(Y408,Y381)</f>
        <v>0.45734196117471376</v>
      </c>
      <c r="Z99" s="45">
        <f t="shared" si="710"/>
        <v>0.43415297890951504</v>
      </c>
      <c r="AA99" s="45">
        <f t="shared" si="710"/>
        <v>0.4313520698822636</v>
      </c>
      <c r="AB99" s="45">
        <f t="shared" si="710"/>
        <v>0.4261750986724076</v>
      </c>
      <c r="AC99" s="45">
        <f t="shared" si="710"/>
        <v>0.42193192926330758</v>
      </c>
      <c r="AD99" s="45">
        <f t="shared" si="710"/>
        <v>0.4190330007674597</v>
      </c>
      <c r="AE99" s="45">
        <f t="shared" ref="AE99:AK99" si="711">-AE443/SUM(AE408,AE381)</f>
        <v>0.42857142857142855</v>
      </c>
      <c r="AF99" s="45">
        <f t="shared" si="711"/>
        <v>0.41948470209339772</v>
      </c>
      <c r="AG99" s="45">
        <f t="shared" si="711"/>
        <v>0.42378518698791273</v>
      </c>
      <c r="AH99" s="45">
        <f t="shared" si="711"/>
        <v>0.42649006622516555</v>
      </c>
      <c r="AI99" s="45">
        <f t="shared" si="711"/>
        <v>0.41716855376214568</v>
      </c>
      <c r="AJ99" s="45">
        <f t="shared" si="711"/>
        <v>0.43133844572693492</v>
      </c>
      <c r="AK99" s="45">
        <f t="shared" si="711"/>
        <v>0.45131589668377742</v>
      </c>
      <c r="AL99" s="45">
        <f t="shared" ref="AL99:AQ99" si="712">-AL443/SUM(AL408,AL381)</f>
        <v>0.42419864283256498</v>
      </c>
      <c r="AM99" s="45">
        <f t="shared" si="712"/>
        <v>0.49502603735859219</v>
      </c>
      <c r="AN99" s="45">
        <f t="shared" si="712"/>
        <v>0.43691258421359064</v>
      </c>
      <c r="AO99" s="45">
        <f t="shared" si="712"/>
        <v>0.48926563298688019</v>
      </c>
      <c r="AP99" s="45">
        <f t="shared" si="712"/>
        <v>0.46743583312432069</v>
      </c>
      <c r="AQ99" s="45">
        <f t="shared" si="712"/>
        <v>0.47298072980729805</v>
      </c>
      <c r="AR99" s="45">
        <f t="shared" ref="AR99" si="713">-AR443/SUM(AR408,AR381)</f>
        <v>0.45345667795490213</v>
      </c>
      <c r="AS99" s="45">
        <f t="shared" ref="AS99" si="714">-AS443/SUM(AS408,AS381)</f>
        <v>0.47194404705134319</v>
      </c>
      <c r="AT99" s="45">
        <f t="shared" ref="AT99:AU99" si="715">-AT443/SUM(AT408,AT381)</f>
        <v>0.42376862658738895</v>
      </c>
      <c r="AU99" s="45">
        <f t="shared" si="715"/>
        <v>0.45034043812907043</v>
      </c>
      <c r="AV99" s="45">
        <f t="shared" ref="AV99:AW99" si="716">-AV443/SUM(AV408,AV381)</f>
        <v>0.44039856399736244</v>
      </c>
      <c r="AW99" s="45">
        <f t="shared" si="716"/>
        <v>0.45892791127541588</v>
      </c>
      <c r="AX99" s="45">
        <f t="shared" ref="AX99" si="717">-AX443/SUM(AX408,AX381)</f>
        <v>0.45201106618429454</v>
      </c>
      <c r="AY99" s="376">
        <f t="shared" ref="AY99:BE99" si="718">-AY443/SUM(AY408,AY381)</f>
        <v>0.46102449888641434</v>
      </c>
      <c r="AZ99" s="375">
        <f t="shared" si="718"/>
        <v>0.45869116570135143</v>
      </c>
      <c r="BA99" s="232">
        <f t="shared" si="718"/>
        <v>0.44647330353575432</v>
      </c>
      <c r="BB99" s="232">
        <f t="shared" si="718"/>
        <v>0.45006380889077541</v>
      </c>
      <c r="BC99" s="232">
        <f t="shared" si="718"/>
        <v>0.45136670568548537</v>
      </c>
      <c r="BD99" s="232">
        <f t="shared" si="718"/>
        <v>0.45631812714341952</v>
      </c>
      <c r="BE99" s="232">
        <f t="shared" si="718"/>
        <v>0.44833173444201541</v>
      </c>
      <c r="BF99" s="232">
        <f t="shared" ref="BF99:BM99" si="719">-BF443/SUM(BF408,BF381)</f>
        <v>0.45007178332078945</v>
      </c>
      <c r="BG99" s="232">
        <f t="shared" si="719"/>
        <v>0.44708597178533388</v>
      </c>
      <c r="BH99" s="232">
        <f t="shared" si="719"/>
        <v>0.45050573562774476</v>
      </c>
      <c r="BI99" s="232">
        <f t="shared" si="719"/>
        <v>0.44884647600179783</v>
      </c>
      <c r="BJ99" s="232">
        <f t="shared" si="719"/>
        <v>0.45024294296686901</v>
      </c>
      <c r="BK99" s="232">
        <f t="shared" si="719"/>
        <v>0.45312564878400213</v>
      </c>
      <c r="BL99" s="232">
        <f t="shared" si="719"/>
        <v>0.45325076201495779</v>
      </c>
      <c r="BM99" s="232">
        <f t="shared" si="719"/>
        <v>0.45564262395460831</v>
      </c>
      <c r="BN99" s="232">
        <f t="shared" ref="BN99:BO99" si="720">-BN443/SUM(BN408,BN381)</f>
        <v>0.45395159286151732</v>
      </c>
      <c r="BO99" s="232">
        <f t="shared" si="720"/>
        <v>0.45409017970624371</v>
      </c>
      <c r="BP99" s="232">
        <f t="shared" ref="BP99:BQ99" si="721">-BP443/SUM(BP408,BP381)</f>
        <v>0.45215313502971322</v>
      </c>
      <c r="BQ99" s="232">
        <f t="shared" si="721"/>
        <v>0.45224898018372028</v>
      </c>
      <c r="BR99" s="42"/>
      <c r="BS99" s="232">
        <f t="shared" ref="BS99:CB99" si="722">-BS443/SUM(BS408,BS381)</f>
        <v>0.6767676767676768</v>
      </c>
      <c r="BT99" s="232">
        <f t="shared" si="722"/>
        <v>0.67643691321273181</v>
      </c>
      <c r="BU99" s="232">
        <f t="shared" si="722"/>
        <v>0.67715426156374736</v>
      </c>
      <c r="BV99" s="232">
        <f t="shared" si="722"/>
        <v>0.63317555938037862</v>
      </c>
      <c r="BW99" s="232">
        <f t="shared" si="722"/>
        <v>0.60248316498316501</v>
      </c>
      <c r="BX99" s="232">
        <f t="shared" si="722"/>
        <v>0.59905757017004713</v>
      </c>
      <c r="BY99" s="232">
        <f t="shared" si="722"/>
        <v>0.58107074569789674</v>
      </c>
      <c r="BZ99" s="232">
        <f t="shared" si="722"/>
        <v>0.55575669804489503</v>
      </c>
      <c r="CA99" s="232">
        <f t="shared" si="722"/>
        <v>0.55497638051799969</v>
      </c>
      <c r="CB99" s="232">
        <f t="shared" si="722"/>
        <v>0.5859020852221215</v>
      </c>
      <c r="CC99" s="42">
        <f t="shared" ref="CC99:CR99" si="723">-CC443/SUM(CC408,CC381)</f>
        <v>0.57355535950595504</v>
      </c>
      <c r="CD99" s="42">
        <f t="shared" si="723"/>
        <v>0.59059474412171509</v>
      </c>
      <c r="CE99" s="42">
        <f t="shared" si="723"/>
        <v>0.59565341721475551</v>
      </c>
      <c r="CF99" s="42">
        <f t="shared" si="723"/>
        <v>0.52864348765988112</v>
      </c>
      <c r="CG99" s="42">
        <f t="shared" si="723"/>
        <v>0.49615098087906628</v>
      </c>
      <c r="CH99" s="42">
        <f t="shared" si="723"/>
        <v>0.48700462226263547</v>
      </c>
      <c r="CI99" s="42">
        <f t="shared" si="723"/>
        <v>0.48957534342096087</v>
      </c>
      <c r="CJ99" s="42">
        <f t="shared" si="723"/>
        <v>0.47074315813580669</v>
      </c>
      <c r="CK99" s="42">
        <f t="shared" si="723"/>
        <v>0.45128285849205102</v>
      </c>
      <c r="CL99" s="42">
        <f t="shared" si="723"/>
        <v>0.45226105091815455</v>
      </c>
      <c r="CM99" s="45">
        <f t="shared" si="723"/>
        <v>0.45637717121588089</v>
      </c>
      <c r="CN99" s="45">
        <f t="shared" si="723"/>
        <v>0.43273617981845253</v>
      </c>
      <c r="CO99" s="45">
        <f t="shared" si="723"/>
        <v>0.42404356948350519</v>
      </c>
      <c r="CP99" s="45">
        <f t="shared" si="723"/>
        <v>0.423827296632454</v>
      </c>
      <c r="CQ99" s="45">
        <f t="shared" si="723"/>
        <v>0.42162686386228632</v>
      </c>
      <c r="CR99" s="45">
        <f t="shared" si="723"/>
        <v>0.42189971527997472</v>
      </c>
      <c r="CS99" s="45">
        <f t="shared" ref="CS99:DC99" si="724">-CS443/SUM(CS408,CS381)</f>
        <v>0.44117647058823528</v>
      </c>
      <c r="CT99" s="45">
        <f t="shared" si="724"/>
        <v>0.45905254675770812</v>
      </c>
      <c r="CU99" s="45">
        <f t="shared" si="724"/>
        <v>0.46277513572661083</v>
      </c>
      <c r="CV99" s="45">
        <f t="shared" si="724"/>
        <v>0.47023513826792518</v>
      </c>
      <c r="CW99" s="45">
        <f t="shared" si="724"/>
        <v>0.46287820486856496</v>
      </c>
      <c r="CX99" s="45">
        <f t="shared" si="724"/>
        <v>0.43700018426386583</v>
      </c>
      <c r="CY99" s="45">
        <f t="shared" si="724"/>
        <v>0.44962096121292411</v>
      </c>
      <c r="CZ99" s="43">
        <f t="shared" si="724"/>
        <v>0.45656068856490428</v>
      </c>
      <c r="DA99" s="42">
        <f t="shared" si="724"/>
        <v>0.45255049357467914</v>
      </c>
      <c r="DB99" s="42">
        <f t="shared" si="724"/>
        <v>0.4507166606960466</v>
      </c>
      <c r="DC99" s="42">
        <f t="shared" si="724"/>
        <v>0.45229839369719915</v>
      </c>
      <c r="DD99" s="42">
        <f t="shared" ref="DD99:DI99" si="725">-DD443/SUM(DD408,DD381)</f>
        <v>0.44857685475475778</v>
      </c>
      <c r="DE99" s="42">
        <f t="shared" si="725"/>
        <v>0.44967642395074436</v>
      </c>
      <c r="DF99" s="42">
        <f t="shared" si="725"/>
        <v>0.45168321221223096</v>
      </c>
      <c r="DG99" s="232">
        <f t="shared" si="725"/>
        <v>0.45444911399030469</v>
      </c>
      <c r="DH99" s="232">
        <f t="shared" si="725"/>
        <v>0.45402083483872202</v>
      </c>
      <c r="DI99" s="232">
        <f t="shared" si="725"/>
        <v>0.45220102143297614</v>
      </c>
    </row>
    <row r="100" spans="1:113" outlineLevel="1">
      <c r="AB100" s="530"/>
      <c r="AC100" s="376"/>
      <c r="AD100" s="376"/>
      <c r="AE100" s="376"/>
      <c r="AF100" s="376"/>
      <c r="AG100" s="376"/>
      <c r="AH100" s="376"/>
      <c r="AI100" s="376"/>
      <c r="AJ100" s="376"/>
      <c r="AK100" s="376"/>
      <c r="AL100" s="376"/>
      <c r="AM100" s="376"/>
      <c r="AN100" s="376"/>
      <c r="AO100" s="376"/>
      <c r="AP100" s="55"/>
      <c r="AQ100" s="55"/>
      <c r="AR100" s="55"/>
      <c r="AS100" s="55"/>
      <c r="AT100" s="55"/>
      <c r="AU100" s="55"/>
      <c r="AV100" s="55"/>
      <c r="AW100" s="55"/>
      <c r="AX100" s="55"/>
      <c r="AY100" s="45"/>
      <c r="AZ100" s="375"/>
      <c r="BA100" s="232"/>
      <c r="BB100" s="232"/>
      <c r="BC100" s="232"/>
      <c r="BD100" s="232"/>
      <c r="BE100" s="232"/>
      <c r="BF100" s="232"/>
      <c r="BG100" s="232"/>
      <c r="BH100" s="232"/>
      <c r="BI100" s="232"/>
      <c r="BJ100" s="232"/>
      <c r="BK100" s="232"/>
      <c r="BL100" s="232"/>
      <c r="BM100" s="232"/>
      <c r="BN100" s="232"/>
      <c r="BO100" s="232"/>
      <c r="BP100" s="232"/>
      <c r="BQ100" s="232"/>
      <c r="CU100" s="50"/>
      <c r="CV100" s="50"/>
      <c r="CW100" s="50"/>
      <c r="CX100" s="50"/>
      <c r="CY100" s="50"/>
      <c r="CZ100" s="22"/>
    </row>
    <row r="101" spans="1:113" outlineLevel="1">
      <c r="A101" s="1" t="s">
        <v>986</v>
      </c>
      <c r="B101" s="19" t="s">
        <v>566</v>
      </c>
      <c r="C101" s="185">
        <f>AVERAGE(C106,AU106)</f>
        <v>994.5</v>
      </c>
      <c r="D101" s="55">
        <f t="shared" ref="D101:L101" si="726">C106</f>
        <v>77</v>
      </c>
      <c r="E101" s="55">
        <f t="shared" si="726"/>
        <v>143</v>
      </c>
      <c r="F101" s="55">
        <f t="shared" si="726"/>
        <v>209</v>
      </c>
      <c r="G101" s="55">
        <f t="shared" si="726"/>
        <v>228.5</v>
      </c>
      <c r="H101" s="55">
        <f t="shared" si="726"/>
        <v>248</v>
      </c>
      <c r="I101" s="55">
        <f t="shared" si="726"/>
        <v>73</v>
      </c>
      <c r="J101" s="55">
        <f t="shared" si="726"/>
        <v>107</v>
      </c>
      <c r="K101" s="55">
        <f t="shared" si="726"/>
        <v>163</v>
      </c>
      <c r="L101" s="55">
        <f t="shared" si="726"/>
        <v>182</v>
      </c>
      <c r="M101" s="55">
        <f t="shared" ref="M101:Z101" si="727">L106</f>
        <v>188</v>
      </c>
      <c r="N101" s="55">
        <f t="shared" si="727"/>
        <v>229</v>
      </c>
      <c r="O101" s="55">
        <f t="shared" si="727"/>
        <v>267</v>
      </c>
      <c r="P101" s="55">
        <f t="shared" si="727"/>
        <v>297</v>
      </c>
      <c r="Q101" s="55">
        <f t="shared" si="727"/>
        <v>316</v>
      </c>
      <c r="R101" s="55">
        <f t="shared" si="727"/>
        <v>353</v>
      </c>
      <c r="S101" s="55">
        <f t="shared" si="727"/>
        <v>571</v>
      </c>
      <c r="T101" s="55">
        <f t="shared" si="727"/>
        <v>673</v>
      </c>
      <c r="U101" s="55">
        <f t="shared" si="727"/>
        <v>799</v>
      </c>
      <c r="V101" s="55">
        <f t="shared" si="727"/>
        <v>950</v>
      </c>
      <c r="W101" s="55">
        <f t="shared" si="727"/>
        <v>1100</v>
      </c>
      <c r="X101" s="55">
        <f t="shared" si="727"/>
        <v>1297</v>
      </c>
      <c r="Y101" s="55">
        <f t="shared" si="727"/>
        <v>1480</v>
      </c>
      <c r="Z101" s="55">
        <f t="shared" si="727"/>
        <v>1700</v>
      </c>
      <c r="AA101" s="55">
        <f t="shared" ref="AA101:AZ101" si="728">Z106</f>
        <v>1831</v>
      </c>
      <c r="AB101" s="55">
        <f t="shared" si="728"/>
        <v>1923</v>
      </c>
      <c r="AC101" s="55">
        <f t="shared" si="728"/>
        <v>1950</v>
      </c>
      <c r="AD101" s="55">
        <f t="shared" si="728"/>
        <v>1854</v>
      </c>
      <c r="AE101" s="55">
        <f t="shared" si="728"/>
        <v>1979</v>
      </c>
      <c r="AF101" s="55">
        <f t="shared" si="728"/>
        <v>2089</v>
      </c>
      <c r="AG101" s="55">
        <f t="shared" si="728"/>
        <v>2183</v>
      </c>
      <c r="AH101" s="55">
        <f t="shared" si="728"/>
        <v>2228</v>
      </c>
      <c r="AI101" s="55">
        <f t="shared" si="728"/>
        <v>1897</v>
      </c>
      <c r="AJ101" s="55">
        <f t="shared" si="728"/>
        <v>1934</v>
      </c>
      <c r="AK101" s="55">
        <f t="shared" si="728"/>
        <v>1896</v>
      </c>
      <c r="AL101" s="55">
        <f t="shared" si="728"/>
        <v>1819</v>
      </c>
      <c r="AM101" s="55">
        <f t="shared" si="728"/>
        <v>1782</v>
      </c>
      <c r="AN101" s="55">
        <f t="shared" si="728"/>
        <v>1712</v>
      </c>
      <c r="AO101" s="55">
        <f t="shared" si="728"/>
        <v>1418</v>
      </c>
      <c r="AP101" s="55">
        <f t="shared" si="728"/>
        <v>1296</v>
      </c>
      <c r="AQ101" s="55">
        <f t="shared" si="728"/>
        <v>1334</v>
      </c>
      <c r="AR101" s="55">
        <f t="shared" si="728"/>
        <v>1427</v>
      </c>
      <c r="AS101" s="55">
        <f t="shared" si="728"/>
        <v>1585</v>
      </c>
      <c r="AT101" s="55">
        <f t="shared" si="728"/>
        <v>1409</v>
      </c>
      <c r="AU101" s="55">
        <f t="shared" si="728"/>
        <v>1643</v>
      </c>
      <c r="AV101" s="55">
        <f t="shared" si="728"/>
        <v>1912</v>
      </c>
      <c r="AW101" s="55">
        <f t="shared" si="728"/>
        <v>2035</v>
      </c>
      <c r="AX101" s="55">
        <f t="shared" si="728"/>
        <v>2129</v>
      </c>
      <c r="AY101" s="55">
        <f t="shared" ref="AY101" si="729">AX106</f>
        <v>2315</v>
      </c>
      <c r="AZ101" s="56">
        <f t="shared" si="728"/>
        <v>2607</v>
      </c>
      <c r="BA101" s="55">
        <f t="shared" ref="BA101" si="730">AZ106</f>
        <v>2840</v>
      </c>
      <c r="BB101" s="55">
        <f t="shared" ref="BB101" si="731">BA106</f>
        <v>3026.9162407918552</v>
      </c>
      <c r="BC101" s="55">
        <f t="shared" ref="BC101" si="732">BB106</f>
        <v>3176.3337119973676</v>
      </c>
      <c r="BD101" s="55">
        <f t="shared" ref="BD101" si="733">BC106</f>
        <v>3292.6978390602221</v>
      </c>
      <c r="BE101" s="55">
        <f t="shared" ref="BE101" si="734">BD106</f>
        <v>3379.8201623405585</v>
      </c>
      <c r="BF101" s="55">
        <f t="shared" ref="BF101" si="735">BE106</f>
        <v>3465.7643048495665</v>
      </c>
      <c r="BG101" s="55">
        <f t="shared" ref="BG101" si="736">BF106</f>
        <v>3550.9077710772372</v>
      </c>
      <c r="BH101" s="55">
        <f t="shared" ref="BH101" si="737">BG106</f>
        <v>3635.5805398911471</v>
      </c>
      <c r="BI101" s="55">
        <f t="shared" ref="BI101" si="738">BH106</f>
        <v>3720.0716771636271</v>
      </c>
      <c r="BJ101" s="55">
        <f t="shared" ref="BJ101:BM101" si="739">BI106</f>
        <v>3804.6350420615236</v>
      </c>
      <c r="BK101" s="55">
        <f t="shared" si="739"/>
        <v>3867.8823821092706</v>
      </c>
      <c r="BL101" s="55">
        <f t="shared" si="739"/>
        <v>3948.7854486330966</v>
      </c>
      <c r="BM101" s="55">
        <f t="shared" si="739"/>
        <v>4015.2171379370347</v>
      </c>
      <c r="BN101" s="55">
        <f t="shared" ref="BN101" si="740">BM106</f>
        <v>4094.5889218375773</v>
      </c>
      <c r="BO101" s="55">
        <f t="shared" ref="BO101" si="741">BN106</f>
        <v>4162.1327961877696</v>
      </c>
      <c r="BP101" s="55">
        <f t="shared" ref="BP101" si="742">BO106</f>
        <v>4243.7232850272048</v>
      </c>
      <c r="BQ101" s="55">
        <f t="shared" ref="BQ101" si="743">BP106</f>
        <v>4305.2116105431505</v>
      </c>
      <c r="BZ101" s="55"/>
      <c r="CA101" s="55">
        <f>BZ106</f>
        <v>22</v>
      </c>
      <c r="CB101" s="55">
        <f>CA106</f>
        <v>43</v>
      </c>
      <c r="CC101" s="55">
        <f>E101</f>
        <v>143</v>
      </c>
      <c r="CD101" s="55">
        <f>G101</f>
        <v>228.5</v>
      </c>
      <c r="CE101" s="55">
        <f>I101</f>
        <v>73</v>
      </c>
      <c r="CF101" s="55">
        <f>K101</f>
        <v>163</v>
      </c>
      <c r="CG101" s="55">
        <f>M101</f>
        <v>188</v>
      </c>
      <c r="CH101" s="55">
        <f>O101</f>
        <v>267</v>
      </c>
      <c r="CI101" s="64">
        <f>P101</f>
        <v>297</v>
      </c>
      <c r="CJ101" s="55">
        <f t="shared" ref="CJ101:DI101" si="744">CI106</f>
        <v>353</v>
      </c>
      <c r="CK101" s="55">
        <f t="shared" si="744"/>
        <v>673</v>
      </c>
      <c r="CL101" s="55">
        <f t="shared" si="744"/>
        <v>950</v>
      </c>
      <c r="CM101" s="55">
        <f t="shared" si="744"/>
        <v>1297</v>
      </c>
      <c r="CN101" s="55">
        <f t="shared" si="744"/>
        <v>1700</v>
      </c>
      <c r="CO101" s="55">
        <f t="shared" si="744"/>
        <v>1923</v>
      </c>
      <c r="CP101" s="55">
        <f t="shared" si="744"/>
        <v>1854</v>
      </c>
      <c r="CQ101" s="55">
        <f t="shared" si="744"/>
        <v>2089</v>
      </c>
      <c r="CR101" s="55">
        <f t="shared" si="744"/>
        <v>2228</v>
      </c>
      <c r="CS101" s="55">
        <f t="shared" si="744"/>
        <v>1934</v>
      </c>
      <c r="CT101" s="55">
        <f t="shared" si="744"/>
        <v>1819</v>
      </c>
      <c r="CU101" s="55">
        <f t="shared" si="744"/>
        <v>1712</v>
      </c>
      <c r="CV101" s="55">
        <f t="shared" si="744"/>
        <v>1296</v>
      </c>
      <c r="CW101" s="55">
        <f t="shared" si="744"/>
        <v>1427</v>
      </c>
      <c r="CX101" s="55">
        <f t="shared" si="744"/>
        <v>1409</v>
      </c>
      <c r="CY101" s="55">
        <f t="shared" si="744"/>
        <v>1912</v>
      </c>
      <c r="CZ101" s="56">
        <f t="shared" si="744"/>
        <v>2129</v>
      </c>
      <c r="DA101" s="55">
        <f t="shared" si="744"/>
        <v>2607</v>
      </c>
      <c r="DB101" s="55">
        <f t="shared" si="744"/>
        <v>3026.9162407918552</v>
      </c>
      <c r="DC101" s="55">
        <f t="shared" si="744"/>
        <v>3292.6978390602221</v>
      </c>
      <c r="DD101" s="55">
        <f t="shared" si="744"/>
        <v>3465.7643048495665</v>
      </c>
      <c r="DE101" s="55">
        <f t="shared" si="744"/>
        <v>3635.5805398911471</v>
      </c>
      <c r="DF101" s="55">
        <f t="shared" si="744"/>
        <v>3804.6350420615236</v>
      </c>
      <c r="DG101" s="55">
        <f t="shared" si="744"/>
        <v>3948.7854486330966</v>
      </c>
      <c r="DH101" s="55">
        <f t="shared" si="744"/>
        <v>4094.5889218375773</v>
      </c>
      <c r="DI101" s="55">
        <f t="shared" si="744"/>
        <v>4243.7232850272048</v>
      </c>
    </row>
    <row r="102" spans="1:113" outlineLevel="1">
      <c r="A102" s="1" t="s">
        <v>774</v>
      </c>
      <c r="B102" s="19" t="s">
        <v>693</v>
      </c>
      <c r="C102" s="55">
        <f t="shared" ref="C102:L102" si="745">C106-C101-C103-C104-C105</f>
        <v>-895.5</v>
      </c>
      <c r="D102" s="55">
        <f t="shared" si="745"/>
        <v>88</v>
      </c>
      <c r="E102" s="55">
        <f t="shared" si="745"/>
        <v>88</v>
      </c>
      <c r="F102" s="55">
        <f t="shared" si="745"/>
        <v>50.5</v>
      </c>
      <c r="G102" s="55">
        <f t="shared" si="745"/>
        <v>66.5</v>
      </c>
      <c r="H102" s="55">
        <f t="shared" si="745"/>
        <v>48</v>
      </c>
      <c r="I102" s="55">
        <f t="shared" si="745"/>
        <v>41</v>
      </c>
      <c r="J102" s="55">
        <f t="shared" si="745"/>
        <v>61</v>
      </c>
      <c r="K102" s="55">
        <f t="shared" si="745"/>
        <v>32</v>
      </c>
      <c r="L102" s="55">
        <f t="shared" si="745"/>
        <v>22</v>
      </c>
      <c r="M102" s="55">
        <f t="shared" ref="M102:W102" si="746">M106-M101-M103-M104-M105</f>
        <v>68</v>
      </c>
      <c r="N102" s="55">
        <f t="shared" si="746"/>
        <v>68</v>
      </c>
      <c r="O102" s="55">
        <f t="shared" si="746"/>
        <v>62</v>
      </c>
      <c r="P102" s="55">
        <f t="shared" si="746"/>
        <v>61</v>
      </c>
      <c r="Q102" s="55">
        <f t="shared" si="746"/>
        <v>160</v>
      </c>
      <c r="R102" s="55">
        <f t="shared" si="746"/>
        <v>267</v>
      </c>
      <c r="S102" s="55">
        <f t="shared" si="746"/>
        <v>205</v>
      </c>
      <c r="T102" s="55">
        <f t="shared" si="746"/>
        <v>230</v>
      </c>
      <c r="U102" s="55">
        <f t="shared" si="746"/>
        <v>225</v>
      </c>
      <c r="V102" s="55">
        <f t="shared" si="746"/>
        <v>231</v>
      </c>
      <c r="W102" s="55">
        <f t="shared" si="746"/>
        <v>299</v>
      </c>
      <c r="X102" s="55">
        <f t="shared" ref="X102:AK102" si="747">X106-X101-X103-X104-X105</f>
        <v>276</v>
      </c>
      <c r="Y102" s="55">
        <f t="shared" si="747"/>
        <v>310</v>
      </c>
      <c r="Z102" s="55">
        <f t="shared" si="747"/>
        <v>243</v>
      </c>
      <c r="AA102" s="55">
        <f t="shared" si="747"/>
        <v>225</v>
      </c>
      <c r="AB102" s="55">
        <f t="shared" si="747"/>
        <v>225</v>
      </c>
      <c r="AC102" s="55">
        <f t="shared" si="747"/>
        <v>104</v>
      </c>
      <c r="AD102" s="55">
        <f t="shared" si="747"/>
        <v>278</v>
      </c>
      <c r="AE102" s="55">
        <f t="shared" si="747"/>
        <v>276</v>
      </c>
      <c r="AF102" s="55">
        <f t="shared" si="747"/>
        <v>272</v>
      </c>
      <c r="AG102" s="55">
        <f t="shared" si="747"/>
        <v>247</v>
      </c>
      <c r="AH102" s="55">
        <f t="shared" si="747"/>
        <v>282</v>
      </c>
      <c r="AI102" s="55">
        <f t="shared" si="747"/>
        <v>209</v>
      </c>
      <c r="AJ102" s="55">
        <f t="shared" si="747"/>
        <v>164</v>
      </c>
      <c r="AK102" s="55">
        <f t="shared" si="747"/>
        <v>274</v>
      </c>
      <c r="AL102" s="55">
        <f t="shared" ref="AL102:AQ102" si="748">AL106-AL101-AL103-AL104-AL105</f>
        <v>194</v>
      </c>
      <c r="AM102" s="55">
        <f t="shared" si="748"/>
        <v>149</v>
      </c>
      <c r="AN102" s="55">
        <f t="shared" si="748"/>
        <v>201</v>
      </c>
      <c r="AO102" s="55">
        <f t="shared" si="748"/>
        <v>152</v>
      </c>
      <c r="AP102" s="55">
        <f t="shared" si="748"/>
        <v>276</v>
      </c>
      <c r="AQ102" s="55">
        <f t="shared" si="748"/>
        <v>277</v>
      </c>
      <c r="AR102" s="55">
        <f t="shared" ref="AR102" si="749">AR106-AR101-AR103-AR104-AR105</f>
        <v>318</v>
      </c>
      <c r="AS102" s="55">
        <f t="shared" ref="AS102" si="750">AS106-AS101-AS103-AS104-AS105</f>
        <v>425</v>
      </c>
      <c r="AT102" s="55">
        <f t="shared" ref="AT102:AU102" si="751">AT106-AT101-AT103-AT104-AT105</f>
        <v>417</v>
      </c>
      <c r="AU102" s="55">
        <f t="shared" si="751"/>
        <v>481</v>
      </c>
      <c r="AV102" s="55">
        <f t="shared" ref="AV102:AW102" si="752">AV106-AV101-AV103-AV104-AV105</f>
        <v>437</v>
      </c>
      <c r="AW102" s="55">
        <f t="shared" si="752"/>
        <v>465</v>
      </c>
      <c r="AX102" s="55">
        <f t="shared" ref="AX102:AY102" si="753">AX106-AX101-AX103-AX104-AX105</f>
        <v>515</v>
      </c>
      <c r="AY102" s="55">
        <f t="shared" si="753"/>
        <v>646</v>
      </c>
      <c r="AZ102" s="56">
        <f t="shared" ref="AZ102" si="754">AZ106-AZ101-AZ103-AZ104-AZ105</f>
        <v>591</v>
      </c>
      <c r="BA102" s="827">
        <f>[5]CBA!L$236</f>
        <v>576.91240496523449</v>
      </c>
      <c r="BB102" s="827">
        <f>[5]CBA!M$236</f>
        <v>565.08145824175449</v>
      </c>
      <c r="BC102" s="827">
        <f>[5]CBA!N$236</f>
        <v>552.54650868734905</v>
      </c>
      <c r="BD102" s="827">
        <f>[5]CBA!O$236</f>
        <v>539.2841285674707</v>
      </c>
      <c r="BE102" s="827">
        <f>[5]CBA!P$236</f>
        <v>550.06981113882</v>
      </c>
      <c r="BF102" s="827">
        <f>[5]CBA!Q$236</f>
        <v>561.07120736159652</v>
      </c>
      <c r="BG102" s="827">
        <f>[5]CBA!R$236</f>
        <v>572.29263150882832</v>
      </c>
      <c r="BH102" s="827">
        <f>[5]CBA!S$236</f>
        <v>583.73848413900487</v>
      </c>
      <c r="BI102" s="827">
        <f>[5]CBA!T$236</f>
        <v>595.41325382178502</v>
      </c>
      <c r="BJ102" s="55">
        <f t="shared" ref="BJ102:BM102" si="755">-BJ96*SUM(BI432:BI435,BI440,BI442)</f>
        <v>592.76549782391737</v>
      </c>
      <c r="BK102" s="55">
        <f t="shared" si="755"/>
        <v>611.57410023832915</v>
      </c>
      <c r="BL102" s="55">
        <f t="shared" si="755"/>
        <v>614.56493661914328</v>
      </c>
      <c r="BM102" s="55">
        <f t="shared" si="755"/>
        <v>631.47310493735949</v>
      </c>
      <c r="BN102" s="55">
        <f t="shared" ref="BN102" si="756">-BN96*SUM(BM432:BM435,BM440,BM442)</f>
        <v>637.38084332544202</v>
      </c>
      <c r="BO102" s="55">
        <f t="shared" ref="BO102" si="757">-BO96*SUM(BN432:BN435,BN440,BN442)</f>
        <v>652.26132102318513</v>
      </c>
      <c r="BP102" s="55">
        <f t="shared" ref="BP102" si="758">-BP96*SUM(BO432:BO435,BO440,BO442)</f>
        <v>651.49236285966754</v>
      </c>
      <c r="BQ102" s="55">
        <f t="shared" ref="BQ102" si="759">-BQ96*SUM(BP432:BP435,BP440,BP442)</f>
        <v>668.1605976970186</v>
      </c>
      <c r="BZ102" s="53"/>
      <c r="CA102" s="53"/>
      <c r="CB102" s="53"/>
      <c r="CC102" s="55">
        <f>SUM(D102:E102)</f>
        <v>176</v>
      </c>
      <c r="CD102" s="55">
        <f>SUM(F102:G102)</f>
        <v>117</v>
      </c>
      <c r="CE102" s="55">
        <f>SUM(H102:I102)</f>
        <v>89</v>
      </c>
      <c r="CF102" s="55">
        <f>SUM(J102:K102)</f>
        <v>93</v>
      </c>
      <c r="CG102" s="55">
        <f>SUM(L102:M102)</f>
        <v>90</v>
      </c>
      <c r="CH102" s="55">
        <f>SUM(N102:O102)</f>
        <v>130</v>
      </c>
      <c r="CI102" s="55">
        <f>SUM(P102:Q102)</f>
        <v>221</v>
      </c>
      <c r="CJ102" s="55">
        <f>SUM(R102:S102)</f>
        <v>472</v>
      </c>
      <c r="CK102" s="55">
        <f>SUM(T102:U102)</f>
        <v>455</v>
      </c>
      <c r="CL102" s="55">
        <f>SUM(V102:W102)</f>
        <v>530</v>
      </c>
      <c r="CM102" s="55">
        <f>SUM(X102:Y102)</f>
        <v>586</v>
      </c>
      <c r="CN102" s="55">
        <f>SUM(Z102:AA102)</f>
        <v>468</v>
      </c>
      <c r="CO102" s="55">
        <f>SUM(AB102:AC102)</f>
        <v>329</v>
      </c>
      <c r="CP102" s="55">
        <f>SUM(AD102:AE102)</f>
        <v>554</v>
      </c>
      <c r="CQ102" s="55">
        <f>SUM(AF102:AG102)</f>
        <v>519</v>
      </c>
      <c r="CR102" s="55">
        <f>SUM(AH102:AI102)</f>
        <v>491</v>
      </c>
      <c r="CS102" s="55">
        <f>SUM(AJ102:AK102)</f>
        <v>438</v>
      </c>
      <c r="CT102" s="55">
        <f>SUM(AL102:AM102)</f>
        <v>343</v>
      </c>
      <c r="CU102" s="55">
        <f>SUM(AN102:AO102)</f>
        <v>353</v>
      </c>
      <c r="CV102" s="55">
        <f>SUM(AP102:AQ102)</f>
        <v>553</v>
      </c>
      <c r="CW102" s="55">
        <f>SUM(AR102:AS102)</f>
        <v>743</v>
      </c>
      <c r="CX102" s="55">
        <f>SUM(AT102:AU102)</f>
        <v>898</v>
      </c>
      <c r="CY102" s="55">
        <f>SUM(AV102:AW102)</f>
        <v>902</v>
      </c>
      <c r="CZ102" s="56">
        <f>SUM(AX102:AY102)</f>
        <v>1161</v>
      </c>
      <c r="DA102" s="55">
        <f>SUM(AZ102:BA102)</f>
        <v>1167.9124049652346</v>
      </c>
      <c r="DB102" s="55">
        <f>SUM(BB102:BC102)</f>
        <v>1117.6279669291034</v>
      </c>
      <c r="DC102" s="55">
        <f>SUM(BD102:BE102)</f>
        <v>1089.3539397062907</v>
      </c>
      <c r="DD102" s="55">
        <f>SUM(BF102:BG102)</f>
        <v>1133.3638388704248</v>
      </c>
      <c r="DE102" s="55">
        <f>SUM(BH102:BI102)</f>
        <v>1179.1517379607899</v>
      </c>
      <c r="DF102" s="55">
        <f>SUM(BJ102:BK102)</f>
        <v>1204.3395980622465</v>
      </c>
      <c r="DG102" s="55">
        <f>SUM(BL102:BM102)</f>
        <v>1246.0380415565028</v>
      </c>
      <c r="DH102" s="55">
        <f>SUM(BN102:BO102)</f>
        <v>1289.6421643486271</v>
      </c>
      <c r="DI102" s="55">
        <f>SUM(BP102:BQ102)</f>
        <v>1319.6529605566861</v>
      </c>
    </row>
    <row r="103" spans="1:113" outlineLevel="1">
      <c r="A103" s="1" t="s">
        <v>775</v>
      </c>
      <c r="B103" s="19" t="s">
        <v>694</v>
      </c>
      <c r="C103" s="181">
        <f>D103</f>
        <v>-22</v>
      </c>
      <c r="D103" s="181">
        <f>-44/2</f>
        <v>-22</v>
      </c>
      <c r="E103" s="53">
        <f>-44-D103</f>
        <v>-22</v>
      </c>
      <c r="F103" s="53">
        <v>-31</v>
      </c>
      <c r="G103" s="53">
        <f>-78-F103</f>
        <v>-47</v>
      </c>
      <c r="H103" s="53">
        <v>-4</v>
      </c>
      <c r="I103" s="53">
        <v>-7</v>
      </c>
      <c r="J103" s="53">
        <v>-5</v>
      </c>
      <c r="K103" s="53">
        <v>-13</v>
      </c>
      <c r="L103" s="53">
        <v>-16</v>
      </c>
      <c r="M103" s="53">
        <v>-27</v>
      </c>
      <c r="N103" s="53">
        <v>-30</v>
      </c>
      <c r="O103" s="53">
        <v>-32</v>
      </c>
      <c r="P103" s="53">
        <v>-42</v>
      </c>
      <c r="Q103" s="53">
        <v>-46</v>
      </c>
      <c r="R103" s="53">
        <v>-49</v>
      </c>
      <c r="S103" s="53">
        <f>-122-R103</f>
        <v>-73</v>
      </c>
      <c r="T103" s="53">
        <f>-104-T104</f>
        <v>-104</v>
      </c>
      <c r="U103" s="53">
        <f>-74-U104</f>
        <v>-74</v>
      </c>
      <c r="V103" s="53">
        <f>-81-V104</f>
        <v>-81</v>
      </c>
      <c r="W103" s="53">
        <f>-183-V103-W104</f>
        <v>-102</v>
      </c>
      <c r="X103" s="53">
        <f>-93-X104</f>
        <v>-89</v>
      </c>
      <c r="Y103" s="53">
        <f>-90-Y104</f>
        <v>-90</v>
      </c>
      <c r="Z103" s="53">
        <f>-112-Z104</f>
        <v>-112</v>
      </c>
      <c r="AA103" s="164">
        <f>-133-AA104</f>
        <v>-133</v>
      </c>
      <c r="AB103" s="164">
        <v>-130</v>
      </c>
      <c r="AC103" s="164">
        <v>-198</v>
      </c>
      <c r="AD103" s="164">
        <v>-143</v>
      </c>
      <c r="AE103" s="164">
        <v>-165</v>
      </c>
      <c r="AF103" s="164">
        <v>-177</v>
      </c>
      <c r="AG103" s="164">
        <v>-202</v>
      </c>
      <c r="AH103" s="164">
        <f>-613-AH104</f>
        <v>-220</v>
      </c>
      <c r="AI103" s="164">
        <f>-172-AI104</f>
        <v>-172</v>
      </c>
      <c r="AJ103" s="164">
        <f>-202-AJ104</f>
        <v>-202</v>
      </c>
      <c r="AK103" s="164">
        <f>-351-AK104</f>
        <v>-351</v>
      </c>
      <c r="AL103" s="164">
        <f>-231-AL104</f>
        <v>-231</v>
      </c>
      <c r="AM103" s="164">
        <f>-219-AM104</f>
        <v>-219</v>
      </c>
      <c r="AN103" s="164">
        <f>-495-AN104</f>
        <v>-275</v>
      </c>
      <c r="AO103" s="164">
        <f>-274-AO104</f>
        <v>-274</v>
      </c>
      <c r="AP103" s="164">
        <f>-238-AP104</f>
        <v>-238</v>
      </c>
      <c r="AQ103" s="164">
        <f>-184-AQ104</f>
        <v>-184</v>
      </c>
      <c r="AR103" s="164">
        <f>-160-AR104</f>
        <v>-160</v>
      </c>
      <c r="AS103" s="164">
        <f>-601-AS104</f>
        <v>-212</v>
      </c>
      <c r="AT103" s="164">
        <f>-183-AT104</f>
        <v>-183</v>
      </c>
      <c r="AU103" s="164">
        <f>-212-AU104</f>
        <v>-212</v>
      </c>
      <c r="AV103" s="164">
        <f>-314-AV104</f>
        <v>-314</v>
      </c>
      <c r="AW103" s="164">
        <f>-371-AW104</f>
        <v>-371</v>
      </c>
      <c r="AX103" s="164">
        <f>-329-AX104</f>
        <v>-329</v>
      </c>
      <c r="AY103" s="164">
        <f>-354-AY104</f>
        <v>-354</v>
      </c>
      <c r="AZ103" s="171">
        <v>-358</v>
      </c>
      <c r="BA103" s="827">
        <f>[5]CBA!L$237</f>
        <v>-389.99616417337933</v>
      </c>
      <c r="BB103" s="827">
        <f>[5]CBA!M$237</f>
        <v>-415.66398703624247</v>
      </c>
      <c r="BC103" s="827">
        <f>[5]CBA!N$237</f>
        <v>-436.18238162449461</v>
      </c>
      <c r="BD103" s="827">
        <f>[5]CBA!O$237</f>
        <v>-452.16180528713443</v>
      </c>
      <c r="BE103" s="827">
        <f>[5]CBA!P$237</f>
        <v>-464.12566862981197</v>
      </c>
      <c r="BF103" s="827">
        <f>[5]CBA!Q$237</f>
        <v>-475.92774113392585</v>
      </c>
      <c r="BG103" s="827">
        <f>[5]CBA!R$237</f>
        <v>-487.61986269491786</v>
      </c>
      <c r="BH103" s="827">
        <f>[5]CBA!S$237</f>
        <v>-499.24734686652494</v>
      </c>
      <c r="BI103" s="827">
        <f>[5]CBA!T$237</f>
        <v>-510.8498889238889</v>
      </c>
      <c r="BJ103" s="55">
        <f t="shared" ref="BJ103:BM103" si="760">AVERAGE((BJ101*(2+1/-BJ97/BJ$5)+2*(BJ102+BJ104+BJ105))/(2-(1/-BJ97/BJ$5)),BJ101)*(1/-BJ97/BJ$5)</f>
        <v>-529.51815777616991</v>
      </c>
      <c r="BK103" s="55">
        <f t="shared" si="760"/>
        <v>-530.67103371450264</v>
      </c>
      <c r="BL103" s="55">
        <f t="shared" si="760"/>
        <v>-548.13324731520527</v>
      </c>
      <c r="BM103" s="55">
        <f t="shared" si="760"/>
        <v>-552.10132103681701</v>
      </c>
      <c r="BN103" s="55">
        <f t="shared" ref="BN103:BO103" si="761">AVERAGE((BN101*(2+1/-BN97/BN$5)+2*(BN102+BN104+BN105))/(2-(1/-BN97/BN$5)),BN101)*(1/-BN97/BN$5)</f>
        <v>-569.83696897524965</v>
      </c>
      <c r="BO103" s="55">
        <f t="shared" si="761"/>
        <v>-570.67083218374921</v>
      </c>
      <c r="BP103" s="55">
        <f t="shared" ref="BP103:BQ103" si="762">AVERAGE((BP101*(2+1/-BP97/BP$5)+2*(BP102+BP104+BP105))/(2-(1/-BP97/BP$5)),BP101)*(1/-BP97/BP$5)</f>
        <v>-590.00403734372253</v>
      </c>
      <c r="BQ103" s="55">
        <f t="shared" si="762"/>
        <v>-589.8737006456463</v>
      </c>
      <c r="BZ103" s="53"/>
      <c r="CA103" s="53"/>
      <c r="CB103" s="53"/>
      <c r="CC103" s="55">
        <f>SUM(D103:E103)</f>
        <v>-44</v>
      </c>
      <c r="CD103" s="55">
        <f>SUM(F103:G103)</f>
        <v>-78</v>
      </c>
      <c r="CE103" s="55">
        <f>SUM(H103:I103)</f>
        <v>-11</v>
      </c>
      <c r="CF103" s="55">
        <f>SUM(J103:K103)</f>
        <v>-18</v>
      </c>
      <c r="CG103" s="55">
        <f>SUM(L103:M103)</f>
        <v>-43</v>
      </c>
      <c r="CH103" s="55">
        <f>SUM(N103:O103)</f>
        <v>-62</v>
      </c>
      <c r="CI103" s="55">
        <f>SUM(P103:Q103)</f>
        <v>-88</v>
      </c>
      <c r="CJ103" s="55">
        <f>SUM(R103:S103)</f>
        <v>-122</v>
      </c>
      <c r="CK103" s="55">
        <f>SUM(T103:U103)</f>
        <v>-178</v>
      </c>
      <c r="CL103" s="55">
        <f>SUM(V103:W103)</f>
        <v>-183</v>
      </c>
      <c r="CM103" s="55">
        <f>SUM(X103:Y103)</f>
        <v>-179</v>
      </c>
      <c r="CN103" s="55">
        <f>SUM(Z103:AA103)</f>
        <v>-245</v>
      </c>
      <c r="CO103" s="55">
        <f>SUM(AB103:AC103)</f>
        <v>-328</v>
      </c>
      <c r="CP103" s="55">
        <f>SUM(AD103:AE103)</f>
        <v>-308</v>
      </c>
      <c r="CQ103" s="55">
        <f>SUM(AF103:AG103)</f>
        <v>-379</v>
      </c>
      <c r="CR103" s="55">
        <f>SUM(AH103:AI103)</f>
        <v>-392</v>
      </c>
      <c r="CS103" s="55">
        <f>SUM(AJ103:AK103)</f>
        <v>-553</v>
      </c>
      <c r="CT103" s="55">
        <f>SUM(AL103:AM103)</f>
        <v>-450</v>
      </c>
      <c r="CU103" s="55">
        <f>SUM(AN103:AO103)</f>
        <v>-549</v>
      </c>
      <c r="CV103" s="55">
        <f>SUM(AP103:AQ103)</f>
        <v>-422</v>
      </c>
      <c r="CW103" s="55">
        <f>SUM(AR103:AS103)</f>
        <v>-372</v>
      </c>
      <c r="CX103" s="55">
        <f>SUM(AT103:AU103)</f>
        <v>-395</v>
      </c>
      <c r="CY103" s="55">
        <f>SUM(AV103:AW103)</f>
        <v>-685</v>
      </c>
      <c r="CZ103" s="56">
        <f>SUM(AX103:AY103)</f>
        <v>-683</v>
      </c>
      <c r="DA103" s="55">
        <f>SUM(AZ103:BA103)</f>
        <v>-747.99616417337938</v>
      </c>
      <c r="DB103" s="55">
        <f>SUM(BB103:BC103)</f>
        <v>-851.84636866073708</v>
      </c>
      <c r="DC103" s="55">
        <f>SUM(BD103:BE103)</f>
        <v>-916.2874739169464</v>
      </c>
      <c r="DD103" s="55">
        <f>SUM(BF103:BG103)</f>
        <v>-963.54760382884365</v>
      </c>
      <c r="DE103" s="55">
        <f>SUM(BH103:BI103)</f>
        <v>-1010.0972357904138</v>
      </c>
      <c r="DF103" s="55">
        <f>SUM(BJ103:BK103)</f>
        <v>-1060.1891914906726</v>
      </c>
      <c r="DG103" s="55">
        <f>SUM(BL103:BM103)</f>
        <v>-1100.2345683520223</v>
      </c>
      <c r="DH103" s="55">
        <f>SUM(BN103:BO103)</f>
        <v>-1140.507801158999</v>
      </c>
      <c r="DI103" s="55">
        <f>SUM(BP103:BQ103)</f>
        <v>-1179.8777379893688</v>
      </c>
    </row>
    <row r="104" spans="1:113" outlineLevel="1">
      <c r="A104" s="1" t="s">
        <v>987</v>
      </c>
      <c r="B104" s="19" t="s">
        <v>561</v>
      </c>
      <c r="C104" s="53">
        <v>0</v>
      </c>
      <c r="D104" s="53">
        <v>0</v>
      </c>
      <c r="E104" s="53">
        <v>0</v>
      </c>
      <c r="F104" s="53">
        <v>0</v>
      </c>
      <c r="G104" s="53">
        <v>0</v>
      </c>
      <c r="H104" s="53">
        <v>0</v>
      </c>
      <c r="I104" s="53">
        <v>0</v>
      </c>
      <c r="J104" s="53">
        <v>0</v>
      </c>
      <c r="K104" s="53">
        <v>0</v>
      </c>
      <c r="L104" s="53">
        <v>0</v>
      </c>
      <c r="M104" s="53">
        <v>0</v>
      </c>
      <c r="N104" s="53">
        <v>0</v>
      </c>
      <c r="O104" s="53">
        <v>0</v>
      </c>
      <c r="P104" s="53">
        <v>0</v>
      </c>
      <c r="Q104" s="53">
        <v>-77</v>
      </c>
      <c r="R104" s="53">
        <v>0</v>
      </c>
      <c r="S104" s="53">
        <f>-30-R104</f>
        <v>-30</v>
      </c>
      <c r="T104" s="53">
        <v>0</v>
      </c>
      <c r="U104" s="53">
        <v>0</v>
      </c>
      <c r="V104" s="53">
        <v>0</v>
      </c>
      <c r="W104" s="53">
        <v>0</v>
      </c>
      <c r="X104" s="53">
        <f>-4-0</f>
        <v>-4</v>
      </c>
      <c r="Y104" s="53">
        <f>-4--4</f>
        <v>0</v>
      </c>
      <c r="Z104" s="53">
        <f>-4--4</f>
        <v>0</v>
      </c>
      <c r="AA104" s="164">
        <v>0</v>
      </c>
      <c r="AB104" s="164">
        <v>-68</v>
      </c>
      <c r="AC104" s="164">
        <v>-2</v>
      </c>
      <c r="AD104" s="164">
        <v>-10</v>
      </c>
      <c r="AE104" s="164">
        <v>-1</v>
      </c>
      <c r="AF104" s="164">
        <v>-1</v>
      </c>
      <c r="AG104" s="164">
        <v>0</v>
      </c>
      <c r="AH104" s="164">
        <v>-393</v>
      </c>
      <c r="AI104" s="164">
        <v>0</v>
      </c>
      <c r="AJ104" s="164">
        <v>0</v>
      </c>
      <c r="AK104" s="164">
        <v>0</v>
      </c>
      <c r="AL104" s="164">
        <v>0</v>
      </c>
      <c r="AM104" s="164">
        <v>0</v>
      </c>
      <c r="AN104" s="164">
        <v>-220</v>
      </c>
      <c r="AO104" s="164">
        <v>0</v>
      </c>
      <c r="AP104" s="164">
        <v>0</v>
      </c>
      <c r="AQ104" s="164">
        <v>0</v>
      </c>
      <c r="AR104" s="164">
        <v>0</v>
      </c>
      <c r="AS104" s="164">
        <v>-389</v>
      </c>
      <c r="AT104" s="164">
        <v>0</v>
      </c>
      <c r="AU104" s="164">
        <v>0</v>
      </c>
      <c r="AV104" s="164">
        <v>0</v>
      </c>
      <c r="AW104" s="164">
        <v>0</v>
      </c>
      <c r="AX104" s="164">
        <v>0</v>
      </c>
      <c r="AY104" s="164">
        <v>0</v>
      </c>
      <c r="AZ104" s="171">
        <v>0</v>
      </c>
      <c r="BA104" s="54">
        <v>0</v>
      </c>
      <c r="BB104" s="54">
        <v>0</v>
      </c>
      <c r="BC104" s="54">
        <v>0</v>
      </c>
      <c r="BD104" s="54">
        <v>0</v>
      </c>
      <c r="BE104" s="54">
        <v>0</v>
      </c>
      <c r="BF104" s="54">
        <v>0</v>
      </c>
      <c r="BG104" s="54">
        <v>0</v>
      </c>
      <c r="BH104" s="54">
        <v>0</v>
      </c>
      <c r="BI104" s="54">
        <v>0</v>
      </c>
      <c r="BJ104" s="54">
        <v>0</v>
      </c>
      <c r="BK104" s="54">
        <v>0</v>
      </c>
      <c r="BL104" s="54">
        <v>0</v>
      </c>
      <c r="BM104" s="54">
        <v>0</v>
      </c>
      <c r="BN104" s="54">
        <v>0</v>
      </c>
      <c r="BO104" s="54">
        <v>0</v>
      </c>
      <c r="BP104" s="54">
        <v>0</v>
      </c>
      <c r="BQ104" s="54">
        <v>0</v>
      </c>
      <c r="BZ104" s="53"/>
      <c r="CA104" s="53"/>
      <c r="CB104" s="53"/>
      <c r="CC104" s="55">
        <f>SUM(D104:E104)</f>
        <v>0</v>
      </c>
      <c r="CD104" s="55">
        <f>SUM(F104:G104)</f>
        <v>0</v>
      </c>
      <c r="CE104" s="55">
        <f>SUM(H104:I104)</f>
        <v>0</v>
      </c>
      <c r="CF104" s="55">
        <f>SUM(J104:K104)</f>
        <v>0</v>
      </c>
      <c r="CG104" s="55">
        <f>SUM(L104:M104)</f>
        <v>0</v>
      </c>
      <c r="CH104" s="55">
        <f>SUM(N104:O104)</f>
        <v>0</v>
      </c>
      <c r="CI104" s="55">
        <f>SUM(P104:Q104)</f>
        <v>-77</v>
      </c>
      <c r="CJ104" s="55">
        <f>SUM(R104:S104)</f>
        <v>-30</v>
      </c>
      <c r="CK104" s="55">
        <f>SUM(T104:U104)</f>
        <v>0</v>
      </c>
      <c r="CL104" s="55">
        <f>SUM(V104:W104)</f>
        <v>0</v>
      </c>
      <c r="CM104" s="55">
        <f>SUM(X104:Y104)</f>
        <v>-4</v>
      </c>
      <c r="CN104" s="55">
        <f>SUM(Z104:AA104)</f>
        <v>0</v>
      </c>
      <c r="CO104" s="55">
        <f>SUM(AB104:AC104)</f>
        <v>-70</v>
      </c>
      <c r="CP104" s="55">
        <f>SUM(AD104:AE104)</f>
        <v>-11</v>
      </c>
      <c r="CQ104" s="55">
        <f>SUM(AF104:AG104)</f>
        <v>-1</v>
      </c>
      <c r="CR104" s="55">
        <f>SUM(AH104:AI104)</f>
        <v>-393</v>
      </c>
      <c r="CS104" s="55">
        <f>SUM(AJ104:AK104)</f>
        <v>0</v>
      </c>
      <c r="CT104" s="55">
        <f>SUM(AL104:AM104)</f>
        <v>0</v>
      </c>
      <c r="CU104" s="55">
        <f>SUM(AN104:AO104)</f>
        <v>-220</v>
      </c>
      <c r="CV104" s="55">
        <f>SUM(AP104:AQ104)</f>
        <v>0</v>
      </c>
      <c r="CW104" s="55">
        <f>SUM(AR104:AS104)</f>
        <v>-389</v>
      </c>
      <c r="CX104" s="55">
        <f>SUM(AT104:AU104)</f>
        <v>0</v>
      </c>
      <c r="CY104" s="55">
        <f>SUM(AV104:AW104)</f>
        <v>0</v>
      </c>
      <c r="CZ104" s="56">
        <f>SUM(AX104:AY104)</f>
        <v>0</v>
      </c>
      <c r="DA104" s="55">
        <f>SUM(AZ104:BA104)</f>
        <v>0</v>
      </c>
      <c r="DB104" s="55">
        <f>SUM(BB104:BC104)</f>
        <v>0</v>
      </c>
      <c r="DC104" s="55">
        <f>SUM(BD104:BE104)</f>
        <v>0</v>
      </c>
      <c r="DD104" s="55">
        <f>SUM(BF104:BG104)</f>
        <v>0</v>
      </c>
      <c r="DE104" s="55">
        <f>SUM(BH104:BI104)</f>
        <v>0</v>
      </c>
      <c r="DF104" s="55">
        <f>SUM(BJ104:BK104)</f>
        <v>0</v>
      </c>
      <c r="DG104" s="55">
        <f>SUM(BL104:BM104)</f>
        <v>0</v>
      </c>
      <c r="DH104" s="55">
        <f>SUM(BN104:BO104)</f>
        <v>0</v>
      </c>
      <c r="DI104" s="55">
        <f>SUM(BP104:BQ104)</f>
        <v>0</v>
      </c>
    </row>
    <row r="105" spans="1:113" outlineLevel="1">
      <c r="A105" s="1" t="s">
        <v>861</v>
      </c>
      <c r="B105" s="19" t="s">
        <v>271</v>
      </c>
      <c r="C105" s="53">
        <v>0</v>
      </c>
      <c r="D105" s="53">
        <v>0</v>
      </c>
      <c r="E105" s="53">
        <v>0</v>
      </c>
      <c r="F105" s="53">
        <v>0</v>
      </c>
      <c r="G105" s="53">
        <v>0</v>
      </c>
      <c r="H105" s="181">
        <v>-219</v>
      </c>
      <c r="I105" s="53">
        <v>0</v>
      </c>
      <c r="J105" s="53">
        <v>0</v>
      </c>
      <c r="K105" s="53">
        <v>0</v>
      </c>
      <c r="L105" s="53">
        <v>0</v>
      </c>
      <c r="M105" s="53">
        <v>0</v>
      </c>
      <c r="N105" s="53">
        <v>0</v>
      </c>
      <c r="O105" s="53">
        <v>0</v>
      </c>
      <c r="P105" s="53">
        <v>0</v>
      </c>
      <c r="Q105" s="53">
        <v>0</v>
      </c>
      <c r="R105" s="53">
        <v>0</v>
      </c>
      <c r="S105" s="53">
        <v>0</v>
      </c>
      <c r="T105" s="53">
        <f>-4--4</f>
        <v>0</v>
      </c>
      <c r="U105" s="53">
        <f>-4--4</f>
        <v>0</v>
      </c>
      <c r="V105" s="53">
        <f>-4--4</f>
        <v>0</v>
      </c>
      <c r="W105" s="53">
        <f>-4--4</f>
        <v>0</v>
      </c>
      <c r="X105" s="53">
        <f>-4--4</f>
        <v>0</v>
      </c>
      <c r="Y105" s="53">
        <f>-4--4</f>
        <v>0</v>
      </c>
      <c r="Z105" s="53">
        <f>-4--4</f>
        <v>0</v>
      </c>
      <c r="AA105" s="164">
        <v>0</v>
      </c>
      <c r="AB105" s="164">
        <v>0</v>
      </c>
      <c r="AC105" s="164">
        <v>0</v>
      </c>
      <c r="AD105" s="164">
        <v>0</v>
      </c>
      <c r="AE105" s="164">
        <v>0</v>
      </c>
      <c r="AF105" s="164">
        <v>0</v>
      </c>
      <c r="AG105" s="164">
        <v>0</v>
      </c>
      <c r="AH105" s="164">
        <v>0</v>
      </c>
      <c r="AI105" s="164">
        <v>0</v>
      </c>
      <c r="AJ105" s="164">
        <v>0</v>
      </c>
      <c r="AK105" s="164">
        <v>0</v>
      </c>
      <c r="AL105" s="164">
        <v>0</v>
      </c>
      <c r="AM105" s="164">
        <v>0</v>
      </c>
      <c r="AN105" s="164">
        <v>0</v>
      </c>
      <c r="AO105" s="164">
        <v>0</v>
      </c>
      <c r="AP105" s="164">
        <v>0</v>
      </c>
      <c r="AQ105" s="164">
        <v>0</v>
      </c>
      <c r="AR105" s="164">
        <v>0</v>
      </c>
      <c r="AS105" s="164">
        <v>0</v>
      </c>
      <c r="AT105" s="164">
        <v>0</v>
      </c>
      <c r="AU105" s="164">
        <v>0</v>
      </c>
      <c r="AV105" s="164">
        <v>0</v>
      </c>
      <c r="AW105" s="164">
        <v>0</v>
      </c>
      <c r="AX105" s="164">
        <v>0</v>
      </c>
      <c r="AY105" s="164">
        <v>0</v>
      </c>
      <c r="AZ105" s="171">
        <v>0</v>
      </c>
      <c r="BA105" s="54">
        <v>0</v>
      </c>
      <c r="BB105" s="54">
        <v>0</v>
      </c>
      <c r="BC105" s="54">
        <v>0</v>
      </c>
      <c r="BD105" s="54">
        <v>0</v>
      </c>
      <c r="BE105" s="54">
        <v>0</v>
      </c>
      <c r="BF105" s="54">
        <v>0</v>
      </c>
      <c r="BG105" s="54">
        <v>0</v>
      </c>
      <c r="BH105" s="54">
        <v>0</v>
      </c>
      <c r="BI105" s="54">
        <v>0</v>
      </c>
      <c r="BJ105" s="54">
        <v>0</v>
      </c>
      <c r="BK105" s="54">
        <v>0</v>
      </c>
      <c r="BL105" s="54">
        <v>0</v>
      </c>
      <c r="BM105" s="54">
        <v>0</v>
      </c>
      <c r="BN105" s="54">
        <v>0</v>
      </c>
      <c r="BO105" s="54">
        <v>0</v>
      </c>
      <c r="BP105" s="54">
        <v>0</v>
      </c>
      <c r="BQ105" s="54">
        <v>0</v>
      </c>
      <c r="BS105" s="55"/>
      <c r="BT105" s="55"/>
      <c r="BU105" s="55"/>
      <c r="BV105" s="55"/>
      <c r="BW105" s="55"/>
      <c r="BX105" s="55"/>
      <c r="BY105" s="55"/>
      <c r="BZ105" s="55"/>
      <c r="CA105" s="55"/>
      <c r="CB105" s="55"/>
      <c r="CC105" s="55">
        <f>SUM(D105:E105)</f>
        <v>0</v>
      </c>
      <c r="CD105" s="55">
        <f>SUM(F105:G105)</f>
        <v>0</v>
      </c>
      <c r="CE105" s="55">
        <f>SUM(H105:I105)</f>
        <v>-219</v>
      </c>
      <c r="CF105" s="55">
        <f>SUM(J105:K105)</f>
        <v>0</v>
      </c>
      <c r="CG105" s="55">
        <f>SUM(L105:M105)</f>
        <v>0</v>
      </c>
      <c r="CH105" s="55">
        <f>SUM(N105:O105)</f>
        <v>0</v>
      </c>
      <c r="CI105" s="55">
        <f>SUM(P105:Q105)</f>
        <v>0</v>
      </c>
      <c r="CJ105" s="55">
        <f>SUM(R105:S105)</f>
        <v>0</v>
      </c>
      <c r="CK105" s="55">
        <f>SUM(T105:U105)</f>
        <v>0</v>
      </c>
      <c r="CL105" s="55">
        <f>SUM(V105:W105)</f>
        <v>0</v>
      </c>
      <c r="CM105" s="55">
        <f>SUM(X105:Y105)</f>
        <v>0</v>
      </c>
      <c r="CN105" s="55">
        <f>SUM(Z105:AA105)</f>
        <v>0</v>
      </c>
      <c r="CO105" s="55">
        <f>SUM(AB105:AC105)</f>
        <v>0</v>
      </c>
      <c r="CP105" s="55">
        <f>SUM(AD105:AE105)</f>
        <v>0</v>
      </c>
      <c r="CQ105" s="55">
        <f>SUM(AF105:AG105)</f>
        <v>0</v>
      </c>
      <c r="CR105" s="55">
        <f>SUM(AH105:AI105)</f>
        <v>0</v>
      </c>
      <c r="CS105" s="55">
        <f>SUM(AJ105:AK105)</f>
        <v>0</v>
      </c>
      <c r="CT105" s="55">
        <f>SUM(AL105:AM105)</f>
        <v>0</v>
      </c>
      <c r="CU105" s="55">
        <f>SUM(AN105:AO105)</f>
        <v>0</v>
      </c>
      <c r="CV105" s="55">
        <f>SUM(AP105:AQ105)</f>
        <v>0</v>
      </c>
      <c r="CW105" s="55">
        <f>SUM(AR105:AS105)</f>
        <v>0</v>
      </c>
      <c r="CX105" s="55">
        <f>SUM(AT105:AU105)</f>
        <v>0</v>
      </c>
      <c r="CY105" s="55">
        <f>SUM(AV105:AW105)</f>
        <v>0</v>
      </c>
      <c r="CZ105" s="56">
        <f>SUM(AX105:AY105)</f>
        <v>0</v>
      </c>
      <c r="DA105" s="55">
        <f>SUM(AZ105:BA105)</f>
        <v>0</v>
      </c>
      <c r="DB105" s="55">
        <f>SUM(BB105:BC105)</f>
        <v>0</v>
      </c>
      <c r="DC105" s="55">
        <f>SUM(BD105:BE105)</f>
        <v>0</v>
      </c>
      <c r="DD105" s="55">
        <f>SUM(BF105:BG105)</f>
        <v>0</v>
      </c>
      <c r="DE105" s="55">
        <f>SUM(BH105:BI105)</f>
        <v>0</v>
      </c>
      <c r="DF105" s="55">
        <f>SUM(BJ105:BK105)</f>
        <v>0</v>
      </c>
      <c r="DG105" s="55">
        <f>SUM(BL105:BM105)</f>
        <v>0</v>
      </c>
      <c r="DH105" s="55">
        <f>SUM(BN105:BO105)</f>
        <v>0</v>
      </c>
      <c r="DI105" s="55">
        <f>SUM(BP105:BQ105)</f>
        <v>0</v>
      </c>
    </row>
    <row r="106" spans="1:113" outlineLevel="1">
      <c r="A106" s="1" t="s">
        <v>862</v>
      </c>
      <c r="B106" s="19" t="s">
        <v>460</v>
      </c>
      <c r="C106" s="53">
        <v>77</v>
      </c>
      <c r="D106" s="181">
        <f>AVERAGE(C106,E106)</f>
        <v>143</v>
      </c>
      <c r="E106" s="53">
        <v>209</v>
      </c>
      <c r="F106" s="181">
        <f>AVERAGE(E106,G106)</f>
        <v>228.5</v>
      </c>
      <c r="G106" s="53">
        <v>248</v>
      </c>
      <c r="H106" s="53">
        <v>73</v>
      </c>
      <c r="I106" s="53">
        <v>107</v>
      </c>
      <c r="J106" s="53">
        <v>163</v>
      </c>
      <c r="K106" s="53">
        <v>182</v>
      </c>
      <c r="L106" s="53">
        <v>188</v>
      </c>
      <c r="M106" s="53">
        <v>229</v>
      </c>
      <c r="N106" s="53">
        <v>267</v>
      </c>
      <c r="O106" s="53">
        <v>297</v>
      </c>
      <c r="P106" s="53">
        <v>316</v>
      </c>
      <c r="Q106" s="53">
        <v>353</v>
      </c>
      <c r="R106" s="53">
        <v>571</v>
      </c>
      <c r="S106" s="53">
        <v>673</v>
      </c>
      <c r="T106" s="53">
        <v>799</v>
      </c>
      <c r="U106" s="53">
        <v>950</v>
      </c>
      <c r="V106" s="53">
        <v>1100</v>
      </c>
      <c r="W106" s="53">
        <v>1297</v>
      </c>
      <c r="X106" s="53">
        <v>1480</v>
      </c>
      <c r="Y106" s="53">
        <v>1700</v>
      </c>
      <c r="Z106" s="53">
        <v>1831</v>
      </c>
      <c r="AA106" s="164">
        <v>1923</v>
      </c>
      <c r="AB106" s="164">
        <v>1950</v>
      </c>
      <c r="AC106" s="164">
        <v>1854</v>
      </c>
      <c r="AD106" s="164">
        <v>1979</v>
      </c>
      <c r="AE106" s="164">
        <v>2089</v>
      </c>
      <c r="AF106" s="164">
        <v>2183</v>
      </c>
      <c r="AG106" s="164">
        <v>2228</v>
      </c>
      <c r="AH106" s="164">
        <v>1897</v>
      </c>
      <c r="AI106" s="164">
        <v>1934</v>
      </c>
      <c r="AJ106" s="164">
        <v>1896</v>
      </c>
      <c r="AK106" s="164">
        <v>1819</v>
      </c>
      <c r="AL106" s="164">
        <v>1782</v>
      </c>
      <c r="AM106" s="164">
        <v>1712</v>
      </c>
      <c r="AN106" s="164">
        <v>1418</v>
      </c>
      <c r="AO106" s="164">
        <v>1296</v>
      </c>
      <c r="AP106" s="164">
        <v>1334</v>
      </c>
      <c r="AQ106" s="164">
        <v>1427</v>
      </c>
      <c r="AR106" s="164">
        <v>1585</v>
      </c>
      <c r="AS106" s="164">
        <v>1409</v>
      </c>
      <c r="AT106" s="164">
        <v>1643</v>
      </c>
      <c r="AU106" s="164">
        <v>1912</v>
      </c>
      <c r="AV106" s="164">
        <v>2035</v>
      </c>
      <c r="AW106" s="164">
        <v>2129</v>
      </c>
      <c r="AX106" s="164">
        <v>2315</v>
      </c>
      <c r="AY106" s="164">
        <v>2607</v>
      </c>
      <c r="AZ106" s="171">
        <v>2840</v>
      </c>
      <c r="BA106" s="55">
        <f t="shared" ref="BA106:BI106" si="763">SUM(BA101:BA105)</f>
        <v>3026.9162407918552</v>
      </c>
      <c r="BB106" s="55">
        <f t="shared" si="763"/>
        <v>3176.3337119973676</v>
      </c>
      <c r="BC106" s="55">
        <f t="shared" si="763"/>
        <v>3292.6978390602221</v>
      </c>
      <c r="BD106" s="55">
        <f t="shared" si="763"/>
        <v>3379.8201623405585</v>
      </c>
      <c r="BE106" s="55">
        <f t="shared" si="763"/>
        <v>3465.7643048495665</v>
      </c>
      <c r="BF106" s="55">
        <f t="shared" si="763"/>
        <v>3550.9077710772372</v>
      </c>
      <c r="BG106" s="55">
        <f t="shared" si="763"/>
        <v>3635.5805398911471</v>
      </c>
      <c r="BH106" s="55">
        <f t="shared" si="763"/>
        <v>3720.0716771636271</v>
      </c>
      <c r="BI106" s="55">
        <f t="shared" si="763"/>
        <v>3804.6350420615236</v>
      </c>
      <c r="BJ106" s="55">
        <f t="shared" ref="BJ106:BM106" si="764">SUM(BJ101:BJ105)</f>
        <v>3867.8823821092706</v>
      </c>
      <c r="BK106" s="55">
        <f t="shared" si="764"/>
        <v>3948.7854486330966</v>
      </c>
      <c r="BL106" s="55">
        <f t="shared" si="764"/>
        <v>4015.2171379370347</v>
      </c>
      <c r="BM106" s="55">
        <f t="shared" si="764"/>
        <v>4094.5889218375773</v>
      </c>
      <c r="BN106" s="55">
        <f t="shared" ref="BN106:BO106" si="765">SUM(BN101:BN105)</f>
        <v>4162.1327961877696</v>
      </c>
      <c r="BO106" s="55">
        <f t="shared" si="765"/>
        <v>4243.7232850272048</v>
      </c>
      <c r="BP106" s="55">
        <f t="shared" ref="BP106:BQ106" si="766">SUM(BP101:BP105)</f>
        <v>4305.2116105431505</v>
      </c>
      <c r="BQ106" s="55">
        <f t="shared" si="766"/>
        <v>4383.4985075945224</v>
      </c>
      <c r="BZ106" s="53">
        <v>22</v>
      </c>
      <c r="CA106" s="53">
        <v>43</v>
      </c>
      <c r="CB106" s="53">
        <v>77</v>
      </c>
      <c r="CC106" s="55">
        <f>E106</f>
        <v>209</v>
      </c>
      <c r="CD106" s="55">
        <f>G106</f>
        <v>248</v>
      </c>
      <c r="CE106" s="55">
        <f>I106</f>
        <v>107</v>
      </c>
      <c r="CF106" s="55">
        <f>K106</f>
        <v>182</v>
      </c>
      <c r="CG106" s="55">
        <f>M106</f>
        <v>229</v>
      </c>
      <c r="CH106" s="55">
        <f>O106</f>
        <v>297</v>
      </c>
      <c r="CI106" s="55">
        <f>Q106</f>
        <v>353</v>
      </c>
      <c r="CJ106" s="55">
        <f>S106</f>
        <v>673</v>
      </c>
      <c r="CK106" s="55">
        <f>U106</f>
        <v>950</v>
      </c>
      <c r="CL106" s="55">
        <f>W106</f>
        <v>1297</v>
      </c>
      <c r="CM106" s="55">
        <f>Y106</f>
        <v>1700</v>
      </c>
      <c r="CN106" s="55">
        <f>AA106</f>
        <v>1923</v>
      </c>
      <c r="CO106" s="55">
        <f>AC106</f>
        <v>1854</v>
      </c>
      <c r="CP106" s="55">
        <f>AE106</f>
        <v>2089</v>
      </c>
      <c r="CQ106" s="55">
        <f>AG106</f>
        <v>2228</v>
      </c>
      <c r="CR106" s="55">
        <f>AI106</f>
        <v>1934</v>
      </c>
      <c r="CS106" s="55">
        <f>AK106</f>
        <v>1819</v>
      </c>
      <c r="CT106" s="55">
        <f>AM106</f>
        <v>1712</v>
      </c>
      <c r="CU106" s="55">
        <f>AO106</f>
        <v>1296</v>
      </c>
      <c r="CV106" s="55">
        <f>AQ106</f>
        <v>1427</v>
      </c>
      <c r="CW106" s="55">
        <f>AS106</f>
        <v>1409</v>
      </c>
      <c r="CX106" s="55">
        <f>AU106</f>
        <v>1912</v>
      </c>
      <c r="CY106" s="55">
        <f>AW106</f>
        <v>2129</v>
      </c>
      <c r="CZ106" s="56">
        <f>AY106</f>
        <v>2607</v>
      </c>
      <c r="DA106" s="55">
        <f>BA106</f>
        <v>3026.9162407918552</v>
      </c>
      <c r="DB106" s="55">
        <f>BC106</f>
        <v>3292.6978390602221</v>
      </c>
      <c r="DC106" s="55">
        <f>BE106</f>
        <v>3465.7643048495665</v>
      </c>
      <c r="DD106" s="55">
        <f>BG106</f>
        <v>3635.5805398911471</v>
      </c>
      <c r="DE106" s="55">
        <f>BI106</f>
        <v>3804.6350420615236</v>
      </c>
      <c r="DF106" s="55">
        <f>BK106</f>
        <v>3948.7854486330966</v>
      </c>
      <c r="DG106" s="55">
        <f>BM106</f>
        <v>4094.5889218375773</v>
      </c>
      <c r="DH106" s="55">
        <f>BO106</f>
        <v>4243.7232850272048</v>
      </c>
      <c r="DI106" s="55">
        <f>BQ106</f>
        <v>4383.4985075945224</v>
      </c>
    </row>
    <row r="107" spans="1:113" outlineLevel="1">
      <c r="AC107" s="55"/>
      <c r="AX107" s="61"/>
      <c r="AY107" s="55"/>
      <c r="AZ107" s="56"/>
      <c r="BA107" s="55"/>
      <c r="BB107" s="55"/>
      <c r="BC107" s="55"/>
      <c r="BD107" s="55"/>
      <c r="BE107" s="55"/>
      <c r="BF107" s="55"/>
      <c r="BG107" s="55"/>
      <c r="BH107" s="55"/>
      <c r="BI107" s="55"/>
      <c r="CZ107" s="22"/>
    </row>
    <row r="108" spans="1:113" outlineLevel="1">
      <c r="B108" s="24" t="s">
        <v>570</v>
      </c>
      <c r="AD108" s="55"/>
      <c r="AG108" s="55"/>
      <c r="AI108" s="55"/>
      <c r="AL108" s="55"/>
      <c r="AM108" s="55"/>
      <c r="AN108" s="55"/>
      <c r="AO108" s="55"/>
      <c r="AP108" s="55"/>
      <c r="AQ108" s="55"/>
      <c r="AR108" s="55"/>
      <c r="AS108" s="55"/>
      <c r="AT108" s="55"/>
      <c r="AU108" s="55"/>
      <c r="AV108" s="55"/>
      <c r="AW108" s="55"/>
      <c r="AX108" s="819"/>
      <c r="AY108" s="813"/>
      <c r="AZ108" s="814"/>
      <c r="BA108" s="813"/>
      <c r="BB108" s="813"/>
      <c r="BC108" s="813"/>
      <c r="BD108" s="813"/>
      <c r="BE108" s="813"/>
      <c r="BF108" s="813"/>
      <c r="BG108" s="813"/>
      <c r="BH108" s="813"/>
      <c r="BI108" s="813"/>
      <c r="CZ108" s="22"/>
    </row>
    <row r="109" spans="1:113" outlineLevel="1">
      <c r="A109" s="1" t="s">
        <v>461</v>
      </c>
      <c r="B109" s="19" t="s">
        <v>486</v>
      </c>
      <c r="C109" s="235">
        <f>AVERAGE(AU109:AV109)</f>
        <v>2.8822774689819506E-5</v>
      </c>
      <c r="D109" s="235">
        <f>AVERAGE(AV109:AW109)</f>
        <v>3.865574512628711E-5</v>
      </c>
      <c r="E109" s="235">
        <f>-E467*E$5/E232</f>
        <v>1.4780300929963925E-4</v>
      </c>
      <c r="F109" s="235">
        <f>AVERAGE(AW109:BR109)</f>
        <v>1.8735757749739878E-4</v>
      </c>
      <c r="G109" s="235">
        <f>-G467*G$5/G232</f>
        <v>1.050414480626948E-4</v>
      </c>
      <c r="H109" s="235">
        <f>AVERAGE(BR109:BS109)</f>
        <v>1.387995678162195E-4</v>
      </c>
      <c r="I109" s="235">
        <f>-I467*I$5/I232</f>
        <v>4.1831911130754055E-5</v>
      </c>
      <c r="J109" s="235">
        <f>AVERAGE(BS109:BT109)</f>
        <v>3.2502094286356915E-4</v>
      </c>
      <c r="K109" s="235">
        <f>-K467*K$5/K232</f>
        <v>9.0203376553048755E-5</v>
      </c>
      <c r="L109" s="235">
        <f>AVERAGE(BT109:BU109)</f>
        <v>4.6846571047715827E-4</v>
      </c>
      <c r="M109" s="48">
        <f>-M467*M$5/M232</f>
        <v>0</v>
      </c>
      <c r="N109" s="48">
        <f>AVERAGE(CG109:CH109)</f>
        <v>5.603845782815109E-5</v>
      </c>
      <c r="O109" s="48">
        <f t="shared" ref="O109:X109" si="767">-O467*O$5/O232</f>
        <v>0</v>
      </c>
      <c r="P109" s="48">
        <f t="shared" si="767"/>
        <v>1.158427223507451E-4</v>
      </c>
      <c r="Q109" s="48">
        <f t="shared" si="767"/>
        <v>1.1029495886421224E-4</v>
      </c>
      <c r="R109" s="48">
        <f t="shared" si="767"/>
        <v>1.0775097286744186E-4</v>
      </c>
      <c r="S109" s="48">
        <f t="shared" si="767"/>
        <v>2.8246134128141889E-4</v>
      </c>
      <c r="T109" s="50">
        <f t="shared" si="767"/>
        <v>2.7017804764868127E-4</v>
      </c>
      <c r="U109" s="48">
        <f t="shared" si="767"/>
        <v>4.8420796878017555E-4</v>
      </c>
      <c r="V109" s="48">
        <f t="shared" si="767"/>
        <v>2.8044997980823894E-4</v>
      </c>
      <c r="W109" s="48">
        <f t="shared" si="767"/>
        <v>1.2762428191834136E-4</v>
      </c>
      <c r="X109" s="48">
        <f t="shared" si="767"/>
        <v>2.2737014771742801E-4</v>
      </c>
      <c r="Y109" s="50">
        <f t="shared" ref="Y109:AD109" si="768">-Y467*Y$5/Y232</f>
        <v>3.9193505476880781E-4</v>
      </c>
      <c r="Z109" s="50">
        <f t="shared" si="768"/>
        <v>5.7768062117506192E-4</v>
      </c>
      <c r="AA109" s="50">
        <f t="shared" si="768"/>
        <v>7.1426204191143853E-4</v>
      </c>
      <c r="AB109" s="50">
        <f t="shared" si="768"/>
        <v>2.9891379959090324E-4</v>
      </c>
      <c r="AC109" s="50">
        <f t="shared" si="768"/>
        <v>3.2954522850033583E-4</v>
      </c>
      <c r="AD109" s="50">
        <f t="shared" si="768"/>
        <v>1.7236861938028201E-4</v>
      </c>
      <c r="AE109" s="50">
        <f t="shared" ref="AE109:AJ109" si="769">-AE467*AE$5/AE232</f>
        <v>1.9830014596406115E-4</v>
      </c>
      <c r="AF109" s="50">
        <f t="shared" si="769"/>
        <v>2.4552808312662512E-4</v>
      </c>
      <c r="AG109" s="50">
        <f t="shared" si="769"/>
        <v>1.6145782171744473E-4</v>
      </c>
      <c r="AH109" s="50">
        <f t="shared" si="769"/>
        <v>2.4324627127457474E-4</v>
      </c>
      <c r="AI109" s="50">
        <f t="shared" si="769"/>
        <v>2.7263486662990364E-4</v>
      </c>
      <c r="AJ109" s="50">
        <f t="shared" si="769"/>
        <v>2.3669675909490095E-4</v>
      </c>
      <c r="AK109" s="50">
        <f t="shared" ref="AK109:AP109" si="770">-AK467*AK$5/AK232</f>
        <v>3.0181505168095485E-4</v>
      </c>
      <c r="AL109" s="50">
        <f t="shared" si="770"/>
        <v>2.5053374871721241E-4</v>
      </c>
      <c r="AM109" s="50">
        <f t="shared" si="770"/>
        <v>2.9520711575718229E-4</v>
      </c>
      <c r="AN109" s="50">
        <f t="shared" si="770"/>
        <v>2.2114045575437078E-4</v>
      </c>
      <c r="AO109" s="50">
        <f t="shared" si="770"/>
        <v>2.4305594280944154E-4</v>
      </c>
      <c r="AP109" s="50">
        <f t="shared" si="770"/>
        <v>1.4020362875345087E-4</v>
      </c>
      <c r="AQ109" s="50">
        <f t="shared" ref="AQ109:AR109" si="771">-AQ467*AQ$5/AQ232</f>
        <v>1.0395249442752633E-4</v>
      </c>
      <c r="AR109" s="50">
        <f t="shared" si="771"/>
        <v>7.9773113141794853E-5</v>
      </c>
      <c r="AS109" s="50">
        <f t="shared" ref="AS109" si="772">-AS467*AS$5/AS232</f>
        <v>5.7293569343162034E-5</v>
      </c>
      <c r="AT109" s="50">
        <f t="shared" ref="AT109:AU109" si="773">-AT467*AT$5/AT232</f>
        <v>5.14258249559316E-5</v>
      </c>
      <c r="AU109" s="50">
        <f t="shared" si="773"/>
        <v>4.4251025607701717E-5</v>
      </c>
      <c r="AV109" s="50">
        <f t="shared" ref="AV109:AW109" si="774">-AV467*AV$5/AV232</f>
        <v>1.3394523771937298E-5</v>
      </c>
      <c r="AW109" s="50">
        <f t="shared" si="774"/>
        <v>6.3916966480636925E-5</v>
      </c>
      <c r="AX109" s="385">
        <f>-AX467*AX$5/AX232</f>
        <v>2.9278469169777261E-5</v>
      </c>
      <c r="AY109" s="385">
        <f>-AY467*AY$5/AY232</f>
        <v>2.5615372655846636E-5</v>
      </c>
      <c r="AZ109" s="52">
        <f>-AZ467*AZ$5/AZ232</f>
        <v>3.9761017729950782E-5</v>
      </c>
      <c r="BA109" s="510">
        <f t="shared" ref="BA109:BH109" si="775">AZ109+0.0025%</f>
        <v>6.476101772995078E-5</v>
      </c>
      <c r="BB109" s="510">
        <f t="shared" si="775"/>
        <v>8.9761017729950778E-5</v>
      </c>
      <c r="BC109" s="510">
        <f t="shared" si="775"/>
        <v>1.1476101772995078E-4</v>
      </c>
      <c r="BD109" s="510">
        <f t="shared" si="775"/>
        <v>1.3976101772995077E-4</v>
      </c>
      <c r="BE109" s="510">
        <f>BD109+0.0025%</f>
        <v>1.6476101772995078E-4</v>
      </c>
      <c r="BF109" s="510">
        <f t="shared" si="775"/>
        <v>1.897610177299508E-4</v>
      </c>
      <c r="BG109" s="510">
        <f t="shared" si="775"/>
        <v>2.1476101772995081E-4</v>
      </c>
      <c r="BH109" s="510">
        <f t="shared" si="775"/>
        <v>2.3976101772995082E-4</v>
      </c>
      <c r="BI109" s="510">
        <f t="shared" ref="BI109" si="776">BH109</f>
        <v>2.3976101772995082E-4</v>
      </c>
      <c r="BJ109" s="510">
        <f>BI109+0.005%</f>
        <v>2.8976101772995084E-4</v>
      </c>
      <c r="BK109" s="510">
        <f>BJ109</f>
        <v>2.8976101772995084E-4</v>
      </c>
      <c r="BL109" s="510">
        <f t="shared" ref="BL109:BQ109" si="777">BK109</f>
        <v>2.8976101772995084E-4</v>
      </c>
      <c r="BM109" s="510">
        <f t="shared" si="777"/>
        <v>2.8976101772995084E-4</v>
      </c>
      <c r="BN109" s="510">
        <f t="shared" si="777"/>
        <v>2.8976101772995084E-4</v>
      </c>
      <c r="BO109" s="510">
        <f t="shared" si="777"/>
        <v>2.8976101772995084E-4</v>
      </c>
      <c r="BP109" s="510">
        <f t="shared" si="777"/>
        <v>2.8976101772995084E-4</v>
      </c>
      <c r="BQ109" s="510">
        <f t="shared" si="777"/>
        <v>2.8976101772995084E-4</v>
      </c>
      <c r="BR109" s="48"/>
      <c r="BS109" s="512">
        <f t="shared" ref="BS109:BZ109" si="778">-BS467*BS$5/BS232</f>
        <v>1.387995678162195E-4</v>
      </c>
      <c r="BT109" s="512">
        <f t="shared" si="778"/>
        <v>5.112423179109188E-4</v>
      </c>
      <c r="BU109" s="512">
        <f t="shared" si="778"/>
        <v>4.2568910304339774E-4</v>
      </c>
      <c r="BV109" s="512">
        <f t="shared" si="778"/>
        <v>2.4631238981006926E-4</v>
      </c>
      <c r="BW109" s="512">
        <f t="shared" si="778"/>
        <v>1.4910780991369313E-4</v>
      </c>
      <c r="BX109" s="512">
        <f t="shared" si="778"/>
        <v>2.4738568486811668E-4</v>
      </c>
      <c r="BY109" s="512">
        <f t="shared" si="778"/>
        <v>2.6780697123385104E-4</v>
      </c>
      <c r="BZ109" s="512">
        <f t="shared" si="778"/>
        <v>1.8087714418868779E-4</v>
      </c>
      <c r="CA109" s="512">
        <f>-CA467*CA$5/CA232</f>
        <v>1.4115908226894851E-4</v>
      </c>
      <c r="CB109" s="512">
        <f>-CB467*CB$5/CB232</f>
        <v>1.3868470189881566E-4</v>
      </c>
      <c r="CC109" s="51">
        <f>(19-4)*CC$5/((SUM(AVERAGE(49127,57049),AVERAGE(11956,11638))/AVERAGE(CB178:CC178))*CC234)</f>
        <v>2.3233531290853287E-4</v>
      </c>
      <c r="CD109" s="51">
        <f>(11-1)*CD$5/((SUM(AVERAGE(69660,57049),AVERAGE(11956,35400))/AVERAGE(CC178:CD178))*CD234)</f>
        <v>1.1517451914166667E-4</v>
      </c>
      <c r="CE109" s="51">
        <f>(8-1)*CE$5/((SUM(AVERAGE(69660,81770),AVERAGE(12759,35400))/AVERAGE(CD178:CE178))*CE234)</f>
        <v>7.0235709299863304E-5</v>
      </c>
      <c r="CF109" s="51">
        <f>(4-0)*CF$5/((SUM(AVERAGE(89909,81770),AVERAGE(35336,35400))/AVERAGE(CE178:CF178))*CF234)</f>
        <v>3.2428658766492665E-5</v>
      </c>
      <c r="CG109" s="51">
        <f>(5-0)*CG$5/((SUM(AVERAGE(89909,100362),AVERAGE(35336,36647))/AVERAGE(CF178:CG178))*CG234)</f>
        <v>3.8386681999091303E-5</v>
      </c>
      <c r="CH109" s="51">
        <f>(11-0)*CH$5/((SUM(AVERAGE(112279,100362),AVERAGE(41431,36647))/AVERAGE(CG178:CH178))*CH234)</f>
        <v>7.3690233657210883E-5</v>
      </c>
      <c r="CI109" s="48">
        <f t="shared" ref="CI109:CR109" si="779">-CI467*CI$5/CI232</f>
        <v>1.1212878147386008E-4</v>
      </c>
      <c r="CJ109" s="48">
        <f t="shared" si="779"/>
        <v>1.9466373018677831E-4</v>
      </c>
      <c r="CK109" s="48">
        <f t="shared" si="779"/>
        <v>3.8128932286664514E-4</v>
      </c>
      <c r="CL109" s="48">
        <f t="shared" si="779"/>
        <v>1.9977504081991946E-4</v>
      </c>
      <c r="CM109" s="50">
        <f t="shared" si="779"/>
        <v>3.0429187051677817E-4</v>
      </c>
      <c r="CN109" s="50">
        <f t="shared" si="779"/>
        <v>6.3627213615679191E-4</v>
      </c>
      <c r="CO109" s="50">
        <f t="shared" si="779"/>
        <v>3.1117452258962733E-4</v>
      </c>
      <c r="CP109" s="50">
        <f t="shared" si="779"/>
        <v>1.8448666566779899E-4</v>
      </c>
      <c r="CQ109" s="50">
        <f t="shared" si="779"/>
        <v>2.0204341879661932E-4</v>
      </c>
      <c r="CR109" s="50">
        <f t="shared" si="779"/>
        <v>2.5807242242575023E-4</v>
      </c>
      <c r="CS109" s="50">
        <f t="shared" ref="CS109:DC109" si="780">-CS467*CS$5/CS232</f>
        <v>2.6897993328968585E-4</v>
      </c>
      <c r="CT109" s="50">
        <f t="shared" si="780"/>
        <v>2.7233170418050748E-4</v>
      </c>
      <c r="CU109" s="50">
        <f t="shared" si="780"/>
        <v>2.3247118681316267E-4</v>
      </c>
      <c r="CV109" s="50">
        <f t="shared" si="780"/>
        <v>1.2194604002456321E-4</v>
      </c>
      <c r="CW109" s="50">
        <f t="shared" si="780"/>
        <v>6.8446538113694976E-5</v>
      </c>
      <c r="CX109" s="50">
        <f t="shared" si="780"/>
        <v>4.7816305051766058E-5</v>
      </c>
      <c r="CY109" s="50">
        <f t="shared" si="780"/>
        <v>3.8596380650090266E-5</v>
      </c>
      <c r="CZ109" s="49">
        <f t="shared" si="780"/>
        <v>2.7425097132028914E-5</v>
      </c>
      <c r="DA109" s="48">
        <f t="shared" si="780"/>
        <v>5.2381794131352995E-5</v>
      </c>
      <c r="DB109" s="48">
        <f t="shared" si="780"/>
        <v>1.0230335181542171E-4</v>
      </c>
      <c r="DC109" s="48">
        <f t="shared" si="780"/>
        <v>1.5233520963675573E-4</v>
      </c>
      <c r="DD109" s="48">
        <f t="shared" ref="DD109:DI109" si="781">-DD467*DD$5/DD232</f>
        <v>2.0226463574565131E-4</v>
      </c>
      <c r="DE109" s="48">
        <f t="shared" si="781"/>
        <v>2.3972375546787699E-4</v>
      </c>
      <c r="DF109" s="48">
        <f t="shared" si="781"/>
        <v>2.897136278053699E-4</v>
      </c>
      <c r="DG109" s="48">
        <f t="shared" si="781"/>
        <v>2.8972950990380729E-4</v>
      </c>
      <c r="DH109" s="48">
        <f t="shared" si="781"/>
        <v>2.8971362780536985E-4</v>
      </c>
      <c r="DI109" s="48">
        <f t="shared" si="781"/>
        <v>2.897136278053699E-4</v>
      </c>
    </row>
    <row r="110" spans="1:113" outlineLevel="1">
      <c r="A110" s="1" t="s">
        <v>462</v>
      </c>
      <c r="B110" s="19" t="s">
        <v>488</v>
      </c>
      <c r="C110" s="235">
        <f t="shared" ref="C110:K110" si="782">-C468*C$5/(C237+AVERAGE(B179:C179)-C232-((SUM(AVERAGE(B160:C160),AVERAGE(B166:C166),AVERAGE(B172:C172))/AVERAGE(B178:C178))*C234))</f>
        <v>5.4697374372118654E-3</v>
      </c>
      <c r="D110" s="235">
        <f t="shared" si="782"/>
        <v>5.8568883932867159E-3</v>
      </c>
      <c r="E110" s="235">
        <f t="shared" si="782"/>
        <v>2.6837965037684727E-3</v>
      </c>
      <c r="F110" s="235">
        <f t="shared" si="782"/>
        <v>2.938431963781895E-3</v>
      </c>
      <c r="G110" s="235">
        <f t="shared" si="782"/>
        <v>3.321366669264593E-3</v>
      </c>
      <c r="H110" s="235">
        <f t="shared" si="782"/>
        <v>8.6626269603045649E-4</v>
      </c>
      <c r="I110" s="235">
        <f t="shared" si="782"/>
        <v>1.8981920699183445E-3</v>
      </c>
      <c r="J110" s="235">
        <f t="shared" si="782"/>
        <v>1.4112919158658729E-5</v>
      </c>
      <c r="K110" s="235">
        <f t="shared" si="782"/>
        <v>1.830644104947931E-3</v>
      </c>
      <c r="L110" s="235">
        <f>-L468*L$5/(L237-L232-((SUM(AVERAGE(K160:L160),AVERAGE(K166:L166),AVERAGE(K172:L172))/AVERAGE(K178:L178))*L234))</f>
        <v>8.6186593375107837E-4</v>
      </c>
      <c r="M110" s="48">
        <f t="shared" ref="M110:X110" si="783">-M468*M$5/(M237-M232-((SUM(AVERAGE(L160:M160),AVERAGE(L166:M166),AVERAGE(L172:M172))/AVERAGE(L178:M178))*M234))</f>
        <v>0</v>
      </c>
      <c r="N110" s="48">
        <f t="shared" si="783"/>
        <v>0</v>
      </c>
      <c r="O110" s="48">
        <f t="shared" si="783"/>
        <v>0</v>
      </c>
      <c r="P110" s="48">
        <f t="shared" si="783"/>
        <v>5.898912493188641E-4</v>
      </c>
      <c r="Q110" s="48">
        <f t="shared" si="783"/>
        <v>9.2951284582622358E-4</v>
      </c>
      <c r="R110" s="48">
        <f t="shared" si="783"/>
        <v>6.4896103652851956E-4</v>
      </c>
      <c r="S110" s="48">
        <f t="shared" si="783"/>
        <v>6.3583190844435861E-3</v>
      </c>
      <c r="T110" s="50">
        <f t="shared" si="783"/>
        <v>1.0164735021550027E-2</v>
      </c>
      <c r="U110" s="48">
        <f t="shared" si="783"/>
        <v>5.7437237661911063E-3</v>
      </c>
      <c r="V110" s="48">
        <f t="shared" si="783"/>
        <v>5.8046154160393808E-3</v>
      </c>
      <c r="W110" s="48">
        <f t="shared" si="783"/>
        <v>9.8932935942384805E-3</v>
      </c>
      <c r="X110" s="48">
        <f t="shared" si="783"/>
        <v>5.4659474970715277E-3</v>
      </c>
      <c r="Y110" s="50">
        <f t="shared" ref="Y110:AS110" si="784">-Y468*Y$5/(Y237-Y232-((SUM(AVERAGE(X160:Y160),AVERAGE(X166:Y166),AVERAGE(X172:Y172))/AVERAGE(X178:Y178))*Y234))</f>
        <v>7.1005938426969596E-3</v>
      </c>
      <c r="Z110" s="50">
        <f t="shared" si="784"/>
        <v>6.785764967195543E-3</v>
      </c>
      <c r="AA110" s="50">
        <f t="shared" si="784"/>
        <v>4.857846449866839E-3</v>
      </c>
      <c r="AB110" s="50">
        <f t="shared" si="784"/>
        <v>4.6007997471901423E-3</v>
      </c>
      <c r="AC110" s="50">
        <f t="shared" si="784"/>
        <v>5.8613896875738848E-3</v>
      </c>
      <c r="AD110" s="50">
        <f t="shared" si="784"/>
        <v>1.9872844651702367E-3</v>
      </c>
      <c r="AE110" s="50">
        <f t="shared" si="784"/>
        <v>1.5999144689462976E-3</v>
      </c>
      <c r="AF110" s="50">
        <f t="shared" si="784"/>
        <v>1.6124850625231248E-3</v>
      </c>
      <c r="AG110" s="50">
        <f t="shared" si="784"/>
        <v>2.9874423622704436E-3</v>
      </c>
      <c r="AH110" s="50">
        <f t="shared" si="784"/>
        <v>1.5211227042610466E-3</v>
      </c>
      <c r="AI110" s="50">
        <f t="shared" si="784"/>
        <v>1.8039282450003997E-3</v>
      </c>
      <c r="AJ110" s="50">
        <f t="shared" si="784"/>
        <v>1.7401105717603095E-3</v>
      </c>
      <c r="AK110" s="50">
        <f t="shared" si="784"/>
        <v>2.3826303684043263E-3</v>
      </c>
      <c r="AL110" s="50">
        <f t="shared" si="784"/>
        <v>1.8865978939138768E-3</v>
      </c>
      <c r="AM110" s="50">
        <f t="shared" si="784"/>
        <v>1.8290693302635019E-3</v>
      </c>
      <c r="AN110" s="50">
        <f t="shared" si="784"/>
        <v>1.2878890439951066E-3</v>
      </c>
      <c r="AO110" s="50">
        <f t="shared" si="784"/>
        <v>2.5334680871891622E-3</v>
      </c>
      <c r="AP110" s="50">
        <f t="shared" si="784"/>
        <v>1.6841356020684593E-3</v>
      </c>
      <c r="AQ110" s="50">
        <f t="shared" si="784"/>
        <v>1.0547513780607533E-3</v>
      </c>
      <c r="AR110" s="50">
        <f t="shared" si="784"/>
        <v>1.8003978270167177E-3</v>
      </c>
      <c r="AS110" s="50">
        <f t="shared" si="784"/>
        <v>1.1055903703116284E-3</v>
      </c>
      <c r="AT110" s="50">
        <f t="shared" ref="AT110:AZ110" si="785">-AT468*AT$5/(AT237-AT232-((SUM(AVERAGE(AS160:AT160),AVERAGE(AS166:AT166),AVERAGE(AS172:AT172))/AVERAGE(AS178:AT178))*AT234))</f>
        <v>2.2071524908328696E-3</v>
      </c>
      <c r="AU110" s="50">
        <f t="shared" si="785"/>
        <v>4.0426384750514091E-4</v>
      </c>
      <c r="AV110" s="50">
        <f t="shared" si="785"/>
        <v>1.1167772137816916E-3</v>
      </c>
      <c r="AW110" s="50">
        <f t="shared" si="785"/>
        <v>1.1392251373884465E-3</v>
      </c>
      <c r="AX110" s="385">
        <f t="shared" si="785"/>
        <v>6.1946257197134744E-4</v>
      </c>
      <c r="AY110" s="385">
        <f t="shared" si="785"/>
        <v>6.0604863464374325E-4</v>
      </c>
      <c r="AZ110" s="52">
        <f t="shared" si="785"/>
        <v>8.134646348750969E-4</v>
      </c>
      <c r="BA110" s="510">
        <f>AZ110+0.02%</f>
        <v>1.0134646348750969E-3</v>
      </c>
      <c r="BB110" s="510">
        <f>BA110+0.02%</f>
        <v>1.213464634875097E-3</v>
      </c>
      <c r="BC110" s="510">
        <f t="shared" ref="BC110" si="786">BB110+0.04%</f>
        <v>1.6134646348750969E-3</v>
      </c>
      <c r="BD110" s="510">
        <f>BC110-0.02%</f>
        <v>1.4134646348750968E-3</v>
      </c>
      <c r="BE110" s="510">
        <f t="shared" ref="BE110" si="787">BD110-0.02%</f>
        <v>1.2134646348750968E-3</v>
      </c>
      <c r="BF110" s="510">
        <f>BE110-0.03%</f>
        <v>9.1346463487509684E-4</v>
      </c>
      <c r="BG110" s="510">
        <f t="shared" ref="BG110" si="788">BF110-0.03%</f>
        <v>6.1346463487509692E-4</v>
      </c>
      <c r="BH110" s="510">
        <f>BG110</f>
        <v>6.1346463487509692E-4</v>
      </c>
      <c r="BI110" s="510">
        <f>BH110</f>
        <v>6.1346463487509692E-4</v>
      </c>
      <c r="BJ110" s="510">
        <f>BI110+0.05%</f>
        <v>1.1134646348750969E-3</v>
      </c>
      <c r="BK110" s="510">
        <f t="shared" ref="BK110:BL110" si="789">BJ110+0.05%</f>
        <v>1.6134646348750969E-3</v>
      </c>
      <c r="BL110" s="510">
        <f t="shared" si="789"/>
        <v>2.1134646348750967E-3</v>
      </c>
      <c r="BM110" s="510">
        <f>BL110</f>
        <v>2.1134646348750967E-3</v>
      </c>
      <c r="BN110" s="510">
        <f t="shared" ref="BN110:BQ110" si="790">BM110</f>
        <v>2.1134646348750967E-3</v>
      </c>
      <c r="BO110" s="510">
        <f t="shared" si="790"/>
        <v>2.1134646348750967E-3</v>
      </c>
      <c r="BP110" s="510">
        <f t="shared" si="790"/>
        <v>2.1134646348750967E-3</v>
      </c>
      <c r="BQ110" s="510">
        <f t="shared" si="790"/>
        <v>2.1134646348750967E-3</v>
      </c>
      <c r="BR110" s="510"/>
      <c r="BS110" s="235">
        <f t="shared" ref="BS110:CB110" si="791">-BS468*BS$5/(BS237+AVERAGE(BR179:BS179)-BS232-((SUM(AVERAGE(BR160:BS160),AVERAGE(BR166:BS166),AVERAGE(BR172:BS172))/AVERAGE(BR178:BS178))*BS234))</f>
        <v>1.2562374090025401E-2</v>
      </c>
      <c r="BT110" s="235">
        <f t="shared" si="791"/>
        <v>3.3484706823552285E-2</v>
      </c>
      <c r="BU110" s="235">
        <f t="shared" si="791"/>
        <v>6.6289816129586699E-3</v>
      </c>
      <c r="BV110" s="235">
        <f t="shared" si="791"/>
        <v>7.1777417047526448E-3</v>
      </c>
      <c r="BW110" s="235">
        <f t="shared" si="791"/>
        <v>3.3591699118378383E-3</v>
      </c>
      <c r="BX110" s="235">
        <f t="shared" si="791"/>
        <v>-8.2017657540663941E-3</v>
      </c>
      <c r="BY110" s="235">
        <f t="shared" si="791"/>
        <v>2.1695720387192485E-3</v>
      </c>
      <c r="BZ110" s="235">
        <f t="shared" si="791"/>
        <v>3.3613676992554319E-3</v>
      </c>
      <c r="CA110" s="235">
        <f t="shared" si="791"/>
        <v>2.0779533717807967E-3</v>
      </c>
      <c r="CB110" s="235">
        <f t="shared" si="791"/>
        <v>5.8892426102593008E-3</v>
      </c>
      <c r="CC110" s="48">
        <f>-CC468*CC$5/(CC237+AVERAGE(CB179:CC179)-CC232-((SUM(AVERAGE(CB160:CC160),AVERAGE(CB166:CC166),AVERAGE(CB172:CC172))/AVERAGE(CB178:CC178))*CC234))</f>
        <v>4.5617547483201163E-3</v>
      </c>
      <c r="CD110" s="48">
        <f>-CD468*CD$5/(CD237+AVERAGE(CC179:CD179)-CD232-((SUM(AVERAGE(CC160:CD160),AVERAGE(CC166:CD166),AVERAGE(CC172:CD172))/AVERAGE(CC178:CD178))*CD234))</f>
        <v>4.1691053177727051E-3</v>
      </c>
      <c r="CE110" s="48">
        <f>-CE468*CE$5/(CE237+AVERAGE(CD179:CE179)-CE232-((SUM(AVERAGE(CD160:CE160),AVERAGE(CD166:CE166),AVERAGE(CD172:CE172))/AVERAGE(CD178:CE178))*CE234))</f>
        <v>2.5600194968467206E-3</v>
      </c>
      <c r="CF110" s="48">
        <f>-CF468*CF$5/(CF237+AVERAGE(CE179:CF179)-CF232-((SUM(AVERAGE(CE160:CF160),AVERAGE(CE166:CF166),AVERAGE(CE172:CF172))/AVERAGE(CE178:CF178))*CF234))</f>
        <v>2.5328698647644689E-3</v>
      </c>
      <c r="CG110" s="48">
        <f>-CG468*CG$5/(CG237-CG232-((SUM(AVERAGE(CF160:CG160),AVERAGE(CF166:CG166),AVERAGE(CF172:CG172))/AVERAGE(CF178:CG178))*CG234))</f>
        <v>2.468901717124512E-3</v>
      </c>
      <c r="CH110" s="48">
        <f>-CH468*CH$5/(CH237-CH232-((SUM(AVERAGE(CG160:CH160),AVERAGE(CG166:CH166),AVERAGE(CG172:CH172))/AVERAGE(CG178:CH178))*CH234))</f>
        <v>1.665171799614821E-3</v>
      </c>
      <c r="CI110" s="48">
        <f>-CI468*CI$5/(CI237-CI232-((SUM(AVERAGE(CH160:CI160),AVERAGE(CH166:CI166),AVERAGE(CH172:CI172))/AVERAGE(CH178:CI178))*CI234))</f>
        <v>7.766802756523914E-4</v>
      </c>
      <c r="CJ110" s="48">
        <f t="shared" ref="CJ110:CR110" si="792">-CJ468*CJ$5/(CJ237-CJ232-((SUM(AVERAGE(CI160:CJ160),AVERAGE(CI166:CJ166),AVERAGE(CI172:CJ172))/AVERAGE(CI178:CJ178))*CJ234))</f>
        <v>3.6559157303257274E-3</v>
      </c>
      <c r="CK110" s="48">
        <f t="shared" si="792"/>
        <v>7.9212684150774971E-3</v>
      </c>
      <c r="CL110" s="48">
        <f t="shared" si="792"/>
        <v>8.1549702531716634E-3</v>
      </c>
      <c r="CM110" s="50">
        <f t="shared" si="792"/>
        <v>6.5557050685646446E-3</v>
      </c>
      <c r="CN110" s="50">
        <f t="shared" si="792"/>
        <v>6.0204681710288024E-3</v>
      </c>
      <c r="CO110" s="50">
        <f t="shared" si="792"/>
        <v>5.3571180252030767E-3</v>
      </c>
      <c r="CP110" s="50">
        <f t="shared" si="792"/>
        <v>1.8093753240780942E-3</v>
      </c>
      <c r="CQ110" s="50">
        <f t="shared" si="792"/>
        <v>2.3349135938940013E-3</v>
      </c>
      <c r="CR110" s="50">
        <f t="shared" si="792"/>
        <v>1.6599777714448561E-3</v>
      </c>
      <c r="CS110" s="50">
        <f t="shared" ref="CS110:CX110" si="793">-CS468*CS$5/(CS237-CS232-((SUM(AVERAGE(CS160:CS160),AVERAGE(CS166:CS166),AVERAGE(CS172:CS172))/AVERAGE(CS178:CS178))*CS234))</f>
        <v>2.0577255452917434E-3</v>
      </c>
      <c r="CT110" s="50">
        <f t="shared" si="793"/>
        <v>1.8608691388180471E-3</v>
      </c>
      <c r="CU110" s="50">
        <f t="shared" si="793"/>
        <v>1.8829518521583952E-3</v>
      </c>
      <c r="CV110" s="50">
        <f t="shared" si="793"/>
        <v>1.365903964313033E-3</v>
      </c>
      <c r="CW110" s="50">
        <f t="shared" si="793"/>
        <v>1.4423278395323679E-3</v>
      </c>
      <c r="CX110" s="50">
        <f t="shared" si="793"/>
        <v>1.2971509703666559E-3</v>
      </c>
      <c r="CY110" s="50">
        <f t="shared" ref="CY110:DD110" si="794">-CY468*CY$5/(CY237-CY232-((SUM(AVERAGE(CY160:CY160),AVERAGE(CY166:CY166),AVERAGE(CY172:CY172))/AVERAGE(CY178:CY178))*CY234))</f>
        <v>1.1250439703941397E-3</v>
      </c>
      <c r="CZ110" s="49">
        <f t="shared" si="794"/>
        <v>6.1158598510382446E-4</v>
      </c>
      <c r="DA110" s="48">
        <f t="shared" si="794"/>
        <v>9.1354752921016637E-4</v>
      </c>
      <c r="DB110" s="48">
        <f t="shared" si="794"/>
        <v>1.4124439953938613E-3</v>
      </c>
      <c r="DC110" s="48">
        <f t="shared" si="794"/>
        <v>1.3122358881392706E-3</v>
      </c>
      <c r="DD110" s="48">
        <f t="shared" si="794"/>
        <v>7.6311077185114995E-4</v>
      </c>
      <c r="DE110" s="48">
        <f>-DE468*DE$5/(DE237-DE232-((SUM(AVERAGE(DE160:DE160),AVERAGE(DE166:DE166),AVERAGE(DE172:DE172))/AVERAGE(DE178:DE178))*DE234))</f>
        <v>6.1308818658708597E-4</v>
      </c>
      <c r="DF110" s="48">
        <f>-DF468*DF$5/(DF237-DF232-((SUM(AVERAGE(DF160:DF160),AVERAGE(DF166:DF166),AVERAGE(DF172:DF172))/AVERAGE(DF178:DF178))*DF234))</f>
        <v>1.3626478152366096E-3</v>
      </c>
      <c r="DG110" s="48">
        <f>-DG468*DG$5/(DG237-DG232-((SUM(AVERAGE(DG160:DG160),AVERAGE(DG166:DG166),AVERAGE(DG172:DG172))/AVERAGE(DG178:DG178))*DG234))</f>
        <v>2.1122573385590981E-3</v>
      </c>
      <c r="DH110" s="48">
        <f>-DH468*DH$5/(DH237-DH232-((SUM(AVERAGE(DH160:DH160),AVERAGE(DH166:DH166),AVERAGE(DH172:DH172))/AVERAGE(DH178:DH178))*DH234))</f>
        <v>2.1121750718182566E-3</v>
      </c>
      <c r="DI110" s="48">
        <f>-DI468*DI$5/(DI237-DI232-((SUM(AVERAGE(DI160:DI160),AVERAGE(DI166:DI166),AVERAGE(DI172:DI172))/AVERAGE(DI178:DI178))*DI234))</f>
        <v>2.1121882107139759E-3</v>
      </c>
    </row>
    <row r="111" spans="1:113" outlineLevel="1">
      <c r="A111" s="1" t="s">
        <v>463</v>
      </c>
      <c r="B111" s="19" t="s">
        <v>487</v>
      </c>
      <c r="C111" s="235">
        <f>AVERAGE(AU111:AV111)</f>
        <v>2.1394465970011187E-2</v>
      </c>
      <c r="D111" s="235">
        <f>AVERAGE(AV111:AW111)</f>
        <v>2.4411615836505834E-2</v>
      </c>
      <c r="E111" s="235">
        <f>-E469*E$5/((SUM(AVERAGE(D160:E160),AVERAGE(D166:E166),AVERAGE(D172:E172))/AVERAGE(D178:E178))*E234)</f>
        <v>1.3733870282890841E-2</v>
      </c>
      <c r="F111" s="235">
        <f>AVERAGE(AW111:BR111)</f>
        <v>2.5630673814459139E-2</v>
      </c>
      <c r="G111" s="235">
        <f>-G469*G$5/((SUM(AVERAGE(F160:G160),AVERAGE(F166:G166),AVERAGE(F172:G172))/AVERAGE(F178:G178))*G234)</f>
        <v>1.4354759716727346E-2</v>
      </c>
      <c r="H111" s="235">
        <f>AVERAGE(BR111:BS111)</f>
        <v>6.8942040256059767E-3</v>
      </c>
      <c r="I111" s="235">
        <f>-I469*I$5/((SUM(AVERAGE(H160:I160),AVERAGE(H166:I166),AVERAGE(H172:I172))/AVERAGE(H178:I178))*I234)</f>
        <v>1.4168549991996009E-2</v>
      </c>
      <c r="J111" s="235">
        <f>AVERAGE(BS111:BT111)</f>
        <v>7.6055245824877774E-3</v>
      </c>
      <c r="K111" s="235">
        <f>-K469*K$5/((SUM(AVERAGE(J160:K160),AVERAGE(J166:K166),AVERAGE(J172:K172))/AVERAGE(J178:K178))*K234)</f>
        <v>1.4986713494427895E-2</v>
      </c>
      <c r="L111" s="235">
        <f>AVERAGE(BT111:BU111)</f>
        <v>6.6919582645633881E-3</v>
      </c>
      <c r="M111" s="48">
        <f>-M469*M$5/((SUM(AVERAGE(L160:M160),AVERAGE(L166:M166),AVERAGE(L172:M172))/AVERAGE(L178:M178))*M234)</f>
        <v>2.3532491092106204E-2</v>
      </c>
      <c r="N111" s="48">
        <f>AVERAGE(CG111:CH111)</f>
        <v>1.2377790610382914E-2</v>
      </c>
      <c r="O111" s="48">
        <f t="shared" ref="O111:X111" si="795">-O469*O$5/((SUM(AVERAGE(N160:O160),AVERAGE(N166:O166),AVERAGE(N172:O172))/AVERAGE(N178:O178))*O234)</f>
        <v>2.1671318661190899E-2</v>
      </c>
      <c r="P111" s="48">
        <f t="shared" si="795"/>
        <v>1.5288955168602963E-2</v>
      </c>
      <c r="Q111" s="48">
        <f t="shared" si="795"/>
        <v>1.5324737343055457E-2</v>
      </c>
      <c r="R111" s="48">
        <f t="shared" si="795"/>
        <v>1.5652880094973648E-2</v>
      </c>
      <c r="S111" s="48">
        <f t="shared" si="795"/>
        <v>3.0185460551690666E-2</v>
      </c>
      <c r="T111" s="50">
        <f t="shared" si="795"/>
        <v>2.3991965385392434E-2</v>
      </c>
      <c r="U111" s="48">
        <f t="shared" si="795"/>
        <v>3.5491838575385612E-2</v>
      </c>
      <c r="V111" s="48">
        <f t="shared" si="795"/>
        <v>2.3943042196825807E-2</v>
      </c>
      <c r="W111" s="48">
        <f t="shared" si="795"/>
        <v>1.8408917382231785E-2</v>
      </c>
      <c r="X111" s="48">
        <f t="shared" si="795"/>
        <v>2.4253343159004095E-2</v>
      </c>
      <c r="Y111" s="50">
        <f t="shared" ref="Y111:AZ111" si="796">-Y469*Y$5/((SUM(AVERAGE(X160:Y160),AVERAGE(X166:Y166),AVERAGE(X172:Y172))/AVERAGE(X178:Y178))*Y234)</f>
        <v>2.4456415914156052E-2</v>
      </c>
      <c r="Z111" s="50">
        <f t="shared" si="796"/>
        <v>2.3971003332455307E-2</v>
      </c>
      <c r="AA111" s="50">
        <f t="shared" si="796"/>
        <v>2.4290467304122328E-2</v>
      </c>
      <c r="AB111" s="50">
        <f t="shared" si="796"/>
        <v>2.6011665228484974E-2</v>
      </c>
      <c r="AC111" s="50">
        <f t="shared" si="796"/>
        <v>2.62715185731482E-2</v>
      </c>
      <c r="AD111" s="50">
        <f t="shared" si="796"/>
        <v>2.4776098903205201E-2</v>
      </c>
      <c r="AE111" s="50">
        <f t="shared" si="796"/>
        <v>5.0470953103169666E-2</v>
      </c>
      <c r="AF111" s="50">
        <f t="shared" si="796"/>
        <v>2.7197800499636476E-2</v>
      </c>
      <c r="AG111" s="50">
        <f t="shared" si="796"/>
        <v>2.8479142583888013E-2</v>
      </c>
      <c r="AH111" s="50">
        <f t="shared" si="796"/>
        <v>2.8515536188919034E-2</v>
      </c>
      <c r="AI111" s="50">
        <f t="shared" si="796"/>
        <v>3.0932249555270467E-2</v>
      </c>
      <c r="AJ111" s="50">
        <f t="shared" si="796"/>
        <v>2.8554287084404648E-2</v>
      </c>
      <c r="AK111" s="50">
        <f t="shared" si="796"/>
        <v>3.0309995644647158E-2</v>
      </c>
      <c r="AL111" s="50">
        <f t="shared" si="796"/>
        <v>2.919238336272471E-2</v>
      </c>
      <c r="AM111" s="50">
        <f t="shared" si="796"/>
        <v>3.4539079364304705E-2</v>
      </c>
      <c r="AN111" s="50">
        <f t="shared" si="796"/>
        <v>2.7728007264139654E-2</v>
      </c>
      <c r="AO111" s="50">
        <f t="shared" si="796"/>
        <v>2.5404998857703014E-2</v>
      </c>
      <c r="AP111" s="50">
        <f t="shared" si="796"/>
        <v>2.701969174240262E-2</v>
      </c>
      <c r="AQ111" s="50">
        <f t="shared" si="796"/>
        <v>2.0583746214608085E-2</v>
      </c>
      <c r="AR111" s="50">
        <f t="shared" si="796"/>
        <v>1.4503362810308082E-2</v>
      </c>
      <c r="AS111" s="50">
        <f t="shared" si="796"/>
        <v>1.2692144237634444E-2</v>
      </c>
      <c r="AT111" s="50">
        <f t="shared" si="796"/>
        <v>1.1728179213641861E-2</v>
      </c>
      <c r="AU111" s="50">
        <f t="shared" si="796"/>
        <v>1.9473105743763892E-2</v>
      </c>
      <c r="AV111" s="50">
        <f t="shared" si="796"/>
        <v>2.3315826196258483E-2</v>
      </c>
      <c r="AW111" s="50">
        <f t="shared" si="796"/>
        <v>2.5507405476753182E-2</v>
      </c>
      <c r="AX111" s="385">
        <f t="shared" si="796"/>
        <v>2.6555733147150054E-2</v>
      </c>
      <c r="AY111" s="385">
        <f t="shared" si="796"/>
        <v>3.0931928347212628E-2</v>
      </c>
      <c r="AZ111" s="52">
        <f t="shared" si="796"/>
        <v>3.0285320846267838E-2</v>
      </c>
      <c r="BA111" s="826">
        <f>[5]CBA!L$250/((SUM(AVERAGE(AZ160:BA160),AVERAGE(AZ166:BA166),AVERAGE(AZ172:BA172))/AVERAGE(AZ178:BA178))*BA234)*BA$5</f>
        <v>2.9467202389066346E-2</v>
      </c>
      <c r="BB111" s="826">
        <f>[5]CBA!M$250/((SUM(AVERAGE(BA160:BB160),AVERAGE(BA166:BB166),AVERAGE(BA172:BB172))/AVERAGE(BA178:BB178))*BB234)*BB$5</f>
        <v>3.0701427035477211E-2</v>
      </c>
      <c r="BC111" s="826">
        <f>[5]CBA!N$250/((SUM(AVERAGE(BB160:BC160),AVERAGE(BB166:BC166),AVERAGE(BB172:BC172))/AVERAGE(BB178:BC178))*BC234)*BC$5</f>
        <v>3.2929053753856227E-2</v>
      </c>
      <c r="BD111" s="826">
        <f>[5]CBA!O$250/((SUM(AVERAGE(BC160:BD160),AVERAGE(BC166:BD166),AVERAGE(BC172:BD172))/AVERAGE(BC178:BD178))*BD234)*BD$5</f>
        <v>3.5058193506868146E-2</v>
      </c>
      <c r="BE111" s="826">
        <f>[5]CBA!P$250/((SUM(AVERAGE(BD160:BE160),AVERAGE(BD166:BE166),AVERAGE(BD172:BE172))/AVERAGE(BD178:BE178))*BE234)*BE$5</f>
        <v>3.8048065556063784E-2</v>
      </c>
      <c r="BF111" s="826">
        <f>[5]CBA!Q$250/((SUM(AVERAGE(BE160:BF160),AVERAGE(BE166:BF166),AVERAGE(BE172:BF172))/AVERAGE(BE178:BF178))*BF234)*BF$5</f>
        <v>3.006727958789205E-2</v>
      </c>
      <c r="BG111" s="826">
        <f>[5]CBA!R$250/((SUM(AVERAGE(BF160:BG160),AVERAGE(BF166:BG166),AVERAGE(BF172:BG172))/AVERAGE(BF178:BG178))*BG234)*BG$5</f>
        <v>2.3841026988961605E-2</v>
      </c>
      <c r="BH111" s="826">
        <f>[5]CBA!S$250/((SUM(AVERAGE(BG160:BH160),AVERAGE(BG166:BH166),AVERAGE(BG172:BH172))/AVERAGE(BG178:BH178))*BH234)*BH$5</f>
        <v>2.0131091730815107E-2</v>
      </c>
      <c r="BI111" s="826">
        <f>[5]CBA!T$250/((SUM(AVERAGE(BH160:BI160),AVERAGE(BH166:BI166),AVERAGE(BH172:BI172))/AVERAGE(BH178:BI178))*BI234)*BI$5</f>
        <v>2.0524491304139733E-2</v>
      </c>
      <c r="BJ111" s="510">
        <f>BI111</f>
        <v>2.0524491304139733E-2</v>
      </c>
      <c r="BK111" s="510">
        <f t="shared" ref="BK111:BQ111" si="797">BJ111</f>
        <v>2.0524491304139733E-2</v>
      </c>
      <c r="BL111" s="510">
        <f t="shared" si="797"/>
        <v>2.0524491304139733E-2</v>
      </c>
      <c r="BM111" s="510">
        <f t="shared" si="797"/>
        <v>2.0524491304139733E-2</v>
      </c>
      <c r="BN111" s="510">
        <f t="shared" si="797"/>
        <v>2.0524491304139733E-2</v>
      </c>
      <c r="BO111" s="510">
        <f t="shared" si="797"/>
        <v>2.0524491304139733E-2</v>
      </c>
      <c r="BP111" s="510">
        <f t="shared" si="797"/>
        <v>2.0524491304139733E-2</v>
      </c>
      <c r="BQ111" s="510">
        <f t="shared" si="797"/>
        <v>2.0524491304139733E-2</v>
      </c>
      <c r="BR111" s="48"/>
      <c r="BS111" s="236">
        <f t="shared" ref="BS111:CB111" si="798">-BS469*BS$5/((SUM(AVERAGE(BR160:BS160),AVERAGE(BR166:BS166),AVERAGE(BR172:BS172))/AVERAGE(BR178:BS178))*BS234)</f>
        <v>6.8942040256059767E-3</v>
      </c>
      <c r="BT111" s="236">
        <f t="shared" si="798"/>
        <v>8.3168451393695782E-3</v>
      </c>
      <c r="BU111" s="236">
        <f t="shared" si="798"/>
        <v>5.067071389757199E-3</v>
      </c>
      <c r="BV111" s="236">
        <f t="shared" si="798"/>
        <v>9.1900677965707795E-3</v>
      </c>
      <c r="BW111" s="236">
        <f t="shared" si="798"/>
        <v>4.9230467135452293E-3</v>
      </c>
      <c r="BX111" s="236">
        <f t="shared" si="798"/>
        <v>6.2404261939628791E-3</v>
      </c>
      <c r="BY111" s="236">
        <f t="shared" si="798"/>
        <v>8.8106505818928895E-3</v>
      </c>
      <c r="BZ111" s="236">
        <f t="shared" si="798"/>
        <v>6.6713272207245614E-3</v>
      </c>
      <c r="CA111" s="236">
        <f t="shared" si="798"/>
        <v>8.7206029205524546E-3</v>
      </c>
      <c r="CB111" s="236">
        <f t="shared" si="798"/>
        <v>1.8030726921317776E-2</v>
      </c>
      <c r="CC111" s="51">
        <f>(237-27)*CC$5/((SUM(AVERAGE(13435,14893),AVERAGE(1804,1848))/AVERAGE(CB178:CC178))*CC234)</f>
        <v>1.3198941519260925E-2</v>
      </c>
      <c r="CD111" s="51">
        <f>(177-24)*CD$5/((SUM(AVERAGE(15648,14893),AVERAGE(1771,1848))/AVERAGE(CC178:CD178))*CD234)</f>
        <v>8.9792782762948293E-3</v>
      </c>
      <c r="CE111" s="51">
        <f>(203-46)*CE$5/((SUM(AVERAGE(15648,19491),AVERAGE(1771,2497))/AVERAGE(CD178:CE178))*CE234)</f>
        <v>7.9785287327549335E-3</v>
      </c>
      <c r="CF111" s="51">
        <f>(209-50)*CF$5/((SUM(AVERAGE(13702,19491),AVERAGE(3101,2497))/AVERAGE(CE178:CF178))*CF234)</f>
        <v>8.0555395392346921E-3</v>
      </c>
      <c r="CG111" s="51">
        <f>(264-53)*CG$5/((SUM(AVERAGE(13702,15579),AVERAGE(3101,3692))/AVERAGE(CF178:CG178))*CG234)</f>
        <v>1.1776624993673143E-2</v>
      </c>
      <c r="CH111" s="51">
        <f>(337-65)*CH$5/((SUM(AVERAGE(18377,15579),AVERAGE(3167,3692))/AVERAGE(CG178:CH178))*CH234)</f>
        <v>1.2978956227092686E-2</v>
      </c>
      <c r="CI111" s="48">
        <f>-CI469*CI$5/((SUM(AVERAGE(CH160:CI160),AVERAGE(CH166:CI166),AVERAGE(CH172:CI172))/AVERAGE(CH178:CI178))*CI234)</f>
        <v>1.5454565571910571E-2</v>
      </c>
      <c r="CJ111" s="48">
        <f t="shared" ref="CJ111:CR111" si="799">-CJ469*CJ$5/((SUM(AVERAGE(CI160:CJ160),AVERAGE(CI166:CJ166),AVERAGE(CI172:CJ172))/AVERAGE(CI178:CJ178))*CJ234)</f>
        <v>2.1484393824849964E-2</v>
      </c>
      <c r="CK111" s="48">
        <f t="shared" si="799"/>
        <v>3.0164807871279103E-2</v>
      </c>
      <c r="CL111" s="48">
        <f t="shared" si="799"/>
        <v>2.1235734573961912E-2</v>
      </c>
      <c r="CM111" s="50">
        <f t="shared" si="799"/>
        <v>2.4295034759582442E-2</v>
      </c>
      <c r="CN111" s="50">
        <f t="shared" si="799"/>
        <v>2.4238681149082005E-2</v>
      </c>
      <c r="CO111" s="50">
        <f t="shared" si="799"/>
        <v>2.6110453784300398E-2</v>
      </c>
      <c r="CP111" s="50">
        <f t="shared" si="799"/>
        <v>3.7894037764654054E-2</v>
      </c>
      <c r="CQ111" s="50">
        <f t="shared" si="799"/>
        <v>2.7996181481125038E-2</v>
      </c>
      <c r="CR111" s="50">
        <f t="shared" si="799"/>
        <v>2.9833333656306627E-2</v>
      </c>
      <c r="CS111" s="50">
        <f t="shared" ref="CS111:CX111" si="800">-CS469*CS$5/((SUM(AVERAGE(CS160:CS160),AVERAGE(CS166:CS166),AVERAGE(CS172:CS172))/AVERAGE(CS178:CS178))*CS234)</f>
        <v>2.9934131176298961E-2</v>
      </c>
      <c r="CT111" s="50">
        <f t="shared" si="800"/>
        <v>3.2967086648804829E-2</v>
      </c>
      <c r="CU111" s="50">
        <f t="shared" si="800"/>
        <v>3.0527431037101191E-2</v>
      </c>
      <c r="CV111" s="50">
        <f t="shared" si="800"/>
        <v>2.5307819078010232E-2</v>
      </c>
      <c r="CW111" s="50">
        <f t="shared" si="800"/>
        <v>1.4343532457710653E-2</v>
      </c>
      <c r="CX111" s="50">
        <f t="shared" si="800"/>
        <v>1.581396740883725E-2</v>
      </c>
      <c r="CY111" s="50">
        <f t="shared" ref="CY111:DD111" si="801">-CY469*CY$5/((SUM(AVERAGE(CY160:CY160),AVERAGE(CY166:CY166),AVERAGE(CY172:CY172))/AVERAGE(CY178:CY178))*CY234)</f>
        <v>2.5404627178640882E-2</v>
      </c>
      <c r="CZ111" s="49">
        <f t="shared" si="801"/>
        <v>2.9448205566526112E-2</v>
      </c>
      <c r="DA111" s="48">
        <f t="shared" si="801"/>
        <v>3.0376591447962734E-2</v>
      </c>
      <c r="DB111" s="48">
        <f t="shared" si="801"/>
        <v>3.2322818121061053E-2</v>
      </c>
      <c r="DC111" s="48">
        <f t="shared" si="801"/>
        <v>3.7071536817529581E-2</v>
      </c>
      <c r="DD111" s="48">
        <f t="shared" si="801"/>
        <v>2.7300934160869747E-2</v>
      </c>
      <c r="DE111" s="48">
        <f>-DE469*DE$5/((SUM(AVERAGE(DE160:DE160),AVERAGE(DE166:DE166),AVERAGE(DE172:DE172))/AVERAGE(DE178:DE178))*DE234)</f>
        <v>2.051847815046081E-2</v>
      </c>
      <c r="DF111" s="48">
        <f>-DF469*DF$5/((SUM(AVERAGE(DF160:DF160),AVERAGE(DF166:DF166),AVERAGE(DF172:DF172))/AVERAGE(DF178:DF178))*DF234)</f>
        <v>2.0711649463876013E-2</v>
      </c>
      <c r="DG111" s="48">
        <f>-DG469*DG$5/((SUM(AVERAGE(DG160:DG160),AVERAGE(DG166:DG166),AVERAGE(DG172:DG172))/AVERAGE(DG178:DG178))*DG234)</f>
        <v>2.0715557791166971E-2</v>
      </c>
      <c r="DH111" s="48">
        <f>-DH469*DH$5/((SUM(AVERAGE(DH160:DH160),AVERAGE(DH166:DH166),AVERAGE(DH172:DH172))/AVERAGE(DH178:DH178))*DH234)</f>
        <v>2.0714882351876438E-2</v>
      </c>
      <c r="DI111" s="48">
        <f>-DI469*DI$5/((SUM(AVERAGE(DI160:DI160),AVERAGE(DI166:DI166),AVERAGE(DI172:DI172))/AVERAGE(DI178:DI178))*DI234)</f>
        <v>2.0715012823939567E-2</v>
      </c>
    </row>
    <row r="112" spans="1:113" outlineLevel="1">
      <c r="A112" s="1" t="s">
        <v>464</v>
      </c>
      <c r="B112" s="19" t="s">
        <v>859</v>
      </c>
      <c r="C112" s="235">
        <f t="shared" ref="C112:K112" si="802">-C470/(C237+AVERAGE(B179:C179))*C$5</f>
        <v>3.5673239689281199E-3</v>
      </c>
      <c r="D112" s="235">
        <f t="shared" si="802"/>
        <v>3.6290208774451124E-3</v>
      </c>
      <c r="E112" s="235">
        <f t="shared" si="802"/>
        <v>2.1506763384004099E-3</v>
      </c>
      <c r="F112" s="235">
        <f t="shared" si="802"/>
        <v>2.2398447832764593E-3</v>
      </c>
      <c r="G112" s="235">
        <f t="shared" si="802"/>
        <v>2.3029964872144626E-3</v>
      </c>
      <c r="H112" s="235">
        <f t="shared" si="802"/>
        <v>1.3191423805185135E-3</v>
      </c>
      <c r="I112" s="235">
        <f t="shared" si="802"/>
        <v>1.5668524693201841E-3</v>
      </c>
      <c r="J112" s="235">
        <f t="shared" si="802"/>
        <v>1.0715583746837435E-3</v>
      </c>
      <c r="K112" s="235">
        <f t="shared" si="802"/>
        <v>1.6086639695468659E-3</v>
      </c>
      <c r="L112" s="235">
        <f>-L470/L237*L$5</f>
        <v>1.4977956100318418E-3</v>
      </c>
      <c r="M112" s="48">
        <f t="shared" ref="M112:X112" si="803">-M470/M237*M$5</f>
        <v>1.54008631735496E-3</v>
      </c>
      <c r="N112" s="48">
        <f t="shared" si="803"/>
        <v>1.4916599262175239E-3</v>
      </c>
      <c r="O112" s="48">
        <f t="shared" si="803"/>
        <v>1.3933383051514246E-3</v>
      </c>
      <c r="P112" s="48">
        <f t="shared" si="803"/>
        <v>1.2148597932304206E-3</v>
      </c>
      <c r="Q112" s="48">
        <f t="shared" si="803"/>
        <v>1.2798593836290458E-3</v>
      </c>
      <c r="R112" s="48">
        <f t="shared" si="803"/>
        <v>1.0584649648096647E-3</v>
      </c>
      <c r="S112" s="48">
        <f t="shared" si="803"/>
        <v>3.6757584254597303E-3</v>
      </c>
      <c r="T112" s="50">
        <f t="shared" si="803"/>
        <v>4.5833093724279468E-3</v>
      </c>
      <c r="U112" s="48">
        <f t="shared" si="803"/>
        <v>3.5997155408111783E-3</v>
      </c>
      <c r="V112" s="48">
        <f t="shared" si="803"/>
        <v>3.0200189122461542E-3</v>
      </c>
      <c r="W112" s="48">
        <f t="shared" si="803"/>
        <v>3.9184775830659793E-3</v>
      </c>
      <c r="X112" s="48">
        <f t="shared" si="803"/>
        <v>2.8196612868018273E-3</v>
      </c>
      <c r="Y112" s="50">
        <f t="shared" ref="Y112:AD112" si="804">-Y470/Y237*Y$5</f>
        <v>3.4139871804093357E-3</v>
      </c>
      <c r="Z112" s="50">
        <f t="shared" si="804"/>
        <v>3.4041374798047482E-3</v>
      </c>
      <c r="AA112" s="50">
        <f t="shared" si="804"/>
        <v>2.9049203005853171E-3</v>
      </c>
      <c r="AB112" s="50">
        <f t="shared" si="804"/>
        <v>2.6081991310313631E-3</v>
      </c>
      <c r="AC112" s="50">
        <f t="shared" si="804"/>
        <v>3.0135029003488622E-3</v>
      </c>
      <c r="AD112" s="50">
        <f t="shared" si="804"/>
        <v>1.6637695916163536E-3</v>
      </c>
      <c r="AE112" s="50">
        <f t="shared" ref="AE112:AK112" si="805">-AE470/AE237*AE$5</f>
        <v>2.5016900100256105E-3</v>
      </c>
      <c r="AF112" s="50">
        <f t="shared" si="805"/>
        <v>1.64828302100141E-3</v>
      </c>
      <c r="AG112" s="50">
        <f t="shared" si="805"/>
        <v>2.0460205753054439E-3</v>
      </c>
      <c r="AH112" s="50">
        <f t="shared" si="805"/>
        <v>1.597223462389451E-3</v>
      </c>
      <c r="AI112" s="50">
        <f t="shared" si="805"/>
        <v>1.7490264504422467E-3</v>
      </c>
      <c r="AJ112" s="50">
        <f t="shared" si="805"/>
        <v>1.6038872005282529E-3</v>
      </c>
      <c r="AK112" s="50">
        <f t="shared" si="805"/>
        <v>1.8778946499921328E-3</v>
      </c>
      <c r="AL112" s="50">
        <f t="shared" ref="AL112:AQ112" si="806">-AL470/AL237*AL$5</f>
        <v>1.6218057031104662E-3</v>
      </c>
      <c r="AM112" s="50">
        <f t="shared" si="806"/>
        <v>1.7471778796675022E-3</v>
      </c>
      <c r="AN112" s="50">
        <f t="shared" si="806"/>
        <v>1.2978449627176439E-3</v>
      </c>
      <c r="AO112" s="50">
        <f t="shared" si="806"/>
        <v>1.528641814368253E-3</v>
      </c>
      <c r="AP112" s="50">
        <f t="shared" si="806"/>
        <v>1.1791097957915676E-3</v>
      </c>
      <c r="AQ112" s="50">
        <f t="shared" si="806"/>
        <v>8.0140845442564846E-4</v>
      </c>
      <c r="AR112" s="50">
        <f t="shared" ref="AR112" si="807">-AR470/AR237*AR$5</f>
        <v>8.3767024861101187E-4</v>
      </c>
      <c r="AS112" s="50">
        <f t="shared" ref="AS112" si="808">-AS470/AS237*AS$5</f>
        <v>5.8679733980955811E-4</v>
      </c>
      <c r="AT112" s="50">
        <f t="shared" ref="AT112:AU112" si="809">-AT470/AT237*AT$5</f>
        <v>8.7429798202075888E-4</v>
      </c>
      <c r="AU112" s="50">
        <f t="shared" si="809"/>
        <v>5.0444107628872697E-4</v>
      </c>
      <c r="AV112" s="50">
        <f t="shared" ref="AV112:AW112" si="810">-AV470/AV237*AV$5</f>
        <v>7.5798767286943617E-4</v>
      </c>
      <c r="AW112" s="50">
        <f t="shared" si="810"/>
        <v>8.3239219896555773E-4</v>
      </c>
      <c r="AX112" s="385">
        <f t="shared" ref="AX112:AZ112" si="811">-AX470/AX237*AX$5</f>
        <v>6.6002638758684974E-4</v>
      </c>
      <c r="AY112" s="236">
        <f t="shared" ref="AY112" si="812">-AY470/AY237*AY$5</f>
        <v>7.1812944114470006E-4</v>
      </c>
      <c r="AZ112" s="52">
        <f t="shared" si="811"/>
        <v>7.6595248184692616E-4</v>
      </c>
      <c r="BA112" s="235">
        <f t="shared" ref="BA112:BC112" si="813">-BA470/BA237*BA$5</f>
        <v>8.186041965495851E-4</v>
      </c>
      <c r="BB112" s="235">
        <f t="shared" si="813"/>
        <v>9.0728706164195554E-4</v>
      </c>
      <c r="BC112" s="235">
        <f t="shared" si="813"/>
        <v>1.0662295518395393E-3</v>
      </c>
      <c r="BD112" s="235">
        <f t="shared" ref="BD112:BE112" si="814">-BD470/BD237*BD$5</f>
        <v>1.0479458067750834E-3</v>
      </c>
      <c r="BE112" s="235">
        <f t="shared" si="814"/>
        <v>1.0438196956295974E-3</v>
      </c>
      <c r="BF112" s="235">
        <f t="shared" ref="BF112:BG112" si="815">-BF470/BF237*BF$5</f>
        <v>8.4542948500212925E-4</v>
      </c>
      <c r="BG112" s="235">
        <f t="shared" si="815"/>
        <v>6.79121062814361E-4</v>
      </c>
      <c r="BH112" s="235">
        <f t="shared" ref="BH112:BP112" si="816">-BH470/BH237*BH$5</f>
        <v>6.371034735092022E-4</v>
      </c>
      <c r="BI112" s="235">
        <f t="shared" si="816"/>
        <v>6.3948381708863616E-4</v>
      </c>
      <c r="BJ112" s="235">
        <f t="shared" si="816"/>
        <v>8.0951097672652458E-4</v>
      </c>
      <c r="BK112" s="235">
        <f t="shared" si="816"/>
        <v>9.4348389210488547E-4</v>
      </c>
      <c r="BL112" s="235">
        <f t="shared" si="816"/>
        <v>1.0767978453459861E-3</v>
      </c>
      <c r="BM112" s="235">
        <f t="shared" si="816"/>
        <v>1.0730016143692921E-3</v>
      </c>
      <c r="BN112" s="235">
        <f t="shared" si="816"/>
        <v>1.0692362431676203E-3</v>
      </c>
      <c r="BO112" s="235">
        <f t="shared" si="816"/>
        <v>1.0655015092371426E-3</v>
      </c>
      <c r="BP112" s="235">
        <f t="shared" si="816"/>
        <v>1.0617971911999441E-3</v>
      </c>
      <c r="BQ112" s="235">
        <f>-BQ470/BQ237*BQ$5</f>
        <v>1.05812306880624E-3</v>
      </c>
      <c r="BR112" s="48"/>
      <c r="BS112" s="235">
        <f t="shared" ref="BS112:CB112" si="817">-BS470/(BS237+AVERAGE(BR179:BS179))*BS$5</f>
        <v>8.2123780116748184E-3</v>
      </c>
      <c r="BT112" s="235">
        <f t="shared" si="817"/>
        <v>2.0358297329777581E-2</v>
      </c>
      <c r="BU112" s="235">
        <f t="shared" si="817"/>
        <v>4.1853026883884818E-3</v>
      </c>
      <c r="BV112" s="235">
        <f t="shared" si="817"/>
        <v>4.5928875855104382E-3</v>
      </c>
      <c r="BW112" s="235">
        <f t="shared" si="817"/>
        <v>2.1127587151297E-3</v>
      </c>
      <c r="BX112" s="235">
        <f t="shared" si="817"/>
        <v>-3.0755178374253524E-3</v>
      </c>
      <c r="BY112" s="235">
        <f t="shared" si="817"/>
        <v>1.8202000115735261E-3</v>
      </c>
      <c r="BZ112" s="235">
        <f t="shared" si="817"/>
        <v>2.1719610175308284E-3</v>
      </c>
      <c r="CA112" s="235">
        <f t="shared" si="817"/>
        <v>1.649881702644417E-3</v>
      </c>
      <c r="CB112" s="235">
        <f t="shared" si="817"/>
        <v>3.7491525423728814E-3</v>
      </c>
      <c r="CC112" s="48">
        <f>-CC470/(CC237+AVERAGE(CB179:CC179))*CC$5</f>
        <v>2.881539791207581E-3</v>
      </c>
      <c r="CD112" s="48">
        <f>-CD470/(CD237+AVERAGE(CC179:CD179))*CD$5</f>
        <v>2.270900712723001E-3</v>
      </c>
      <c r="CE112" s="48">
        <f>-CE470/(CE237+AVERAGE(CD179:CE179))*CE$5</f>
        <v>1.4452383467265933E-3</v>
      </c>
      <c r="CF112" s="48">
        <f>-CF470/(CF237+AVERAGE(CE179:CF179))*CF$5</f>
        <v>1.3476634763885159E-3</v>
      </c>
      <c r="CG112" s="48">
        <f t="shared" ref="CG112:CR112" si="818">-CG470/CG237*CG$5</f>
        <v>1.5194447866617388E-3</v>
      </c>
      <c r="CH112" s="48">
        <f t="shared" si="818"/>
        <v>1.4039113780942578E-3</v>
      </c>
      <c r="CI112" s="48">
        <f t="shared" si="818"/>
        <v>1.2483443320478707E-3</v>
      </c>
      <c r="CJ112" s="48">
        <f t="shared" si="818"/>
        <v>2.3928473989525143E-3</v>
      </c>
      <c r="CK112" s="48">
        <f t="shared" si="818"/>
        <v>4.0915389598143639E-3</v>
      </c>
      <c r="CL112" s="48">
        <f t="shared" si="818"/>
        <v>3.4669619496516379E-3</v>
      </c>
      <c r="CM112" s="50">
        <f t="shared" si="818"/>
        <v>3.1182456133715818E-3</v>
      </c>
      <c r="CN112" s="50">
        <f t="shared" si="818"/>
        <v>3.1544881002163595E-3</v>
      </c>
      <c r="CO112" s="50">
        <f t="shared" si="818"/>
        <v>2.812728278159711E-3</v>
      </c>
      <c r="CP112" s="50">
        <f t="shared" si="818"/>
        <v>2.0870573612419194E-3</v>
      </c>
      <c r="CQ112" s="50">
        <f t="shared" si="818"/>
        <v>1.848787198699645E-3</v>
      </c>
      <c r="CR112" s="50">
        <f t="shared" si="818"/>
        <v>1.6731504923884885E-3</v>
      </c>
      <c r="CS112" s="50">
        <f t="shared" ref="CS112:DC112" si="819">-CS470/CS237*CS$5</f>
        <v>1.7402262294098233E-3</v>
      </c>
      <c r="CT112" s="50">
        <f t="shared" si="819"/>
        <v>1.6842039986808242E-3</v>
      </c>
      <c r="CU112" s="50">
        <f t="shared" si="819"/>
        <v>1.4135331274351289E-3</v>
      </c>
      <c r="CV112" s="50">
        <f t="shared" si="819"/>
        <v>9.8988108109155206E-4</v>
      </c>
      <c r="CW112" s="50">
        <f t="shared" si="819"/>
        <v>7.1105547388986283E-4</v>
      </c>
      <c r="CX112" s="50">
        <f t="shared" si="819"/>
        <v>6.8835391868649076E-4</v>
      </c>
      <c r="CY112" s="50">
        <f t="shared" si="819"/>
        <v>7.9506998424848407E-4</v>
      </c>
      <c r="CZ112" s="49">
        <f t="shared" si="819"/>
        <v>6.8913712149561157E-4</v>
      </c>
      <c r="DA112" s="48">
        <f t="shared" si="819"/>
        <v>7.9232180838772343E-4</v>
      </c>
      <c r="DB112" s="48">
        <f t="shared" si="819"/>
        <v>9.8689201964695427E-4</v>
      </c>
      <c r="DC112" s="48">
        <f t="shared" si="819"/>
        <v>1.0457431446967563E-3</v>
      </c>
      <c r="DD112" s="48">
        <f t="shared" ref="DD112:DI112" si="820">-DD470/DD237*DD$5</f>
        <v>7.6199279418358464E-4</v>
      </c>
      <c r="DE112" s="48">
        <f t="shared" si="820"/>
        <v>6.3820318135132399E-4</v>
      </c>
      <c r="DF112" s="48">
        <f t="shared" si="820"/>
        <v>8.7644244920846584E-4</v>
      </c>
      <c r="DG112" s="48">
        <f t="shared" si="820"/>
        <v>1.0747813819741395E-3</v>
      </c>
      <c r="DH112" s="48">
        <f t="shared" si="820"/>
        <v>1.0672009531689825E-3</v>
      </c>
      <c r="DI112" s="48">
        <f t="shared" si="820"/>
        <v>1.05979324656106E-3</v>
      </c>
    </row>
    <row r="113" spans="1:113" outlineLevel="1">
      <c r="A113" s="1" t="s">
        <v>465</v>
      </c>
      <c r="B113" s="19" t="s">
        <v>422</v>
      </c>
      <c r="C113" s="235">
        <f t="shared" ref="C113:K113" si="821">-C470/(C233+AVERAGE(B179:C179))*C$5</f>
        <v>7.0005714473089283E-3</v>
      </c>
      <c r="D113" s="235">
        <f t="shared" si="821"/>
        <v>7.2893169724703721E-3</v>
      </c>
      <c r="E113" s="235">
        <f t="shared" si="821"/>
        <v>4.5067632198106068E-3</v>
      </c>
      <c r="F113" s="235">
        <f t="shared" si="821"/>
        <v>4.8972866276860453E-3</v>
      </c>
      <c r="G113" s="235">
        <f t="shared" si="821"/>
        <v>5.2600291127882096E-3</v>
      </c>
      <c r="H113" s="235">
        <f t="shared" si="821"/>
        <v>3.1366174323372146E-3</v>
      </c>
      <c r="I113" s="235">
        <f t="shared" si="821"/>
        <v>3.9975881650466975E-3</v>
      </c>
      <c r="J113" s="235">
        <f t="shared" si="821"/>
        <v>2.8152884544193116E-3</v>
      </c>
      <c r="K113" s="235">
        <f t="shared" si="821"/>
        <v>4.1258562064753279E-3</v>
      </c>
      <c r="L113" s="235">
        <f>-L470/(L233+L235)*L$5</f>
        <v>4.2856231908203132E-3</v>
      </c>
      <c r="M113" s="48">
        <f t="shared" ref="M113:X113" si="822">-M470/(M233+M235)*M$5</f>
        <v>4.3182680055232313E-3</v>
      </c>
      <c r="N113" s="48">
        <f t="shared" si="822"/>
        <v>4.1095840058185638E-3</v>
      </c>
      <c r="O113" s="48">
        <f t="shared" si="822"/>
        <v>3.6731083755519567E-3</v>
      </c>
      <c r="P113" s="48">
        <f t="shared" si="822"/>
        <v>3.0372327390481109E-3</v>
      </c>
      <c r="Q113" s="48">
        <f t="shared" si="822"/>
        <v>3.1453270511320837E-3</v>
      </c>
      <c r="R113" s="48">
        <f t="shared" si="822"/>
        <v>2.5992616667286981E-3</v>
      </c>
      <c r="S113" s="48">
        <f t="shared" si="822"/>
        <v>9.3206212688692943E-3</v>
      </c>
      <c r="T113" s="50">
        <f t="shared" si="822"/>
        <v>1.2128869787276952E-2</v>
      </c>
      <c r="U113" s="48">
        <f t="shared" si="822"/>
        <v>1.00976631631824E-2</v>
      </c>
      <c r="V113" s="48">
        <f t="shared" si="822"/>
        <v>8.388637410654369E-3</v>
      </c>
      <c r="W113" s="48">
        <f t="shared" si="822"/>
        <v>1.1132286948869901E-2</v>
      </c>
      <c r="X113" s="48">
        <f t="shared" si="822"/>
        <v>8.0981646262467052E-3</v>
      </c>
      <c r="Y113" s="50">
        <f t="shared" ref="Y113:AD113" si="823">-Y470/(Y233+Y235)*Y$5</f>
        <v>9.840124269080177E-3</v>
      </c>
      <c r="Z113" s="50">
        <f t="shared" si="823"/>
        <v>9.8599752159305911E-3</v>
      </c>
      <c r="AA113" s="50">
        <f t="shared" si="823"/>
        <v>8.4599869777025657E-3</v>
      </c>
      <c r="AB113" s="50">
        <f t="shared" si="823"/>
        <v>7.6043604081508847E-3</v>
      </c>
      <c r="AC113" s="50">
        <f t="shared" si="823"/>
        <v>8.7815978494224251E-3</v>
      </c>
      <c r="AD113" s="50">
        <f t="shared" si="823"/>
        <v>4.8543777923497258E-3</v>
      </c>
      <c r="AE113" s="50">
        <f t="shared" ref="AE113:AK113" si="824">-AE470/(AE233+AE235)*AE$5</f>
        <v>7.2632196454277872E-3</v>
      </c>
      <c r="AF113" s="50">
        <f t="shared" si="824"/>
        <v>4.7048909311244351E-3</v>
      </c>
      <c r="AG113" s="50">
        <f t="shared" si="824"/>
        <v>5.8109125407603988E-3</v>
      </c>
      <c r="AH113" s="50">
        <f t="shared" si="824"/>
        <v>4.6029542143457714E-3</v>
      </c>
      <c r="AI113" s="50">
        <f t="shared" si="824"/>
        <v>5.1096304957075588E-3</v>
      </c>
      <c r="AJ113" s="50">
        <f t="shared" si="824"/>
        <v>4.7283362905632675E-3</v>
      </c>
      <c r="AK113" s="50">
        <f t="shared" si="824"/>
        <v>5.6218297375824587E-3</v>
      </c>
      <c r="AL113" s="50">
        <f t="shared" ref="AL113:AQ113" si="825">-AL470/(AL233+AL235)*AL$5</f>
        <v>4.9442199671610098E-3</v>
      </c>
      <c r="AM113" s="50">
        <f t="shared" si="825"/>
        <v>5.4780261407011222E-3</v>
      </c>
      <c r="AN113" s="50">
        <f t="shared" si="825"/>
        <v>4.1827893455683336E-3</v>
      </c>
      <c r="AO113" s="50">
        <f t="shared" si="825"/>
        <v>4.9711873091360737E-3</v>
      </c>
      <c r="AP113" s="50">
        <f t="shared" si="825"/>
        <v>3.9200844725321904E-3</v>
      </c>
      <c r="AQ113" s="50">
        <f t="shared" si="825"/>
        <v>2.7222082173706886E-3</v>
      </c>
      <c r="AR113" s="50">
        <f t="shared" ref="AR113" si="826">-AR470/(AR233+AR235)*AR$5</f>
        <v>2.8749702584086627E-3</v>
      </c>
      <c r="AS113" s="50">
        <f t="shared" ref="AS113" si="827">-AS470/(AS233+AS235)*AS$5</f>
        <v>1.9982252081177016E-3</v>
      </c>
      <c r="AT113" s="50">
        <f t="shared" ref="AT113:AU113" si="828">-AT470/(AT233+AT235)*AT$5</f>
        <v>2.9201347047808713E-3</v>
      </c>
      <c r="AU113" s="50">
        <f t="shared" si="828"/>
        <v>1.6760400838738952E-3</v>
      </c>
      <c r="AV113" s="50">
        <f t="shared" ref="AV113:AW113" si="829">-AV470/(AV233+AV235)*AV$5</f>
        <v>2.5151748889331261E-3</v>
      </c>
      <c r="AW113" s="50">
        <f t="shared" si="829"/>
        <v>2.7652009419844559E-3</v>
      </c>
      <c r="AX113" s="385">
        <f t="shared" ref="AX113:AZ113" si="830">-AX470/(AX233+AX235)*AX$5</f>
        <v>2.1972484785957309E-3</v>
      </c>
      <c r="AY113" s="236">
        <f t="shared" ref="AY113" si="831">-AY470/(AY233+AY235)*AY$5</f>
        <v>2.3833890430361585E-3</v>
      </c>
      <c r="AZ113" s="52">
        <f t="shared" si="830"/>
        <v>2.5166088332193959E-3</v>
      </c>
      <c r="BA113" s="235">
        <f t="shared" ref="BA113:BC113" si="832">-BA470/(BA233+BA235)*BA$5</f>
        <v>2.6855228334169926E-3</v>
      </c>
      <c r="BB113" s="235">
        <f t="shared" si="832"/>
        <v>2.9710176814404733E-3</v>
      </c>
      <c r="BC113" s="235">
        <f t="shared" si="832"/>
        <v>3.5069604385328515E-3</v>
      </c>
      <c r="BD113" s="235">
        <f t="shared" ref="BD113:BE113" si="833">-BD470/(BD233+BD235)*BD$5</f>
        <v>3.4789350593670298E-3</v>
      </c>
      <c r="BE113" s="235">
        <f t="shared" si="833"/>
        <v>3.4972473167576069E-3</v>
      </c>
      <c r="BF113" s="235">
        <f t="shared" ref="BF113:BG113" si="834">-BF470/(BF233+BF235)*BF$5</f>
        <v>2.8586014671758289E-3</v>
      </c>
      <c r="BG113" s="235">
        <f t="shared" si="834"/>
        <v>2.3127846787337342E-3</v>
      </c>
      <c r="BH113" s="235">
        <f t="shared" ref="BH113:BP113" si="835">-BH470/(BH233+BH235)*BH$5</f>
        <v>2.1850650348768483E-3</v>
      </c>
      <c r="BI113" s="235">
        <f t="shared" si="835"/>
        <v>2.2015927956582195E-3</v>
      </c>
      <c r="BJ113" s="235">
        <f t="shared" si="835"/>
        <v>2.7972784989691683E-3</v>
      </c>
      <c r="BK113" s="235">
        <f t="shared" si="835"/>
        <v>3.2686465460961913E-3</v>
      </c>
      <c r="BL113" s="235">
        <f t="shared" si="835"/>
        <v>3.7401047981850356E-3</v>
      </c>
      <c r="BM113" s="235">
        <f t="shared" si="835"/>
        <v>3.7364717095501902E-3</v>
      </c>
      <c r="BN113" s="235">
        <f t="shared" si="835"/>
        <v>3.7328653205600747E-3</v>
      </c>
      <c r="BO113" s="235">
        <f t="shared" si="835"/>
        <v>3.7292855116544568E-3</v>
      </c>
      <c r="BP113" s="235">
        <f t="shared" si="835"/>
        <v>3.7257321632674719E-3</v>
      </c>
      <c r="BQ113" s="235">
        <f>-BQ470/(BQ233+BQ235)*BQ$5</f>
        <v>3.7222051558277423E-3</v>
      </c>
      <c r="BR113" s="48"/>
      <c r="BS113" s="235">
        <f t="shared" ref="BS113:CB113" si="836">-BS470/(BS233+AVERAGE(BR179:BS179))*BS$5</f>
        <v>1.1807236272345364E-2</v>
      </c>
      <c r="BT113" s="235">
        <f t="shared" si="836"/>
        <v>2.9965671281227294E-2</v>
      </c>
      <c r="BU113" s="235">
        <f t="shared" si="836"/>
        <v>6.6209458902435686E-3</v>
      </c>
      <c r="BV113" s="235">
        <f t="shared" si="836"/>
        <v>7.723822152846822E-3</v>
      </c>
      <c r="BW113" s="235">
        <f t="shared" si="836"/>
        <v>3.7548486323046104E-3</v>
      </c>
      <c r="BX113" s="235">
        <f t="shared" si="836"/>
        <v>-5.7742248748999456E-3</v>
      </c>
      <c r="BY113" s="235">
        <f t="shared" si="836"/>
        <v>3.4437381822743861E-3</v>
      </c>
      <c r="BZ113" s="235">
        <f t="shared" si="836"/>
        <v>4.0814184964277972E-3</v>
      </c>
      <c r="CA113" s="235">
        <f t="shared" si="836"/>
        <v>3.1405005925162453E-3</v>
      </c>
      <c r="CB113" s="235">
        <f t="shared" si="836"/>
        <v>7.334801798552058E-3</v>
      </c>
      <c r="CC113" s="48">
        <f>-CC470/(CC233+AVERAGE(CB179:CC179))*CC$5</f>
        <v>5.9045219072631243E-3</v>
      </c>
      <c r="CD113" s="48">
        <f>-CD470/(CD233+AVERAGE(CC179:CD179))*CD$5</f>
        <v>5.0760023347913253E-3</v>
      </c>
      <c r="CE113" s="48">
        <f>-CE470/(CE233+AVERAGE(CD179:CE179))*CE$5</f>
        <v>3.5581042203620314E-3</v>
      </c>
      <c r="CF113" s="48">
        <f>-CF470/(CF233+AVERAGE(CE179:CF179))*CF$5</f>
        <v>3.5011282080707473E-3</v>
      </c>
      <c r="CG113" s="48">
        <f t="shared" ref="CG113:CR113" si="837">-CG470/(CG233+CG235)*CG$5</f>
        <v>4.3115137531631303E-3</v>
      </c>
      <c r="CH113" s="48">
        <f t="shared" si="837"/>
        <v>3.7305411471753804E-3</v>
      </c>
      <c r="CI113" s="48">
        <f t="shared" si="837"/>
        <v>3.1293452562639514E-3</v>
      </c>
      <c r="CJ113" s="48">
        <f t="shared" si="837"/>
        <v>6.1177249589832051E-3</v>
      </c>
      <c r="CK113" s="48">
        <f t="shared" si="837"/>
        <v>1.1028696495184105E-2</v>
      </c>
      <c r="CL113" s="48">
        <f t="shared" si="837"/>
        <v>1.0116215294865552E-2</v>
      </c>
      <c r="CM113" s="50">
        <f t="shared" si="837"/>
        <v>9.3065559464658738E-3</v>
      </c>
      <c r="CN113" s="50">
        <f t="shared" si="837"/>
        <v>9.4388641990067381E-3</v>
      </c>
      <c r="CO113" s="50">
        <f t="shared" si="837"/>
        <v>8.3629909598998738E-3</v>
      </c>
      <c r="CP113" s="50">
        <f t="shared" si="837"/>
        <v>6.1355150879519342E-3</v>
      </c>
      <c r="CQ113" s="50">
        <f t="shared" si="837"/>
        <v>5.3203514778123332E-3</v>
      </c>
      <c r="CR113" s="50">
        <f t="shared" si="837"/>
        <v>4.8519959570986759E-3</v>
      </c>
      <c r="CS113" s="50">
        <f t="shared" ref="CS113:DC113" si="838">-CS470/(CS233+CS235)*CS$5</f>
        <v>5.1787846062830902E-3</v>
      </c>
      <c r="CT113" s="50">
        <f t="shared" si="838"/>
        <v>5.2296913114881311E-3</v>
      </c>
      <c r="CU113" s="50">
        <f t="shared" si="838"/>
        <v>4.5620024450679407E-3</v>
      </c>
      <c r="CV113" s="50">
        <f t="shared" si="838"/>
        <v>3.3269363712289985E-3</v>
      </c>
      <c r="CW113" s="50">
        <f t="shared" si="838"/>
        <v>2.4306197881964788E-3</v>
      </c>
      <c r="CX113" s="50">
        <f t="shared" si="838"/>
        <v>2.2929522267628451E-3</v>
      </c>
      <c r="CY113" s="50">
        <f t="shared" si="838"/>
        <v>2.6397313151210735E-3</v>
      </c>
      <c r="CZ113" s="49">
        <f t="shared" si="838"/>
        <v>2.2905701106456732E-3</v>
      </c>
      <c r="DA113" s="48">
        <f t="shared" si="838"/>
        <v>2.6012178599230853E-3</v>
      </c>
      <c r="DB113" s="48">
        <f t="shared" si="838"/>
        <v>3.2389835336847006E-3</v>
      </c>
      <c r="DC113" s="48">
        <f t="shared" si="838"/>
        <v>3.4878504227641781E-3</v>
      </c>
      <c r="DD113" s="48">
        <f t="shared" ref="DD113:DI113" si="839">-DD470/(DD233+DD235)*DD$5</f>
        <v>2.5858818796098667E-3</v>
      </c>
      <c r="DE113" s="48">
        <f t="shared" si="839"/>
        <v>2.1930728366574026E-3</v>
      </c>
      <c r="DF113" s="48">
        <f t="shared" si="839"/>
        <v>3.0325372581479341E-3</v>
      </c>
      <c r="DG113" s="48">
        <f t="shared" si="839"/>
        <v>3.7379502608274242E-3</v>
      </c>
      <c r="DH113" s="48">
        <f t="shared" si="839"/>
        <v>3.7305743506690484E-3</v>
      </c>
      <c r="DI113" s="48">
        <f t="shared" si="839"/>
        <v>3.7234674245801764E-3</v>
      </c>
    </row>
    <row r="114" spans="1:113" outlineLevel="1">
      <c r="A114" s="1" t="s">
        <v>466</v>
      </c>
      <c r="B114" s="19" t="s">
        <v>622</v>
      </c>
      <c r="C114" s="235">
        <f t="shared" ref="C114:L114" si="840">C124/(C177+C179)</f>
        <v>9.3764343321749398E-3</v>
      </c>
      <c r="D114" s="235">
        <f t="shared" si="840"/>
        <v>1.3833913607540476E-2</v>
      </c>
      <c r="E114" s="235">
        <f t="shared" si="840"/>
        <v>1.251011554942358E-2</v>
      </c>
      <c r="F114" s="235">
        <f t="shared" si="840"/>
        <v>1.2165901057731767E-2</v>
      </c>
      <c r="G114" s="235">
        <f t="shared" si="840"/>
        <v>8.8819436096753083E-3</v>
      </c>
      <c r="H114" s="235">
        <f t="shared" si="840"/>
        <v>7.552755427356915E-3</v>
      </c>
      <c r="I114" s="235">
        <f t="shared" si="840"/>
        <v>4.745656351727654E-3</v>
      </c>
      <c r="J114" s="235">
        <f t="shared" si="840"/>
        <v>4.9465329805918057E-3</v>
      </c>
      <c r="K114" s="235">
        <f t="shared" si="840"/>
        <v>4.114540473536734E-3</v>
      </c>
      <c r="L114" s="235">
        <f t="shared" si="840"/>
        <v>3.7804295942720765E-3</v>
      </c>
      <c r="M114" s="48">
        <f t="shared" ref="M114:X114" si="841">M124/(M177+M179)</f>
        <v>2.9216181821440732E-3</v>
      </c>
      <c r="N114" s="48">
        <f t="shared" si="841"/>
        <v>2.7969250374440409E-3</v>
      </c>
      <c r="O114" s="48">
        <f t="shared" si="841"/>
        <v>2.9513000441643475E-3</v>
      </c>
      <c r="P114" s="48">
        <f t="shared" si="841"/>
        <v>3.5015576323987538E-3</v>
      </c>
      <c r="Q114" s="48">
        <f t="shared" si="841"/>
        <v>4.1261402766870053E-3</v>
      </c>
      <c r="R114" s="48">
        <f t="shared" si="841"/>
        <v>1.364257851771424E-2</v>
      </c>
      <c r="S114" s="48">
        <f t="shared" si="841"/>
        <v>2.1692421049377308E-2</v>
      </c>
      <c r="T114" s="50">
        <f t="shared" si="841"/>
        <v>2.5736255409522894E-2</v>
      </c>
      <c r="U114" s="48">
        <f t="shared" si="841"/>
        <v>2.791051085438483E-2</v>
      </c>
      <c r="V114" s="48">
        <f t="shared" si="841"/>
        <v>2.883283739814789E-2</v>
      </c>
      <c r="W114" s="48">
        <f t="shared" si="841"/>
        <v>2.9411928016568847E-2</v>
      </c>
      <c r="X114" s="48">
        <f t="shared" si="841"/>
        <v>2.5513154879472713E-2</v>
      </c>
      <c r="Y114" s="50">
        <f t="shared" ref="Y114:AD114" si="842">Y124/(Y177+Y179)</f>
        <v>2.5031376004699724E-2</v>
      </c>
      <c r="Z114" s="50">
        <f t="shared" si="842"/>
        <v>2.3775785848100327E-2</v>
      </c>
      <c r="AA114" s="50">
        <f t="shared" si="842"/>
        <v>2.2282029774555259E-2</v>
      </c>
      <c r="AB114" s="50">
        <f t="shared" si="842"/>
        <v>1.9383125510535483E-2</v>
      </c>
      <c r="AC114" s="50">
        <f t="shared" si="842"/>
        <v>1.6266643476916535E-2</v>
      </c>
      <c r="AD114" s="50">
        <f t="shared" si="842"/>
        <v>1.5634524380086456E-2</v>
      </c>
      <c r="AE114" s="50">
        <f t="shared" ref="AE114:AK114" si="843">AE124/(AE177+AE179)</f>
        <v>1.2861924648493285E-2</v>
      </c>
      <c r="AF114" s="50">
        <f t="shared" si="843"/>
        <v>1.1749336255215138E-2</v>
      </c>
      <c r="AG114" s="50">
        <f t="shared" si="843"/>
        <v>1.2745783787984768E-2</v>
      </c>
      <c r="AH114" s="50">
        <f t="shared" si="843"/>
        <v>1.3741744774065357E-2</v>
      </c>
      <c r="AI114" s="50">
        <f t="shared" si="843"/>
        <v>1.2744890246779786E-2</v>
      </c>
      <c r="AJ114" s="50">
        <f t="shared" si="843"/>
        <v>1.3600029082331272E-2</v>
      </c>
      <c r="AK114" s="50">
        <f t="shared" si="843"/>
        <v>1.293938555217271E-2</v>
      </c>
      <c r="AL114" s="50">
        <f t="shared" ref="AL114:AQ114" si="844">AL124/(AL177+AL179)</f>
        <v>1.4484380467243329E-2</v>
      </c>
      <c r="AM114" s="50">
        <f t="shared" si="844"/>
        <v>1.5284119200938483E-2</v>
      </c>
      <c r="AN114" s="50">
        <f t="shared" si="844"/>
        <v>1.4376596278148678E-2</v>
      </c>
      <c r="AO114" s="50">
        <f t="shared" si="844"/>
        <v>1.5012016382899502E-2</v>
      </c>
      <c r="AP114" s="50">
        <f t="shared" si="844"/>
        <v>1.323073114727511E-2</v>
      </c>
      <c r="AQ114" s="50">
        <f t="shared" si="844"/>
        <v>1.4341607067732435E-2</v>
      </c>
      <c r="AR114" s="50">
        <f t="shared" ref="AR114" si="845">AR124/(AR177+AR179)</f>
        <v>1.4282550021739665E-2</v>
      </c>
      <c r="AS114" s="50">
        <f t="shared" ref="AS114" si="846">AS124/(AS177+AS179)</f>
        <v>1.1259448054301751E-2</v>
      </c>
      <c r="AT114" s="50">
        <f t="shared" ref="AT114:AU114" si="847">AT124/(AT177+AT179)</f>
        <v>1.1145292618996924E-2</v>
      </c>
      <c r="AU114" s="50">
        <f t="shared" si="847"/>
        <v>1.1893225581520088E-2</v>
      </c>
      <c r="AV114" s="50">
        <f t="shared" ref="AV114:AW114" si="848">AV124/(AV177+AV179)</f>
        <v>1.1663225708819301E-2</v>
      </c>
      <c r="AW114" s="50">
        <f t="shared" si="848"/>
        <v>1.3760448237780545E-2</v>
      </c>
      <c r="AX114" s="385">
        <f t="shared" ref="AX114:BI114" si="849">AX124/(AX177+AX179)</f>
        <v>1.8003324269053485E-2</v>
      </c>
      <c r="AY114" s="236">
        <f t="shared" si="849"/>
        <v>1.802912272262187E-2</v>
      </c>
      <c r="AZ114" s="52">
        <f t="shared" ref="AZ114" si="850">AZ124/(AZ177+AZ179)</f>
        <v>1.6582800686346898E-2</v>
      </c>
      <c r="BA114" s="235">
        <f t="shared" si="849"/>
        <v>1.5219304006115729E-2</v>
      </c>
      <c r="BB114" s="235">
        <f t="shared" si="849"/>
        <v>1.6357792089709593E-2</v>
      </c>
      <c r="BC114" s="235">
        <f t="shared" si="849"/>
        <v>1.7629610286200349E-2</v>
      </c>
      <c r="BD114" s="235">
        <f t="shared" si="849"/>
        <v>1.8601543874818122E-2</v>
      </c>
      <c r="BE114" s="235">
        <f t="shared" si="849"/>
        <v>1.9571861267426417E-2</v>
      </c>
      <c r="BF114" s="235">
        <f t="shared" si="849"/>
        <v>1.88808032455208E-2</v>
      </c>
      <c r="BG114" s="235">
        <f t="shared" si="849"/>
        <v>1.8137996997257298E-2</v>
      </c>
      <c r="BH114" s="235">
        <f t="shared" si="849"/>
        <v>1.7382888667902583E-2</v>
      </c>
      <c r="BI114" s="235">
        <f t="shared" si="849"/>
        <v>1.6567232214935407E-2</v>
      </c>
      <c r="BJ114" s="510">
        <f>BI114</f>
        <v>1.6567232214935407E-2</v>
      </c>
      <c r="BK114" s="510">
        <f t="shared" ref="BK114:BQ114" si="851">BJ114</f>
        <v>1.6567232214935407E-2</v>
      </c>
      <c r="BL114" s="510">
        <f t="shared" si="851"/>
        <v>1.6567232214935407E-2</v>
      </c>
      <c r="BM114" s="510">
        <f t="shared" si="851"/>
        <v>1.6567232214935407E-2</v>
      </c>
      <c r="BN114" s="510">
        <f t="shared" si="851"/>
        <v>1.6567232214935407E-2</v>
      </c>
      <c r="BO114" s="510">
        <f t="shared" si="851"/>
        <v>1.6567232214935407E-2</v>
      </c>
      <c r="BP114" s="510">
        <f t="shared" si="851"/>
        <v>1.6567232214935407E-2</v>
      </c>
      <c r="BQ114" s="510">
        <f t="shared" si="851"/>
        <v>1.6567232214935407E-2</v>
      </c>
      <c r="BR114" s="48"/>
      <c r="BS114" s="235">
        <f t="shared" ref="BS114:CB114" si="852">BS124/(BS177+BS179)</f>
        <v>3.4188437399533131E-2</v>
      </c>
      <c r="BT114" s="235">
        <f t="shared" si="852"/>
        <v>4.5985305572670075E-2</v>
      </c>
      <c r="BU114" s="235">
        <f t="shared" si="852"/>
        <v>4.7852914249627135E-2</v>
      </c>
      <c r="BV114" s="235">
        <f t="shared" si="852"/>
        <v>3.793724874081604E-2</v>
      </c>
      <c r="BW114" s="235">
        <f t="shared" si="852"/>
        <v>2.7041829259943861E-2</v>
      </c>
      <c r="BX114" s="235">
        <f t="shared" si="852"/>
        <v>1.8853789486827321E-2</v>
      </c>
      <c r="BY114" s="235">
        <f t="shared" si="852"/>
        <v>1.7312294346395453E-2</v>
      </c>
      <c r="BZ114" s="235">
        <f t="shared" si="852"/>
        <v>1.0910177850844418E-2</v>
      </c>
      <c r="CA114" s="235">
        <f>CA124/(CA177+CA179)</f>
        <v>1.5250866679207761E-2</v>
      </c>
      <c r="CB114" s="235">
        <f t="shared" si="852"/>
        <v>9.4026621205166878E-3</v>
      </c>
      <c r="CC114" s="48">
        <f t="shared" ref="CC114:CR114" si="853">CC124/(CC177+CC179)</f>
        <v>1.251011554942358E-2</v>
      </c>
      <c r="CD114" s="48">
        <f t="shared" si="853"/>
        <v>8.8819436096753083E-3</v>
      </c>
      <c r="CE114" s="48">
        <f t="shared" si="853"/>
        <v>4.745656351727654E-3</v>
      </c>
      <c r="CF114" s="48">
        <f t="shared" si="853"/>
        <v>4.114540473536734E-3</v>
      </c>
      <c r="CG114" s="48">
        <f t="shared" si="853"/>
        <v>2.9216181821440732E-3</v>
      </c>
      <c r="CH114" s="48">
        <f t="shared" si="853"/>
        <v>2.9513000441643475E-3</v>
      </c>
      <c r="CI114" s="48">
        <f t="shared" si="853"/>
        <v>4.1261402766870053E-3</v>
      </c>
      <c r="CJ114" s="48">
        <f t="shared" si="853"/>
        <v>2.1692421049377308E-2</v>
      </c>
      <c r="CK114" s="48">
        <f t="shared" si="853"/>
        <v>2.791051085438483E-2</v>
      </c>
      <c r="CL114" s="48">
        <f t="shared" si="853"/>
        <v>2.9411928016568847E-2</v>
      </c>
      <c r="CM114" s="50">
        <f t="shared" si="853"/>
        <v>2.5031376004699724E-2</v>
      </c>
      <c r="CN114" s="50">
        <f t="shared" si="853"/>
        <v>2.2282029774555259E-2</v>
      </c>
      <c r="CO114" s="50">
        <f t="shared" si="853"/>
        <v>1.6266643476916535E-2</v>
      </c>
      <c r="CP114" s="50">
        <f t="shared" si="853"/>
        <v>1.2861924648493285E-2</v>
      </c>
      <c r="CQ114" s="50">
        <f t="shared" si="853"/>
        <v>1.2745783787984768E-2</v>
      </c>
      <c r="CR114" s="50">
        <f t="shared" si="853"/>
        <v>1.2744890246779786E-2</v>
      </c>
      <c r="CS114" s="50">
        <f t="shared" ref="CS114:DC114" si="854">CS124/(CS177+CS179)</f>
        <v>1.293938555217271E-2</v>
      </c>
      <c r="CT114" s="50">
        <f t="shared" si="854"/>
        <v>1.5284119200938483E-2</v>
      </c>
      <c r="CU114" s="50">
        <f t="shared" si="854"/>
        <v>1.5012016382899502E-2</v>
      </c>
      <c r="CV114" s="50">
        <f t="shared" si="854"/>
        <v>1.4341607067732435E-2</v>
      </c>
      <c r="CW114" s="50">
        <f t="shared" si="854"/>
        <v>1.1259448054301751E-2</v>
      </c>
      <c r="CX114" s="50">
        <f t="shared" si="854"/>
        <v>1.1893225581520088E-2</v>
      </c>
      <c r="CY114" s="50">
        <f t="shared" si="854"/>
        <v>1.3760448237780545E-2</v>
      </c>
      <c r="CZ114" s="49">
        <f t="shared" si="854"/>
        <v>1.802912272262187E-2</v>
      </c>
      <c r="DA114" s="48">
        <f t="shared" si="854"/>
        <v>1.5219304006115729E-2</v>
      </c>
      <c r="DB114" s="48">
        <f t="shared" si="854"/>
        <v>1.7629610286200349E-2</v>
      </c>
      <c r="DC114" s="48">
        <f t="shared" si="854"/>
        <v>1.9571861267426417E-2</v>
      </c>
      <c r="DD114" s="48">
        <f t="shared" ref="DD114:DI114" si="855">DD124/(DD177+DD179)</f>
        <v>1.8137996997257298E-2</v>
      </c>
      <c r="DE114" s="48">
        <f t="shared" si="855"/>
        <v>1.6567232214935407E-2</v>
      </c>
      <c r="DF114" s="48">
        <f t="shared" si="855"/>
        <v>1.6567232214935407E-2</v>
      </c>
      <c r="DG114" s="235">
        <f t="shared" si="855"/>
        <v>1.6567232214935407E-2</v>
      </c>
      <c r="DH114" s="235">
        <f t="shared" si="855"/>
        <v>1.6567232214935407E-2</v>
      </c>
      <c r="DI114" s="235">
        <f t="shared" si="855"/>
        <v>1.6567232214935407E-2</v>
      </c>
    </row>
    <row r="115" spans="1:113" outlineLevel="1">
      <c r="A115" s="1" t="s">
        <v>467</v>
      </c>
      <c r="B115" s="19" t="s">
        <v>512</v>
      </c>
      <c r="C115" s="232">
        <f>C120/C124</f>
        <v>0.32727272727272727</v>
      </c>
      <c r="D115" s="232">
        <f>D120/D124</f>
        <v>0.29569377990430623</v>
      </c>
      <c r="E115" s="232">
        <f>E120/E124</f>
        <v>0.28632025450689291</v>
      </c>
      <c r="F115" s="232">
        <f t="shared" ref="F115:L115" si="856">F120/F124</f>
        <v>0.28618063112078346</v>
      </c>
      <c r="G115" s="232">
        <f t="shared" si="856"/>
        <v>0.30827067669172931</v>
      </c>
      <c r="H115" s="232">
        <f t="shared" si="856"/>
        <v>0.33165829145728642</v>
      </c>
      <c r="I115" s="232">
        <f t="shared" si="856"/>
        <v>0.39393939393939392</v>
      </c>
      <c r="J115" s="232">
        <f t="shared" si="856"/>
        <v>0.4044943820224719</v>
      </c>
      <c r="K115" s="232">
        <f t="shared" si="856"/>
        <v>0.39746835443037976</v>
      </c>
      <c r="L115" s="232">
        <f t="shared" si="856"/>
        <v>0.45202020202020204</v>
      </c>
      <c r="M115" s="42">
        <f t="shared" ref="M115:T115" si="857">M120/M124</f>
        <v>0.52453987730061347</v>
      </c>
      <c r="N115" s="42">
        <f t="shared" si="857"/>
        <v>0.50591715976331364</v>
      </c>
      <c r="O115" s="42">
        <f t="shared" si="857"/>
        <v>0.47268408551068886</v>
      </c>
      <c r="P115" s="42">
        <f t="shared" si="857"/>
        <v>0.33629893238434166</v>
      </c>
      <c r="Q115" s="42">
        <f t="shared" si="857"/>
        <v>0.40849194729136162</v>
      </c>
      <c r="R115" s="42">
        <f t="shared" si="857"/>
        <v>0.41783345615327927</v>
      </c>
      <c r="S115" s="42">
        <f t="shared" si="857"/>
        <v>0.41068883610451307</v>
      </c>
      <c r="T115" s="45">
        <f t="shared" si="857"/>
        <v>0.37777317022600043</v>
      </c>
      <c r="U115" s="42">
        <f t="shared" ref="U115:Z115" si="858">U120/U124</f>
        <v>0.38190184049079756</v>
      </c>
      <c r="V115" s="42">
        <f t="shared" si="858"/>
        <v>0.41840277777777779</v>
      </c>
      <c r="W115" s="42">
        <f t="shared" si="858"/>
        <v>0.40117047385312443</v>
      </c>
      <c r="X115" s="42">
        <f t="shared" si="858"/>
        <v>0.4484602224123182</v>
      </c>
      <c r="Y115" s="45">
        <f t="shared" si="858"/>
        <v>0.42841903136334542</v>
      </c>
      <c r="Z115" s="45">
        <f t="shared" si="858"/>
        <v>0.41183035714285715</v>
      </c>
      <c r="AA115" s="45">
        <f t="shared" ref="AA115:AK115" si="859">AA120/AA124</f>
        <v>0.37598152424942261</v>
      </c>
      <c r="AB115" s="45">
        <f t="shared" si="859"/>
        <v>0.3594821020563595</v>
      </c>
      <c r="AC115" s="45">
        <f t="shared" si="859"/>
        <v>0.33471933471933474</v>
      </c>
      <c r="AD115" s="45">
        <f t="shared" si="859"/>
        <v>0.33214285714285713</v>
      </c>
      <c r="AE115" s="45">
        <f t="shared" si="859"/>
        <v>0.31068301225919437</v>
      </c>
      <c r="AF115" s="45">
        <f t="shared" si="859"/>
        <v>0.32604017216642756</v>
      </c>
      <c r="AG115" s="45">
        <f t="shared" si="859"/>
        <v>0.30295250320924261</v>
      </c>
      <c r="AH115" s="45">
        <f t="shared" si="859"/>
        <v>0.30133333333333334</v>
      </c>
      <c r="AI115" s="45">
        <f t="shared" si="859"/>
        <v>0.30749921556322563</v>
      </c>
      <c r="AJ115" s="45">
        <f t="shared" si="859"/>
        <v>0.29046629046629047</v>
      </c>
      <c r="AK115" s="45">
        <f t="shared" si="859"/>
        <v>0.27367096571248822</v>
      </c>
      <c r="AL115" s="45">
        <f t="shared" ref="AL115:AQ115" si="860">AL120/AL124</f>
        <v>0.25842696629213485</v>
      </c>
      <c r="AM115" s="45">
        <f t="shared" si="860"/>
        <v>0.24710104914411926</v>
      </c>
      <c r="AN115" s="45">
        <f t="shared" si="860"/>
        <v>0.28347620455217265</v>
      </c>
      <c r="AO115" s="45">
        <f t="shared" si="860"/>
        <v>0.27254791431792558</v>
      </c>
      <c r="AP115" s="45">
        <f t="shared" si="860"/>
        <v>0.28129032258064518</v>
      </c>
      <c r="AQ115" s="45">
        <f t="shared" si="860"/>
        <v>0.26400704018773835</v>
      </c>
      <c r="AR115" s="45">
        <f t="shared" ref="AR115" si="861">AR120/AR124</f>
        <v>0.22745548535324525</v>
      </c>
      <c r="AS115" s="45">
        <f t="shared" ref="AS115" si="862">AS120/AS124</f>
        <v>0.24940698068451372</v>
      </c>
      <c r="AT115" s="45">
        <f t="shared" ref="AT115:AU115" si="863">AT120/AT124</f>
        <v>0.21113306982872201</v>
      </c>
      <c r="AU115" s="45">
        <f t="shared" si="863"/>
        <v>0.22669873722188816</v>
      </c>
      <c r="AV115" s="45">
        <f t="shared" ref="AV115:AW115" si="864">AV120/AV124</f>
        <v>0.22644423849243125</v>
      </c>
      <c r="AW115" s="45">
        <f t="shared" si="864"/>
        <v>0.18256410256410258</v>
      </c>
      <c r="AX115" s="533">
        <f t="shared" ref="AX115:BI115" si="865">AX120/AX124</f>
        <v>0.14069903075461632</v>
      </c>
      <c r="AY115" s="533">
        <f t="shared" si="865"/>
        <v>0.14787646395796974</v>
      </c>
      <c r="AZ115" s="501">
        <f t="shared" ref="AZ115" si="866">AZ120/AZ124</f>
        <v>0.15093085882424012</v>
      </c>
      <c r="BA115" s="533">
        <f t="shared" si="865"/>
        <v>0.15324768765470895</v>
      </c>
      <c r="BB115" s="533">
        <f t="shared" si="865"/>
        <v>0.1331793640751224</v>
      </c>
      <c r="BC115" s="533">
        <f t="shared" si="865"/>
        <v>0.10766244151857024</v>
      </c>
      <c r="BD115" s="533">
        <f t="shared" si="865"/>
        <v>8.8934549869377627E-2</v>
      </c>
      <c r="BE115" s="533">
        <f t="shared" si="865"/>
        <v>7.367927687323414E-2</v>
      </c>
      <c r="BF115" s="533">
        <f t="shared" si="865"/>
        <v>6.9132957648053772E-2</v>
      </c>
      <c r="BG115" s="533">
        <f t="shared" si="865"/>
        <v>6.6010626543107562E-2</v>
      </c>
      <c r="BH115" s="533">
        <f t="shared" si="865"/>
        <v>5.6359687256929733E-2</v>
      </c>
      <c r="BI115" s="533">
        <f t="shared" si="865"/>
        <v>4.5795671020576675E-2</v>
      </c>
      <c r="BJ115" s="511">
        <f t="shared" ref="BJ115" si="867">BI115</f>
        <v>4.5795671020576675E-2</v>
      </c>
      <c r="BK115" s="511">
        <f t="shared" ref="BK115" si="868">BJ115</f>
        <v>4.5795671020576675E-2</v>
      </c>
      <c r="BL115" s="511">
        <f t="shared" ref="BL115" si="869">BK115</f>
        <v>4.5795671020576675E-2</v>
      </c>
      <c r="BM115" s="511">
        <f t="shared" ref="BM115" si="870">BL115</f>
        <v>4.5795671020576675E-2</v>
      </c>
      <c r="BN115" s="46">
        <f t="shared" ref="BN115" si="871">BM115</f>
        <v>4.5795671020576675E-2</v>
      </c>
      <c r="BO115" s="46">
        <f t="shared" ref="BO115" si="872">BN115</f>
        <v>4.5795671020576675E-2</v>
      </c>
      <c r="BP115" s="511">
        <f t="shared" ref="BP115" si="873">BO115</f>
        <v>4.5795671020576675E-2</v>
      </c>
      <c r="BQ115" s="511">
        <f t="shared" ref="BQ115" si="874">BP115</f>
        <v>4.5795671020576675E-2</v>
      </c>
      <c r="BR115" s="42"/>
      <c r="BS115" s="232">
        <f t="shared" ref="BS115:CB115" si="875">BS120/BS124</f>
        <v>0.77702253794654264</v>
      </c>
      <c r="BT115" s="232">
        <f t="shared" si="875"/>
        <v>0.2763740243019232</v>
      </c>
      <c r="BU115" s="232">
        <f t="shared" si="875"/>
        <v>0.2959827357237716</v>
      </c>
      <c r="BV115" s="232">
        <f t="shared" si="875"/>
        <v>0.30328867235079171</v>
      </c>
      <c r="BW115" s="232">
        <f t="shared" si="875"/>
        <v>0.26160337552742619</v>
      </c>
      <c r="BX115" s="232">
        <f t="shared" si="875"/>
        <v>0.26600441501103755</v>
      </c>
      <c r="BY115" s="232">
        <f t="shared" si="875"/>
        <v>0.30129589632829373</v>
      </c>
      <c r="BZ115" s="232">
        <f t="shared" si="875"/>
        <v>0.41856925418569252</v>
      </c>
      <c r="CA115" s="232">
        <f>CA120/CA124</f>
        <v>0.38061674008810575</v>
      </c>
      <c r="CB115" s="232">
        <f t="shared" si="875"/>
        <v>0.32635983263598328</v>
      </c>
      <c r="CC115" s="42">
        <f t="shared" ref="CC115:CO115" si="876">CC120/CC124</f>
        <v>0.28632025450689291</v>
      </c>
      <c r="CD115" s="42">
        <f t="shared" si="876"/>
        <v>0.30827067669172931</v>
      </c>
      <c r="CE115" s="42">
        <f t="shared" si="876"/>
        <v>0.39393939393939392</v>
      </c>
      <c r="CF115" s="42">
        <f t="shared" si="876"/>
        <v>0.39746835443037976</v>
      </c>
      <c r="CG115" s="42">
        <f t="shared" si="876"/>
        <v>0.52453987730061347</v>
      </c>
      <c r="CH115" s="42">
        <f t="shared" si="876"/>
        <v>0.47268408551068886</v>
      </c>
      <c r="CI115" s="42">
        <f t="shared" si="876"/>
        <v>0.40849194729136162</v>
      </c>
      <c r="CJ115" s="42">
        <f t="shared" si="876"/>
        <v>0.41068883610451307</v>
      </c>
      <c r="CK115" s="42">
        <f t="shared" si="876"/>
        <v>0.38190184049079756</v>
      </c>
      <c r="CL115" s="42">
        <f t="shared" si="876"/>
        <v>0.40117047385312443</v>
      </c>
      <c r="CM115" s="45">
        <f t="shared" si="876"/>
        <v>0.42841903136334542</v>
      </c>
      <c r="CN115" s="45">
        <f t="shared" si="876"/>
        <v>0.37598152424942261</v>
      </c>
      <c r="CO115" s="45">
        <f t="shared" si="876"/>
        <v>0.33471933471933474</v>
      </c>
      <c r="CP115" s="45">
        <f t="shared" ref="CP115:CX115" si="877">CP120/CP124</f>
        <v>0.31068301225919437</v>
      </c>
      <c r="CQ115" s="45">
        <f t="shared" si="877"/>
        <v>0.30295250320924261</v>
      </c>
      <c r="CR115" s="45">
        <f t="shared" si="877"/>
        <v>0.30749921556322563</v>
      </c>
      <c r="CS115" s="45">
        <f t="shared" si="877"/>
        <v>0.27367096571248822</v>
      </c>
      <c r="CT115" s="45">
        <f t="shared" si="877"/>
        <v>0.24710104914411926</v>
      </c>
      <c r="CU115" s="45">
        <f t="shared" si="877"/>
        <v>0.27254791431792558</v>
      </c>
      <c r="CV115" s="45">
        <f t="shared" si="877"/>
        <v>0.26400704018773835</v>
      </c>
      <c r="CW115" s="45">
        <f t="shared" si="877"/>
        <v>0.24940698068451372</v>
      </c>
      <c r="CX115" s="45">
        <f t="shared" si="877"/>
        <v>0.22669873722188816</v>
      </c>
      <c r="CY115" s="45">
        <f t="shared" ref="CY115:DD115" si="878">CY120/CY124</f>
        <v>0.18256410256410258</v>
      </c>
      <c r="CZ115" s="43">
        <f t="shared" si="878"/>
        <v>0.14787646395796974</v>
      </c>
      <c r="DA115" s="42">
        <f t="shared" si="878"/>
        <v>0.15324768765470895</v>
      </c>
      <c r="DB115" s="42">
        <f t="shared" si="878"/>
        <v>0.10766244151857024</v>
      </c>
      <c r="DC115" s="42">
        <f t="shared" si="878"/>
        <v>7.367927687323414E-2</v>
      </c>
      <c r="DD115" s="42">
        <f t="shared" si="878"/>
        <v>6.6010626543107562E-2</v>
      </c>
      <c r="DE115" s="42">
        <f>DE120/DE124</f>
        <v>4.5795671020576675E-2</v>
      </c>
      <c r="DF115" s="42">
        <f>DF120/DF124</f>
        <v>4.5795671020576675E-2</v>
      </c>
      <c r="DG115" s="232">
        <f>DG120/DG124</f>
        <v>4.5795671020576675E-2</v>
      </c>
      <c r="DH115" s="232">
        <f>DH120/DH124</f>
        <v>4.5795671020576675E-2</v>
      </c>
      <c r="DI115" s="232">
        <f>DI120/DI124</f>
        <v>4.5795671020576675E-2</v>
      </c>
    </row>
    <row r="116" spans="1:113" outlineLevel="1">
      <c r="A116" s="1" t="s">
        <v>468</v>
      </c>
      <c r="B116" s="19" t="s">
        <v>297</v>
      </c>
      <c r="C116" s="235">
        <f>C121/(C613-C612)</f>
        <v>1.0156890931399241E-2</v>
      </c>
      <c r="D116" s="235">
        <f>D121/(D613-D612)</f>
        <v>9.7034413029088509E-3</v>
      </c>
      <c r="E116" s="235">
        <f t="shared" ref="E116:L116" si="879">E121/(E613-E612)</f>
        <v>9.6954790181539973E-3</v>
      </c>
      <c r="F116" s="235">
        <f t="shared" si="879"/>
        <v>9.3114312378519849E-3</v>
      </c>
      <c r="G116" s="235">
        <f t="shared" si="879"/>
        <v>9.1075933270553956E-3</v>
      </c>
      <c r="H116" s="235">
        <f t="shared" si="879"/>
        <v>8.7465059061457399E-3</v>
      </c>
      <c r="I116" s="235">
        <f t="shared" si="879"/>
        <v>8.3456151071809436E-3</v>
      </c>
      <c r="J116" s="235">
        <f t="shared" si="879"/>
        <v>7.7471910112359554E-3</v>
      </c>
      <c r="K116" s="235">
        <f t="shared" si="879"/>
        <v>7.444899708095659E-3</v>
      </c>
      <c r="L116" s="235">
        <f t="shared" si="879"/>
        <v>5.2229932116140106E-3</v>
      </c>
      <c r="M116" s="48">
        <f t="shared" ref="M116:X116" si="880">M121/(M613-M612)</f>
        <v>4.9110056293458406E-3</v>
      </c>
      <c r="N116" s="48">
        <f t="shared" si="880"/>
        <v>4.5036462212676032E-3</v>
      </c>
      <c r="O116" s="48">
        <f t="shared" si="880"/>
        <v>4.2864723244784931E-3</v>
      </c>
      <c r="P116" s="48">
        <f t="shared" si="880"/>
        <v>6.5570701843246934E-3</v>
      </c>
      <c r="Q116" s="48">
        <f t="shared" si="880"/>
        <v>7.821169440887751E-3</v>
      </c>
      <c r="R116" s="48">
        <f t="shared" si="880"/>
        <v>1.1182881241778955E-2</v>
      </c>
      <c r="S116" s="48">
        <f t="shared" si="880"/>
        <v>1.2478090794070876E-2</v>
      </c>
      <c r="T116" s="48">
        <f t="shared" si="880"/>
        <v>1.3355721835754026E-2</v>
      </c>
      <c r="U116" s="48">
        <f t="shared" si="880"/>
        <v>1.3479356449332652E-2</v>
      </c>
      <c r="V116" s="48">
        <f t="shared" si="880"/>
        <v>1.3601354003139717E-2</v>
      </c>
      <c r="W116" s="48">
        <f t="shared" si="880"/>
        <v>1.2332720007132956E-2</v>
      </c>
      <c r="X116" s="48">
        <f t="shared" si="880"/>
        <v>1.1545932225687377E-2</v>
      </c>
      <c r="Y116" s="50">
        <f t="shared" ref="Y116:AD116" si="881">Y121/(Y613-Y612)</f>
        <v>1.0851894778314572E-2</v>
      </c>
      <c r="Z116" s="50">
        <f t="shared" si="881"/>
        <v>1.1057504439638328E-2</v>
      </c>
      <c r="AA116" s="50">
        <f t="shared" si="881"/>
        <v>1.021904074029048E-2</v>
      </c>
      <c r="AB116" s="50">
        <f t="shared" si="881"/>
        <v>1.0169947980893254E-2</v>
      </c>
      <c r="AC116" s="50">
        <f t="shared" si="881"/>
        <v>9.611327463010742E-3</v>
      </c>
      <c r="AD116" s="50">
        <f t="shared" si="881"/>
        <v>8.8693005996327724E-3</v>
      </c>
      <c r="AE116" s="50">
        <f t="shared" ref="AE116:AK116" si="882">AE121/(AE613-AE612)</f>
        <v>8.6535870716286413E-3</v>
      </c>
      <c r="AF116" s="50">
        <f t="shared" si="882"/>
        <v>8.3622673955164387E-3</v>
      </c>
      <c r="AG116" s="50">
        <f t="shared" si="882"/>
        <v>8.1911461209778214E-3</v>
      </c>
      <c r="AH116" s="50">
        <f t="shared" si="882"/>
        <v>7.5148717893801231E-3</v>
      </c>
      <c r="AI116" s="50">
        <f t="shared" si="882"/>
        <v>7.2814697595020928E-3</v>
      </c>
      <c r="AJ116" s="50">
        <f t="shared" si="882"/>
        <v>7.5534422387836019E-3</v>
      </c>
      <c r="AK116" s="50">
        <f t="shared" si="882"/>
        <v>7.4771059297265704E-3</v>
      </c>
      <c r="AL116" s="50">
        <f t="shared" ref="AL116:AQ116" si="883">AL121/(AL613-AL612)</f>
        <v>1.0326081070836808E-2</v>
      </c>
      <c r="AM116" s="50">
        <f t="shared" si="883"/>
        <v>1.0478455286734984E-2</v>
      </c>
      <c r="AN116" s="50">
        <f t="shared" si="883"/>
        <v>1.0839061129959464E-2</v>
      </c>
      <c r="AO116" s="50">
        <f t="shared" si="883"/>
        <v>1.4420327423742765E-2</v>
      </c>
      <c r="AP116" s="50">
        <f t="shared" si="883"/>
        <v>1.5768108251525605E-2</v>
      </c>
      <c r="AQ116" s="50">
        <f t="shared" si="883"/>
        <v>1.391953872362731E-2</v>
      </c>
      <c r="AR116" s="50">
        <f t="shared" ref="AR116" si="884">AR121/(AR613-AR612)</f>
        <v>1.2956663518366366E-2</v>
      </c>
      <c r="AS116" s="50">
        <f t="shared" ref="AS116" si="885">AS121/(AS613-AS612)</f>
        <v>1.1713540303876316E-2</v>
      </c>
      <c r="AT116" s="50">
        <f t="shared" ref="AT116:AU116" si="886">AT121/(AT613-AT612)</f>
        <v>1.2188539290627014E-2</v>
      </c>
      <c r="AU116" s="50">
        <f t="shared" si="886"/>
        <v>1.4319217127944244E-2</v>
      </c>
      <c r="AV116" s="50">
        <f t="shared" ref="AV116:AW116" si="887">AV121/(AV613-AV612)</f>
        <v>1.445482528102838E-2</v>
      </c>
      <c r="AW116" s="50">
        <f t="shared" si="887"/>
        <v>1.4639189729081858E-2</v>
      </c>
      <c r="AX116" s="385">
        <f t="shared" ref="AX116:AY116" si="888">AX121/(AX613-AX612)</f>
        <v>1.426060132375356E-2</v>
      </c>
      <c r="AY116" s="385">
        <f t="shared" si="888"/>
        <v>1.3939858821642E-2</v>
      </c>
      <c r="AZ116" s="52">
        <f t="shared" ref="AZ116" si="889">AZ121/(AZ613-AZ612)</f>
        <v>1.3546180940019897E-2</v>
      </c>
      <c r="BA116" s="809">
        <f>[5]CBA!L$282</f>
        <v>1.3200263320639441E-2</v>
      </c>
      <c r="BB116" s="809">
        <f>[5]CBA!M$282</f>
        <v>1.3039659502045954E-2</v>
      </c>
      <c r="BC116" s="809">
        <f>[5]CBA!N$282</f>
        <v>1.2892450888513797E-2</v>
      </c>
      <c r="BD116" s="809">
        <f>[5]CBA!O$282</f>
        <v>1.2843949884433237E-2</v>
      </c>
      <c r="BE116" s="809">
        <f>[5]CBA!P$282</f>
        <v>1.2798205718521151E-2</v>
      </c>
      <c r="BF116" s="809">
        <f>[5]CBA!Q$282</f>
        <v>1.2741711960002523E-2</v>
      </c>
      <c r="BG116" s="809">
        <f>[5]CBA!R$282</f>
        <v>1.2690483723536448E-2</v>
      </c>
      <c r="BH116" s="809">
        <f>[5]CBA!S$282</f>
        <v>1.2639783086015526E-2</v>
      </c>
      <c r="BI116" s="809">
        <f>[5]CBA!T$282</f>
        <v>1.259460145396557E-2</v>
      </c>
      <c r="BJ116" s="47">
        <f>BI116*0.99</f>
        <v>1.2468655439425914E-2</v>
      </c>
      <c r="BK116" s="47">
        <f t="shared" ref="BK116:BQ116" si="890">BJ116*0.99</f>
        <v>1.2343968885031656E-2</v>
      </c>
      <c r="BL116" s="47">
        <f t="shared" si="890"/>
        <v>1.2220529196181339E-2</v>
      </c>
      <c r="BM116" s="47">
        <f t="shared" si="890"/>
        <v>1.2098323904219525E-2</v>
      </c>
      <c r="BN116" s="47">
        <f t="shared" si="890"/>
        <v>1.1977340665177329E-2</v>
      </c>
      <c r="BO116" s="47">
        <f t="shared" si="890"/>
        <v>1.1857567258525556E-2</v>
      </c>
      <c r="BP116" s="47">
        <f t="shared" si="890"/>
        <v>1.17389915859403E-2</v>
      </c>
      <c r="BQ116" s="47">
        <f t="shared" si="890"/>
        <v>1.1621601670080898E-2</v>
      </c>
      <c r="BR116" s="47"/>
      <c r="BS116" s="235">
        <f t="shared" ref="BS116:CB116" si="891">BS121/(BS613-BS612)</f>
        <v>7.6464622103875586E-3</v>
      </c>
      <c r="BT116" s="235">
        <f t="shared" si="891"/>
        <v>6.7403800325994221E-3</v>
      </c>
      <c r="BU116" s="235">
        <f t="shared" si="891"/>
        <v>6.7727265735950826E-3</v>
      </c>
      <c r="BV116" s="235">
        <f t="shared" si="891"/>
        <v>7.5867455093160769E-3</v>
      </c>
      <c r="BW116" s="235">
        <f t="shared" si="891"/>
        <v>9.9350621301349147E-3</v>
      </c>
      <c r="BX116" s="235">
        <f t="shared" si="891"/>
        <v>8.9905794363297591E-3</v>
      </c>
      <c r="BY116" s="235">
        <f t="shared" si="891"/>
        <v>1.3107405196671987E-2</v>
      </c>
      <c r="BZ116" s="235">
        <f t="shared" si="891"/>
        <v>1.2634556271111163E-2</v>
      </c>
      <c r="CA116" s="235">
        <f>CA121/(CA613-CA612)</f>
        <v>1.2159197743654027E-2</v>
      </c>
      <c r="CB116" s="235">
        <f t="shared" si="891"/>
        <v>1.1839176758316619E-2</v>
      </c>
      <c r="CC116" s="48">
        <f t="shared" ref="CC116:CR116" si="892">CC121/(CC613-CC612)</f>
        <v>9.6954790181539973E-3</v>
      </c>
      <c r="CD116" s="48">
        <f t="shared" si="892"/>
        <v>9.1075933270553956E-3</v>
      </c>
      <c r="CE116" s="48">
        <f t="shared" si="892"/>
        <v>8.3456151071809436E-3</v>
      </c>
      <c r="CF116" s="48">
        <f t="shared" si="892"/>
        <v>7.444899708095659E-3</v>
      </c>
      <c r="CG116" s="48">
        <f t="shared" si="892"/>
        <v>4.9110056293458406E-3</v>
      </c>
      <c r="CH116" s="48">
        <f t="shared" si="892"/>
        <v>4.2864723244784931E-3</v>
      </c>
      <c r="CI116" s="48">
        <f t="shared" si="892"/>
        <v>7.821169440887751E-3</v>
      </c>
      <c r="CJ116" s="48">
        <f t="shared" si="892"/>
        <v>1.2478090794070876E-2</v>
      </c>
      <c r="CK116" s="48">
        <f t="shared" si="892"/>
        <v>1.3479356449332652E-2</v>
      </c>
      <c r="CL116" s="48">
        <f t="shared" si="892"/>
        <v>1.2332720007132956E-2</v>
      </c>
      <c r="CM116" s="50">
        <f t="shared" si="892"/>
        <v>1.0851894778314572E-2</v>
      </c>
      <c r="CN116" s="50">
        <f t="shared" si="892"/>
        <v>1.021904074029048E-2</v>
      </c>
      <c r="CO116" s="50">
        <f t="shared" si="892"/>
        <v>9.611327463010742E-3</v>
      </c>
      <c r="CP116" s="50">
        <f t="shared" si="892"/>
        <v>8.6535870716286413E-3</v>
      </c>
      <c r="CQ116" s="50">
        <f t="shared" si="892"/>
        <v>8.1911461209778214E-3</v>
      </c>
      <c r="CR116" s="50">
        <f t="shared" si="892"/>
        <v>7.2814697595020928E-3</v>
      </c>
      <c r="CS116" s="50">
        <f t="shared" ref="CS116:DC116" si="893">CS121/(CS613-CS612)</f>
        <v>7.4771059297265704E-3</v>
      </c>
      <c r="CT116" s="50">
        <f t="shared" si="893"/>
        <v>1.0478455286734984E-2</v>
      </c>
      <c r="CU116" s="50">
        <f t="shared" si="893"/>
        <v>1.4420327423742765E-2</v>
      </c>
      <c r="CV116" s="50">
        <f t="shared" si="893"/>
        <v>1.391953872362731E-2</v>
      </c>
      <c r="CW116" s="50">
        <f t="shared" si="893"/>
        <v>1.1713540303876316E-2</v>
      </c>
      <c r="CX116" s="50">
        <f t="shared" si="893"/>
        <v>1.4319217127944244E-2</v>
      </c>
      <c r="CY116" s="50">
        <f t="shared" si="893"/>
        <v>1.4639189729081858E-2</v>
      </c>
      <c r="CZ116" s="49">
        <f t="shared" si="893"/>
        <v>1.3939858821642E-2</v>
      </c>
      <c r="DA116" s="48">
        <f t="shared" si="893"/>
        <v>1.3200263320639441E-2</v>
      </c>
      <c r="DB116" s="48">
        <f t="shared" si="893"/>
        <v>1.2892450888513797E-2</v>
      </c>
      <c r="DC116" s="48">
        <f t="shared" si="893"/>
        <v>1.2798205718521151E-2</v>
      </c>
      <c r="DD116" s="48">
        <f t="shared" ref="DD116:DI116" si="894">DD121/(DD613-DD612)</f>
        <v>1.269048372353645E-2</v>
      </c>
      <c r="DE116" s="48">
        <f t="shared" si="894"/>
        <v>1.259460145396557E-2</v>
      </c>
      <c r="DF116" s="48">
        <f t="shared" si="894"/>
        <v>1.2343968885031656E-2</v>
      </c>
      <c r="DG116" s="235">
        <f t="shared" si="894"/>
        <v>1.2098323904219525E-2</v>
      </c>
      <c r="DH116" s="235">
        <f t="shared" si="894"/>
        <v>1.1857567258525556E-2</v>
      </c>
      <c r="DI116" s="235">
        <f t="shared" si="894"/>
        <v>1.1621601670080898E-2</v>
      </c>
    </row>
    <row r="117" spans="1:113" outlineLevel="1">
      <c r="A117" s="1" t="s">
        <v>708</v>
      </c>
      <c r="B117" s="19" t="s">
        <v>351</v>
      </c>
      <c r="C117" s="235">
        <f t="shared" ref="C117:K117" si="895">-C472/(C237+AVERAGE(B179:C179))*C$5</f>
        <v>2.7327047761977674E-3</v>
      </c>
      <c r="D117" s="235">
        <f t="shared" si="895"/>
        <v>3.7721005536167835E-3</v>
      </c>
      <c r="E117" s="235">
        <f t="shared" si="895"/>
        <v>2.0476499269800308E-3</v>
      </c>
      <c r="F117" s="235">
        <f t="shared" si="895"/>
        <v>1.8183686143803514E-3</v>
      </c>
      <c r="G117" s="235">
        <f t="shared" si="895"/>
        <v>1.8187767129796268E-3</v>
      </c>
      <c r="H117" s="235">
        <f t="shared" si="895"/>
        <v>1.6353004717171657E-3</v>
      </c>
      <c r="I117" s="235">
        <f t="shared" si="895"/>
        <v>1.2819702021710597E-3</v>
      </c>
      <c r="J117" s="235">
        <f t="shared" si="895"/>
        <v>1.3037293558652212E-3</v>
      </c>
      <c r="K117" s="235">
        <f t="shared" si="895"/>
        <v>1.4901308349486761E-3</v>
      </c>
      <c r="L117" s="235">
        <f>-L472/L237*L$5</f>
        <v>1.5819414308201475E-3</v>
      </c>
      <c r="M117" s="48">
        <f t="shared" ref="M117:X117" si="896">-M472/M237*M$5</f>
        <v>1.6844694096069873E-3</v>
      </c>
      <c r="N117" s="48">
        <f t="shared" si="896"/>
        <v>1.4258514000608684E-3</v>
      </c>
      <c r="O117" s="48">
        <f t="shared" si="896"/>
        <v>1.5707917685433511E-3</v>
      </c>
      <c r="P117" s="48">
        <f t="shared" si="896"/>
        <v>2.0126781649041298E-3</v>
      </c>
      <c r="Q117" s="48">
        <f t="shared" si="896"/>
        <v>3.3958935645624013E-3</v>
      </c>
      <c r="R117" s="48">
        <f t="shared" si="896"/>
        <v>8.9011428721709317E-3</v>
      </c>
      <c r="S117" s="48">
        <f t="shared" si="896"/>
        <v>6.3207254070256225E-3</v>
      </c>
      <c r="T117" s="50">
        <f t="shared" si="896"/>
        <v>5.669693078772675E-3</v>
      </c>
      <c r="U117" s="48">
        <f t="shared" si="896"/>
        <v>2.8371334330766916E-3</v>
      </c>
      <c r="V117" s="48">
        <f t="shared" si="896"/>
        <v>2.8171235848084277E-3</v>
      </c>
      <c r="W117" s="48">
        <f t="shared" si="896"/>
        <v>2.1974979812571017E-3</v>
      </c>
      <c r="X117" s="48">
        <f t="shared" si="896"/>
        <v>2.0710450152385388E-3</v>
      </c>
      <c r="Y117" s="50">
        <f>-Y472/Y237*Y$5</f>
        <v>2.0476394996060405E-3</v>
      </c>
      <c r="Z117" s="50">
        <f>-Z472/Z237*Z$5</f>
        <v>2.2403297944014154E-3</v>
      </c>
      <c r="AA117" s="50">
        <f>-AA472/AA237*AA$5</f>
        <v>1.6942338674252287E-3</v>
      </c>
      <c r="AB117" s="50">
        <f>-AB472/AB237*AB$5</f>
        <v>1.5745667145063843E-3</v>
      </c>
      <c r="AC117" s="50">
        <f>-AC472/AC237*AC$5</f>
        <v>1.6775504361089062E-3</v>
      </c>
      <c r="AD117" s="50">
        <f t="shared" ref="AD117:AK117" si="897">-AD472/AD237*AD$5</f>
        <v>1.424238560916723E-3</v>
      </c>
      <c r="AE117" s="50">
        <f t="shared" si="897"/>
        <v>1.7375489549987765E-3</v>
      </c>
      <c r="AF117" s="50">
        <f t="shared" si="897"/>
        <v>1.7640068763658354E-3</v>
      </c>
      <c r="AG117" s="50">
        <f t="shared" si="897"/>
        <v>2.1290920873855146E-3</v>
      </c>
      <c r="AH117" s="50">
        <f t="shared" si="897"/>
        <v>1.7619463240723411E-3</v>
      </c>
      <c r="AI117" s="50">
        <f t="shared" si="897"/>
        <v>1.4580119654106797E-3</v>
      </c>
      <c r="AJ117" s="50">
        <f t="shared" si="897"/>
        <v>1.6948878927568062E-3</v>
      </c>
      <c r="AK117" s="50">
        <f t="shared" si="897"/>
        <v>1.3868854983886852E-3</v>
      </c>
      <c r="AL117" s="50">
        <f t="shared" ref="AL117:AQ117" si="898">-AL472/AL237*AL$5</f>
        <v>1.6189998108905518E-3</v>
      </c>
      <c r="AM117" s="50">
        <f t="shared" si="898"/>
        <v>1.7669999949959827E-3</v>
      </c>
      <c r="AN117" s="50">
        <f t="shared" si="898"/>
        <v>1.79978927522169E-3</v>
      </c>
      <c r="AO117" s="50">
        <f t="shared" si="898"/>
        <v>5.1570966625528241E-3</v>
      </c>
      <c r="AP117" s="50">
        <f t="shared" si="898"/>
        <v>2.4017894685638861E-3</v>
      </c>
      <c r="AQ117" s="50">
        <f t="shared" si="898"/>
        <v>-8.9105753576817852E-4</v>
      </c>
      <c r="AR117" s="50">
        <f t="shared" ref="AR117" si="899">-AR472/AR237*AR$5</f>
        <v>-1.9271554799333098E-4</v>
      </c>
      <c r="AS117" s="50">
        <f t="shared" ref="AS117" si="900">-AS472/AS237*AS$5</f>
        <v>-7.1326228373403181E-4</v>
      </c>
      <c r="AT117" s="50">
        <f t="shared" ref="AT117:AU117" si="901">-AT472/AT237*AT$5</f>
        <v>1.2273798593752962E-3</v>
      </c>
      <c r="AU117" s="50">
        <f t="shared" si="901"/>
        <v>1.4205251063413682E-3</v>
      </c>
      <c r="AV117" s="50">
        <f t="shared" ref="AV117:AW117" si="902">-AV472/AV237*AV$5</f>
        <v>9.708792723481975E-4</v>
      </c>
      <c r="AW117" s="50">
        <f t="shared" si="902"/>
        <v>9.099880819199742E-4</v>
      </c>
      <c r="AX117" s="385">
        <f t="shared" ref="AX117:AZ117" si="903">-AX472/AX237*AX$5</f>
        <v>7.2830497940617903E-4</v>
      </c>
      <c r="AY117" s="236">
        <f>-AY472/AY237*AY$5</f>
        <v>9.0828832742912216E-4</v>
      </c>
      <c r="AZ117" s="52">
        <f t="shared" si="903"/>
        <v>6.7871900474769295E-4</v>
      </c>
      <c r="BA117" s="235">
        <f t="shared" ref="BA117:BC117" si="904">-BA472/BA237*BA$5</f>
        <v>8.2989326946105867E-4</v>
      </c>
      <c r="BB117" s="235">
        <f t="shared" si="904"/>
        <v>8.718969257698341E-4</v>
      </c>
      <c r="BC117" s="235">
        <f t="shared" si="904"/>
        <v>9.312028451409479E-4</v>
      </c>
      <c r="BD117" s="235">
        <f t="shared" ref="BD117:BE117" si="905">-BD472/BD237*BD$5</f>
        <v>1.0448036688123726E-3</v>
      </c>
      <c r="BE117" s="235">
        <f t="shared" si="905"/>
        <v>1.0528665605915657E-3</v>
      </c>
      <c r="BF117" s="235">
        <f t="shared" ref="BF117:BG117" si="906">-BF472/BF237*BF$5</f>
        <v>9.3750970120326169E-4</v>
      </c>
      <c r="BG117" s="235">
        <f t="shared" si="906"/>
        <v>7.7786842379477274E-4</v>
      </c>
      <c r="BH117" s="235">
        <f t="shared" ref="BH117:BQ117" si="907">-BH472/BH237*BH$5</f>
        <v>6.6209061268109103E-4</v>
      </c>
      <c r="BI117" s="235">
        <f t="shared" si="907"/>
        <v>6.4600501532662772E-4</v>
      </c>
      <c r="BJ117" s="235">
        <f t="shared" si="907"/>
        <v>8.9328751945050896E-4</v>
      </c>
      <c r="BK117" s="235">
        <f t="shared" si="907"/>
        <v>1.0463402469445854E-3</v>
      </c>
      <c r="BL117" s="235">
        <f t="shared" si="907"/>
        <v>1.1774163355787214E-3</v>
      </c>
      <c r="BM117" s="235">
        <f t="shared" si="907"/>
        <v>1.1738855906848731E-3</v>
      </c>
      <c r="BN117" s="235">
        <f t="shared" si="907"/>
        <v>1.1679291201430186E-3</v>
      </c>
      <c r="BO117" s="235">
        <f t="shared" si="907"/>
        <v>1.1650016495038942E-3</v>
      </c>
      <c r="BP117" s="235">
        <f t="shared" si="907"/>
        <v>1.1588668472851348E-3</v>
      </c>
      <c r="BQ117" s="235">
        <f t="shared" si="907"/>
        <v>1.1559869068821413E-3</v>
      </c>
      <c r="BR117" s="48"/>
      <c r="BS117" s="235">
        <f t="shared" ref="BS117:CB117" si="908">-BS472/(BS237+AVERAGE(BR179:BS179))*BS$5</f>
        <v>1.1874845049471479E-2</v>
      </c>
      <c r="BT117" s="235">
        <f t="shared" si="908"/>
        <v>6.7885166728435401E-3</v>
      </c>
      <c r="BU117" s="235">
        <f t="shared" si="908"/>
        <v>4.7422596645700756E-3</v>
      </c>
      <c r="BV117" s="235">
        <f t="shared" si="908"/>
        <v>2.5959799396363349E-3</v>
      </c>
      <c r="BW117" s="235">
        <f t="shared" si="908"/>
        <v>1.4737144124052845E-3</v>
      </c>
      <c r="BX117" s="235">
        <f t="shared" si="908"/>
        <v>1.1330855190514455E-3</v>
      </c>
      <c r="BY117" s="235">
        <f t="shared" si="908"/>
        <v>2.4514832525816856E-3</v>
      </c>
      <c r="BZ117" s="235">
        <f t="shared" si="908"/>
        <v>2.3223998758879418E-3</v>
      </c>
      <c r="CA117" s="235">
        <f t="shared" si="908"/>
        <v>1.6415066686208412E-3</v>
      </c>
      <c r="CB117" s="235">
        <f t="shared" si="908"/>
        <v>2.6101694915254235E-3</v>
      </c>
      <c r="CC117" s="48">
        <f>-CC472/(CC237+AVERAGE(CB179:CC179))*CC$5</f>
        <v>2.9009223458569592E-3</v>
      </c>
      <c r="CD117" s="48">
        <f>-CD472/(CD237+AVERAGE(CC179:CD179))*CD$5</f>
        <v>1.8179126440433472E-3</v>
      </c>
      <c r="CE117" s="48">
        <f>-CE472/(CE237+AVERAGE(CD179:CE179))*CE$5</f>
        <v>1.4504937588965081E-3</v>
      </c>
      <c r="CF117" s="48">
        <f>-CF472/(CF237+AVERAGE(CE179:CF179))*CF$5</f>
        <v>1.3998310948293616E-3</v>
      </c>
      <c r="CG117" s="48">
        <f t="shared" ref="CG117:CR117" si="909">-CG472/CG237*CG$5</f>
        <v>1.6344297975442487E-3</v>
      </c>
      <c r="CH117" s="48">
        <f t="shared" si="909"/>
        <v>1.464657543492567E-3</v>
      </c>
      <c r="CI117" s="48">
        <f t="shared" si="909"/>
        <v>2.7252587530622531E-3</v>
      </c>
      <c r="CJ117" s="48">
        <f t="shared" si="909"/>
        <v>7.5855498852775028E-3</v>
      </c>
      <c r="CK117" s="48">
        <f t="shared" si="909"/>
        <v>4.2534786280635298E-3</v>
      </c>
      <c r="CL117" s="48">
        <f t="shared" si="909"/>
        <v>2.5085988103754077E-3</v>
      </c>
      <c r="CM117" s="50">
        <f t="shared" si="909"/>
        <v>2.0592901594673452E-3</v>
      </c>
      <c r="CN117" s="50">
        <f t="shared" si="909"/>
        <v>1.9672369593280122E-3</v>
      </c>
      <c r="CO117" s="50">
        <f t="shared" si="909"/>
        <v>1.6265352239600757E-3</v>
      </c>
      <c r="CP117" s="50">
        <f t="shared" si="909"/>
        <v>1.5825116445947938E-3</v>
      </c>
      <c r="CQ117" s="50">
        <f t="shared" si="909"/>
        <v>1.9480509409117064E-3</v>
      </c>
      <c r="CR117" s="50">
        <f t="shared" si="909"/>
        <v>1.6099295159625615E-3</v>
      </c>
      <c r="CS117" s="50">
        <f t="shared" ref="CS117:DC117" si="910">-CS472/CS237*CS$5</f>
        <v>1.5416289831963869E-3</v>
      </c>
      <c r="CT117" s="50">
        <f t="shared" si="910"/>
        <v>1.6926602530675063E-3</v>
      </c>
      <c r="CU117" s="50">
        <f t="shared" si="910"/>
        <v>3.4826579401973138E-3</v>
      </c>
      <c r="CV117" s="50">
        <f t="shared" si="910"/>
        <v>7.5328862489659331E-4</v>
      </c>
      <c r="CW117" s="50">
        <f t="shared" si="910"/>
        <v>-4.5492258813383701E-4</v>
      </c>
      <c r="CX117" s="50">
        <f t="shared" si="910"/>
        <v>1.324125246362208E-3</v>
      </c>
      <c r="CY117" s="50">
        <f t="shared" si="910"/>
        <v>9.404810138160534E-4</v>
      </c>
      <c r="CZ117" s="49">
        <f t="shared" si="910"/>
        <v>8.1884378102424547E-4</v>
      </c>
      <c r="DA117" s="48">
        <f t="shared" si="910"/>
        <v>7.5491912722597612E-4</v>
      </c>
      <c r="DB117" s="48">
        <f t="shared" si="910"/>
        <v>9.0149070886557823E-4</v>
      </c>
      <c r="DC117" s="48">
        <f t="shared" si="910"/>
        <v>1.0487299927845154E-3</v>
      </c>
      <c r="DD117" s="48">
        <f t="shared" ref="DD117:DI117" si="911">-DD472/DD237*DD$5</f>
        <v>8.5739700375304538E-4</v>
      </c>
      <c r="DE117" s="48">
        <f t="shared" si="911"/>
        <v>6.5395090505100293E-4</v>
      </c>
      <c r="DF117" s="48">
        <f t="shared" si="911"/>
        <v>9.6975594914467669E-4</v>
      </c>
      <c r="DG117" s="48">
        <f t="shared" si="911"/>
        <v>1.1755227553343953E-3</v>
      </c>
      <c r="DH117" s="48">
        <f t="shared" si="911"/>
        <v>1.1662825765810141E-3</v>
      </c>
      <c r="DI117" s="48">
        <f t="shared" si="911"/>
        <v>1.1572453441487842E-3</v>
      </c>
    </row>
    <row r="118" spans="1:113" outlineLevel="1">
      <c r="A118" s="1" t="s">
        <v>709</v>
      </c>
      <c r="B118" s="19" t="s">
        <v>352</v>
      </c>
      <c r="C118" s="235">
        <f t="shared" ref="C118:K118" si="912">-C472/(C233+AVERAGE(B179:C179))*C$5</f>
        <v>5.3627019011460849E-3</v>
      </c>
      <c r="D118" s="235">
        <f t="shared" si="912"/>
        <v>7.5767093979082724E-3</v>
      </c>
      <c r="E118" s="235">
        <f t="shared" si="912"/>
        <v>4.2908703709574041E-3</v>
      </c>
      <c r="F118" s="235">
        <f t="shared" si="912"/>
        <v>3.975754197745123E-3</v>
      </c>
      <c r="G118" s="235">
        <f t="shared" si="912"/>
        <v>4.1540742736891501E-3</v>
      </c>
      <c r="H118" s="235">
        <f t="shared" si="912"/>
        <v>3.8883687177734064E-3</v>
      </c>
      <c r="I118" s="235">
        <f t="shared" si="912"/>
        <v>3.2707539532200254E-3</v>
      </c>
      <c r="J118" s="235">
        <f t="shared" si="912"/>
        <v>3.4252676195434956E-3</v>
      </c>
      <c r="K118" s="235">
        <f t="shared" si="912"/>
        <v>3.8218457491560934E-3</v>
      </c>
      <c r="L118" s="235">
        <f>-L472/(L233+L235)*L$5</f>
        <v>4.5263885386192066E-3</v>
      </c>
      <c r="M118" s="48">
        <f t="shared" ref="M118:X118" si="913">-M472/(M233+M235)*M$5</f>
        <v>4.7231056310410337E-3</v>
      </c>
      <c r="N118" s="48">
        <f t="shared" si="913"/>
        <v>3.9282788290912743E-3</v>
      </c>
      <c r="O118" s="48">
        <f t="shared" si="913"/>
        <v>4.1409099139477247E-3</v>
      </c>
      <c r="P118" s="48">
        <f t="shared" si="913"/>
        <v>5.0318333437961238E-3</v>
      </c>
      <c r="Q118" s="48">
        <f t="shared" si="913"/>
        <v>8.3456011090037967E-3</v>
      </c>
      <c r="R118" s="48">
        <f t="shared" si="913"/>
        <v>2.1858446171498666E-2</v>
      </c>
      <c r="S118" s="48">
        <f t="shared" si="913"/>
        <v>1.6027464496945882E-2</v>
      </c>
      <c r="T118" s="50">
        <f t="shared" si="913"/>
        <v>1.5003780783366748E-2</v>
      </c>
      <c r="U118" s="48">
        <f t="shared" si="913"/>
        <v>7.9585226753100449E-3</v>
      </c>
      <c r="V118" s="48">
        <f t="shared" si="913"/>
        <v>7.8250597034786231E-3</v>
      </c>
      <c r="W118" s="48">
        <f t="shared" si="913"/>
        <v>6.2430312738385981E-3</v>
      </c>
      <c r="X118" s="48">
        <f t="shared" si="913"/>
        <v>5.9481128319467036E-3</v>
      </c>
      <c r="Y118" s="50">
        <f t="shared" ref="Y118:AD118" si="914">-Y472/(Y233+Y235)*Y$5</f>
        <v>5.9019047435276912E-3</v>
      </c>
      <c r="Z118" s="50">
        <f t="shared" si="914"/>
        <v>6.4890435181765432E-3</v>
      </c>
      <c r="AA118" s="50">
        <f t="shared" si="914"/>
        <v>4.9341100520768405E-3</v>
      </c>
      <c r="AB118" s="50">
        <f t="shared" si="914"/>
        <v>4.5907433375494766E-3</v>
      </c>
      <c r="AC118" s="50">
        <f t="shared" si="914"/>
        <v>4.8885213617435724E-3</v>
      </c>
      <c r="AD118" s="50">
        <f t="shared" si="914"/>
        <v>4.1554984992877029E-3</v>
      </c>
      <c r="AE118" s="50">
        <f t="shared" ref="AE118:AK118" si="915">-AE472/(AE233+AE235)*AE$5</f>
        <v>5.0446696650119482E-3</v>
      </c>
      <c r="AF118" s="50">
        <f t="shared" si="915"/>
        <v>5.0352153418485417E-3</v>
      </c>
      <c r="AG118" s="50">
        <f t="shared" si="915"/>
        <v>6.0468443281296172E-3</v>
      </c>
      <c r="AH118" s="50">
        <f t="shared" si="915"/>
        <v>5.0776603579983743E-3</v>
      </c>
      <c r="AI118" s="50">
        <f t="shared" si="915"/>
        <v>4.2594566821360499E-3</v>
      </c>
      <c r="AJ118" s="50">
        <f t="shared" si="915"/>
        <v>4.9966106900278503E-3</v>
      </c>
      <c r="AK118" s="50">
        <f t="shared" si="915"/>
        <v>4.1519017786732833E-3</v>
      </c>
      <c r="AL118" s="50">
        <f t="shared" ref="AL118" si="916">-AL472/(AL233+AL235)*AL$5</f>
        <v>4.9356659533769951E-3</v>
      </c>
      <c r="AM118" s="50">
        <f t="shared" ref="AM118:AR118" si="917">-AM472/(AM233+AM235)*AM$5</f>
        <v>5.540175545863048E-3</v>
      </c>
      <c r="AN118" s="50">
        <f t="shared" si="917"/>
        <v>5.8004920625509574E-3</v>
      </c>
      <c r="AO118" s="50">
        <f t="shared" si="917"/>
        <v>1.6771027221616105E-2</v>
      </c>
      <c r="AP118" s="50">
        <f t="shared" si="917"/>
        <v>7.9850219509778123E-3</v>
      </c>
      <c r="AQ118" s="50">
        <f t="shared" si="917"/>
        <v>-3.0267264247375793E-3</v>
      </c>
      <c r="AR118" s="50">
        <f t="shared" si="917"/>
        <v>-6.6141953797745306E-4</v>
      </c>
      <c r="AS118" s="50">
        <f t="shared" ref="AS118" si="918">-AS472/(AS233+AS235)*AS$5</f>
        <v>-2.4288771926258266E-3</v>
      </c>
      <c r="AT118" s="50">
        <f t="shared" ref="AT118:AU118" si="919">-AT472/(AT233+AT235)*AT$5</f>
        <v>4.0994198740192996E-3</v>
      </c>
      <c r="AU118" s="50">
        <f t="shared" si="919"/>
        <v>4.7197921229845067E-3</v>
      </c>
      <c r="AV118" s="50">
        <f t="shared" ref="AV118:AW118" si="920">-AV472/(AV233+AV235)*AV$5</f>
        <v>3.2215974657631092E-3</v>
      </c>
      <c r="AW118" s="50">
        <f t="shared" si="920"/>
        <v>3.0229739111524985E-3</v>
      </c>
      <c r="AX118" s="385">
        <f t="shared" ref="AX118:AZ118" si="921">-AX472/(AX233+AX235)*AX$5</f>
        <v>2.4245500453470132E-3</v>
      </c>
      <c r="AY118" s="236">
        <f t="shared" ref="AY118:BC118" si="922">-AY472/(AY233+AY235)*AY$5</f>
        <v>3.014504521721746E-3</v>
      </c>
      <c r="AZ118" s="52">
        <f t="shared" si="921"/>
        <v>2.2299950494360757E-3</v>
      </c>
      <c r="BA118" s="235">
        <f t="shared" si="922"/>
        <v>2.7225579026234027E-3</v>
      </c>
      <c r="BB118" s="235">
        <f t="shared" si="922"/>
        <v>2.8551285391062177E-3</v>
      </c>
      <c r="BC118" s="235">
        <f t="shared" si="922"/>
        <v>3.0628409543932843E-3</v>
      </c>
      <c r="BD118" s="235">
        <f t="shared" ref="BD118:BE118" si="923">-BD472/(BD233+BD235)*BD$5</f>
        <v>3.4685038959908604E-3</v>
      </c>
      <c r="BE118" s="235">
        <f t="shared" si="923"/>
        <v>3.5275582261472104E-3</v>
      </c>
      <c r="BF118" s="235">
        <f t="shared" ref="BF118:BG118" si="924">-BF472/(BF233+BF235)*BF$5</f>
        <v>3.1699469380872931E-3</v>
      </c>
      <c r="BG118" s="235">
        <f t="shared" si="924"/>
        <v>2.6490743272898328E-3</v>
      </c>
      <c r="BH118" s="235">
        <f t="shared" ref="BH118:BQ118" si="925">-BH472/(BH233+BH235)*BH$5</f>
        <v>2.2707630829903896E-3</v>
      </c>
      <c r="BI118" s="235">
        <f t="shared" si="925"/>
        <v>2.2240437516889509E-3</v>
      </c>
      <c r="BJ118" s="235">
        <f t="shared" si="925"/>
        <v>3.0867697207280329E-3</v>
      </c>
      <c r="BK118" s="235">
        <f t="shared" si="925"/>
        <v>3.6249865661051972E-3</v>
      </c>
      <c r="BL118" s="235">
        <f t="shared" si="925"/>
        <v>4.0895888724075931E-3</v>
      </c>
      <c r="BM118" s="235">
        <f t="shared" si="925"/>
        <v>4.0877760490796982E-3</v>
      </c>
      <c r="BN118" s="235">
        <f t="shared" si="925"/>
        <v>4.0774170697192285E-3</v>
      </c>
      <c r="BO118" s="235">
        <f t="shared" si="925"/>
        <v>4.0775388255048046E-3</v>
      </c>
      <c r="BP118" s="235">
        <f t="shared" si="925"/>
        <v>4.0663391480582284E-3</v>
      </c>
      <c r="BQ118" s="235">
        <f t="shared" si="925"/>
        <v>4.0664649998798869E-3</v>
      </c>
      <c r="BR118" s="48"/>
      <c r="BS118" s="235">
        <f t="shared" ref="BS118:CB118" si="926">-BS472/(BS233+AVERAGE(BR179:BS179))*BS$5</f>
        <v>1.7072899103923057E-2</v>
      </c>
      <c r="BT118" s="235">
        <f t="shared" si="926"/>
        <v>9.9921155394473628E-3</v>
      </c>
      <c r="BU118" s="235">
        <f t="shared" si="926"/>
        <v>7.502024817395642E-3</v>
      </c>
      <c r="BV118" s="235">
        <f t="shared" si="926"/>
        <v>4.3656386081308129E-3</v>
      </c>
      <c r="BW118" s="235">
        <f t="shared" si="926"/>
        <v>2.6191228114223518E-3</v>
      </c>
      <c r="BX118" s="235">
        <f t="shared" si="926"/>
        <v>2.1273460065420855E-3</v>
      </c>
      <c r="BY118" s="235">
        <f t="shared" si="926"/>
        <v>4.638098245490936E-3</v>
      </c>
      <c r="BZ118" s="235">
        <f t="shared" si="926"/>
        <v>4.364114149860026E-3</v>
      </c>
      <c r="CA118" s="235">
        <f t="shared" si="926"/>
        <v>3.1245589651430665E-3</v>
      </c>
      <c r="CB118" s="235">
        <f t="shared" si="926"/>
        <v>5.1065075812704195E-3</v>
      </c>
      <c r="CC118" s="48">
        <f>-CC472/(CC233+AVERAGE(CB179:CC179))*CC$5</f>
        <v>5.9442384223344011E-3</v>
      </c>
      <c r="CD118" s="48">
        <f>-CD472/(CD233+AVERAGE(CC179:CD179))*CD$5</f>
        <v>4.0634664359878066E-3</v>
      </c>
      <c r="CE118" s="48">
        <f>-CE472/(CE233+AVERAGE(CD179:CE179))*CE$5</f>
        <v>3.5710427811633479E-3</v>
      </c>
      <c r="CF118" s="48">
        <f>-CF472/(CF233+AVERAGE(CE179:CF179))*CF$5</f>
        <v>3.6366557516089699E-3</v>
      </c>
      <c r="CG118" s="48">
        <f t="shared" ref="CG118:CR118" si="927">-CG472/(CG233+CG235)*CG$5</f>
        <v>4.6377904696187182E-3</v>
      </c>
      <c r="CH118" s="48">
        <f t="shared" si="927"/>
        <v>3.891958792966623E-3</v>
      </c>
      <c r="CI118" s="48">
        <f t="shared" si="927"/>
        <v>6.8316692214213026E-3</v>
      </c>
      <c r="CJ118" s="48">
        <f t="shared" si="927"/>
        <v>1.9393759869972927E-2</v>
      </c>
      <c r="CK118" s="48">
        <f t="shared" si="927"/>
        <v>1.1465203019793094E-2</v>
      </c>
      <c r="CL118" s="48">
        <f t="shared" si="927"/>
        <v>7.3198166067992686E-3</v>
      </c>
      <c r="CM118" s="50">
        <f t="shared" si="927"/>
        <v>6.1460518045490216E-3</v>
      </c>
      <c r="CN118" s="50">
        <f t="shared" si="927"/>
        <v>5.886369488948294E-3</v>
      </c>
      <c r="CO118" s="50">
        <f t="shared" si="927"/>
        <v>4.8361228063013226E-3</v>
      </c>
      <c r="CP118" s="50">
        <f t="shared" si="927"/>
        <v>4.6522554926297097E-3</v>
      </c>
      <c r="CQ118" s="50">
        <f t="shared" si="927"/>
        <v>5.6060079329968877E-3</v>
      </c>
      <c r="CR118" s="50">
        <f t="shared" si="927"/>
        <v>4.668660433236424E-3</v>
      </c>
      <c r="CS118" s="50">
        <f t="shared" ref="CS118:DC118" si="928">-CS472/(CS233+CS235)*CS$5</f>
        <v>4.5877738835627697E-3</v>
      </c>
      <c r="CT118" s="50">
        <f t="shared" si="928"/>
        <v>5.2559491758135948E-3</v>
      </c>
      <c r="CU118" s="50">
        <f t="shared" si="928"/>
        <v>1.123984555448246E-2</v>
      </c>
      <c r="CV118" s="50">
        <f t="shared" si="928"/>
        <v>2.5317620187649248E-3</v>
      </c>
      <c r="CW118" s="50">
        <f t="shared" si="928"/>
        <v>-1.555073950512801E-3</v>
      </c>
      <c r="CX118" s="50">
        <f t="shared" si="928"/>
        <v>4.4107483806479723E-3</v>
      </c>
      <c r="CY118" s="50">
        <f t="shared" si="928"/>
        <v>3.122514033520798E-3</v>
      </c>
      <c r="CZ118" s="49">
        <f t="shared" si="928"/>
        <v>2.7216921445642533E-3</v>
      </c>
      <c r="DA118" s="48">
        <f t="shared" si="928"/>
        <v>2.4784236603731273E-3</v>
      </c>
      <c r="DB118" s="48">
        <f t="shared" si="928"/>
        <v>2.9586960920303228E-3</v>
      </c>
      <c r="DC118" s="48">
        <f t="shared" si="928"/>
        <v>3.4978124095278048E-3</v>
      </c>
      <c r="DD118" s="48">
        <f t="shared" ref="DD118:DI118" si="929">-DD472/(DD233+DD235)*DD$5</f>
        <v>2.9096434934299752E-3</v>
      </c>
      <c r="DE118" s="48">
        <f t="shared" si="929"/>
        <v>2.2471871157680547E-3</v>
      </c>
      <c r="DF118" s="48">
        <f t="shared" si="929"/>
        <v>3.3554069063493723E-3</v>
      </c>
      <c r="DG118" s="48">
        <f t="shared" si="929"/>
        <v>4.0883156924805212E-3</v>
      </c>
      <c r="DH118" s="48">
        <f t="shared" si="929"/>
        <v>4.0769302659500262E-3</v>
      </c>
      <c r="DI118" s="48">
        <f t="shared" si="929"/>
        <v>4.065854689268217E-3</v>
      </c>
    </row>
    <row r="119" spans="1:113" outlineLevel="1">
      <c r="AA119" s="234"/>
      <c r="AB119" s="48"/>
      <c r="AC119" s="48"/>
      <c r="AD119" s="48"/>
      <c r="AE119" s="48"/>
      <c r="AF119" s="50"/>
      <c r="AG119" s="50"/>
      <c r="AH119" s="234"/>
      <c r="AI119" s="234"/>
      <c r="AJ119" s="234"/>
      <c r="AK119" s="755"/>
      <c r="AL119" s="755"/>
      <c r="AM119" s="234"/>
      <c r="AN119" s="234"/>
      <c r="AO119" s="234"/>
      <c r="AP119" s="234"/>
      <c r="AQ119" s="234"/>
      <c r="AR119" s="234"/>
      <c r="AS119" s="234"/>
      <c r="AT119" s="234"/>
      <c r="AU119" s="234"/>
      <c r="AV119" s="234"/>
      <c r="AW119" s="234"/>
      <c r="AX119" s="838"/>
      <c r="AY119" s="806"/>
      <c r="AZ119" s="843"/>
      <c r="BA119" s="809"/>
      <c r="BB119" s="809"/>
      <c r="BC119" s="809"/>
      <c r="BD119" s="809"/>
      <c r="BE119" s="809"/>
      <c r="BF119" s="809"/>
      <c r="BG119" s="809"/>
      <c r="BJ119" s="809"/>
      <c r="BK119" s="809"/>
      <c r="BL119" s="809"/>
      <c r="BM119" s="809"/>
      <c r="BN119" s="809"/>
      <c r="BO119" s="809"/>
      <c r="BP119" s="809"/>
      <c r="BQ119" s="809"/>
      <c r="BR119" s="797"/>
      <c r="CG119" s="234"/>
      <c r="CM119" s="55"/>
      <c r="CZ119" s="22"/>
    </row>
    <row r="120" spans="1:113" outlineLevel="1">
      <c r="A120" s="1" t="s">
        <v>710</v>
      </c>
      <c r="B120" s="19" t="s">
        <v>353</v>
      </c>
      <c r="C120" s="53">
        <v>234</v>
      </c>
      <c r="D120" s="53">
        <v>309</v>
      </c>
      <c r="E120" s="53">
        <v>270</v>
      </c>
      <c r="F120" s="53">
        <v>263</v>
      </c>
      <c r="G120" s="53">
        <v>205</v>
      </c>
      <c r="H120" s="53">
        <v>198</v>
      </c>
      <c r="I120" s="53">
        <v>143</v>
      </c>
      <c r="J120" s="53">
        <v>180</v>
      </c>
      <c r="K120" s="53">
        <v>157</v>
      </c>
      <c r="L120" s="53">
        <v>179</v>
      </c>
      <c r="M120" s="53">
        <v>171</v>
      </c>
      <c r="N120" s="53">
        <v>171</v>
      </c>
      <c r="O120" s="53">
        <v>199</v>
      </c>
      <c r="P120" s="53">
        <v>189</v>
      </c>
      <c r="Q120" s="53">
        <v>279</v>
      </c>
      <c r="R120" s="53">
        <v>1134</v>
      </c>
      <c r="S120" s="53">
        <v>1729</v>
      </c>
      <c r="T120" s="53">
        <v>1822</v>
      </c>
      <c r="U120" s="53">
        <v>1992</v>
      </c>
      <c r="V120" s="53">
        <v>2169</v>
      </c>
      <c r="W120" s="53">
        <v>2125</v>
      </c>
      <c r="X120" s="53">
        <v>2097</v>
      </c>
      <c r="Y120" s="53">
        <v>2008</v>
      </c>
      <c r="Z120" s="53">
        <v>1845</v>
      </c>
      <c r="AA120" s="164">
        <v>1628</v>
      </c>
      <c r="AB120" s="164">
        <v>1416</v>
      </c>
      <c r="AC120" s="164">
        <v>1127</v>
      </c>
      <c r="AD120" s="164">
        <v>1116</v>
      </c>
      <c r="AE120" s="164">
        <v>887</v>
      </c>
      <c r="AF120" s="164">
        <v>909</v>
      </c>
      <c r="AG120" s="164">
        <v>944</v>
      </c>
      <c r="AH120" s="164">
        <v>1017</v>
      </c>
      <c r="AI120" s="164">
        <v>980</v>
      </c>
      <c r="AJ120" s="164">
        <v>978</v>
      </c>
      <c r="AK120" s="164">
        <v>870</v>
      </c>
      <c r="AL120" s="164">
        <v>920</v>
      </c>
      <c r="AM120" s="164">
        <v>895</v>
      </c>
      <c r="AN120" s="164">
        <v>959</v>
      </c>
      <c r="AO120" s="164">
        <v>967</v>
      </c>
      <c r="AP120" s="164">
        <v>872</v>
      </c>
      <c r="AQ120" s="164">
        <v>900</v>
      </c>
      <c r="AR120" s="164">
        <v>792</v>
      </c>
      <c r="AS120" s="164">
        <v>736</v>
      </c>
      <c r="AT120" s="164">
        <v>641</v>
      </c>
      <c r="AU120" s="164">
        <v>754</v>
      </c>
      <c r="AV120" s="164">
        <v>733</v>
      </c>
      <c r="AW120" s="164">
        <v>712</v>
      </c>
      <c r="AX120" s="164">
        <v>735</v>
      </c>
      <c r="AY120" s="164">
        <v>816</v>
      </c>
      <c r="AZ120" s="171">
        <v>793</v>
      </c>
      <c r="BA120" s="827">
        <f>AZ120+([5]CBA!L$253-(BA121-AZ121)+BA470)</f>
        <v>773.15627407219222</v>
      </c>
      <c r="BB120" s="827">
        <f>BA120+([5]CBA!M$253-(BB121-BA121)+BB470)</f>
        <v>743.18557829276585</v>
      </c>
      <c r="BC120" s="827">
        <f>BB120+([5]CBA!N$253-(BC121-BB121)+BC470)</f>
        <v>663.51729266070004</v>
      </c>
      <c r="BD120" s="827">
        <f>BC120+([5]CBA!O$253-(BD121-BC121)+BD470)</f>
        <v>587.91400251553443</v>
      </c>
      <c r="BE120" s="827">
        <f>BD120+([5]CBA!P$253-(BE121-BD121)+BE470)</f>
        <v>520.59810396116018</v>
      </c>
      <c r="BF120" s="827">
        <f>BE120+([5]CBA!Q$253-(BF121-BE121)+BF470)</f>
        <v>478.76440548091171</v>
      </c>
      <c r="BG120" s="827">
        <f>BF120+([5]CBA!R$253-(BG121-BF121)+BG470)</f>
        <v>446.04923877332755</v>
      </c>
      <c r="BH120" s="827">
        <f>BG120+([5]CBA!S$253-(BH121-BG121)+BH470)</f>
        <v>370.78465616058861</v>
      </c>
      <c r="BI120" s="827">
        <f>BH120+([5]CBA!T$253-(BI121-BH121)+BI470)</f>
        <v>291.76824474041337</v>
      </c>
      <c r="BJ120" s="55">
        <f t="shared" ref="BJ120:BM120" si="930">BJ115*BJ124</f>
        <v>296.51360859285393</v>
      </c>
      <c r="BK120" s="55">
        <f t="shared" si="930"/>
        <v>302.03008539395921</v>
      </c>
      <c r="BL120" s="55">
        <f t="shared" si="930"/>
        <v>307.65235289234164</v>
      </c>
      <c r="BM120" s="55">
        <f t="shared" si="930"/>
        <v>313.38247766338219</v>
      </c>
      <c r="BN120" s="55">
        <f t="shared" ref="BN120:BO120" si="931">BN115*BN124</f>
        <v>319.22256709812575</v>
      </c>
      <c r="BO120" s="55">
        <f t="shared" si="931"/>
        <v>325.17477021467602</v>
      </c>
      <c r="BP120" s="55">
        <f t="shared" ref="BP120:BQ120" si="932">BP115*BP124</f>
        <v>331.24127848578212</v>
      </c>
      <c r="BQ120" s="55">
        <f t="shared" si="932"/>
        <v>337.42432668294407</v>
      </c>
      <c r="BR120" s="55"/>
      <c r="BS120" s="53">
        <v>1520.4</v>
      </c>
      <c r="BT120" s="53">
        <v>686.9</v>
      </c>
      <c r="BU120" s="53">
        <v>713.2</v>
      </c>
      <c r="BV120" s="53">
        <v>498</v>
      </c>
      <c r="BW120" s="53">
        <v>310</v>
      </c>
      <c r="BX120" s="53">
        <v>241</v>
      </c>
      <c r="BY120" s="53">
        <v>279</v>
      </c>
      <c r="BZ120" s="53">
        <v>275</v>
      </c>
      <c r="CA120" s="53">
        <v>432</v>
      </c>
      <c r="CB120" s="53">
        <v>234</v>
      </c>
      <c r="CC120" s="55">
        <f>E120</f>
        <v>270</v>
      </c>
      <c r="CD120" s="55">
        <f>G120</f>
        <v>205</v>
      </c>
      <c r="CE120" s="55">
        <f>I120</f>
        <v>143</v>
      </c>
      <c r="CF120" s="55">
        <f>K120</f>
        <v>157</v>
      </c>
      <c r="CG120" s="55">
        <f>M120</f>
        <v>171</v>
      </c>
      <c r="CH120" s="55">
        <f>O120</f>
        <v>199</v>
      </c>
      <c r="CI120" s="55">
        <f>Q120</f>
        <v>279</v>
      </c>
      <c r="CJ120" s="55">
        <f>S120</f>
        <v>1729</v>
      </c>
      <c r="CK120" s="55">
        <f>U120</f>
        <v>1992</v>
      </c>
      <c r="CL120" s="55">
        <f>W120</f>
        <v>2125</v>
      </c>
      <c r="CM120" s="55">
        <f>Y120</f>
        <v>2008</v>
      </c>
      <c r="CN120" s="55">
        <f>AA120</f>
        <v>1628</v>
      </c>
      <c r="CO120" s="55">
        <f>AC120</f>
        <v>1127</v>
      </c>
      <c r="CP120" s="55">
        <f>AE120</f>
        <v>887</v>
      </c>
      <c r="CQ120" s="55">
        <f>AG120</f>
        <v>944</v>
      </c>
      <c r="CR120" s="55">
        <f>AI120</f>
        <v>980</v>
      </c>
      <c r="CS120" s="55">
        <f>AK120</f>
        <v>870</v>
      </c>
      <c r="CT120" s="55">
        <f>AM120</f>
        <v>895</v>
      </c>
      <c r="CU120" s="55">
        <f>AO120</f>
        <v>967</v>
      </c>
      <c r="CV120" s="55">
        <f>AQ120</f>
        <v>900</v>
      </c>
      <c r="CW120" s="55">
        <f>AS120</f>
        <v>736</v>
      </c>
      <c r="CX120" s="55">
        <f>AU120</f>
        <v>754</v>
      </c>
      <c r="CY120" s="55">
        <f>AW120</f>
        <v>712</v>
      </c>
      <c r="CZ120" s="56">
        <f>AY120</f>
        <v>816</v>
      </c>
      <c r="DA120" s="55">
        <f>BA120</f>
        <v>773.15627407219222</v>
      </c>
      <c r="DB120" s="55">
        <f>BC120</f>
        <v>663.51729266070004</v>
      </c>
      <c r="DC120" s="55">
        <f>BE120</f>
        <v>520.59810396116018</v>
      </c>
      <c r="DD120" s="55">
        <f>BG120</f>
        <v>446.04923877332755</v>
      </c>
      <c r="DE120" s="55">
        <f>BI120</f>
        <v>291.76824474041337</v>
      </c>
      <c r="DF120" s="55">
        <f>BK120</f>
        <v>302.03008539395921</v>
      </c>
      <c r="DG120" s="55">
        <f>BM120</f>
        <v>313.38247766338219</v>
      </c>
      <c r="DH120" s="55">
        <f>BO120</f>
        <v>325.17477021467602</v>
      </c>
      <c r="DI120" s="55">
        <f>BQ120</f>
        <v>337.42432668294407</v>
      </c>
    </row>
    <row r="121" spans="1:113" outlineLevel="1">
      <c r="A121" s="1" t="s">
        <v>711</v>
      </c>
      <c r="B121" s="19" t="s">
        <v>419</v>
      </c>
      <c r="C121" s="53">
        <v>1399</v>
      </c>
      <c r="D121" s="53">
        <v>1334</v>
      </c>
      <c r="E121" s="53">
        <v>1356</v>
      </c>
      <c r="F121" s="53">
        <v>1327</v>
      </c>
      <c r="G121" s="53">
        <v>1325</v>
      </c>
      <c r="H121" s="53">
        <v>1358</v>
      </c>
      <c r="I121" s="53">
        <v>1393</v>
      </c>
      <c r="J121" s="53">
        <v>1379</v>
      </c>
      <c r="K121" s="53">
        <v>1390</v>
      </c>
      <c r="L121" s="53">
        <v>1041</v>
      </c>
      <c r="M121" s="53">
        <v>1046</v>
      </c>
      <c r="N121" s="53">
        <v>1040</v>
      </c>
      <c r="O121" s="53">
        <v>1034</v>
      </c>
      <c r="P121" s="53">
        <v>1191</v>
      </c>
      <c r="Q121" s="53">
        <v>1466</v>
      </c>
      <c r="R121" s="53">
        <v>2474</v>
      </c>
      <c r="S121" s="53">
        <v>3225</v>
      </c>
      <c r="T121" s="53">
        <v>3452</v>
      </c>
      <c r="U121" s="53">
        <v>3461</v>
      </c>
      <c r="V121" s="53">
        <v>3327</v>
      </c>
      <c r="W121" s="53">
        <v>3043</v>
      </c>
      <c r="X121" s="53">
        <v>2984</v>
      </c>
      <c r="Y121" s="53">
        <v>2837</v>
      </c>
      <c r="Z121" s="53">
        <v>2858</v>
      </c>
      <c r="AA121" s="164">
        <v>2858</v>
      </c>
      <c r="AB121" s="164">
        <v>2870</v>
      </c>
      <c r="AC121" s="164">
        <v>2779</v>
      </c>
      <c r="AD121" s="164">
        <v>2763</v>
      </c>
      <c r="AE121" s="164">
        <v>2762</v>
      </c>
      <c r="AF121" s="164">
        <v>2801</v>
      </c>
      <c r="AG121" s="164">
        <v>2818</v>
      </c>
      <c r="AH121" s="164">
        <v>2807</v>
      </c>
      <c r="AI121" s="164">
        <v>2747</v>
      </c>
      <c r="AJ121" s="164">
        <v>2772</v>
      </c>
      <c r="AK121" s="164">
        <v>2763</v>
      </c>
      <c r="AL121" s="164">
        <v>3814</v>
      </c>
      <c r="AM121" s="164">
        <v>3904</v>
      </c>
      <c r="AN121" s="164">
        <v>4067</v>
      </c>
      <c r="AO121" s="164">
        <v>5396</v>
      </c>
      <c r="AP121" s="164">
        <v>5943</v>
      </c>
      <c r="AQ121" s="164">
        <v>5311</v>
      </c>
      <c r="AR121" s="164">
        <v>5062</v>
      </c>
      <c r="AS121" s="164">
        <v>4611</v>
      </c>
      <c r="AT121" s="164">
        <v>4900</v>
      </c>
      <c r="AU121" s="164">
        <v>5196</v>
      </c>
      <c r="AV121" s="164">
        <v>5330</v>
      </c>
      <c r="AW121" s="164">
        <v>5423</v>
      </c>
      <c r="AX121" s="164">
        <v>5492</v>
      </c>
      <c r="AY121" s="164">
        <v>5561</v>
      </c>
      <c r="AZ121" s="171">
        <v>5542</v>
      </c>
      <c r="BA121" s="55">
        <f t="shared" ref="BA121:BI121" si="933">BA116*(BA613-BA612)</f>
        <v>5567.2710970218923</v>
      </c>
      <c r="BB121" s="55">
        <f t="shared" si="933"/>
        <v>5579.5423796619925</v>
      </c>
      <c r="BC121" s="55">
        <f t="shared" si="933"/>
        <v>5591.108026775526</v>
      </c>
      <c r="BD121" s="55">
        <f t="shared" si="933"/>
        <v>5665.0670536454445</v>
      </c>
      <c r="BE121" s="55">
        <f t="shared" si="933"/>
        <v>5737.1715795637538</v>
      </c>
      <c r="BF121" s="55">
        <f t="shared" si="933"/>
        <v>5829.5408246623892</v>
      </c>
      <c r="BG121" s="55">
        <f t="shared" si="933"/>
        <v>5916.6543524228055</v>
      </c>
      <c r="BH121" s="55">
        <f t="shared" si="933"/>
        <v>6006.1997359238003</v>
      </c>
      <c r="BI121" s="55">
        <f t="shared" si="933"/>
        <v>6088.9465738824429</v>
      </c>
      <c r="BJ121" s="55">
        <f t="shared" ref="BJ121:BM121" si="934">BJ116*(BJ613-BJ612)</f>
        <v>6133.7776427053832</v>
      </c>
      <c r="BK121" s="55">
        <f t="shared" si="934"/>
        <v>6189.2755136992964</v>
      </c>
      <c r="BL121" s="55">
        <f t="shared" si="934"/>
        <v>6245.3156345236594</v>
      </c>
      <c r="BM121" s="55">
        <f t="shared" si="934"/>
        <v>6301.9033472423071</v>
      </c>
      <c r="BN121" s="55">
        <f t="shared" ref="BN121:BO121" si="935">BN116*(BN613-BN612)</f>
        <v>6359.0440466747623</v>
      </c>
      <c r="BO121" s="55">
        <f t="shared" si="935"/>
        <v>6416.7431809178097</v>
      </c>
      <c r="BP121" s="55">
        <f t="shared" ref="BP121:BQ121" si="936">BP116*(BP613-BP612)</f>
        <v>6475.0062518722016</v>
      </c>
      <c r="BQ121" s="55">
        <f t="shared" si="936"/>
        <v>6533.8388157745967</v>
      </c>
      <c r="BR121" s="55"/>
      <c r="BS121" s="53">
        <v>462.9</v>
      </c>
      <c r="BT121" s="53">
        <v>397.4</v>
      </c>
      <c r="BU121" s="53">
        <v>396.3</v>
      </c>
      <c r="BV121" s="53">
        <v>476</v>
      </c>
      <c r="BW121" s="53">
        <v>690</v>
      </c>
      <c r="BX121" s="53">
        <v>690</v>
      </c>
      <c r="BY121" s="53">
        <v>1076</v>
      </c>
      <c r="BZ121" s="53">
        <v>1081</v>
      </c>
      <c r="CA121" s="53">
        <v>1358</v>
      </c>
      <c r="CB121" s="53">
        <v>1399</v>
      </c>
      <c r="CC121" s="55">
        <f>E121</f>
        <v>1356</v>
      </c>
      <c r="CD121" s="55">
        <f>G121</f>
        <v>1325</v>
      </c>
      <c r="CE121" s="55">
        <f>I121</f>
        <v>1393</v>
      </c>
      <c r="CF121" s="55">
        <f>K121</f>
        <v>1390</v>
      </c>
      <c r="CG121" s="55">
        <f>M121</f>
        <v>1046</v>
      </c>
      <c r="CH121" s="55">
        <f>O121</f>
        <v>1034</v>
      </c>
      <c r="CI121" s="55">
        <f>Q121</f>
        <v>1466</v>
      </c>
      <c r="CJ121" s="55">
        <f>S121</f>
        <v>3225</v>
      </c>
      <c r="CK121" s="55">
        <f>U121</f>
        <v>3461</v>
      </c>
      <c r="CL121" s="55">
        <f>W121</f>
        <v>3043</v>
      </c>
      <c r="CM121" s="55">
        <f>Y121</f>
        <v>2837</v>
      </c>
      <c r="CN121" s="55">
        <f>AA121</f>
        <v>2858</v>
      </c>
      <c r="CO121" s="55">
        <f>AC121</f>
        <v>2779</v>
      </c>
      <c r="CP121" s="55">
        <f>AE121</f>
        <v>2762</v>
      </c>
      <c r="CQ121" s="55">
        <f>AG121</f>
        <v>2818</v>
      </c>
      <c r="CR121" s="55">
        <f>AI121</f>
        <v>2747</v>
      </c>
      <c r="CS121" s="55">
        <f>AK121</f>
        <v>2763</v>
      </c>
      <c r="CT121" s="55">
        <f>AM121</f>
        <v>3904</v>
      </c>
      <c r="CU121" s="55">
        <f>AO121</f>
        <v>5396</v>
      </c>
      <c r="CV121" s="55">
        <f>AQ121</f>
        <v>5311</v>
      </c>
      <c r="CW121" s="55">
        <f>AS121</f>
        <v>4611</v>
      </c>
      <c r="CX121" s="55">
        <f>AU121</f>
        <v>5196</v>
      </c>
      <c r="CY121" s="55">
        <f>AW121</f>
        <v>5423</v>
      </c>
      <c r="CZ121" s="56">
        <f>AY121</f>
        <v>5561</v>
      </c>
      <c r="DA121" s="55">
        <f>BA121</f>
        <v>5567.2710970218923</v>
      </c>
      <c r="DB121" s="55">
        <f>BC121</f>
        <v>5591.108026775526</v>
      </c>
      <c r="DC121" s="55">
        <f>BE121</f>
        <v>5737.1715795637538</v>
      </c>
      <c r="DD121" s="55">
        <f>BG121</f>
        <v>5916.6543524228055</v>
      </c>
      <c r="DE121" s="55">
        <f>BI121</f>
        <v>6088.9465738824429</v>
      </c>
      <c r="DF121" s="55">
        <f>BK121</f>
        <v>6189.2755136992964</v>
      </c>
      <c r="DG121" s="55">
        <f>BM121</f>
        <v>6301.9033472423071</v>
      </c>
      <c r="DH121" s="55">
        <f>BO121</f>
        <v>6416.7431809178097</v>
      </c>
      <c r="DI121" s="55">
        <f>BQ121</f>
        <v>6533.8388157745967</v>
      </c>
    </row>
    <row r="122" spans="1:113" outlineLevel="1">
      <c r="A122" s="1" t="s">
        <v>875</v>
      </c>
      <c r="B122" s="19" t="s">
        <v>420</v>
      </c>
      <c r="C122" s="55">
        <f t="shared" ref="C122:L122" si="937">C120+C121</f>
        <v>1633</v>
      </c>
      <c r="D122" s="55">
        <f t="shared" si="937"/>
        <v>1643</v>
      </c>
      <c r="E122" s="55">
        <f t="shared" si="937"/>
        <v>1626</v>
      </c>
      <c r="F122" s="55">
        <f t="shared" si="937"/>
        <v>1590</v>
      </c>
      <c r="G122" s="55">
        <f t="shared" si="937"/>
        <v>1530</v>
      </c>
      <c r="H122" s="55">
        <f t="shared" si="937"/>
        <v>1556</v>
      </c>
      <c r="I122" s="55">
        <f t="shared" si="937"/>
        <v>1536</v>
      </c>
      <c r="J122" s="55">
        <f t="shared" si="937"/>
        <v>1559</v>
      </c>
      <c r="K122" s="55">
        <f t="shared" si="937"/>
        <v>1547</v>
      </c>
      <c r="L122" s="55">
        <f t="shared" si="937"/>
        <v>1220</v>
      </c>
      <c r="M122" s="55">
        <f t="shared" ref="M122:AF122" si="938">M120+M121</f>
        <v>1217</v>
      </c>
      <c r="N122" s="55">
        <f t="shared" si="938"/>
        <v>1211</v>
      </c>
      <c r="O122" s="55">
        <f t="shared" si="938"/>
        <v>1233</v>
      </c>
      <c r="P122" s="55">
        <f t="shared" si="938"/>
        <v>1380</v>
      </c>
      <c r="Q122" s="55">
        <f t="shared" si="938"/>
        <v>1745</v>
      </c>
      <c r="R122" s="55">
        <f t="shared" si="938"/>
        <v>3608</v>
      </c>
      <c r="S122" s="55">
        <f t="shared" si="938"/>
        <v>4954</v>
      </c>
      <c r="T122" s="55">
        <f t="shared" si="938"/>
        <v>5274</v>
      </c>
      <c r="U122" s="55">
        <f t="shared" si="938"/>
        <v>5453</v>
      </c>
      <c r="V122" s="55">
        <f t="shared" si="938"/>
        <v>5496</v>
      </c>
      <c r="W122" s="55">
        <f t="shared" si="938"/>
        <v>5168</v>
      </c>
      <c r="X122" s="55">
        <f t="shared" si="938"/>
        <v>5081</v>
      </c>
      <c r="Y122" s="55">
        <f t="shared" si="938"/>
        <v>4845</v>
      </c>
      <c r="Z122" s="55">
        <f t="shared" si="938"/>
        <v>4703</v>
      </c>
      <c r="AA122" s="55">
        <f t="shared" si="938"/>
        <v>4486</v>
      </c>
      <c r="AB122" s="55">
        <f t="shared" si="938"/>
        <v>4286</v>
      </c>
      <c r="AC122" s="55">
        <f t="shared" si="938"/>
        <v>3906</v>
      </c>
      <c r="AD122" s="55">
        <f t="shared" si="938"/>
        <v>3879</v>
      </c>
      <c r="AE122" s="55">
        <f t="shared" si="938"/>
        <v>3649</v>
      </c>
      <c r="AF122" s="55">
        <f t="shared" si="938"/>
        <v>3710</v>
      </c>
      <c r="AG122" s="55">
        <f t="shared" ref="AG122:AL122" si="939">AG120+AG121</f>
        <v>3762</v>
      </c>
      <c r="AH122" s="55">
        <f t="shared" si="939"/>
        <v>3824</v>
      </c>
      <c r="AI122" s="55">
        <f t="shared" si="939"/>
        <v>3727</v>
      </c>
      <c r="AJ122" s="55">
        <f t="shared" si="939"/>
        <v>3750</v>
      </c>
      <c r="AK122" s="55">
        <f t="shared" si="939"/>
        <v>3633</v>
      </c>
      <c r="AL122" s="55">
        <f t="shared" si="939"/>
        <v>4734</v>
      </c>
      <c r="AM122" s="55">
        <f t="shared" ref="AM122:AR122" si="940">AM120+AM121</f>
        <v>4799</v>
      </c>
      <c r="AN122" s="55">
        <f t="shared" si="940"/>
        <v>5026</v>
      </c>
      <c r="AO122" s="55">
        <f t="shared" si="940"/>
        <v>6363</v>
      </c>
      <c r="AP122" s="55">
        <f t="shared" si="940"/>
        <v>6815</v>
      </c>
      <c r="AQ122" s="55">
        <f t="shared" si="940"/>
        <v>6211</v>
      </c>
      <c r="AR122" s="55">
        <f t="shared" si="940"/>
        <v>5854</v>
      </c>
      <c r="AS122" s="55">
        <f t="shared" ref="AS122" si="941">AS120+AS121</f>
        <v>5347</v>
      </c>
      <c r="AT122" s="55">
        <f t="shared" ref="AT122:AU122" si="942">AT120+AT121</f>
        <v>5541</v>
      </c>
      <c r="AU122" s="55">
        <f t="shared" si="942"/>
        <v>5950</v>
      </c>
      <c r="AV122" s="55">
        <f t="shared" ref="AV122:AW122" si="943">AV120+AV121</f>
        <v>6063</v>
      </c>
      <c r="AW122" s="55">
        <f t="shared" si="943"/>
        <v>6135</v>
      </c>
      <c r="AX122" s="55">
        <f t="shared" ref="AX122:AZ122" si="944">AX120+AX121</f>
        <v>6227</v>
      </c>
      <c r="AY122" s="55">
        <f t="shared" ref="AY122" si="945">AY120+AY121</f>
        <v>6377</v>
      </c>
      <c r="AZ122" s="56">
        <f t="shared" si="944"/>
        <v>6335</v>
      </c>
      <c r="BA122" s="55">
        <f t="shared" ref="BA122:BI122" si="946">BA120+BA121</f>
        <v>6340.4273710940843</v>
      </c>
      <c r="BB122" s="55">
        <f t="shared" si="946"/>
        <v>6322.7279579547585</v>
      </c>
      <c r="BC122" s="55">
        <f t="shared" si="946"/>
        <v>6254.6253194362262</v>
      </c>
      <c r="BD122" s="55">
        <f t="shared" si="946"/>
        <v>6252.9810561609793</v>
      </c>
      <c r="BE122" s="55">
        <f t="shared" si="946"/>
        <v>6257.7696835249135</v>
      </c>
      <c r="BF122" s="55">
        <f t="shared" si="946"/>
        <v>6308.3052301433008</v>
      </c>
      <c r="BG122" s="55">
        <f t="shared" si="946"/>
        <v>6362.7035911961329</v>
      </c>
      <c r="BH122" s="55">
        <f t="shared" si="946"/>
        <v>6376.9843920843887</v>
      </c>
      <c r="BI122" s="55">
        <f t="shared" si="946"/>
        <v>6380.714818622856</v>
      </c>
      <c r="BJ122" s="55">
        <f t="shared" ref="BJ122:BM122" si="947">BJ120+BJ121</f>
        <v>6430.2912512982375</v>
      </c>
      <c r="BK122" s="55">
        <f t="shared" si="947"/>
        <v>6491.3055990932553</v>
      </c>
      <c r="BL122" s="55">
        <f t="shared" si="947"/>
        <v>6552.9679874160011</v>
      </c>
      <c r="BM122" s="55">
        <f t="shared" si="947"/>
        <v>6615.285824905689</v>
      </c>
      <c r="BN122" s="55">
        <f t="shared" ref="BN122:BO122" si="948">BN120+BN121</f>
        <v>6678.2666137728884</v>
      </c>
      <c r="BO122" s="55">
        <f t="shared" si="948"/>
        <v>6741.9179511324855</v>
      </c>
      <c r="BP122" s="55">
        <f t="shared" ref="BP122:BQ122" si="949">BP120+BP121</f>
        <v>6806.247530357984</v>
      </c>
      <c r="BQ122" s="55">
        <f t="shared" si="949"/>
        <v>6871.2631424575411</v>
      </c>
      <c r="BR122" s="55"/>
      <c r="BS122" s="55">
        <f t="shared" ref="BS122:CB122" si="950">BS120+BS121</f>
        <v>1983.3000000000002</v>
      </c>
      <c r="BT122" s="55">
        <f t="shared" si="950"/>
        <v>1084.3</v>
      </c>
      <c r="BU122" s="55">
        <f t="shared" si="950"/>
        <v>1109.5</v>
      </c>
      <c r="BV122" s="55">
        <f t="shared" si="950"/>
        <v>974</v>
      </c>
      <c r="BW122" s="55">
        <f t="shared" si="950"/>
        <v>1000</v>
      </c>
      <c r="BX122" s="55">
        <f t="shared" si="950"/>
        <v>931</v>
      </c>
      <c r="BY122" s="55">
        <f t="shared" si="950"/>
        <v>1355</v>
      </c>
      <c r="BZ122" s="55">
        <f t="shared" si="950"/>
        <v>1356</v>
      </c>
      <c r="CA122" s="55">
        <f t="shared" si="950"/>
        <v>1790</v>
      </c>
      <c r="CB122" s="55">
        <f t="shared" si="950"/>
        <v>1633</v>
      </c>
      <c r="CC122" s="55">
        <f t="shared" ref="CC122:CP122" si="951">CC120+CC121</f>
        <v>1626</v>
      </c>
      <c r="CD122" s="55">
        <f t="shared" si="951"/>
        <v>1530</v>
      </c>
      <c r="CE122" s="55">
        <f t="shared" si="951"/>
        <v>1536</v>
      </c>
      <c r="CF122" s="55">
        <f t="shared" si="951"/>
        <v>1547</v>
      </c>
      <c r="CG122" s="55">
        <f t="shared" si="951"/>
        <v>1217</v>
      </c>
      <c r="CH122" s="55">
        <f t="shared" si="951"/>
        <v>1233</v>
      </c>
      <c r="CI122" s="55">
        <f t="shared" si="951"/>
        <v>1745</v>
      </c>
      <c r="CJ122" s="55">
        <f t="shared" si="951"/>
        <v>4954</v>
      </c>
      <c r="CK122" s="55">
        <f t="shared" si="951"/>
        <v>5453</v>
      </c>
      <c r="CL122" s="55">
        <f t="shared" si="951"/>
        <v>5168</v>
      </c>
      <c r="CM122" s="55">
        <f t="shared" si="951"/>
        <v>4845</v>
      </c>
      <c r="CN122" s="55">
        <f t="shared" si="951"/>
        <v>4486</v>
      </c>
      <c r="CO122" s="55">
        <f t="shared" si="951"/>
        <v>3906</v>
      </c>
      <c r="CP122" s="55">
        <f t="shared" si="951"/>
        <v>3649</v>
      </c>
      <c r="CQ122" s="55">
        <f t="shared" ref="CQ122:CX122" si="952">CQ120+CQ121</f>
        <v>3762</v>
      </c>
      <c r="CR122" s="55">
        <f t="shared" si="952"/>
        <v>3727</v>
      </c>
      <c r="CS122" s="55">
        <f t="shared" si="952"/>
        <v>3633</v>
      </c>
      <c r="CT122" s="55">
        <f t="shared" si="952"/>
        <v>4799</v>
      </c>
      <c r="CU122" s="55">
        <f t="shared" si="952"/>
        <v>6363</v>
      </c>
      <c r="CV122" s="55">
        <f t="shared" si="952"/>
        <v>6211</v>
      </c>
      <c r="CW122" s="55">
        <f t="shared" si="952"/>
        <v>5347</v>
      </c>
      <c r="CX122" s="55">
        <f t="shared" si="952"/>
        <v>5950</v>
      </c>
      <c r="CY122" s="55">
        <f t="shared" ref="CY122:DD122" si="953">CY120+CY121</f>
        <v>6135</v>
      </c>
      <c r="CZ122" s="56">
        <f t="shared" si="953"/>
        <v>6377</v>
      </c>
      <c r="DA122" s="55">
        <f t="shared" si="953"/>
        <v>6340.4273710940843</v>
      </c>
      <c r="DB122" s="55">
        <f t="shared" si="953"/>
        <v>6254.6253194362262</v>
      </c>
      <c r="DC122" s="55">
        <f t="shared" si="953"/>
        <v>6257.7696835249135</v>
      </c>
      <c r="DD122" s="55">
        <f t="shared" si="953"/>
        <v>6362.7035911961329</v>
      </c>
      <c r="DE122" s="55">
        <f>DE120+DE121</f>
        <v>6380.714818622856</v>
      </c>
      <c r="DF122" s="55">
        <f>DF120+DF121</f>
        <v>6491.3055990932553</v>
      </c>
      <c r="DG122" s="55">
        <f>DG120+DG121</f>
        <v>6615.285824905689</v>
      </c>
      <c r="DH122" s="55">
        <f>DH120+DH121</f>
        <v>6741.9179511324855</v>
      </c>
      <c r="DI122" s="55">
        <f>DI120+DI121</f>
        <v>6871.2631424575411</v>
      </c>
    </row>
    <row r="123" spans="1:113" outlineLevel="1">
      <c r="A123" s="1" t="s">
        <v>2201</v>
      </c>
      <c r="B123" s="19" t="s">
        <v>2202</v>
      </c>
      <c r="C123" s="164">
        <v>0</v>
      </c>
      <c r="D123" s="164">
        <v>0</v>
      </c>
      <c r="E123" s="164">
        <v>0</v>
      </c>
      <c r="F123" s="164">
        <v>0</v>
      </c>
      <c r="G123" s="164">
        <v>0</v>
      </c>
      <c r="H123" s="164">
        <v>0</v>
      </c>
      <c r="I123" s="164">
        <v>0</v>
      </c>
      <c r="J123" s="164">
        <v>0</v>
      </c>
      <c r="K123" s="164">
        <v>0</v>
      </c>
      <c r="L123" s="164">
        <v>0</v>
      </c>
      <c r="M123" s="164">
        <v>0</v>
      </c>
      <c r="N123" s="164">
        <v>500</v>
      </c>
      <c r="O123" s="164">
        <v>500</v>
      </c>
      <c r="P123" s="164">
        <v>0</v>
      </c>
      <c r="Q123" s="164">
        <v>0</v>
      </c>
      <c r="R123" s="164">
        <v>0</v>
      </c>
      <c r="S123" s="164">
        <v>0</v>
      </c>
      <c r="T123" s="164">
        <v>0</v>
      </c>
      <c r="U123" s="164">
        <v>124</v>
      </c>
      <c r="V123" s="164">
        <v>151</v>
      </c>
      <c r="W123" s="164">
        <v>189</v>
      </c>
      <c r="X123" s="164">
        <v>261</v>
      </c>
      <c r="Y123" s="164">
        <v>299</v>
      </c>
      <c r="Z123" s="164">
        <v>282</v>
      </c>
      <c r="AA123" s="164">
        <v>297</v>
      </c>
      <c r="AB123" s="164">
        <v>283</v>
      </c>
      <c r="AC123" s="164">
        <v>305</v>
      </c>
      <c r="AD123" s="164">
        <v>321</v>
      </c>
      <c r="AE123" s="164">
        <v>346</v>
      </c>
      <c r="AF123" s="164">
        <v>386</v>
      </c>
      <c r="AG123" s="164">
        <v>552</v>
      </c>
      <c r="AH123" s="164">
        <v>532</v>
      </c>
      <c r="AI123" s="164">
        <v>589</v>
      </c>
      <c r="AJ123" s="164">
        <v>554</v>
      </c>
      <c r="AK123" s="164">
        <v>589</v>
      </c>
      <c r="AL123" s="164">
        <v>539</v>
      </c>
      <c r="AM123" s="164">
        <v>515</v>
      </c>
      <c r="AN123" s="164">
        <v>0</v>
      </c>
      <c r="AO123" s="164">
        <v>0</v>
      </c>
      <c r="AP123" s="164">
        <v>0</v>
      </c>
      <c r="AQ123" s="164">
        <v>0</v>
      </c>
      <c r="AR123" s="164">
        <v>0</v>
      </c>
      <c r="AS123" s="164">
        <v>0</v>
      </c>
      <c r="AT123" s="164">
        <v>0</v>
      </c>
      <c r="AU123" s="164">
        <v>0</v>
      </c>
      <c r="AV123" s="164">
        <v>0</v>
      </c>
      <c r="AW123" s="164">
        <v>0</v>
      </c>
      <c r="AX123" s="164">
        <v>0</v>
      </c>
      <c r="AY123" s="164">
        <v>0</v>
      </c>
      <c r="AZ123" s="171">
        <v>0</v>
      </c>
      <c r="BA123" s="54">
        <f t="shared" ref="BA123:BE123" si="954">AZ123</f>
        <v>0</v>
      </c>
      <c r="BB123" s="54">
        <f t="shared" si="954"/>
        <v>0</v>
      </c>
      <c r="BC123" s="54">
        <f t="shared" si="954"/>
        <v>0</v>
      </c>
      <c r="BD123" s="54">
        <f t="shared" si="954"/>
        <v>0</v>
      </c>
      <c r="BE123" s="54">
        <f t="shared" si="954"/>
        <v>0</v>
      </c>
      <c r="BF123" s="54">
        <f t="shared" ref="BF123:BM123" si="955">BE123</f>
        <v>0</v>
      </c>
      <c r="BG123" s="54">
        <f t="shared" si="955"/>
        <v>0</v>
      </c>
      <c r="BH123" s="54">
        <f t="shared" si="955"/>
        <v>0</v>
      </c>
      <c r="BI123" s="54">
        <f t="shared" si="955"/>
        <v>0</v>
      </c>
      <c r="BJ123" s="54">
        <f t="shared" si="955"/>
        <v>0</v>
      </c>
      <c r="BK123" s="54">
        <f t="shared" si="955"/>
        <v>0</v>
      </c>
      <c r="BL123" s="54">
        <f t="shared" si="955"/>
        <v>0</v>
      </c>
      <c r="BM123" s="54">
        <f t="shared" si="955"/>
        <v>0</v>
      </c>
      <c r="BN123" s="54">
        <f t="shared" ref="BN123" si="956">BM123</f>
        <v>0</v>
      </c>
      <c r="BO123" s="54">
        <f t="shared" ref="BO123" si="957">BN123</f>
        <v>0</v>
      </c>
      <c r="BP123" s="54">
        <f t="shared" ref="BP123" si="958">BO123</f>
        <v>0</v>
      </c>
      <c r="BQ123" s="54">
        <f t="shared" ref="BQ123" si="959">BP123</f>
        <v>0</v>
      </c>
      <c r="BR123" s="55"/>
      <c r="BS123" s="53">
        <v>0</v>
      </c>
      <c r="BT123" s="53">
        <v>0</v>
      </c>
      <c r="BU123" s="53">
        <v>0</v>
      </c>
      <c r="BV123" s="53">
        <v>0</v>
      </c>
      <c r="BW123" s="53">
        <v>0</v>
      </c>
      <c r="BX123" s="53">
        <v>0</v>
      </c>
      <c r="BY123" s="53">
        <v>0</v>
      </c>
      <c r="BZ123" s="53">
        <v>0</v>
      </c>
      <c r="CA123" s="53">
        <v>0</v>
      </c>
      <c r="CB123" s="53">
        <v>0</v>
      </c>
      <c r="CC123" s="55">
        <f>E123</f>
        <v>0</v>
      </c>
      <c r="CD123" s="55">
        <f>G123</f>
        <v>0</v>
      </c>
      <c r="CE123" s="55">
        <f>I123</f>
        <v>0</v>
      </c>
      <c r="CF123" s="55">
        <f>K123</f>
        <v>0</v>
      </c>
      <c r="CG123" s="55">
        <f>M123</f>
        <v>0</v>
      </c>
      <c r="CH123" s="55">
        <f>O123</f>
        <v>500</v>
      </c>
      <c r="CI123" s="55">
        <f>Q123</f>
        <v>0</v>
      </c>
      <c r="CJ123" s="55">
        <f>S123</f>
        <v>0</v>
      </c>
      <c r="CK123" s="55">
        <f>U123</f>
        <v>124</v>
      </c>
      <c r="CL123" s="55">
        <f>W123</f>
        <v>189</v>
      </c>
      <c r="CM123" s="55">
        <f>Y123</f>
        <v>299</v>
      </c>
      <c r="CN123" s="55">
        <f>AA123</f>
        <v>297</v>
      </c>
      <c r="CO123" s="55">
        <f>AC123</f>
        <v>305</v>
      </c>
      <c r="CP123" s="55">
        <f>AE123</f>
        <v>346</v>
      </c>
      <c r="CQ123" s="55">
        <f>AG123</f>
        <v>552</v>
      </c>
      <c r="CR123" s="55">
        <f>AI123</f>
        <v>589</v>
      </c>
      <c r="CS123" s="55">
        <f>AK123</f>
        <v>589</v>
      </c>
      <c r="CT123" s="55">
        <f>AM123</f>
        <v>515</v>
      </c>
      <c r="CU123" s="55">
        <f>AO123</f>
        <v>0</v>
      </c>
      <c r="CV123" s="55">
        <f>AQ123</f>
        <v>0</v>
      </c>
      <c r="CW123" s="55">
        <f>AS123</f>
        <v>0</v>
      </c>
      <c r="CX123" s="55">
        <f>AU123</f>
        <v>0</v>
      </c>
      <c r="CY123" s="55">
        <f>AW123</f>
        <v>0</v>
      </c>
      <c r="CZ123" s="56">
        <f>AY123</f>
        <v>0</v>
      </c>
      <c r="DA123" s="55">
        <f>BA123</f>
        <v>0</v>
      </c>
      <c r="DB123" s="55">
        <f>BC123</f>
        <v>0</v>
      </c>
      <c r="DC123" s="55">
        <f>BE123</f>
        <v>0</v>
      </c>
      <c r="DD123" s="55">
        <f>BG123</f>
        <v>0</v>
      </c>
      <c r="DE123" s="55">
        <f>BI123</f>
        <v>0</v>
      </c>
      <c r="DF123" s="55">
        <f>BK123</f>
        <v>0</v>
      </c>
      <c r="DG123" s="55">
        <f>BM123</f>
        <v>0</v>
      </c>
      <c r="DH123" s="55">
        <f>BO123</f>
        <v>0</v>
      </c>
      <c r="DI123" s="55">
        <f>BQ123</f>
        <v>0</v>
      </c>
    </row>
    <row r="124" spans="1:113" outlineLevel="1">
      <c r="A124" s="1" t="s">
        <v>876</v>
      </c>
      <c r="B124" s="19" t="s">
        <v>421</v>
      </c>
      <c r="C124" s="53">
        <v>715</v>
      </c>
      <c r="D124" s="53">
        <v>1045</v>
      </c>
      <c r="E124" s="53">
        <v>943</v>
      </c>
      <c r="F124" s="53">
        <v>919</v>
      </c>
      <c r="G124" s="53">
        <v>665</v>
      </c>
      <c r="H124" s="53">
        <v>597</v>
      </c>
      <c r="I124" s="53">
        <v>363</v>
      </c>
      <c r="J124" s="53">
        <v>445</v>
      </c>
      <c r="K124" s="53">
        <v>395</v>
      </c>
      <c r="L124" s="53">
        <f>396</f>
        <v>396</v>
      </c>
      <c r="M124" s="53">
        <v>326</v>
      </c>
      <c r="N124" s="53">
        <v>338</v>
      </c>
      <c r="O124" s="53">
        <v>421</v>
      </c>
      <c r="P124" s="53">
        <v>562</v>
      </c>
      <c r="Q124" s="53">
        <v>683</v>
      </c>
      <c r="R124" s="53">
        <v>2714</v>
      </c>
      <c r="S124" s="53">
        <v>4210</v>
      </c>
      <c r="T124" s="53">
        <v>4823</v>
      </c>
      <c r="U124" s="53">
        <v>5216</v>
      </c>
      <c r="V124" s="53">
        <v>5184</v>
      </c>
      <c r="W124" s="53">
        <v>5297</v>
      </c>
      <c r="X124" s="53">
        <v>4676</v>
      </c>
      <c r="Y124" s="53">
        <v>4687</v>
      </c>
      <c r="Z124" s="53">
        <v>4480</v>
      </c>
      <c r="AA124" s="164">
        <v>4330</v>
      </c>
      <c r="AB124" s="164">
        <v>3939</v>
      </c>
      <c r="AC124" s="164">
        <v>3367</v>
      </c>
      <c r="AD124" s="164">
        <v>3360</v>
      </c>
      <c r="AE124" s="164">
        <v>2855</v>
      </c>
      <c r="AF124" s="164">
        <v>2788</v>
      </c>
      <c r="AG124" s="164">
        <v>3116</v>
      </c>
      <c r="AH124" s="164">
        <v>3375</v>
      </c>
      <c r="AI124" s="164">
        <v>3187</v>
      </c>
      <c r="AJ124" s="164">
        <v>3367</v>
      </c>
      <c r="AK124" s="164">
        <v>3179</v>
      </c>
      <c r="AL124" s="164">
        <v>3560</v>
      </c>
      <c r="AM124" s="164">
        <v>3622</v>
      </c>
      <c r="AN124" s="164">
        <v>3383</v>
      </c>
      <c r="AO124" s="164">
        <v>3548</v>
      </c>
      <c r="AP124" s="164">
        <v>3100</v>
      </c>
      <c r="AQ124" s="164">
        <v>3409</v>
      </c>
      <c r="AR124" s="164">
        <v>3482</v>
      </c>
      <c r="AS124" s="164">
        <v>2951</v>
      </c>
      <c r="AT124" s="164">
        <v>3036</v>
      </c>
      <c r="AU124" s="164">
        <v>3326</v>
      </c>
      <c r="AV124" s="164">
        <v>3237</v>
      </c>
      <c r="AW124" s="164">
        <v>3900</v>
      </c>
      <c r="AX124" s="164">
        <f>10313*((AVERAGE(AU124/SUM(AU124:AU125),AV124/SUM(AV124:AV125),AW124/SUM(AW124:AW125))))</f>
        <v>5223.916583205636</v>
      </c>
      <c r="AY124" s="164">
        <f>11002*((AVERAGE(AV124/SUM(AV124:AV125),AW124/SUM(AW124:AW125),AX124/SUM(AX124:AX125))))</f>
        <v>5518.1195043447078</v>
      </c>
      <c r="AZ124" s="171">
        <f>10469*((AVERAGE(AW124/SUM(AW124:AW125),AX124/SUM(AX124:AX125),AY124/SUM(AY124:AY125))))</f>
        <v>5254.0614038607782</v>
      </c>
      <c r="BA124" s="827">
        <f>[5]CBA!L$264*((AVERAGE(AX124/SUM(AX124:AX125),AY124/SUM(AY124:AY125),AZ124/SUM(AZ124:AZ125))))</f>
        <v>5045.1415346261829</v>
      </c>
      <c r="BB124" s="827">
        <f>[5]CBA!M$264*((AVERAGE(AY124/SUM(AY124:AY125),AZ124/SUM(AZ124:AZ125),BA124/SUM(BA124:BA125))))</f>
        <v>5580.3358384678695</v>
      </c>
      <c r="BC124" s="827">
        <f>[5]CBA!N$264*((AVERAGE(AZ124/SUM(AZ124:AZ125),BA124/SUM(BA124:BA125),BB124/SUM(BB124:BB125))))</f>
        <v>6162.9411640850885</v>
      </c>
      <c r="BD124" s="827">
        <f>[5]CBA!O$264*((AVERAGE(BA124/SUM(BA124:BA125),BB124/SUM(BB124:BB125),BC124/SUM(BC124:BC125))))</f>
        <v>6610.6367365554952</v>
      </c>
      <c r="BE124" s="827">
        <f>[5]CBA!P$264*((AVERAGE(BB124/SUM(BB124:BB125),BC124/SUM(BC124:BC125),BD124/SUM(BD124:BD125))))</f>
        <v>7065.7330806442897</v>
      </c>
      <c r="BF124" s="827">
        <f>[5]CBA!Q$264*((AVERAGE(BC124/SUM(BC124:BC125),BD124/SUM(BD124:BD125),BE124/SUM(BE124:BE125))))</f>
        <v>6925.2701138324555</v>
      </c>
      <c r="BG124" s="827">
        <f>[5]CBA!R$264*((AVERAGE(BD124/SUM(BD124:BD125),BE124/SUM(BE124:BE125),BF124/SUM(BF124:BF125))))</f>
        <v>6757.2338293447292</v>
      </c>
      <c r="BH124" s="827">
        <f>[5]CBA!S$264*((AVERAGE(BE124/SUM(BE124:BE125),BF124/SUM(BF124:BF125),BG124/SUM(BG124:BG125))))</f>
        <v>6578.8983971872303</v>
      </c>
      <c r="BI124" s="827">
        <f>[5]CBA!T$264*((AVERAGE(BF124/SUM(BF124:BF125),BG124/SUM(BG124:BG125),BH124/SUM(BH124:BH125))))</f>
        <v>6371.0878831607806</v>
      </c>
      <c r="BJ124" s="55">
        <f t="shared" ref="BJ124:BM124" si="960">BJ114*(BJ177+BJ179)</f>
        <v>6474.708241738088</v>
      </c>
      <c r="BK124" s="55">
        <f t="shared" si="960"/>
        <v>6595.166719104358</v>
      </c>
      <c r="BL124" s="55">
        <f t="shared" si="960"/>
        <v>6717.9352553674526</v>
      </c>
      <c r="BM124" s="55">
        <f t="shared" si="960"/>
        <v>6843.0589765258555</v>
      </c>
      <c r="BN124" s="55">
        <f t="shared" ref="BN124:BO124" si="961">BN114*(BN177+BN179)</f>
        <v>6970.5838998339887</v>
      </c>
      <c r="BO124" s="55">
        <f t="shared" si="961"/>
        <v>7100.5569515199413</v>
      </c>
      <c r="BP124" s="55">
        <f t="shared" ref="BP124:BQ124" si="962">BP114*(BP177+BP179)</f>
        <v>7233.0259848567448</v>
      </c>
      <c r="BQ124" s="55">
        <f t="shared" si="962"/>
        <v>7368.0397985943755</v>
      </c>
      <c r="BR124" s="55"/>
      <c r="BS124" s="53">
        <v>1956.7</v>
      </c>
      <c r="BT124" s="53">
        <v>2485.4</v>
      </c>
      <c r="BU124" s="53">
        <v>2409.6</v>
      </c>
      <c r="BV124" s="53">
        <v>1642</v>
      </c>
      <c r="BW124" s="53">
        <v>1185</v>
      </c>
      <c r="BX124" s="53">
        <v>906</v>
      </c>
      <c r="BY124" s="53">
        <v>926</v>
      </c>
      <c r="BZ124" s="53">
        <v>657</v>
      </c>
      <c r="CA124" s="53">
        <v>1135</v>
      </c>
      <c r="CB124" s="53">
        <v>717</v>
      </c>
      <c r="CC124" s="55">
        <f>E124</f>
        <v>943</v>
      </c>
      <c r="CD124" s="55">
        <f>G124</f>
        <v>665</v>
      </c>
      <c r="CE124" s="55">
        <f>I124</f>
        <v>363</v>
      </c>
      <c r="CF124" s="55">
        <f>K124</f>
        <v>395</v>
      </c>
      <c r="CG124" s="55">
        <f>M124</f>
        <v>326</v>
      </c>
      <c r="CH124" s="55">
        <f>O124</f>
        <v>421</v>
      </c>
      <c r="CI124" s="55">
        <f>Q124</f>
        <v>683</v>
      </c>
      <c r="CJ124" s="55">
        <f>S124</f>
        <v>4210</v>
      </c>
      <c r="CK124" s="55">
        <f>U124</f>
        <v>5216</v>
      </c>
      <c r="CL124" s="55">
        <f>W124</f>
        <v>5297</v>
      </c>
      <c r="CM124" s="55">
        <f>Y124</f>
        <v>4687</v>
      </c>
      <c r="CN124" s="55">
        <f>AA124</f>
        <v>4330</v>
      </c>
      <c r="CO124" s="55">
        <f>AC124</f>
        <v>3367</v>
      </c>
      <c r="CP124" s="55">
        <f>AE124</f>
        <v>2855</v>
      </c>
      <c r="CQ124" s="55">
        <f>AG124</f>
        <v>3116</v>
      </c>
      <c r="CR124" s="55">
        <f>AI124</f>
        <v>3187</v>
      </c>
      <c r="CS124" s="55">
        <f>AK124</f>
        <v>3179</v>
      </c>
      <c r="CT124" s="55">
        <f>AM124</f>
        <v>3622</v>
      </c>
      <c r="CU124" s="55">
        <f>AO124</f>
        <v>3548</v>
      </c>
      <c r="CV124" s="55">
        <f>AQ124</f>
        <v>3409</v>
      </c>
      <c r="CW124" s="55">
        <f>AS124</f>
        <v>2951</v>
      </c>
      <c r="CX124" s="55">
        <f>AU124</f>
        <v>3326</v>
      </c>
      <c r="CY124" s="55">
        <f>AW124</f>
        <v>3900</v>
      </c>
      <c r="CZ124" s="56">
        <f>AY124</f>
        <v>5518.1195043447078</v>
      </c>
      <c r="DA124" s="55">
        <f>BA124</f>
        <v>5045.1415346261829</v>
      </c>
      <c r="DB124" s="55">
        <f>BC124</f>
        <v>6162.9411640850885</v>
      </c>
      <c r="DC124" s="55">
        <f>BE124</f>
        <v>7065.7330806442897</v>
      </c>
      <c r="DD124" s="55">
        <f>BG124</f>
        <v>6757.2338293447292</v>
      </c>
      <c r="DE124" s="55">
        <f>BI124</f>
        <v>6371.0878831607806</v>
      </c>
      <c r="DF124" s="55">
        <f>BK124</f>
        <v>6595.166719104358</v>
      </c>
      <c r="DG124" s="55">
        <f>BM124</f>
        <v>6843.0589765258555</v>
      </c>
      <c r="DH124" s="55">
        <f>BO124</f>
        <v>7100.5569515199413</v>
      </c>
      <c r="DI124" s="55">
        <f>BQ124</f>
        <v>7368.0397985943755</v>
      </c>
    </row>
    <row r="125" spans="1:113" outlineLevel="1">
      <c r="A125" s="1" t="s">
        <v>877</v>
      </c>
      <c r="B125" s="19" t="s">
        <v>415</v>
      </c>
      <c r="C125" s="53">
        <v>896</v>
      </c>
      <c r="D125" s="53">
        <v>247</v>
      </c>
      <c r="E125" s="53">
        <v>249</v>
      </c>
      <c r="F125" s="53">
        <v>211</v>
      </c>
      <c r="G125" s="53">
        <v>248</v>
      </c>
      <c r="H125" s="53">
        <v>213</v>
      </c>
      <c r="I125" s="53">
        <v>246</v>
      </c>
      <c r="J125" s="53">
        <v>270</v>
      </c>
      <c r="K125" s="53">
        <v>302</v>
      </c>
      <c r="L125" s="53">
        <f>273</f>
        <v>273</v>
      </c>
      <c r="M125" s="181">
        <f>292</f>
        <v>292</v>
      </c>
      <c r="N125" s="181">
        <f>294</f>
        <v>294</v>
      </c>
      <c r="O125" s="53">
        <f>576+394</f>
        <v>970</v>
      </c>
      <c r="P125" s="53">
        <f>466+384</f>
        <v>850</v>
      </c>
      <c r="Q125" s="53">
        <f>700+412</f>
        <v>1112</v>
      </c>
      <c r="R125" s="53">
        <f>1069+665</f>
        <v>1734</v>
      </c>
      <c r="S125" s="53">
        <f>1390+1219</f>
        <v>2609</v>
      </c>
      <c r="T125" s="53">
        <f>1652+1374</f>
        <v>3026</v>
      </c>
      <c r="U125" s="53">
        <f>1727+1622</f>
        <v>3349</v>
      </c>
      <c r="V125" s="53">
        <f>1667+1557</f>
        <v>3224</v>
      </c>
      <c r="W125" s="53">
        <f>1916+1842</f>
        <v>3758</v>
      </c>
      <c r="X125" s="53">
        <f>1513+1578</f>
        <v>3091</v>
      </c>
      <c r="Y125" s="53">
        <f>1422+1455</f>
        <v>2877</v>
      </c>
      <c r="Z125" s="53">
        <f>1315+1324</f>
        <v>2639</v>
      </c>
      <c r="AA125" s="164">
        <f>1111+1104</f>
        <v>2215</v>
      </c>
      <c r="AB125" s="164">
        <f>1290+1322</f>
        <v>2612</v>
      </c>
      <c r="AC125" s="164">
        <f>1212+1141</f>
        <v>2353</v>
      </c>
      <c r="AD125" s="164">
        <f>1126+1025</f>
        <v>2151</v>
      </c>
      <c r="AE125" s="164">
        <f>1258+1065</f>
        <v>2323</v>
      </c>
      <c r="AF125" s="164">
        <f>1050+995</f>
        <v>2045</v>
      </c>
      <c r="AG125" s="164">
        <v>2343</v>
      </c>
      <c r="AH125" s="164">
        <f>1171+1169</f>
        <v>2340</v>
      </c>
      <c r="AI125" s="164">
        <v>2669</v>
      </c>
      <c r="AJ125" s="164">
        <v>2660</v>
      </c>
      <c r="AK125" s="164">
        <v>3216</v>
      </c>
      <c r="AL125" s="164">
        <f>1560+1655</f>
        <v>3215</v>
      </c>
      <c r="AM125" s="164">
        <v>3337</v>
      </c>
      <c r="AN125" s="164">
        <f>1443+1711</f>
        <v>3154</v>
      </c>
      <c r="AO125" s="164">
        <f>1559+1802</f>
        <v>3361</v>
      </c>
      <c r="AP125" s="164">
        <f>1366+1756</f>
        <v>3122</v>
      </c>
      <c r="AQ125" s="164">
        <f>1572+2188</f>
        <v>3760</v>
      </c>
      <c r="AR125" s="164">
        <f>1205+2140</f>
        <v>3345</v>
      </c>
      <c r="AS125" s="164">
        <f>1192+1961</f>
        <v>3153</v>
      </c>
      <c r="AT125" s="164">
        <f>1052+1717</f>
        <v>2769</v>
      </c>
      <c r="AU125" s="164">
        <f>1399+1653</f>
        <v>3052</v>
      </c>
      <c r="AV125" s="164">
        <f>1496+1733</f>
        <v>3229</v>
      </c>
      <c r="AW125" s="164">
        <f>2034+1905</f>
        <v>3939</v>
      </c>
      <c r="AX125" s="164">
        <f>10313-AX124</f>
        <v>5089.083416794364</v>
      </c>
      <c r="AY125" s="164">
        <f>11002-AY124</f>
        <v>5483.8804956552922</v>
      </c>
      <c r="AZ125" s="171">
        <f>10469-AZ124</f>
        <v>5214.9385961392218</v>
      </c>
      <c r="BA125" s="827">
        <f>[5]CBA!L$264-BA124</f>
        <v>4978.5734304453299</v>
      </c>
      <c r="BB125" s="827">
        <f>[5]CBA!M$264-BB124</f>
        <v>5530.374133881588</v>
      </c>
      <c r="BC125" s="827">
        <f>[5]CBA!N$264-BC124</f>
        <v>6102.127715830291</v>
      </c>
      <c r="BD125" s="827">
        <f>[5]CBA!O$264-BD124</f>
        <v>6540.0785863396968</v>
      </c>
      <c r="BE125" s="827">
        <f>[5]CBA!P$264-BE124</f>
        <v>6996.2652778934025</v>
      </c>
      <c r="BF125" s="827">
        <f>[5]CBA!Q$264-BF124</f>
        <v>6855.1565902915809</v>
      </c>
      <c r="BG125" s="827">
        <f>[5]CBA!R$264-BG124</f>
        <v>6688.2434612730676</v>
      </c>
      <c r="BH125" s="827">
        <f>[5]CBA!S$264-BH124</f>
        <v>6512.7457249712379</v>
      </c>
      <c r="BI125" s="827">
        <f>[5]CBA!T$264-BI124</f>
        <v>6306.5499473387663</v>
      </c>
      <c r="BJ125" s="55">
        <f t="shared" ref="BJ125:BM125" si="963">BI125*BJ124/BI124</f>
        <v>6409.1206509475096</v>
      </c>
      <c r="BK125" s="55">
        <f t="shared" si="963"/>
        <v>6528.3589063322197</v>
      </c>
      <c r="BL125" s="55">
        <f t="shared" si="963"/>
        <v>6649.8838201465869</v>
      </c>
      <c r="BM125" s="55">
        <f t="shared" si="963"/>
        <v>6773.7400612711199</v>
      </c>
      <c r="BN125" s="55">
        <f t="shared" ref="BN125" si="964">BM125*BN124/BM124</f>
        <v>6899.9731808140086</v>
      </c>
      <c r="BO125" s="55">
        <f t="shared" ref="BO125" si="965">BN125*BO124/BN124</f>
        <v>7028.6296296493756</v>
      </c>
      <c r="BP125" s="55">
        <f t="shared" ref="BP125" si="966">BO125*BP124/BO124</f>
        <v>7159.7567763054931</v>
      </c>
      <c r="BQ125" s="55">
        <f t="shared" ref="BQ125" si="967">BP125*BQ124/BP124</f>
        <v>7293.4029252100718</v>
      </c>
      <c r="BR125" s="55"/>
      <c r="BS125" s="53">
        <v>754.8</v>
      </c>
      <c r="BT125" s="53">
        <v>1058.3</v>
      </c>
      <c r="BU125" s="53">
        <v>336.5</v>
      </c>
      <c r="BV125" s="53">
        <v>301</v>
      </c>
      <c r="BW125" s="53">
        <v>365</v>
      </c>
      <c r="BX125" s="53">
        <v>304</v>
      </c>
      <c r="BY125" s="53">
        <v>290</v>
      </c>
      <c r="BZ125" s="53">
        <v>205</v>
      </c>
      <c r="CA125" s="53">
        <v>275</v>
      </c>
      <c r="CB125" s="53">
        <v>308</v>
      </c>
      <c r="CC125" s="55">
        <f>E125</f>
        <v>249</v>
      </c>
      <c r="CD125" s="55">
        <f>G125</f>
        <v>248</v>
      </c>
      <c r="CE125" s="55">
        <f>I125</f>
        <v>246</v>
      </c>
      <c r="CF125" s="55">
        <f>K125</f>
        <v>302</v>
      </c>
      <c r="CG125" s="55">
        <f>M125</f>
        <v>292</v>
      </c>
      <c r="CH125" s="55">
        <f>O125</f>
        <v>970</v>
      </c>
      <c r="CI125" s="55">
        <f>Q125</f>
        <v>1112</v>
      </c>
      <c r="CJ125" s="55">
        <f>S125</f>
        <v>2609</v>
      </c>
      <c r="CK125" s="55">
        <f>U125</f>
        <v>3349</v>
      </c>
      <c r="CL125" s="55">
        <f>W125</f>
        <v>3758</v>
      </c>
      <c r="CM125" s="55">
        <f>Y125</f>
        <v>2877</v>
      </c>
      <c r="CN125" s="55">
        <f>AA125</f>
        <v>2215</v>
      </c>
      <c r="CO125" s="55">
        <f>AC125</f>
        <v>2353</v>
      </c>
      <c r="CP125" s="55">
        <f>AE125</f>
        <v>2323</v>
      </c>
      <c r="CQ125" s="55">
        <f>AG125</f>
        <v>2343</v>
      </c>
      <c r="CR125" s="55">
        <f>AI125</f>
        <v>2669</v>
      </c>
      <c r="CS125" s="55">
        <f>AK125</f>
        <v>3216</v>
      </c>
      <c r="CT125" s="55">
        <f>AM125</f>
        <v>3337</v>
      </c>
      <c r="CU125" s="55">
        <f>AO125</f>
        <v>3361</v>
      </c>
      <c r="CV125" s="55">
        <f>AQ125</f>
        <v>3760</v>
      </c>
      <c r="CW125" s="55">
        <f>AS125</f>
        <v>3153</v>
      </c>
      <c r="CX125" s="55">
        <f>AU125</f>
        <v>3052</v>
      </c>
      <c r="CY125" s="55">
        <f>AW125</f>
        <v>3939</v>
      </c>
      <c r="CZ125" s="56">
        <f>AY125</f>
        <v>5483.8804956552922</v>
      </c>
      <c r="DA125" s="55">
        <f>BA125</f>
        <v>4978.5734304453299</v>
      </c>
      <c r="DB125" s="55">
        <f>BC125</f>
        <v>6102.127715830291</v>
      </c>
      <c r="DC125" s="55">
        <f>BE125</f>
        <v>6996.2652778934025</v>
      </c>
      <c r="DD125" s="55">
        <f>BG125</f>
        <v>6688.2434612730676</v>
      </c>
      <c r="DE125" s="55">
        <f>BI125</f>
        <v>6306.5499473387663</v>
      </c>
      <c r="DF125" s="55">
        <f>BK125</f>
        <v>6528.3589063322197</v>
      </c>
      <c r="DG125" s="55">
        <f>BM125</f>
        <v>6773.7400612711199</v>
      </c>
      <c r="DH125" s="55">
        <f>BO125</f>
        <v>7028.6296296493756</v>
      </c>
      <c r="DI125" s="55">
        <f>BQ125</f>
        <v>7293.4029252100718</v>
      </c>
    </row>
    <row r="126" spans="1:113" outlineLevel="1">
      <c r="AD126" s="45"/>
      <c r="AE126" s="45"/>
      <c r="AU126" s="164"/>
      <c r="AV126" s="164"/>
      <c r="AW126" s="164"/>
      <c r="CY126" s="21">
        <f>AW126</f>
        <v>0</v>
      </c>
      <c r="CZ126" s="22"/>
      <c r="DC126" s="21"/>
      <c r="DD126" s="21"/>
      <c r="DE126" s="21"/>
      <c r="DF126" s="21"/>
      <c r="DG126" s="21"/>
      <c r="DH126" s="21"/>
      <c r="DI126" s="21"/>
    </row>
    <row r="127" spans="1:113" outlineLevel="1">
      <c r="B127" s="24" t="s">
        <v>416</v>
      </c>
      <c r="AH127" s="55"/>
      <c r="CZ127" s="22"/>
    </row>
    <row r="128" spans="1:113" outlineLevel="1">
      <c r="A128" s="1" t="s">
        <v>727</v>
      </c>
      <c r="B128" s="19" t="s">
        <v>506</v>
      </c>
      <c r="C128" s="554">
        <v>0.34</v>
      </c>
      <c r="D128" s="554">
        <v>0.3</v>
      </c>
      <c r="E128" s="554">
        <v>0.3</v>
      </c>
      <c r="F128" s="554">
        <v>0.3</v>
      </c>
      <c r="G128" s="554">
        <v>0.3</v>
      </c>
      <c r="H128" s="554">
        <v>0.3</v>
      </c>
      <c r="I128" s="554">
        <v>0.3</v>
      </c>
      <c r="J128" s="554">
        <v>0.3</v>
      </c>
      <c r="K128" s="554">
        <v>0.3</v>
      </c>
      <c r="L128" s="554">
        <v>0.3</v>
      </c>
      <c r="M128" s="65">
        <v>0.3</v>
      </c>
      <c r="N128" s="65">
        <v>0.3</v>
      </c>
      <c r="O128" s="65">
        <v>0.3</v>
      </c>
      <c r="P128" s="65">
        <v>0.3</v>
      </c>
      <c r="Q128" s="65">
        <v>0.3</v>
      </c>
      <c r="R128" s="65">
        <v>0.3</v>
      </c>
      <c r="S128" s="65">
        <v>0.3</v>
      </c>
      <c r="T128" s="66">
        <v>0.3</v>
      </c>
      <c r="U128" s="65">
        <v>0.3</v>
      </c>
      <c r="V128" s="65">
        <v>0.3</v>
      </c>
      <c r="W128" s="65">
        <v>0.3</v>
      </c>
      <c r="X128" s="65">
        <v>0.3</v>
      </c>
      <c r="Y128" s="66">
        <v>0.3</v>
      </c>
      <c r="Z128" s="66">
        <v>0.3</v>
      </c>
      <c r="AA128" s="66">
        <v>0.3</v>
      </c>
      <c r="AB128" s="531">
        <v>0.3</v>
      </c>
      <c r="AC128" s="531">
        <v>0.3</v>
      </c>
      <c r="AD128" s="531">
        <v>0.3</v>
      </c>
      <c r="AE128" s="531">
        <v>0.3</v>
      </c>
      <c r="AF128" s="531">
        <v>0.3</v>
      </c>
      <c r="AG128" s="531">
        <v>0.3</v>
      </c>
      <c r="AH128" s="531">
        <v>0.3</v>
      </c>
      <c r="AI128" s="531">
        <v>0.3</v>
      </c>
      <c r="AJ128" s="531">
        <v>0.3</v>
      </c>
      <c r="AK128" s="531">
        <v>0.3</v>
      </c>
      <c r="AL128" s="531">
        <v>0.3</v>
      </c>
      <c r="AM128" s="531">
        <v>0.3</v>
      </c>
      <c r="AN128" s="531">
        <v>0.3</v>
      </c>
      <c r="AO128" s="531">
        <v>0.3</v>
      </c>
      <c r="AP128" s="531">
        <v>0.3</v>
      </c>
      <c r="AQ128" s="531">
        <v>0.3</v>
      </c>
      <c r="AR128" s="531">
        <v>0.3</v>
      </c>
      <c r="AS128" s="531">
        <v>0.3</v>
      </c>
      <c r="AT128" s="531">
        <v>0.3</v>
      </c>
      <c r="AU128" s="531">
        <v>0.3</v>
      </c>
      <c r="AV128" s="531">
        <v>0.3</v>
      </c>
      <c r="AW128" s="531">
        <v>0.3</v>
      </c>
      <c r="AX128" s="531">
        <v>0.3</v>
      </c>
      <c r="AY128" s="531">
        <v>0.3</v>
      </c>
      <c r="AZ128" s="499">
        <v>0.3</v>
      </c>
      <c r="BA128" s="183">
        <f>VLOOKUP($A128,[3]Sheet1!$2:$65479,MATCH(BA$3,[3]Sheet1!$2:$2,0),FALSE)</f>
        <v>0.3</v>
      </c>
      <c r="BB128" s="183">
        <f>VLOOKUP($A128,[3]Sheet1!$2:$65479,MATCH(BB$3,[3]Sheet1!$2:$2,0),FALSE)</f>
        <v>0.3</v>
      </c>
      <c r="BC128" s="183">
        <f>VLOOKUP($A128,[3]Sheet1!$2:$65479,MATCH(BC$3,[3]Sheet1!$2:$2,0),FALSE)</f>
        <v>0.3</v>
      </c>
      <c r="BD128" s="183">
        <f>VLOOKUP($A128,[3]Sheet1!$2:$65479,MATCH(BD$3,[3]Sheet1!$2:$2,0),FALSE)</f>
        <v>0.3</v>
      </c>
      <c r="BE128" s="183">
        <f>VLOOKUP($A128,[3]Sheet1!$2:$65479,MATCH(BE$3,[3]Sheet1!$2:$2,0),FALSE)</f>
        <v>0.3</v>
      </c>
      <c r="BF128" s="183">
        <f>VLOOKUP($A128,[3]Sheet1!$2:$65479,MATCH(BF$3,[3]Sheet1!$2:$2,0),FALSE)</f>
        <v>0.3</v>
      </c>
      <c r="BG128" s="183">
        <f>VLOOKUP($A128,[3]Sheet1!$2:$65479,MATCH(BG$3,[3]Sheet1!$2:$2,0),FALSE)</f>
        <v>0.3</v>
      </c>
      <c r="BH128" s="183">
        <f>VLOOKUP($A128,[3]Sheet1!$2:$65479,MATCH(BH$3,[3]Sheet1!$2:$2,0),FALSE)</f>
        <v>0.3</v>
      </c>
      <c r="BI128" s="183">
        <f>VLOOKUP($A128,[3]Sheet1!$2:$65479,MATCH(BI$3,[3]Sheet1!$2:$2,0),FALSE)</f>
        <v>0.3</v>
      </c>
      <c r="BJ128" s="183">
        <f>VLOOKUP($A128,[3]Sheet1!$2:$65479,MATCH(BJ$3,[3]Sheet1!$2:$2,0),FALSE)</f>
        <v>0.3</v>
      </c>
      <c r="BK128" s="183">
        <f>VLOOKUP($A128,[3]Sheet1!$2:$65479,MATCH(BK$3,[3]Sheet1!$2:$2,0),FALSE)</f>
        <v>0.3</v>
      </c>
      <c r="BL128" s="551">
        <f>VLOOKUP($A128,[3]Sheet1!$2:$65479,MATCH(BL$3,[3]Sheet1!$2:$2,0),FALSE)</f>
        <v>0.3</v>
      </c>
      <c r="BM128" s="551">
        <f>VLOOKUP($A128,[3]Sheet1!$2:$65479,MATCH(BM$3,[3]Sheet1!$2:$2,0),FALSE)</f>
        <v>0.3</v>
      </c>
      <c r="BN128" s="551">
        <f>VLOOKUP($A128,[3]Sheet1!$2:$65479,MATCH(BN$3,[3]Sheet1!$2:$2,0),FALSE)</f>
        <v>0.3</v>
      </c>
      <c r="BO128" s="551">
        <f>VLOOKUP($A128,[3]Sheet1!$2:$65479,MATCH(BO$3,[3]Sheet1!$2:$2,0),FALSE)</f>
        <v>0.3</v>
      </c>
      <c r="BP128" s="551">
        <f>VLOOKUP($A128,[3]Sheet1!$2:$65479,MATCH(BP$3,[3]Sheet1!$2:$2,0),FALSE)</f>
        <v>0.3</v>
      </c>
      <c r="BQ128" s="551">
        <f>VLOOKUP($A128,[3]Sheet1!$2:$65479,MATCH(BQ$3,[3]Sheet1!$2:$2,0),FALSE)</f>
        <v>0.3</v>
      </c>
      <c r="BR128" s="42"/>
      <c r="BS128" s="554">
        <v>0.33</v>
      </c>
      <c r="BT128" s="554">
        <v>0.33</v>
      </c>
      <c r="BU128" s="554">
        <v>0.33</v>
      </c>
      <c r="BV128" s="554">
        <v>0.33</v>
      </c>
      <c r="BW128" s="554">
        <v>0.36</v>
      </c>
      <c r="BX128" s="554">
        <v>0.36</v>
      </c>
      <c r="BY128" s="554">
        <v>0.36</v>
      </c>
      <c r="BZ128" s="554">
        <v>0.36</v>
      </c>
      <c r="CA128" s="554">
        <v>0.36</v>
      </c>
      <c r="CB128" s="554">
        <v>0.34</v>
      </c>
      <c r="CC128" s="65">
        <v>0.3</v>
      </c>
      <c r="CD128" s="42">
        <f>SUMPRODUCT(F128:G128,F$5:G$5)/SUM(F$5:G$5)</f>
        <v>0.3</v>
      </c>
      <c r="CE128" s="42">
        <f>SUMPRODUCT(H128:I128,H$5:I$5)/SUM(H$5:I$5)</f>
        <v>0.3</v>
      </c>
      <c r="CF128" s="42">
        <f>SUMPRODUCT(J128:K128,J$5:K$5)/SUM(J$5:K$5)</f>
        <v>0.3</v>
      </c>
      <c r="CG128" s="42">
        <f>SUMPRODUCT(L128:M128,L$5:M$5)/SUM(L$5:M$5)</f>
        <v>0.3</v>
      </c>
      <c r="CH128" s="42">
        <f>SUMPRODUCT(N128:O128,N$5:O$5)/SUM(N$5:O$5)</f>
        <v>0.3</v>
      </c>
      <c r="CI128" s="42">
        <f>SUMPRODUCT(P128:Q128,P$5:Q$5)/SUM(P$5:Q$5)</f>
        <v>0.3</v>
      </c>
      <c r="CJ128" s="42">
        <f>SUMPRODUCT(R128:S128,R$5:S$5)/SUM(R$5:S$5)</f>
        <v>0.3</v>
      </c>
      <c r="CK128" s="42">
        <f>SUMPRODUCT(T128:U128,T$5:U$5)/SUM(T$5:U$5)</f>
        <v>0.3</v>
      </c>
      <c r="CL128" s="42">
        <f>SUMPRODUCT(V128:W128,V$5:W$5)/SUM(V$5:W$5)</f>
        <v>0.3</v>
      </c>
      <c r="CM128" s="45">
        <f>SUMPRODUCT(X128:Y128,X$5:Y$5)/SUM(X$5:Y$5)</f>
        <v>0.3</v>
      </c>
      <c r="CN128" s="45">
        <f>SUMPRODUCT(Z128:AA128,Z$5:AA$5)/SUM(Z$5:AA$5)</f>
        <v>0.3</v>
      </c>
      <c r="CO128" s="45">
        <f>SUMPRODUCT(AB128:AC128,AB$5:AC$5)/SUM(AB$5:AC$5)</f>
        <v>0.3</v>
      </c>
      <c r="CP128" s="45">
        <f>SUMPRODUCT(AD128:AE128,AD$5:AE$5)/SUM(AD$5:AE$5)</f>
        <v>0.3</v>
      </c>
      <c r="CQ128" s="45">
        <f>SUMPRODUCT(AF128:AG128,AF$5:AG$5)/SUM(AF$5:AG$5)</f>
        <v>0.3</v>
      </c>
      <c r="CR128" s="45">
        <f>SUMPRODUCT(AH128:AI128,AH$5:AI$5)/SUM(AH$5:AI$5)</f>
        <v>0.3</v>
      </c>
      <c r="CS128" s="45">
        <f>SUMPRODUCT(AJ128:AK128,AJ$5:AK$5)/SUM(AJ$5:AK$5)</f>
        <v>0.3</v>
      </c>
      <c r="CT128" s="45">
        <f>SUMPRODUCT(AL128:AM128,AL$5:AM$5)/SUM(AL$5:AM$5)</f>
        <v>0.3</v>
      </c>
      <c r="CU128" s="45">
        <f>SUMPRODUCT(AN128:AO128,AN$5:AO$5)/SUM(AN$5:AO$5)</f>
        <v>0.3</v>
      </c>
      <c r="CV128" s="45">
        <f>SUMPRODUCT(AP128:AQ128,AP$5:AQ$5)/SUM(AP$5:AQ$5)</f>
        <v>0.3</v>
      </c>
      <c r="CW128" s="45">
        <f>SUMPRODUCT(AR128:AS128,AR$5:AS$5)/SUM(AR$5:AS$5)</f>
        <v>0.3</v>
      </c>
      <c r="CX128" s="45">
        <f>SUMPRODUCT(AT128:AU128,AT$5:AU$5)/SUM(AT$5:AU$5)</f>
        <v>0.3</v>
      </c>
      <c r="CY128" s="45">
        <f>SUMPRODUCT(AV128:AW128,AV$5:AW$5)/SUM(AV$5:AW$5)</f>
        <v>0.3</v>
      </c>
      <c r="CZ128" s="43">
        <f>SUMPRODUCT(AX128:AY128,AX$5:AY$5)/SUM(AX$5:AY$5)</f>
        <v>0.3</v>
      </c>
      <c r="DA128" s="42">
        <f>SUMPRODUCT(AZ128:BA128,AZ$5:BA$5)/SUM(AZ$5:BA$5)</f>
        <v>0.3</v>
      </c>
      <c r="DB128" s="42">
        <f>SUMPRODUCT(BB128:BC128,BB$5:BC$5)/SUM(BB$5:BC$5)</f>
        <v>0.3</v>
      </c>
      <c r="DC128" s="42">
        <f>SUMPRODUCT(BD128:BE128,BD$5:BE$5)/SUM(BD$5:BE$5)</f>
        <v>0.3</v>
      </c>
      <c r="DD128" s="42">
        <f>SUMPRODUCT(BF128:BG128,BF$5:BG$5)/SUM(BF$5:BG$5)</f>
        <v>0.3</v>
      </c>
      <c r="DE128" s="42">
        <f>SUMPRODUCT(BH128:BI128,BH$5:BI$5)/SUM(BH$5:BI$5)</f>
        <v>0.3</v>
      </c>
      <c r="DF128" s="42">
        <f>SUMPRODUCT(BJ128:BK128,BJ$5:BK$5)/SUM(BJ$5:BK$5)</f>
        <v>0.3</v>
      </c>
      <c r="DG128" s="232">
        <f>SUMPRODUCT(BL128:BM128,BL$5:BM$5)/SUM(BL$5:BM$5)</f>
        <v>0.3</v>
      </c>
      <c r="DH128" s="232">
        <f>SUMPRODUCT(BN128:BO128,BN$5:BO$5)/SUM(BN$5:BO$5)</f>
        <v>0.3</v>
      </c>
      <c r="DI128" s="232">
        <f>SUMPRODUCT(BP128:BQ128,BP$5:BQ$5)/SUM(BP$5:BQ$5)</f>
        <v>0.3</v>
      </c>
    </row>
    <row r="129" spans="1:113" outlineLevel="1">
      <c r="A129" s="1" t="s">
        <v>503</v>
      </c>
      <c r="B129" s="19" t="s">
        <v>897</v>
      </c>
      <c r="C129" s="232">
        <f t="shared" ref="C129:L129" si="968">-C497/C483</f>
        <v>0.30151057401812686</v>
      </c>
      <c r="D129" s="232">
        <f t="shared" si="968"/>
        <v>0.28219013237063778</v>
      </c>
      <c r="E129" s="232">
        <f t="shared" si="968"/>
        <v>0.25455580865603644</v>
      </c>
      <c r="F129" s="232">
        <f t="shared" si="968"/>
        <v>0.25431034482758619</v>
      </c>
      <c r="G129" s="232">
        <f t="shared" si="968"/>
        <v>0.28400208441896824</v>
      </c>
      <c r="H129" s="232">
        <f t="shared" si="968"/>
        <v>0.33046286329386437</v>
      </c>
      <c r="I129" s="232">
        <f t="shared" si="968"/>
        <v>0.30740037950664134</v>
      </c>
      <c r="J129" s="232">
        <f t="shared" si="968"/>
        <v>0.28770491803278686</v>
      </c>
      <c r="K129" s="232">
        <f t="shared" si="968"/>
        <v>0.28611898016997167</v>
      </c>
      <c r="L129" s="232">
        <f t="shared" si="968"/>
        <v>0.27180385288966724</v>
      </c>
      <c r="M129" s="42">
        <f t="shared" ref="M129:T129" si="969">-M497/M483</f>
        <v>0.29251940719830627</v>
      </c>
      <c r="N129" s="42">
        <f t="shared" si="969"/>
        <v>0.28247358607830952</v>
      </c>
      <c r="O129" s="42">
        <f t="shared" si="969"/>
        <v>0.27998717126363054</v>
      </c>
      <c r="P129" s="42">
        <f t="shared" si="969"/>
        <v>0.27382753403933435</v>
      </c>
      <c r="Q129" s="42">
        <f t="shared" si="969"/>
        <v>0.23371150729335494</v>
      </c>
      <c r="R129" s="42">
        <f t="shared" si="969"/>
        <v>0.23790642347343377</v>
      </c>
      <c r="S129" s="42">
        <f t="shared" si="969"/>
        <v>0.27447447447447448</v>
      </c>
      <c r="T129" s="45">
        <f t="shared" si="969"/>
        <v>0.26948775055679286</v>
      </c>
      <c r="U129" s="42">
        <f t="shared" ref="U129:Z129" si="970">-U497/U483</f>
        <v>0.27107323813910639</v>
      </c>
      <c r="V129" s="42">
        <f t="shared" si="970"/>
        <v>0.27446300715990452</v>
      </c>
      <c r="W129" s="42">
        <f t="shared" si="970"/>
        <v>0.28120516499282638</v>
      </c>
      <c r="X129" s="42">
        <f t="shared" si="970"/>
        <v>0.27692617991125451</v>
      </c>
      <c r="Y129" s="45">
        <f t="shared" si="970"/>
        <v>0.27776645608314654</v>
      </c>
      <c r="Z129" s="45">
        <f t="shared" si="970"/>
        <v>0.27814060699193238</v>
      </c>
      <c r="AA129" s="45">
        <f t="shared" ref="AA129:AK129" si="971">-AA497/AA483</f>
        <v>0.27249683143219267</v>
      </c>
      <c r="AB129" s="45">
        <f t="shared" si="971"/>
        <v>0.27979797979797982</v>
      </c>
      <c r="AC129" s="45">
        <f t="shared" si="971"/>
        <v>0.26427026127475456</v>
      </c>
      <c r="AD129" s="45">
        <f t="shared" si="971"/>
        <v>0.27302683194727756</v>
      </c>
      <c r="AE129" s="45">
        <f t="shared" si="971"/>
        <v>0.27297557840616965</v>
      </c>
      <c r="AF129" s="45">
        <f t="shared" si="971"/>
        <v>0.27490219681011135</v>
      </c>
      <c r="AG129" s="45">
        <f t="shared" si="971"/>
        <v>0.27530806426454529</v>
      </c>
      <c r="AH129" s="45">
        <f t="shared" si="971"/>
        <v>0.28467908902691513</v>
      </c>
      <c r="AI129" s="45">
        <f t="shared" si="971"/>
        <v>0.28453120378586216</v>
      </c>
      <c r="AJ129" s="45">
        <f t="shared" si="971"/>
        <v>0.30210701834167047</v>
      </c>
      <c r="AK129" s="45">
        <f t="shared" si="971"/>
        <v>0.30827067669172931</v>
      </c>
      <c r="AL129" s="45">
        <f t="shared" ref="AL129:AQ129" si="972">-AL497/AL483</f>
        <v>0.2848874687926411</v>
      </c>
      <c r="AM129" s="45">
        <f t="shared" si="972"/>
        <v>0.29050515579018532</v>
      </c>
      <c r="AN129" s="45">
        <f t="shared" si="972"/>
        <v>0.29308936448292761</v>
      </c>
      <c r="AO129" s="45">
        <f t="shared" si="972"/>
        <v>0.29762481822588466</v>
      </c>
      <c r="AP129" s="45">
        <f t="shared" si="972"/>
        <v>0.29518950437317787</v>
      </c>
      <c r="AQ129" s="45">
        <f t="shared" si="972"/>
        <v>0.29163582531458176</v>
      </c>
      <c r="AR129" s="45">
        <f t="shared" ref="AR129" si="973">-AR497/AR483</f>
        <v>0.29079497907949792</v>
      </c>
      <c r="AS129" s="45">
        <f t="shared" ref="AS129:AT129" si="974">-AS497/AS483</f>
        <v>0.29988449321397631</v>
      </c>
      <c r="AT129" s="45">
        <f t="shared" si="974"/>
        <v>0.29418176863332879</v>
      </c>
      <c r="AU129" s="45">
        <f t="shared" ref="AU129:AV129" si="975">-AU497/AU483</f>
        <v>0.28374816983894585</v>
      </c>
      <c r="AV129" s="45">
        <f t="shared" si="975"/>
        <v>0.30513636992939219</v>
      </c>
      <c r="AW129" s="45">
        <f t="shared" ref="AW129:AY129" si="976">-AW497/AW483</f>
        <v>0.30500649256961476</v>
      </c>
      <c r="AX129" s="45">
        <f t="shared" si="976"/>
        <v>0.30695476029709656</v>
      </c>
      <c r="AY129" s="45">
        <f t="shared" si="976"/>
        <v>0.3022621967838649</v>
      </c>
      <c r="AZ129" s="43">
        <f t="shared" ref="AZ129" si="977">-AZ497/AZ483</f>
        <v>0.30299539170506912</v>
      </c>
      <c r="BA129" s="46">
        <v>0.29699999999999999</v>
      </c>
      <c r="BB129" s="46">
        <v>0.3</v>
      </c>
      <c r="BC129" s="46">
        <f t="shared" ref="BC129:BE129" si="978">BB129</f>
        <v>0.3</v>
      </c>
      <c r="BD129" s="46">
        <f t="shared" si="978"/>
        <v>0.3</v>
      </c>
      <c r="BE129" s="46">
        <f t="shared" si="978"/>
        <v>0.3</v>
      </c>
      <c r="BF129" s="46">
        <f t="shared" ref="BF129:BM129" si="979">BE129</f>
        <v>0.3</v>
      </c>
      <c r="BG129" s="46">
        <f t="shared" si="979"/>
        <v>0.3</v>
      </c>
      <c r="BH129" s="46">
        <f t="shared" si="979"/>
        <v>0.3</v>
      </c>
      <c r="BI129" s="46">
        <f t="shared" si="979"/>
        <v>0.3</v>
      </c>
      <c r="BJ129" s="46">
        <f t="shared" si="979"/>
        <v>0.3</v>
      </c>
      <c r="BK129" s="46">
        <f t="shared" si="979"/>
        <v>0.3</v>
      </c>
      <c r="BL129" s="511">
        <f t="shared" si="979"/>
        <v>0.3</v>
      </c>
      <c r="BM129" s="511">
        <f t="shared" si="979"/>
        <v>0.3</v>
      </c>
      <c r="BN129" s="511">
        <f t="shared" ref="BN129" si="980">BM129</f>
        <v>0.3</v>
      </c>
      <c r="BO129" s="511">
        <f t="shared" ref="BO129" si="981">BN129</f>
        <v>0.3</v>
      </c>
      <c r="BP129" s="511">
        <f t="shared" ref="BP129" si="982">BO129</f>
        <v>0.3</v>
      </c>
      <c r="BQ129" s="511">
        <f t="shared" ref="BQ129" si="983">BP129</f>
        <v>0.3</v>
      </c>
      <c r="BR129" s="42"/>
      <c r="BS129" s="232">
        <f t="shared" ref="BS129:CB129" si="984">-BS497/BS483</f>
        <v>0.37065052950075644</v>
      </c>
      <c r="BT129" s="232">
        <f t="shared" si="984"/>
        <v>0.37671957671957673</v>
      </c>
      <c r="BU129" s="232">
        <f t="shared" si="984"/>
        <v>0.3396584440227704</v>
      </c>
      <c r="BV129" s="232">
        <f t="shared" si="984"/>
        <v>0.32370321733420881</v>
      </c>
      <c r="BW129" s="232">
        <f t="shared" si="984"/>
        <v>0.35754504504504503</v>
      </c>
      <c r="BX129" s="232">
        <f t="shared" si="984"/>
        <v>0.31629908552985475</v>
      </c>
      <c r="BY129" s="232">
        <f t="shared" si="984"/>
        <v>0.32737487231869256</v>
      </c>
      <c r="BZ129" s="232">
        <f t="shared" si="984"/>
        <v>0.323516085183507</v>
      </c>
      <c r="CA129" s="232">
        <f t="shared" si="984"/>
        <v>0.32334384858044163</v>
      </c>
      <c r="CB129" s="232">
        <f t="shared" si="984"/>
        <v>0.30376261853777914</v>
      </c>
      <c r="CC129" s="42">
        <f t="shared" ref="CC129:CR129" si="985">-CC497/SUM(CC381,CC408,CC443,CC472)</f>
        <v>0.2679929783499122</v>
      </c>
      <c r="CD129" s="42">
        <f t="shared" si="985"/>
        <v>0.27039232289020604</v>
      </c>
      <c r="CE129" s="42">
        <f t="shared" si="985"/>
        <v>0.31820474029248613</v>
      </c>
      <c r="CF129" s="42">
        <f t="shared" si="985"/>
        <v>0.28690694359600893</v>
      </c>
      <c r="CG129" s="42">
        <f t="shared" si="985"/>
        <v>0.28212339602742131</v>
      </c>
      <c r="CH129" s="42">
        <f t="shared" si="985"/>
        <v>0.28125</v>
      </c>
      <c r="CI129" s="42">
        <f t="shared" si="985"/>
        <v>0.25446009389671359</v>
      </c>
      <c r="CJ129" s="42">
        <f t="shared" si="985"/>
        <v>0.25871496924128501</v>
      </c>
      <c r="CK129" s="42">
        <f t="shared" si="985"/>
        <v>0.27030895860670406</v>
      </c>
      <c r="CL129" s="42">
        <f t="shared" si="985"/>
        <v>0.2779300168634064</v>
      </c>
      <c r="CM129" s="45">
        <f t="shared" si="985"/>
        <v>0.27734414597060314</v>
      </c>
      <c r="CN129" s="45">
        <f t="shared" si="985"/>
        <v>0.27523534346164602</v>
      </c>
      <c r="CO129" s="45">
        <f t="shared" si="985"/>
        <v>0.27198928780651099</v>
      </c>
      <c r="CP129" s="45">
        <f t="shared" si="985"/>
        <v>0.27300150829562592</v>
      </c>
      <c r="CQ129" s="45">
        <f t="shared" si="985"/>
        <v>0.27510147813433405</v>
      </c>
      <c r="CR129" s="45">
        <f t="shared" si="985"/>
        <v>0.28460514640638862</v>
      </c>
      <c r="CS129" s="45">
        <f t="shared" ref="CS129:DC129" si="986">-CS497/SUM(CS381,CS408,CS443,CS472)</f>
        <v>0.30510585305105853</v>
      </c>
      <c r="CT129" s="45">
        <f t="shared" si="986"/>
        <v>0.28743292366280077</v>
      </c>
      <c r="CU129" s="45">
        <f t="shared" si="986"/>
        <v>0.29491558504928272</v>
      </c>
      <c r="CV129" s="45">
        <f t="shared" si="986"/>
        <v>0.29322878379482153</v>
      </c>
      <c r="CW129" s="45">
        <f t="shared" si="986"/>
        <v>0.29541782934351596</v>
      </c>
      <c r="CX129" s="45">
        <f t="shared" si="986"/>
        <v>0.28915237490295714</v>
      </c>
      <c r="CY129" s="45">
        <f t="shared" si="986"/>
        <v>0.30507277094814189</v>
      </c>
      <c r="CZ129" s="43">
        <f t="shared" si="986"/>
        <v>0.30461914128739065</v>
      </c>
      <c r="DA129" s="42">
        <f t="shared" si="986"/>
        <v>0.29996160544896333</v>
      </c>
      <c r="DB129" s="42">
        <f t="shared" si="986"/>
        <v>0.3</v>
      </c>
      <c r="DC129" s="42">
        <f t="shared" si="986"/>
        <v>0.3</v>
      </c>
      <c r="DD129" s="42">
        <f t="shared" ref="DD129:DI129" si="987">-DD497/SUM(DD381,DD408,DD443,DD472)</f>
        <v>0.3000000000000001</v>
      </c>
      <c r="DE129" s="42">
        <f t="shared" si="987"/>
        <v>0.30000000000000004</v>
      </c>
      <c r="DF129" s="42">
        <f t="shared" si="987"/>
        <v>0.29999999999999988</v>
      </c>
      <c r="DG129" s="232">
        <f t="shared" si="987"/>
        <v>0.3</v>
      </c>
      <c r="DH129" s="232">
        <f t="shared" si="987"/>
        <v>0.30000000000000004</v>
      </c>
      <c r="DI129" s="232">
        <f t="shared" si="987"/>
        <v>0.30000000000000004</v>
      </c>
    </row>
    <row r="130" spans="1:113" outlineLevel="1">
      <c r="A130" s="1" t="s">
        <v>898</v>
      </c>
      <c r="B130" s="19" t="s">
        <v>505</v>
      </c>
      <c r="C130" s="232">
        <f t="shared" ref="C130:L130" si="988">-(C497-C502)/SUM(C387,C414,C449,C478)</f>
        <v>0.30151057401812686</v>
      </c>
      <c r="D130" s="232">
        <f t="shared" si="988"/>
        <v>0.28219013237063778</v>
      </c>
      <c r="E130" s="232">
        <f t="shared" si="988"/>
        <v>0.25455580865603644</v>
      </c>
      <c r="F130" s="232">
        <f t="shared" si="988"/>
        <v>0.25431034482758619</v>
      </c>
      <c r="G130" s="232">
        <f t="shared" si="988"/>
        <v>0.28400208441896824</v>
      </c>
      <c r="H130" s="232">
        <f t="shared" si="988"/>
        <v>0.33046286329386437</v>
      </c>
      <c r="I130" s="232">
        <f t="shared" si="988"/>
        <v>0.30740037950664134</v>
      </c>
      <c r="J130" s="232">
        <f t="shared" si="988"/>
        <v>0.28770491803278686</v>
      </c>
      <c r="K130" s="232">
        <f t="shared" si="988"/>
        <v>0.28611898016997167</v>
      </c>
      <c r="L130" s="232">
        <f t="shared" si="988"/>
        <v>0.27180385288966724</v>
      </c>
      <c r="M130" s="42">
        <f t="shared" ref="M130:AC130" si="989">-(M497-M502)/SUM(M387,M414,M449,M478)</f>
        <v>0.29251940719830627</v>
      </c>
      <c r="N130" s="42">
        <f t="shared" si="989"/>
        <v>0.28247358607830952</v>
      </c>
      <c r="O130" s="42">
        <f t="shared" si="989"/>
        <v>0.27998717126363054</v>
      </c>
      <c r="P130" s="42">
        <f t="shared" si="989"/>
        <v>0.27382753403933435</v>
      </c>
      <c r="Q130" s="42">
        <f t="shared" si="989"/>
        <v>0.23371150729335494</v>
      </c>
      <c r="R130" s="42">
        <f t="shared" si="989"/>
        <v>0.23790642347343377</v>
      </c>
      <c r="S130" s="42">
        <f t="shared" si="989"/>
        <v>0.27447447447447448</v>
      </c>
      <c r="T130" s="45">
        <f t="shared" si="989"/>
        <v>0.26948775055679286</v>
      </c>
      <c r="U130" s="42">
        <f t="shared" si="989"/>
        <v>0.27107323813910639</v>
      </c>
      <c r="V130" s="42">
        <f t="shared" si="989"/>
        <v>0.27446300715990452</v>
      </c>
      <c r="W130" s="42">
        <f t="shared" si="989"/>
        <v>0.28120516499282638</v>
      </c>
      <c r="X130" s="42">
        <f t="shared" si="989"/>
        <v>0.27692617991125451</v>
      </c>
      <c r="Y130" s="45">
        <f>-(Y497-Y502)/SUM(Y387,Y414,Y449,Y478)</f>
        <v>0.27776645608314654</v>
      </c>
      <c r="Z130" s="45">
        <f>-(Z497-Z502)/SUM(Z387,Z414,Z449,Z478)</f>
        <v>0.27814060699193238</v>
      </c>
      <c r="AA130" s="45">
        <f>-(AA497-AA502)/SUM(AA387,AA414,AA449,AA478)</f>
        <v>0.27249683143219267</v>
      </c>
      <c r="AB130" s="45">
        <f>-(AB497-AB502)/SUM(AB387,AB414,AB449,AB478)</f>
        <v>0.27979797979797982</v>
      </c>
      <c r="AC130" s="45">
        <f t="shared" si="989"/>
        <v>0.26427026127475456</v>
      </c>
      <c r="AD130" s="45">
        <f t="shared" ref="AD130:AK130" si="990">-(AD497-AD502)/SUM(AD387,AD414,AD449,AD478)</f>
        <v>0.27302683194727756</v>
      </c>
      <c r="AE130" s="45">
        <f t="shared" si="990"/>
        <v>0.27297557840616965</v>
      </c>
      <c r="AF130" s="45">
        <f t="shared" si="990"/>
        <v>0.27490219681011135</v>
      </c>
      <c r="AG130" s="45">
        <f t="shared" si="990"/>
        <v>0.27530806426454529</v>
      </c>
      <c r="AH130" s="45">
        <f t="shared" si="990"/>
        <v>0.28467908902691513</v>
      </c>
      <c r="AI130" s="45">
        <f t="shared" si="990"/>
        <v>0.28453120378586216</v>
      </c>
      <c r="AJ130" s="45">
        <f t="shared" si="990"/>
        <v>0.30210701834167047</v>
      </c>
      <c r="AK130" s="45">
        <f t="shared" si="990"/>
        <v>0.30827067669172931</v>
      </c>
      <c r="AL130" s="45">
        <f t="shared" ref="AL130:AQ130" si="991">-(AL497-AL502)/SUM(AL387,AL414,AL449,AL478)</f>
        <v>0.2848874687926411</v>
      </c>
      <c r="AM130" s="45">
        <f t="shared" si="991"/>
        <v>0.29050515579018532</v>
      </c>
      <c r="AN130" s="45">
        <f t="shared" si="991"/>
        <v>0.29308936448292761</v>
      </c>
      <c r="AO130" s="45">
        <f t="shared" si="991"/>
        <v>0.29762481822588466</v>
      </c>
      <c r="AP130" s="45">
        <f t="shared" si="991"/>
        <v>0.29518950437317787</v>
      </c>
      <c r="AQ130" s="45">
        <f t="shared" si="991"/>
        <v>0.29163582531458176</v>
      </c>
      <c r="AR130" s="45">
        <f t="shared" ref="AR130" si="992">-(AR497-AR502)/SUM(AR387,AR414,AR449,AR478)</f>
        <v>0.29079497907949792</v>
      </c>
      <c r="AS130" s="45">
        <f t="shared" ref="AS130" si="993">-(AS497-AS502)/SUM(AS387,AS414,AS449,AS478)</f>
        <v>0.29988449321397631</v>
      </c>
      <c r="AT130" s="45">
        <f t="shared" ref="AT130:AU130" si="994">-(AT497-AT502)/SUM(AT387,AT414,AT449,AT478)</f>
        <v>0.29418176863332879</v>
      </c>
      <c r="AU130" s="45">
        <f t="shared" si="994"/>
        <v>0.28374816983894585</v>
      </c>
      <c r="AV130" s="45">
        <f t="shared" ref="AV130:AW130" si="995">-(AV497-AV502)/SUM(AV387,AV414,AV449,AV478)</f>
        <v>0.30513636992939219</v>
      </c>
      <c r="AW130" s="45">
        <f t="shared" si="995"/>
        <v>0.30500649256961476</v>
      </c>
      <c r="AX130" s="45">
        <f t="shared" ref="AX130:AZ130" si="996">-(AX497-AX502)/SUM(AX387,AX414,AX449,AX478)</f>
        <v>0.30695476029709656</v>
      </c>
      <c r="AY130" s="45">
        <f t="shared" ref="AY130:BM130" si="997">-(AY497-AY502)/SUM(AY387,AY414,AY449,AY478)</f>
        <v>0.3022621967838649</v>
      </c>
      <c r="AZ130" s="43">
        <f t="shared" si="996"/>
        <v>0.30299539170506912</v>
      </c>
      <c r="BA130" s="42">
        <f t="shared" si="997"/>
        <v>0.29699999999999999</v>
      </c>
      <c r="BB130" s="42">
        <f t="shared" si="997"/>
        <v>0.3</v>
      </c>
      <c r="BC130" s="42">
        <f t="shared" si="997"/>
        <v>0.3</v>
      </c>
      <c r="BD130" s="42">
        <f t="shared" si="997"/>
        <v>0.3</v>
      </c>
      <c r="BE130" s="42">
        <f t="shared" si="997"/>
        <v>0.3</v>
      </c>
      <c r="BF130" s="42">
        <f t="shared" si="997"/>
        <v>0.3</v>
      </c>
      <c r="BG130" s="42">
        <f t="shared" si="997"/>
        <v>0.3</v>
      </c>
      <c r="BH130" s="42">
        <f t="shared" si="997"/>
        <v>0.3</v>
      </c>
      <c r="BI130" s="42">
        <f t="shared" si="997"/>
        <v>0.3</v>
      </c>
      <c r="BJ130" s="42">
        <f t="shared" si="997"/>
        <v>0.3</v>
      </c>
      <c r="BK130" s="42">
        <f t="shared" si="997"/>
        <v>0.3</v>
      </c>
      <c r="BL130" s="42">
        <f t="shared" si="997"/>
        <v>0.3</v>
      </c>
      <c r="BM130" s="42">
        <f t="shared" si="997"/>
        <v>0.3</v>
      </c>
      <c r="BN130" s="42">
        <f t="shared" ref="BN130:BO130" si="998">-(BN497-BN502)/SUM(BN387,BN414,BN449,BN478)</f>
        <v>0.3</v>
      </c>
      <c r="BO130" s="42">
        <f t="shared" si="998"/>
        <v>0.3</v>
      </c>
      <c r="BP130" s="42">
        <f t="shared" ref="BP130:BQ130" si="999">-(BP497-BP502)/SUM(BP387,BP414,BP449,BP478)</f>
        <v>0.3</v>
      </c>
      <c r="BQ130" s="42">
        <f t="shared" si="999"/>
        <v>0.3</v>
      </c>
      <c r="BR130" s="42"/>
      <c r="BS130" s="232">
        <f t="shared" ref="BS130:CB130" si="1000">-(BS497-BS502)/SUM(BS387,BS414,BS449,BS478)</f>
        <v>0.37065052950075644</v>
      </c>
      <c r="BT130" s="232">
        <f t="shared" si="1000"/>
        <v>0.37671957671957673</v>
      </c>
      <c r="BU130" s="232">
        <f t="shared" si="1000"/>
        <v>0.3396584440227704</v>
      </c>
      <c r="BV130" s="232">
        <f t="shared" si="1000"/>
        <v>0.32370321733420881</v>
      </c>
      <c r="BW130" s="232">
        <f t="shared" si="1000"/>
        <v>0.35754504504504503</v>
      </c>
      <c r="BX130" s="232">
        <f t="shared" si="1000"/>
        <v>0.31629908552985475</v>
      </c>
      <c r="BY130" s="232">
        <f t="shared" si="1000"/>
        <v>0.32737487231869256</v>
      </c>
      <c r="BZ130" s="232">
        <f t="shared" si="1000"/>
        <v>0.323516085183507</v>
      </c>
      <c r="CA130" s="232">
        <f t="shared" si="1000"/>
        <v>0.32334384858044163</v>
      </c>
      <c r="CB130" s="232">
        <f t="shared" si="1000"/>
        <v>0.30376261853777914</v>
      </c>
      <c r="CC130" s="42">
        <f t="shared" ref="CC130:CR130" si="1001">-(CC497-CC502)/SUM(CC387,CC414,CC449,CC478)</f>
        <v>0.2679929783499122</v>
      </c>
      <c r="CD130" s="42">
        <f t="shared" si="1001"/>
        <v>0.27039232289020604</v>
      </c>
      <c r="CE130" s="42">
        <f t="shared" si="1001"/>
        <v>0.31820474029248613</v>
      </c>
      <c r="CF130" s="42">
        <f t="shared" si="1001"/>
        <v>0.28690694359600893</v>
      </c>
      <c r="CG130" s="42">
        <f t="shared" si="1001"/>
        <v>0.28212339602742131</v>
      </c>
      <c r="CH130" s="42">
        <f t="shared" si="1001"/>
        <v>0.28125</v>
      </c>
      <c r="CI130" s="42">
        <f t="shared" si="1001"/>
        <v>0.25446009389671359</v>
      </c>
      <c r="CJ130" s="42">
        <f t="shared" si="1001"/>
        <v>0.25871496924128501</v>
      </c>
      <c r="CK130" s="42">
        <f t="shared" si="1001"/>
        <v>0.27030895860670406</v>
      </c>
      <c r="CL130" s="42">
        <f t="shared" si="1001"/>
        <v>0.2779300168634064</v>
      </c>
      <c r="CM130" s="45">
        <f t="shared" si="1001"/>
        <v>0.27734414597060314</v>
      </c>
      <c r="CN130" s="45">
        <f t="shared" si="1001"/>
        <v>0.27523534346164602</v>
      </c>
      <c r="CO130" s="45">
        <f t="shared" si="1001"/>
        <v>0.27198928780651099</v>
      </c>
      <c r="CP130" s="45">
        <f t="shared" si="1001"/>
        <v>0.27300150829562592</v>
      </c>
      <c r="CQ130" s="45">
        <f t="shared" si="1001"/>
        <v>0.27510147813433405</v>
      </c>
      <c r="CR130" s="45">
        <f t="shared" si="1001"/>
        <v>0.28460514640638862</v>
      </c>
      <c r="CS130" s="45">
        <f t="shared" ref="CS130:DC130" si="1002">-(CS497-CS502)/SUM(CS387,CS414,CS449,CS478)</f>
        <v>0.30510585305105853</v>
      </c>
      <c r="CT130" s="45">
        <f t="shared" si="1002"/>
        <v>0.28743292366280077</v>
      </c>
      <c r="CU130" s="45">
        <f t="shared" si="1002"/>
        <v>0.29491558504928272</v>
      </c>
      <c r="CV130" s="45">
        <f t="shared" si="1002"/>
        <v>0.29322878379482153</v>
      </c>
      <c r="CW130" s="45">
        <f t="shared" si="1002"/>
        <v>0.29541782934351596</v>
      </c>
      <c r="CX130" s="45">
        <f t="shared" si="1002"/>
        <v>0.28915237490295714</v>
      </c>
      <c r="CY130" s="45">
        <f t="shared" si="1002"/>
        <v>0.30507277094814189</v>
      </c>
      <c r="CZ130" s="43">
        <f t="shared" si="1002"/>
        <v>0.30461914128739065</v>
      </c>
      <c r="DA130" s="42">
        <f t="shared" si="1002"/>
        <v>0.29996160544896333</v>
      </c>
      <c r="DB130" s="42">
        <f t="shared" si="1002"/>
        <v>0.3</v>
      </c>
      <c r="DC130" s="42">
        <f t="shared" si="1002"/>
        <v>0.3</v>
      </c>
      <c r="DD130" s="42">
        <f t="shared" ref="DD130:DI130" si="1003">-(DD497-DD502)/SUM(DD387,DD414,DD449,DD478)</f>
        <v>0.3000000000000001</v>
      </c>
      <c r="DE130" s="42">
        <f t="shared" si="1003"/>
        <v>0.30000000000000004</v>
      </c>
      <c r="DF130" s="42">
        <f t="shared" si="1003"/>
        <v>0.29999999999999988</v>
      </c>
      <c r="DG130" s="232">
        <f t="shared" si="1003"/>
        <v>0.3</v>
      </c>
      <c r="DH130" s="232">
        <f t="shared" si="1003"/>
        <v>0.30000000000000004</v>
      </c>
      <c r="DI130" s="232">
        <f t="shared" si="1003"/>
        <v>0.30000000000000004</v>
      </c>
    </row>
    <row r="131" spans="1:113" outlineLevel="1">
      <c r="A131" s="1" t="s">
        <v>763</v>
      </c>
      <c r="B131" s="19" t="s">
        <v>764</v>
      </c>
      <c r="C131" s="232" t="e">
        <f>(B137-C137+SUM(C553)*C128/(1-C128))/(SUM(C509)-SUM(C498)-SUM(C499))</f>
        <v>#VALUE!</v>
      </c>
      <c r="D131" s="232">
        <f>(C137-D137+SUM(D553)*D128/(1-D128))/(SUM(D509)-SUM(D498)-SUM(D499))</f>
        <v>0</v>
      </c>
      <c r="E131" s="232">
        <f t="shared" ref="E131:L131" si="1004">(D137-E137+SUM(E553)*E128/(1-E128))/(SUM(E509)-SUM(E498)-SUM(E499))</f>
        <v>0.93069767441860463</v>
      </c>
      <c r="F131" s="232">
        <f t="shared" si="1004"/>
        <v>0.58655034532897132</v>
      </c>
      <c r="G131" s="232">
        <f t="shared" si="1004"/>
        <v>1.1692517006802721</v>
      </c>
      <c r="H131" s="232">
        <f t="shared" si="1004"/>
        <v>0.60322981366459638</v>
      </c>
      <c r="I131" s="232">
        <f t="shared" si="1004"/>
        <v>0.51462701121404186</v>
      </c>
      <c r="J131" s="232">
        <f t="shared" si="1004"/>
        <v>0.52304147465437789</v>
      </c>
      <c r="K131" s="232">
        <f t="shared" si="1004"/>
        <v>1.1122027903320888</v>
      </c>
      <c r="L131" s="489">
        <f t="shared" si="1004"/>
        <v>0.68029350104821806</v>
      </c>
      <c r="M131" s="67">
        <f>(L137-M137+SUM(M553)*M128/(1-M128))/(SUM(M509)-SUM(M498)-SUM(M499))</f>
        <v>0.41316822712171553</v>
      </c>
      <c r="N131" s="67">
        <f>(M137-N137+SUM(N553)*N128/(1-N128))/(SUM(N509)-SUM(N498)-SUM(N499))</f>
        <v>0.69684981684981684</v>
      </c>
      <c r="O131" s="67">
        <f>(N137-O137+SUM(O553)*O128/(1-O128))/(SUM(O509)-SUM(O498)-SUM(O499))</f>
        <v>1.2878338278931751</v>
      </c>
      <c r="P131" s="67">
        <f>(O137-P137+SUM(P553)*P128/(1-P128))/(SUM(P509)-SUM(P498)-SUM(P499))</f>
        <v>0.93808484092326883</v>
      </c>
      <c r="Q131" s="67">
        <f>(P137-Q137+SUM(Q553)*Q128/(1-Q128))/(SUM(Q509)-SUM(Q498)-SUM(Q499))</f>
        <v>1.2442887602802315</v>
      </c>
      <c r="R131" s="67">
        <f t="shared" ref="R131:Y131" si="1005">(Q137-R137+SUM(R553)*R128/(1-R128))/(SUM(R509)-SUM(R498)-SUM(R499))</f>
        <v>1.1546193327630454</v>
      </c>
      <c r="S131" s="67">
        <f t="shared" si="1005"/>
        <v>0.98116816242459914</v>
      </c>
      <c r="T131" s="67">
        <f t="shared" si="1005"/>
        <v>0.18631436314363142</v>
      </c>
      <c r="U131" s="67">
        <f t="shared" si="1005"/>
        <v>1.3438672438672441</v>
      </c>
      <c r="V131" s="67">
        <f t="shared" si="1005"/>
        <v>0.86555978323532812</v>
      </c>
      <c r="W131" s="67">
        <f t="shared" si="1005"/>
        <v>0.82263124869274218</v>
      </c>
      <c r="X131" s="67">
        <f t="shared" si="1005"/>
        <v>0.6060267857142857</v>
      </c>
      <c r="Y131" s="67">
        <f t="shared" si="1005"/>
        <v>0.92288961038961037</v>
      </c>
      <c r="Z131" s="67">
        <f>(Y137-Z137+SUM(Z553)*Z128/(1-Z128))/(SUM(Z509)-SUM(Z498)-SUM(Z499))</f>
        <v>0.80218281036834926</v>
      </c>
      <c r="AA131" s="489">
        <f>(Z137-AA137-SUM(AA543*AA135)*AA128/(1-AA128)*AA138)/(SUM(AA509)-SUM(AA498)-SUM(AA499))</f>
        <v>1.1220692928334124</v>
      </c>
      <c r="AB131" s="489">
        <f>(AA137-AB137-SUM(AB543*AB135)*AB128/(1-AB128)*AB138)/(SUM(AB509)-SUM(AB498)-SUM(AB499))</f>
        <v>0.81866780383795312</v>
      </c>
      <c r="AC131" s="489">
        <f>(AB137-AC137-SUM(AC543*AC135)*AC128/(1-AC128)*AC138)/(SUM(AC509)-SUM(AC498)-SUM(AC499))</f>
        <v>0.7366177890947404</v>
      </c>
      <c r="AD131" s="489">
        <f>(AC137-AD137-SUM(AD543*AD135)*AD128/(1-AD128)*AD138)/(SUM(AD509)-SUM(AD498)-SUM(AD499))</f>
        <v>0.83769568510728554</v>
      </c>
      <c r="AE131" s="489">
        <f>(AD137-AE137-SUM(AE543*AE135)*AE128/(1-AE128)*AE138)/(SUM(AE509)-SUM(AE498)-SUM(AE499))</f>
        <v>0.86604389233954471</v>
      </c>
      <c r="AF131" s="489">
        <f t="shared" ref="AF131:AI131" si="1006">(AE137-AF137-SUM(AF543*AF135)*AF128/(1-AF128)*AF138)/(SUM(AF509)-SUM(AF498)-SUM(AF499))</f>
        <v>0.73762868710237139</v>
      </c>
      <c r="AG131" s="489">
        <f t="shared" si="1006"/>
        <v>0.96808976464148888</v>
      </c>
      <c r="AH131" s="489">
        <f t="shared" si="1006"/>
        <v>0.79017838003368546</v>
      </c>
      <c r="AI131" s="489">
        <f t="shared" si="1006"/>
        <v>1.2336013875748975</v>
      </c>
      <c r="AJ131" s="489">
        <f t="shared" ref="AJ131" si="1007">(AI137-AJ137-SUM(AJ543*AJ135)*AJ128/(1-AJ128)*AJ138)/(SUM(AJ509)-SUM(AJ498)-SUM(AJ499))</f>
        <v>0.88995831754452448</v>
      </c>
      <c r="AK131" s="489">
        <f t="shared" ref="AK131" si="1008">(AJ137-AK137-SUM(AK543*AK135)*AK128/(1-AK128)*AK138)/(SUM(AK509)-SUM(AK498)-SUM(AK499))</f>
        <v>1.0943732590529247</v>
      </c>
      <c r="AL131" s="489">
        <f t="shared" ref="AL131" si="1009">(AK137-AL137-SUM(AL543*AL135)*AL128/(1-AL128)*AL138)/(SUM(AL509)-SUM(AL498)-SUM(AL499))</f>
        <v>0.98691098442564629</v>
      </c>
      <c r="AM131" s="489">
        <f t="shared" ref="AM131" si="1010">(AL137-AM137-SUM(AM543*AM135)*AM128/(1-AM128)*AM138)/(SUM(AM509)-SUM(AM498)-SUM(AM499))</f>
        <v>0.88312972463947581</v>
      </c>
      <c r="AN131" s="489">
        <f t="shared" ref="AN131" si="1011">(AM137-AN137-SUM(AN543*AN135)*AN128/(1-AN128)*AN138)/(SUM(AN509)-SUM(AN498)-SUM(AN499))</f>
        <v>6.9098172439176544</v>
      </c>
      <c r="AO131" s="489">
        <f t="shared" ref="AO131" si="1012">(AN137-AO137-SUM(AO543*AO135)*AO128/(1-AO128)*AO138)/(SUM(AO509)-SUM(AO498)-SUM(AO499))</f>
        <v>1.7996397026955475</v>
      </c>
      <c r="AP131" s="489">
        <f t="shared" ref="AP131:AZ131" si="1013">(AO137-AP137-SUM(AP543*AP135)*AP128/(1-AP128)*AP138)/(SUM(AP509)-SUM(AP498)-SUM(AP499))</f>
        <v>2.9218875239061144</v>
      </c>
      <c r="AQ131" s="489">
        <f t="shared" si="1013"/>
        <v>1.7181975694969347</v>
      </c>
      <c r="AR131" s="489">
        <f t="shared" si="1013"/>
        <v>-1.3855751259664948</v>
      </c>
      <c r="AS131" s="489">
        <f t="shared" si="1013"/>
        <v>0.84809759728591483</v>
      </c>
      <c r="AT131" s="489">
        <f t="shared" si="1013"/>
        <v>0.66416532874511514</v>
      </c>
      <c r="AU131" s="489">
        <f t="shared" si="1013"/>
        <v>1.0336921660677467</v>
      </c>
      <c r="AV131" s="489">
        <f t="shared" si="1013"/>
        <v>0.56450711340602155</v>
      </c>
      <c r="AW131" s="489">
        <f t="shared" si="1013"/>
        <v>0.94356561170577746</v>
      </c>
      <c r="AX131" s="489">
        <f t="shared" si="1013"/>
        <v>0.65549494782759066</v>
      </c>
      <c r="AY131" s="489">
        <f t="shared" si="1013"/>
        <v>0.99112909843335129</v>
      </c>
      <c r="AZ131" s="487">
        <f t="shared" si="1013"/>
        <v>0.65515740736923633</v>
      </c>
      <c r="BA131" s="60">
        <f t="shared" ref="BA131:BG131" si="1014">AZ131</f>
        <v>0.65515740736923633</v>
      </c>
      <c r="BB131" s="60">
        <f t="shared" si="1014"/>
        <v>0.65515740736923633</v>
      </c>
      <c r="BC131" s="60">
        <f t="shared" si="1014"/>
        <v>0.65515740736923633</v>
      </c>
      <c r="BD131" s="60">
        <f t="shared" si="1014"/>
        <v>0.65515740736923633</v>
      </c>
      <c r="BE131" s="60">
        <f t="shared" si="1014"/>
        <v>0.65515740736923633</v>
      </c>
      <c r="BF131" s="60">
        <f t="shared" si="1014"/>
        <v>0.65515740736923633</v>
      </c>
      <c r="BG131" s="60">
        <f t="shared" si="1014"/>
        <v>0.65515740736923633</v>
      </c>
      <c r="BH131" s="60">
        <f>BG131</f>
        <v>0.65515740736923633</v>
      </c>
      <c r="BI131" s="60">
        <f>BH131</f>
        <v>0.65515740736923633</v>
      </c>
      <c r="BJ131" s="60">
        <f>BI131</f>
        <v>0.65515740736923633</v>
      </c>
      <c r="BK131" s="60">
        <f>BJ131</f>
        <v>0.65515740736923633</v>
      </c>
      <c r="BL131" s="486">
        <f t="shared" ref="BL131:BM131" si="1015">BK131</f>
        <v>0.65515740736923633</v>
      </c>
      <c r="BM131" s="486">
        <f t="shared" si="1015"/>
        <v>0.65515740736923633</v>
      </c>
      <c r="BN131" s="486">
        <f t="shared" ref="BN131" si="1016">BM131</f>
        <v>0.65515740736923633</v>
      </c>
      <c r="BO131" s="486">
        <f t="shared" ref="BO131" si="1017">BN131</f>
        <v>0.65515740736923633</v>
      </c>
      <c r="BP131" s="486">
        <f t="shared" ref="BP131" si="1018">BO131</f>
        <v>0.65515740736923633</v>
      </c>
      <c r="BQ131" s="486">
        <f t="shared" ref="BQ131" si="1019">BP131</f>
        <v>0.65515740736923633</v>
      </c>
      <c r="BR131" s="42"/>
      <c r="BS131" s="489">
        <f t="shared" ref="BS131:CB131" si="1020">(BR137-BS137+(BS543*BS135)*BS128/(1-BS128))/(SUM(BS509)-SUM(BS498)-SUM(BS499))</f>
        <v>6.2189448582881512</v>
      </c>
      <c r="BT131" s="489">
        <f t="shared" si="1020"/>
        <v>-0.76148565124014767</v>
      </c>
      <c r="BU131" s="489">
        <f t="shared" si="1020"/>
        <v>-1.4453389869757358</v>
      </c>
      <c r="BV131" s="489">
        <f t="shared" si="1020"/>
        <v>-0.58832729066150014</v>
      </c>
      <c r="BW131" s="489">
        <f t="shared" si="1020"/>
        <v>-0.8483333961712598</v>
      </c>
      <c r="BX131" s="489">
        <f t="shared" si="1020"/>
        <v>-1.254573449968112</v>
      </c>
      <c r="BY131" s="489">
        <f t="shared" si="1020"/>
        <v>-1.9777770519344773</v>
      </c>
      <c r="BZ131" s="489">
        <f t="shared" si="1020"/>
        <v>-1.359267793132878</v>
      </c>
      <c r="CA131" s="489">
        <f t="shared" si="1020"/>
        <v>-0.70940337051562463</v>
      </c>
      <c r="CB131" s="489">
        <f t="shared" si="1020"/>
        <v>-1.3430536252648435</v>
      </c>
      <c r="CC131" s="67">
        <f>(CB137-CC137+SUM(D553:E553)*CC128/(1-CC128))/(SUM(CC509)-SUM(CC498)-SUM(CC499))</f>
        <v>0.45374149659863944</v>
      </c>
      <c r="CD131" s="67">
        <f>(CC137-CD137+SUM(F553:G553)*CD128/(1-CD128))/(SUM(CD509)-SUM(CD498)-SUM(CD499))</f>
        <v>0.91979458450046692</v>
      </c>
      <c r="CE131" s="67">
        <f>(CD137-CE137+SUM(H553:I553)*CE128/(1-CE128))/(SUM(CE509)-SUM(CE498)-SUM(CE499))</f>
        <v>0.55850867478774457</v>
      </c>
      <c r="CF131" s="67">
        <f>(CE137-CF137+SUM(J553:K553)*CF128/(1-CF128))/(SUM(CF509)-SUM(CF498)-SUM(CF499))</f>
        <v>0.81421773332038461</v>
      </c>
      <c r="CG131" s="67">
        <f>(CF137-CG137+SUM(L553:M553)*CG128/(1-CG128))/(SUM(CG509)-SUM(CG498)-SUM(CG499))</f>
        <v>0.54729323308270683</v>
      </c>
      <c r="CH131" s="67">
        <f>(CG137-CH137+SUM(N553:O553)*CH128/(1-CH128))/(SUM(CH509)-SUM(CH498)-SUM(CH499))</f>
        <v>0.99769817292475893</v>
      </c>
      <c r="CI131" s="67">
        <f>(CH137-CI137+SUM(P553:Q553)*CI128/(1-CI128))/(SUM(CI509)-SUM(CI498)-SUM(CI499))</f>
        <v>1.0417741103661682</v>
      </c>
      <c r="CJ131" s="67">
        <f>(CI137-CJ137+SUM(R553:S553)*CJ128/(1-CJ128))/(SUM(CJ509)-SUM(CJ498)-SUM(CJ499))</f>
        <v>1.0518608907870652</v>
      </c>
      <c r="CK131" s="67">
        <f>(CJ137-CK137+SUM(T553:U553)*CK128/(1-CK128))/(SUM(CK509)-SUM(CK498)-SUM(CK499))</f>
        <v>0.65102537365311097</v>
      </c>
      <c r="CL131" s="67">
        <f>(CK137-CL137+SUM(V553:W553)*CL128/(1-CL128))/(SUM(CL509)-SUM(CL498)-SUM(CL499))</f>
        <v>0.84304908143679747</v>
      </c>
      <c r="CM131" s="67">
        <f>(CL137-CM137+SUM(X553:Y553)*CM128/(1-CM128))/(SUM(CM509)-SUM(CM498)-SUM(CM499))</f>
        <v>0.76445819805194803</v>
      </c>
      <c r="CN131" s="386">
        <f>(CM137-CN137+SUM(-Z543*Z135,-AA543*AA135)*CN128/(1-CN128))/(SUM(CN509)-SUM(CN498)-SUM(CN499))</f>
        <v>0.96423377110737141</v>
      </c>
      <c r="CO131" s="489">
        <f>(CN137-CO137+SUM(-AB543*AB135,-AC543*AC135)*CO128/(1-CO128))/(SUM(CO509)-SUM(CO498)-SUM(CO499))</f>
        <v>0.77823916241239077</v>
      </c>
      <c r="CP131" s="489">
        <f>(CO137-CP137+SUM(-AE543*AE135,-AD543*AD135)*CP128/(1-CP128))/(SUM(CP509)-SUM(CP498)-SUM(CP499))</f>
        <v>0.85176376838566481</v>
      </c>
      <c r="CQ131" s="489">
        <f>(CP137-CQ137+SUM(-AF543*AF135,-AG543*AG135)*CQ128/(1-CQ128))/(SUM(CQ509)-SUM(CQ498)-SUM(CQ499))</f>
        <v>0.85603487064117001</v>
      </c>
      <c r="CR131" s="489">
        <f>(CQ137-CR137+SUM(-AI543*AI135,-AH543*AH135)*CR128/(1-CR128))/(SUM(CR509)-SUM(CR498)-SUM(CR499))</f>
        <v>1.0086347393769906</v>
      </c>
      <c r="CS131" s="489">
        <f>(CR137-CS137+SUM(-AJ543*AJ135,-AK543*AK135)*CS128/(1-CS128))/(SUM(CS509)-SUM(CS498)-SUM(CS499))</f>
        <v>0.98966614906832306</v>
      </c>
      <c r="CT131" s="489">
        <f>(CS137-CT137+SUM(-AM543*AM135,-AL543*AL135)*CT128/(1-CT128))/(SUM(CT509)-SUM(CT498)-SUM(CT499))</f>
        <v>0.94210228326639711</v>
      </c>
      <c r="CU131" s="489">
        <f>(CT137-CU137+SUM(-AN543*AN135,-AO543*AO135)*CU128/(1-CU128))/(SUM(CU509)-SUM(CU498)-SUM(CU499))</f>
        <v>2.9036308884878705</v>
      </c>
      <c r="CV131" s="489">
        <f>(CU137-CV137+SUM(-AQ543*AQ135,-AP543*AP135)*CV128/(1-CV128))/(SUM(CV509)-SUM(CV498)-SUM(CV499))</f>
        <v>1.9886712010027348</v>
      </c>
      <c r="CW131" s="489">
        <f>(CV137-CW137+SUM(-AR543*AR135,-AS543*AS135)*CW128/(1-CW128))/(SUM(CW509)-SUM(CW498)-SUM(CW499))</f>
        <v>0.25306497344661866</v>
      </c>
      <c r="CX131" s="489">
        <f>(CW137-CX137+SUM(-AU543*AU135,-AT543*AT135)*CX128/(1-CX128))/(SUM(CX509)-SUM(CX498)-SUM(CX499))</f>
        <v>0.83312174269889905</v>
      </c>
      <c r="CY131" s="489">
        <f>(CX137-CY137+SUM(-AW543*AW135,-AV543*AV135)*CY128/(1-CY128))/(SUM(CY509)-SUM(CY498)-SUM(CY499))</f>
        <v>0.74436121401224109</v>
      </c>
      <c r="CZ131" s="487">
        <f>(CY137-CZ137+SUM(-AY543*AY135,-AX543*AX135)*CZ128/(1-CZ128))/(SUM(CZ509)-SUM(CZ498)-SUM(CZ499))</f>
        <v>0.81876002289621552</v>
      </c>
      <c r="DA131" s="489">
        <f>(CZ137-DA137+SUM(-AZ543*BA135,-AY543*AZ135)*DA128/(1-DA128))/(SUM(DA509)-SUM(DA498)-SUM(DA499))</f>
        <v>0.65509801377893795</v>
      </c>
      <c r="DB131" s="489">
        <f>(DA137-DB137+SUM(-BB543*BC135,-BA543*BB135)*DB128/(1-DB128))/(SUM(DB509)-SUM(DB498)-SUM(DB499))</f>
        <v>0.6583221466406366</v>
      </c>
      <c r="DC131" s="489">
        <f>(DB137-DC137+SUM(-BC543*BE135,-BB543*BD135)*DC128/(1-DC128))/(SUM(DC509)-SUM(DC498)-SUM(DC499))</f>
        <v>0.66114123745033404</v>
      </c>
      <c r="DD131" s="489">
        <f>(DC137-DD137+SUM(-BE543*BG135,-BD543*BF135)*DD128/(1-DD128))/(SUM(DD509)-SUM(DD498)-SUM(DD499))</f>
        <v>0.65925217746634535</v>
      </c>
      <c r="DE131" s="489">
        <f>(DD137-DE137+SUM(-BG543*BI135,-BF543*BH135)*DE128/(1-DE128))/(SUM(DE509)-SUM(DE498)-SUM(DE499))</f>
        <v>0.65515740736923644</v>
      </c>
      <c r="DF131" s="489">
        <f>(DE137-DF137+SUM(-BH543*BJ135,-BG543*BI135)*DF128/(1-DF128))/(SUM(DF509)-SUM(DF498)-SUM(DF499))</f>
        <v>0.64881715742981816</v>
      </c>
      <c r="DG131" s="489">
        <f>(DF137-DG137+SUM(-BI543*BK135,-BH543*BJ135)*DG128/(1-DG128))/(SUM(DG509)-SUM(DG498)-SUM(DG499))</f>
        <v>0.64258620543864564</v>
      </c>
      <c r="DH131" s="489">
        <f>(DG137-DH137+SUM(-BJ543*BL135,-BI543*BK135)*DH128/(1-DH128))/(SUM(DH509)-SUM(DH498)-SUM(DH499))</f>
        <v>0.63683559455442385</v>
      </c>
      <c r="DI131" s="489">
        <f>(DH137-DI137+SUM(-BK543*BM135,-BJ543*BL135)*DI128/(1-DI128))/(SUM(DI509)-SUM(DI498)-SUM(DI499))</f>
        <v>0.63148523626534958</v>
      </c>
    </row>
    <row r="132" spans="1:113" outlineLevel="1">
      <c r="A132" s="1" t="s">
        <v>765</v>
      </c>
      <c r="B132" s="19" t="s">
        <v>619</v>
      </c>
      <c r="C132" s="486">
        <v>0.7</v>
      </c>
      <c r="D132" s="486">
        <v>0.7</v>
      </c>
      <c r="E132" s="486">
        <v>0.7</v>
      </c>
      <c r="F132" s="486">
        <v>0.7</v>
      </c>
      <c r="G132" s="486">
        <v>0.7</v>
      </c>
      <c r="H132" s="486">
        <v>0.7</v>
      </c>
      <c r="I132" s="486">
        <v>0.7</v>
      </c>
      <c r="J132" s="486">
        <v>0.7</v>
      </c>
      <c r="K132" s="486">
        <v>0.7</v>
      </c>
      <c r="L132" s="486">
        <v>0.7</v>
      </c>
      <c r="M132" s="525">
        <f>VLOOKUP($A132,[3]Sheet1!$2:$65479,MATCH(M$3,[3]Sheet1!$2:$2,0),FALSE)</f>
        <v>0.6</v>
      </c>
      <c r="N132" s="525">
        <f>VLOOKUP($A132,[3]Sheet1!$2:$65479,MATCH(N$3,[3]Sheet1!$2:$2,0),FALSE)</f>
        <v>0.6</v>
      </c>
      <c r="O132" s="525">
        <f>VLOOKUP($A132,[3]Sheet1!$2:$65479,MATCH(O$3,[3]Sheet1!$2:$2,0),FALSE)</f>
        <v>0.6</v>
      </c>
      <c r="P132" s="525">
        <f>VLOOKUP($A132,[3]Sheet1!$2:$65479,MATCH(P$3,[3]Sheet1!$2:$2,0),FALSE)</f>
        <v>0.6</v>
      </c>
      <c r="Q132" s="525">
        <f>VLOOKUP($A132,[3]Sheet1!$2:$65479,MATCH(Q$3,[3]Sheet1!$2:$2,0),FALSE)</f>
        <v>0.6</v>
      </c>
      <c r="R132" s="525">
        <f>VLOOKUP($A132,[3]Sheet1!$2:$65479,MATCH(R$3,[3]Sheet1!$2:$2,0),FALSE)</f>
        <v>0.6</v>
      </c>
      <c r="S132" s="525">
        <f>VLOOKUP($A132,[3]Sheet1!$2:$65479,MATCH(S$3,[3]Sheet1!$2:$2,0),FALSE)</f>
        <v>0.6</v>
      </c>
      <c r="T132" s="525">
        <f>VLOOKUP($A132,[3]Sheet1!$2:$65479,MATCH(T$3,[3]Sheet1!$2:$2,0),FALSE)</f>
        <v>0.6</v>
      </c>
      <c r="U132" s="525">
        <f>VLOOKUP($A132,[3]Sheet1!$2:$65479,MATCH(U$3,[3]Sheet1!$2:$2,0),FALSE)</f>
        <v>0.6</v>
      </c>
      <c r="V132" s="525">
        <f>VLOOKUP($A132,[3]Sheet1!$2:$65479,MATCH(V$3,[3]Sheet1!$2:$2,0),FALSE)</f>
        <v>0.6</v>
      </c>
      <c r="W132" s="525">
        <f>VLOOKUP($A132,[3]Sheet1!$2:$65479,MATCH(W$3,[3]Sheet1!$2:$2,0),FALSE)</f>
        <v>0.6</v>
      </c>
      <c r="X132" s="525">
        <f>VLOOKUP($A132,[3]Sheet1!$2:$65479,MATCH(X$3,[3]Sheet1!$2:$2,0),FALSE)</f>
        <v>0.6</v>
      </c>
      <c r="Y132" s="525">
        <f>VLOOKUP($A132,[3]Sheet1!$2:$65479,MATCH(Y$3,[3]Sheet1!$2:$2,0),FALSE)</f>
        <v>0.6</v>
      </c>
      <c r="Z132" s="525">
        <f>VLOOKUP($A132,[3]Sheet1!$2:$65479,MATCH(Z$3,[3]Sheet1!$2:$2,0),FALSE)</f>
        <v>0.6</v>
      </c>
      <c r="AA132" s="525">
        <f>VLOOKUP($A132,[3]Sheet1!$2:$65479,MATCH(AA$3,[3]Sheet1!$2:$2,0),FALSE)</f>
        <v>0.6</v>
      </c>
      <c r="AB132" s="525">
        <f>VLOOKUP($A132,[3]Sheet1!$2:$65479,MATCH(AB$3,[3]Sheet1!$2:$2,0),FALSE)</f>
        <v>0.6</v>
      </c>
      <c r="AC132" s="525">
        <f>VLOOKUP($A132,[3]Sheet1!$2:$65479,MATCH(AC$3,[3]Sheet1!$2:$2,0),FALSE)</f>
        <v>0.6</v>
      </c>
      <c r="AD132" s="525">
        <f>VLOOKUP($A132,[3]Sheet1!$2:$65479,MATCH(AD$3,[3]Sheet1!$2:$2,0),FALSE)</f>
        <v>0.6</v>
      </c>
      <c r="AE132" s="525">
        <f>VLOOKUP($A132,[3]Sheet1!$2:$65479,MATCH(AE$3,[3]Sheet1!$2:$2,0),FALSE)</f>
        <v>0.6</v>
      </c>
      <c r="AF132" s="525">
        <f>VLOOKUP($A132,[3]Sheet1!$2:$65479,MATCH(AF$3,[3]Sheet1!$2:$2,0),FALSE)</f>
        <v>0.6</v>
      </c>
      <c r="AG132" s="525">
        <f>VLOOKUP($A132,[3]Sheet1!$2:$65479,MATCH(AG$3,[3]Sheet1!$2:$2,0),FALSE)</f>
        <v>0.6</v>
      </c>
      <c r="AH132" s="525">
        <f>VLOOKUP($A132,[3]Sheet1!$2:$65479,MATCH(AH$3,[3]Sheet1!$2:$2,0),FALSE)</f>
        <v>0.6</v>
      </c>
      <c r="AI132" s="525">
        <f>VLOOKUP($A132,[3]Sheet1!$2:$65479,MATCH(AI$3,[3]Sheet1!$2:$2,0),FALSE)</f>
        <v>0.6</v>
      </c>
      <c r="AJ132" s="525">
        <f>VLOOKUP($A132,[3]Sheet1!$2:$65479,MATCH(AJ$3,[3]Sheet1!$2:$2,0),FALSE)</f>
        <v>0.6</v>
      </c>
      <c r="AK132" s="525">
        <f>VLOOKUP($A132,[3]Sheet1!$2:$65479,MATCH(AK$3,[3]Sheet1!$2:$2,0),FALSE)</f>
        <v>0.6</v>
      </c>
      <c r="AL132" s="525">
        <f>VLOOKUP($A132,[3]Sheet1!$2:$65479,MATCH(AL$3,[3]Sheet1!$2:$2,0),FALSE)</f>
        <v>0.6</v>
      </c>
      <c r="AM132" s="525">
        <f>VLOOKUP($A132,[3]Sheet1!$2:$65479,MATCH(AM$3,[3]Sheet1!$2:$2,0),FALSE)</f>
        <v>0.6</v>
      </c>
      <c r="AN132" s="525">
        <f>VLOOKUP($A132,[3]Sheet1!$2:$65479,MATCH(AN$3,[3]Sheet1!$2:$2,0),FALSE)</f>
        <v>0.6</v>
      </c>
      <c r="AO132" s="525">
        <f>VLOOKUP($A132,[3]Sheet1!$2:$65479,MATCH(AO$3,[3]Sheet1!$2:$2,0),FALSE)</f>
        <v>0.6</v>
      </c>
      <c r="AP132" s="525">
        <f>VLOOKUP($A132,[3]Sheet1!$2:$65479,MATCH(AP$3,[3]Sheet1!$2:$2,0),FALSE)</f>
        <v>0.6</v>
      </c>
      <c r="AQ132" s="525">
        <f>VLOOKUP($A132,[3]Sheet1!$2:$65479,MATCH(AQ$3,[3]Sheet1!$2:$2,0),FALSE)</f>
        <v>0.6</v>
      </c>
      <c r="AR132" s="525">
        <f>VLOOKUP($A132,[3]Sheet1!$2:$65479,MATCH(AR$3,[3]Sheet1!$2:$2,0),FALSE)</f>
        <v>0.6</v>
      </c>
      <c r="AS132" s="525">
        <f>VLOOKUP($A132,[3]Sheet1!$2:$65479,MATCH(AS$3,[3]Sheet1!$2:$2,0),FALSE)</f>
        <v>0.6</v>
      </c>
      <c r="AT132" s="525">
        <f>VLOOKUP($A132,[3]Sheet1!$2:$65479,MATCH(AT$3,[3]Sheet1!$2:$2,0),FALSE)</f>
        <v>0.6</v>
      </c>
      <c r="AU132" s="525">
        <f>VLOOKUP($A132,[3]Sheet1!$2:$65479,MATCH(AU$3,[3]Sheet1!$2:$2,0),FALSE)</f>
        <v>0.6</v>
      </c>
      <c r="AV132" s="525">
        <f>VLOOKUP($A132,[3]Sheet1!$2:$65479,MATCH(AV$3,[3]Sheet1!$2:$2,0),FALSE)</f>
        <v>0.6</v>
      </c>
      <c r="AW132" s="525">
        <f>VLOOKUP($A132,[3]Sheet1!$2:$65479,MATCH(AW$3,[3]Sheet1!$2:$2,0),FALSE)</f>
        <v>0.6</v>
      </c>
      <c r="AX132" s="525">
        <f>VLOOKUP($A132,[3]Sheet1!$2:$65479,MATCH(AX$3,[3]Sheet1!$2:$2,0),FALSE)</f>
        <v>0.6</v>
      </c>
      <c r="AY132" s="525">
        <f>VLOOKUP($A132,[3]Sheet1!$2:$65479,MATCH(AY$3,[3]Sheet1!$2:$2,0),FALSE)</f>
        <v>0.6</v>
      </c>
      <c r="AZ132" s="526">
        <f>VLOOKUP($A132,[3]Sheet1!$2:$65479,MATCH(AZ$3,[3]Sheet1!$2:$2,0),FALSE)</f>
        <v>0.6</v>
      </c>
      <c r="BA132" s="525">
        <f>VLOOKUP($A132,[3]Sheet1!$2:$65479,MATCH(BA$3,[3]Sheet1!$2:$2,0),FALSE)</f>
        <v>0.6</v>
      </c>
      <c r="BB132" s="525">
        <f>VLOOKUP($A132,[3]Sheet1!$2:$65479,MATCH(BB$3,[3]Sheet1!$2:$2,0),FALSE)</f>
        <v>0.6</v>
      </c>
      <c r="BC132" s="525">
        <f>VLOOKUP($A132,[3]Sheet1!$2:$65479,MATCH(BC$3,[3]Sheet1!$2:$2,0),FALSE)</f>
        <v>0.6</v>
      </c>
      <c r="BD132" s="525">
        <f>VLOOKUP($A132,[3]Sheet1!$2:$65479,MATCH(BD$3,[3]Sheet1!$2:$2,0),FALSE)</f>
        <v>0.6</v>
      </c>
      <c r="BE132" s="525">
        <f>VLOOKUP($A132,[3]Sheet1!$2:$65479,MATCH(BE$3,[3]Sheet1!$2:$2,0),FALSE)</f>
        <v>0.6</v>
      </c>
      <c r="BF132" s="525">
        <f>VLOOKUP($A132,[3]Sheet1!$2:$65479,MATCH(BF$3,[3]Sheet1!$2:$2,0),FALSE)</f>
        <v>0.6</v>
      </c>
      <c r="BG132" s="525">
        <f>VLOOKUP($A132,[3]Sheet1!$2:$65479,MATCH(BG$3,[3]Sheet1!$2:$2,0),FALSE)</f>
        <v>0.6</v>
      </c>
      <c r="BH132" s="525">
        <f>VLOOKUP($A132,[3]Sheet1!$2:$65479,MATCH(BH$3,[3]Sheet1!$2:$2,0),FALSE)</f>
        <v>0.6</v>
      </c>
      <c r="BI132" s="525">
        <f>VLOOKUP($A132,[3]Sheet1!$2:$65479,MATCH(BI$3,[3]Sheet1!$2:$2,0),FALSE)</f>
        <v>0.6</v>
      </c>
      <c r="BJ132" s="525">
        <f>VLOOKUP($A132,[3]Sheet1!$2:$65479,MATCH(BJ$3,[3]Sheet1!$2:$2,0),FALSE)</f>
        <v>0.6</v>
      </c>
      <c r="BK132" s="525">
        <f>VLOOKUP($A132,[3]Sheet1!$2:$65479,MATCH(BK$3,[3]Sheet1!$2:$2,0),FALSE)</f>
        <v>0.6</v>
      </c>
      <c r="BL132" s="525">
        <f>VLOOKUP($A132,[3]Sheet1!$2:$65479,MATCH(BL$3,[3]Sheet1!$2:$2,0),FALSE)</f>
        <v>0.6</v>
      </c>
      <c r="BM132" s="525">
        <f>VLOOKUP($A132,[3]Sheet1!$2:$65479,MATCH(BM$3,[3]Sheet1!$2:$2,0),FALSE)</f>
        <v>0.6</v>
      </c>
      <c r="BN132" s="525">
        <f>VLOOKUP($A132,[3]Sheet1!$2:$65479,MATCH(BN$3,[3]Sheet1!$2:$2,0),FALSE)</f>
        <v>0.6</v>
      </c>
      <c r="BO132" s="525">
        <f>VLOOKUP($A132,[3]Sheet1!$2:$65479,MATCH(BO$3,[3]Sheet1!$2:$2,0),FALSE)</f>
        <v>0.6</v>
      </c>
      <c r="BP132" s="525">
        <f>VLOOKUP($A132,[3]Sheet1!$2:$65479,MATCH(BP$3,[3]Sheet1!$2:$2,0),FALSE)</f>
        <v>0.6</v>
      </c>
      <c r="BQ132" s="525">
        <f>VLOOKUP($A132,[3]Sheet1!$2:$65479,MATCH(BQ$3,[3]Sheet1!$2:$2,0),FALSE)</f>
        <v>0.6</v>
      </c>
      <c r="BR132" s="230"/>
      <c r="BS132" s="486">
        <v>0.7</v>
      </c>
      <c r="BT132" s="486">
        <v>0.7</v>
      </c>
      <c r="BU132" s="486">
        <v>0.7</v>
      </c>
      <c r="BV132" s="486">
        <v>0.7</v>
      </c>
      <c r="BW132" s="486">
        <v>0.7</v>
      </c>
      <c r="BX132" s="486">
        <v>0.7</v>
      </c>
      <c r="BY132" s="486">
        <v>0.7</v>
      </c>
      <c r="BZ132" s="486">
        <v>0.7</v>
      </c>
      <c r="CA132" s="486">
        <v>0.7</v>
      </c>
      <c r="CB132" s="486">
        <v>0.7</v>
      </c>
      <c r="CC132" s="230">
        <f>SUMPRODUCT(D132:E132,D$5:E$5)/SUM(D$5:E$5)</f>
        <v>0.7</v>
      </c>
      <c r="CD132" s="230">
        <f>SUMPRODUCT(F132:G132,F$5:G$5)/SUM(F$5:G$5)</f>
        <v>0.7</v>
      </c>
      <c r="CE132" s="230">
        <f>SUMPRODUCT(H132:I132,H$5:I$5)/SUM(H$5:I$5)</f>
        <v>0.7</v>
      </c>
      <c r="CF132" s="230">
        <f>SUMPRODUCT(J132:K132,J$5:K$5)/SUM(J$5:K$5)</f>
        <v>0.7</v>
      </c>
      <c r="CG132" s="230">
        <f>SUMPRODUCT(L132:M132,L$5:M$5)/SUM(L$5:M$5)</f>
        <v>0.64958904109589033</v>
      </c>
      <c r="CH132" s="230">
        <f>SUMPRODUCT(N132:O132,N$5:O$5)/SUM(N$5:O$5)</f>
        <v>0.6</v>
      </c>
      <c r="CI132" s="230">
        <f>SUMPRODUCT(P132:Q132,P$5:Q$5)/SUM(P$5:Q$5)</f>
        <v>0.6</v>
      </c>
      <c r="CJ132" s="230">
        <f>SUMPRODUCT(R132:S132,R$5:S$5)/SUM(R$5:S$5)</f>
        <v>0.6</v>
      </c>
      <c r="CK132" s="230">
        <f>SUMPRODUCT(T132:U132,T$5:U$5)/SUM(T$5:U$5)</f>
        <v>0.6</v>
      </c>
      <c r="CL132" s="230">
        <f>SUMPRODUCT(V132:W132,V$5:W$5)/SUM(V$5:W$5)</f>
        <v>0.6</v>
      </c>
      <c r="CM132" s="386">
        <f>SUMPRODUCT(X132:Y132,X$5:Y$5)/SUM(X$5:Y$5)</f>
        <v>0.6</v>
      </c>
      <c r="CN132" s="386">
        <f>SUMPRODUCT(Z132:AA132,Z$5:AA$5)/SUM(Z$5:AA$5)</f>
        <v>0.6</v>
      </c>
      <c r="CO132" s="386">
        <f>SUMPRODUCT(AB132:AC132,AB$5:AC$5)/SUM(AB$5:AC$5)</f>
        <v>0.6</v>
      </c>
      <c r="CP132" s="386">
        <f>SUMPRODUCT(AD132:AE132,AD$5:AE$5)/SUM(AD$5:AE$5)</f>
        <v>0.6</v>
      </c>
      <c r="CQ132" s="386">
        <f>SUMPRODUCT(AF132:AG132,AF$5:AG$5)/SUM(AF$5:AG$5)</f>
        <v>0.6</v>
      </c>
      <c r="CR132" s="386">
        <f>SUMPRODUCT(AH132:AI132,AH$5:AI$5)/SUM(AH$5:AI$5)</f>
        <v>0.6</v>
      </c>
      <c r="CS132" s="386">
        <f>SUMPRODUCT(AJ132:AK132,AJ$5:AK$5)/SUM(AJ$5:AK$5)</f>
        <v>0.6</v>
      </c>
      <c r="CT132" s="386">
        <f>SUMPRODUCT(AL132:AM132,AL$5:AM$5)/SUM(AL$5:AM$5)</f>
        <v>0.6</v>
      </c>
      <c r="CU132" s="386">
        <f>SUMPRODUCT(AN132:AO132,AN$5:AO$5)/SUM(AN$5:AO$5)</f>
        <v>0.6</v>
      </c>
      <c r="CV132" s="386">
        <f>SUMPRODUCT(AP132:AQ132,AP$5:AQ$5)/SUM(AP$5:AQ$5)</f>
        <v>0.6</v>
      </c>
      <c r="CW132" s="386">
        <f>SUMPRODUCT(AR132:AS132,AR$5:AS$5)/SUM(AR$5:AS$5)</f>
        <v>0.6</v>
      </c>
      <c r="CX132" s="386">
        <f>SUMPRODUCT(AT132:AU132,AT$5:AU$5)/SUM(AT$5:AU$5)</f>
        <v>0.6</v>
      </c>
      <c r="CY132" s="386">
        <f>SUMPRODUCT(AV132:AW132,AV$5:AW$5)/SUM(AV$5:AW$5)</f>
        <v>0.6</v>
      </c>
      <c r="CZ132" s="231">
        <f>SUMPRODUCT(AX132:AY132,AX$5:AY$5)/SUM(AX$5:AY$5)</f>
        <v>0.6</v>
      </c>
      <c r="DA132" s="230">
        <f>SUMPRODUCT(AZ132:BA132,AZ$5:BA$5)/SUM(AZ$5:BA$5)</f>
        <v>0.6</v>
      </c>
      <c r="DB132" s="230">
        <f>SUMPRODUCT(BB132:BC132,BB$5:BC$5)/SUM(BB$5:BC$5)</f>
        <v>0.6</v>
      </c>
      <c r="DC132" s="230">
        <f>SUMPRODUCT(BD132:BE132,BD$5:BE$5)/SUM(BD$5:BE$5)</f>
        <v>0.6</v>
      </c>
      <c r="DD132" s="230">
        <f>SUMPRODUCT(BF132:BG132,BF$5:BG$5)/SUM(BF$5:BG$5)</f>
        <v>0.6</v>
      </c>
      <c r="DE132" s="230">
        <f>SUMPRODUCT(BH132:BI132,BH$5:BI$5)/SUM(BH$5:BI$5)</f>
        <v>0.6</v>
      </c>
      <c r="DF132" s="230">
        <f>SUMPRODUCT(BJ132:BK132,BJ$5:BK$5)/SUM(BJ$5:BK$5)</f>
        <v>0.6</v>
      </c>
      <c r="DG132" s="230">
        <f>SUMPRODUCT(BL132:BM132,BL$5:BM$5)/SUM(BL$5:BM$5)</f>
        <v>0.6</v>
      </c>
      <c r="DH132" s="230">
        <f>SUMPRODUCT(BN132:BO132,BN$5:BO$5)/SUM(BN$5:BO$5)</f>
        <v>0.6</v>
      </c>
      <c r="DI132" s="230">
        <f>SUMPRODUCT(BP132:BQ132,BP$5:BQ$5)/SUM(BP$5:BQ$5)</f>
        <v>0.6</v>
      </c>
    </row>
    <row r="133" spans="1:113" outlineLevel="1">
      <c r="Z133" s="58"/>
      <c r="CZ133" s="22"/>
    </row>
    <row r="134" spans="1:113" outlineLevel="1">
      <c r="B134" s="24" t="s">
        <v>620</v>
      </c>
      <c r="AA134" s="58"/>
      <c r="AC134" s="45"/>
      <c r="AD134" s="45"/>
      <c r="AE134" s="45"/>
      <c r="AF134" s="599"/>
      <c r="AG134" s="599"/>
      <c r="AH134" s="599"/>
      <c r="AI134" s="599"/>
      <c r="AJ134" s="135"/>
      <c r="AK134" s="135"/>
      <c r="AL134" s="135"/>
      <c r="AM134" s="135"/>
      <c r="AN134" s="135"/>
      <c r="AO134" s="135"/>
      <c r="AP134" s="135"/>
      <c r="AQ134" s="109"/>
      <c r="AR134" s="135"/>
      <c r="AS134" s="135"/>
      <c r="AT134" s="135"/>
      <c r="AU134" s="135"/>
      <c r="AV134" s="135"/>
      <c r="AW134" s="135"/>
      <c r="AY134" s="837"/>
      <c r="BA134" s="109"/>
      <c r="BC134" s="109"/>
      <c r="BE134" s="109"/>
      <c r="BG134" s="109"/>
      <c r="BH134" s="109"/>
      <c r="BI134" s="109"/>
      <c r="BJ134" s="109"/>
      <c r="BK134" s="109"/>
      <c r="BL134" s="109"/>
      <c r="BM134" s="109"/>
      <c r="BN134" s="109"/>
      <c r="BO134" s="109"/>
      <c r="BP134" s="109"/>
      <c r="BQ134" s="109"/>
      <c r="BR134" s="109"/>
      <c r="BS134" s="109"/>
      <c r="BT134" s="109"/>
      <c r="BU134" s="109"/>
      <c r="BV134" s="109"/>
      <c r="BW134" s="109"/>
      <c r="BX134" s="109"/>
      <c r="BY134" s="109"/>
      <c r="BZ134" s="109"/>
      <c r="CA134" s="109"/>
      <c r="CB134" s="109"/>
      <c r="CC134" s="109"/>
      <c r="CD134" s="109"/>
      <c r="CE134" s="109"/>
      <c r="CF134" s="109"/>
      <c r="CG134" s="109"/>
      <c r="CH134" s="109"/>
      <c r="CI134" s="109"/>
      <c r="CJ134" s="109"/>
      <c r="CK134" s="109"/>
      <c r="CL134" s="109"/>
      <c r="CM134" s="109"/>
      <c r="CN134" s="109"/>
      <c r="CO134" s="109"/>
      <c r="CP134" s="109"/>
      <c r="CQ134" s="109"/>
      <c r="CR134" s="109"/>
      <c r="CZ134" s="22"/>
    </row>
    <row r="135" spans="1:113" outlineLevel="1">
      <c r="A135" s="1" t="s">
        <v>766</v>
      </c>
      <c r="B135" s="19" t="s">
        <v>621</v>
      </c>
      <c r="C135" s="68">
        <f>0.9946*0.75</f>
        <v>0.74595</v>
      </c>
      <c r="D135" s="68">
        <f>0.9946*0.68</f>
        <v>0.67632800000000004</v>
      </c>
      <c r="E135" s="68">
        <f>0.9946*0.82</f>
        <v>0.81557199999999996</v>
      </c>
      <c r="F135" s="68">
        <f>0.9946*0.69</f>
        <v>0.68627399999999994</v>
      </c>
      <c r="G135" s="68">
        <f>0.9946*0.85</f>
        <v>0.84540999999999999</v>
      </c>
      <c r="H135" s="68">
        <f>0.9946*0.79</f>
        <v>0.78573400000000004</v>
      </c>
      <c r="I135" s="68">
        <f>0.9946*1.04</f>
        <v>1.034384</v>
      </c>
      <c r="J135" s="68">
        <f>0.9946*0.85</f>
        <v>0.84540999999999999</v>
      </c>
      <c r="K135" s="68">
        <f>0.9946*1.12</f>
        <v>1.1139520000000001</v>
      </c>
      <c r="L135" s="68">
        <f>0.9946*0.94</f>
        <v>0.93492399999999998</v>
      </c>
      <c r="M135" s="68">
        <f>0.9946*1.3</f>
        <v>1.29298</v>
      </c>
      <c r="N135" s="68">
        <f>0.9946*1.07</f>
        <v>1.064222</v>
      </c>
      <c r="O135" s="68">
        <f>0.9946*1.49</f>
        <v>1.481954</v>
      </c>
      <c r="P135" s="68">
        <f>0.9946*1.13</f>
        <v>1.1238979999999998</v>
      </c>
      <c r="Q135" s="68">
        <f>0.9946*1.53</f>
        <v>1.521738</v>
      </c>
      <c r="R135" s="68">
        <f>0.9946*1.13</f>
        <v>1.1238979999999998</v>
      </c>
      <c r="S135" s="68">
        <f>0.9946*1.15</f>
        <v>1.1437899999999999</v>
      </c>
      <c r="T135" s="68">
        <f>0.9946*1.2</f>
        <v>1.1935199999999999</v>
      </c>
      <c r="U135" s="68">
        <f>0.9946*1.7</f>
        <v>1.69082</v>
      </c>
      <c r="V135" s="68">
        <f>0.9946*1.32</f>
        <v>1.312872</v>
      </c>
      <c r="W135" s="68">
        <f>0.9946*1.88</f>
        <v>1.869848</v>
      </c>
      <c r="X135" s="68">
        <f>0.9946*1.37</f>
        <v>1.3626020000000001</v>
      </c>
      <c r="Y135" s="68">
        <f>0.9946*1.97</f>
        <v>1.959362</v>
      </c>
      <c r="Z135" s="68">
        <f>0.9946*1.64</f>
        <v>1.6311439999999999</v>
      </c>
      <c r="AA135" s="490">
        <f>0.9946*2</f>
        <v>1.9892000000000001</v>
      </c>
      <c r="AB135" s="490">
        <f>0.9946*1.83</f>
        <v>1.8201180000000001</v>
      </c>
      <c r="AC135" s="490">
        <f>0.9946*2.18</f>
        <v>2.168228</v>
      </c>
      <c r="AD135" s="490">
        <f>0.9946*1.98</f>
        <v>1.9693080000000001</v>
      </c>
      <c r="AE135" s="490">
        <f>2.22*0.9946</f>
        <v>2.2080120000000001</v>
      </c>
      <c r="AF135" s="490">
        <v>1.98</v>
      </c>
      <c r="AG135" s="490">
        <v>2.2200000000000002</v>
      </c>
      <c r="AH135" s="490">
        <v>1.99</v>
      </c>
      <c r="AI135" s="490">
        <v>2.2999999999999998</v>
      </c>
      <c r="AJ135" s="490">
        <v>2</v>
      </c>
      <c r="AK135" s="490">
        <v>2.31</v>
      </c>
      <c r="AL135" s="490">
        <v>2</v>
      </c>
      <c r="AM135" s="490">
        <v>2.31</v>
      </c>
      <c r="AN135" s="490">
        <v>2</v>
      </c>
      <c r="AO135" s="490">
        <v>0.98</v>
      </c>
      <c r="AP135" s="490">
        <v>1.5</v>
      </c>
      <c r="AQ135" s="490">
        <v>2</v>
      </c>
      <c r="AR135" s="490">
        <v>1.75</v>
      </c>
      <c r="AS135" s="490">
        <v>2.1</v>
      </c>
      <c r="AT135" s="490">
        <v>2.1</v>
      </c>
      <c r="AU135" s="490">
        <v>2.4</v>
      </c>
      <c r="AV135" s="490">
        <v>2.15</v>
      </c>
      <c r="AW135" s="490">
        <v>2.5</v>
      </c>
      <c r="AX135" s="490">
        <v>2.25</v>
      </c>
      <c r="AY135" s="490">
        <v>2.6</v>
      </c>
      <c r="AZ135" s="387">
        <v>2.35</v>
      </c>
      <c r="BA135" s="765">
        <v>2.65</v>
      </c>
      <c r="BB135" s="765">
        <v>2.4</v>
      </c>
      <c r="BC135" s="765">
        <v>2.7</v>
      </c>
      <c r="BD135" s="765">
        <f>BB135+0.05</f>
        <v>2.4499999999999997</v>
      </c>
      <c r="BE135" s="765">
        <v>2.8</v>
      </c>
      <c r="BF135" s="765">
        <f>BD135+0.15</f>
        <v>2.5999999999999996</v>
      </c>
      <c r="BG135" s="765">
        <f>BE135+0.15</f>
        <v>2.9499999999999997</v>
      </c>
      <c r="BH135" s="765">
        <f t="shared" ref="BH135:BI135" si="1021">BF135+0.15</f>
        <v>2.7499999999999996</v>
      </c>
      <c r="BI135" s="765">
        <f t="shared" si="1021"/>
        <v>3.0999999999999996</v>
      </c>
      <c r="BJ135" s="765">
        <f>BH135+0.05</f>
        <v>2.7999999999999994</v>
      </c>
      <c r="BK135" s="765">
        <f>BI135+0.05</f>
        <v>3.1499999999999995</v>
      </c>
      <c r="BL135" s="765">
        <f t="shared" ref="BL135:BQ135" si="1022">BJ135+0.05</f>
        <v>2.8499999999999992</v>
      </c>
      <c r="BM135" s="765">
        <f t="shared" si="1022"/>
        <v>3.1999999999999993</v>
      </c>
      <c r="BN135" s="765">
        <f t="shared" si="1022"/>
        <v>2.899999999999999</v>
      </c>
      <c r="BO135" s="765">
        <f t="shared" si="1022"/>
        <v>3.2499999999999991</v>
      </c>
      <c r="BP135" s="765">
        <f t="shared" si="1022"/>
        <v>2.9499999999999988</v>
      </c>
      <c r="BQ135" s="765">
        <f t="shared" si="1022"/>
        <v>3.2999999999999989</v>
      </c>
      <c r="BR135" s="69"/>
      <c r="BS135" s="68">
        <f>0.9946*(0.2+0.2)</f>
        <v>0.39784000000000003</v>
      </c>
      <c r="BT135" s="68">
        <f>0.9946*(0.22+0.2)</f>
        <v>0.41773200000000005</v>
      </c>
      <c r="BU135" s="68">
        <f>0.9946*(0.36+0.24)</f>
        <v>0.59675999999999996</v>
      </c>
      <c r="BV135" s="68">
        <f>0.9946*(0.46+0.36)</f>
        <v>0.81557200000000007</v>
      </c>
      <c r="BW135" s="68">
        <f>0.9946*(0.52+0.38)</f>
        <v>0.89514000000000005</v>
      </c>
      <c r="BX135" s="68">
        <f>0.9946*(0.57+0.45)</f>
        <v>1.0144919999999999</v>
      </c>
      <c r="BY135" s="68">
        <f>0.9946*(0.58+0.46)</f>
        <v>1.034384</v>
      </c>
      <c r="BZ135" s="68">
        <f>0.9946*(0.66+0.49)</f>
        <v>1.1437899999999999</v>
      </c>
      <c r="CA135" s="68">
        <f>0.9946*(0.72+0.58)</f>
        <v>1.2929799999999998</v>
      </c>
      <c r="CB135" s="68">
        <f>0.9946*(0.75+0.61)</f>
        <v>1.3526559999999999</v>
      </c>
      <c r="CC135" s="69">
        <f>SUM(D135:E135)</f>
        <v>1.4919</v>
      </c>
      <c r="CD135" s="69">
        <f>SUM(F135:G135)</f>
        <v>1.5316839999999998</v>
      </c>
      <c r="CE135" s="69">
        <f>SUM(H135:I135)</f>
        <v>1.8201179999999999</v>
      </c>
      <c r="CF135" s="69">
        <f>SUM(J135:K135)</f>
        <v>1.959362</v>
      </c>
      <c r="CG135" s="69">
        <f>SUM(L135:M135)</f>
        <v>2.2279040000000001</v>
      </c>
      <c r="CH135" s="69">
        <f>SUM(N135:O135)</f>
        <v>2.546176</v>
      </c>
      <c r="CI135" s="69">
        <f>SUM(P135:Q135)</f>
        <v>2.6456359999999997</v>
      </c>
      <c r="CJ135" s="69">
        <f>SUM(R135:S135)</f>
        <v>2.2676879999999997</v>
      </c>
      <c r="CK135" s="69">
        <f>SUM(T135:U135)</f>
        <v>2.8843399999999999</v>
      </c>
      <c r="CL135" s="69">
        <f>SUM(V135:W135)</f>
        <v>3.1827199999999998</v>
      </c>
      <c r="CM135" s="69">
        <f>SUM(X135:Y135)</f>
        <v>3.3219640000000004</v>
      </c>
      <c r="CN135" s="69">
        <f>SUM(Z135:AA135)</f>
        <v>3.6203440000000002</v>
      </c>
      <c r="CO135" s="69">
        <f>SUM(AB135:AC135)</f>
        <v>3.9883459999999999</v>
      </c>
      <c r="CP135" s="69">
        <f>SUM(AD135:AE135)</f>
        <v>4.1773199999999999</v>
      </c>
      <c r="CQ135" s="69">
        <f>SUM(AF135:AG135)</f>
        <v>4.2</v>
      </c>
      <c r="CR135" s="69">
        <f>SUM(AH135:AI135)</f>
        <v>4.29</v>
      </c>
      <c r="CS135" s="69">
        <f>SUM(AJ135:AK135)</f>
        <v>4.3100000000000005</v>
      </c>
      <c r="CT135" s="69">
        <f>SUM(AL135:AM135)</f>
        <v>4.3100000000000005</v>
      </c>
      <c r="CU135" s="69">
        <f>SUM(AN135:AO135)</f>
        <v>2.98</v>
      </c>
      <c r="CV135" s="69">
        <f>SUM(AP135:AQ135)</f>
        <v>3.5</v>
      </c>
      <c r="CW135" s="69">
        <f>SUM(AR135:AS135)</f>
        <v>3.85</v>
      </c>
      <c r="CX135" s="69">
        <f>SUM(AT135:AU135)</f>
        <v>4.5</v>
      </c>
      <c r="CY135" s="69">
        <f>SUM(AV135:AW135)</f>
        <v>4.6500000000000004</v>
      </c>
      <c r="CZ135" s="70">
        <f>SUM(AX135:AY135)</f>
        <v>4.8499999999999996</v>
      </c>
      <c r="DA135" s="69">
        <f>SUM(AZ135:BA135)</f>
        <v>5</v>
      </c>
      <c r="DB135" s="69">
        <f>SUM(BB135:BC135)</f>
        <v>5.0999999999999996</v>
      </c>
      <c r="DC135" s="69">
        <f>SUM(BD135:BE135)</f>
        <v>5.25</v>
      </c>
      <c r="DD135" s="69">
        <f>SUM(BF135:BG135)</f>
        <v>5.5499999999999989</v>
      </c>
      <c r="DE135" s="69">
        <f>SUM(BH135:BI135)</f>
        <v>5.85</v>
      </c>
      <c r="DF135" s="69">
        <f>SUM(BJ135:BK135)</f>
        <v>5.9499999999999993</v>
      </c>
      <c r="DG135" s="69">
        <f>SUM(BL135:BM135)</f>
        <v>6.0499999999999989</v>
      </c>
      <c r="DH135" s="69">
        <f>SUM(BN135:BO135)</f>
        <v>6.1499999999999986</v>
      </c>
      <c r="DI135" s="69">
        <f>SUM(BP135:BQ135)</f>
        <v>6.2499999999999982</v>
      </c>
    </row>
    <row r="136" spans="1:113" outlineLevel="1">
      <c r="A136" s="1" t="s">
        <v>767</v>
      </c>
      <c r="B136" s="19" t="s">
        <v>761</v>
      </c>
      <c r="C136" s="232">
        <f t="shared" ref="C136:L136" si="1023">(C135*C543)/C515</f>
        <v>0.81237404549412273</v>
      </c>
      <c r="D136" s="376">
        <f t="shared" si="1023"/>
        <v>0.7249433268085107</v>
      </c>
      <c r="E136" s="376">
        <f t="shared" si="1023"/>
        <v>0.79519776908668727</v>
      </c>
      <c r="F136" s="376">
        <f t="shared" si="1023"/>
        <v>0.72809018558080796</v>
      </c>
      <c r="G136" s="376">
        <f t="shared" si="1023"/>
        <v>0.78870774133974819</v>
      </c>
      <c r="H136" s="376">
        <f t="shared" si="1023"/>
        <v>0.82950602004995844</v>
      </c>
      <c r="I136" s="376">
        <f t="shared" si="1023"/>
        <v>0.94369440379038039</v>
      </c>
      <c r="J136" s="376">
        <f t="shared" si="1023"/>
        <v>0.64760442990430611</v>
      </c>
      <c r="K136" s="376">
        <f t="shared" si="1023"/>
        <v>0.84896939765541746</v>
      </c>
      <c r="L136" s="376">
        <f t="shared" si="1023"/>
        <v>0.58769964350315385</v>
      </c>
      <c r="M136" s="376">
        <f t="shared" ref="M136:X136" si="1024">(M135*M543)/M515</f>
        <v>0.83723713940763056</v>
      </c>
      <c r="N136" s="376">
        <f t="shared" si="1024"/>
        <v>0.60860631055555547</v>
      </c>
      <c r="O136" s="376">
        <f t="shared" si="1024"/>
        <v>0.87925101190562616</v>
      </c>
      <c r="P136" s="376">
        <f t="shared" si="1024"/>
        <v>0.63010058130508462</v>
      </c>
      <c r="Q136" s="376">
        <f t="shared" si="1024"/>
        <v>0.87267967389677426</v>
      </c>
      <c r="R136" s="376">
        <f t="shared" si="1024"/>
        <v>0.88428478060638283</v>
      </c>
      <c r="S136" s="376">
        <f t="shared" si="1024"/>
        <v>0.73666015577815258</v>
      </c>
      <c r="T136" s="376">
        <f t="shared" si="1024"/>
        <v>0.63072809126413143</v>
      </c>
      <c r="U136" s="376">
        <f t="shared" si="1024"/>
        <v>0.83982568925039869</v>
      </c>
      <c r="V136" s="376">
        <f t="shared" si="1024"/>
        <v>0.61713170470268641</v>
      </c>
      <c r="W136" s="376">
        <f t="shared" si="1024"/>
        <v>0.84202241917241372</v>
      </c>
      <c r="X136" s="376">
        <f t="shared" si="1024"/>
        <v>0.60921102711192343</v>
      </c>
      <c r="Y136" s="376">
        <f>(Y135*Y543)/Y515</f>
        <v>0.89233141297297291</v>
      </c>
      <c r="Z136" s="376">
        <f>(Z135*Z543)/Z515</f>
        <v>0.7075218711099196</v>
      </c>
      <c r="AA136" s="376">
        <f t="shared" ref="AA136:AH136" si="1025">(AA135*AA543)/AA515</f>
        <v>0.8080200501253133</v>
      </c>
      <c r="AB136" s="376">
        <f t="shared" si="1025"/>
        <v>0.69492579505300356</v>
      </c>
      <c r="AC136" s="376">
        <f t="shared" si="1025"/>
        <v>0.80496127562642361</v>
      </c>
      <c r="AD136" s="376">
        <f t="shared" si="1025"/>
        <v>0.69802391913894313</v>
      </c>
      <c r="AE136" s="376">
        <f t="shared" si="1025"/>
        <v>0.80565314311190372</v>
      </c>
      <c r="AF136" s="376">
        <f t="shared" si="1025"/>
        <v>0.70809045226130651</v>
      </c>
      <c r="AG136" s="376">
        <f>(AG135*AG543)/AG515</f>
        <v>0.82426932236414807</v>
      </c>
      <c r="AH136" s="376">
        <f t="shared" si="1025"/>
        <v>0.71018434134217068</v>
      </c>
      <c r="AI136" s="376">
        <f t="shared" ref="AI136:AN136" si="1026">(AI135*AI543)/AI515</f>
        <v>0.8243215247565775</v>
      </c>
      <c r="AJ136" s="376">
        <f t="shared" si="1026"/>
        <v>0.76250543714658547</v>
      </c>
      <c r="AK136" s="376">
        <f t="shared" si="1026"/>
        <v>0.94176511466296042</v>
      </c>
      <c r="AL136" s="376">
        <f t="shared" si="1026"/>
        <v>0.78457749043950331</v>
      </c>
      <c r="AM136" s="376">
        <f t="shared" si="1026"/>
        <v>1.1026981217541532</v>
      </c>
      <c r="AN136" s="376">
        <f t="shared" si="1026"/>
        <v>0.81822949248902244</v>
      </c>
      <c r="AO136" s="376">
        <f t="shared" ref="AO136:AT136" si="1027">(AO135*AO543)/AO515</f>
        <v>0.59863171734299514</v>
      </c>
      <c r="AP136" s="376">
        <f t="shared" si="1027"/>
        <v>0.6879898177352638</v>
      </c>
      <c r="AQ136" s="376">
        <f t="shared" si="1027"/>
        <v>0.74152410031347971</v>
      </c>
      <c r="AR136" s="376">
        <f t="shared" si="1027"/>
        <v>0.62920044358407079</v>
      </c>
      <c r="AS136" s="376">
        <f t="shared" si="1027"/>
        <v>0.736900526417818</v>
      </c>
      <c r="AT136" s="376">
        <f t="shared" si="1027"/>
        <v>0.68449223067567566</v>
      </c>
      <c r="AU136" s="376">
        <f t="shared" ref="AU136:AV136" si="1028">(AU135*AU543)/AU515</f>
        <v>0.82151401030253479</v>
      </c>
      <c r="AV136" s="376">
        <f t="shared" si="1028"/>
        <v>0.71676122896991434</v>
      </c>
      <c r="AW136" s="376">
        <f t="shared" ref="AW136:AY136" si="1029">(AW135*AW543)/AW515</f>
        <v>0.86779636184347109</v>
      </c>
      <c r="AX136" s="376">
        <f t="shared" si="1029"/>
        <v>0.73304700248441157</v>
      </c>
      <c r="AY136" s="376">
        <f t="shared" si="1029"/>
        <v>0.84898233976562532</v>
      </c>
      <c r="AZ136" s="375">
        <f t="shared" ref="AZ136" si="1030">(AZ135*AZ543)/AZ515</f>
        <v>0.72166955862258964</v>
      </c>
      <c r="BA136" s="376">
        <f t="shared" ref="BA136:BE136" si="1031">(BA135*BA543)/BA515</f>
        <v>0.78766027615896383</v>
      </c>
      <c r="BB136" s="376">
        <f t="shared" si="1031"/>
        <v>0.69384097437018699</v>
      </c>
      <c r="BC136" s="376">
        <f t="shared" si="1031"/>
        <v>0.77888310648269354</v>
      </c>
      <c r="BD136" s="376">
        <f t="shared" si="1031"/>
        <v>0.69832719662286336</v>
      </c>
      <c r="BE136" s="376">
        <f t="shared" si="1031"/>
        <v>0.77268483390609288</v>
      </c>
      <c r="BF136" s="376">
        <f t="shared" ref="BF136:BM136" si="1032">(BF135*BF543)/BF515</f>
        <v>0.69215102545561302</v>
      </c>
      <c r="BG136" s="376">
        <f t="shared" si="1032"/>
        <v>0.77112356725681053</v>
      </c>
      <c r="BH136" s="376">
        <f t="shared" si="1032"/>
        <v>0.70051838931818644</v>
      </c>
      <c r="BI136" s="376">
        <f t="shared" si="1032"/>
        <v>0.78707224355691174</v>
      </c>
      <c r="BJ136" s="376">
        <f t="shared" si="1032"/>
        <v>0.70406812626179449</v>
      </c>
      <c r="BK136" s="376">
        <f t="shared" si="1032"/>
        <v>0.80578393102824764</v>
      </c>
      <c r="BL136" s="376">
        <f t="shared" si="1032"/>
        <v>0.71629166849260273</v>
      </c>
      <c r="BM136" s="376">
        <f t="shared" si="1032"/>
        <v>0.80485675843687388</v>
      </c>
      <c r="BN136" s="376">
        <f t="shared" ref="BN136:BO136" si="1033">(BN135*BN543)/BN515</f>
        <v>0.70778206592125392</v>
      </c>
      <c r="BO136" s="376">
        <f t="shared" si="1033"/>
        <v>0.79468779099720643</v>
      </c>
      <c r="BP136" s="376">
        <f t="shared" ref="BP136:BQ136" si="1034">(BP135*BP543)/BP515</f>
        <v>0.69769649680270363</v>
      </c>
      <c r="BQ136" s="376">
        <f t="shared" si="1034"/>
        <v>0.78189052980758977</v>
      </c>
      <c r="BR136" s="42"/>
      <c r="BS136" s="232">
        <f t="shared" ref="BS136:CB136" si="1035">(BS135*BS543)/BS515</f>
        <v>0.82601659672291528</v>
      </c>
      <c r="BT136" s="232">
        <f t="shared" si="1035"/>
        <v>0.6350005627979276</v>
      </c>
      <c r="BU136" s="232">
        <f t="shared" si="1035"/>
        <v>0.79613884926686196</v>
      </c>
      <c r="BV136" s="232">
        <f t="shared" si="1035"/>
        <v>0.76983900542037587</v>
      </c>
      <c r="BW136" s="232">
        <f t="shared" si="1035"/>
        <v>0.79657107587131371</v>
      </c>
      <c r="BX136" s="232">
        <f t="shared" si="1035"/>
        <v>0.75963232962369887</v>
      </c>
      <c r="BY136" s="232">
        <f t="shared" si="1035"/>
        <v>0.73983392826522743</v>
      </c>
      <c r="BZ136" s="232">
        <f t="shared" si="1035"/>
        <v>0.71706189159292022</v>
      </c>
      <c r="CA136" s="232">
        <f t="shared" si="1035"/>
        <v>0.97631857651966603</v>
      </c>
      <c r="CB136" s="232">
        <f t="shared" si="1035"/>
        <v>0.75093698126941832</v>
      </c>
      <c r="CC136" s="376">
        <f>(D135*D543+E135*E543)/(D515+E515)</f>
        <v>0.76173649236319418</v>
      </c>
      <c r="CD136" s="376">
        <f>(F135*F543+G135*G543)/(F515+G515)</f>
        <v>0.76034474163844012</v>
      </c>
      <c r="CE136" s="376">
        <f>(H135*H543+I135*I543)/(H515+I515)</f>
        <v>0.89082615056283732</v>
      </c>
      <c r="CF136" s="376">
        <f>(J135*J543+K135*K543)/(J515+K515)</f>
        <v>0.7487961676405831</v>
      </c>
      <c r="CG136" s="376">
        <f>(L135*L543+M135*M543)/(L515+M515)</f>
        <v>0.71034427509499143</v>
      </c>
      <c r="CH136" s="376">
        <f>(N135*N543+O135*O543)/(N515+O515)</f>
        <v>0.74199202651610008</v>
      </c>
      <c r="CI136" s="376">
        <f>(P135*P543+Q135*Q543)/(P515+Q515)</f>
        <v>0.75048401572892209</v>
      </c>
      <c r="CJ136" s="376">
        <f>(R135*R543+S135*S543)/(R515+S515)</f>
        <v>0.80194698115502228</v>
      </c>
      <c r="CK136" s="376">
        <f>(T135*T543+U135*U543)/(T515+U515)</f>
        <v>0.73900707535513699</v>
      </c>
      <c r="CL136" s="376">
        <f>(V135*V543+W135*W543)/(V515+W515)</f>
        <v>0.73234143329898427</v>
      </c>
      <c r="CM136" s="376">
        <f>(X135*X543+Y135*Y543)/(X515+Y515)</f>
        <v>0.74995040715740346</v>
      </c>
      <c r="CN136" s="376">
        <f>(Z135*Z543+AA135*AA543)/(Z515+AA515)</f>
        <v>0.7594632874663213</v>
      </c>
      <c r="CO136" s="376">
        <f>(AB135*AB543+AC135*AC543)/(AB515+AC515)</f>
        <v>0.75086740011580777</v>
      </c>
      <c r="CP136" s="376">
        <f>(AD135*AD543+AE135*AE543)/(AD515+AE515)</f>
        <v>0.7511691804204732</v>
      </c>
      <c r="CQ136" s="376">
        <f>(AF135*AF543+AG135*AG543)/(AF515+AG515)</f>
        <v>0.76520915380521559</v>
      </c>
      <c r="CR136" s="376">
        <f>(AH135*AH543+AI135*AI543)/(AH515+AI515)</f>
        <v>0.7672470222682547</v>
      </c>
      <c r="CS136" s="376">
        <f>(AJ135*AJ543+AK135*AK543)/(AJ515+AK515)</f>
        <v>0.84931015143017385</v>
      </c>
      <c r="CT136" s="376">
        <f>(AL135*AL543+AM135*AM543)/(AL515+AM515)</f>
        <v>0.92807836944045696</v>
      </c>
      <c r="CU136" s="376">
        <f>(AN135*AN543+AO135*AO543)/(AN515+AO515)</f>
        <v>0.73014722918477504</v>
      </c>
      <c r="CV136" s="376">
        <f>(AP135*AP543+AQ135*AQ543)/(AP515+AQ515)</f>
        <v>0.71759360164104935</v>
      </c>
      <c r="CW136" s="376">
        <f>(AR135*AR543+AS135*AS543)/(AR515+AS515)</f>
        <v>0.68362855214695162</v>
      </c>
      <c r="CX136" s="376">
        <f>(AT135*AT543+AU135*AU543)/(AT515+AU515)</f>
        <v>0.75104411172557584</v>
      </c>
      <c r="CY136" s="376">
        <f>(AV135*AV543+AW135*AW543)/(AV515+AW515)</f>
        <v>0.79072790597803988</v>
      </c>
      <c r="CZ136" s="375">
        <f>(AX135*AX543+AY135*AY543)/(AX515+AY515)</f>
        <v>0.79094681977662906</v>
      </c>
      <c r="DA136" s="232">
        <f>(AZ135*AZ543+BA135*BA543)/(AZ515+BA515)</f>
        <v>0.75520343294007941</v>
      </c>
      <c r="DB136" s="232">
        <f>(BB135*BB543+BC135*BC543)/(BB515+BC515)</f>
        <v>0.73631853341391373</v>
      </c>
      <c r="DC136" s="232">
        <f>(BD135*BD543+BE135*BE543)/(BD515+BE515)</f>
        <v>0.73603483654569335</v>
      </c>
      <c r="DD136" s="232">
        <f>(BF135*BF543+BG135*BG543)/(BF515+BG515)</f>
        <v>0.73199758421546091</v>
      </c>
      <c r="DE136" s="232">
        <f>(BH135*BH543+BI135*BI543)/(BH515+BI515)</f>
        <v>0.74386676174551647</v>
      </c>
      <c r="DF136" s="232">
        <f>(BJ135*BJ543+BK135*BK543)/(BJ515+BK515)</f>
        <v>0.75448974279078496</v>
      </c>
      <c r="DG136" s="232">
        <f>(BL135*BL543+BM135*BM543)/(BL515+BM515)</f>
        <v>0.76055771680073236</v>
      </c>
      <c r="DH136" s="232">
        <f>(BN135*BN543+BO135*BO543)/(BN515+BO515)</f>
        <v>0.75119432540731035</v>
      </c>
      <c r="DI136" s="232">
        <f>(BP135*BP543+BQ135*BQ543)/(BP515+BQ515)</f>
        <v>0.73975534699646273</v>
      </c>
    </row>
    <row r="137" spans="1:113" outlineLevel="1">
      <c r="A137" s="1" t="s">
        <v>768</v>
      </c>
      <c r="B137" s="19" t="s">
        <v>769</v>
      </c>
      <c r="C137" s="53">
        <v>0</v>
      </c>
      <c r="D137" s="53">
        <v>0</v>
      </c>
      <c r="E137" s="53">
        <v>400.2</v>
      </c>
      <c r="F137" s="53">
        <v>260</v>
      </c>
      <c r="G137" s="53">
        <v>417</v>
      </c>
      <c r="H137" s="53">
        <v>337</v>
      </c>
      <c r="I137" s="53">
        <v>75</v>
      </c>
      <c r="J137" s="53">
        <v>0</v>
      </c>
      <c r="K137" s="53">
        <v>194</v>
      </c>
      <c r="L137" s="53">
        <v>324</v>
      </c>
      <c r="M137" s="53">
        <v>0</v>
      </c>
      <c r="N137" s="53">
        <v>88</v>
      </c>
      <c r="O137" s="53">
        <v>559</v>
      </c>
      <c r="P137" s="53">
        <v>781</v>
      </c>
      <c r="Q137" s="53">
        <v>495</v>
      </c>
      <c r="R137" s="53">
        <v>554</v>
      </c>
      <c r="S137" s="53">
        <v>758</v>
      </c>
      <c r="T137" s="53">
        <v>244</v>
      </c>
      <c r="U137" s="53">
        <v>446</v>
      </c>
      <c r="V137" s="53">
        <v>642</v>
      </c>
      <c r="W137" s="53">
        <v>510</v>
      </c>
      <c r="X137" s="53">
        <v>435</v>
      </c>
      <c r="Y137" s="53">
        <v>390</v>
      </c>
      <c r="Z137" s="53">
        <v>435</v>
      </c>
      <c r="AA137" s="164">
        <v>742</v>
      </c>
      <c r="AB137" s="164">
        <v>849</v>
      </c>
      <c r="AC137" s="164">
        <v>533</v>
      </c>
      <c r="AD137" s="164">
        <v>624</v>
      </c>
      <c r="AE137" s="164">
        <v>569</v>
      </c>
      <c r="AF137" s="164">
        <v>395</v>
      </c>
      <c r="AG137" s="164">
        <v>532</v>
      </c>
      <c r="AH137" s="164">
        <v>537</v>
      </c>
      <c r="AI137" s="164">
        <v>1067</v>
      </c>
      <c r="AJ137" s="164">
        <v>1242</v>
      </c>
      <c r="AK137" s="164">
        <v>1464</v>
      </c>
      <c r="AL137" s="164">
        <v>1730</v>
      </c>
      <c r="AM137" s="164">
        <v>1190</v>
      </c>
      <c r="AN137" s="164">
        <v>1255</v>
      </c>
      <c r="AO137" s="164">
        <v>2007</v>
      </c>
      <c r="AP137" s="164">
        <v>2307</v>
      </c>
      <c r="AQ137" s="164">
        <v>3709</v>
      </c>
      <c r="AR137" s="164">
        <v>1354</v>
      </c>
      <c r="AS137" s="164">
        <v>1635</v>
      </c>
      <c r="AT137" s="164">
        <v>1645</v>
      </c>
      <c r="AU137" s="164">
        <v>1928</v>
      </c>
      <c r="AV137" s="164">
        <v>1688</v>
      </c>
      <c r="AW137" s="164">
        <v>1861</v>
      </c>
      <c r="AX137" s="164">
        <v>1738</v>
      </c>
      <c r="AY137" s="164">
        <v>2008</v>
      </c>
      <c r="AZ137" s="171">
        <v>1895</v>
      </c>
      <c r="BA137" s="55">
        <f t="shared" ref="BA137:BM137" si="1036">AZ137-(BA509-BA498-BA499)*BA131-(BA135*BA543)*BA128/(1-BA128)*BA138</f>
        <v>1553.065329499072</v>
      </c>
      <c r="BB137" s="55">
        <f t="shared" si="1036"/>
        <v>1457.594862083992</v>
      </c>
      <c r="BC137" s="55">
        <f t="shared" si="1036"/>
        <v>1152.8659070353006</v>
      </c>
      <c r="BD137" s="55">
        <f t="shared" si="1036"/>
        <v>1045.6918814417963</v>
      </c>
      <c r="BE137" s="55">
        <f t="shared" si="1036"/>
        <v>745.49633472566575</v>
      </c>
      <c r="BF137" s="55">
        <f t="shared" si="1036"/>
        <v>647.91202427903158</v>
      </c>
      <c r="BG137" s="55">
        <f t="shared" si="1036"/>
        <v>336.37474454948551</v>
      </c>
      <c r="BH137" s="55">
        <f t="shared" si="1036"/>
        <v>211.32687172865735</v>
      </c>
      <c r="BI137" s="55">
        <f t="shared" si="1036"/>
        <v>-153.52908990729634</v>
      </c>
      <c r="BJ137" s="55">
        <f t="shared" si="1036"/>
        <v>-290.12198224021631</v>
      </c>
      <c r="BK137" s="55">
        <f t="shared" si="1036"/>
        <v>-703.62064752345964</v>
      </c>
      <c r="BL137" s="55">
        <f t="shared" si="1036"/>
        <v>-874.43341754511539</v>
      </c>
      <c r="BM137" s="55">
        <f t="shared" si="1036"/>
        <v>-1292.3908075320178</v>
      </c>
      <c r="BN137" s="55">
        <f t="shared" ref="BN137" si="1037">BM137-(BN509-BN498-BN499)*BN131-(BN135*BN543)*BN128/(1-BN128)*BN138</f>
        <v>-1443.8056476927691</v>
      </c>
      <c r="BO137" s="55">
        <f t="shared" ref="BO137" si="1038">BN137-(BO509-BO498-BO499)*BO131-(BO135*BO543)*BO128/(1-BO128)*BO138</f>
        <v>-1844.5213086181363</v>
      </c>
      <c r="BP137" s="55">
        <f t="shared" ref="BP137" si="1039">BO137-(BP509-BP498-BP499)*BP131-(BP135*BP543)*BP128/(1-BP128)*BP138</f>
        <v>-1970.8274217668363</v>
      </c>
      <c r="BQ137" s="55">
        <f t="shared" ref="BQ137" si="1040">BP137-(BQ509-BQ498-BQ499)*BQ131-(BQ135*BQ543)*BQ128/(1-BQ128)*BQ138</f>
        <v>-2346.438877767172</v>
      </c>
      <c r="BR137" s="55"/>
      <c r="BS137" s="53">
        <v>1690</v>
      </c>
      <c r="BT137" s="53">
        <v>1600</v>
      </c>
      <c r="BU137" s="53">
        <v>1350</v>
      </c>
      <c r="BV137" s="53">
        <v>1443.3</v>
      </c>
      <c r="BW137" s="53">
        <v>1406</v>
      </c>
      <c r="BX137" s="53">
        <v>1202</v>
      </c>
      <c r="BY137" s="53">
        <v>474</v>
      </c>
      <c r="BZ137" s="53">
        <v>96</v>
      </c>
      <c r="CA137" s="53">
        <v>450</v>
      </c>
      <c r="CB137" s="53">
        <v>0</v>
      </c>
      <c r="CC137" s="55">
        <f>E137</f>
        <v>400.2</v>
      </c>
      <c r="CD137" s="55">
        <f>G137</f>
        <v>417</v>
      </c>
      <c r="CE137" s="55">
        <f>I137</f>
        <v>75</v>
      </c>
      <c r="CF137" s="55">
        <f>K137</f>
        <v>194</v>
      </c>
      <c r="CG137" s="55">
        <f>M137</f>
        <v>0</v>
      </c>
      <c r="CH137" s="55">
        <f>O137</f>
        <v>559</v>
      </c>
      <c r="CI137" s="55">
        <f>Q137</f>
        <v>495</v>
      </c>
      <c r="CJ137" s="55">
        <f>S137</f>
        <v>758</v>
      </c>
      <c r="CK137" s="55">
        <f>U137</f>
        <v>446</v>
      </c>
      <c r="CL137" s="55">
        <f>W137</f>
        <v>510</v>
      </c>
      <c r="CM137" s="55">
        <f>Y137</f>
        <v>390</v>
      </c>
      <c r="CN137" s="55">
        <f>AA137</f>
        <v>742</v>
      </c>
      <c r="CO137" s="55">
        <f>AC137</f>
        <v>533</v>
      </c>
      <c r="CP137" s="55">
        <f>AE137</f>
        <v>569</v>
      </c>
      <c r="CQ137" s="55">
        <f>AG137</f>
        <v>532</v>
      </c>
      <c r="CR137" s="55">
        <f>AI137</f>
        <v>1067</v>
      </c>
      <c r="CS137" s="55">
        <f>AK137</f>
        <v>1464</v>
      </c>
      <c r="CT137" s="55">
        <f>AM137</f>
        <v>1190</v>
      </c>
      <c r="CU137" s="55">
        <f>AO137</f>
        <v>2007</v>
      </c>
      <c r="CV137" s="55">
        <f>AQ137</f>
        <v>3709</v>
      </c>
      <c r="CW137" s="55">
        <f>AS137</f>
        <v>1635</v>
      </c>
      <c r="CX137" s="55">
        <f>AU137</f>
        <v>1928</v>
      </c>
      <c r="CY137" s="55">
        <f>AW137</f>
        <v>1861</v>
      </c>
      <c r="CZ137" s="56">
        <f>AY137</f>
        <v>2008</v>
      </c>
      <c r="DA137" s="55">
        <f>BA137</f>
        <v>1553.065329499072</v>
      </c>
      <c r="DB137" s="55">
        <f>BC137</f>
        <v>1152.8659070353006</v>
      </c>
      <c r="DC137" s="55">
        <f>BE137</f>
        <v>745.49633472566575</v>
      </c>
      <c r="DD137" s="55">
        <f>BG137</f>
        <v>336.37474454948551</v>
      </c>
      <c r="DE137" s="55">
        <f>BI137</f>
        <v>-153.52908990729634</v>
      </c>
      <c r="DF137" s="55">
        <f>BK137</f>
        <v>-703.62064752345964</v>
      </c>
      <c r="DG137" s="55">
        <f>BM137</f>
        <v>-1292.3908075320178</v>
      </c>
      <c r="DH137" s="55">
        <f>BO137</f>
        <v>-1844.5213086181363</v>
      </c>
      <c r="DI137" s="55">
        <f>BQ137</f>
        <v>-2346.438877767172</v>
      </c>
    </row>
    <row r="138" spans="1:113" outlineLevel="1">
      <c r="A138" s="1" t="s">
        <v>904</v>
      </c>
      <c r="B138" s="19" t="s">
        <v>905</v>
      </c>
      <c r="C138" s="555">
        <v>1</v>
      </c>
      <c r="D138" s="555">
        <v>1</v>
      </c>
      <c r="E138" s="555">
        <v>1</v>
      </c>
      <c r="F138" s="555">
        <v>1</v>
      </c>
      <c r="G138" s="555">
        <v>1</v>
      </c>
      <c r="H138" s="555">
        <v>1</v>
      </c>
      <c r="I138" s="555">
        <v>1</v>
      </c>
      <c r="J138" s="555">
        <v>1</v>
      </c>
      <c r="K138" s="556">
        <v>1</v>
      </c>
      <c r="L138" s="556">
        <v>1</v>
      </c>
      <c r="M138" s="71">
        <v>1</v>
      </c>
      <c r="N138" s="71">
        <v>1</v>
      </c>
      <c r="O138" s="71">
        <v>1</v>
      </c>
      <c r="P138" s="71">
        <v>1</v>
      </c>
      <c r="Q138" s="71">
        <v>1</v>
      </c>
      <c r="R138" s="71">
        <v>1</v>
      </c>
      <c r="S138" s="71">
        <v>1</v>
      </c>
      <c r="T138" s="71">
        <v>1</v>
      </c>
      <c r="U138" s="71">
        <v>1</v>
      </c>
      <c r="V138" s="71">
        <v>1</v>
      </c>
      <c r="W138" s="71">
        <v>1</v>
      </c>
      <c r="X138" s="71">
        <v>1</v>
      </c>
      <c r="Y138" s="172">
        <v>1</v>
      </c>
      <c r="Z138" s="172">
        <v>1</v>
      </c>
      <c r="AA138" s="172">
        <v>1</v>
      </c>
      <c r="AB138" s="532">
        <v>1</v>
      </c>
      <c r="AC138" s="532">
        <v>1</v>
      </c>
      <c r="AD138" s="532">
        <v>1</v>
      </c>
      <c r="AE138" s="532">
        <v>1</v>
      </c>
      <c r="AF138" s="532">
        <v>1</v>
      </c>
      <c r="AG138" s="532">
        <v>1</v>
      </c>
      <c r="AH138" s="532">
        <v>1</v>
      </c>
      <c r="AI138" s="532">
        <v>1</v>
      </c>
      <c r="AJ138" s="532">
        <v>1</v>
      </c>
      <c r="AK138" s="532">
        <v>1</v>
      </c>
      <c r="AL138" s="532">
        <v>1</v>
      </c>
      <c r="AM138" s="532">
        <v>1</v>
      </c>
      <c r="AN138" s="532">
        <v>1</v>
      </c>
      <c r="AO138" s="532">
        <v>1</v>
      </c>
      <c r="AP138" s="532">
        <v>1</v>
      </c>
      <c r="AQ138" s="532">
        <v>1</v>
      </c>
      <c r="AR138" s="532">
        <v>1</v>
      </c>
      <c r="AS138" s="532">
        <v>1</v>
      </c>
      <c r="AT138" s="532">
        <v>1</v>
      </c>
      <c r="AU138" s="532">
        <v>1</v>
      </c>
      <c r="AV138" s="532">
        <v>1</v>
      </c>
      <c r="AW138" s="532">
        <v>1</v>
      </c>
      <c r="AX138" s="532">
        <v>1</v>
      </c>
      <c r="AY138" s="532">
        <v>1</v>
      </c>
      <c r="AZ138" s="500">
        <v>1</v>
      </c>
      <c r="BA138" s="60">
        <v>1</v>
      </c>
      <c r="BB138" s="60">
        <v>1</v>
      </c>
      <c r="BC138" s="60">
        <v>1</v>
      </c>
      <c r="BD138" s="60">
        <v>1</v>
      </c>
      <c r="BE138" s="60">
        <v>1</v>
      </c>
      <c r="BF138" s="60">
        <v>1</v>
      </c>
      <c r="BG138" s="60">
        <v>1</v>
      </c>
      <c r="BH138" s="60">
        <v>1</v>
      </c>
      <c r="BI138" s="60">
        <v>1</v>
      </c>
      <c r="BJ138" s="60">
        <v>1</v>
      </c>
      <c r="BK138" s="60">
        <v>1</v>
      </c>
      <c r="BL138" s="486">
        <v>1</v>
      </c>
      <c r="BM138" s="486">
        <v>1</v>
      </c>
      <c r="BN138" s="486">
        <v>1</v>
      </c>
      <c r="BO138" s="486">
        <v>1</v>
      </c>
      <c r="BP138" s="486">
        <v>1</v>
      </c>
      <c r="BQ138" s="486">
        <v>1</v>
      </c>
      <c r="BR138" s="60"/>
      <c r="BS138" s="556">
        <v>1</v>
      </c>
      <c r="BT138" s="556">
        <v>1</v>
      </c>
      <c r="BU138" s="556">
        <v>1</v>
      </c>
      <c r="BV138" s="556">
        <v>1</v>
      </c>
      <c r="BW138" s="556">
        <v>1</v>
      </c>
      <c r="BX138" s="556">
        <v>1</v>
      </c>
      <c r="BY138" s="556">
        <v>1</v>
      </c>
      <c r="BZ138" s="556">
        <v>1</v>
      </c>
      <c r="CA138" s="556">
        <v>1</v>
      </c>
      <c r="CB138" s="556">
        <v>1</v>
      </c>
      <c r="CC138" s="57">
        <f>(E138*E135+D138*D135)/(E135+D135)</f>
        <v>1</v>
      </c>
      <c r="CD138" s="57">
        <f>(G138*G135+F138*F135)/(G135+F135)</f>
        <v>1</v>
      </c>
      <c r="CE138" s="57">
        <f>(I138*I135+H138*H135)/(I135+H135)</f>
        <v>1</v>
      </c>
      <c r="CF138" s="57">
        <f>(K138*K135+J138*J135)/(K135+J135)</f>
        <v>1</v>
      </c>
      <c r="CG138" s="57">
        <f>(M138*M135+L138*L135)/(M135+L135)</f>
        <v>1</v>
      </c>
      <c r="CH138" s="57">
        <f>(O138*O135+N138*N135)/(O135+N135)</f>
        <v>1</v>
      </c>
      <c r="CI138" s="57">
        <f>(Q138*Q135+P138*P135)/(Q135+P135)</f>
        <v>1</v>
      </c>
      <c r="CJ138" s="57">
        <f>(S138*S135+R138*R135)/(S135+R135)</f>
        <v>1</v>
      </c>
      <c r="CK138" s="57">
        <f>(U138*U135+T138*T135)/(U135+T135)</f>
        <v>1</v>
      </c>
      <c r="CL138" s="57">
        <f>(W138*W135+V138*V135)/(W135+V135)</f>
        <v>1</v>
      </c>
      <c r="CM138" s="58">
        <f>(Y138*Y135+X138*X135)/(Y135+X135)</f>
        <v>1</v>
      </c>
      <c r="CN138" s="58">
        <f>(AA138*AA135+Z138*Z135)/(AA135+Z135)</f>
        <v>1</v>
      </c>
      <c r="CO138" s="58">
        <f>(AC138*AC135+AB138*AB135)/(AC135+AB135)</f>
        <v>1</v>
      </c>
      <c r="CP138" s="58">
        <f>(AE138*AE135+AD138*AD135)/(AE135+AD135)</f>
        <v>1</v>
      </c>
      <c r="CQ138" s="58">
        <f>(AG138*AG135+AF138*AF135)/(AG135+AF135)</f>
        <v>1</v>
      </c>
      <c r="CR138" s="58">
        <f>(AI138*AI135+AH138*AH135)/(AI135+AH135)</f>
        <v>1</v>
      </c>
      <c r="CS138" s="58">
        <f>(AK138*AK135+AJ138*AJ135)/(AK135+AJ135)</f>
        <v>1</v>
      </c>
      <c r="CT138" s="58">
        <f>(AM138*AM135+AL138*AL135)/(AM135+AL135)</f>
        <v>1</v>
      </c>
      <c r="CU138" s="58">
        <f>(AO138*AO135+AN138*AN135)/(AO135+AN135)</f>
        <v>1</v>
      </c>
      <c r="CV138" s="58">
        <f>(AQ138*AQ135+AP138*AP135)/(AQ135+AP135)</f>
        <v>1</v>
      </c>
      <c r="CW138" s="58">
        <f>(AS138*AS135+AR138*AR135)/(AS135+AR135)</f>
        <v>1</v>
      </c>
      <c r="CX138" s="58">
        <f>(AU138*AU135+AT138*AT135)/(AU135+AT135)</f>
        <v>1</v>
      </c>
      <c r="CY138" s="58">
        <f>(AW138*AW135+AV138*AV135)/(AW135+AV135)</f>
        <v>1</v>
      </c>
      <c r="CZ138" s="59">
        <f>(AY138*AY135+AX138*AX135)/(AY135+AX135)</f>
        <v>1</v>
      </c>
      <c r="DA138" s="57">
        <f>(BA138*BA135+AZ138*AZ135)/(BA135+AZ135)</f>
        <v>1</v>
      </c>
      <c r="DB138" s="57">
        <f>(BC138*BC135+BB138*BB135)/(BC135+BB135)</f>
        <v>1</v>
      </c>
      <c r="DC138" s="57">
        <f>(BE138*BE135+BD138*BD135)/(BE135+BD135)</f>
        <v>1</v>
      </c>
      <c r="DD138" s="57">
        <f>(BG138*BG135+BF138*BF135)/(BG135+BF135)</f>
        <v>1</v>
      </c>
      <c r="DE138" s="57">
        <f>(BI138*BI135+BH138*BH135)/(BI135+BH135)</f>
        <v>1</v>
      </c>
      <c r="DF138" s="57">
        <f>(BK138*BK135+BJ138*BJ135)/(BK135+BJ135)</f>
        <v>1</v>
      </c>
      <c r="DG138" s="230">
        <f>(BM138*BM135+BL138*BL135)/(BM135+BL135)</f>
        <v>1</v>
      </c>
      <c r="DH138" s="230">
        <f>(BO138*BO135+BN138*BN135)/(BO135+BN135)</f>
        <v>1</v>
      </c>
      <c r="DI138" s="230">
        <f>(BQ138*BQ135+BP138*BP135)/(BQ135+BP135)</f>
        <v>1</v>
      </c>
    </row>
    <row r="139" spans="1:113" outlineLevel="1">
      <c r="A139" s="1" t="s">
        <v>1048</v>
      </c>
      <c r="B139" s="19" t="s">
        <v>409</v>
      </c>
      <c r="C139" s="230" t="s">
        <v>215</v>
      </c>
      <c r="D139" s="230" t="s">
        <v>215</v>
      </c>
      <c r="E139" s="230" t="s">
        <v>215</v>
      </c>
      <c r="F139" s="230" t="s">
        <v>215</v>
      </c>
      <c r="G139" s="230" t="s">
        <v>215</v>
      </c>
      <c r="H139" s="230" t="s">
        <v>215</v>
      </c>
      <c r="I139" s="230" t="s">
        <v>215</v>
      </c>
      <c r="J139" s="230" t="s">
        <v>215</v>
      </c>
      <c r="K139" s="230" t="s">
        <v>215</v>
      </c>
      <c r="L139" s="230">
        <f>L554/-L553</f>
        <v>0.18249380677126342</v>
      </c>
      <c r="M139" s="57">
        <f t="shared" ref="M139:U139" si="1041">M554/-M553</f>
        <v>0.18165467625899281</v>
      </c>
      <c r="N139" s="57">
        <f t="shared" si="1041"/>
        <v>0.17971014492753623</v>
      </c>
      <c r="O139" s="57">
        <f t="shared" si="1041"/>
        <v>0.25012893243940176</v>
      </c>
      <c r="P139" s="57">
        <f t="shared" si="1041"/>
        <v>0.26899798251513113</v>
      </c>
      <c r="Q139" s="57">
        <f t="shared" si="1041"/>
        <v>0.30014785608674222</v>
      </c>
      <c r="R139" s="57">
        <f t="shared" si="1041"/>
        <v>0.32972322503008422</v>
      </c>
      <c r="S139" s="57">
        <f t="shared" si="1041"/>
        <v>0.29021179164281624</v>
      </c>
      <c r="T139" s="58">
        <f t="shared" si="1041"/>
        <v>0.33025529603476372</v>
      </c>
      <c r="U139" s="57">
        <f t="shared" si="1041"/>
        <v>0</v>
      </c>
      <c r="V139" s="57">
        <f>V554/-V553</f>
        <v>0.24987775061124695</v>
      </c>
      <c r="W139" s="57">
        <f>W554/-W553</f>
        <v>0.25017064846416381</v>
      </c>
      <c r="X139" s="57">
        <f>X554/-X553</f>
        <v>0.25023084025854109</v>
      </c>
      <c r="Y139" s="58">
        <f>Y554/-Y553</f>
        <v>0.24992030602486451</v>
      </c>
      <c r="Z139" s="58">
        <f>Z554/-Z553</f>
        <v>0</v>
      </c>
      <c r="AA139" s="491">
        <v>0</v>
      </c>
      <c r="AB139" s="491">
        <f>9.390358*75.26/(1621.319194*AA135)</f>
        <v>0.21912876395837039</v>
      </c>
      <c r="AC139" s="532">
        <v>0</v>
      </c>
      <c r="AD139" s="532">
        <f>6.273519*91.26/(AD135*AD543)</f>
        <v>0.17834378016318667</v>
      </c>
      <c r="AE139" s="491">
        <v>0.18</v>
      </c>
      <c r="AF139" s="491">
        <f>7.597463*72.68/-AG535</f>
        <v>0.16331961278911566</v>
      </c>
      <c r="AG139" s="491">
        <f>8.036332*72.95/-AH535</f>
        <v>0.15395231601890758</v>
      </c>
      <c r="AH139" s="532">
        <f>6.689652*83.21/-AI535</f>
        <v>0.16233477483814521</v>
      </c>
      <c r="AI139" s="532">
        <f>20.772433*75.73/-AJ535</f>
        <v>0.39534967355868311</v>
      </c>
      <c r="AJ139" s="532">
        <f>7.114732*75.38/-AK535</f>
        <v>0.15301241031669044</v>
      </c>
      <c r="AK139" s="532">
        <f>10.396577*72.05/-AL535</f>
        <v>0.18427389246002462</v>
      </c>
      <c r="AL139" s="532">
        <v>0</v>
      </c>
      <c r="AM139" s="532">
        <v>0</v>
      </c>
      <c r="AN139" s="532">
        <v>0</v>
      </c>
      <c r="AO139" s="532">
        <f>3.856903*68.53/-AP535</f>
        <v>0.15234211100288184</v>
      </c>
      <c r="AP139" s="532">
        <v>0</v>
      </c>
      <c r="AQ139" s="532">
        <v>0</v>
      </c>
      <c r="AR139" s="532">
        <v>0</v>
      </c>
      <c r="AS139" s="532">
        <v>0</v>
      </c>
      <c r="AT139" s="532">
        <v>0</v>
      </c>
      <c r="AU139" s="532">
        <v>0</v>
      </c>
      <c r="AV139" s="532">
        <v>0</v>
      </c>
      <c r="AW139" s="532">
        <v>0</v>
      </c>
      <c r="AX139" s="532">
        <v>0</v>
      </c>
      <c r="AY139" s="532">
        <f t="shared" ref="AY139:BM139" si="1042">AX139</f>
        <v>0</v>
      </c>
      <c r="AZ139" s="500">
        <v>0</v>
      </c>
      <c r="BA139" s="60">
        <f t="shared" si="1042"/>
        <v>0</v>
      </c>
      <c r="BB139" s="60">
        <f t="shared" si="1042"/>
        <v>0</v>
      </c>
      <c r="BC139" s="60">
        <f t="shared" si="1042"/>
        <v>0</v>
      </c>
      <c r="BD139" s="60">
        <f t="shared" si="1042"/>
        <v>0</v>
      </c>
      <c r="BE139" s="60">
        <f t="shared" si="1042"/>
        <v>0</v>
      </c>
      <c r="BF139" s="60">
        <f t="shared" si="1042"/>
        <v>0</v>
      </c>
      <c r="BG139" s="60">
        <f t="shared" si="1042"/>
        <v>0</v>
      </c>
      <c r="BH139" s="60">
        <f t="shared" si="1042"/>
        <v>0</v>
      </c>
      <c r="BI139" s="60">
        <f t="shared" si="1042"/>
        <v>0</v>
      </c>
      <c r="BJ139" s="60">
        <f t="shared" si="1042"/>
        <v>0</v>
      </c>
      <c r="BK139" s="60">
        <f t="shared" si="1042"/>
        <v>0</v>
      </c>
      <c r="BL139" s="486">
        <f t="shared" si="1042"/>
        <v>0</v>
      </c>
      <c r="BM139" s="486">
        <f t="shared" si="1042"/>
        <v>0</v>
      </c>
      <c r="BN139" s="486">
        <f t="shared" ref="BN139" si="1043">BM139</f>
        <v>0</v>
      </c>
      <c r="BO139" s="486">
        <f t="shared" ref="BO139" si="1044">BN139</f>
        <v>0</v>
      </c>
      <c r="BP139" s="486">
        <f t="shared" ref="BP139" si="1045">BO139</f>
        <v>0</v>
      </c>
      <c r="BQ139" s="486">
        <f t="shared" ref="BQ139" si="1046">BP139</f>
        <v>0</v>
      </c>
      <c r="BR139" s="57"/>
      <c r="BS139" s="230" t="s">
        <v>215</v>
      </c>
      <c r="BT139" s="230" t="s">
        <v>215</v>
      </c>
      <c r="BU139" s="230" t="s">
        <v>215</v>
      </c>
      <c r="BV139" s="230" t="s">
        <v>215</v>
      </c>
      <c r="BW139" s="230" t="s">
        <v>215</v>
      </c>
      <c r="BX139" s="230" t="s">
        <v>215</v>
      </c>
      <c r="BY139" s="230" t="s">
        <v>215</v>
      </c>
      <c r="BZ139" s="230" t="s">
        <v>215</v>
      </c>
      <c r="CA139" s="230" t="s">
        <v>215</v>
      </c>
      <c r="CB139" s="230" t="s">
        <v>215</v>
      </c>
      <c r="CC139" s="57" t="s">
        <v>215</v>
      </c>
      <c r="CD139" s="57" t="s">
        <v>215</v>
      </c>
      <c r="CE139" s="57" t="s">
        <v>215</v>
      </c>
      <c r="CF139" s="57" t="s">
        <v>215</v>
      </c>
      <c r="CG139" s="57">
        <f t="shared" ref="CG139:CM139" si="1047">CG554/-CG553</f>
        <v>0.18165467625899281</v>
      </c>
      <c r="CH139" s="57">
        <f t="shared" si="1047"/>
        <v>0.25012893243940176</v>
      </c>
      <c r="CI139" s="57">
        <f t="shared" si="1047"/>
        <v>0.30014785608674222</v>
      </c>
      <c r="CJ139" s="57">
        <f t="shared" si="1047"/>
        <v>0.29021179164281624</v>
      </c>
      <c r="CK139" s="57">
        <f t="shared" si="1047"/>
        <v>0</v>
      </c>
      <c r="CL139" s="57">
        <f t="shared" si="1047"/>
        <v>0.25017064846416381</v>
      </c>
      <c r="CM139" s="58">
        <f t="shared" si="1047"/>
        <v>0.24992030602486451</v>
      </c>
      <c r="CN139" s="386">
        <f>((AA139*AA535)+(Z139*Z535))/(Z535+AA535)</f>
        <v>0</v>
      </c>
      <c r="CO139" s="386">
        <f>((AB139*AB535)+(AC139*AC535))/(AC535+AB535)</f>
        <v>0.11442681162970297</v>
      </c>
      <c r="CP139" s="386">
        <f>((AE139*AE535)+(AD139*AD535))/(AD535+AE535)</f>
        <v>0.17913210544138519</v>
      </c>
      <c r="CQ139" s="386">
        <f>((AF139*AF535)+(AG139*AG535))/(AG535+AF535)</f>
        <v>0.1587913270613385</v>
      </c>
      <c r="CR139" s="386">
        <f>((AI139*AI535)+(AH139*AH535))/(AH535+AI535)</f>
        <v>0.27274075628249017</v>
      </c>
      <c r="CS139" s="386">
        <f>((AJ139*AJ535)+(AK139*AK535))/(AJ535+AK535)</f>
        <v>0.16765317660642673</v>
      </c>
      <c r="CT139" s="386">
        <f>((AL139*AL535)+(AM139*AM535))/(AL535+AM535)</f>
        <v>0</v>
      </c>
      <c r="CU139" s="386">
        <f>((AN139*AN535)+(AO139*AO535))/(AN535+AO535)</f>
        <v>7.0689615015100501E-2</v>
      </c>
      <c r="CV139" s="386">
        <f>((AP139*AP535)+(AQ139*AQ535))/(AP535+AQ535)</f>
        <v>0</v>
      </c>
      <c r="CW139" s="386">
        <f>((AR139*AR535)+(AS139*AS535))/(AR535+AS535)</f>
        <v>0</v>
      </c>
      <c r="CX139" s="386">
        <f>((AT139*AT535)+(AU139*AU535))/(AT535+AU535)</f>
        <v>0</v>
      </c>
      <c r="CY139" s="386">
        <f>((AV139*AV535)+(AW139*AW535))/(AV535+AW535)</f>
        <v>0</v>
      </c>
      <c r="CZ139" s="231">
        <f>((AX139*AX535)+(AY139*AY535))/(AX535+AY535)</f>
        <v>0</v>
      </c>
      <c r="DA139" s="230">
        <f>((AZ139*AZ535)+(BA139*BA535))/(AZ535+BA535)</f>
        <v>0</v>
      </c>
      <c r="DB139" s="230">
        <f>((BB139*BB535)+(BC139*BC535))/(BB535+BC535)</f>
        <v>0</v>
      </c>
      <c r="DC139" s="230">
        <f>((BD139*BD535)+(BE139*BE535))/(BD535+BE535)</f>
        <v>0</v>
      </c>
      <c r="DD139" s="230">
        <f>((BF139*BF535)+(BG139*BG535))/(BF535+BG535)</f>
        <v>0</v>
      </c>
      <c r="DE139" s="230">
        <f>((BH139*BH535)+(BI139*BI535))/(BH535+BI535)</f>
        <v>0</v>
      </c>
      <c r="DF139" s="230">
        <f>((BJ139*BJ535)+(BK139*BK535))/(BJ535+BK535)</f>
        <v>0</v>
      </c>
      <c r="DG139" s="230">
        <f>((BL139*BL535)+(BM139*BM535))/(BL535+BM535)</f>
        <v>0</v>
      </c>
      <c r="DH139" s="230">
        <f>((BN139*BN535)+(BO139*BO535))/(BN535+BO535)</f>
        <v>0</v>
      </c>
      <c r="DI139" s="230">
        <f>((BP139*BP535)+(BQ139*BQ535))/(BP535+BQ535)</f>
        <v>0</v>
      </c>
    </row>
    <row r="140" spans="1:113" outlineLevel="1">
      <c r="AB140" s="45"/>
      <c r="AC140" s="45"/>
      <c r="AD140" s="45"/>
      <c r="AE140" s="45"/>
      <c r="AF140" s="45"/>
      <c r="AG140" s="45"/>
      <c r="AH140" s="45"/>
      <c r="AI140" s="705"/>
      <c r="AJ140" s="751"/>
      <c r="AK140" s="45"/>
      <c r="AL140" s="45"/>
      <c r="AM140" s="45"/>
      <c r="AN140" s="45"/>
      <c r="AO140" s="45"/>
      <c r="AP140" s="45"/>
      <c r="AQ140" s="45"/>
      <c r="AR140" s="45"/>
      <c r="AS140" s="45"/>
      <c r="AT140" s="45"/>
      <c r="AU140" s="45"/>
      <c r="AV140" s="45"/>
      <c r="AW140" s="45"/>
      <c r="AX140" s="45"/>
      <c r="AY140" s="599"/>
      <c r="AZ140" s="840"/>
      <c r="BA140" s="46"/>
      <c r="BB140" s="46"/>
      <c r="BC140" s="46"/>
      <c r="BD140" s="46"/>
      <c r="BE140" s="46"/>
      <c r="BF140" s="46"/>
      <c r="BG140" s="46"/>
      <c r="BH140" s="46"/>
      <c r="BI140" s="46"/>
      <c r="BJ140" s="46"/>
      <c r="BK140" s="46"/>
      <c r="BL140" s="46"/>
      <c r="BM140" s="46"/>
      <c r="BN140" s="46"/>
      <c r="BO140" s="46"/>
      <c r="BP140" s="46"/>
      <c r="BQ140" s="46"/>
      <c r="CZ140" s="22"/>
    </row>
    <row r="141" spans="1:113" outlineLevel="1">
      <c r="A141" s="1" t="s">
        <v>1049</v>
      </c>
      <c r="B141" s="19" t="s">
        <v>410</v>
      </c>
      <c r="C141" s="72" t="e">
        <f t="shared" ref="C141:L141" si="1048">C543-B543</f>
        <v>#VALUE!</v>
      </c>
      <c r="D141" s="72">
        <f t="shared" si="1048"/>
        <v>8.6909008646694019</v>
      </c>
      <c r="E141" s="72">
        <f t="shared" si="1048"/>
        <v>0.2633601447817</v>
      </c>
      <c r="F141" s="72">
        <f t="shared" si="1048"/>
        <v>0.66358335009044822</v>
      </c>
      <c r="G141" s="72">
        <f t="shared" si="1048"/>
        <v>0</v>
      </c>
      <c r="H141" s="72">
        <f t="shared" si="1048"/>
        <v>7.5183882968028684</v>
      </c>
      <c r="I141" s="72">
        <f t="shared" si="1048"/>
        <v>2.9629097124470718</v>
      </c>
      <c r="J141" s="72">
        <f t="shared" si="1048"/>
        <v>9.9235330786245868</v>
      </c>
      <c r="K141" s="72">
        <f t="shared" si="1048"/>
        <v>6.4349125276494306</v>
      </c>
      <c r="L141" s="72">
        <f t="shared" si="1048"/>
        <v>8.3315473557208861</v>
      </c>
      <c r="M141" s="72">
        <f t="shared" ref="M141:X141" si="1049">M543-L543</f>
        <v>-5.6885381057711584</v>
      </c>
      <c r="N141" s="72">
        <f t="shared" si="1049"/>
        <v>7.1515714860242952</v>
      </c>
      <c r="O141" s="72">
        <f t="shared" si="1049"/>
        <v>10.62287753870919</v>
      </c>
      <c r="P141" s="72">
        <f t="shared" si="1049"/>
        <v>15.462396943494923</v>
      </c>
      <c r="Q141" s="72">
        <f t="shared" si="1049"/>
        <v>10.22380957168707</v>
      </c>
      <c r="R141" s="72">
        <f t="shared" si="1049"/>
        <v>145.85620450432339</v>
      </c>
      <c r="S141" s="72">
        <f t="shared" si="1049"/>
        <v>47.860055298612451</v>
      </c>
      <c r="T141" s="72">
        <f t="shared" si="1049"/>
        <v>15.528868892016817</v>
      </c>
      <c r="U141" s="72">
        <f t="shared" si="1049"/>
        <v>14.569969837120652</v>
      </c>
      <c r="V141" s="72">
        <f t="shared" si="1049"/>
        <v>0.17062135531864442</v>
      </c>
      <c r="W141" s="72">
        <f t="shared" si="1049"/>
        <v>9.7829981902270902</v>
      </c>
      <c r="X141" s="72">
        <f t="shared" si="1049"/>
        <v>22.766286949527512</v>
      </c>
      <c r="Y141" s="72">
        <f>Y543-X543</f>
        <v>10.933226422682537</v>
      </c>
      <c r="Z141" s="72">
        <f>Z543-Y543</f>
        <v>17.11850090488656</v>
      </c>
      <c r="AA141" s="72">
        <f t="shared" ref="AA141:AW141" si="1050">AA543-Z543</f>
        <v>2.8344651116024124</v>
      </c>
      <c r="AB141" s="72">
        <f t="shared" si="1050"/>
        <v>0</v>
      </c>
      <c r="AC141" s="72">
        <f t="shared" si="1050"/>
        <v>9.0488638648703272</v>
      </c>
      <c r="AD141" s="72">
        <f t="shared" si="1050"/>
        <v>0.32092700583143596</v>
      </c>
      <c r="AE141" s="72">
        <f t="shared" si="1050"/>
        <v>6.7170782224011418</v>
      </c>
      <c r="AF141" s="72">
        <f t="shared" si="1050"/>
        <v>71.161069776794648</v>
      </c>
      <c r="AG141" s="72">
        <f t="shared" si="1050"/>
        <v>7</v>
      </c>
      <c r="AH141" s="72">
        <f t="shared" si="1050"/>
        <v>8</v>
      </c>
      <c r="AI141" s="72">
        <f t="shared" si="1050"/>
        <v>7</v>
      </c>
      <c r="AJ141" s="72">
        <f t="shared" si="1050"/>
        <v>23</v>
      </c>
      <c r="AK141" s="72">
        <f t="shared" si="1050"/>
        <v>7</v>
      </c>
      <c r="AL141" s="72">
        <f t="shared" si="1050"/>
        <v>10.239507000000003</v>
      </c>
      <c r="AM141" s="72">
        <f t="shared" si="1050"/>
        <v>0</v>
      </c>
      <c r="AN141" s="72">
        <f t="shared" si="1050"/>
        <v>0</v>
      </c>
      <c r="AO141" s="72">
        <f t="shared" si="1050"/>
        <v>0</v>
      </c>
      <c r="AP141" s="72">
        <f t="shared" si="1050"/>
        <v>3.8569030000001021</v>
      </c>
      <c r="AQ141" s="72">
        <f t="shared" si="1050"/>
        <v>0</v>
      </c>
      <c r="AR141" s="72">
        <f>AR543-AQ543</f>
        <v>-67.704807000000073</v>
      </c>
      <c r="AS141" s="72">
        <f t="shared" si="1050"/>
        <v>-4.8531970000001365</v>
      </c>
      <c r="AT141" s="72">
        <f t="shared" si="1050"/>
        <v>-13.124236999999994</v>
      </c>
      <c r="AU141" s="72">
        <f t="shared" si="1050"/>
        <v>-13.89477799999986</v>
      </c>
      <c r="AV141" s="72">
        <f t="shared" si="1050"/>
        <v>-1.2986430000000837</v>
      </c>
      <c r="AW141" s="72">
        <f t="shared" si="1050"/>
        <v>-1.1507179999998698</v>
      </c>
      <c r="AX141" s="72">
        <v>-0.11799999999999999</v>
      </c>
      <c r="AY141" s="941">
        <v>0</v>
      </c>
      <c r="AZ141" s="945">
        <f t="shared" ref="AZ141" si="1051">0+(-AY139*AZ535)/AZ143</f>
        <v>0</v>
      </c>
      <c r="BA141" s="74">
        <f>0+(-AZ139*BA535)/BA143</f>
        <v>0</v>
      </c>
      <c r="BB141" s="74">
        <f>(-1250/BB143)+(-BA139*BB535)/BB143</f>
        <v>-7.3008940714047457</v>
      </c>
      <c r="BC141" s="74">
        <f t="shared" ref="BC141:BF141" si="1052">(-1250/BC143)+(-BB139*BC535)/BC143</f>
        <v>-6.996198248866361</v>
      </c>
      <c r="BD141" s="74">
        <f t="shared" si="1052"/>
        <v>-6.7042186146967362</v>
      </c>
      <c r="BE141" s="74">
        <f t="shared" si="1052"/>
        <v>-6.4244244709516636</v>
      </c>
      <c r="BF141" s="74">
        <f t="shared" si="1052"/>
        <v>-6.1563072678574242</v>
      </c>
      <c r="BG141" s="74">
        <f>(0/BG143)+(-BF139*BG535)/BG143</f>
        <v>0</v>
      </c>
      <c r="BH141" s="74">
        <f t="shared" ref="BH141:BQ141" si="1053">(0/BH143)+(-BG139*BH535)/BH143</f>
        <v>0</v>
      </c>
      <c r="BI141" s="74">
        <f t="shared" si="1053"/>
        <v>0</v>
      </c>
      <c r="BJ141" s="74">
        <f t="shared" si="1053"/>
        <v>0</v>
      </c>
      <c r="BK141" s="74">
        <f t="shared" si="1053"/>
        <v>0</v>
      </c>
      <c r="BL141" s="74">
        <f t="shared" si="1053"/>
        <v>0</v>
      </c>
      <c r="BM141" s="74">
        <f t="shared" si="1053"/>
        <v>0</v>
      </c>
      <c r="BN141" s="74">
        <f t="shared" si="1053"/>
        <v>0</v>
      </c>
      <c r="BO141" s="74">
        <f t="shared" si="1053"/>
        <v>0</v>
      </c>
      <c r="BP141" s="74">
        <f t="shared" si="1053"/>
        <v>0</v>
      </c>
      <c r="BQ141" s="74">
        <f t="shared" si="1053"/>
        <v>0</v>
      </c>
      <c r="BR141" s="72"/>
      <c r="BS141" s="72">
        <f t="shared" ref="BS141:CB141" si="1054">BS543-BR543</f>
        <v>848.97995777196866</v>
      </c>
      <c r="BT141" s="72">
        <f t="shared" si="1054"/>
        <v>31.166465915946105</v>
      </c>
      <c r="BU141" s="72">
        <f t="shared" si="1054"/>
        <v>29.711300020108524</v>
      </c>
      <c r="BV141" s="72">
        <f t="shared" si="1054"/>
        <v>44.450705811381454</v>
      </c>
      <c r="BW141" s="72">
        <f t="shared" si="1054"/>
        <v>41.472156645887821</v>
      </c>
      <c r="BX141" s="72">
        <f t="shared" si="1054"/>
        <v>-60.553122863462704</v>
      </c>
      <c r="BY141" s="72">
        <f t="shared" si="1054"/>
        <v>-7.559783832696553</v>
      </c>
      <c r="BZ141" s="72">
        <f t="shared" si="1054"/>
        <v>-6.7259692338628838</v>
      </c>
      <c r="CA141" s="72">
        <f t="shared" si="1054"/>
        <v>346.10230544942692</v>
      </c>
      <c r="CB141" s="72">
        <f t="shared" si="1054"/>
        <v>-16.274404785843672</v>
      </c>
      <c r="CC141" s="72">
        <f t="shared" ref="CC141:CS141" si="1055">CC543-CB543</f>
        <v>8.9542610094511019</v>
      </c>
      <c r="CD141" s="72">
        <f t="shared" si="1055"/>
        <v>0.66358335009044822</v>
      </c>
      <c r="CE141" s="72">
        <f t="shared" si="1055"/>
        <v>10.48129800924994</v>
      </c>
      <c r="CF141" s="72">
        <f t="shared" si="1055"/>
        <v>16.358445606274017</v>
      </c>
      <c r="CG141" s="72">
        <f t="shared" si="1055"/>
        <v>2.6430092499497277</v>
      </c>
      <c r="CH141" s="72">
        <f t="shared" si="1055"/>
        <v>17.774449024733485</v>
      </c>
      <c r="CI141" s="72">
        <f t="shared" si="1055"/>
        <v>25.686206515181993</v>
      </c>
      <c r="CJ141" s="72">
        <f t="shared" si="1055"/>
        <v>193.71625980293584</v>
      </c>
      <c r="CK141" s="72">
        <f t="shared" si="1055"/>
        <v>30.098838729137469</v>
      </c>
      <c r="CL141" s="72">
        <f t="shared" si="1055"/>
        <v>9.9536195455457346</v>
      </c>
      <c r="CM141" s="72">
        <f t="shared" si="1055"/>
        <v>33.699513372210049</v>
      </c>
      <c r="CN141" s="72">
        <f t="shared" si="1055"/>
        <v>19.952966016488972</v>
      </c>
      <c r="CO141" s="72">
        <f t="shared" si="1055"/>
        <v>9.0488638648703272</v>
      </c>
      <c r="CP141" s="72">
        <f t="shared" si="1055"/>
        <v>7.0380052282325778</v>
      </c>
      <c r="CQ141" s="72">
        <f t="shared" si="1055"/>
        <v>78.161069776794648</v>
      </c>
      <c r="CR141" s="72">
        <f t="shared" si="1055"/>
        <v>8</v>
      </c>
      <c r="CS141" s="72">
        <f t="shared" si="1055"/>
        <v>7</v>
      </c>
      <c r="CT141" s="72">
        <f t="shared" ref="CT141:DI141" si="1056">CT543-CS543</f>
        <v>40.239507000000003</v>
      </c>
      <c r="CU141" s="72">
        <f t="shared" si="1056"/>
        <v>0</v>
      </c>
      <c r="CV141" s="72">
        <f t="shared" si="1056"/>
        <v>3.8569030000001021</v>
      </c>
      <c r="CW141" s="72">
        <f t="shared" si="1056"/>
        <v>-72.55800400000021</v>
      </c>
      <c r="CX141" s="72">
        <f t="shared" si="1056"/>
        <v>-27.019014999999854</v>
      </c>
      <c r="CY141" s="72">
        <f t="shared" si="1056"/>
        <v>-2.4493609999999535</v>
      </c>
      <c r="CZ141" s="73">
        <f t="shared" si="1056"/>
        <v>-0.22788400000013098</v>
      </c>
      <c r="DA141" s="72">
        <f t="shared" si="1056"/>
        <v>0.28157600000008642</v>
      </c>
      <c r="DB141" s="72">
        <f t="shared" si="1056"/>
        <v>-14.297092320271304</v>
      </c>
      <c r="DC141" s="72">
        <f t="shared" si="1056"/>
        <v>-13.128643085648264</v>
      </c>
      <c r="DD141" s="72">
        <f t="shared" si="1056"/>
        <v>-6.1563072678575281</v>
      </c>
      <c r="DE141" s="72">
        <f t="shared" si="1056"/>
        <v>0</v>
      </c>
      <c r="DF141" s="72">
        <f t="shared" si="1056"/>
        <v>0</v>
      </c>
      <c r="DG141" s="72">
        <f t="shared" si="1056"/>
        <v>0</v>
      </c>
      <c r="DH141" s="72">
        <f t="shared" si="1056"/>
        <v>0</v>
      </c>
      <c r="DI141" s="72">
        <f t="shared" si="1056"/>
        <v>0</v>
      </c>
    </row>
    <row r="142" spans="1:113" outlineLevel="1">
      <c r="A142" s="1" t="s">
        <v>1050</v>
      </c>
      <c r="B142" s="19" t="s">
        <v>411</v>
      </c>
      <c r="C142" s="557">
        <f>0.9946*34.15</f>
        <v>33.965589999999999</v>
      </c>
      <c r="D142" s="557">
        <f>0.9946*30.18</f>
        <v>30.017028</v>
      </c>
      <c r="E142" s="557">
        <f>0.9946*32.93</f>
        <v>32.752178000000001</v>
      </c>
      <c r="F142" s="557">
        <f>0.9946*27.12</f>
        <v>26.973552000000002</v>
      </c>
      <c r="G142" s="557">
        <f>0.9946*29.55</f>
        <v>29.390430000000002</v>
      </c>
      <c r="H142" s="557">
        <f>0.9946*29.45</f>
        <v>29.290970000000002</v>
      </c>
      <c r="I142" s="557">
        <f>0.9946*32.58</f>
        <v>32.404068000000002</v>
      </c>
      <c r="J142" s="557">
        <f>0.9946*32.11</f>
        <v>31.936606000000001</v>
      </c>
      <c r="K142" s="557">
        <f>0.9946*37.95</f>
        <v>37.745070000000005</v>
      </c>
      <c r="L142" s="557">
        <f>0.9946*42.75</f>
        <v>42.519150000000003</v>
      </c>
      <c r="M142" s="76">
        <f>0.9946*44.41</f>
        <v>44.170186000000001</v>
      </c>
      <c r="N142" s="76">
        <f>0.9946*49.48</f>
        <v>49.212807999999995</v>
      </c>
      <c r="O142" s="76">
        <f>0.9946*55.25</f>
        <v>54.951650000000001</v>
      </c>
      <c r="P142" s="76">
        <f>0.9946*59.1</f>
        <v>58.780860000000004</v>
      </c>
      <c r="Q142" s="76">
        <f>0.9946*40.17</f>
        <v>39.953082000000002</v>
      </c>
      <c r="R142" s="76">
        <f>0.9946*28.9</f>
        <v>28.743939999999998</v>
      </c>
      <c r="S142" s="76">
        <f>0.9946*39</f>
        <v>38.789400000000001</v>
      </c>
      <c r="T142" s="76">
        <f>0.9946*54.85</f>
        <v>54.553810000000006</v>
      </c>
      <c r="U142" s="76">
        <f>0.9946*48.64</f>
        <v>48.377344000000001</v>
      </c>
      <c r="V142" s="76">
        <f>0.9946*50.77</f>
        <v>50.495842000000003</v>
      </c>
      <c r="W142" s="76">
        <f>0.9946*52.3</f>
        <v>52.017580000000002</v>
      </c>
      <c r="X142" s="76">
        <f>0.9946*49.22</f>
        <v>48.954211999999998</v>
      </c>
      <c r="Y142" s="173">
        <f>0.9946*53.1</f>
        <v>52.813260000000007</v>
      </c>
      <c r="Z142" s="173">
        <f>0.9946*62.18</f>
        <v>61.844228000000001</v>
      </c>
      <c r="AA142" s="492">
        <f>0.9946*69.18</f>
        <v>68.806428000000011</v>
      </c>
      <c r="AB142" s="492">
        <f>0.9946*77.8</f>
        <v>77.37988</v>
      </c>
      <c r="AC142" s="492">
        <f>0.9946*80.88</f>
        <v>80.443247999999997</v>
      </c>
      <c r="AD142" s="492">
        <f>0.9946*85.65</f>
        <v>85.187490000000011</v>
      </c>
      <c r="AE142" s="492">
        <f>0.9946*85.13</f>
        <v>84.670298000000003</v>
      </c>
      <c r="AF142" s="492">
        <v>85.53</v>
      </c>
      <c r="AG142" s="492">
        <v>74.37</v>
      </c>
      <c r="AH142" s="492">
        <v>82.41</v>
      </c>
      <c r="AI142" s="492">
        <v>82.71</v>
      </c>
      <c r="AJ142" s="492">
        <v>80.34</v>
      </c>
      <c r="AK142" s="492">
        <v>72.87</v>
      </c>
      <c r="AL142" s="492">
        <v>72.39</v>
      </c>
      <c r="AM142" s="492">
        <v>82.78</v>
      </c>
      <c r="AN142" s="492">
        <v>79.900000000000006</v>
      </c>
      <c r="AO142" s="492">
        <v>69.42</v>
      </c>
      <c r="AP142" s="493">
        <v>82.11</v>
      </c>
      <c r="AQ142" s="493">
        <v>99.87</v>
      </c>
      <c r="AR142" s="493">
        <v>101</v>
      </c>
      <c r="AS142" s="493">
        <v>90.38</v>
      </c>
      <c r="AT142" s="493">
        <v>102.6</v>
      </c>
      <c r="AU142" s="493">
        <v>100.27</v>
      </c>
      <c r="AV142" s="493">
        <v>111.8</v>
      </c>
      <c r="AW142" s="493">
        <v>127.38</v>
      </c>
      <c r="AX142" s="493">
        <v>153.25</v>
      </c>
      <c r="AY142" s="492">
        <v>184.75</v>
      </c>
      <c r="AZ142" s="851">
        <v>160.57</v>
      </c>
      <c r="BA142" s="75">
        <f>AZ142*(1+Summary!$G$8)^(1/2)</f>
        <v>167.5630848847681</v>
      </c>
      <c r="BB142" s="75">
        <f>BA142*(1+Summary!$G$8)^(1/2)</f>
        <v>174.86073000000002</v>
      </c>
      <c r="BC142" s="75">
        <f>BB142*(1+Summary!$G$8)^(1/2)</f>
        <v>182.4761994395125</v>
      </c>
      <c r="BD142" s="75">
        <f>BC142*(1+Summary!$G$8)^(1/2)</f>
        <v>190.42333497000004</v>
      </c>
      <c r="BE142" s="75">
        <f>BD142*(1+Summary!$G$8)^(1/2)</f>
        <v>198.71658118962912</v>
      </c>
      <c r="BF142" s="75">
        <f>BE142*(1+Summary!$G$8)^(1/2)</f>
        <v>207.37101178233007</v>
      </c>
      <c r="BG142" s="75">
        <f>BF142*(1+Summary!$G$8)^(1/2)</f>
        <v>216.40235691550615</v>
      </c>
      <c r="BH142" s="75">
        <f>BG142*(1+Summary!$G$8)^(1/2)</f>
        <v>225.82703183095748</v>
      </c>
      <c r="BI142" s="75">
        <f>BH142*(1+Summary!$G$8)^(1/2)</f>
        <v>235.66216668098622</v>
      </c>
      <c r="BJ142" s="75">
        <f>BI142*(1+Summary!$G$8)^(1/2)</f>
        <v>245.92563766391271</v>
      </c>
      <c r="BK142" s="75">
        <f>BJ142*(1+Summary!$G$8)^(1/2)</f>
        <v>256.63609951559403</v>
      </c>
      <c r="BL142" s="558">
        <f>BK142*(1+Summary!$G$8)^(1/2)</f>
        <v>267.813019416001</v>
      </c>
      <c r="BM142" s="558">
        <f>BL142*(1+Summary!$G$8)^(1/2)</f>
        <v>279.47671237248193</v>
      </c>
      <c r="BN142" s="558">
        <f>BM142*(1+Summary!$G$8)^(1/2)</f>
        <v>291.64837814402512</v>
      </c>
      <c r="BO142" s="558">
        <f>BN142*(1+Summary!$G$8)^(1/2)</f>
        <v>304.35013977363286</v>
      </c>
      <c r="BP142" s="558">
        <f>BO142*(1+Summary!$G$8)^(1/2)</f>
        <v>317.6050837988434</v>
      </c>
      <c r="BQ142" s="558">
        <f>BP142*(1+Summary!$G$8)^(1/2)</f>
        <v>331.43730221348625</v>
      </c>
      <c r="BR142" s="75"/>
      <c r="BS142" s="557">
        <f>0.9946*7.16</f>
        <v>7.1213360000000003</v>
      </c>
      <c r="BT142" s="557">
        <f>0.9946*8.689</f>
        <v>8.6420794000000001</v>
      </c>
      <c r="BU142" s="557">
        <f>0.9946*7.77</f>
        <v>7.7280420000000003</v>
      </c>
      <c r="BV142" s="557">
        <f>0.9946*9.33</f>
        <v>9.279618000000001</v>
      </c>
      <c r="BW142" s="557">
        <f>0.9946*10.46</f>
        <v>10.403516000000002</v>
      </c>
      <c r="BX142" s="557">
        <f>0.9946*16</f>
        <v>15.913600000000001</v>
      </c>
      <c r="BY142" s="557">
        <f>0.9946*18.84</f>
        <v>18.738264000000001</v>
      </c>
      <c r="BZ142" s="557">
        <f>0.9946*24.05</f>
        <v>23.92013</v>
      </c>
      <c r="CA142" s="557">
        <f>0.9946*27.69</f>
        <v>27.540474000000003</v>
      </c>
      <c r="CB142" s="557">
        <f>0.9946*34.15</f>
        <v>33.965589999999999</v>
      </c>
      <c r="CC142" s="75">
        <f>E142</f>
        <v>32.752178000000001</v>
      </c>
      <c r="CD142" s="75">
        <f>G142</f>
        <v>29.390430000000002</v>
      </c>
      <c r="CE142" s="75">
        <f>I142</f>
        <v>32.404068000000002</v>
      </c>
      <c r="CF142" s="75">
        <f>K142</f>
        <v>37.745070000000005</v>
      </c>
      <c r="CG142" s="75">
        <f>M142</f>
        <v>44.170186000000001</v>
      </c>
      <c r="CH142" s="75">
        <f>O142</f>
        <v>54.951650000000001</v>
      </c>
      <c r="CI142" s="75">
        <f>Q142</f>
        <v>39.953082000000002</v>
      </c>
      <c r="CJ142" s="75">
        <f>S142</f>
        <v>38.789400000000001</v>
      </c>
      <c r="CK142" s="75">
        <f>U142</f>
        <v>48.377344000000001</v>
      </c>
      <c r="CL142" s="75">
        <f>W142</f>
        <v>52.017580000000002</v>
      </c>
      <c r="CM142" s="78">
        <f>Y142</f>
        <v>52.813260000000007</v>
      </c>
      <c r="CN142" s="78">
        <f>AA142</f>
        <v>68.806428000000011</v>
      </c>
      <c r="CO142" s="78">
        <f>AC142</f>
        <v>80.443247999999997</v>
      </c>
      <c r="CP142" s="78">
        <f>AE142</f>
        <v>84.670298000000003</v>
      </c>
      <c r="CQ142" s="78">
        <f>AG142</f>
        <v>74.37</v>
      </c>
      <c r="CR142" s="78">
        <f>AI142</f>
        <v>82.71</v>
      </c>
      <c r="CS142" s="78">
        <f>AK142</f>
        <v>72.87</v>
      </c>
      <c r="CT142" s="78">
        <f>AM142</f>
        <v>82.78</v>
      </c>
      <c r="CU142" s="78">
        <f>AO142</f>
        <v>69.42</v>
      </c>
      <c r="CV142" s="78">
        <f>AQ142</f>
        <v>99.87</v>
      </c>
      <c r="CW142" s="78">
        <f>AS142</f>
        <v>90.38</v>
      </c>
      <c r="CX142" s="78">
        <f>AU142</f>
        <v>100.27</v>
      </c>
      <c r="CY142" s="78">
        <f>AW142</f>
        <v>127.38</v>
      </c>
      <c r="CZ142" s="77">
        <f>AY142</f>
        <v>184.75</v>
      </c>
      <c r="DA142" s="75">
        <f>BA142</f>
        <v>167.5630848847681</v>
      </c>
      <c r="DB142" s="75">
        <f>BC142</f>
        <v>182.4761994395125</v>
      </c>
      <c r="DC142" s="75">
        <f>BE142</f>
        <v>198.71658118962912</v>
      </c>
      <c r="DD142" s="75">
        <f>BG142</f>
        <v>216.40235691550615</v>
      </c>
      <c r="DE142" s="75">
        <f>BI142</f>
        <v>235.66216668098622</v>
      </c>
      <c r="DF142" s="75">
        <f>BK142</f>
        <v>256.63609951559403</v>
      </c>
      <c r="DG142" s="558">
        <f>BM142</f>
        <v>279.47671237248193</v>
      </c>
      <c r="DH142" s="558">
        <f>BO142</f>
        <v>304.35013977363286</v>
      </c>
      <c r="DI142" s="558">
        <f>BQ142</f>
        <v>331.43730221348625</v>
      </c>
    </row>
    <row r="143" spans="1:113" outlineLevel="1">
      <c r="A143" s="1" t="s">
        <v>632</v>
      </c>
      <c r="B143" s="19" t="s">
        <v>417</v>
      </c>
      <c r="C143" s="558" t="e">
        <f t="shared" ref="C143:L143" si="1057">C537/C141</f>
        <v>#VALUE!</v>
      </c>
      <c r="D143" s="558">
        <f t="shared" si="1057"/>
        <v>23.702951305938772</v>
      </c>
      <c r="E143" s="558">
        <f t="shared" si="1057"/>
        <v>15.18832700868847</v>
      </c>
      <c r="F143" s="558">
        <f t="shared" si="1057"/>
        <v>19.590606060607254</v>
      </c>
      <c r="G143" s="558" t="e">
        <f t="shared" si="1057"/>
        <v>#DIV/0!</v>
      </c>
      <c r="H143" s="558">
        <f t="shared" si="1057"/>
        <v>27.532496570844181</v>
      </c>
      <c r="I143" s="558">
        <f t="shared" si="1057"/>
        <v>159.97787513022888</v>
      </c>
      <c r="J143" s="558">
        <f t="shared" si="1057"/>
        <v>35.874319879764236</v>
      </c>
      <c r="K143" s="558">
        <f t="shared" si="1057"/>
        <v>22.067122029997556</v>
      </c>
      <c r="L143" s="558">
        <f t="shared" si="1057"/>
        <v>31.326713857154449</v>
      </c>
      <c r="M143" s="75">
        <f t="shared" ref="M143:S143" si="1058">M537/M141</f>
        <v>49.221785069160966</v>
      </c>
      <c r="N143" s="75">
        <f t="shared" si="1058"/>
        <v>41.948822099627243</v>
      </c>
      <c r="O143" s="75">
        <f t="shared" si="1058"/>
        <v>48.762682061657593</v>
      </c>
      <c r="P143" s="75">
        <f t="shared" si="1058"/>
        <v>54.972072124794181</v>
      </c>
      <c r="Q143" s="75">
        <f t="shared" si="1058"/>
        <v>39.124359388277853</v>
      </c>
      <c r="R143" s="75">
        <f t="shared" si="1058"/>
        <v>31.949275081142474</v>
      </c>
      <c r="S143" s="75">
        <f t="shared" si="1058"/>
        <v>26.493910048548599</v>
      </c>
      <c r="T143" s="78">
        <f>(T537+68+366)/T141</f>
        <v>72.123733401843381</v>
      </c>
      <c r="U143" s="75">
        <f t="shared" ref="U143:Z143" si="1059">(U537)/U141</f>
        <v>53.054330835372674</v>
      </c>
      <c r="V143" s="75">
        <f t="shared" si="1059"/>
        <v>29.304655274026132</v>
      </c>
      <c r="W143" s="75">
        <f t="shared" si="1059"/>
        <v>52.335694032068005</v>
      </c>
      <c r="X143" s="75">
        <f t="shared" si="1059"/>
        <v>36.633114651017287</v>
      </c>
      <c r="Y143" s="78">
        <f t="shared" si="1059"/>
        <v>48.567548084284141</v>
      </c>
      <c r="Z143" s="78">
        <f t="shared" si="1059"/>
        <v>54.268770680428709</v>
      </c>
      <c r="AA143" s="493">
        <f>193/AA141</f>
        <v>68.090448250707524</v>
      </c>
      <c r="AB143" s="78">
        <f>AA143*AVERAGE(AA142:AB142)/AVERAGE(Z142:AA142)</f>
        <v>76.187074329240176</v>
      </c>
      <c r="AC143" s="587">
        <f t="shared" ref="AC143:AH143" si="1060">(AC537)/AC141</f>
        <v>78.131355555555317</v>
      </c>
      <c r="AD143" s="78">
        <f>AC143*AVERAGE(AC142:AD142)/AVERAGE(AB142:AC142)</f>
        <v>81.996563150155197</v>
      </c>
      <c r="AE143" s="587">
        <f t="shared" si="1060"/>
        <v>85.00719823326483</v>
      </c>
      <c r="AF143" s="587">
        <f t="shared" si="1060"/>
        <v>79.804871087701102</v>
      </c>
      <c r="AG143" s="587">
        <f t="shared" si="1060"/>
        <v>78.857142857142861</v>
      </c>
      <c r="AH143" s="587">
        <f t="shared" si="1060"/>
        <v>73.25</v>
      </c>
      <c r="AI143" s="587">
        <f>(AI537)/AI141</f>
        <v>79.571428571428569</v>
      </c>
      <c r="AJ143" s="587">
        <f>(AJ537)/AJ141</f>
        <v>68.347826086956516</v>
      </c>
      <c r="AK143" s="587">
        <f>(AK537)/AK141</f>
        <v>76.142857142857139</v>
      </c>
      <c r="AL143" s="587">
        <f>(AL537)/AL141</f>
        <v>73.050391976879339</v>
      </c>
      <c r="AM143" s="78">
        <f t="shared" ref="AM143:AQ143" si="1061">AL143*AVERAGE(AL142:AM142)/AVERAGE(AK142:AL142)</f>
        <v>78.03407216750908</v>
      </c>
      <c r="AN143" s="78">
        <f t="shared" si="1061"/>
        <v>81.810806600569549</v>
      </c>
      <c r="AO143" s="78">
        <f t="shared" si="1061"/>
        <v>75.09214188343401</v>
      </c>
      <c r="AP143" s="587">
        <f t="shared" si="1061"/>
        <v>76.203537768529046</v>
      </c>
      <c r="AQ143" s="587">
        <f t="shared" si="1061"/>
        <v>91.516662067689012</v>
      </c>
      <c r="AR143" s="587">
        <f>(AR537)/AR141</f>
        <v>88.634770054067118</v>
      </c>
      <c r="AS143" s="587">
        <f>(AS537)/AS141</f>
        <v>96.843379735046156</v>
      </c>
      <c r="AT143" s="587">
        <f>(AT537)/AT141</f>
        <v>101.41541942590648</v>
      </c>
      <c r="AU143" s="587">
        <f>(AU537)/AU141</f>
        <v>86.50731951241049</v>
      </c>
      <c r="AV143" s="587">
        <f>(154004534.89/1000000)/1.517388</f>
        <v>101.49318097282961</v>
      </c>
      <c r="AW143" s="587">
        <f>(AW537)/AW141</f>
        <v>111.23489855899923</v>
      </c>
      <c r="AX143" s="587">
        <f>(AX537)/AX141</f>
        <v>152.54237288135593</v>
      </c>
      <c r="AY143" s="78">
        <f>AVERAGE(AX142:AY142)</f>
        <v>169</v>
      </c>
      <c r="AZ143" s="77">
        <f t="shared" ref="AZ143:BE143" si="1062">AY143*AVERAGE(AY142:AZ142)/AVERAGE(AX142:AY142)</f>
        <v>172.66</v>
      </c>
      <c r="BA143" s="75">
        <f t="shared" si="1062"/>
        <v>164.06654244238405</v>
      </c>
      <c r="BB143" s="75">
        <f t="shared" si="1062"/>
        <v>171.21190744238407</v>
      </c>
      <c r="BC143" s="75">
        <f t="shared" si="1062"/>
        <v>178.66846471975626</v>
      </c>
      <c r="BD143" s="75">
        <f t="shared" si="1062"/>
        <v>186.44976720475626</v>
      </c>
      <c r="BE143" s="75">
        <f t="shared" si="1062"/>
        <v>194.56995807981457</v>
      </c>
      <c r="BF143" s="75">
        <f t="shared" ref="BF143:BM143" si="1063">BE143*AVERAGE(BE142:BF142)/AVERAGE(BD142:BE142)</f>
        <v>203.04379648597961</v>
      </c>
      <c r="BG143" s="75">
        <f t="shared" si="1063"/>
        <v>211.88668434891807</v>
      </c>
      <c r="BH143" s="75">
        <f t="shared" si="1063"/>
        <v>221.1146943732318</v>
      </c>
      <c r="BI143" s="75">
        <f t="shared" si="1063"/>
        <v>230.74459925597182</v>
      </c>
      <c r="BJ143" s="75">
        <f t="shared" si="1063"/>
        <v>240.79390217244944</v>
      </c>
      <c r="BK143" s="75">
        <f t="shared" si="1063"/>
        <v>251.28086858975334</v>
      </c>
      <c r="BL143" s="558">
        <f t="shared" si="1063"/>
        <v>262.22455946579748</v>
      </c>
      <c r="BM143" s="558">
        <f t="shared" si="1063"/>
        <v>273.64486589424143</v>
      </c>
      <c r="BN143" s="558">
        <f t="shared" ref="BN143" si="1064">BM143*AVERAGE(BM142:BN142)/AVERAGE(BL142:BM142)</f>
        <v>285.56254525825352</v>
      </c>
      <c r="BO143" s="558">
        <f t="shared" ref="BO143" si="1065">BN143*AVERAGE(BN142:BO142)/AVERAGE(BM142:BN142)</f>
        <v>297.99925895882899</v>
      </c>
      <c r="BP143" s="558">
        <f t="shared" ref="BP143" si="1066">BO143*AVERAGE(BO142:BP142)/AVERAGE(BN142:BO142)</f>
        <v>310.97761178623813</v>
      </c>
      <c r="BQ143" s="558">
        <f t="shared" ref="BQ143" si="1067">BP143*AVERAGE(BP142:BQ142)/AVERAGE(BO142:BP142)</f>
        <v>324.52119300616482</v>
      </c>
      <c r="BR143" s="75"/>
      <c r="BS143" s="558">
        <f t="shared" ref="BS143:CB143" si="1068">BS537/BS141</f>
        <v>0</v>
      </c>
      <c r="BT143" s="558">
        <f t="shared" si="1068"/>
        <v>1.9091032060056974</v>
      </c>
      <c r="BU143" s="558">
        <f t="shared" si="1068"/>
        <v>1.884804769973019</v>
      </c>
      <c r="BV143" s="558">
        <f t="shared" si="1068"/>
        <v>1.9797210953952478</v>
      </c>
      <c r="BW143" s="558">
        <f t="shared" si="1068"/>
        <v>2.0013427492739249</v>
      </c>
      <c r="BX143" s="558">
        <f t="shared" si="1068"/>
        <v>1.9982454129217253</v>
      </c>
      <c r="BY143" s="558">
        <f t="shared" si="1068"/>
        <v>1.9841837190005396</v>
      </c>
      <c r="BZ143" s="558">
        <f t="shared" si="1068"/>
        <v>-249.92680482937055</v>
      </c>
      <c r="CA143" s="558">
        <f t="shared" si="1068"/>
        <v>25.989425260602214</v>
      </c>
      <c r="CB143" s="558">
        <f t="shared" si="1068"/>
        <v>4.055447856219617</v>
      </c>
      <c r="CC143" s="75">
        <f t="shared" ref="CC143:CS143" si="1069">CC537/CC141</f>
        <v>23.452521629461977</v>
      </c>
      <c r="CD143" s="75">
        <f t="shared" si="1069"/>
        <v>19.590606060607254</v>
      </c>
      <c r="CE143" s="75">
        <f t="shared" si="1069"/>
        <v>64.972868761006978</v>
      </c>
      <c r="CF143" s="75">
        <f t="shared" si="1069"/>
        <v>30.442990244073076</v>
      </c>
      <c r="CG143" s="75">
        <f t="shared" si="1069"/>
        <v>-7.188775446155323</v>
      </c>
      <c r="CH143" s="75">
        <f t="shared" si="1069"/>
        <v>46.02111710251819</v>
      </c>
      <c r="CI143" s="75">
        <f t="shared" si="1069"/>
        <v>48.664250957461533</v>
      </c>
      <c r="CJ143" s="75">
        <f t="shared" si="1069"/>
        <v>30.601458060518258</v>
      </c>
      <c r="CK143" s="75">
        <f t="shared" si="1069"/>
        <v>48.473630930737571</v>
      </c>
      <c r="CL143" s="75">
        <f t="shared" si="1069"/>
        <v>51.94090427450169</v>
      </c>
      <c r="CM143" s="78">
        <f t="shared" si="1069"/>
        <v>40.505035931042045</v>
      </c>
      <c r="CN143" s="78">
        <f t="shared" si="1069"/>
        <v>46.559493923473923</v>
      </c>
      <c r="CO143" s="78">
        <f t="shared" si="1069"/>
        <v>78.131355555555317</v>
      </c>
      <c r="CP143" s="78">
        <f t="shared" si="1069"/>
        <v>81.130942857141449</v>
      </c>
      <c r="CQ143" s="78">
        <f t="shared" si="1069"/>
        <v>79.719993825493034</v>
      </c>
      <c r="CR143" s="78">
        <f t="shared" si="1069"/>
        <v>142.875</v>
      </c>
      <c r="CS143" s="78">
        <f t="shared" si="1069"/>
        <v>300.71428571428572</v>
      </c>
      <c r="CT143" s="78">
        <f t="shared" ref="CT143:DC143" si="1070">CT537/CT141</f>
        <v>18.58869692414472</v>
      </c>
      <c r="CU143" s="78" t="e">
        <f t="shared" si="1070"/>
        <v>#DIV/0!</v>
      </c>
      <c r="CV143" s="78">
        <f t="shared" si="1070"/>
        <v>68.448700939586246</v>
      </c>
      <c r="CW143" s="78">
        <f t="shared" si="1070"/>
        <v>89.183820436956637</v>
      </c>
      <c r="CX143" s="78">
        <f t="shared" si="1070"/>
        <v>93.748791360455357</v>
      </c>
      <c r="CY143" s="78">
        <f t="shared" si="1070"/>
        <v>115.13206913966759</v>
      </c>
      <c r="CZ143" s="77">
        <f t="shared" si="1070"/>
        <v>78.98755507183327</v>
      </c>
      <c r="DA143" s="75">
        <f t="shared" si="1070"/>
        <v>0</v>
      </c>
      <c r="DB143" s="75">
        <f t="shared" si="1070"/>
        <v>174.86072999999763</v>
      </c>
      <c r="DC143" s="75">
        <f t="shared" si="1070"/>
        <v>190.423334970002</v>
      </c>
      <c r="DD143" s="75">
        <f t="shared" ref="DD143:DI143" si="1071">DD537/DD141</f>
        <v>203.04379648597617</v>
      </c>
      <c r="DE143" s="75" t="e">
        <f t="shared" si="1071"/>
        <v>#DIV/0!</v>
      </c>
      <c r="DF143" s="75" t="e">
        <f t="shared" si="1071"/>
        <v>#DIV/0!</v>
      </c>
      <c r="DG143" s="558" t="e">
        <f t="shared" si="1071"/>
        <v>#DIV/0!</v>
      </c>
      <c r="DH143" s="558" t="e">
        <f t="shared" si="1071"/>
        <v>#DIV/0!</v>
      </c>
      <c r="DI143" s="558" t="e">
        <f t="shared" si="1071"/>
        <v>#DIV/0!</v>
      </c>
    </row>
    <row r="144" spans="1:113" outlineLevel="1">
      <c r="AC144" s="45"/>
      <c r="AD144" s="582"/>
      <c r="AE144" s="582"/>
      <c r="AF144" s="582"/>
      <c r="AG144" s="639"/>
      <c r="AH144" s="45"/>
      <c r="AI144" s="706"/>
      <c r="AJ144" s="706"/>
      <c r="AK144" s="55"/>
      <c r="AL144" s="55"/>
      <c r="AM144" s="768"/>
      <c r="AN144" s="768"/>
      <c r="AO144" s="768"/>
      <c r="AP144" s="768"/>
      <c r="AQ144" s="768"/>
      <c r="AR144" s="768"/>
      <c r="AS144" s="768"/>
      <c r="AT144" s="768"/>
      <c r="AU144" s="768"/>
      <c r="AV144" s="768"/>
      <c r="AW144" s="768"/>
      <c r="AX144" s="768"/>
      <c r="AY144" s="55"/>
      <c r="AZ144" s="56"/>
      <c r="CZ144" s="22"/>
    </row>
    <row r="145" spans="1:114" outlineLevel="1">
      <c r="A145" s="1" t="s">
        <v>863</v>
      </c>
      <c r="B145" s="19" t="s">
        <v>418</v>
      </c>
      <c r="C145" s="232">
        <v>0.5</v>
      </c>
      <c r="D145" s="232">
        <v>0.5</v>
      </c>
      <c r="E145" s="232">
        <v>0.5</v>
      </c>
      <c r="F145" s="232">
        <v>0.5</v>
      </c>
      <c r="G145" s="232">
        <v>0.5</v>
      </c>
      <c r="H145" s="232">
        <v>0.5</v>
      </c>
      <c r="I145" s="232">
        <v>0.5</v>
      </c>
      <c r="J145" s="232">
        <v>0.5</v>
      </c>
      <c r="K145" s="232">
        <v>0.5</v>
      </c>
      <c r="L145" s="232">
        <v>0.5</v>
      </c>
      <c r="M145" s="42">
        <v>0.5</v>
      </c>
      <c r="N145" s="42">
        <v>0.5</v>
      </c>
      <c r="O145" s="42">
        <v>0.5</v>
      </c>
      <c r="P145" s="42">
        <v>0.5</v>
      </c>
      <c r="Q145" s="42">
        <f t="shared" ref="Q145:X145" si="1072">Q610/Q176</f>
        <v>0.1824810074950288</v>
      </c>
      <c r="R145" s="42">
        <f t="shared" si="1072"/>
        <v>0.17142652826183505</v>
      </c>
      <c r="S145" s="42">
        <f t="shared" si="1072"/>
        <v>0.25809531631794008</v>
      </c>
      <c r="T145" s="45">
        <f t="shared" si="1072"/>
        <v>0.25558036432427561</v>
      </c>
      <c r="U145" s="42">
        <f t="shared" si="1072"/>
        <v>0.24204120862989187</v>
      </c>
      <c r="V145" s="42">
        <f t="shared" si="1072"/>
        <v>0.24112308668798671</v>
      </c>
      <c r="W145" s="42">
        <f t="shared" si="1072"/>
        <v>0.23589734427898917</v>
      </c>
      <c r="X145" s="42">
        <f t="shared" si="1072"/>
        <v>0.22713831874128382</v>
      </c>
      <c r="Y145" s="45">
        <f t="shared" ref="Y145:AD145" si="1073">Y610/Y176</f>
        <v>0.22734934741529997</v>
      </c>
      <c r="Z145" s="45">
        <f t="shared" si="1073"/>
        <v>0.18351909719321113</v>
      </c>
      <c r="AA145" s="45">
        <f t="shared" si="1073"/>
        <v>0.18552998605299861</v>
      </c>
      <c r="AB145" s="45">
        <f t="shared" si="1073"/>
        <v>0.19114983424672047</v>
      </c>
      <c r="AC145" s="45">
        <f t="shared" si="1073"/>
        <v>0.18907139372255652</v>
      </c>
      <c r="AD145" s="45">
        <f t="shared" si="1073"/>
        <v>0.19931437740849248</v>
      </c>
      <c r="AE145" s="45">
        <f t="shared" ref="AE145:AK145" si="1074">AE610/AE176</f>
        <v>0.19879106351882814</v>
      </c>
      <c r="AF145" s="45">
        <f t="shared" si="1074"/>
        <v>0.20445998865445494</v>
      </c>
      <c r="AG145" s="45">
        <f t="shared" si="1074"/>
        <v>0.20610471107758829</v>
      </c>
      <c r="AH145" s="45">
        <f t="shared" si="1074"/>
        <v>0.26082254746768474</v>
      </c>
      <c r="AI145" s="45">
        <f t="shared" si="1074"/>
        <v>0.29381484675532099</v>
      </c>
      <c r="AJ145" s="45">
        <f t="shared" si="1074"/>
        <v>0.29224377293540738</v>
      </c>
      <c r="AK145" s="45">
        <f t="shared" si="1074"/>
        <v>0.29359831760238408</v>
      </c>
      <c r="AL145" s="45">
        <f t="shared" ref="AL145:AQ145" si="1075">AL610/AL176</f>
        <v>0.29865854967268612</v>
      </c>
      <c r="AM145" s="45">
        <f t="shared" si="1075"/>
        <v>0.30218073897296449</v>
      </c>
      <c r="AN145" s="45">
        <f t="shared" si="1075"/>
        <v>0.29463641630379939</v>
      </c>
      <c r="AO145" s="45">
        <f t="shared" si="1075"/>
        <v>0.29157272325375772</v>
      </c>
      <c r="AP145" s="45">
        <f t="shared" si="1075"/>
        <v>0.28874987037785305</v>
      </c>
      <c r="AQ145" s="45">
        <f t="shared" si="1075"/>
        <v>0.2918952110888029</v>
      </c>
      <c r="AR145" s="45">
        <f t="shared" ref="AR145" si="1076">AR610/AR176</f>
        <v>0.29239986136554935</v>
      </c>
      <c r="AS145" s="45">
        <f t="shared" ref="AS145:AT145" si="1077">AS610/AS176</f>
        <v>0.29095665063754739</v>
      </c>
      <c r="AT145" s="45">
        <f t="shared" si="1077"/>
        <v>0.27907827931290141</v>
      </c>
      <c r="AU145" s="45">
        <f t="shared" ref="AU145:AV145" si="1078">AU610/AU176</f>
        <v>0.23728569282049866</v>
      </c>
      <c r="AV145" s="45">
        <f t="shared" si="1078"/>
        <v>0.23180672139716507</v>
      </c>
      <c r="AW145" s="45">
        <f t="shared" ref="AW145:AY145" si="1079">AW610/AW176</f>
        <v>0.22894654889942997</v>
      </c>
      <c r="AX145" s="45">
        <f t="shared" si="1079"/>
        <v>0.22191285465999483</v>
      </c>
      <c r="AY145" s="45">
        <f t="shared" si="1079"/>
        <v>0.22119424407582269</v>
      </c>
      <c r="AZ145" s="43">
        <f t="shared" ref="AZ145" si="1080">AZ610/AZ176</f>
        <v>0.22246051701753522</v>
      </c>
      <c r="BA145" s="46">
        <f t="shared" ref="BA145:BC145" si="1081">AZ145</f>
        <v>0.22246051701753522</v>
      </c>
      <c r="BB145" s="46">
        <f t="shared" si="1081"/>
        <v>0.22246051701753522</v>
      </c>
      <c r="BC145" s="46">
        <f t="shared" si="1081"/>
        <v>0.22246051701753522</v>
      </c>
      <c r="BD145" s="46">
        <f t="shared" ref="BD145" si="1082">BC145</f>
        <v>0.22246051701753522</v>
      </c>
      <c r="BE145" s="46">
        <f t="shared" ref="BE145" si="1083">BD145</f>
        <v>0.22246051701753522</v>
      </c>
      <c r="BF145" s="46">
        <f t="shared" ref="BF145:BF146" si="1084">BE145</f>
        <v>0.22246051701753522</v>
      </c>
      <c r="BG145" s="46">
        <f t="shared" ref="BG145:BG146" si="1085">BF145</f>
        <v>0.22246051701753522</v>
      </c>
      <c r="BH145" s="46">
        <f t="shared" ref="BH145:BH146" si="1086">BG145</f>
        <v>0.22246051701753522</v>
      </c>
      <c r="BI145" s="46">
        <f t="shared" ref="BI145:BI146" si="1087">BH145</f>
        <v>0.22246051701753522</v>
      </c>
      <c r="BJ145" s="46">
        <f>BI145</f>
        <v>0.22246051701753522</v>
      </c>
      <c r="BK145" s="46">
        <f t="shared" ref="BK145:BQ145" si="1088">BJ145</f>
        <v>0.22246051701753522</v>
      </c>
      <c r="BL145" s="46">
        <f t="shared" si="1088"/>
        <v>0.22246051701753522</v>
      </c>
      <c r="BM145" s="46">
        <f t="shared" si="1088"/>
        <v>0.22246051701753522</v>
      </c>
      <c r="BN145" s="46">
        <f t="shared" si="1088"/>
        <v>0.22246051701753522</v>
      </c>
      <c r="BO145" s="46">
        <f t="shared" si="1088"/>
        <v>0.22246051701753522</v>
      </c>
      <c r="BP145" s="46">
        <f t="shared" si="1088"/>
        <v>0.22246051701753522</v>
      </c>
      <c r="BQ145" s="46">
        <f t="shared" si="1088"/>
        <v>0.22246051701753522</v>
      </c>
      <c r="BR145" s="42"/>
      <c r="BS145" s="232">
        <v>0.5</v>
      </c>
      <c r="BT145" s="232">
        <v>0.5</v>
      </c>
      <c r="BU145" s="232">
        <v>0.5</v>
      </c>
      <c r="BV145" s="232">
        <v>0.5</v>
      </c>
      <c r="BW145" s="232">
        <v>0.5</v>
      </c>
      <c r="BX145" s="232">
        <v>0.5</v>
      </c>
      <c r="BY145" s="232">
        <v>0.5</v>
      </c>
      <c r="BZ145" s="232">
        <v>0.5</v>
      </c>
      <c r="CA145" s="232">
        <v>0.5</v>
      </c>
      <c r="CB145" s="232">
        <v>0.5</v>
      </c>
      <c r="CC145" s="42">
        <f t="shared" ref="CC145:CR145" si="1089">CC610/CC176</f>
        <v>0.5</v>
      </c>
      <c r="CD145" s="42">
        <f t="shared" si="1089"/>
        <v>0.5</v>
      </c>
      <c r="CE145" s="42">
        <f t="shared" si="1089"/>
        <v>0.5</v>
      </c>
      <c r="CF145" s="42">
        <f t="shared" si="1089"/>
        <v>0.5</v>
      </c>
      <c r="CG145" s="42">
        <f t="shared" si="1089"/>
        <v>0.5</v>
      </c>
      <c r="CH145" s="42">
        <f t="shared" si="1089"/>
        <v>0.5</v>
      </c>
      <c r="CI145" s="42">
        <f t="shared" si="1089"/>
        <v>0.1824810074950288</v>
      </c>
      <c r="CJ145" s="42">
        <f t="shared" si="1089"/>
        <v>0.25809531631794008</v>
      </c>
      <c r="CK145" s="42">
        <f t="shared" si="1089"/>
        <v>0.24204120862989187</v>
      </c>
      <c r="CL145" s="42">
        <f t="shared" si="1089"/>
        <v>0.23589734427898917</v>
      </c>
      <c r="CM145" s="45">
        <f t="shared" si="1089"/>
        <v>0.22734934741529997</v>
      </c>
      <c r="CN145" s="45">
        <f t="shared" si="1089"/>
        <v>0.18552998605299861</v>
      </c>
      <c r="CO145" s="45">
        <f t="shared" si="1089"/>
        <v>0.18907139372255652</v>
      </c>
      <c r="CP145" s="45">
        <f t="shared" si="1089"/>
        <v>0.19879106351882814</v>
      </c>
      <c r="CQ145" s="45">
        <f t="shared" si="1089"/>
        <v>0.20610471107758829</v>
      </c>
      <c r="CR145" s="45">
        <f t="shared" si="1089"/>
        <v>0.29381484675532099</v>
      </c>
      <c r="CS145" s="45">
        <f t="shared" ref="CS145:DC145" si="1090">CS610/CS176</f>
        <v>0.29359831760238408</v>
      </c>
      <c r="CT145" s="45">
        <f t="shared" si="1090"/>
        <v>0.30218073897296449</v>
      </c>
      <c r="CU145" s="45">
        <f t="shared" si="1090"/>
        <v>0.29157272325375772</v>
      </c>
      <c r="CV145" s="45">
        <f t="shared" si="1090"/>
        <v>0.2918952110888029</v>
      </c>
      <c r="CW145" s="45">
        <f t="shared" si="1090"/>
        <v>0.29095665063754739</v>
      </c>
      <c r="CX145" s="45">
        <f t="shared" si="1090"/>
        <v>0.23728569282049866</v>
      </c>
      <c r="CY145" s="45">
        <f t="shared" si="1090"/>
        <v>0.22894654889942997</v>
      </c>
      <c r="CZ145" s="43">
        <f t="shared" si="1090"/>
        <v>0.22119424407582269</v>
      </c>
      <c r="DA145" s="42">
        <f t="shared" si="1090"/>
        <v>0.22246051701753522</v>
      </c>
      <c r="DB145" s="42">
        <f t="shared" si="1090"/>
        <v>0.22246051701753519</v>
      </c>
      <c r="DC145" s="42">
        <f t="shared" si="1090"/>
        <v>0.22246051701753522</v>
      </c>
      <c r="DD145" s="42">
        <f t="shared" ref="DD145:DI145" si="1091">DD610/DD176</f>
        <v>0.22246051701753522</v>
      </c>
      <c r="DE145" s="42">
        <f t="shared" si="1091"/>
        <v>0.22246051701753522</v>
      </c>
      <c r="DF145" s="42">
        <f t="shared" si="1091"/>
        <v>0.22246051701753522</v>
      </c>
      <c r="DG145" s="232">
        <f t="shared" si="1091"/>
        <v>0.22246051701753522</v>
      </c>
      <c r="DH145" s="232">
        <f t="shared" si="1091"/>
        <v>0.22246051701753522</v>
      </c>
      <c r="DI145" s="232">
        <f t="shared" si="1091"/>
        <v>0.22246051701753522</v>
      </c>
    </row>
    <row r="146" spans="1:114" outlineLevel="1">
      <c r="A146" s="1" t="s">
        <v>878</v>
      </c>
      <c r="B146" s="19" t="s">
        <v>259</v>
      </c>
      <c r="C146" s="232">
        <f t="shared" ref="C146:L146" si="1092">C611/(C177+C179)</f>
        <v>1.3242869320044588</v>
      </c>
      <c r="D146" s="232">
        <f t="shared" si="1092"/>
        <v>1.2921073882365401</v>
      </c>
      <c r="E146" s="232">
        <f t="shared" si="1092"/>
        <v>1.2860345719630135</v>
      </c>
      <c r="F146" s="232">
        <f t="shared" si="1092"/>
        <v>1.267431393055243</v>
      </c>
      <c r="G146" s="232">
        <f t="shared" si="1092"/>
        <v>1.2739445179041284</v>
      </c>
      <c r="H146" s="232">
        <f t="shared" si="1092"/>
        <v>1.2543393552957847</v>
      </c>
      <c r="I146" s="232">
        <f t="shared" si="1092"/>
        <v>1.3359284098782864</v>
      </c>
      <c r="J146" s="232">
        <f t="shared" si="1092"/>
        <v>1.1968998021386807</v>
      </c>
      <c r="K146" s="232">
        <f t="shared" si="1092"/>
        <v>1.1600504161414986</v>
      </c>
      <c r="L146" s="232">
        <f t="shared" si="1092"/>
        <v>1.1421622911694511</v>
      </c>
      <c r="M146" s="42">
        <f t="shared" ref="M146:X146" si="1093">M611/(M177+M179)</f>
        <v>1.1599585954723881</v>
      </c>
      <c r="N146" s="42">
        <f t="shared" si="1093"/>
        <v>1.1797024336557795</v>
      </c>
      <c r="O146" s="42">
        <f t="shared" si="1093"/>
        <v>1.0153523684007599</v>
      </c>
      <c r="P146" s="42">
        <f t="shared" si="1093"/>
        <v>0.90937669781931463</v>
      </c>
      <c r="Q146" s="42">
        <f t="shared" si="1093"/>
        <v>0.89452667190237423</v>
      </c>
      <c r="R146" s="42">
        <f t="shared" si="1093"/>
        <v>0.88311818876422565</v>
      </c>
      <c r="S146" s="42">
        <f t="shared" si="1093"/>
        <v>0.94311020883463781</v>
      </c>
      <c r="T146" s="45">
        <f t="shared" si="1093"/>
        <v>0.95530973687440301</v>
      </c>
      <c r="U146" s="42">
        <f t="shared" si="1093"/>
        <v>0.95484875563855465</v>
      </c>
      <c r="V146" s="42">
        <f t="shared" si="1093"/>
        <v>0.92099891543146362</v>
      </c>
      <c r="W146" s="42">
        <f t="shared" si="1093"/>
        <v>0.93015430573524271</v>
      </c>
      <c r="X146" s="42">
        <f t="shared" si="1093"/>
        <v>0.98179814271216403</v>
      </c>
      <c r="Y146" s="45">
        <f t="shared" ref="Y146:AD146" si="1094">Y611/(Y177+Y179)</f>
        <v>0.96760394136024996</v>
      </c>
      <c r="Z146" s="45">
        <f t="shared" si="1094"/>
        <v>1.0220032160996035</v>
      </c>
      <c r="AA146" s="45">
        <f t="shared" si="1094"/>
        <v>1.0832308428576574</v>
      </c>
      <c r="AB146" s="45">
        <f t="shared" si="1094"/>
        <v>1.0246385654814043</v>
      </c>
      <c r="AC146" s="45">
        <f t="shared" si="1094"/>
        <v>1.0317941136684252</v>
      </c>
      <c r="AD146" s="45">
        <f t="shared" si="1094"/>
        <v>1.0681032436984956</v>
      </c>
      <c r="AE146" s="45">
        <f t="shared" ref="AE146:AK146" si="1095">AE611/(AE177+AE179)</f>
        <v>1.0592053988548156</v>
      </c>
      <c r="AF146" s="45">
        <f t="shared" si="1095"/>
        <v>1.0349024400522566</v>
      </c>
      <c r="AG146" s="45">
        <f t="shared" si="1095"/>
        <v>1.0227346169106608</v>
      </c>
      <c r="AH146" s="45">
        <f t="shared" si="1095"/>
        <v>1.0190430045357937</v>
      </c>
      <c r="AI146" s="45">
        <f t="shared" si="1095"/>
        <v>0.93779917700081183</v>
      </c>
      <c r="AJ146" s="45">
        <f t="shared" si="1095"/>
        <v>0.9007444268963094</v>
      </c>
      <c r="AK146" s="45">
        <f t="shared" si="1095"/>
        <v>0.90457661060549321</v>
      </c>
      <c r="AL146" s="45">
        <f t="shared" ref="AL146:AQ146" si="1096">AL611/(AL177+AL179)</f>
        <v>0.88001562360140284</v>
      </c>
      <c r="AM146" s="45">
        <f t="shared" si="1096"/>
        <v>0.90536252310341048</v>
      </c>
      <c r="AN146" s="45">
        <f t="shared" si="1096"/>
        <v>0.92455580439669716</v>
      </c>
      <c r="AO146" s="45">
        <f t="shared" si="1096"/>
        <v>0.9135201232102359</v>
      </c>
      <c r="AP146" s="45">
        <f t="shared" si="1096"/>
        <v>0.9193096119127796</v>
      </c>
      <c r="AQ146" s="45">
        <f t="shared" si="1096"/>
        <v>0.89323517038283551</v>
      </c>
      <c r="AR146" s="45">
        <f t="shared" ref="AR146" si="1097">AR611/(AR177+AR179)</f>
        <v>0.87581728836640771</v>
      </c>
      <c r="AS146" s="45">
        <f t="shared" ref="AS146:AT146" si="1098">AS611/(AS177+AS179)</f>
        <v>0.81145098458169107</v>
      </c>
      <c r="AT146" s="45">
        <f t="shared" si="1098"/>
        <v>0.82082730670112558</v>
      </c>
      <c r="AU146" s="45">
        <f t="shared" ref="AU146:AV146" si="1099">AU611/(AU177+AU179)</f>
        <v>0.7441561924514134</v>
      </c>
      <c r="AV146" s="45">
        <f t="shared" si="1099"/>
        <v>0.7853094520049434</v>
      </c>
      <c r="AW146" s="45">
        <f t="shared" ref="AW146:AY146" si="1100">AW611/(AW177+AW179)</f>
        <v>0.77010172146735778</v>
      </c>
      <c r="AX146" s="45">
        <f t="shared" si="1100"/>
        <v>0.80315614617940201</v>
      </c>
      <c r="AY146" s="45">
        <f t="shared" si="1100"/>
        <v>0.79182989345470112</v>
      </c>
      <c r="AZ146" s="43">
        <f t="shared" ref="AZ146" si="1101">AZ611/(AZ177+AZ179)</f>
        <v>0.77857138348304178</v>
      </c>
      <c r="BA146" s="46">
        <f>AZ146-1.5%</f>
        <v>0.76357138348304177</v>
      </c>
      <c r="BB146" s="46">
        <f t="shared" ref="BB146:BC146" si="1102">BA146-1.5%</f>
        <v>0.74857138348304175</v>
      </c>
      <c r="BC146" s="46">
        <f t="shared" si="1102"/>
        <v>0.73357138348304174</v>
      </c>
      <c r="BD146" s="46">
        <f>+BC146-0.5%</f>
        <v>0.72857138348304173</v>
      </c>
      <c r="BE146" s="46">
        <f>+BD146-0.5%</f>
        <v>0.72357138348304173</v>
      </c>
      <c r="BF146" s="46">
        <f t="shared" si="1084"/>
        <v>0.72357138348304173</v>
      </c>
      <c r="BG146" s="46">
        <f t="shared" si="1085"/>
        <v>0.72357138348304173</v>
      </c>
      <c r="BH146" s="46">
        <f t="shared" si="1086"/>
        <v>0.72357138348304173</v>
      </c>
      <c r="BI146" s="46">
        <f t="shared" si="1087"/>
        <v>0.72357138348304173</v>
      </c>
      <c r="BJ146" s="46">
        <f>BI146</f>
        <v>0.72357138348304173</v>
      </c>
      <c r="BK146" s="46">
        <f t="shared" ref="BK146:BQ146" si="1103">BJ146</f>
        <v>0.72357138348304173</v>
      </c>
      <c r="BL146" s="46">
        <f t="shared" si="1103"/>
        <v>0.72357138348304173</v>
      </c>
      <c r="BM146" s="46">
        <f t="shared" si="1103"/>
        <v>0.72357138348304173</v>
      </c>
      <c r="BN146" s="46">
        <f t="shared" si="1103"/>
        <v>0.72357138348304173</v>
      </c>
      <c r="BO146" s="46">
        <f t="shared" si="1103"/>
        <v>0.72357138348304173</v>
      </c>
      <c r="BP146" s="46">
        <f t="shared" si="1103"/>
        <v>0.72357138348304173</v>
      </c>
      <c r="BQ146" s="46">
        <f t="shared" si="1103"/>
        <v>0.72357138348304173</v>
      </c>
      <c r="BR146" s="42"/>
      <c r="BS146" s="232">
        <f t="shared" ref="BS146:CB146" si="1104">BS611/(BS177+BS179)</f>
        <v>0.8520813239960302</v>
      </c>
      <c r="BT146" s="232">
        <f t="shared" si="1104"/>
        <v>0.8516865657558047</v>
      </c>
      <c r="BU146" s="232">
        <f t="shared" si="1104"/>
        <v>0.86747705757005844</v>
      </c>
      <c r="BV146" s="232">
        <f t="shared" si="1104"/>
        <v>1.0670024490550345</v>
      </c>
      <c r="BW146" s="232">
        <f t="shared" si="1104"/>
        <v>1.1862577303119508</v>
      </c>
      <c r="BX146" s="232">
        <f t="shared" si="1104"/>
        <v>1.1869355308611145</v>
      </c>
      <c r="BY146" s="232">
        <f t="shared" si="1104"/>
        <v>1.1032755010469637</v>
      </c>
      <c r="BZ146" s="232">
        <f t="shared" si="1104"/>
        <v>0.94355602052508347</v>
      </c>
      <c r="CA146" s="232">
        <f t="shared" si="1104"/>
        <v>0.99240815887775125</v>
      </c>
      <c r="CB146" s="232">
        <f t="shared" si="1104"/>
        <v>1.0387908989574455</v>
      </c>
      <c r="CC146" s="42">
        <f t="shared" ref="CC146:CR146" si="1105">CC611/(CC177+CC179)</f>
        <v>1.2860345719630135</v>
      </c>
      <c r="CD146" s="42">
        <f t="shared" si="1105"/>
        <v>1.2739445179041284</v>
      </c>
      <c r="CE146" s="42">
        <f t="shared" si="1105"/>
        <v>1.3359284098782864</v>
      </c>
      <c r="CF146" s="42">
        <f t="shared" si="1105"/>
        <v>1.1600504161414986</v>
      </c>
      <c r="CG146" s="42">
        <f t="shared" si="1105"/>
        <v>1.1599585954723881</v>
      </c>
      <c r="CH146" s="42">
        <f t="shared" si="1105"/>
        <v>1.0153523684007599</v>
      </c>
      <c r="CI146" s="42">
        <f t="shared" si="1105"/>
        <v>0.89452667190237423</v>
      </c>
      <c r="CJ146" s="42">
        <f t="shared" si="1105"/>
        <v>0.94311020883463781</v>
      </c>
      <c r="CK146" s="42">
        <f t="shared" si="1105"/>
        <v>0.95484875563855465</v>
      </c>
      <c r="CL146" s="42">
        <f t="shared" si="1105"/>
        <v>0.93015430573524271</v>
      </c>
      <c r="CM146" s="45">
        <f t="shared" si="1105"/>
        <v>0.96760394136024996</v>
      </c>
      <c r="CN146" s="45">
        <f t="shared" si="1105"/>
        <v>1.0832308428576574</v>
      </c>
      <c r="CO146" s="45">
        <f t="shared" si="1105"/>
        <v>1.0317941136684252</v>
      </c>
      <c r="CP146" s="45">
        <f t="shared" si="1105"/>
        <v>1.0592053988548156</v>
      </c>
      <c r="CQ146" s="45">
        <f t="shared" si="1105"/>
        <v>1.0227346169106608</v>
      </c>
      <c r="CR146" s="45">
        <f t="shared" si="1105"/>
        <v>0.93779917700081183</v>
      </c>
      <c r="CS146" s="45">
        <f t="shared" ref="CS146:DC146" si="1106">CS611/(CS177+CS179)</f>
        <v>0.90457661060549321</v>
      </c>
      <c r="CT146" s="45">
        <f t="shared" si="1106"/>
        <v>0.90536252310341048</v>
      </c>
      <c r="CU146" s="45">
        <f t="shared" si="1106"/>
        <v>0.9135201232102359</v>
      </c>
      <c r="CV146" s="45">
        <f t="shared" si="1106"/>
        <v>0.89323517038283551</v>
      </c>
      <c r="CW146" s="45">
        <f t="shared" si="1106"/>
        <v>0.81145098458169107</v>
      </c>
      <c r="CX146" s="45">
        <f t="shared" si="1106"/>
        <v>0.7441561924514134</v>
      </c>
      <c r="CY146" s="45">
        <f t="shared" si="1106"/>
        <v>0.77010172146735778</v>
      </c>
      <c r="CZ146" s="43">
        <f t="shared" si="1106"/>
        <v>0.79182989345470112</v>
      </c>
      <c r="DA146" s="42">
        <f t="shared" si="1106"/>
        <v>0.76357138348304177</v>
      </c>
      <c r="DB146" s="42">
        <f t="shared" si="1106"/>
        <v>0.73357138348304174</v>
      </c>
      <c r="DC146" s="42">
        <f t="shared" si="1106"/>
        <v>0.72357138348304173</v>
      </c>
      <c r="DD146" s="42">
        <f t="shared" ref="DD146:DI146" si="1107">DD611/(DD177+DD179)</f>
        <v>0.72357138348304162</v>
      </c>
      <c r="DE146" s="42">
        <f t="shared" si="1107"/>
        <v>0.72357138348304173</v>
      </c>
      <c r="DF146" s="42">
        <f t="shared" si="1107"/>
        <v>0.72357138348304173</v>
      </c>
      <c r="DG146" s="232">
        <f t="shared" si="1107"/>
        <v>0.72357138348304173</v>
      </c>
      <c r="DH146" s="232">
        <f t="shared" si="1107"/>
        <v>0.72357138348304173</v>
      </c>
      <c r="DI146" s="232">
        <f t="shared" si="1107"/>
        <v>0.72357138348304162</v>
      </c>
    </row>
    <row r="147" spans="1:114" outlineLevel="1">
      <c r="A147" s="1" t="s">
        <v>879</v>
      </c>
      <c r="B147" s="19" t="s">
        <v>260</v>
      </c>
      <c r="C147" s="232" t="s">
        <v>215</v>
      </c>
      <c r="D147" s="232" t="s">
        <v>215</v>
      </c>
      <c r="E147" s="232" t="s">
        <v>215</v>
      </c>
      <c r="F147" s="232" t="s">
        <v>215</v>
      </c>
      <c r="G147" s="232" t="s">
        <v>215</v>
      </c>
      <c r="H147" s="232" t="s">
        <v>215</v>
      </c>
      <c r="I147" s="232" t="s">
        <v>215</v>
      </c>
      <c r="J147" s="232" t="s">
        <v>215</v>
      </c>
      <c r="K147" s="232" t="s">
        <v>215</v>
      </c>
      <c r="L147" s="232" t="s">
        <v>215</v>
      </c>
      <c r="M147" s="42" t="s">
        <v>215</v>
      </c>
      <c r="N147" s="42" t="s">
        <v>215</v>
      </c>
      <c r="O147" s="42" t="s">
        <v>215</v>
      </c>
      <c r="P147" s="42" t="s">
        <v>215</v>
      </c>
      <c r="Q147" s="42">
        <f t="shared" ref="Q147:X147" si="1108">Q612/(Q660-Q181)</f>
        <v>0.16990752500023518</v>
      </c>
      <c r="R147" s="42">
        <f t="shared" si="1108"/>
        <v>0.1171600781153694</v>
      </c>
      <c r="S147" s="42">
        <f t="shared" si="1108"/>
        <v>0.22658831074883101</v>
      </c>
      <c r="T147" s="45">
        <f t="shared" si="1108"/>
        <v>0.30634248308487816</v>
      </c>
      <c r="U147" s="42">
        <f t="shared" si="1108"/>
        <v>0.25065869850008093</v>
      </c>
      <c r="V147" s="42">
        <f t="shared" si="1108"/>
        <v>0.28812533856749895</v>
      </c>
      <c r="W147" s="42">
        <f t="shared" si="1108"/>
        <v>0.23011825402570396</v>
      </c>
      <c r="X147" s="42">
        <f t="shared" si="1108"/>
        <v>0.22681788243994314</v>
      </c>
      <c r="Y147" s="45">
        <f t="shared" ref="Y147:AJ147" si="1109">Y612/(Y660-Y181)</f>
        <v>0.2315249701902784</v>
      </c>
      <c r="Z147" s="45">
        <f t="shared" si="1109"/>
        <v>0.24696333100550666</v>
      </c>
      <c r="AA147" s="45">
        <f t="shared" si="1109"/>
        <v>0.26505972467727246</v>
      </c>
      <c r="AB147" s="45">
        <f t="shared" si="1109"/>
        <v>0.27070945840405702</v>
      </c>
      <c r="AC147" s="45">
        <f t="shared" si="1109"/>
        <v>0.26289385099957785</v>
      </c>
      <c r="AD147" s="45">
        <f t="shared" si="1109"/>
        <v>0.18496213808463252</v>
      </c>
      <c r="AE147" s="45">
        <f t="shared" si="1109"/>
        <v>0.21672017566113497</v>
      </c>
      <c r="AF147" s="45">
        <f t="shared" si="1109"/>
        <v>0.25251066622907781</v>
      </c>
      <c r="AG147" s="45">
        <f t="shared" si="1109"/>
        <v>0.21783664725063884</v>
      </c>
      <c r="AH147" s="45">
        <f t="shared" si="1109"/>
        <v>0.24831478844629215</v>
      </c>
      <c r="AI147" s="45">
        <f t="shared" si="1109"/>
        <v>0.24876871880199666</v>
      </c>
      <c r="AJ147" s="45">
        <f t="shared" si="1109"/>
        <v>0.33315889907925783</v>
      </c>
      <c r="AK147" s="45">
        <f t="shared" ref="AK147:AP147" si="1110">AK612/(AK660-AK181)</f>
        <v>0.39103487024616357</v>
      </c>
      <c r="AL147" s="45">
        <f t="shared" si="1110"/>
        <v>0.34116762625876124</v>
      </c>
      <c r="AM147" s="45">
        <f t="shared" si="1110"/>
        <v>0.37024314116593254</v>
      </c>
      <c r="AN147" s="45">
        <f t="shared" si="1110"/>
        <v>0.35298021149117992</v>
      </c>
      <c r="AO147" s="45">
        <f t="shared" si="1110"/>
        <v>0.34182021359001385</v>
      </c>
      <c r="AP147" s="45">
        <f t="shared" si="1110"/>
        <v>0.28882731201903528</v>
      </c>
      <c r="AQ147" s="45">
        <f t="shared" ref="AQ147:AR147" si="1111">AQ612/(AQ660-AQ181)</f>
        <v>0.25182227823939329</v>
      </c>
      <c r="AR147" s="45">
        <f t="shared" si="1111"/>
        <v>0.27070164506895827</v>
      </c>
      <c r="AS147" s="45">
        <f t="shared" ref="AS147:BI147" si="1112">AS612/(AS660-AS181)</f>
        <v>0.31477220571539</v>
      </c>
      <c r="AT147" s="45">
        <f t="shared" si="1112"/>
        <v>0.31943217882185532</v>
      </c>
      <c r="AU147" s="45">
        <f t="shared" si="1112"/>
        <v>0.32794571829667757</v>
      </c>
      <c r="AV147" s="45">
        <f t="shared" si="1112"/>
        <v>0.27275052447050036</v>
      </c>
      <c r="AW147" s="45">
        <f t="shared" si="1112"/>
        <v>0.31739084960484254</v>
      </c>
      <c r="AX147" s="45">
        <f t="shared" si="1112"/>
        <v>0.29193145080193195</v>
      </c>
      <c r="AY147" s="45">
        <f t="shared" si="1112"/>
        <v>0.28604172183481918</v>
      </c>
      <c r="AZ147" s="43">
        <f t="shared" ref="AZ147" si="1113">AZ612/(AZ660-AZ181)</f>
        <v>0.26593991739055906</v>
      </c>
      <c r="BA147" s="45">
        <f t="shared" si="1112"/>
        <v>0.25633095033863357</v>
      </c>
      <c r="BB147" s="45">
        <f t="shared" si="1112"/>
        <v>0.2466039980993775</v>
      </c>
      <c r="BC147" s="45">
        <f t="shared" si="1112"/>
        <v>0.23710995201009877</v>
      </c>
      <c r="BD147" s="45">
        <f t="shared" si="1112"/>
        <v>0.22846611422156404</v>
      </c>
      <c r="BE147" s="45">
        <f t="shared" si="1112"/>
        <v>0.22029727273275934</v>
      </c>
      <c r="BF147" s="45">
        <f t="shared" si="1112"/>
        <v>0.21239427759610535</v>
      </c>
      <c r="BG147" s="45">
        <f t="shared" si="1112"/>
        <v>0.20526370390104787</v>
      </c>
      <c r="BH147" s="45">
        <f t="shared" si="1112"/>
        <v>0.19905132262557046</v>
      </c>
      <c r="BI147" s="45">
        <f t="shared" si="1112"/>
        <v>0.19361854861736508</v>
      </c>
      <c r="BJ147" s="46">
        <f>BI147*(BI147/BH147)</f>
        <v>0.18833405311861603</v>
      </c>
      <c r="BK147" s="46">
        <f t="shared" ref="BK147:BQ147" si="1114">BJ147*(BJ147/BI147)</f>
        <v>0.1831937891146061</v>
      </c>
      <c r="BL147" s="46">
        <f t="shared" si="1114"/>
        <v>0.17819382004713788</v>
      </c>
      <c r="BM147" s="46">
        <f t="shared" si="1114"/>
        <v>0.17333031679980726</v>
      </c>
      <c r="BN147" s="46">
        <f t="shared" si="1114"/>
        <v>0.16859955476555877</v>
      </c>
      <c r="BO147" s="46">
        <f t="shared" si="1114"/>
        <v>0.16399791099427713</v>
      </c>
      <c r="BP147" s="46">
        <f t="shared" si="1114"/>
        <v>0.15952186141823058</v>
      </c>
      <c r="BQ147" s="46">
        <f t="shared" si="1114"/>
        <v>0.15516797815324104</v>
      </c>
      <c r="BR147" s="42"/>
      <c r="BS147" s="232" t="s">
        <v>215</v>
      </c>
      <c r="BT147" s="232" t="s">
        <v>215</v>
      </c>
      <c r="BU147" s="232" t="s">
        <v>215</v>
      </c>
      <c r="BV147" s="232" t="s">
        <v>215</v>
      </c>
      <c r="BW147" s="232" t="s">
        <v>215</v>
      </c>
      <c r="BX147" s="232" t="s">
        <v>215</v>
      </c>
      <c r="BY147" s="232" t="s">
        <v>215</v>
      </c>
      <c r="BZ147" s="232" t="s">
        <v>215</v>
      </c>
      <c r="CA147" s="232" t="s">
        <v>215</v>
      </c>
      <c r="CB147" s="232" t="s">
        <v>215</v>
      </c>
      <c r="CC147" s="42">
        <f t="shared" ref="CC147:CR147" si="1115">CC612/(CC660-CC181)</f>
        <v>1.4622038729971493E-2</v>
      </c>
      <c r="CD147" s="42">
        <f t="shared" si="1115"/>
        <v>1.5857628416870124E-2</v>
      </c>
      <c r="CE147" s="42">
        <f t="shared" si="1115"/>
        <v>2.6037384795119207E-2</v>
      </c>
      <c r="CF147" s="42">
        <f t="shared" si="1115"/>
        <v>3.5716520455028974E-2</v>
      </c>
      <c r="CG147" s="42">
        <f t="shared" si="1115"/>
        <v>3.8130530973451329E-2</v>
      </c>
      <c r="CH147" s="42">
        <f t="shared" si="1115"/>
        <v>3.9364891443411175E-2</v>
      </c>
      <c r="CI147" s="42">
        <f t="shared" si="1115"/>
        <v>0.16990752500023518</v>
      </c>
      <c r="CJ147" s="42">
        <f t="shared" si="1115"/>
        <v>0.22658831074883101</v>
      </c>
      <c r="CK147" s="42">
        <f t="shared" si="1115"/>
        <v>0.25065869850008093</v>
      </c>
      <c r="CL147" s="42">
        <f t="shared" si="1115"/>
        <v>0.23011825402570396</v>
      </c>
      <c r="CM147" s="45">
        <f t="shared" si="1115"/>
        <v>0.2315249701902784</v>
      </c>
      <c r="CN147" s="45">
        <f t="shared" si="1115"/>
        <v>0.26505972467727246</v>
      </c>
      <c r="CO147" s="45">
        <f t="shared" si="1115"/>
        <v>0.26289385099957785</v>
      </c>
      <c r="CP147" s="45">
        <f t="shared" si="1115"/>
        <v>0.21672017566113497</v>
      </c>
      <c r="CQ147" s="45">
        <f t="shared" si="1115"/>
        <v>0.21783664725063884</v>
      </c>
      <c r="CR147" s="45">
        <f t="shared" si="1115"/>
        <v>0.24876871880199666</v>
      </c>
      <c r="CS147" s="45">
        <f t="shared" ref="CS147:DC147" si="1116">CS612/(CS660-CS181)</f>
        <v>0.39103487024616357</v>
      </c>
      <c r="CT147" s="45">
        <f t="shared" si="1116"/>
        <v>0.37024314116593254</v>
      </c>
      <c r="CU147" s="45">
        <f t="shared" si="1116"/>
        <v>0.34182021359001385</v>
      </c>
      <c r="CV147" s="45">
        <f t="shared" si="1116"/>
        <v>0.25182227823939329</v>
      </c>
      <c r="CW147" s="45">
        <f t="shared" si="1116"/>
        <v>0.31477220571539</v>
      </c>
      <c r="CX147" s="45">
        <f t="shared" si="1116"/>
        <v>0.32794571829667757</v>
      </c>
      <c r="CY147" s="45">
        <f t="shared" si="1116"/>
        <v>0.31739084960484254</v>
      </c>
      <c r="CZ147" s="43">
        <f t="shared" si="1116"/>
        <v>0.28604172183481918</v>
      </c>
      <c r="DA147" s="42">
        <f t="shared" si="1116"/>
        <v>0.25633095033863357</v>
      </c>
      <c r="DB147" s="42">
        <f t="shared" si="1116"/>
        <v>0.23710995201009877</v>
      </c>
      <c r="DC147" s="42">
        <f t="shared" si="1116"/>
        <v>0.22029727273275934</v>
      </c>
      <c r="DD147" s="42">
        <f t="shared" ref="DD147:DI147" si="1117">DD612/(DD660-DD181)</f>
        <v>0.20526370390104787</v>
      </c>
      <c r="DE147" s="42">
        <f t="shared" si="1117"/>
        <v>0.19361854861736508</v>
      </c>
      <c r="DF147" s="42">
        <f t="shared" si="1117"/>
        <v>0.19020549398754893</v>
      </c>
      <c r="DG147" s="232">
        <f t="shared" si="1117"/>
        <v>0.18661639896352195</v>
      </c>
      <c r="DH147" s="232">
        <f t="shared" si="1117"/>
        <v>0.18309253807087211</v>
      </c>
      <c r="DI147" s="232">
        <f t="shared" si="1117"/>
        <v>0.1796328133455537</v>
      </c>
    </row>
    <row r="148" spans="1:114" outlineLevel="1">
      <c r="A148" s="1" t="s">
        <v>880</v>
      </c>
      <c r="B148" s="19" t="s">
        <v>261</v>
      </c>
      <c r="C148" s="232">
        <v>0.04</v>
      </c>
      <c r="D148" s="232">
        <v>0.04</v>
      </c>
      <c r="E148" s="232">
        <v>0.04</v>
      </c>
      <c r="F148" s="232">
        <v>0.04</v>
      </c>
      <c r="G148" s="232">
        <v>0.04</v>
      </c>
      <c r="H148" s="232">
        <v>0.04</v>
      </c>
      <c r="I148" s="232">
        <v>0.04</v>
      </c>
      <c r="J148" s="232">
        <v>0.04</v>
      </c>
      <c r="K148" s="232">
        <v>0.04</v>
      </c>
      <c r="L148" s="232">
        <v>0.04</v>
      </c>
      <c r="M148" s="42">
        <v>0.04</v>
      </c>
      <c r="N148" s="42">
        <v>0.04</v>
      </c>
      <c r="O148" s="42">
        <v>0.04</v>
      </c>
      <c r="P148" s="42">
        <v>0.04</v>
      </c>
      <c r="Q148" s="42">
        <v>0.04</v>
      </c>
      <c r="R148" s="42">
        <v>0.04</v>
      </c>
      <c r="S148" s="42">
        <v>0.04</v>
      </c>
      <c r="T148" s="45">
        <v>0.04</v>
      </c>
      <c r="U148" s="42">
        <v>0.04</v>
      </c>
      <c r="V148" s="42">
        <v>0.04</v>
      </c>
      <c r="W148" s="42">
        <v>0.04</v>
      </c>
      <c r="X148" s="42">
        <v>0.04</v>
      </c>
      <c r="Y148" s="45">
        <v>0.04</v>
      </c>
      <c r="Z148" s="45">
        <v>0.04</v>
      </c>
      <c r="AA148" s="45">
        <v>0.04</v>
      </c>
      <c r="AB148" s="45">
        <v>0.04</v>
      </c>
      <c r="AC148" s="45">
        <v>0.04</v>
      </c>
      <c r="AD148" s="45">
        <v>0.04</v>
      </c>
      <c r="AE148" s="45">
        <v>0.04</v>
      </c>
      <c r="AF148" s="45">
        <v>0.04</v>
      </c>
      <c r="AG148" s="45">
        <v>0.04</v>
      </c>
      <c r="AH148" s="45">
        <v>0.04</v>
      </c>
      <c r="AI148" s="45">
        <v>0.04</v>
      </c>
      <c r="AJ148" s="45">
        <v>0.04</v>
      </c>
      <c r="AK148" s="45">
        <v>0.04</v>
      </c>
      <c r="AL148" s="45">
        <v>0.04</v>
      </c>
      <c r="AM148" s="45">
        <v>0.04</v>
      </c>
      <c r="AN148" s="45">
        <v>0.04</v>
      </c>
      <c r="AO148" s="45">
        <v>0.04</v>
      </c>
      <c r="AP148" s="45">
        <v>0.04</v>
      </c>
      <c r="AQ148" s="45">
        <v>0.04</v>
      </c>
      <c r="AR148" s="45">
        <v>0.04</v>
      </c>
      <c r="AS148" s="45">
        <v>0.04</v>
      </c>
      <c r="AT148" s="45">
        <v>0.04</v>
      </c>
      <c r="AU148" s="45">
        <v>0.04</v>
      </c>
      <c r="AV148" s="45">
        <v>0.04</v>
      </c>
      <c r="AW148" s="45">
        <v>0.04</v>
      </c>
      <c r="AX148" s="45">
        <v>0.04</v>
      </c>
      <c r="AY148" s="45">
        <v>0.04</v>
      </c>
      <c r="AZ148" s="43">
        <v>0.04</v>
      </c>
      <c r="BA148" s="46">
        <v>0.04</v>
      </c>
      <c r="BB148" s="46">
        <v>0.04</v>
      </c>
      <c r="BC148" s="46">
        <v>0.04</v>
      </c>
      <c r="BD148" s="46">
        <v>0.04</v>
      </c>
      <c r="BE148" s="46">
        <v>0.04</v>
      </c>
      <c r="BF148" s="46">
        <v>0.04</v>
      </c>
      <c r="BG148" s="46">
        <v>0.04</v>
      </c>
      <c r="BH148" s="46">
        <v>0.04</v>
      </c>
      <c r="BI148" s="46">
        <v>0.04</v>
      </c>
      <c r="BJ148" s="46">
        <v>0.04</v>
      </c>
      <c r="BK148" s="46">
        <v>0.04</v>
      </c>
      <c r="BL148" s="46">
        <v>0.04</v>
      </c>
      <c r="BM148" s="46">
        <v>0.04</v>
      </c>
      <c r="BN148" s="46">
        <v>0.04</v>
      </c>
      <c r="BO148" s="511">
        <v>0.04</v>
      </c>
      <c r="BP148" s="46">
        <v>0.04</v>
      </c>
      <c r="BQ148" s="511">
        <v>0.04</v>
      </c>
      <c r="BR148" s="42"/>
      <c r="BS148" s="232">
        <v>0.04</v>
      </c>
      <c r="BT148" s="232">
        <v>0.04</v>
      </c>
      <c r="BU148" s="232">
        <v>0.04</v>
      </c>
      <c r="BV148" s="232">
        <v>0.04</v>
      </c>
      <c r="BW148" s="232">
        <v>0.04</v>
      </c>
      <c r="BX148" s="232">
        <v>0.04</v>
      </c>
      <c r="BY148" s="232">
        <v>0.04</v>
      </c>
      <c r="BZ148" s="232">
        <v>0.04</v>
      </c>
      <c r="CA148" s="232">
        <v>0.04</v>
      </c>
      <c r="CB148" s="232">
        <v>0.04</v>
      </c>
      <c r="CC148" s="42">
        <v>0.04</v>
      </c>
      <c r="CD148" s="42">
        <v>0.04</v>
      </c>
      <c r="CE148" s="42">
        <v>0.04</v>
      </c>
      <c r="CF148" s="42">
        <v>0.04</v>
      </c>
      <c r="CG148" s="42">
        <v>0.04</v>
      </c>
      <c r="CH148" s="42">
        <v>0.04</v>
      </c>
      <c r="CI148" s="42">
        <v>0.04</v>
      </c>
      <c r="CJ148" s="42">
        <v>0.04</v>
      </c>
      <c r="CK148" s="42">
        <v>0.04</v>
      </c>
      <c r="CL148" s="42">
        <v>0.04</v>
      </c>
      <c r="CM148" s="45">
        <v>0.04</v>
      </c>
      <c r="CN148" s="45">
        <v>0.04</v>
      </c>
      <c r="CO148" s="45">
        <v>0.04</v>
      </c>
      <c r="CP148" s="45">
        <v>0.04</v>
      </c>
      <c r="CQ148" s="45">
        <v>0.04</v>
      </c>
      <c r="CR148" s="45">
        <v>0.04</v>
      </c>
      <c r="CS148" s="45">
        <v>0.04</v>
      </c>
      <c r="CT148" s="45">
        <v>0.04</v>
      </c>
      <c r="CU148" s="45">
        <v>0.04</v>
      </c>
      <c r="CV148" s="45">
        <v>0.04</v>
      </c>
      <c r="CW148" s="45">
        <v>0.04</v>
      </c>
      <c r="CX148" s="45">
        <v>0.04</v>
      </c>
      <c r="CY148" s="45">
        <v>0.04</v>
      </c>
      <c r="CZ148" s="43">
        <v>0.04</v>
      </c>
      <c r="DA148" s="42">
        <v>0.04</v>
      </c>
      <c r="DB148" s="42">
        <v>0.04</v>
      </c>
      <c r="DC148" s="42">
        <v>0.04</v>
      </c>
      <c r="DD148" s="42">
        <v>0.04</v>
      </c>
      <c r="DE148" s="42">
        <v>0.04</v>
      </c>
      <c r="DF148" s="42">
        <v>0.04</v>
      </c>
      <c r="DG148" s="232">
        <v>0.04</v>
      </c>
      <c r="DH148" s="232">
        <v>0.04</v>
      </c>
      <c r="DI148" s="232">
        <v>0.04</v>
      </c>
    </row>
    <row r="149" spans="1:114" outlineLevel="1">
      <c r="A149" s="1" t="s">
        <v>881</v>
      </c>
      <c r="B149" s="19" t="s">
        <v>272</v>
      </c>
      <c r="C149" s="21" t="s">
        <v>178</v>
      </c>
      <c r="D149" s="21" t="s">
        <v>178</v>
      </c>
      <c r="E149" s="21" t="s">
        <v>178</v>
      </c>
      <c r="F149" s="21" t="s">
        <v>178</v>
      </c>
      <c r="G149" s="21" t="s">
        <v>178</v>
      </c>
      <c r="H149" s="21" t="s">
        <v>178</v>
      </c>
      <c r="I149" s="21" t="s">
        <v>178</v>
      </c>
      <c r="J149" s="21" t="s">
        <v>178</v>
      </c>
      <c r="K149" s="21" t="s">
        <v>178</v>
      </c>
      <c r="L149" s="21" t="s">
        <v>178</v>
      </c>
      <c r="M149" s="21" t="s">
        <v>178</v>
      </c>
      <c r="N149" s="21" t="s">
        <v>178</v>
      </c>
      <c r="O149" s="21" t="s">
        <v>178</v>
      </c>
      <c r="P149" s="21" t="s">
        <v>178</v>
      </c>
      <c r="Q149" s="21" t="s">
        <v>178</v>
      </c>
      <c r="R149" s="21" t="s">
        <v>178</v>
      </c>
      <c r="S149" s="21" t="s">
        <v>178</v>
      </c>
      <c r="T149" s="21" t="s">
        <v>178</v>
      </c>
      <c r="U149" s="21" t="s">
        <v>178</v>
      </c>
      <c r="V149" s="21" t="s">
        <v>178</v>
      </c>
      <c r="W149" s="21" t="s">
        <v>178</v>
      </c>
      <c r="X149" s="21" t="s">
        <v>178</v>
      </c>
      <c r="Y149" s="21" t="s">
        <v>178</v>
      </c>
      <c r="Z149" s="21" t="s">
        <v>178</v>
      </c>
      <c r="AA149" s="21" t="s">
        <v>178</v>
      </c>
      <c r="AB149" s="21" t="s">
        <v>178</v>
      </c>
      <c r="AC149" s="21" t="s">
        <v>178</v>
      </c>
      <c r="AD149" s="21" t="s">
        <v>178</v>
      </c>
      <c r="AE149" s="21" t="s">
        <v>178</v>
      </c>
      <c r="AF149" s="21" t="s">
        <v>178</v>
      </c>
      <c r="AG149" s="21" t="s">
        <v>178</v>
      </c>
      <c r="AH149" s="21" t="s">
        <v>178</v>
      </c>
      <c r="AI149" s="21" t="s">
        <v>178</v>
      </c>
      <c r="AJ149" s="21" t="s">
        <v>178</v>
      </c>
      <c r="AK149" s="21" t="s">
        <v>178</v>
      </c>
      <c r="AL149" s="21" t="s">
        <v>178</v>
      </c>
      <c r="AM149" s="21" t="s">
        <v>178</v>
      </c>
      <c r="AN149" s="21" t="s">
        <v>178</v>
      </c>
      <c r="AO149" s="21" t="s">
        <v>178</v>
      </c>
      <c r="AP149" s="21" t="s">
        <v>178</v>
      </c>
      <c r="AQ149" s="21" t="s">
        <v>178</v>
      </c>
      <c r="AR149" s="21" t="s">
        <v>178</v>
      </c>
      <c r="AS149" s="21" t="s">
        <v>178</v>
      </c>
      <c r="AT149" s="21" t="s">
        <v>178</v>
      </c>
      <c r="AU149" s="21" t="s">
        <v>178</v>
      </c>
      <c r="AV149" s="21" t="s">
        <v>178</v>
      </c>
      <c r="AW149" s="21" t="s">
        <v>178</v>
      </c>
      <c r="AX149" s="21" t="s">
        <v>178</v>
      </c>
      <c r="AY149" s="21" t="s">
        <v>178</v>
      </c>
      <c r="AZ149" s="22" t="s">
        <v>178</v>
      </c>
      <c r="BA149" s="21" t="s">
        <v>178</v>
      </c>
      <c r="BB149" s="21" t="s">
        <v>178</v>
      </c>
      <c r="BC149" s="21" t="s">
        <v>178</v>
      </c>
      <c r="BD149" s="21" t="s">
        <v>178</v>
      </c>
      <c r="BE149" s="21" t="s">
        <v>178</v>
      </c>
      <c r="BF149" s="21" t="s">
        <v>178</v>
      </c>
      <c r="BG149" s="21" t="s">
        <v>178</v>
      </c>
      <c r="BH149" s="21" t="s">
        <v>178</v>
      </c>
      <c r="BI149" s="21" t="s">
        <v>178</v>
      </c>
      <c r="BJ149" s="21" t="s">
        <v>178</v>
      </c>
      <c r="BK149" s="21" t="s">
        <v>178</v>
      </c>
      <c r="BL149" s="21" t="s">
        <v>178</v>
      </c>
      <c r="BM149" s="21" t="s">
        <v>178</v>
      </c>
      <c r="BN149" s="21" t="s">
        <v>178</v>
      </c>
      <c r="BO149" s="21" t="s">
        <v>178</v>
      </c>
      <c r="BP149" s="21" t="s">
        <v>178</v>
      </c>
      <c r="BQ149" s="21" t="s">
        <v>178</v>
      </c>
      <c r="BS149" s="21" t="s">
        <v>178</v>
      </c>
      <c r="BT149" s="21" t="s">
        <v>178</v>
      </c>
      <c r="BU149" s="21" t="s">
        <v>178</v>
      </c>
      <c r="BV149" s="21" t="s">
        <v>178</v>
      </c>
      <c r="BW149" s="21" t="s">
        <v>178</v>
      </c>
      <c r="BX149" s="21" t="s">
        <v>178</v>
      </c>
      <c r="BY149" s="21" t="s">
        <v>178</v>
      </c>
      <c r="BZ149" s="21" t="s">
        <v>178</v>
      </c>
      <c r="CA149" s="21" t="s">
        <v>178</v>
      </c>
      <c r="CB149" s="21" t="s">
        <v>178</v>
      </c>
      <c r="CC149" s="21" t="str">
        <f>E149</f>
        <v>Core Tier 1</v>
      </c>
      <c r="CD149" s="21" t="str">
        <f>G149</f>
        <v>Core Tier 1</v>
      </c>
      <c r="CE149" s="21" t="str">
        <f>I149</f>
        <v>Core Tier 1</v>
      </c>
      <c r="CF149" s="21" t="str">
        <f>K149</f>
        <v>Core Tier 1</v>
      </c>
      <c r="CG149" s="21" t="str">
        <f>M149</f>
        <v>Core Tier 1</v>
      </c>
      <c r="CH149" s="21" t="str">
        <f>O149</f>
        <v>Core Tier 1</v>
      </c>
      <c r="CI149" s="21" t="str">
        <f>Q149</f>
        <v>Core Tier 1</v>
      </c>
      <c r="CJ149" s="21" t="str">
        <f>S149</f>
        <v>Core Tier 1</v>
      </c>
      <c r="CK149" s="21" t="str">
        <f>U149</f>
        <v>Core Tier 1</v>
      </c>
      <c r="CL149" s="21" t="str">
        <f>W149</f>
        <v>Core Tier 1</v>
      </c>
      <c r="CM149" s="21" t="str">
        <f>Y149</f>
        <v>Core Tier 1</v>
      </c>
      <c r="CN149" s="21" t="str">
        <f>AA149</f>
        <v>Core Tier 1</v>
      </c>
      <c r="CO149" s="21" t="str">
        <f>AC149</f>
        <v>Core Tier 1</v>
      </c>
      <c r="CP149" s="21" t="str">
        <f>AE149</f>
        <v>Core Tier 1</v>
      </c>
      <c r="CQ149" s="21" t="str">
        <f>AG149</f>
        <v>Core Tier 1</v>
      </c>
      <c r="CR149" s="21" t="str">
        <f>AI149</f>
        <v>Core Tier 1</v>
      </c>
      <c r="CS149" s="21" t="str">
        <f>AK149</f>
        <v>Core Tier 1</v>
      </c>
      <c r="CT149" s="21" t="str">
        <f>AM149</f>
        <v>Core Tier 1</v>
      </c>
      <c r="CU149" s="21" t="str">
        <f>AO149</f>
        <v>Core Tier 1</v>
      </c>
      <c r="CV149" s="21" t="str">
        <f>AQ149</f>
        <v>Core Tier 1</v>
      </c>
      <c r="CW149" s="21" t="str">
        <f>AS149</f>
        <v>Core Tier 1</v>
      </c>
      <c r="CX149" s="21" t="str">
        <f>AU149</f>
        <v>Core Tier 1</v>
      </c>
      <c r="CY149" s="21" t="str">
        <f>AW149</f>
        <v>Core Tier 1</v>
      </c>
      <c r="CZ149" s="22" t="str">
        <f>AY149</f>
        <v>Core Tier 1</v>
      </c>
      <c r="DA149" s="21" t="str">
        <f>BA149</f>
        <v>Core Tier 1</v>
      </c>
      <c r="DB149" s="21" t="str">
        <f>BC149</f>
        <v>Core Tier 1</v>
      </c>
      <c r="DC149" s="21" t="str">
        <f>BE149</f>
        <v>Core Tier 1</v>
      </c>
      <c r="DD149" s="21" t="str">
        <f>BG149</f>
        <v>Core Tier 1</v>
      </c>
      <c r="DE149" s="21" t="str">
        <f>BI149</f>
        <v>Core Tier 1</v>
      </c>
      <c r="DF149" s="21" t="str">
        <f>BK149</f>
        <v>Core Tier 1</v>
      </c>
      <c r="DG149" s="21" t="str">
        <f>BM149</f>
        <v>Core Tier 1</v>
      </c>
      <c r="DH149" s="21" t="str">
        <f>BO149</f>
        <v>Core Tier 1</v>
      </c>
      <c r="DI149" s="21" t="str">
        <f>BQ149</f>
        <v>Core Tier 1</v>
      </c>
    </row>
    <row r="150" spans="1:114" outlineLevel="1">
      <c r="A150" s="1" t="s">
        <v>882</v>
      </c>
      <c r="B150" s="19" t="s">
        <v>485</v>
      </c>
      <c r="C150" s="235">
        <f>C590/C613</f>
        <v>5.1877759551389985E-2</v>
      </c>
      <c r="D150" s="235">
        <f>D590/D613</f>
        <v>5.4263005257790861E-2</v>
      </c>
      <c r="E150" s="235">
        <f>E590/E613</f>
        <v>5.5101418655928082E-2</v>
      </c>
      <c r="F150" s="235">
        <f t="shared" ref="F150:L150" si="1118">F590/F613</f>
        <v>5.8148027070827911E-2</v>
      </c>
      <c r="G150" s="235">
        <f t="shared" si="1118"/>
        <v>5.7817012696855755E-2</v>
      </c>
      <c r="H150" s="235">
        <f t="shared" si="1118"/>
        <v>5.1368188428345535E-2</v>
      </c>
      <c r="I150" s="235">
        <f t="shared" si="1118"/>
        <v>4.5652931414295925E-2</v>
      </c>
      <c r="J150" s="235">
        <f t="shared" si="1118"/>
        <v>4.7981447247528695E-2</v>
      </c>
      <c r="K150" s="235">
        <f t="shared" si="1118"/>
        <v>4.9150923986727088E-2</v>
      </c>
      <c r="L150" s="235">
        <f t="shared" si="1118"/>
        <v>5.8095299185363179E-2</v>
      </c>
      <c r="M150" s="48">
        <f t="shared" ref="M150:AB150" si="1119">M590/M613</f>
        <v>5.3017492307265823E-2</v>
      </c>
      <c r="N150" s="48">
        <f t="shared" si="1119"/>
        <v>5.4431745030246961E-2</v>
      </c>
      <c r="O150" s="48">
        <f t="shared" si="1119"/>
        <v>5.6218335663366578E-2</v>
      </c>
      <c r="P150" s="48">
        <f t="shared" si="1119"/>
        <v>6.1308190568436345E-2</v>
      </c>
      <c r="Q150" s="48">
        <f t="shared" si="1119"/>
        <v>6.1298971781159214E-2</v>
      </c>
      <c r="R150" s="48">
        <f t="shared" si="1119"/>
        <v>6.5673725077207895E-2</v>
      </c>
      <c r="S150" s="48">
        <f t="shared" si="1119"/>
        <v>6.3541248320846427E-2</v>
      </c>
      <c r="T150" s="50">
        <f t="shared" si="1119"/>
        <v>6.8253717443998801E-2</v>
      </c>
      <c r="U150" s="48">
        <f t="shared" si="1119"/>
        <v>6.8598897603680611E-2</v>
      </c>
      <c r="V150" s="48">
        <f t="shared" si="1119"/>
        <v>7.3535437013898863E-2</v>
      </c>
      <c r="W150" s="48">
        <f t="shared" si="1119"/>
        <v>7.6585578837887053E-2</v>
      </c>
      <c r="X150" s="48">
        <f t="shared" si="1119"/>
        <v>7.6710166104029157E-2</v>
      </c>
      <c r="Y150" s="50">
        <f>Y590/Y613</f>
        <v>7.8153949806299472E-2</v>
      </c>
      <c r="Z150" s="50">
        <f>Z590/Z613</f>
        <v>8.3050684490950266E-2</v>
      </c>
      <c r="AA150" s="50">
        <f t="shared" si="1119"/>
        <v>8.2118617806646046E-2</v>
      </c>
      <c r="AB150" s="385">
        <f t="shared" si="1119"/>
        <v>8.5392747391508594E-2</v>
      </c>
      <c r="AC150" s="385">
        <f t="shared" ref="AC150:AK150" si="1120">AC590/AC613</f>
        <v>9.3013339650296845E-2</v>
      </c>
      <c r="AD150" s="385">
        <f t="shared" si="1120"/>
        <v>9.2296231673880041E-2</v>
      </c>
      <c r="AE150" s="385">
        <f t="shared" si="1120"/>
        <v>9.0577970877709704E-2</v>
      </c>
      <c r="AF150" s="385">
        <f t="shared" si="1120"/>
        <v>0.10481024392480047</v>
      </c>
      <c r="AG150" s="385">
        <f t="shared" si="1120"/>
        <v>0.10556494462420217</v>
      </c>
      <c r="AH150" s="385">
        <f t="shared" si="1120"/>
        <v>9.9259761593288143E-2</v>
      </c>
      <c r="AI150" s="385">
        <f t="shared" si="1120"/>
        <v>0.10103577745084805</v>
      </c>
      <c r="AJ150" s="385">
        <f t="shared" si="1120"/>
        <v>0.10398424811040841</v>
      </c>
      <c r="AK150" s="385">
        <f t="shared" si="1120"/>
        <v>0.10132748379894116</v>
      </c>
      <c r="AL150" s="385">
        <f t="shared" ref="AL150:AQ150" si="1121">AL590/AL613</f>
        <v>0.10788868321262333</v>
      </c>
      <c r="AM150" s="385">
        <f t="shared" si="1121"/>
        <v>0.10682654463051228</v>
      </c>
      <c r="AN150" s="385">
        <f t="shared" si="1121"/>
        <v>0.11661924417905663</v>
      </c>
      <c r="AO150" s="385">
        <f t="shared" si="1121"/>
        <v>0.11555826160352392</v>
      </c>
      <c r="AP150" s="385">
        <f t="shared" si="1121"/>
        <v>0.12582228140100879</v>
      </c>
      <c r="AQ150" s="385">
        <f t="shared" si="1121"/>
        <v>0.1305493920298216</v>
      </c>
      <c r="AR150" s="385">
        <f t="shared" ref="AR150" si="1122">AR590/AR613</f>
        <v>0.11752665136769035</v>
      </c>
      <c r="AS150" s="385">
        <f t="shared" ref="AS150:AT150" si="1123">AS590/AS613</f>
        <v>0.11452885364697565</v>
      </c>
      <c r="AT150" s="385">
        <f t="shared" si="1123"/>
        <v>0.11410444506126333</v>
      </c>
      <c r="AU150" s="385">
        <f t="shared" ref="AU150:AV150" si="1124">AU590/AU613</f>
        <v>0.12160250602574403</v>
      </c>
      <c r="AV150" s="385">
        <f t="shared" si="1124"/>
        <v>0.12343737867846882</v>
      </c>
      <c r="AW150" s="385">
        <f t="shared" ref="AW150:AX150" si="1125">AW590/AW613</f>
        <v>0.12338974785638358</v>
      </c>
      <c r="AX150" s="385">
        <f t="shared" si="1125"/>
        <v>0.12204557092184613</v>
      </c>
      <c r="AY150" s="50">
        <f t="shared" ref="AY150:BE150" si="1126">AY590/AY613</f>
        <v>0.12288141571516391</v>
      </c>
      <c r="AZ150" s="52">
        <f t="shared" si="1126"/>
        <v>0.12254259761334627</v>
      </c>
      <c r="BA150" s="48">
        <f t="shared" si="1126"/>
        <v>0.12345864424231444</v>
      </c>
      <c r="BB150" s="48">
        <f t="shared" si="1126"/>
        <v>0.12170965135907187</v>
      </c>
      <c r="BC150" s="48">
        <f t="shared" si="1126"/>
        <v>0.12123661212591444</v>
      </c>
      <c r="BD150" s="48">
        <f t="shared" si="1126"/>
        <v>0.11964976901698805</v>
      </c>
      <c r="BE150" s="48">
        <f t="shared" si="1126"/>
        <v>0.11913308256494996</v>
      </c>
      <c r="BF150" s="48">
        <f t="shared" ref="BF150:BM150" si="1127">BF590/BF613</f>
        <v>0.11753124479965724</v>
      </c>
      <c r="BG150" s="48">
        <f t="shared" si="1127"/>
        <v>0.11917226205994526</v>
      </c>
      <c r="BH150" s="48">
        <f t="shared" si="1127"/>
        <v>0.11993030866607958</v>
      </c>
      <c r="BI150" s="48">
        <f t="shared" si="1127"/>
        <v>0.1214298097338349</v>
      </c>
      <c r="BJ150" s="48">
        <f t="shared" si="1127"/>
        <v>0.12165032241509691</v>
      </c>
      <c r="BK150" s="48">
        <f t="shared" si="1127"/>
        <v>0.12246004101286136</v>
      </c>
      <c r="BL150" s="235">
        <f t="shared" si="1127"/>
        <v>0.12245633427518375</v>
      </c>
      <c r="BM150" s="235">
        <f t="shared" si="1127"/>
        <v>0.12319189556268111</v>
      </c>
      <c r="BN150" s="235">
        <f t="shared" ref="BN150:BO150" si="1128">BN590/BN613</f>
        <v>0.12327508916144471</v>
      </c>
      <c r="BO150" s="235">
        <f t="shared" si="1128"/>
        <v>0.12405417570836925</v>
      </c>
      <c r="BP150" s="235">
        <f t="shared" ref="BP150:BQ150" si="1129">BP590/BP613</f>
        <v>0.12425419262643081</v>
      </c>
      <c r="BQ150" s="235">
        <f t="shared" si="1129"/>
        <v>0.12511616670646639</v>
      </c>
      <c r="BR150" s="48"/>
      <c r="BS150" s="235">
        <f t="shared" ref="BS150:CB150" si="1130">BS590/BS613</f>
        <v>6.578259096694121E-2</v>
      </c>
      <c r="BT150" s="235">
        <f t="shared" si="1130"/>
        <v>7.2998680399953941E-2</v>
      </c>
      <c r="BU150" s="235">
        <f t="shared" si="1130"/>
        <v>8.1027219217783622E-2</v>
      </c>
      <c r="BV150" s="235">
        <f t="shared" si="1130"/>
        <v>8.6483952090703725E-2</v>
      </c>
      <c r="BW150" s="235">
        <f t="shared" si="1130"/>
        <v>8.7383165471351262E-2</v>
      </c>
      <c r="BX150" s="235">
        <f t="shared" si="1130"/>
        <v>7.3957996021649625E-2</v>
      </c>
      <c r="BY150" s="235">
        <f t="shared" si="1130"/>
        <v>6.6831866653958974E-2</v>
      </c>
      <c r="BZ150" s="235">
        <f t="shared" si="1130"/>
        <v>6.4114669130941382E-2</v>
      </c>
      <c r="CA150" s="235">
        <f t="shared" si="1130"/>
        <v>7.1604246443136885E-2</v>
      </c>
      <c r="CB150" s="235">
        <f t="shared" si="1130"/>
        <v>5.1877759551389985E-2</v>
      </c>
      <c r="CC150" s="48">
        <f t="shared" ref="CC150:CP150" si="1131">CC590/CC613</f>
        <v>5.5101418655928082E-2</v>
      </c>
      <c r="CD150" s="48">
        <f t="shared" si="1131"/>
        <v>5.7817012696855755E-2</v>
      </c>
      <c r="CE150" s="48">
        <f t="shared" si="1131"/>
        <v>4.5652931414295925E-2</v>
      </c>
      <c r="CF150" s="48">
        <f t="shared" si="1131"/>
        <v>4.9150923986727088E-2</v>
      </c>
      <c r="CG150" s="48">
        <f t="shared" si="1131"/>
        <v>5.3017492307265823E-2</v>
      </c>
      <c r="CH150" s="48">
        <f t="shared" si="1131"/>
        <v>5.6218335663366578E-2</v>
      </c>
      <c r="CI150" s="48">
        <f t="shared" si="1131"/>
        <v>6.1298971781159214E-2</v>
      </c>
      <c r="CJ150" s="48">
        <f t="shared" si="1131"/>
        <v>6.3541248320846427E-2</v>
      </c>
      <c r="CK150" s="48">
        <f t="shared" si="1131"/>
        <v>6.8598897603680611E-2</v>
      </c>
      <c r="CL150" s="48">
        <f t="shared" si="1131"/>
        <v>7.6585578837887053E-2</v>
      </c>
      <c r="CM150" s="50">
        <f t="shared" si="1131"/>
        <v>7.8153949806299472E-2</v>
      </c>
      <c r="CN150" s="50">
        <f t="shared" si="1131"/>
        <v>8.2118617806646046E-2</v>
      </c>
      <c r="CO150" s="50">
        <f t="shared" si="1131"/>
        <v>9.3013339650296845E-2</v>
      </c>
      <c r="CP150" s="50">
        <f t="shared" si="1131"/>
        <v>9.0577970877709704E-2</v>
      </c>
      <c r="CQ150" s="50">
        <f>CQ590/CQ613</f>
        <v>0.10556494462420217</v>
      </c>
      <c r="CR150" s="50">
        <f>CR590/CR613</f>
        <v>0.10103577745084805</v>
      </c>
      <c r="CS150" s="50">
        <f>CS590/CS613</f>
        <v>0.10132748379894116</v>
      </c>
      <c r="CT150" s="50">
        <f t="shared" ref="CT150:CY150" si="1132">CT590/CT613</f>
        <v>0.10682654463051228</v>
      </c>
      <c r="CU150" s="50">
        <f t="shared" si="1132"/>
        <v>0.11555826160352392</v>
      </c>
      <c r="CV150" s="50">
        <f t="shared" si="1132"/>
        <v>0.1305493920298216</v>
      </c>
      <c r="CW150" s="50">
        <f t="shared" si="1132"/>
        <v>0.11452885364697565</v>
      </c>
      <c r="CX150" s="50">
        <f t="shared" si="1132"/>
        <v>0.12160250602574403</v>
      </c>
      <c r="CY150" s="50">
        <f t="shared" si="1132"/>
        <v>0.12338974785638358</v>
      </c>
      <c r="CZ150" s="49">
        <f t="shared" ref="CZ150:DE150" si="1133">CZ590/CZ613</f>
        <v>0.12288141571516391</v>
      </c>
      <c r="DA150" s="48">
        <f t="shared" si="1133"/>
        <v>0.12345864424231444</v>
      </c>
      <c r="DB150" s="48">
        <f t="shared" si="1133"/>
        <v>0.12123661212591444</v>
      </c>
      <c r="DC150" s="48">
        <f t="shared" si="1133"/>
        <v>0.11913308256494999</v>
      </c>
      <c r="DD150" s="48">
        <f t="shared" si="1133"/>
        <v>0.11917226205994526</v>
      </c>
      <c r="DE150" s="48">
        <f t="shared" si="1133"/>
        <v>0.1214298097338349</v>
      </c>
      <c r="DF150" s="48">
        <f>DF590/DF613</f>
        <v>0.12246004101286136</v>
      </c>
      <c r="DG150" s="235">
        <f>DG590/DG613</f>
        <v>0.12319189556268111</v>
      </c>
      <c r="DH150" s="235">
        <f>DH590/DH613</f>
        <v>0.12405417570836925</v>
      </c>
      <c r="DI150" s="235">
        <f>DI590/DI613</f>
        <v>0.12511616670646639</v>
      </c>
    </row>
    <row r="151" spans="1:114" outlineLevel="1">
      <c r="A151" s="1" t="s">
        <v>883</v>
      </c>
      <c r="B151" s="19" t="s">
        <v>161</v>
      </c>
      <c r="C151" s="559">
        <v>0.05</v>
      </c>
      <c r="D151" s="559">
        <v>0.05</v>
      </c>
      <c r="E151" s="559">
        <v>0.05</v>
      </c>
      <c r="F151" s="559">
        <v>0.05</v>
      </c>
      <c r="G151" s="559">
        <v>0.05</v>
      </c>
      <c r="H151" s="559">
        <v>0.05</v>
      </c>
      <c r="I151" s="559">
        <v>0.05</v>
      </c>
      <c r="J151" s="559">
        <v>0.05</v>
      </c>
      <c r="K151" s="559">
        <v>0.05</v>
      </c>
      <c r="L151" s="559">
        <v>0.05</v>
      </c>
      <c r="M151" s="179">
        <v>0.05</v>
      </c>
      <c r="N151" s="179">
        <v>0.05</v>
      </c>
      <c r="O151" s="179">
        <v>0.05</v>
      </c>
      <c r="P151" s="179">
        <v>0.05</v>
      </c>
      <c r="Q151" s="179">
        <v>0.05</v>
      </c>
      <c r="R151" s="179">
        <v>6.5000000000000002E-2</v>
      </c>
      <c r="S151" s="179">
        <v>6.5000000000000002E-2</v>
      </c>
      <c r="T151" s="178">
        <v>6.5000000000000002E-2</v>
      </c>
      <c r="U151" s="179">
        <v>6.5000000000000002E-2</v>
      </c>
      <c r="V151" s="187">
        <v>6.5000000000000002E-2</v>
      </c>
      <c r="W151" s="180">
        <f>8.25%-7.3%+W834</f>
        <v>8.6085578837887061E-2</v>
      </c>
      <c r="X151" s="180">
        <f>8.25%-7.1%+X834</f>
        <v>8.8210166104029167E-2</v>
      </c>
      <c r="Y151" s="180">
        <f>8.25%-7.5%+Y834</f>
        <v>8.5653949806299479E-2</v>
      </c>
      <c r="Z151" s="180">
        <f>8.25%-8.1%+Z834</f>
        <v>8.4550684490950268E-2</v>
      </c>
      <c r="AA151" s="178">
        <v>8.2500000000000004E-2</v>
      </c>
      <c r="AB151" s="178">
        <v>8.7499999999999994E-2</v>
      </c>
      <c r="AC151" s="178">
        <v>8.7499999999999994E-2</v>
      </c>
      <c r="AD151" s="178">
        <v>0.09</v>
      </c>
      <c r="AE151" s="178">
        <v>0.09</v>
      </c>
      <c r="AF151" s="178">
        <v>0.1</v>
      </c>
      <c r="AG151" s="178">
        <v>0.1</v>
      </c>
      <c r="AH151" s="178">
        <v>0.1</v>
      </c>
      <c r="AI151" s="178">
        <v>0.105</v>
      </c>
      <c r="AJ151" s="178">
        <v>0.105</v>
      </c>
      <c r="AK151" s="178">
        <v>0.105</v>
      </c>
      <c r="AL151" s="178">
        <v>0.105</v>
      </c>
      <c r="AM151" s="178">
        <v>0.105</v>
      </c>
      <c r="AN151" s="178">
        <v>0.105</v>
      </c>
      <c r="AO151" s="178">
        <v>0.105</v>
      </c>
      <c r="AP151" s="178">
        <v>0.105</v>
      </c>
      <c r="AQ151" s="178">
        <v>0.105</v>
      </c>
      <c r="AR151" s="178">
        <v>0.105</v>
      </c>
      <c r="AS151" s="178">
        <v>0.105</v>
      </c>
      <c r="AT151" s="178">
        <v>0.105</v>
      </c>
      <c r="AU151" s="178">
        <v>0.11</v>
      </c>
      <c r="AV151" s="178">
        <v>0.11</v>
      </c>
      <c r="AW151" s="178">
        <v>0.115</v>
      </c>
      <c r="AX151" s="178">
        <v>0.115</v>
      </c>
      <c r="AY151" s="178">
        <v>0.115</v>
      </c>
      <c r="AZ151" s="391">
        <v>0.115</v>
      </c>
      <c r="BA151" s="47">
        <f t="shared" ref="BA151:BE151" si="1134">AZ151</f>
        <v>0.115</v>
      </c>
      <c r="BB151" s="47">
        <f t="shared" si="1134"/>
        <v>0.115</v>
      </c>
      <c r="BC151" s="47">
        <f t="shared" si="1134"/>
        <v>0.115</v>
      </c>
      <c r="BD151" s="47">
        <f t="shared" si="1134"/>
        <v>0.115</v>
      </c>
      <c r="BE151" s="47">
        <f t="shared" si="1134"/>
        <v>0.115</v>
      </c>
      <c r="BF151" s="47">
        <f t="shared" ref="BF151:BM151" si="1135">BE151</f>
        <v>0.115</v>
      </c>
      <c r="BG151" s="47">
        <f t="shared" si="1135"/>
        <v>0.115</v>
      </c>
      <c r="BH151" s="47">
        <f t="shared" si="1135"/>
        <v>0.115</v>
      </c>
      <c r="BI151" s="47">
        <f t="shared" si="1135"/>
        <v>0.115</v>
      </c>
      <c r="BJ151" s="47">
        <f t="shared" si="1135"/>
        <v>0.115</v>
      </c>
      <c r="BK151" s="47">
        <f t="shared" si="1135"/>
        <v>0.115</v>
      </c>
      <c r="BL151" s="510">
        <f t="shared" si="1135"/>
        <v>0.115</v>
      </c>
      <c r="BM151" s="510">
        <f t="shared" si="1135"/>
        <v>0.115</v>
      </c>
      <c r="BN151" s="510">
        <f t="shared" ref="BN151" si="1136">BM151</f>
        <v>0.115</v>
      </c>
      <c r="BO151" s="510">
        <f t="shared" ref="BO151" si="1137">BN151</f>
        <v>0.115</v>
      </c>
      <c r="BP151" s="510">
        <f t="shared" ref="BP151" si="1138">BO151</f>
        <v>0.115</v>
      </c>
      <c r="BQ151" s="510">
        <f t="shared" ref="BQ151" si="1139">BP151</f>
        <v>0.115</v>
      </c>
      <c r="BR151" s="48"/>
      <c r="BS151" s="235">
        <v>0.05</v>
      </c>
      <c r="BT151" s="235">
        <v>0.05</v>
      </c>
      <c r="BU151" s="235">
        <v>0.05</v>
      </c>
      <c r="BV151" s="235">
        <v>0.05</v>
      </c>
      <c r="BW151" s="235">
        <v>0.05</v>
      </c>
      <c r="BX151" s="235">
        <v>0.05</v>
      </c>
      <c r="BY151" s="235">
        <v>0.05</v>
      </c>
      <c r="BZ151" s="235">
        <v>0.05</v>
      </c>
      <c r="CA151" s="235">
        <v>0.05</v>
      </c>
      <c r="CB151" s="235">
        <v>0.05</v>
      </c>
      <c r="CC151" s="48">
        <f>E151</f>
        <v>0.05</v>
      </c>
      <c r="CD151" s="48">
        <f>G151</f>
        <v>0.05</v>
      </c>
      <c r="CE151" s="48">
        <f>I151</f>
        <v>0.05</v>
      </c>
      <c r="CF151" s="48">
        <f>K151</f>
        <v>0.05</v>
      </c>
      <c r="CG151" s="48">
        <f>M151</f>
        <v>0.05</v>
      </c>
      <c r="CH151" s="48">
        <f>O151</f>
        <v>0.05</v>
      </c>
      <c r="CI151" s="48">
        <f>Q151</f>
        <v>0.05</v>
      </c>
      <c r="CJ151" s="48">
        <f>S151</f>
        <v>6.5000000000000002E-2</v>
      </c>
      <c r="CK151" s="48">
        <f>U151</f>
        <v>6.5000000000000002E-2</v>
      </c>
      <c r="CL151" s="48">
        <f>W151</f>
        <v>8.6085578837887061E-2</v>
      </c>
      <c r="CM151" s="50">
        <f>Y151</f>
        <v>8.5653949806299479E-2</v>
      </c>
      <c r="CN151" s="50">
        <f>AA151</f>
        <v>8.2500000000000004E-2</v>
      </c>
      <c r="CO151" s="50">
        <f>AC151</f>
        <v>8.7499999999999994E-2</v>
      </c>
      <c r="CP151" s="50">
        <f>AE151</f>
        <v>0.09</v>
      </c>
      <c r="CQ151" s="50">
        <f>AG151</f>
        <v>0.1</v>
      </c>
      <c r="CR151" s="50">
        <f>AI151</f>
        <v>0.105</v>
      </c>
      <c r="CS151" s="50">
        <f>AK151</f>
        <v>0.105</v>
      </c>
      <c r="CT151" s="50">
        <f>AM151</f>
        <v>0.105</v>
      </c>
      <c r="CU151" s="50">
        <f>AO151</f>
        <v>0.105</v>
      </c>
      <c r="CV151" s="50">
        <f>AQ151</f>
        <v>0.105</v>
      </c>
      <c r="CW151" s="50">
        <f>AS151</f>
        <v>0.105</v>
      </c>
      <c r="CX151" s="50">
        <f>AU151</f>
        <v>0.11</v>
      </c>
      <c r="CY151" s="50">
        <f>AW151</f>
        <v>0.115</v>
      </c>
      <c r="CZ151" s="49">
        <f>AY151</f>
        <v>0.115</v>
      </c>
      <c r="DA151" s="48">
        <f>BA151</f>
        <v>0.115</v>
      </c>
      <c r="DB151" s="48">
        <f>BC151</f>
        <v>0.115</v>
      </c>
      <c r="DC151" s="48">
        <f>BE151</f>
        <v>0.115</v>
      </c>
      <c r="DD151" s="48">
        <f>BG151</f>
        <v>0.115</v>
      </c>
      <c r="DE151" s="48">
        <f>BI151</f>
        <v>0.115</v>
      </c>
      <c r="DF151" s="48">
        <f>BK151</f>
        <v>0.115</v>
      </c>
      <c r="DG151" s="235">
        <f>BM151</f>
        <v>0.115</v>
      </c>
      <c r="DH151" s="235">
        <f>BO151</f>
        <v>0.115</v>
      </c>
      <c r="DI151" s="235">
        <f>BQ151</f>
        <v>0.115</v>
      </c>
    </row>
    <row r="152" spans="1:114" outlineLevel="1">
      <c r="A152" s="1" t="s">
        <v>884</v>
      </c>
      <c r="B152" s="19" t="s">
        <v>162</v>
      </c>
      <c r="C152" s="232">
        <f t="shared" ref="C152:L152" si="1140">(-(C556+C576))/C208</f>
        <v>6.8200954252034804E-2</v>
      </c>
      <c r="D152" s="232">
        <f t="shared" si="1140"/>
        <v>5.8364273569520106E-2</v>
      </c>
      <c r="E152" s="232">
        <f t="shared" si="1140"/>
        <v>6.3948511461272631E-2</v>
      </c>
      <c r="F152" s="232">
        <f t="shared" si="1140"/>
        <v>9.7914664214969291E-2</v>
      </c>
      <c r="G152" s="232">
        <f t="shared" si="1140"/>
        <v>7.9797007612214546E-2</v>
      </c>
      <c r="H152" s="232">
        <f t="shared" si="1140"/>
        <v>6.8564936968630905E-2</v>
      </c>
      <c r="I152" s="232">
        <f t="shared" si="1140"/>
        <v>9.2627277371019917E-2</v>
      </c>
      <c r="J152" s="232">
        <f t="shared" si="1140"/>
        <v>6.0850092588605145E-2</v>
      </c>
      <c r="K152" s="232">
        <f t="shared" si="1140"/>
        <v>5.0437736835228016E-2</v>
      </c>
      <c r="L152" s="232">
        <f t="shared" si="1140"/>
        <v>5.4578875430079651E-2</v>
      </c>
      <c r="M152" s="42">
        <f t="shared" ref="M152:X152" si="1141">(-(M556+M576))/M208</f>
        <v>5.5694497883801465E-2</v>
      </c>
      <c r="N152" s="42">
        <f t="shared" si="1141"/>
        <v>-3.3085485503101766E-2</v>
      </c>
      <c r="O152" s="42">
        <f t="shared" si="1141"/>
        <v>-3.4793874057280343E-2</v>
      </c>
      <c r="P152" s="42">
        <f t="shared" si="1141"/>
        <v>-2.2059890668085724E-2</v>
      </c>
      <c r="Q152" s="42">
        <f t="shared" si="1141"/>
        <v>-2.0329818869964857E-2</v>
      </c>
      <c r="R152" s="42">
        <f t="shared" si="1141"/>
        <v>-1.3789430076344913E-2</v>
      </c>
      <c r="S152" s="42">
        <f t="shared" si="1141"/>
        <v>-1.3888888888888888E-2</v>
      </c>
      <c r="T152" s="45">
        <f t="shared" si="1141"/>
        <v>-9.3411996066863328E-3</v>
      </c>
      <c r="U152" s="42">
        <f t="shared" si="1141"/>
        <v>8.6348684210526324E-3</v>
      </c>
      <c r="V152" s="42">
        <f t="shared" si="1141"/>
        <v>2.1916447975033691E-2</v>
      </c>
      <c r="W152" s="42">
        <f t="shared" si="1141"/>
        <v>2.1901552886024026E-2</v>
      </c>
      <c r="X152" s="42">
        <f t="shared" si="1141"/>
        <v>4.3397251766167225E-2</v>
      </c>
      <c r="Y152" s="45">
        <f>(-(Y556+Y576))/Y208</f>
        <v>5.8103740187778974E-2</v>
      </c>
      <c r="Z152" s="45">
        <f>(-(Z556+Z576))/Z208</f>
        <v>6.6835481890730505E-2</v>
      </c>
      <c r="AA152" s="45">
        <f t="shared" ref="AA152:AF152" si="1142">(-(AA556+AA576))/AA208</f>
        <v>0.11850199938480467</v>
      </c>
      <c r="AB152" s="533">
        <f t="shared" si="1142"/>
        <v>0.12861491628614916</v>
      </c>
      <c r="AC152" s="533">
        <f t="shared" si="1142"/>
        <v>0.12053774874677199</v>
      </c>
      <c r="AD152" s="533">
        <f t="shared" si="1142"/>
        <v>0.12779843666995522</v>
      </c>
      <c r="AE152" s="533">
        <f>(-(AE556+AE576))/AE208</f>
        <v>0.17303074897374332</v>
      </c>
      <c r="AF152" s="533">
        <f t="shared" si="1142"/>
        <v>0.15748156371421776</v>
      </c>
      <c r="AG152" s="533">
        <f>(-(AG556+AG576))/AG208</f>
        <v>0.13588160810383032</v>
      </c>
      <c r="AH152" s="533">
        <f>(-(AH556+AH576))/AH208</f>
        <v>0.1725056506296416</v>
      </c>
      <c r="AI152" s="533">
        <f>(-(AI556+AI576))/AI208</f>
        <v>0.26709935097353971</v>
      </c>
      <c r="AJ152" s="533">
        <f>(-(AJ556+AJ576))/AJ208</f>
        <v>7.0893970893970897</v>
      </c>
      <c r="AK152" s="533">
        <f>(-(AK556+AK576))/AK208</f>
        <v>8.4611973392461195</v>
      </c>
      <c r="AL152" s="533" t="str">
        <f t="shared" ref="AL152:AQ152" si="1143">IF(ISERROR((-(AL556+AL576))/AL208),"n.a.",(-(AL556+AL576))/AL208)</f>
        <v>n.a.</v>
      </c>
      <c r="AM152" s="533" t="str">
        <f t="shared" si="1143"/>
        <v>n.a.</v>
      </c>
      <c r="AN152" s="533" t="str">
        <f t="shared" si="1143"/>
        <v>n.a.</v>
      </c>
      <c r="AO152" s="533" t="str">
        <f t="shared" si="1143"/>
        <v>n.a.</v>
      </c>
      <c r="AP152" s="533" t="str">
        <f t="shared" si="1143"/>
        <v>n.a.</v>
      </c>
      <c r="AQ152" s="533" t="str">
        <f t="shared" si="1143"/>
        <v>n.a.</v>
      </c>
      <c r="AR152" s="533" t="str">
        <f t="shared" ref="AR152" si="1144">IF(ISERROR((-(AR556+AR576))/AR208),"n.a.",(-(AR556+AR576))/AR208)</f>
        <v>n.a.</v>
      </c>
      <c r="AS152" s="533" t="str">
        <f t="shared" ref="AS152:AT152" si="1145">IF(ISERROR((-(AS556+AS576))/AS208),"n.a.",(-(AS556+AS576))/AS208)</f>
        <v>n.a.</v>
      </c>
      <c r="AT152" s="533" t="str">
        <f t="shared" si="1145"/>
        <v>n.a.</v>
      </c>
      <c r="AU152" s="533" t="str">
        <f t="shared" ref="AU152:AV152" si="1146">IF(ISERROR((-(AU556+AU576))/AU208),"n.a.",(-(AU556+AU576))/AU208)</f>
        <v>n.a.</v>
      </c>
      <c r="AV152" s="533" t="str">
        <f t="shared" si="1146"/>
        <v>n.a.</v>
      </c>
      <c r="AW152" s="533" t="str">
        <f t="shared" ref="AW152:AX152" si="1147">IF(ISERROR((-(AW556+AW576))/AW208),"n.a.",(-(AW556+AW576))/AW208)</f>
        <v>n.a.</v>
      </c>
      <c r="AX152" s="533" t="str">
        <f t="shared" si="1147"/>
        <v>n.a.</v>
      </c>
      <c r="AY152" s="533" t="str">
        <f t="shared" ref="AY152:BE152" si="1148">IF(ISERROR((-(AY556+AY576))/AY208),"n.a.",(-(AY556+AY576))/AY208)</f>
        <v>n.a.</v>
      </c>
      <c r="AZ152" s="501" t="str">
        <f t="shared" si="1148"/>
        <v>n.a.</v>
      </c>
      <c r="BA152" s="533" t="str">
        <f t="shared" si="1148"/>
        <v>n.a.</v>
      </c>
      <c r="BB152" s="533" t="str">
        <f t="shared" si="1148"/>
        <v>n.a.</v>
      </c>
      <c r="BC152" s="533" t="str">
        <f t="shared" si="1148"/>
        <v>n.a.</v>
      </c>
      <c r="BD152" s="533" t="str">
        <f t="shared" si="1148"/>
        <v>n.a.</v>
      </c>
      <c r="BE152" s="533" t="str">
        <f t="shared" si="1148"/>
        <v>n.a.</v>
      </c>
      <c r="BF152" s="533" t="str">
        <f t="shared" ref="BF152:BM152" si="1149">IF(ISERROR((-(BF556+BF576))/BF208),"n.a.",(-(BF556+BF576))/BF208)</f>
        <v>n.a.</v>
      </c>
      <c r="BG152" s="533" t="str">
        <f t="shared" si="1149"/>
        <v>n.a.</v>
      </c>
      <c r="BH152" s="533" t="str">
        <f t="shared" si="1149"/>
        <v>n.a.</v>
      </c>
      <c r="BI152" s="533" t="str">
        <f t="shared" si="1149"/>
        <v>n.a.</v>
      </c>
      <c r="BJ152" s="533" t="str">
        <f t="shared" si="1149"/>
        <v>n.a.</v>
      </c>
      <c r="BK152" s="533" t="str">
        <f t="shared" si="1149"/>
        <v>n.a.</v>
      </c>
      <c r="BL152" s="530" t="str">
        <f t="shared" si="1149"/>
        <v>n.a.</v>
      </c>
      <c r="BM152" s="530" t="str">
        <f t="shared" si="1149"/>
        <v>n.a.</v>
      </c>
      <c r="BN152" s="530" t="str">
        <f t="shared" ref="BN152:BO152" si="1150">IF(ISERROR((-(BN556+BN576))/BN208),"n.a.",(-(BN556+BN576))/BN208)</f>
        <v>n.a.</v>
      </c>
      <c r="BO152" s="530" t="str">
        <f t="shared" si="1150"/>
        <v>n.a.</v>
      </c>
      <c r="BP152" s="530" t="str">
        <f t="shared" ref="BP152:BQ152" si="1151">IF(ISERROR((-(BP556+BP576))/BP208),"n.a.",(-(BP556+BP576))/BP208)</f>
        <v>n.a.</v>
      </c>
      <c r="BQ152" s="530" t="str">
        <f t="shared" si="1151"/>
        <v>n.a.</v>
      </c>
      <c r="BR152" s="42"/>
      <c r="BS152" s="232" t="s">
        <v>215</v>
      </c>
      <c r="BT152" s="232" t="s">
        <v>215</v>
      </c>
      <c r="BU152" s="232" t="s">
        <v>215</v>
      </c>
      <c r="BV152" s="232" t="s">
        <v>215</v>
      </c>
      <c r="BW152" s="232" t="s">
        <v>215</v>
      </c>
      <c r="BX152" s="232" t="s">
        <v>215</v>
      </c>
      <c r="BY152" s="232" t="s">
        <v>215</v>
      </c>
      <c r="BZ152" s="232" t="s">
        <v>215</v>
      </c>
      <c r="CA152" s="232" t="s">
        <v>215</v>
      </c>
      <c r="CB152" s="232" t="s">
        <v>215</v>
      </c>
      <c r="CC152" s="42">
        <f t="shared" ref="CC152:CR152" si="1152">(-(CC556+CC576))/CC208</f>
        <v>6.3948511461272631E-2</v>
      </c>
      <c r="CD152" s="42">
        <f t="shared" si="1152"/>
        <v>7.9797007612214546E-2</v>
      </c>
      <c r="CE152" s="42">
        <f t="shared" si="1152"/>
        <v>9.2627277371019917E-2</v>
      </c>
      <c r="CF152" s="42">
        <f t="shared" si="1152"/>
        <v>5.0437736835228016E-2</v>
      </c>
      <c r="CG152" s="42">
        <f t="shared" si="1152"/>
        <v>5.5694497883801465E-2</v>
      </c>
      <c r="CH152" s="42">
        <f t="shared" si="1152"/>
        <v>-3.4793874057280343E-2</v>
      </c>
      <c r="CI152" s="42">
        <f t="shared" si="1152"/>
        <v>-2.0329818869964857E-2</v>
      </c>
      <c r="CJ152" s="42">
        <f t="shared" si="1152"/>
        <v>-1.3888888888888888E-2</v>
      </c>
      <c r="CK152" s="42">
        <f t="shared" si="1152"/>
        <v>8.6348684210526324E-3</v>
      </c>
      <c r="CL152" s="42">
        <f t="shared" si="1152"/>
        <v>2.1901552886024026E-2</v>
      </c>
      <c r="CM152" s="45">
        <f t="shared" si="1152"/>
        <v>5.8103740187778974E-2</v>
      </c>
      <c r="CN152" s="45">
        <f t="shared" si="1152"/>
        <v>0.11850199938480467</v>
      </c>
      <c r="CO152" s="45">
        <f t="shared" si="1152"/>
        <v>0.12053774874677199</v>
      </c>
      <c r="CP152" s="45">
        <f t="shared" si="1152"/>
        <v>0.17303074897374332</v>
      </c>
      <c r="CQ152" s="45">
        <f t="shared" si="1152"/>
        <v>0.13588160810383032</v>
      </c>
      <c r="CR152" s="45">
        <f t="shared" si="1152"/>
        <v>0.26709935097353971</v>
      </c>
      <c r="CS152" s="45">
        <f>(-(CS556+CS576))/CS208</f>
        <v>8.4611973392461195</v>
      </c>
      <c r="CT152" s="45" t="str">
        <f t="shared" ref="CT152:DE152" si="1153">IF(ISERROR((-(CT556+CT576))/CT208),"n.a.",(-(CT556+CT576))/CT208)</f>
        <v>n.a.</v>
      </c>
      <c r="CU152" s="45" t="str">
        <f t="shared" si="1153"/>
        <v>n.a.</v>
      </c>
      <c r="CV152" s="45" t="str">
        <f t="shared" si="1153"/>
        <v>n.a.</v>
      </c>
      <c r="CW152" s="45" t="str">
        <f t="shared" si="1153"/>
        <v>n.a.</v>
      </c>
      <c r="CX152" s="45" t="str">
        <f t="shared" si="1153"/>
        <v>n.a.</v>
      </c>
      <c r="CY152" s="45" t="str">
        <f t="shared" si="1153"/>
        <v>n.a.</v>
      </c>
      <c r="CZ152" s="43" t="str">
        <f t="shared" si="1153"/>
        <v>n.a.</v>
      </c>
      <c r="DA152" s="42" t="str">
        <f t="shared" si="1153"/>
        <v>n.a.</v>
      </c>
      <c r="DB152" s="42" t="str">
        <f t="shared" si="1153"/>
        <v>n.a.</v>
      </c>
      <c r="DC152" s="42" t="str">
        <f t="shared" si="1153"/>
        <v>n.a.</v>
      </c>
      <c r="DD152" s="42" t="str">
        <f t="shared" si="1153"/>
        <v>n.a.</v>
      </c>
      <c r="DE152" s="42" t="str">
        <f t="shared" si="1153"/>
        <v>n.a.</v>
      </c>
      <c r="DF152" s="42" t="str">
        <f>IF(ISERROR((-(DF556+DF576))/DF208),"n.a.",(-(DF556+DF576))/DF208)</f>
        <v>n.a.</v>
      </c>
      <c r="DG152" s="232" t="str">
        <f>IF(ISERROR((-(DG556+DG576))/DG208),"n.a.",(-(DG556+DG576))/DG208)</f>
        <v>n.a.</v>
      </c>
      <c r="DH152" s="232" t="str">
        <f>IF(ISERROR((-(DH556+DH576))/DH208),"n.a.",(-(DH556+DH576))/DH208)</f>
        <v>n.a.</v>
      </c>
      <c r="DI152" s="232" t="str">
        <f>IF(ISERROR((-(DI556+DI576))/DI208),"n.a.",(-(DI556+DI576))/DI208)</f>
        <v>n.a.</v>
      </c>
    </row>
    <row r="153" spans="1:114">
      <c r="AD153" s="234"/>
      <c r="AE153" s="234"/>
      <c r="AF153" s="234"/>
      <c r="AG153" s="234"/>
      <c r="AH153" s="234"/>
      <c r="AI153" s="234"/>
      <c r="AJ153" s="234"/>
      <c r="AK153" s="234"/>
      <c r="AL153" s="234"/>
      <c r="AM153" s="234"/>
      <c r="AN153" s="234"/>
      <c r="AO153" s="234"/>
      <c r="AP153" s="234"/>
      <c r="AQ153" s="234"/>
      <c r="AR153" s="234"/>
      <c r="AS153" s="234"/>
      <c r="AT153" s="234"/>
      <c r="AU153" s="234"/>
      <c r="AV153" s="234"/>
      <c r="AW153" s="234"/>
      <c r="AX153" s="234"/>
      <c r="AY153" s="234"/>
      <c r="AZ153" s="237"/>
      <c r="BA153" s="234"/>
      <c r="BB153" s="234"/>
      <c r="BC153" s="234"/>
      <c r="BD153" s="234"/>
      <c r="BE153" s="234"/>
      <c r="BF153" s="234"/>
      <c r="BG153" s="234"/>
      <c r="BH153" s="234"/>
      <c r="BI153" s="234"/>
      <c r="BJ153" s="234"/>
      <c r="BK153" s="234"/>
      <c r="BL153" s="234"/>
      <c r="BM153" s="234"/>
      <c r="BN153" s="234"/>
      <c r="BO153" s="234"/>
      <c r="BP153" s="234"/>
      <c r="BQ153" s="234"/>
      <c r="CZ153" s="22"/>
    </row>
    <row r="154" spans="1:114" s="36" customFormat="1" collapsed="1">
      <c r="A154" s="1" t="s">
        <v>885</v>
      </c>
      <c r="B154" s="2" t="s">
        <v>163</v>
      </c>
      <c r="C154" s="79">
        <f t="shared" ref="C154:L154" si="1154">C181</f>
        <v>156539</v>
      </c>
      <c r="D154" s="79">
        <f t="shared" si="1154"/>
        <v>160989</v>
      </c>
      <c r="E154" s="79">
        <f t="shared" si="1154"/>
        <v>168264</v>
      </c>
      <c r="F154" s="79">
        <f t="shared" si="1154"/>
        <v>174995</v>
      </c>
      <c r="G154" s="79">
        <f t="shared" si="1154"/>
        <v>181554</v>
      </c>
      <c r="H154" s="79">
        <f t="shared" si="1154"/>
        <v>196574</v>
      </c>
      <c r="I154" s="79">
        <f t="shared" si="1154"/>
        <v>213551</v>
      </c>
      <c r="J154" s="79">
        <f t="shared" si="1154"/>
        <v>237002</v>
      </c>
      <c r="K154" s="79">
        <f t="shared" si="1154"/>
        <v>257497</v>
      </c>
      <c r="L154" s="79">
        <f t="shared" si="1154"/>
        <v>273213</v>
      </c>
      <c r="M154" s="79">
        <f t="shared" ref="M154:AE154" si="1155">M181</f>
        <v>278703</v>
      </c>
      <c r="N154" s="79">
        <f t="shared" si="1155"/>
        <v>297568</v>
      </c>
      <c r="O154" s="79">
        <f t="shared" si="1155"/>
        <v>335419</v>
      </c>
      <c r="P154" s="79">
        <f t="shared" si="1155"/>
        <v>364385</v>
      </c>
      <c r="Q154" s="79">
        <f t="shared" si="1155"/>
        <v>381273</v>
      </c>
      <c r="R154" s="79">
        <f t="shared" si="1155"/>
        <v>464630</v>
      </c>
      <c r="S154" s="79">
        <f t="shared" si="1155"/>
        <v>486283</v>
      </c>
      <c r="T154" s="79">
        <f t="shared" si="1155"/>
        <v>498223</v>
      </c>
      <c r="U154" s="79">
        <f t="shared" si="1155"/>
        <v>510456</v>
      </c>
      <c r="V154" s="79">
        <f t="shared" si="1155"/>
        <v>507499</v>
      </c>
      <c r="W154" s="79">
        <f t="shared" si="1155"/>
        <v>515938</v>
      </c>
      <c r="X154" s="79">
        <f t="shared" si="1155"/>
        <v>528900</v>
      </c>
      <c r="Y154" s="79">
        <f t="shared" si="1155"/>
        <v>540226</v>
      </c>
      <c r="Z154" s="79">
        <f t="shared" si="1155"/>
        <v>547485</v>
      </c>
      <c r="AA154" s="79">
        <f t="shared" si="1155"/>
        <v>567167</v>
      </c>
      <c r="AB154" s="79">
        <f t="shared" si="1155"/>
        <v>590239</v>
      </c>
      <c r="AC154" s="79">
        <f t="shared" si="1155"/>
        <v>606673</v>
      </c>
      <c r="AD154" s="79">
        <f t="shared" si="1155"/>
        <v>626214</v>
      </c>
      <c r="AE154" s="79">
        <f t="shared" si="1155"/>
        <v>644824</v>
      </c>
      <c r="AF154" s="79">
        <f t="shared" ref="AF154:AK154" si="1156">AF181</f>
        <v>674466</v>
      </c>
      <c r="AG154" s="79">
        <f t="shared" si="1156"/>
        <v>700547</v>
      </c>
      <c r="AH154" s="79">
        <f t="shared" si="1156"/>
        <v>718134</v>
      </c>
      <c r="AI154" s="79">
        <f t="shared" si="1156"/>
        <v>735918</v>
      </c>
      <c r="AJ154" s="79">
        <f t="shared" si="1156"/>
        <v>740261</v>
      </c>
      <c r="AK154" s="79">
        <f t="shared" si="1156"/>
        <v>747349</v>
      </c>
      <c r="AL154" s="79">
        <f t="shared" ref="AL154:AQ154" si="1157">AL181</f>
        <v>758287</v>
      </c>
      <c r="AM154" s="79">
        <f t="shared" si="1157"/>
        <v>759920</v>
      </c>
      <c r="AN154" s="79">
        <f t="shared" si="1157"/>
        <v>770403</v>
      </c>
      <c r="AO154" s="79">
        <f t="shared" si="1157"/>
        <v>779224</v>
      </c>
      <c r="AP154" s="79">
        <f t="shared" si="1157"/>
        <v>793621</v>
      </c>
      <c r="AQ154" s="79">
        <f t="shared" si="1157"/>
        <v>817456</v>
      </c>
      <c r="AR154" s="79">
        <f t="shared" ref="AR154" si="1158">AR181</f>
        <v>849704</v>
      </c>
      <c r="AS154" s="79">
        <f t="shared" ref="AS154:AT154" si="1159">AS181</f>
        <v>884084</v>
      </c>
      <c r="AT154" s="79">
        <f t="shared" si="1159"/>
        <v>911728</v>
      </c>
      <c r="AU154" s="79">
        <f t="shared" ref="AU154:AV154" si="1160">AU181</f>
        <v>931873</v>
      </c>
      <c r="AV154" s="79">
        <f t="shared" si="1160"/>
        <v>927999</v>
      </c>
      <c r="AW154" s="79">
        <f t="shared" ref="AW154:AX154" si="1161">AW181</f>
        <v>948122</v>
      </c>
      <c r="AX154" s="79">
        <f t="shared" si="1161"/>
        <v>975433</v>
      </c>
      <c r="AY154" s="79">
        <f t="shared" ref="AY154:BE154" si="1162">AY181</f>
        <v>1013929</v>
      </c>
      <c r="AZ154" s="80">
        <f t="shared" si="1162"/>
        <v>1047026</v>
      </c>
      <c r="BA154" s="79">
        <f t="shared" si="1162"/>
        <v>1089534.2353338602</v>
      </c>
      <c r="BB154" s="79">
        <f t="shared" si="1162"/>
        <v>1116654.2685778351</v>
      </c>
      <c r="BC154" s="79">
        <f t="shared" si="1162"/>
        <v>1146268.1196182598</v>
      </c>
      <c r="BD154" s="79">
        <f t="shared" si="1162"/>
        <v>1174171.0109727851</v>
      </c>
      <c r="BE154" s="79">
        <f t="shared" si="1162"/>
        <v>1201880.2015844183</v>
      </c>
      <c r="BF154" s="79">
        <f t="shared" ref="BF154:BM154" si="1163">BF181</f>
        <v>1230395.2414396463</v>
      </c>
      <c r="BG154" s="79">
        <f t="shared" si="1163"/>
        <v>1256586.6626745607</v>
      </c>
      <c r="BH154" s="79">
        <f t="shared" si="1163"/>
        <v>1283494.5217802424</v>
      </c>
      <c r="BI154" s="79">
        <f t="shared" si="1163"/>
        <v>1306972.9722164485</v>
      </c>
      <c r="BJ154" s="79">
        <f t="shared" si="1163"/>
        <v>1330998.3050450103</v>
      </c>
      <c r="BK154" s="79">
        <f t="shared" si="1163"/>
        <v>1357166.8944526939</v>
      </c>
      <c r="BL154" s="79">
        <f t="shared" si="1163"/>
        <v>1383854.7630887353</v>
      </c>
      <c r="BM154" s="79">
        <f t="shared" si="1163"/>
        <v>1411072.2696241303</v>
      </c>
      <c r="BN154" s="79">
        <f t="shared" ref="BN154:BO154" si="1164">BN181</f>
        <v>1438829.9799868825</v>
      </c>
      <c r="BO154" s="79">
        <f t="shared" si="1164"/>
        <v>1467138.6715160073</v>
      </c>
      <c r="BP154" s="79">
        <f t="shared" ref="BP154:BQ154" si="1165">BP181</f>
        <v>1496009.3371988763</v>
      </c>
      <c r="BQ154" s="79">
        <f t="shared" si="1165"/>
        <v>1525453.1899935794</v>
      </c>
      <c r="BR154" s="79"/>
      <c r="BS154" s="79">
        <f t="shared" ref="BS154:CB154" si="1166">BS181</f>
        <v>70589.200000000012</v>
      </c>
      <c r="BT154" s="79">
        <f t="shared" si="1166"/>
        <v>68719.899999999994</v>
      </c>
      <c r="BU154" s="79">
        <f t="shared" si="1166"/>
        <v>68455.3</v>
      </c>
      <c r="BV154" s="79">
        <f t="shared" si="1166"/>
        <v>73998</v>
      </c>
      <c r="BW154" s="79">
        <f t="shared" si="1166"/>
        <v>81022</v>
      </c>
      <c r="BX154" s="79">
        <f t="shared" si="1166"/>
        <v>91437</v>
      </c>
      <c r="BY154" s="79">
        <f t="shared" si="1166"/>
        <v>100898</v>
      </c>
      <c r="BZ154" s="79">
        <f t="shared" si="1166"/>
        <v>113265</v>
      </c>
      <c r="CA154" s="79">
        <f t="shared" si="1166"/>
        <v>148165</v>
      </c>
      <c r="CB154" s="79">
        <f t="shared" si="1166"/>
        <v>156539</v>
      </c>
      <c r="CC154" s="79">
        <f t="shared" ref="CC154:CO154" si="1167">CC181</f>
        <v>168264</v>
      </c>
      <c r="CD154" s="79">
        <f t="shared" si="1167"/>
        <v>181554</v>
      </c>
      <c r="CE154" s="79">
        <f t="shared" si="1167"/>
        <v>213551</v>
      </c>
      <c r="CF154" s="79">
        <f t="shared" si="1167"/>
        <v>257497</v>
      </c>
      <c r="CG154" s="79">
        <f t="shared" si="1167"/>
        <v>278703</v>
      </c>
      <c r="CH154" s="79">
        <f t="shared" si="1167"/>
        <v>335419</v>
      </c>
      <c r="CI154" s="79">
        <f t="shared" si="1167"/>
        <v>381273</v>
      </c>
      <c r="CJ154" s="79">
        <f t="shared" si="1167"/>
        <v>486283</v>
      </c>
      <c r="CK154" s="79">
        <f t="shared" si="1167"/>
        <v>510456</v>
      </c>
      <c r="CL154" s="79">
        <f t="shared" si="1167"/>
        <v>515938</v>
      </c>
      <c r="CM154" s="79">
        <f t="shared" si="1167"/>
        <v>540226</v>
      </c>
      <c r="CN154" s="79">
        <f t="shared" si="1167"/>
        <v>567167</v>
      </c>
      <c r="CO154" s="79">
        <f t="shared" si="1167"/>
        <v>606673</v>
      </c>
      <c r="CP154" s="79">
        <f t="shared" ref="CP154:CX154" si="1168">CP181</f>
        <v>644824</v>
      </c>
      <c r="CQ154" s="79">
        <f t="shared" si="1168"/>
        <v>700547</v>
      </c>
      <c r="CR154" s="79">
        <f t="shared" si="1168"/>
        <v>735918</v>
      </c>
      <c r="CS154" s="79">
        <f t="shared" si="1168"/>
        <v>747349</v>
      </c>
      <c r="CT154" s="79">
        <f t="shared" si="1168"/>
        <v>759920</v>
      </c>
      <c r="CU154" s="79">
        <f t="shared" si="1168"/>
        <v>779224</v>
      </c>
      <c r="CV154" s="79">
        <f t="shared" si="1168"/>
        <v>817456</v>
      </c>
      <c r="CW154" s="79">
        <f t="shared" si="1168"/>
        <v>884084</v>
      </c>
      <c r="CX154" s="79">
        <f t="shared" si="1168"/>
        <v>931873</v>
      </c>
      <c r="CY154" s="79">
        <f t="shared" ref="CY154:DD154" si="1169">CY181</f>
        <v>948122</v>
      </c>
      <c r="CZ154" s="80">
        <f t="shared" si="1169"/>
        <v>1013929</v>
      </c>
      <c r="DA154" s="79">
        <f t="shared" si="1169"/>
        <v>1089534.2353338602</v>
      </c>
      <c r="DB154" s="79">
        <f t="shared" si="1169"/>
        <v>1146268.1196182598</v>
      </c>
      <c r="DC154" s="79">
        <f t="shared" si="1169"/>
        <v>1201880.2015844183</v>
      </c>
      <c r="DD154" s="79">
        <f t="shared" si="1169"/>
        <v>1256586.6626745607</v>
      </c>
      <c r="DE154" s="79">
        <f>DE181</f>
        <v>1306972.9722164485</v>
      </c>
      <c r="DF154" s="79">
        <f>DF181</f>
        <v>1357166.8944526939</v>
      </c>
      <c r="DG154" s="79">
        <f>DG181</f>
        <v>1411072.2696241303</v>
      </c>
      <c r="DH154" s="79">
        <f>DH181</f>
        <v>1467138.6715160073</v>
      </c>
      <c r="DI154" s="79">
        <f>DI181</f>
        <v>1525453.1899935794</v>
      </c>
    </row>
    <row r="155" spans="1:114" outlineLevel="1">
      <c r="CZ155" s="22"/>
    </row>
    <row r="156" spans="1:114" outlineLevel="1">
      <c r="B156" s="24" t="s">
        <v>440</v>
      </c>
      <c r="W156" s="55"/>
      <c r="X156" s="55"/>
      <c r="Y156" s="53"/>
      <c r="Z156" s="53"/>
      <c r="AP156" s="45"/>
      <c r="AQ156" s="45"/>
      <c r="AR156" s="45"/>
      <c r="AS156" s="45"/>
      <c r="AT156" s="45"/>
      <c r="AU156" s="45"/>
      <c r="AV156" s="45"/>
      <c r="AW156" s="45"/>
      <c r="AX156" s="45"/>
      <c r="CB156" s="55"/>
      <c r="CZ156" s="22"/>
    </row>
    <row r="157" spans="1:114" outlineLevel="1">
      <c r="A157" s="1" t="s">
        <v>886</v>
      </c>
      <c r="B157" s="19" t="s">
        <v>164</v>
      </c>
      <c r="C157" s="53">
        <v>65466</v>
      </c>
      <c r="D157" s="53">
        <v>70678</v>
      </c>
      <c r="E157" s="53">
        <v>75394</v>
      </c>
      <c r="F157" s="53">
        <v>81713</v>
      </c>
      <c r="G157" s="53">
        <v>87592</v>
      </c>
      <c r="H157" s="53">
        <v>97729</v>
      </c>
      <c r="I157" s="53">
        <v>112488</v>
      </c>
      <c r="J157" s="53">
        <v>121704</v>
      </c>
      <c r="K157" s="53">
        <v>129913</v>
      </c>
      <c r="L157" s="53">
        <v>135990</v>
      </c>
      <c r="M157" s="53">
        <v>144834</v>
      </c>
      <c r="N157" s="53">
        <v>150834</v>
      </c>
      <c r="O157" s="53">
        <v>163839</v>
      </c>
      <c r="P157" s="53">
        <v>173269</v>
      </c>
      <c r="Q157" s="53">
        <v>186926</v>
      </c>
      <c r="R157" s="53">
        <v>234170</v>
      </c>
      <c r="S157" s="53">
        <v>261504</v>
      </c>
      <c r="T157" s="53">
        <v>279653</v>
      </c>
      <c r="U157" s="53">
        <v>292140</v>
      </c>
      <c r="V157" s="53">
        <v>298513</v>
      </c>
      <c r="W157" s="53">
        <v>306250</v>
      </c>
      <c r="X157" s="53">
        <v>316462</v>
      </c>
      <c r="Y157" s="53">
        <v>322918</v>
      </c>
      <c r="Z157" s="53">
        <v>327626</v>
      </c>
      <c r="AA157" s="164">
        <v>338023</v>
      </c>
      <c r="AB157" s="164">
        <v>348486</v>
      </c>
      <c r="AC157" s="164">
        <v>360218</v>
      </c>
      <c r="AD157" s="164">
        <v>370043</v>
      </c>
      <c r="AE157" s="164">
        <v>383174</v>
      </c>
      <c r="AF157" s="164">
        <f>393395</f>
        <v>393395</v>
      </c>
      <c r="AG157" s="164">
        <f>409452</f>
        <v>409452</v>
      </c>
      <c r="AH157" s="164">
        <v>423163</v>
      </c>
      <c r="AI157" s="164">
        <v>436184</v>
      </c>
      <c r="AJ157" s="164">
        <v>443953</v>
      </c>
      <c r="AK157" s="164">
        <v>451367</v>
      </c>
      <c r="AL157" s="164">
        <v>458983</v>
      </c>
      <c r="AM157" s="164">
        <v>467361</v>
      </c>
      <c r="AN157" s="164">
        <v>477701</v>
      </c>
      <c r="AO157" s="164">
        <v>485795</v>
      </c>
      <c r="AP157" s="164">
        <v>498305</v>
      </c>
      <c r="AQ157" s="164">
        <v>516217</v>
      </c>
      <c r="AR157" s="164">
        <v>539690</v>
      </c>
      <c r="AS157" s="164">
        <v>556499</v>
      </c>
      <c r="AT157" s="164">
        <v>570427</v>
      </c>
      <c r="AU157" s="164">
        <v>583827</v>
      </c>
      <c r="AV157" s="164">
        <v>581965</v>
      </c>
      <c r="AW157" s="164">
        <v>596346</v>
      </c>
      <c r="AX157" s="164">
        <v>615522</v>
      </c>
      <c r="AY157" s="164">
        <v>633865</v>
      </c>
      <c r="AZ157" s="171">
        <v>658716</v>
      </c>
      <c r="BA157" s="55">
        <f t="shared" ref="BA157:BE157" si="1170">AZ157*(1+BA52)</f>
        <v>678959.66011199995</v>
      </c>
      <c r="BB157" s="55">
        <f t="shared" si="1170"/>
        <v>697434.32220356248</v>
      </c>
      <c r="BC157" s="55">
        <f t="shared" si="1170"/>
        <v>717109.11879150546</v>
      </c>
      <c r="BD157" s="55">
        <f t="shared" si="1170"/>
        <v>738056.05542868504</v>
      </c>
      <c r="BE157" s="55">
        <f t="shared" si="1170"/>
        <v>759614.85732177075</v>
      </c>
      <c r="BF157" s="55">
        <f t="shared" ref="BF157:BM158" si="1171">BE157*(1+BF52)</f>
        <v>781803.39720785397</v>
      </c>
      <c r="BG157" s="55">
        <f t="shared" si="1171"/>
        <v>801470.63891886408</v>
      </c>
      <c r="BH157" s="55">
        <f t="shared" si="1171"/>
        <v>821632.63467916672</v>
      </c>
      <c r="BI157" s="55">
        <f t="shared" si="1171"/>
        <v>838147.45063621795</v>
      </c>
      <c r="BJ157" s="55">
        <f t="shared" si="1171"/>
        <v>854994.21439400595</v>
      </c>
      <c r="BK157" s="55">
        <f t="shared" si="1171"/>
        <v>872179.59810332546</v>
      </c>
      <c r="BL157" s="55">
        <f t="shared" si="1171"/>
        <v>889710.40802520234</v>
      </c>
      <c r="BM157" s="55">
        <f t="shared" si="1171"/>
        <v>907593.58722650888</v>
      </c>
      <c r="BN157" s="55">
        <f t="shared" ref="BN157:BN158" si="1172">BM157*(1+BN52)</f>
        <v>925836.21832976176</v>
      </c>
      <c r="BO157" s="55">
        <f t="shared" ref="BO157:BO158" si="1173">BN157*(1+BO52)</f>
        <v>944445.52631818992</v>
      </c>
      <c r="BP157" s="55">
        <f t="shared" ref="BP157:BP158" si="1174">BO157*(1+BP52)</f>
        <v>963428.8813971855</v>
      </c>
      <c r="BQ157" s="55">
        <f t="shared" ref="BQ157:BQ158" si="1175">BP157*(1+BQ52)</f>
        <v>982793.80191326898</v>
      </c>
      <c r="BR157" s="55"/>
      <c r="BS157" s="53">
        <v>19582</v>
      </c>
      <c r="BT157" s="53">
        <v>21017.200000000001</v>
      </c>
      <c r="BU157" s="53">
        <v>24185.5</v>
      </c>
      <c r="BV157" s="53">
        <v>26596</v>
      </c>
      <c r="BW157" s="53">
        <v>32337</v>
      </c>
      <c r="BX157" s="53">
        <v>37400</v>
      </c>
      <c r="BY157" s="53">
        <v>41137</v>
      </c>
      <c r="BZ157" s="53">
        <v>45495</v>
      </c>
      <c r="CA157" s="53">
        <v>63471</v>
      </c>
      <c r="CB157" s="164">
        <v>65466</v>
      </c>
      <c r="CC157" s="55">
        <f>E157</f>
        <v>75394</v>
      </c>
      <c r="CD157" s="55">
        <f>G157</f>
        <v>87592</v>
      </c>
      <c r="CE157" s="55">
        <f>I157</f>
        <v>112488</v>
      </c>
      <c r="CF157" s="55">
        <f>K157</f>
        <v>129913</v>
      </c>
      <c r="CG157" s="55">
        <f>M157</f>
        <v>144834</v>
      </c>
      <c r="CH157" s="55">
        <f>O157</f>
        <v>163839</v>
      </c>
      <c r="CI157" s="55">
        <f>Q157</f>
        <v>186926</v>
      </c>
      <c r="CJ157" s="55">
        <f>S157</f>
        <v>261504</v>
      </c>
      <c r="CK157" s="55">
        <f>U157</f>
        <v>292140</v>
      </c>
      <c r="CL157" s="55">
        <f>W157</f>
        <v>306250</v>
      </c>
      <c r="CM157" s="55">
        <f>Y157</f>
        <v>322918</v>
      </c>
      <c r="CN157" s="55">
        <f>AA157</f>
        <v>338023</v>
      </c>
      <c r="CO157" s="55">
        <f>AC157</f>
        <v>360218</v>
      </c>
      <c r="CP157" s="55">
        <f>AE157</f>
        <v>383174</v>
      </c>
      <c r="CQ157" s="55">
        <f>AG157</f>
        <v>409452</v>
      </c>
      <c r="CR157" s="55">
        <f>AI157</f>
        <v>436184</v>
      </c>
      <c r="CS157" s="55">
        <f>AK157</f>
        <v>451367</v>
      </c>
      <c r="CT157" s="55">
        <f>AM157</f>
        <v>467361</v>
      </c>
      <c r="CU157" s="55">
        <f>AO157</f>
        <v>485795</v>
      </c>
      <c r="CV157" s="55">
        <f>AQ157</f>
        <v>516217</v>
      </c>
      <c r="CW157" s="55">
        <f>AS157</f>
        <v>556499</v>
      </c>
      <c r="CX157" s="55">
        <f>AU157</f>
        <v>583827</v>
      </c>
      <c r="CY157" s="55">
        <f>AW157</f>
        <v>596346</v>
      </c>
      <c r="CZ157" s="56">
        <f>AY157</f>
        <v>633865</v>
      </c>
      <c r="DA157" s="55">
        <f>BA157</f>
        <v>678959.66011199995</v>
      </c>
      <c r="DB157" s="55">
        <f>BC157</f>
        <v>717109.11879150546</v>
      </c>
      <c r="DC157" s="55">
        <f>BE157</f>
        <v>759614.85732177075</v>
      </c>
      <c r="DD157" s="55">
        <f>BG157</f>
        <v>801470.63891886408</v>
      </c>
      <c r="DE157" s="55">
        <f>BI157</f>
        <v>838147.45063621795</v>
      </c>
      <c r="DF157" s="55">
        <f>BK157</f>
        <v>872179.59810332546</v>
      </c>
      <c r="DG157" s="55">
        <f>BM157</f>
        <v>907593.58722650888</v>
      </c>
      <c r="DH157" s="55">
        <f>BO157</f>
        <v>944445.52631818992</v>
      </c>
      <c r="DI157" s="55">
        <f>BQ157</f>
        <v>982793.80191326898</v>
      </c>
      <c r="DJ157" s="134"/>
    </row>
    <row r="158" spans="1:114" outlineLevel="1">
      <c r="A158" s="1" t="s">
        <v>733</v>
      </c>
      <c r="B158" s="19" t="s">
        <v>165</v>
      </c>
      <c r="C158" s="185">
        <f>(C161-C157-C160)*D158/(D161-D160-D157)</f>
        <v>29065.528391166448</v>
      </c>
      <c r="D158" s="185">
        <f>(D161-D157-D160)*E158/(E161-E160-E157)</f>
        <v>25583.300165317898</v>
      </c>
      <c r="E158" s="185">
        <f>(E161-E157-E160)*F158/(F161-F160-F157)</f>
        <v>25026.655092850291</v>
      </c>
      <c r="F158" s="185">
        <f>(F161-F157-F160)*G158/(G161-G160-G157)</f>
        <v>23983.167942110278</v>
      </c>
      <c r="G158" s="185">
        <f>(G161-G157-G160)*H158/(H161-H160-H157)</f>
        <v>23811.585798373435</v>
      </c>
      <c r="H158" s="53">
        <f>(44173)/(45899)*I158</f>
        <v>25371.644722278619</v>
      </c>
      <c r="I158" s="53">
        <f>(45899)/(48424)*J158</f>
        <v>26363.007291962655</v>
      </c>
      <c r="J158" s="53">
        <f>(48424)/(51584)*K158</f>
        <v>27813.291468354422</v>
      </c>
      <c r="K158" s="53">
        <f>(51584)/(60949)*L158</f>
        <v>29628.300576234815</v>
      </c>
      <c r="L158" s="53">
        <f>(60949)/(66343)*M158</f>
        <v>35007.275353228441</v>
      </c>
      <c r="M158" s="181">
        <f>(66343)/(74029)*N158</f>
        <v>38105.426975983763</v>
      </c>
      <c r="N158" s="181">
        <f>(75526)/(82266)*O158</f>
        <v>42520.034571923214</v>
      </c>
      <c r="O158" s="181">
        <f>(95519)/(110386)*P158</f>
        <v>46314.556101128554</v>
      </c>
      <c r="P158" s="181">
        <f>(110386)/(113828)*Q158</f>
        <v>53523.158636283639</v>
      </c>
      <c r="Q158" s="53">
        <f>(50115+0)/(53663+0)*R158</f>
        <v>55192.090493820724</v>
      </c>
      <c r="R158" s="53">
        <f>(53663+25009)/(55042+26366)*S158</f>
        <v>59099.534114933682</v>
      </c>
      <c r="S158" s="53">
        <f>(55042+26366)/(60073+26214)*T158</f>
        <v>61154.856533817896</v>
      </c>
      <c r="T158" s="53">
        <f>(60073+26214)/(63132+25975)*U158</f>
        <v>64820.031271294531</v>
      </c>
      <c r="U158" s="53">
        <f>(63132+25975)/(63559+23956)*V158</f>
        <v>66938.455694267293</v>
      </c>
      <c r="V158" s="53">
        <f>(63559+23956)/(77545+22722-85%*W179)*W158</f>
        <v>65742.522473922392</v>
      </c>
      <c r="W158" s="53">
        <f>(77545+22722-85%*W179)/(78216+22479-85%*X179)*X158</f>
        <v>68468.003200513704</v>
      </c>
      <c r="X158" s="53">
        <f>55472+22441-85%*X179</f>
        <v>68790.8</v>
      </c>
      <c r="Y158" s="53">
        <f>56487+22253-85%*Y179</f>
        <v>70480.55</v>
      </c>
      <c r="Z158" s="53">
        <f>57171+21510-85%*Z179</f>
        <v>71749.25</v>
      </c>
      <c r="AA158" s="164">
        <f>58500+20308-85%*AA179</f>
        <v>73654.45</v>
      </c>
      <c r="AB158" s="164">
        <f>57700+19245-85%*AB179</f>
        <v>72859.05</v>
      </c>
      <c r="AC158" s="164">
        <f>59414+18112-85%*AC179</f>
        <v>73253.05</v>
      </c>
      <c r="AD158" s="164">
        <f>60439+18008-85%*AD179</f>
        <v>76724.899999999994</v>
      </c>
      <c r="AE158" s="164">
        <f>62278+17748-85%*AE179</f>
        <v>78373.600000000006</v>
      </c>
      <c r="AF158" s="164">
        <f>62692+17832-85%*AF179</f>
        <v>79130</v>
      </c>
      <c r="AG158" s="164">
        <f>65446+18184-85%*AG179</f>
        <v>82413.649999999994</v>
      </c>
      <c r="AH158" s="164">
        <f>68249+17996-85%*AH179</f>
        <v>85021</v>
      </c>
      <c r="AI158" s="164">
        <f>69356+17998-85%*AI179</f>
        <v>86960.45</v>
      </c>
      <c r="AJ158" s="164">
        <f>78888+9905-85%*AJ179</f>
        <v>88604.3</v>
      </c>
      <c r="AK158" s="164">
        <f>80547+9652-85%*AK179</f>
        <v>89876.85</v>
      </c>
      <c r="AL158" s="164">
        <f>89713-85%*AL179</f>
        <v>89667.95</v>
      </c>
      <c r="AM158" s="164">
        <f>91641-85%*AM179</f>
        <v>91613.8</v>
      </c>
      <c r="AN158" s="164">
        <f>91086-85%*AN179</f>
        <v>91086</v>
      </c>
      <c r="AO158" s="164">
        <f>92259-85%*AO179</f>
        <v>92259</v>
      </c>
      <c r="AP158" s="164">
        <f>96130-85%*AP179</f>
        <v>96130</v>
      </c>
      <c r="AQ158" s="164">
        <f>103386-85%*AQ179</f>
        <v>103386</v>
      </c>
      <c r="AR158" s="164">
        <f>108978-85%*AR179</f>
        <v>108978</v>
      </c>
      <c r="AS158" s="164">
        <f>117516-85%*AS179</f>
        <v>117516</v>
      </c>
      <c r="AT158" s="164">
        <f>122396-85%*AT179</f>
        <v>122396</v>
      </c>
      <c r="AU158" s="164">
        <f>130359-85%*AU179</f>
        <v>130359</v>
      </c>
      <c r="AV158" s="164">
        <f>134908-85%*AV179</f>
        <v>134908</v>
      </c>
      <c r="AW158" s="164">
        <f>144754-85%*AW179</f>
        <v>144754</v>
      </c>
      <c r="AX158" s="164">
        <f>151568-85%*AX179</f>
        <v>151568</v>
      </c>
      <c r="AY158" s="164">
        <f>160764-85%*AY179</f>
        <v>160764</v>
      </c>
      <c r="AZ158" s="171">
        <v>167907</v>
      </c>
      <c r="BA158" s="55">
        <f t="shared" ref="BA158:BE158" si="1176">AZ158*(1+BA53)</f>
        <v>175529.97779999999</v>
      </c>
      <c r="BB158" s="55">
        <f t="shared" si="1176"/>
        <v>181713.02126800493</v>
      </c>
      <c r="BC158" s="55">
        <f t="shared" si="1176"/>
        <v>187205.29733583034</v>
      </c>
      <c r="BD158" s="55">
        <f t="shared" si="1176"/>
        <v>190968.12381228054</v>
      </c>
      <c r="BE158" s="55">
        <f t="shared" si="1176"/>
        <v>194806.58310090739</v>
      </c>
      <c r="BF158" s="55">
        <f t="shared" si="1171"/>
        <v>198722.19542123564</v>
      </c>
      <c r="BG158" s="55">
        <f t="shared" si="1171"/>
        <v>202716.51154920246</v>
      </c>
      <c r="BH158" s="55">
        <f t="shared" si="1171"/>
        <v>206791.11343134142</v>
      </c>
      <c r="BI158" s="55">
        <f t="shared" si="1171"/>
        <v>210947.61481131139</v>
      </c>
      <c r="BJ158" s="55">
        <f t="shared" si="1171"/>
        <v>215187.66186901875</v>
      </c>
      <c r="BK158" s="55">
        <f t="shared" si="1171"/>
        <v>219512.93387258603</v>
      </c>
      <c r="BL158" s="55">
        <f t="shared" si="1171"/>
        <v>223925.143843425</v>
      </c>
      <c r="BM158" s="55">
        <f t="shared" si="1171"/>
        <v>228426.03923467785</v>
      </c>
      <c r="BN158" s="55">
        <f t="shared" si="1172"/>
        <v>233017.40262329488</v>
      </c>
      <c r="BO158" s="55">
        <f t="shared" si="1173"/>
        <v>237701.0524160231</v>
      </c>
      <c r="BP158" s="55">
        <f t="shared" si="1174"/>
        <v>242478.84356958515</v>
      </c>
      <c r="BQ158" s="55">
        <f t="shared" si="1175"/>
        <v>247352.66832533383</v>
      </c>
      <c r="BR158" s="55"/>
      <c r="BS158" s="164">
        <f t="shared" ref="BS158:BY158" si="1177">(BS161-BS157-BS160)*BT158/(BT161-BT157-BT160)</f>
        <v>14380.922565657422</v>
      </c>
      <c r="BT158" s="164">
        <f t="shared" si="1177"/>
        <v>13625.843484989446</v>
      </c>
      <c r="BU158" s="164">
        <f t="shared" si="1177"/>
        <v>12125.385010882224</v>
      </c>
      <c r="BV158" s="164">
        <f t="shared" si="1177"/>
        <v>11228.357935969907</v>
      </c>
      <c r="BW158" s="164">
        <f t="shared" si="1177"/>
        <v>12893.93280010208</v>
      </c>
      <c r="BX158" s="164">
        <f t="shared" si="1177"/>
        <v>15093.267595734849</v>
      </c>
      <c r="BY158" s="164">
        <f t="shared" si="1177"/>
        <v>16143.605155645155</v>
      </c>
      <c r="BZ158" s="164">
        <f>(BZ161-BZ157-BZ160)*CA158/(CA161-CA157-CA160)</f>
        <v>18880.025489828364</v>
      </c>
      <c r="CA158" s="164">
        <f>32437*(168290-(63696+12911))/((168290+29601)-(63696+7268+12911+1487))</f>
        <v>26428.044957299895</v>
      </c>
      <c r="CB158" s="164">
        <f>32224*(173657-(73800+10979))/((173657+33083)-(73800+8085+10979+449))</f>
        <v>25249.761273770797</v>
      </c>
      <c r="CC158" s="55">
        <f>E158</f>
        <v>25026.655092850291</v>
      </c>
      <c r="CD158" s="55">
        <f>G158</f>
        <v>23811.585798373435</v>
      </c>
      <c r="CE158" s="55">
        <f>I158</f>
        <v>26363.007291962655</v>
      </c>
      <c r="CF158" s="55">
        <f>K158</f>
        <v>29628.300576234815</v>
      </c>
      <c r="CG158" s="55">
        <f>M158</f>
        <v>38105.426975983763</v>
      </c>
      <c r="CH158" s="55">
        <f>O158</f>
        <v>46314.556101128554</v>
      </c>
      <c r="CI158" s="55">
        <f>Q158</f>
        <v>55192.090493820724</v>
      </c>
      <c r="CJ158" s="55">
        <f>S158</f>
        <v>61154.856533817896</v>
      </c>
      <c r="CK158" s="55">
        <f>U158</f>
        <v>66938.455694267293</v>
      </c>
      <c r="CL158" s="55">
        <f>W158</f>
        <v>68468.003200513704</v>
      </c>
      <c r="CM158" s="55">
        <f>Y158</f>
        <v>70480.55</v>
      </c>
      <c r="CN158" s="55">
        <f>AA158</f>
        <v>73654.45</v>
      </c>
      <c r="CO158" s="55">
        <f>AC158</f>
        <v>73253.05</v>
      </c>
      <c r="CP158" s="55">
        <f>AE158</f>
        <v>78373.600000000006</v>
      </c>
      <c r="CQ158" s="55">
        <f>AG158</f>
        <v>82413.649999999994</v>
      </c>
      <c r="CR158" s="55">
        <f>AI158</f>
        <v>86960.45</v>
      </c>
      <c r="CS158" s="55">
        <f>AK158</f>
        <v>89876.85</v>
      </c>
      <c r="CT158" s="55">
        <f>AM158</f>
        <v>91613.8</v>
      </c>
      <c r="CU158" s="55">
        <f>AO158</f>
        <v>92259</v>
      </c>
      <c r="CV158" s="55">
        <f>AQ158</f>
        <v>103386</v>
      </c>
      <c r="CW158" s="55">
        <f>AS158</f>
        <v>117516</v>
      </c>
      <c r="CX158" s="55">
        <f>AU158</f>
        <v>130359</v>
      </c>
      <c r="CY158" s="55">
        <f>AW158</f>
        <v>144754</v>
      </c>
      <c r="CZ158" s="56">
        <f>AY158</f>
        <v>160764</v>
      </c>
      <c r="DA158" s="55">
        <f>BA158</f>
        <v>175529.97779999999</v>
      </c>
      <c r="DB158" s="55">
        <f>BC158</f>
        <v>187205.29733583034</v>
      </c>
      <c r="DC158" s="55">
        <f>BE158</f>
        <v>194806.58310090739</v>
      </c>
      <c r="DD158" s="55">
        <f>BG158</f>
        <v>202716.51154920246</v>
      </c>
      <c r="DE158" s="55">
        <f>BI158</f>
        <v>210947.61481131139</v>
      </c>
      <c r="DF158" s="55">
        <f>BK158</f>
        <v>219512.93387258603</v>
      </c>
      <c r="DG158" s="55">
        <f>BM158</f>
        <v>228426.03923467785</v>
      </c>
      <c r="DH158" s="55">
        <f>BO158</f>
        <v>237701.0524160231</v>
      </c>
      <c r="DI158" s="55">
        <f>BQ158</f>
        <v>247352.66832533383</v>
      </c>
    </row>
    <row r="159" spans="1:114" outlineLevel="1">
      <c r="A159" s="1" t="s">
        <v>734</v>
      </c>
      <c r="B159" s="19" t="s">
        <v>166</v>
      </c>
      <c r="C159" s="55">
        <f t="shared" ref="C159:K159" si="1178">C161-C157-C158-C160</f>
        <v>18704.471608833552</v>
      </c>
      <c r="D159" s="55">
        <f t="shared" si="1178"/>
        <v>16463.561410701444</v>
      </c>
      <c r="E159" s="55">
        <f t="shared" si="1178"/>
        <v>16105.344907149709</v>
      </c>
      <c r="F159" s="55">
        <f t="shared" si="1178"/>
        <v>15433.832057889722</v>
      </c>
      <c r="G159" s="55">
        <f t="shared" si="1178"/>
        <v>15323.414201626565</v>
      </c>
      <c r="H159" s="55">
        <f t="shared" si="1178"/>
        <v>16327.355277721381</v>
      </c>
      <c r="I159" s="55">
        <f t="shared" si="1178"/>
        <v>8608.9927080373454</v>
      </c>
      <c r="J159" s="55">
        <f t="shared" si="1178"/>
        <v>17076.708531645578</v>
      </c>
      <c r="K159" s="55">
        <f t="shared" si="1178"/>
        <v>18067.699423765182</v>
      </c>
      <c r="L159" s="55">
        <f>M159*70463/72576</f>
        <v>17898.834077260475</v>
      </c>
      <c r="M159" s="55">
        <f t="shared" ref="M159:Y159" si="1179">M161-M157-M158-M160</f>
        <v>18435.573024016237</v>
      </c>
      <c r="N159" s="55">
        <f t="shared" si="1179"/>
        <v>18509.965428076786</v>
      </c>
      <c r="O159" s="55">
        <f t="shared" si="1179"/>
        <v>33663.443898871446</v>
      </c>
      <c r="P159" s="55">
        <f t="shared" si="1179"/>
        <v>41458.841363716361</v>
      </c>
      <c r="Q159" s="55">
        <f t="shared" si="1179"/>
        <v>45080.909506179276</v>
      </c>
      <c r="R159" s="55">
        <f t="shared" si="1179"/>
        <v>74238.465885066311</v>
      </c>
      <c r="S159" s="55">
        <f t="shared" si="1179"/>
        <v>69810.143466182111</v>
      </c>
      <c r="T159" s="55">
        <f t="shared" si="1179"/>
        <v>65936.968728705469</v>
      </c>
      <c r="U159" s="55">
        <f t="shared" si="1179"/>
        <v>63502.544305732707</v>
      </c>
      <c r="V159" s="55">
        <f t="shared" si="1179"/>
        <v>61465.477526077608</v>
      </c>
      <c r="W159" s="55">
        <f t="shared" si="1179"/>
        <v>58386.996799486296</v>
      </c>
      <c r="X159" s="55">
        <f t="shared" si="1179"/>
        <v>60204.2</v>
      </c>
      <c r="Y159" s="55">
        <f t="shared" si="1179"/>
        <v>61401.45</v>
      </c>
      <c r="Z159" s="55">
        <f t="shared" ref="Z159:AK159" si="1180">Z161-Z157-Z158-Z160</f>
        <v>61039.75</v>
      </c>
      <c r="AA159" s="55">
        <f t="shared" si="1180"/>
        <v>62614.55</v>
      </c>
      <c r="AB159" s="55">
        <f t="shared" si="1180"/>
        <v>67115.95</v>
      </c>
      <c r="AC159" s="55">
        <f t="shared" si="1180"/>
        <v>69257.95</v>
      </c>
      <c r="AD159" s="55">
        <f t="shared" si="1180"/>
        <v>70922.100000000006</v>
      </c>
      <c r="AE159" s="55">
        <f t="shared" si="1180"/>
        <v>75481.399999999994</v>
      </c>
      <c r="AF159" s="55">
        <f t="shared" si="1180"/>
        <v>85211</v>
      </c>
      <c r="AG159" s="55">
        <f t="shared" si="1180"/>
        <v>88135.35</v>
      </c>
      <c r="AH159" s="55">
        <f t="shared" si="1180"/>
        <v>84882</v>
      </c>
      <c r="AI159" s="55">
        <f t="shared" si="1180"/>
        <v>87090.55</v>
      </c>
      <c r="AJ159" s="55">
        <f t="shared" si="1180"/>
        <v>83638.7</v>
      </c>
      <c r="AK159" s="55">
        <f t="shared" si="1180"/>
        <v>79460.149999999994</v>
      </c>
      <c r="AL159" s="55">
        <f t="shared" ref="AL159:AQ159" si="1181">AL161-AL157-AL158-AL160</f>
        <v>78983.05</v>
      </c>
      <c r="AM159" s="55">
        <f t="shared" si="1181"/>
        <v>71997.2</v>
      </c>
      <c r="AN159" s="55">
        <f t="shared" si="1181"/>
        <v>73110</v>
      </c>
      <c r="AO159" s="55">
        <f t="shared" si="1181"/>
        <v>78234</v>
      </c>
      <c r="AP159" s="55">
        <f t="shared" si="1181"/>
        <v>74323</v>
      </c>
      <c r="AQ159" s="55">
        <f t="shared" si="1181"/>
        <v>69094</v>
      </c>
      <c r="AR159" s="55">
        <f t="shared" ref="AR159" si="1182">AR161-AR157-AR158-AR160</f>
        <v>68372</v>
      </c>
      <c r="AS159" s="55">
        <f t="shared" ref="AS159:AT159" si="1183">AS161-AS157-AS158-AS160</f>
        <v>79087</v>
      </c>
      <c r="AT159" s="55">
        <f t="shared" si="1183"/>
        <v>85119</v>
      </c>
      <c r="AU159" s="55">
        <f t="shared" ref="AU159:AV159" si="1184">AU161-AU157-AU158-AU160</f>
        <v>84268</v>
      </c>
      <c r="AV159" s="55">
        <f t="shared" si="1184"/>
        <v>77043</v>
      </c>
      <c r="AW159" s="55">
        <f t="shared" ref="AW159:AZ159" si="1185">AW161-AW157-AW158-AW160</f>
        <v>73512</v>
      </c>
      <c r="AX159" s="55">
        <f t="shared" si="1185"/>
        <v>70220</v>
      </c>
      <c r="AY159" s="55">
        <f t="shared" si="1185"/>
        <v>74888</v>
      </c>
      <c r="AZ159" s="56">
        <f t="shared" si="1185"/>
        <v>80346</v>
      </c>
      <c r="BA159" s="55">
        <f t="shared" ref="BA159:BE159" si="1186">AZ159*(1+BA53)</f>
        <v>83993.708399999989</v>
      </c>
      <c r="BB159" s="55">
        <f t="shared" si="1186"/>
        <v>86952.386778389962</v>
      </c>
      <c r="BC159" s="55">
        <f t="shared" si="1186"/>
        <v>89580.522668766775</v>
      </c>
      <c r="BD159" s="55">
        <f t="shared" si="1186"/>
        <v>91381.091174408983</v>
      </c>
      <c r="BE159" s="55">
        <f t="shared" si="1186"/>
        <v>93217.851107014605</v>
      </c>
      <c r="BF159" s="55">
        <f t="shared" ref="BF159:BM160" si="1187">BE159*(1+BF53)</f>
        <v>95091.5299142656</v>
      </c>
      <c r="BG159" s="55">
        <f t="shared" si="1187"/>
        <v>97002.869665542341</v>
      </c>
      <c r="BH159" s="55">
        <f t="shared" si="1187"/>
        <v>98952.627345819739</v>
      </c>
      <c r="BI159" s="55">
        <f t="shared" si="1187"/>
        <v>100941.57515547071</v>
      </c>
      <c r="BJ159" s="55">
        <f t="shared" si="1187"/>
        <v>102970.50081609568</v>
      </c>
      <c r="BK159" s="55">
        <f t="shared" si="1187"/>
        <v>105040.20788249921</v>
      </c>
      <c r="BL159" s="55">
        <f t="shared" si="1187"/>
        <v>107151.51606093744</v>
      </c>
      <c r="BM159" s="55">
        <f t="shared" si="1187"/>
        <v>109305.26153376228</v>
      </c>
      <c r="BN159" s="55">
        <f t="shared" ref="BN159:BN160" si="1188">BM159*(1+BN53)</f>
        <v>111502.29729059091</v>
      </c>
      <c r="BO159" s="55">
        <f t="shared" ref="BO159:BO160" si="1189">BN159*(1+BO53)</f>
        <v>113743.4934661318</v>
      </c>
      <c r="BP159" s="55">
        <f t="shared" ref="BP159:BP160" si="1190">BO159*(1+BP53)</f>
        <v>116029.73768480105</v>
      </c>
      <c r="BQ159" s="55">
        <f t="shared" ref="BQ159:BQ160" si="1191">BP159*(1+BQ53)</f>
        <v>118361.93541226555</v>
      </c>
      <c r="BR159" s="55"/>
      <c r="BS159" s="55">
        <f t="shared" ref="BS159:CB159" si="1192">BS161-BS157-BS158-BS160</f>
        <v>11564.877434342581</v>
      </c>
      <c r="BT159" s="55">
        <f t="shared" si="1192"/>
        <v>10957.656515010553</v>
      </c>
      <c r="BU159" s="55">
        <f t="shared" si="1192"/>
        <v>9751.0149891177807</v>
      </c>
      <c r="BV159" s="55">
        <f t="shared" si="1192"/>
        <v>9029.642064030093</v>
      </c>
      <c r="BW159" s="55">
        <f t="shared" si="1192"/>
        <v>10369.06719989792</v>
      </c>
      <c r="BX159" s="55">
        <f t="shared" si="1192"/>
        <v>12137.732404265153</v>
      </c>
      <c r="BY159" s="55">
        <f t="shared" si="1192"/>
        <v>12982.394844354843</v>
      </c>
      <c r="BZ159" s="55">
        <f t="shared" si="1192"/>
        <v>15182.974510171636</v>
      </c>
      <c r="CA159" s="55">
        <f>CA161-CA157-CA158-CA160</f>
        <v>21252.955042700105</v>
      </c>
      <c r="CB159" s="55">
        <f t="shared" si="1192"/>
        <v>22520.238726229203</v>
      </c>
      <c r="CC159" s="55">
        <f>E159</f>
        <v>16105.344907149709</v>
      </c>
      <c r="CD159" s="55">
        <f>G159</f>
        <v>15323.414201626565</v>
      </c>
      <c r="CE159" s="55">
        <f>I159</f>
        <v>8608.9927080373454</v>
      </c>
      <c r="CF159" s="55">
        <f>K159</f>
        <v>18067.699423765182</v>
      </c>
      <c r="CG159" s="55">
        <f>M159</f>
        <v>18435.573024016237</v>
      </c>
      <c r="CH159" s="55">
        <f>O159</f>
        <v>33663.443898871446</v>
      </c>
      <c r="CI159" s="55">
        <f>Q159</f>
        <v>45080.909506179276</v>
      </c>
      <c r="CJ159" s="55">
        <f>S159</f>
        <v>69810.143466182111</v>
      </c>
      <c r="CK159" s="55">
        <f>U159</f>
        <v>63502.544305732707</v>
      </c>
      <c r="CL159" s="55">
        <f>W159</f>
        <v>58386.996799486296</v>
      </c>
      <c r="CM159" s="55">
        <f>Y159</f>
        <v>61401.45</v>
      </c>
      <c r="CN159" s="55">
        <f>AA159</f>
        <v>62614.55</v>
      </c>
      <c r="CO159" s="55">
        <f>AC159</f>
        <v>69257.95</v>
      </c>
      <c r="CP159" s="55">
        <f>AE159</f>
        <v>75481.399999999994</v>
      </c>
      <c r="CQ159" s="55">
        <f>AG159</f>
        <v>88135.35</v>
      </c>
      <c r="CR159" s="55">
        <f>AI159</f>
        <v>87090.55</v>
      </c>
      <c r="CS159" s="55">
        <f>AK159</f>
        <v>79460.149999999994</v>
      </c>
      <c r="CT159" s="55">
        <f>AM159</f>
        <v>71997.2</v>
      </c>
      <c r="CU159" s="55">
        <f>AO159</f>
        <v>78234</v>
      </c>
      <c r="CV159" s="55">
        <f>AQ159</f>
        <v>69094</v>
      </c>
      <c r="CW159" s="55">
        <f>AS159</f>
        <v>79087</v>
      </c>
      <c r="CX159" s="55">
        <f>AU159</f>
        <v>84268</v>
      </c>
      <c r="CY159" s="55">
        <f>AW159</f>
        <v>73512</v>
      </c>
      <c r="CZ159" s="56">
        <f>AY159</f>
        <v>74888</v>
      </c>
      <c r="DA159" s="55">
        <f>BA159</f>
        <v>83993.708399999989</v>
      </c>
      <c r="DB159" s="55">
        <f>BC159</f>
        <v>89580.522668766775</v>
      </c>
      <c r="DC159" s="55">
        <f>BE159</f>
        <v>93217.851107014605</v>
      </c>
      <c r="DD159" s="55">
        <f>BG159</f>
        <v>97002.869665542341</v>
      </c>
      <c r="DE159" s="55">
        <f>BI159</f>
        <v>100941.57515547071</v>
      </c>
      <c r="DF159" s="55">
        <f>BK159</f>
        <v>105040.20788249921</v>
      </c>
      <c r="DG159" s="55">
        <f>BM159</f>
        <v>109305.26153376228</v>
      </c>
      <c r="DH159" s="55">
        <f>BO159</f>
        <v>113743.4934661318</v>
      </c>
      <c r="DI159" s="55">
        <f>BQ159</f>
        <v>118361.93541226555</v>
      </c>
    </row>
    <row r="160" spans="1:114" outlineLevel="1">
      <c r="A160" s="1" t="s">
        <v>735</v>
      </c>
      <c r="B160" s="19" t="s">
        <v>167</v>
      </c>
      <c r="C160" s="164">
        <f>7768-CB166-CB172</f>
        <v>7319</v>
      </c>
      <c r="D160" s="55">
        <f>E160/E161*D161</f>
        <v>10909.138423980658</v>
      </c>
      <c r="E160" s="164">
        <f>11551-E166-E172</f>
        <v>11277</v>
      </c>
      <c r="F160" s="164">
        <f>12281-F166-F172</f>
        <v>11958</v>
      </c>
      <c r="G160" s="164">
        <f>12369-G166-G172</f>
        <v>12073</v>
      </c>
      <c r="H160" s="164">
        <f>12616-H166-H172</f>
        <v>12280</v>
      </c>
      <c r="I160" s="164">
        <f>13208-I166-I172</f>
        <v>12850</v>
      </c>
      <c r="J160" s="164">
        <f>14806-J166-J172</f>
        <v>14397</v>
      </c>
      <c r="K160" s="164">
        <f>15668-K166-K172</f>
        <v>15262</v>
      </c>
      <c r="L160" s="164">
        <f>15967-L166-L172</f>
        <v>15489</v>
      </c>
      <c r="M160" s="164">
        <f>17228-M166-M172</f>
        <v>16800</v>
      </c>
      <c r="N160" s="164">
        <f>18237-N166-N172</f>
        <v>17719</v>
      </c>
      <c r="O160" s="164">
        <f>20074-O166-O172</f>
        <v>19541</v>
      </c>
      <c r="P160" s="164">
        <f>20838-P166-P172</f>
        <v>20244</v>
      </c>
      <c r="Q160" s="164">
        <f>20265-Q166-Q172</f>
        <v>19727</v>
      </c>
      <c r="R160" s="164">
        <f>19303-R166-R172</f>
        <v>18675</v>
      </c>
      <c r="S160" s="164">
        <f>19260-S166-S172</f>
        <v>18687</v>
      </c>
      <c r="T160" s="164">
        <f>20552-T166-T172</f>
        <v>19948</v>
      </c>
      <c r="U160" s="164">
        <f>20572-U166-U172</f>
        <v>19983</v>
      </c>
      <c r="V160" s="164">
        <f>20665-V166-V172</f>
        <v>20083</v>
      </c>
      <c r="W160" s="164">
        <f>20943-W166-W172</f>
        <v>20371</v>
      </c>
      <c r="X160" s="164">
        <f>20907-X166-X172</f>
        <v>20317</v>
      </c>
      <c r="Y160" s="164">
        <f>21057-Y166-Y172</f>
        <v>20454</v>
      </c>
      <c r="Z160" s="164">
        <f>21470-Z166-Z172</f>
        <v>20824</v>
      </c>
      <c r="AA160" s="164">
        <f>22013-AA166-AA172</f>
        <v>21337</v>
      </c>
      <c r="AB160" s="164">
        <f>22636-AB166-AB172</f>
        <v>21835</v>
      </c>
      <c r="AC160" s="164">
        <f>23058-AC166-AC172</f>
        <v>22255</v>
      </c>
      <c r="AD160" s="164">
        <f>23706-AD166-AD172</f>
        <v>22818</v>
      </c>
      <c r="AE160" s="164">
        <f>23497-AE166-AE172</f>
        <v>22681</v>
      </c>
      <c r="AF160" s="164">
        <f>24012-AF166-AF172</f>
        <v>23100</v>
      </c>
      <c r="AG160" s="164">
        <f>23862-AG166-AG172</f>
        <v>22950</v>
      </c>
      <c r="AH160" s="164">
        <f>23895-AH166-AH172</f>
        <v>22898</v>
      </c>
      <c r="AI160" s="164">
        <f>23577-AI166-AI172</f>
        <v>22617</v>
      </c>
      <c r="AJ160" s="164">
        <f>23593-AJ166-AJ172</f>
        <v>22587</v>
      </c>
      <c r="AK160" s="164">
        <f>23317-AK166-AK172</f>
        <v>22324</v>
      </c>
      <c r="AL160" s="164">
        <f>22690-AL166-AL172</f>
        <v>21613</v>
      </c>
      <c r="AM160" s="164">
        <f>21993-AM166-AM172</f>
        <v>20924</v>
      </c>
      <c r="AN160" s="164">
        <f>21167-AN166-AN172</f>
        <v>20061</v>
      </c>
      <c r="AO160" s="164">
        <f>18217-AO166-AO172</f>
        <v>17306</v>
      </c>
      <c r="AP160" s="164">
        <f>17449-AP166-AP172</f>
        <v>16476</v>
      </c>
      <c r="AQ160" s="164">
        <f>16997-AQ166-AQ172</f>
        <v>16088</v>
      </c>
      <c r="AR160" s="164">
        <f>16675-AR166-AR172</f>
        <v>15770</v>
      </c>
      <c r="AS160" s="164">
        <f>16494-AS166-AS172</f>
        <v>15656</v>
      </c>
      <c r="AT160" s="164">
        <f>16974-AT166-AT172</f>
        <v>16052</v>
      </c>
      <c r="AU160" s="164">
        <f>17042-AU166-AU172</f>
        <v>16162</v>
      </c>
      <c r="AV160" s="164">
        <f>17482-AV166-AV172</f>
        <v>16571</v>
      </c>
      <c r="AW160" s="164">
        <f>16762-AW166-AW172</f>
        <v>15896</v>
      </c>
      <c r="AX160" s="164">
        <f>16869-AX166-AX172</f>
        <v>15997</v>
      </c>
      <c r="AY160" s="164">
        <v>15665</v>
      </c>
      <c r="AZ160" s="171">
        <v>15891</v>
      </c>
      <c r="BA160" s="55">
        <f t="shared" ref="BA160:BE160" si="1193">AZ160*(1+BA54)</f>
        <v>16210.409100000001</v>
      </c>
      <c r="BB160" s="55">
        <f t="shared" si="1193"/>
        <v>16413.647104091247</v>
      </c>
      <c r="BC160" s="55">
        <f t="shared" si="1193"/>
        <v>16578.19391630976</v>
      </c>
      <c r="BD160" s="55">
        <f t="shared" si="1193"/>
        <v>16744.390310320759</v>
      </c>
      <c r="BE160" s="55">
        <f t="shared" si="1193"/>
        <v>16912.25282318172</v>
      </c>
      <c r="BF160" s="55">
        <f t="shared" si="1187"/>
        <v>17081.798157734112</v>
      </c>
      <c r="BG160" s="55">
        <f t="shared" si="1187"/>
        <v>17253.043184265392</v>
      </c>
      <c r="BH160" s="55">
        <f t="shared" si="1187"/>
        <v>17426.00494218765</v>
      </c>
      <c r="BI160" s="55">
        <f t="shared" si="1187"/>
        <v>17600.700641733078</v>
      </c>
      <c r="BJ160" s="55">
        <f t="shared" si="1187"/>
        <v>17777.147665666445</v>
      </c>
      <c r="BK160" s="55">
        <f t="shared" si="1187"/>
        <v>17955.363571014746</v>
      </c>
      <c r="BL160" s="55">
        <f t="shared" si="1187"/>
        <v>18135.366090814165</v>
      </c>
      <c r="BM160" s="55">
        <f t="shared" si="1187"/>
        <v>18317.173135874571</v>
      </c>
      <c r="BN160" s="55">
        <f t="shared" si="1188"/>
        <v>18500.802796561708</v>
      </c>
      <c r="BO160" s="55">
        <f t="shared" si="1189"/>
        <v>18686.273344597234</v>
      </c>
      <c r="BP160" s="55">
        <f t="shared" si="1190"/>
        <v>18873.603234876817</v>
      </c>
      <c r="BQ160" s="55">
        <f t="shared" si="1191"/>
        <v>19062.81110730645</v>
      </c>
      <c r="BR160" s="55"/>
      <c r="BS160" s="53">
        <v>6953.1</v>
      </c>
      <c r="BT160" s="53">
        <v>6931.5</v>
      </c>
      <c r="BU160" s="53">
        <v>6929.4</v>
      </c>
      <c r="BV160" s="53">
        <v>8669</v>
      </c>
      <c r="BW160" s="53">
        <v>6554</v>
      </c>
      <c r="BX160" s="53">
        <v>6863</v>
      </c>
      <c r="BY160" s="53">
        <v>8360</v>
      </c>
      <c r="BZ160" s="53">
        <v>10144</v>
      </c>
      <c r="CA160" s="164">
        <f>8533-CA166-CA172</f>
        <v>7063</v>
      </c>
      <c r="CB160" s="164">
        <f>7768-CB166-CB172</f>
        <v>7319</v>
      </c>
      <c r="CC160" s="55">
        <f>E160</f>
        <v>11277</v>
      </c>
      <c r="CD160" s="55">
        <f>G160</f>
        <v>12073</v>
      </c>
      <c r="CE160" s="55">
        <f>I160</f>
        <v>12850</v>
      </c>
      <c r="CF160" s="55">
        <f>K160</f>
        <v>15262</v>
      </c>
      <c r="CG160" s="55">
        <f>M160</f>
        <v>16800</v>
      </c>
      <c r="CH160" s="55">
        <f>O160</f>
        <v>19541</v>
      </c>
      <c r="CI160" s="55">
        <f>Q160</f>
        <v>19727</v>
      </c>
      <c r="CJ160" s="55">
        <f>S160</f>
        <v>18687</v>
      </c>
      <c r="CK160" s="55">
        <f>U160</f>
        <v>19983</v>
      </c>
      <c r="CL160" s="55">
        <f>W160</f>
        <v>20371</v>
      </c>
      <c r="CM160" s="55">
        <f>Y160</f>
        <v>20454</v>
      </c>
      <c r="CN160" s="55">
        <f>AA160</f>
        <v>21337</v>
      </c>
      <c r="CO160" s="55">
        <f>AC160</f>
        <v>22255</v>
      </c>
      <c r="CP160" s="55">
        <f>AE160</f>
        <v>22681</v>
      </c>
      <c r="CQ160" s="55">
        <f>AG160</f>
        <v>22950</v>
      </c>
      <c r="CR160" s="55">
        <f>AI160</f>
        <v>22617</v>
      </c>
      <c r="CS160" s="55">
        <f>AK160</f>
        <v>22324</v>
      </c>
      <c r="CT160" s="55">
        <f>AM160</f>
        <v>20924</v>
      </c>
      <c r="CU160" s="55">
        <f>AO160</f>
        <v>17306</v>
      </c>
      <c r="CV160" s="55">
        <f>AQ160</f>
        <v>16088</v>
      </c>
      <c r="CW160" s="55">
        <f>AS160</f>
        <v>15656</v>
      </c>
      <c r="CX160" s="55">
        <f>AU160</f>
        <v>16162</v>
      </c>
      <c r="CY160" s="55">
        <f>AW160</f>
        <v>15896</v>
      </c>
      <c r="CZ160" s="56">
        <f>AY160</f>
        <v>15665</v>
      </c>
      <c r="DA160" s="55">
        <f>BA160</f>
        <v>16210.409100000001</v>
      </c>
      <c r="DB160" s="55">
        <f>BC160</f>
        <v>16578.19391630976</v>
      </c>
      <c r="DC160" s="55">
        <f>BE160</f>
        <v>16912.25282318172</v>
      </c>
      <c r="DD160" s="55">
        <f>BG160</f>
        <v>17253.043184265392</v>
      </c>
      <c r="DE160" s="55">
        <f>BI160</f>
        <v>17600.700641733078</v>
      </c>
      <c r="DF160" s="55">
        <f>BK160</f>
        <v>17955.363571014746</v>
      </c>
      <c r="DG160" s="55">
        <f>BM160</f>
        <v>18317.173135874571</v>
      </c>
      <c r="DH160" s="55">
        <f>BO160</f>
        <v>18686.273344597234</v>
      </c>
      <c r="DI160" s="55">
        <f>BQ160</f>
        <v>19062.81110730645</v>
      </c>
    </row>
    <row r="161" spans="1:114" s="24" customFormat="1" outlineLevel="1">
      <c r="A161" s="1" t="s">
        <v>736</v>
      </c>
      <c r="B161" s="24" t="s">
        <v>168</v>
      </c>
      <c r="C161" s="166">
        <f>122059-643-514-186-68-93</f>
        <v>120555</v>
      </c>
      <c r="D161" s="166">
        <f>125044-635-466-160-64-85</f>
        <v>123634</v>
      </c>
      <c r="E161" s="166">
        <f>129149-631-426-162-59-68</f>
        <v>127803</v>
      </c>
      <c r="F161" s="166">
        <f>134517-628-542-146-56-57</f>
        <v>133088</v>
      </c>
      <c r="G161" s="166">
        <f>140184-618-549-143-26-48</f>
        <v>138800</v>
      </c>
      <c r="H161" s="166">
        <f>153113-678-536-127-24-40</f>
        <v>151708</v>
      </c>
      <c r="I161" s="166">
        <f>161778-758-541-111-23-35</f>
        <v>160310</v>
      </c>
      <c r="J161" s="166">
        <f>182669-824-827-27</f>
        <v>180991</v>
      </c>
      <c r="K161" s="166">
        <f>194462-889-683-19</f>
        <v>192871</v>
      </c>
      <c r="L161" s="166">
        <f>206229-921-620</f>
        <v>204688</v>
      </c>
      <c r="M161" s="166">
        <f>219754-934-645</f>
        <v>218175</v>
      </c>
      <c r="N161" s="166">
        <f>231100-931-586</f>
        <v>229583</v>
      </c>
      <c r="O161" s="166">
        <f>265278-941-979</f>
        <v>263358</v>
      </c>
      <c r="P161" s="166">
        <f>290423-978-950</f>
        <v>288495</v>
      </c>
      <c r="Q161" s="166">
        <f>309155-1047-1182</f>
        <v>306926</v>
      </c>
      <c r="R161" s="166">
        <f>388421-1082-1156</f>
        <v>386183</v>
      </c>
      <c r="S161" s="166">
        <f>413373-1134-1083</f>
        <v>411156</v>
      </c>
      <c r="T161" s="166">
        <f>432779-1197-1224</f>
        <v>430358</v>
      </c>
      <c r="U161" s="166">
        <f>444946-1213-1169</f>
        <v>442564</v>
      </c>
      <c r="V161" s="166">
        <f>448084-1183-1097</f>
        <v>445804</v>
      </c>
      <c r="W161" s="166">
        <f>455613-1153-984</f>
        <v>453476</v>
      </c>
      <c r="X161" s="166">
        <f>467773-1136-863</f>
        <v>465774</v>
      </c>
      <c r="Y161" s="166">
        <f>477125-1032-839</f>
        <v>475254</v>
      </c>
      <c r="Z161" s="166">
        <f>482970-969-762</f>
        <v>481239</v>
      </c>
      <c r="AA161" s="166">
        <f>(497283-900-755)*0+567167-AA179-AA167-AA173</f>
        <v>495629</v>
      </c>
      <c r="AB161" s="166">
        <f>511832-841-695</f>
        <v>510296</v>
      </c>
      <c r="AC161" s="166">
        <f>(526438-802-651)*0+606673-AC179-AC167-AC173</f>
        <v>524984</v>
      </c>
      <c r="AD161" s="166">
        <f>541992-790-694</f>
        <v>540508</v>
      </c>
      <c r="AE161" s="166">
        <f>561058-756-592</f>
        <v>559710</v>
      </c>
      <c r="AF161" s="166">
        <f>582098-722-540</f>
        <v>580836</v>
      </c>
      <c r="AG161" s="166">
        <f>604134-701-482</f>
        <v>602951</v>
      </c>
      <c r="AH161" s="166">
        <f>617080-689-427</f>
        <v>615964</v>
      </c>
      <c r="AI161" s="166">
        <f>633936-681-403</f>
        <v>632852</v>
      </c>
      <c r="AJ161" s="166">
        <f>639840-677-380</f>
        <v>638783</v>
      </c>
      <c r="AK161" s="166">
        <f>644087-692-367</f>
        <v>643028</v>
      </c>
      <c r="AL161" s="166">
        <f>650406-792-367</f>
        <v>649247</v>
      </c>
      <c r="AM161" s="166">
        <f>653021-739-386</f>
        <v>651896</v>
      </c>
      <c r="AN161" s="166">
        <f>662938-667-313</f>
        <v>661958</v>
      </c>
      <c r="AO161" s="166">
        <f>674478-627-257</f>
        <v>673594</v>
      </c>
      <c r="AP161" s="166">
        <f>686086-639-213</f>
        <v>685234</v>
      </c>
      <c r="AQ161" s="166">
        <f>705595-622-188</f>
        <v>704785</v>
      </c>
      <c r="AR161" s="166">
        <f>733615-622-183</f>
        <v>732810</v>
      </c>
      <c r="AS161" s="166">
        <f>769637-680-199</f>
        <v>768758</v>
      </c>
      <c r="AT161" s="166">
        <f>795101-868-239</f>
        <v>793994</v>
      </c>
      <c r="AU161" s="166">
        <f>815994-1089-289</f>
        <v>814616</v>
      </c>
      <c r="AV161" s="166">
        <f>812097-1241-369</f>
        <v>810487</v>
      </c>
      <c r="AW161" s="166">
        <f>832334-1363-463</f>
        <v>830508</v>
      </c>
      <c r="AX161" s="166">
        <f>855258-1427-524</f>
        <v>853307</v>
      </c>
      <c r="AY161" s="166">
        <f>887136-1408-546</f>
        <v>885182</v>
      </c>
      <c r="AZ161" s="167">
        <f>924822-1413-549</f>
        <v>922860</v>
      </c>
      <c r="BA161" s="82">
        <f t="shared" ref="BA161:BE161" si="1194">SUM(BA157:BA160)</f>
        <v>954693.755412</v>
      </c>
      <c r="BB161" s="82">
        <f t="shared" si="1194"/>
        <v>982513.37735404854</v>
      </c>
      <c r="BC161" s="82">
        <f t="shared" si="1194"/>
        <v>1010473.1327124123</v>
      </c>
      <c r="BD161" s="82">
        <f t="shared" si="1194"/>
        <v>1037149.6607256953</v>
      </c>
      <c r="BE161" s="82">
        <f t="shared" si="1194"/>
        <v>1064551.5443528744</v>
      </c>
      <c r="BF161" s="82">
        <f t="shared" ref="BF161:BM161" si="1195">SUM(BF157:BF160)</f>
        <v>1092698.9207010893</v>
      </c>
      <c r="BG161" s="82">
        <f t="shared" si="1195"/>
        <v>1118443.0633178744</v>
      </c>
      <c r="BH161" s="82">
        <f t="shared" si="1195"/>
        <v>1144802.3803985154</v>
      </c>
      <c r="BI161" s="82">
        <f t="shared" si="1195"/>
        <v>1167637.3412447332</v>
      </c>
      <c r="BJ161" s="82">
        <f t="shared" si="1195"/>
        <v>1190929.5247447868</v>
      </c>
      <c r="BK161" s="82">
        <f t="shared" si="1195"/>
        <v>1214688.1034294255</v>
      </c>
      <c r="BL161" s="82">
        <f t="shared" si="1195"/>
        <v>1238922.4340203789</v>
      </c>
      <c r="BM161" s="82">
        <f t="shared" si="1195"/>
        <v>1263642.0611308236</v>
      </c>
      <c r="BN161" s="82">
        <f t="shared" ref="BN161:BO161" si="1196">SUM(BN157:BN160)</f>
        <v>1288856.7210402093</v>
      </c>
      <c r="BO161" s="82">
        <f t="shared" si="1196"/>
        <v>1314576.3455449422</v>
      </c>
      <c r="BP161" s="82">
        <f t="shared" ref="BP161:BQ161" si="1197">SUM(BP157:BP160)</f>
        <v>1340811.0658864486</v>
      </c>
      <c r="BQ161" s="82">
        <f t="shared" si="1197"/>
        <v>1367571.2167581748</v>
      </c>
      <c r="BR161" s="82"/>
      <c r="BS161" s="81">
        <f>54592-577.9-555.7-268.9-539.7-168.9</f>
        <v>52480.9</v>
      </c>
      <c r="BT161" s="81">
        <f>54103.5-498.1-443-258.5-271.9-99.8</f>
        <v>52532.2</v>
      </c>
      <c r="BU161" s="81">
        <f>54387.7-441.3-402.7-211.2-231.2-110</f>
        <v>52991.3</v>
      </c>
      <c r="BV161" s="81">
        <f>56625-290-425-132-149-106</f>
        <v>55523</v>
      </c>
      <c r="BW161" s="81">
        <f>63337-334-439-190-123-97</f>
        <v>62154</v>
      </c>
      <c r="BX161" s="81">
        <f>72721-400-442-177-109-99</f>
        <v>71494</v>
      </c>
      <c r="BY161" s="81">
        <f>80027-425-473-295-102-109</f>
        <v>78623</v>
      </c>
      <c r="BZ161" s="81">
        <f>91075-437-489-243-68-136</f>
        <v>89702</v>
      </c>
      <c r="CA161" s="81">
        <f>119931-558-691-216-131-120</f>
        <v>118215</v>
      </c>
      <c r="CB161" s="81">
        <f>122059-643-514-186-68-93</f>
        <v>120555</v>
      </c>
      <c r="CC161" s="82">
        <f>E161</f>
        <v>127803</v>
      </c>
      <c r="CD161" s="82">
        <f>G161</f>
        <v>138800</v>
      </c>
      <c r="CE161" s="82">
        <f>I161</f>
        <v>160310</v>
      </c>
      <c r="CF161" s="82">
        <f>K161</f>
        <v>192871</v>
      </c>
      <c r="CG161" s="82">
        <f>M161</f>
        <v>218175</v>
      </c>
      <c r="CH161" s="82">
        <f>O161</f>
        <v>263358</v>
      </c>
      <c r="CI161" s="82">
        <f>Q161</f>
        <v>306926</v>
      </c>
      <c r="CJ161" s="82">
        <f>S161</f>
        <v>411156</v>
      </c>
      <c r="CK161" s="82">
        <f>U161</f>
        <v>442564</v>
      </c>
      <c r="CL161" s="82">
        <f>W161</f>
        <v>453476</v>
      </c>
      <c r="CM161" s="82">
        <f>Y161</f>
        <v>475254</v>
      </c>
      <c r="CN161" s="82">
        <f>AA161</f>
        <v>495629</v>
      </c>
      <c r="CO161" s="82">
        <f>AC161</f>
        <v>524984</v>
      </c>
      <c r="CP161" s="82">
        <f>AE161</f>
        <v>559710</v>
      </c>
      <c r="CQ161" s="82">
        <f>AG161</f>
        <v>602951</v>
      </c>
      <c r="CR161" s="82">
        <f>AI161</f>
        <v>632852</v>
      </c>
      <c r="CS161" s="82">
        <f>AK161</f>
        <v>643028</v>
      </c>
      <c r="CT161" s="82">
        <f>AM161</f>
        <v>651896</v>
      </c>
      <c r="CU161" s="82">
        <f>AO161</f>
        <v>673594</v>
      </c>
      <c r="CV161" s="82">
        <f>AQ161</f>
        <v>704785</v>
      </c>
      <c r="CW161" s="82">
        <f>AS161</f>
        <v>768758</v>
      </c>
      <c r="CX161" s="82">
        <f>AU161</f>
        <v>814616</v>
      </c>
      <c r="CY161" s="82">
        <f>AW161</f>
        <v>830508</v>
      </c>
      <c r="CZ161" s="83">
        <f>AY161</f>
        <v>885182</v>
      </c>
      <c r="DA161" s="82">
        <f>BA161</f>
        <v>954693.755412</v>
      </c>
      <c r="DB161" s="82">
        <f>BC161</f>
        <v>1010473.1327124123</v>
      </c>
      <c r="DC161" s="82">
        <f>BE161</f>
        <v>1064551.5443528744</v>
      </c>
      <c r="DD161" s="82">
        <f>BG161</f>
        <v>1118443.0633178744</v>
      </c>
      <c r="DE161" s="82">
        <f>BI161</f>
        <v>1167637.3412447332</v>
      </c>
      <c r="DF161" s="82">
        <f>BK161</f>
        <v>1214688.1034294255</v>
      </c>
      <c r="DG161" s="82">
        <f>BM161</f>
        <v>1263642.0611308236</v>
      </c>
      <c r="DH161" s="82">
        <f>BO161</f>
        <v>1314576.3455449422</v>
      </c>
      <c r="DI161" s="82">
        <f>BQ161</f>
        <v>1367571.2167581748</v>
      </c>
      <c r="DJ161" s="134"/>
    </row>
    <row r="162" spans="1:114" outlineLevel="1">
      <c r="C162" s="55"/>
      <c r="D162" s="55"/>
      <c r="E162" s="55"/>
      <c r="F162" s="55"/>
      <c r="G162" s="55"/>
      <c r="H162" s="55"/>
      <c r="I162" s="55"/>
      <c r="J162" s="55"/>
      <c r="K162" s="55"/>
      <c r="L162" s="55"/>
      <c r="M162" s="55"/>
      <c r="N162" s="55"/>
      <c r="O162" s="55"/>
      <c r="P162" s="55"/>
      <c r="Q162" s="55"/>
      <c r="R162" s="55"/>
      <c r="S162" s="55"/>
      <c r="T162" s="55"/>
      <c r="U162" s="55"/>
      <c r="V162" s="55"/>
      <c r="W162" s="590"/>
      <c r="X162" s="55"/>
      <c r="Y162" s="55"/>
      <c r="Z162" s="58"/>
      <c r="AA162" s="55"/>
      <c r="AB162" s="55"/>
      <c r="AC162" s="166"/>
      <c r="AD162" s="55"/>
      <c r="AE162" s="55"/>
      <c r="AF162" s="55"/>
      <c r="AG162" s="55"/>
      <c r="AH162" s="55"/>
      <c r="AI162" s="55"/>
      <c r="AJ162" s="55"/>
      <c r="AK162" s="55"/>
      <c r="AL162" s="55"/>
      <c r="AM162" s="55"/>
      <c r="AN162" s="55"/>
      <c r="AO162" s="55"/>
      <c r="AP162" s="55"/>
      <c r="AQ162" s="55"/>
      <c r="AR162" s="55"/>
      <c r="AS162" s="55"/>
      <c r="AT162" s="55"/>
      <c r="AU162" s="55"/>
      <c r="AV162" s="55"/>
      <c r="AW162" s="55"/>
      <c r="AX162" s="55"/>
      <c r="AY162" s="55"/>
      <c r="AZ162" s="56"/>
      <c r="BA162" s="55"/>
      <c r="BB162" s="55"/>
      <c r="BC162" s="55"/>
      <c r="BD162" s="55"/>
      <c r="BE162" s="55"/>
      <c r="BF162" s="55"/>
      <c r="BG162" s="55"/>
      <c r="BH162" s="55"/>
      <c r="BI162" s="55"/>
      <c r="BJ162" s="55"/>
      <c r="BK162" s="55"/>
      <c r="BL162" s="55"/>
      <c r="BM162" s="55"/>
      <c r="BN162" s="55"/>
      <c r="BO162" s="55"/>
      <c r="BP162" s="55"/>
      <c r="BQ162" s="55"/>
      <c r="BR162" s="55"/>
      <c r="BS162" s="55"/>
      <c r="BT162" s="55"/>
      <c r="BU162" s="55"/>
      <c r="BV162" s="55"/>
      <c r="BW162" s="55"/>
      <c r="BX162" s="55"/>
      <c r="BY162" s="55"/>
      <c r="BZ162" s="55"/>
      <c r="CA162" s="55"/>
      <c r="CB162" s="55"/>
      <c r="CC162" s="55"/>
      <c r="CD162" s="55"/>
      <c r="CE162" s="55"/>
      <c r="CF162" s="55"/>
      <c r="CG162" s="55"/>
      <c r="CH162" s="55"/>
      <c r="CI162" s="55"/>
      <c r="CJ162" s="55"/>
      <c r="CK162" s="55"/>
      <c r="CL162" s="55"/>
      <c r="CM162" s="55"/>
      <c r="CN162" s="55"/>
      <c r="CO162" s="55"/>
      <c r="CP162" s="55"/>
      <c r="CQ162" s="55"/>
      <c r="CR162" s="55"/>
      <c r="CS162" s="55"/>
      <c r="CT162" s="55"/>
      <c r="CU162" s="55"/>
      <c r="CV162" s="55"/>
      <c r="CW162" s="55"/>
      <c r="CX162" s="55"/>
      <c r="CY162" s="55"/>
      <c r="CZ162" s="56"/>
      <c r="DA162" s="55"/>
      <c r="DB162" s="19"/>
    </row>
    <row r="163" spans="1:114" outlineLevel="1">
      <c r="B163" s="24" t="s">
        <v>406</v>
      </c>
      <c r="C163" s="55"/>
      <c r="D163" s="55"/>
      <c r="E163" s="55"/>
      <c r="F163" s="55"/>
      <c r="G163" s="55"/>
      <c r="H163" s="55"/>
      <c r="I163" s="55"/>
      <c r="J163" s="55"/>
      <c r="K163" s="55"/>
      <c r="L163" s="55"/>
      <c r="M163" s="55"/>
      <c r="N163" s="55"/>
      <c r="O163" s="55"/>
      <c r="P163" s="55"/>
      <c r="Q163" s="55"/>
      <c r="R163" s="55"/>
      <c r="S163" s="55"/>
      <c r="T163" s="55"/>
      <c r="U163" s="55"/>
      <c r="V163" s="55"/>
      <c r="W163" s="55"/>
      <c r="X163" s="55"/>
      <c r="Y163" s="55"/>
      <c r="Z163" s="55"/>
      <c r="AA163" s="55"/>
      <c r="AB163" s="55"/>
      <c r="AC163" s="55"/>
      <c r="AD163" s="55"/>
      <c r="AE163" s="55"/>
      <c r="AF163" s="55"/>
      <c r="AG163" s="55"/>
      <c r="AH163" s="55"/>
      <c r="AI163" s="55"/>
      <c r="AJ163" s="55"/>
      <c r="AK163" s="55"/>
      <c r="AL163" s="55"/>
      <c r="AM163" s="55"/>
      <c r="AN163" s="55"/>
      <c r="AO163" s="55"/>
      <c r="AP163" s="55"/>
      <c r="AQ163" s="55"/>
      <c r="AR163" s="55"/>
      <c r="AS163" s="55"/>
      <c r="AT163" s="55"/>
      <c r="AU163" s="55"/>
      <c r="AV163" s="55"/>
      <c r="AW163" s="55"/>
      <c r="AX163" s="55"/>
      <c r="AY163" s="55"/>
      <c r="AZ163" s="56"/>
      <c r="BA163" s="55"/>
      <c r="BB163" s="55"/>
      <c r="BC163" s="55"/>
      <c r="BD163" s="55"/>
      <c r="BE163" s="55"/>
      <c r="BF163" s="55"/>
      <c r="BG163" s="55"/>
      <c r="BH163" s="55"/>
      <c r="BI163" s="55"/>
      <c r="BJ163" s="55"/>
      <c r="BK163" s="55"/>
      <c r="BL163" s="55"/>
      <c r="BM163" s="55"/>
      <c r="BN163" s="55"/>
      <c r="BO163" s="55"/>
      <c r="BP163" s="55"/>
      <c r="BQ163" s="55"/>
      <c r="BR163" s="55"/>
      <c r="BS163" s="55"/>
      <c r="BT163" s="55"/>
      <c r="BU163" s="55"/>
      <c r="BV163" s="55"/>
      <c r="BW163" s="55"/>
      <c r="BX163" s="55"/>
      <c r="BY163" s="55"/>
      <c r="BZ163" s="55"/>
      <c r="CA163" s="55"/>
      <c r="CB163" s="55"/>
      <c r="CC163" s="55"/>
      <c r="CD163" s="55"/>
      <c r="CE163" s="55"/>
      <c r="CF163" s="55"/>
      <c r="CG163" s="55"/>
      <c r="CH163" s="55"/>
      <c r="CI163" s="55"/>
      <c r="CJ163" s="55"/>
      <c r="CK163" s="55"/>
      <c r="CL163" s="55"/>
      <c r="CM163" s="55"/>
      <c r="CN163" s="55"/>
      <c r="CO163" s="55"/>
      <c r="CP163" s="55"/>
      <c r="CQ163" s="55"/>
      <c r="CR163" s="55"/>
      <c r="CS163" s="55"/>
      <c r="CT163" s="55"/>
      <c r="CU163" s="55"/>
      <c r="CV163" s="55"/>
      <c r="CW163" s="55"/>
      <c r="CX163" s="55"/>
      <c r="CY163" s="55"/>
      <c r="CZ163" s="56"/>
      <c r="DA163" s="55"/>
      <c r="DB163" s="55"/>
    </row>
    <row r="164" spans="1:114" outlineLevel="1">
      <c r="A164" s="1" t="s">
        <v>599</v>
      </c>
      <c r="B164" s="19" t="s">
        <v>164</v>
      </c>
      <c r="C164" s="53">
        <v>8045</v>
      </c>
      <c r="D164" s="53">
        <v>9067</v>
      </c>
      <c r="E164" s="53">
        <v>10444</v>
      </c>
      <c r="F164" s="53">
        <v>11832</v>
      </c>
      <c r="G164" s="53">
        <v>12611</v>
      </c>
      <c r="H164" s="53">
        <v>14499</v>
      </c>
      <c r="I164" s="53">
        <v>16967</v>
      </c>
      <c r="J164" s="53">
        <v>18945</v>
      </c>
      <c r="K164" s="53">
        <v>20765</v>
      </c>
      <c r="L164" s="53">
        <v>23349</v>
      </c>
      <c r="M164" s="53">
        <v>22287</v>
      </c>
      <c r="N164" s="53">
        <v>25887</v>
      </c>
      <c r="O164" s="53">
        <v>28931</v>
      </c>
      <c r="P164" s="53">
        <v>30616</v>
      </c>
      <c r="Q164" s="53">
        <v>28817</v>
      </c>
      <c r="R164" s="53">
        <v>31524</v>
      </c>
      <c r="S164" s="53">
        <v>30702</v>
      </c>
      <c r="T164" s="53">
        <v>30457</v>
      </c>
      <c r="U164" s="53">
        <v>30670</v>
      </c>
      <c r="V164" s="53">
        <v>28491</v>
      </c>
      <c r="W164" s="53">
        <v>28927</v>
      </c>
      <c r="X164" s="53">
        <v>28434</v>
      </c>
      <c r="Y164" s="53">
        <v>29326</v>
      </c>
      <c r="Z164" s="53">
        <v>30674</v>
      </c>
      <c r="AA164" s="164">
        <v>33989</v>
      </c>
      <c r="AB164" s="164">
        <v>37712</v>
      </c>
      <c r="AC164" s="164">
        <v>38637</v>
      </c>
      <c r="AD164" s="164">
        <v>40368</v>
      </c>
      <c r="AE164" s="164">
        <v>38763</v>
      </c>
      <c r="AF164" s="164">
        <v>42834</v>
      </c>
      <c r="AG164" s="164">
        <v>45640</v>
      </c>
      <c r="AH164" s="164">
        <v>48347</v>
      </c>
      <c r="AI164" s="164">
        <v>48724</v>
      </c>
      <c r="AJ164" s="164">
        <v>47874</v>
      </c>
      <c r="AK164" s="164">
        <v>49425</v>
      </c>
      <c r="AL164" s="164">
        <v>52626</v>
      </c>
      <c r="AM164" s="164">
        <v>54679</v>
      </c>
      <c r="AN164" s="164">
        <v>56555</v>
      </c>
      <c r="AO164" s="164">
        <v>56361</v>
      </c>
      <c r="AP164" s="164">
        <v>60421</v>
      </c>
      <c r="AQ164" s="164">
        <v>63017</v>
      </c>
      <c r="AR164" s="164">
        <v>65748</v>
      </c>
      <c r="AS164" s="164">
        <v>65072</v>
      </c>
      <c r="AT164" s="164">
        <v>68546</v>
      </c>
      <c r="AU164" s="164">
        <v>68054</v>
      </c>
      <c r="AV164" s="164">
        <v>68396</v>
      </c>
      <c r="AW164" s="164">
        <v>68273</v>
      </c>
      <c r="AX164" s="164">
        <v>69686</v>
      </c>
      <c r="AY164" s="164">
        <v>73944</v>
      </c>
      <c r="AZ164" s="171">
        <v>71431</v>
      </c>
      <c r="BA164" s="55">
        <f t="shared" ref="BA164:BE164" si="1198">AZ164*AZ$19/BA$19*(1+BA56)</f>
        <v>79037.109670364996</v>
      </c>
      <c r="BB164" s="55">
        <f t="shared" si="1198"/>
        <v>78033.355748344693</v>
      </c>
      <c r="BC164" s="55">
        <f t="shared" si="1198"/>
        <v>79535.725452217826</v>
      </c>
      <c r="BD164" s="55">
        <f t="shared" si="1198"/>
        <v>80689.489082724642</v>
      </c>
      <c r="BE164" s="55">
        <f t="shared" si="1198"/>
        <v>81205.967602845238</v>
      </c>
      <c r="BF164" s="55">
        <f t="shared" ref="BF164:BK165" si="1199">BE164*BE$19/BF$19*(1+BF56)</f>
        <v>81758.254199807387</v>
      </c>
      <c r="BG164" s="55">
        <f t="shared" si="1199"/>
        <v>82526.11492649834</v>
      </c>
      <c r="BH164" s="55">
        <f t="shared" si="1199"/>
        <v>83348.366211952991</v>
      </c>
      <c r="BI164" s="55">
        <f t="shared" si="1199"/>
        <v>84222.709411079719</v>
      </c>
      <c r="BJ164" s="55">
        <f t="shared" si="1199"/>
        <v>85147.186188427062</v>
      </c>
      <c r="BK164" s="55">
        <f>BJ164*BJ$19/BK$19*(1+BK56)</f>
        <v>86858.644630814451</v>
      </c>
      <c r="BL164" s="55">
        <f t="shared" ref="BL164:BM165" si="1200">BK164*BK$19/BL$19*(1+BL56)</f>
        <v>88604.503387893827</v>
      </c>
      <c r="BM164" s="55">
        <f t="shared" si="1200"/>
        <v>90385.453905990493</v>
      </c>
      <c r="BN164" s="55">
        <f t="shared" ref="BN164:BN165" si="1201">BM164*BM$19/BN$19*(1+BN56)</f>
        <v>92202.201529500904</v>
      </c>
      <c r="BO164" s="55">
        <f t="shared" ref="BO164:BO165" si="1202">BN164*BN$19/BO$19*(1+BO56)</f>
        <v>94055.465780243874</v>
      </c>
      <c r="BP164" s="55">
        <f t="shared" ref="BP164:BP165" si="1203">BO164*BO$19/BP$19*(1+BP56)</f>
        <v>95945.980642426774</v>
      </c>
      <c r="BQ164" s="55">
        <f t="shared" ref="BQ164:BQ165" si="1204">BP164*BP$19/BQ$19*(1+BQ56)</f>
        <v>97874.494853339551</v>
      </c>
      <c r="BR164" s="55"/>
      <c r="BS164" s="53">
        <v>1845.5</v>
      </c>
      <c r="BT164" s="53">
        <v>2380.8000000000002</v>
      </c>
      <c r="BU164" s="53">
        <v>2987.8</v>
      </c>
      <c r="BV164" s="53">
        <v>4120</v>
      </c>
      <c r="BW164" s="53">
        <v>4864</v>
      </c>
      <c r="BX164" s="53">
        <v>5983</v>
      </c>
      <c r="BY164" s="53">
        <v>6273</v>
      </c>
      <c r="BZ164" s="53">
        <v>7151</v>
      </c>
      <c r="CA164" s="53">
        <v>7266</v>
      </c>
      <c r="CB164" s="53">
        <v>8045</v>
      </c>
      <c r="CC164" s="55">
        <f>E164</f>
        <v>10444</v>
      </c>
      <c r="CD164" s="55">
        <f>G164</f>
        <v>12611</v>
      </c>
      <c r="CE164" s="55">
        <f>I164</f>
        <v>16967</v>
      </c>
      <c r="CF164" s="55">
        <f>K164</f>
        <v>20765</v>
      </c>
      <c r="CG164" s="55">
        <f>M164</f>
        <v>22287</v>
      </c>
      <c r="CH164" s="55">
        <f>O164</f>
        <v>28931</v>
      </c>
      <c r="CI164" s="55">
        <f>Q164</f>
        <v>28817</v>
      </c>
      <c r="CJ164" s="55">
        <f>S164</f>
        <v>30702</v>
      </c>
      <c r="CK164" s="55">
        <f>U164</f>
        <v>30670</v>
      </c>
      <c r="CL164" s="55">
        <f>W164</f>
        <v>28927</v>
      </c>
      <c r="CM164" s="55">
        <f>Y164</f>
        <v>29326</v>
      </c>
      <c r="CN164" s="55">
        <f>AA164</f>
        <v>33989</v>
      </c>
      <c r="CO164" s="55">
        <f>AC164</f>
        <v>38637</v>
      </c>
      <c r="CP164" s="55">
        <f>AE164</f>
        <v>38763</v>
      </c>
      <c r="CQ164" s="55">
        <f>AG164</f>
        <v>45640</v>
      </c>
      <c r="CR164" s="55">
        <f>AI164</f>
        <v>48724</v>
      </c>
      <c r="CS164" s="55">
        <f>AK164</f>
        <v>49425</v>
      </c>
      <c r="CT164" s="55">
        <f>AM164</f>
        <v>54679</v>
      </c>
      <c r="CU164" s="55">
        <f>AO164</f>
        <v>56361</v>
      </c>
      <c r="CV164" s="55">
        <f>AQ164</f>
        <v>63017</v>
      </c>
      <c r="CW164" s="55">
        <f>AS164</f>
        <v>65072</v>
      </c>
      <c r="CX164" s="55">
        <f>AU164</f>
        <v>68054</v>
      </c>
      <c r="CY164" s="55">
        <f>AW164</f>
        <v>68273</v>
      </c>
      <c r="CZ164" s="56">
        <f>AY164</f>
        <v>73944</v>
      </c>
      <c r="DA164" s="55">
        <f>BA164</f>
        <v>79037.109670364996</v>
      </c>
      <c r="DB164" s="55">
        <f>BC164</f>
        <v>79535.725452217826</v>
      </c>
      <c r="DC164" s="55">
        <f>BE164</f>
        <v>81205.967602845238</v>
      </c>
      <c r="DD164" s="55">
        <f>BG164</f>
        <v>82526.11492649834</v>
      </c>
      <c r="DE164" s="55">
        <f>BI164</f>
        <v>84222.709411079719</v>
      </c>
      <c r="DF164" s="55">
        <f>BK164</f>
        <v>86858.644630814451</v>
      </c>
      <c r="DG164" s="55">
        <f>BM164</f>
        <v>90385.453905990493</v>
      </c>
      <c r="DH164" s="55">
        <f>BO164</f>
        <v>94055.465780243874</v>
      </c>
      <c r="DI164" s="55">
        <f>BQ164</f>
        <v>97874.494853339551</v>
      </c>
    </row>
    <row r="165" spans="1:114" outlineLevel="1">
      <c r="A165" s="1" t="s">
        <v>600</v>
      </c>
      <c r="B165" s="19" t="s">
        <v>407</v>
      </c>
      <c r="C165" s="55">
        <f t="shared" ref="C165:L165" si="1205">C167-C164-C166</f>
        <v>8835</v>
      </c>
      <c r="D165" s="55">
        <f t="shared" si="1205"/>
        <v>10454</v>
      </c>
      <c r="E165" s="55">
        <f t="shared" si="1205"/>
        <v>10179</v>
      </c>
      <c r="F165" s="55">
        <f t="shared" si="1205"/>
        <v>11010</v>
      </c>
      <c r="G165" s="55">
        <f t="shared" si="1205"/>
        <v>10170</v>
      </c>
      <c r="H165" s="55">
        <f t="shared" si="1205"/>
        <v>10995</v>
      </c>
      <c r="I165" s="55">
        <f t="shared" si="1205"/>
        <v>13292</v>
      </c>
      <c r="J165" s="55">
        <f t="shared" si="1205"/>
        <v>13969</v>
      </c>
      <c r="K165" s="55">
        <f t="shared" si="1205"/>
        <v>15851</v>
      </c>
      <c r="L165" s="55">
        <f t="shared" si="1205"/>
        <v>18311</v>
      </c>
      <c r="M165" s="55">
        <f t="shared" ref="M165:Y165" si="1206">M167-M164-M166</f>
        <v>19503</v>
      </c>
      <c r="N165" s="55">
        <f t="shared" si="1206"/>
        <v>23185</v>
      </c>
      <c r="O165" s="55">
        <f t="shared" si="1206"/>
        <v>23876</v>
      </c>
      <c r="P165" s="55">
        <f t="shared" si="1206"/>
        <v>24875</v>
      </c>
      <c r="Q165" s="55">
        <f t="shared" si="1206"/>
        <v>26714</v>
      </c>
      <c r="R165" s="55">
        <f t="shared" si="1206"/>
        <v>31563</v>
      </c>
      <c r="S165" s="55">
        <f t="shared" si="1206"/>
        <v>29124</v>
      </c>
      <c r="T165" s="55">
        <f t="shared" si="1206"/>
        <v>16325</v>
      </c>
      <c r="U165" s="55">
        <f t="shared" si="1206"/>
        <v>16390</v>
      </c>
      <c r="V165" s="55">
        <f t="shared" si="1206"/>
        <v>14915</v>
      </c>
      <c r="W165" s="55">
        <f t="shared" si="1206"/>
        <v>14350</v>
      </c>
      <c r="X165" s="55">
        <f t="shared" si="1206"/>
        <v>14319</v>
      </c>
      <c r="Y165" s="55">
        <f t="shared" si="1206"/>
        <v>15071</v>
      </c>
      <c r="Z165" s="55">
        <f t="shared" ref="Z165:AK165" si="1207">Z167-Z164-Z166</f>
        <v>16064</v>
      </c>
      <c r="AA165" s="55">
        <f t="shared" si="1207"/>
        <v>17369</v>
      </c>
      <c r="AB165" s="55">
        <f t="shared" si="1207"/>
        <v>19597</v>
      </c>
      <c r="AC165" s="55">
        <f t="shared" si="1207"/>
        <v>20083</v>
      </c>
      <c r="AD165" s="55">
        <f t="shared" si="1207"/>
        <v>21987</v>
      </c>
      <c r="AE165" s="55">
        <f t="shared" si="1207"/>
        <v>21881</v>
      </c>
      <c r="AF165" s="55">
        <f t="shared" si="1207"/>
        <v>24463</v>
      </c>
      <c r="AG165" s="55">
        <f t="shared" si="1207"/>
        <v>25860</v>
      </c>
      <c r="AH165" s="55">
        <f t="shared" si="1207"/>
        <v>27264</v>
      </c>
      <c r="AI165" s="55">
        <f t="shared" si="1207"/>
        <v>28031</v>
      </c>
      <c r="AJ165" s="55">
        <f t="shared" si="1207"/>
        <v>27423</v>
      </c>
      <c r="AK165" s="55">
        <f t="shared" si="1207"/>
        <v>28449</v>
      </c>
      <c r="AL165" s="55">
        <f t="shared" ref="AL165:AQ165" si="1208">AL167-AL164-AL166</f>
        <v>30484</v>
      </c>
      <c r="AM165" s="55">
        <f t="shared" si="1208"/>
        <v>31087</v>
      </c>
      <c r="AN165" s="55">
        <f t="shared" si="1208"/>
        <v>31553</v>
      </c>
      <c r="AO165" s="55">
        <f t="shared" si="1208"/>
        <v>30446</v>
      </c>
      <c r="AP165" s="55">
        <f t="shared" si="1208"/>
        <v>31081</v>
      </c>
      <c r="AQ165" s="55">
        <f t="shared" si="1208"/>
        <v>32101</v>
      </c>
      <c r="AR165" s="55">
        <f t="shared" ref="AR165" si="1209">AR167-AR164-AR166</f>
        <v>33145</v>
      </c>
      <c r="AS165" s="55">
        <f t="shared" ref="AS165:AT165" si="1210">AS167-AS164-AS166</f>
        <v>32378</v>
      </c>
      <c r="AT165" s="55">
        <f t="shared" si="1210"/>
        <v>33631</v>
      </c>
      <c r="AU165" s="55">
        <f t="shared" ref="AU165:AV165" si="1211">AU167-AU164-AU166</f>
        <v>33541</v>
      </c>
      <c r="AV165" s="55">
        <f t="shared" si="1211"/>
        <v>33484</v>
      </c>
      <c r="AW165" s="55">
        <f t="shared" ref="AW165:AX165" si="1212">AW167-AW164-AW166</f>
        <v>33368</v>
      </c>
      <c r="AX165" s="55">
        <f t="shared" si="1212"/>
        <v>33601</v>
      </c>
      <c r="AY165" s="55">
        <f t="shared" ref="AY165:AZ165" si="1213">AY167-AY164-AY166</f>
        <v>34340</v>
      </c>
      <c r="AZ165" s="56">
        <f t="shared" si="1213"/>
        <v>32801</v>
      </c>
      <c r="BA165" s="55">
        <f t="shared" ref="BA165:BE165" si="1214">AZ165*AZ$19/BA$19*(1+BA57)</f>
        <v>35629.02112906205</v>
      </c>
      <c r="BB165" s="55">
        <f t="shared" si="1214"/>
        <v>34700.742263422544</v>
      </c>
      <c r="BC165" s="55">
        <f t="shared" si="1214"/>
        <v>34890.433690396385</v>
      </c>
      <c r="BD165" s="55">
        <f t="shared" si="1214"/>
        <v>35088.93709427982</v>
      </c>
      <c r="BE165" s="55">
        <f t="shared" si="1214"/>
        <v>35006.631181084966</v>
      </c>
      <c r="BF165" s="55">
        <f t="shared" si="1199"/>
        <v>34938.407749503174</v>
      </c>
      <c r="BG165" s="55">
        <f t="shared" si="1199"/>
        <v>34960.048477603879</v>
      </c>
      <c r="BH165" s="55">
        <f t="shared" si="1199"/>
        <v>35001.515044600877</v>
      </c>
      <c r="BI165" s="55">
        <f t="shared" si="1199"/>
        <v>35061.305794577864</v>
      </c>
      <c r="BJ165" s="55">
        <f t="shared" si="1199"/>
        <v>35138.102470494647</v>
      </c>
      <c r="BK165" s="55">
        <f t="shared" si="1199"/>
        <v>35532.861143002607</v>
      </c>
      <c r="BL165" s="55">
        <f t="shared" si="1200"/>
        <v>35932.054728000534</v>
      </c>
      <c r="BM165" s="55">
        <f t="shared" si="1200"/>
        <v>36335.733049469927</v>
      </c>
      <c r="BN165" s="55">
        <f t="shared" si="1201"/>
        <v>36743.946491139315</v>
      </c>
      <c r="BO165" s="55">
        <f t="shared" si="1202"/>
        <v>37156.746002772743</v>
      </c>
      <c r="BP165" s="55">
        <f t="shared" si="1203"/>
        <v>37574.183106528886</v>
      </c>
      <c r="BQ165" s="55">
        <f t="shared" si="1204"/>
        <v>37996.309903391615</v>
      </c>
      <c r="BR165" s="55"/>
      <c r="BS165" s="55">
        <f t="shared" ref="BS165:CB165" si="1215">BS167-BS164-BS166</f>
        <v>4921.2</v>
      </c>
      <c r="BT165" s="55">
        <f t="shared" si="1215"/>
        <v>3955.3</v>
      </c>
      <c r="BU165" s="55">
        <f t="shared" si="1215"/>
        <v>2928.9999999999995</v>
      </c>
      <c r="BV165" s="55">
        <f t="shared" si="1215"/>
        <v>3870</v>
      </c>
      <c r="BW165" s="55">
        <f t="shared" si="1215"/>
        <v>3707</v>
      </c>
      <c r="BX165" s="55">
        <f t="shared" si="1215"/>
        <v>4689</v>
      </c>
      <c r="BY165" s="55">
        <f t="shared" si="1215"/>
        <v>6027</v>
      </c>
      <c r="BZ165" s="55">
        <f t="shared" si="1215"/>
        <v>5801</v>
      </c>
      <c r="CA165" s="55">
        <f t="shared" si="1215"/>
        <v>7101</v>
      </c>
      <c r="CB165" s="55">
        <f t="shared" si="1215"/>
        <v>8642</v>
      </c>
      <c r="CC165" s="55">
        <f>E165</f>
        <v>10179</v>
      </c>
      <c r="CD165" s="55">
        <f>G165</f>
        <v>10170</v>
      </c>
      <c r="CE165" s="55">
        <f>I165</f>
        <v>13292</v>
      </c>
      <c r="CF165" s="55">
        <f>K165</f>
        <v>15851</v>
      </c>
      <c r="CG165" s="55">
        <f>M165</f>
        <v>19503</v>
      </c>
      <c r="CH165" s="55">
        <f>O165</f>
        <v>23876</v>
      </c>
      <c r="CI165" s="55">
        <f>Q165</f>
        <v>26714</v>
      </c>
      <c r="CJ165" s="55">
        <f>S165</f>
        <v>29124</v>
      </c>
      <c r="CK165" s="55">
        <f>U165</f>
        <v>16390</v>
      </c>
      <c r="CL165" s="55">
        <f>W165</f>
        <v>14350</v>
      </c>
      <c r="CM165" s="55">
        <f>Y165</f>
        <v>15071</v>
      </c>
      <c r="CN165" s="55">
        <f>AA165</f>
        <v>17369</v>
      </c>
      <c r="CO165" s="55">
        <f>AC165</f>
        <v>20083</v>
      </c>
      <c r="CP165" s="55">
        <f>AE165</f>
        <v>21881</v>
      </c>
      <c r="CQ165" s="55">
        <f>AG165</f>
        <v>25860</v>
      </c>
      <c r="CR165" s="55">
        <f>AI165</f>
        <v>28031</v>
      </c>
      <c r="CS165" s="55">
        <f>AK165</f>
        <v>28449</v>
      </c>
      <c r="CT165" s="55">
        <f>AM165</f>
        <v>31087</v>
      </c>
      <c r="CU165" s="55">
        <f>AO165</f>
        <v>30446</v>
      </c>
      <c r="CV165" s="55">
        <f>AQ165</f>
        <v>32101</v>
      </c>
      <c r="CW165" s="55">
        <f>AS165</f>
        <v>32378</v>
      </c>
      <c r="CX165" s="55">
        <f>AU165</f>
        <v>33541</v>
      </c>
      <c r="CY165" s="55">
        <f>AW165</f>
        <v>33368</v>
      </c>
      <c r="CZ165" s="56">
        <f>AY165</f>
        <v>34340</v>
      </c>
      <c r="DA165" s="55">
        <f>BA165</f>
        <v>35629.02112906205</v>
      </c>
      <c r="DB165" s="55">
        <f>BC165</f>
        <v>34890.433690396385</v>
      </c>
      <c r="DC165" s="55">
        <f>BE165</f>
        <v>35006.631181084966</v>
      </c>
      <c r="DD165" s="55">
        <f>BG165</f>
        <v>34960.048477603879</v>
      </c>
      <c r="DE165" s="55">
        <f>BI165</f>
        <v>35061.305794577864</v>
      </c>
      <c r="DF165" s="55">
        <f>BK165</f>
        <v>35532.861143002607</v>
      </c>
      <c r="DG165" s="55">
        <f>BM165</f>
        <v>36335.733049469927</v>
      </c>
      <c r="DH165" s="55">
        <f>BO165</f>
        <v>37156.746002772743</v>
      </c>
      <c r="DI165" s="55">
        <f>BQ165</f>
        <v>37996.309903391615</v>
      </c>
    </row>
    <row r="166" spans="1:114" outlineLevel="1">
      <c r="A166" s="1" t="s">
        <v>601</v>
      </c>
      <c r="B166" s="19" t="s">
        <v>167</v>
      </c>
      <c r="C166" s="53">
        <v>256</v>
      </c>
      <c r="D166" s="53">
        <v>264</v>
      </c>
      <c r="E166" s="53">
        <v>274</v>
      </c>
      <c r="F166" s="53">
        <v>323</v>
      </c>
      <c r="G166" s="53">
        <v>296</v>
      </c>
      <c r="H166" s="53">
        <v>336</v>
      </c>
      <c r="I166" s="53">
        <v>358</v>
      </c>
      <c r="J166" s="53">
        <v>409</v>
      </c>
      <c r="K166" s="53">
        <v>406</v>
      </c>
      <c r="L166" s="53">
        <v>478</v>
      </c>
      <c r="M166" s="53">
        <v>428</v>
      </c>
      <c r="N166" s="53">
        <v>518</v>
      </c>
      <c r="O166" s="53">
        <v>533</v>
      </c>
      <c r="P166" s="53">
        <v>594</v>
      </c>
      <c r="Q166" s="53">
        <v>538</v>
      </c>
      <c r="R166" s="53">
        <v>628</v>
      </c>
      <c r="S166" s="53">
        <v>573</v>
      </c>
      <c r="T166" s="53">
        <v>604</v>
      </c>
      <c r="U166" s="53">
        <v>589</v>
      </c>
      <c r="V166" s="53">
        <v>582</v>
      </c>
      <c r="W166" s="53">
        <v>572</v>
      </c>
      <c r="X166" s="53">
        <v>590</v>
      </c>
      <c r="Y166" s="53">
        <v>603</v>
      </c>
      <c r="Z166" s="53">
        <v>646</v>
      </c>
      <c r="AA166" s="164">
        <v>676</v>
      </c>
      <c r="AB166" s="164">
        <v>801</v>
      </c>
      <c r="AC166" s="164">
        <v>803</v>
      </c>
      <c r="AD166" s="164">
        <v>888</v>
      </c>
      <c r="AE166" s="164">
        <v>816</v>
      </c>
      <c r="AF166" s="164">
        <v>912</v>
      </c>
      <c r="AG166" s="164">
        <v>912</v>
      </c>
      <c r="AH166" s="164">
        <v>997</v>
      </c>
      <c r="AI166" s="164">
        <v>960</v>
      </c>
      <c r="AJ166" s="164">
        <v>1006</v>
      </c>
      <c r="AK166" s="164">
        <v>993</v>
      </c>
      <c r="AL166" s="164">
        <v>1077</v>
      </c>
      <c r="AM166" s="164">
        <v>1069</v>
      </c>
      <c r="AN166" s="164">
        <v>1106</v>
      </c>
      <c r="AO166" s="164">
        <v>911</v>
      </c>
      <c r="AP166" s="164">
        <v>973</v>
      </c>
      <c r="AQ166" s="164">
        <v>909</v>
      </c>
      <c r="AR166" s="164">
        <v>905</v>
      </c>
      <c r="AS166" s="164">
        <v>838</v>
      </c>
      <c r="AT166" s="164">
        <v>922</v>
      </c>
      <c r="AU166" s="164">
        <v>880</v>
      </c>
      <c r="AV166" s="164">
        <v>911</v>
      </c>
      <c r="AW166" s="164">
        <v>866</v>
      </c>
      <c r="AX166" s="164">
        <v>872</v>
      </c>
      <c r="AY166" s="164">
        <v>1422</v>
      </c>
      <c r="AZ166" s="171">
        <v>1337</v>
      </c>
      <c r="BA166" s="55">
        <f t="shared" ref="BA166:BE166" si="1216">AZ166*AZ$19/BA$19*(1+BA57)</f>
        <v>1452.2728346561375</v>
      </c>
      <c r="BB166" s="55">
        <f t="shared" si="1216"/>
        <v>1414.4353039906084</v>
      </c>
      <c r="BC166" s="55">
        <f t="shared" si="1216"/>
        <v>1422.1673072180718</v>
      </c>
      <c r="BD166" s="55">
        <f t="shared" si="1216"/>
        <v>1430.2584950169851</v>
      </c>
      <c r="BE166" s="55">
        <f t="shared" si="1216"/>
        <v>1426.9036276061893</v>
      </c>
      <c r="BF166" s="55">
        <f t="shared" ref="BF166:BM166" si="1217">BE166*BE$19/BF$19*(1+BF57)</f>
        <v>1424.1227755582379</v>
      </c>
      <c r="BG166" s="55">
        <f t="shared" si="1217"/>
        <v>1425.0048722464683</v>
      </c>
      <c r="BH166" s="55">
        <f t="shared" si="1217"/>
        <v>1426.6950890104383</v>
      </c>
      <c r="BI166" s="55">
        <f t="shared" si="1217"/>
        <v>1429.1322169248078</v>
      </c>
      <c r="BJ166" s="55">
        <f t="shared" si="1217"/>
        <v>1432.2625225770973</v>
      </c>
      <c r="BK166" s="55">
        <f t="shared" si="1217"/>
        <v>1448.353262040624</v>
      </c>
      <c r="BL166" s="55">
        <f t="shared" si="1217"/>
        <v>1464.6247727610969</v>
      </c>
      <c r="BM166" s="55">
        <f t="shared" si="1217"/>
        <v>1481.0790856114545</v>
      </c>
      <c r="BN166" s="55">
        <f t="shared" ref="BN166" si="1218">BM166*BM$19/BN$19*(1+BN57)</f>
        <v>1497.7182542804578</v>
      </c>
      <c r="BO166" s="55">
        <f t="shared" ref="BO166" si="1219">BN166*BN$19/BO$19*(1+BO57)</f>
        <v>1514.5443555290142</v>
      </c>
      <c r="BP166" s="55">
        <f t="shared" ref="BP166" si="1220">BO166*BO$19/BP$19*(1+BP57)</f>
        <v>1531.5594894493815</v>
      </c>
      <c r="BQ166" s="55">
        <f t="shared" ref="BQ166" si="1221">BP166*BP$19/BQ$19*(1+BQ57)</f>
        <v>1548.7657797272839</v>
      </c>
      <c r="BR166" s="55"/>
      <c r="BS166" s="53">
        <v>106.6</v>
      </c>
      <c r="BT166" s="53">
        <v>175.5</v>
      </c>
      <c r="BU166" s="53">
        <v>193.4</v>
      </c>
      <c r="BV166" s="53">
        <v>168</v>
      </c>
      <c r="BW166" s="53">
        <v>240</v>
      </c>
      <c r="BX166" s="53">
        <v>397</v>
      </c>
      <c r="BY166" s="53">
        <v>248</v>
      </c>
      <c r="BZ166" s="53">
        <v>539</v>
      </c>
      <c r="CA166" s="53">
        <v>1470</v>
      </c>
      <c r="CB166" s="53">
        <v>449</v>
      </c>
      <c r="CC166" s="55">
        <f>E166</f>
        <v>274</v>
      </c>
      <c r="CD166" s="55">
        <f>G166</f>
        <v>296</v>
      </c>
      <c r="CE166" s="55">
        <f>I166</f>
        <v>358</v>
      </c>
      <c r="CF166" s="55">
        <f>K166</f>
        <v>406</v>
      </c>
      <c r="CG166" s="55">
        <f>M166</f>
        <v>428</v>
      </c>
      <c r="CH166" s="55">
        <f>O166</f>
        <v>533</v>
      </c>
      <c r="CI166" s="55">
        <f>Q166</f>
        <v>538</v>
      </c>
      <c r="CJ166" s="55">
        <f>S166</f>
        <v>573</v>
      </c>
      <c r="CK166" s="55">
        <f>U166</f>
        <v>589</v>
      </c>
      <c r="CL166" s="55">
        <f>W166</f>
        <v>572</v>
      </c>
      <c r="CM166" s="55">
        <f>Y166</f>
        <v>603</v>
      </c>
      <c r="CN166" s="55">
        <f>AA166</f>
        <v>676</v>
      </c>
      <c r="CO166" s="55">
        <f>AC166</f>
        <v>803</v>
      </c>
      <c r="CP166" s="55">
        <f>AE166</f>
        <v>816</v>
      </c>
      <c r="CQ166" s="55">
        <f>AG166</f>
        <v>912</v>
      </c>
      <c r="CR166" s="55">
        <f>AI166</f>
        <v>960</v>
      </c>
      <c r="CS166" s="55">
        <f>AK166</f>
        <v>993</v>
      </c>
      <c r="CT166" s="55">
        <f>AM166</f>
        <v>1069</v>
      </c>
      <c r="CU166" s="55">
        <f>AO166</f>
        <v>911</v>
      </c>
      <c r="CV166" s="55">
        <f>AQ166</f>
        <v>909</v>
      </c>
      <c r="CW166" s="55">
        <f>AS166</f>
        <v>838</v>
      </c>
      <c r="CX166" s="55">
        <f>AU166</f>
        <v>880</v>
      </c>
      <c r="CY166" s="55">
        <f>AW166</f>
        <v>866</v>
      </c>
      <c r="CZ166" s="56">
        <f>AY166</f>
        <v>1422</v>
      </c>
      <c r="DA166" s="55">
        <f>BA166</f>
        <v>1452.2728346561375</v>
      </c>
      <c r="DB166" s="55">
        <f>BC166</f>
        <v>1422.1673072180718</v>
      </c>
      <c r="DC166" s="55">
        <f>BE166</f>
        <v>1426.9036276061893</v>
      </c>
      <c r="DD166" s="55">
        <f>BG166</f>
        <v>1425.0048722464683</v>
      </c>
      <c r="DE166" s="55">
        <f>BI166</f>
        <v>1429.1322169248078</v>
      </c>
      <c r="DF166" s="55">
        <f>BK166</f>
        <v>1448.353262040624</v>
      </c>
      <c r="DG166" s="55">
        <f>BM166</f>
        <v>1481.0790856114545</v>
      </c>
      <c r="DH166" s="55">
        <f>BO166</f>
        <v>1514.5443555290142</v>
      </c>
      <c r="DI166" s="55">
        <f>BQ166</f>
        <v>1548.7657797272839</v>
      </c>
    </row>
    <row r="167" spans="1:114" s="24" customFormat="1" outlineLevel="1">
      <c r="A167" s="1" t="s">
        <v>602</v>
      </c>
      <c r="B167" s="24" t="s">
        <v>168</v>
      </c>
      <c r="C167" s="81">
        <v>17136</v>
      </c>
      <c r="D167" s="81">
        <v>19785</v>
      </c>
      <c r="E167" s="81">
        <v>20897</v>
      </c>
      <c r="F167" s="81">
        <v>23165</v>
      </c>
      <c r="G167" s="81">
        <v>23077</v>
      </c>
      <c r="H167" s="81">
        <v>25830</v>
      </c>
      <c r="I167" s="81">
        <v>30617</v>
      </c>
      <c r="J167" s="81">
        <v>33323</v>
      </c>
      <c r="K167" s="81">
        <v>37022</v>
      </c>
      <c r="L167" s="81">
        <v>42138</v>
      </c>
      <c r="M167" s="81">
        <v>42218</v>
      </c>
      <c r="N167" s="81">
        <v>49590</v>
      </c>
      <c r="O167" s="81">
        <v>53340</v>
      </c>
      <c r="P167" s="81">
        <v>56085</v>
      </c>
      <c r="Q167" s="81">
        <v>56069</v>
      </c>
      <c r="R167" s="81">
        <v>63715</v>
      </c>
      <c r="S167" s="81">
        <v>60399</v>
      </c>
      <c r="T167" s="81">
        <v>47386</v>
      </c>
      <c r="U167" s="81">
        <v>47649</v>
      </c>
      <c r="V167" s="81">
        <v>43988</v>
      </c>
      <c r="W167" s="81">
        <v>43849</v>
      </c>
      <c r="X167" s="81">
        <v>43343</v>
      </c>
      <c r="Y167" s="81">
        <v>45000</v>
      </c>
      <c r="Z167" s="81">
        <v>47384</v>
      </c>
      <c r="AA167" s="166">
        <v>52034</v>
      </c>
      <c r="AB167" s="166">
        <v>58110</v>
      </c>
      <c r="AC167" s="166">
        <v>59523</v>
      </c>
      <c r="AD167" s="166">
        <v>63243</v>
      </c>
      <c r="AE167" s="166">
        <v>61460</v>
      </c>
      <c r="AF167" s="166">
        <v>68209</v>
      </c>
      <c r="AG167" s="166">
        <v>72412</v>
      </c>
      <c r="AH167" s="166">
        <v>76608</v>
      </c>
      <c r="AI167" s="166">
        <v>77715</v>
      </c>
      <c r="AJ167" s="166">
        <v>76303</v>
      </c>
      <c r="AK167" s="166">
        <v>78867</v>
      </c>
      <c r="AL167" s="166">
        <v>84187</v>
      </c>
      <c r="AM167" s="166">
        <v>86835</v>
      </c>
      <c r="AN167" s="166">
        <v>89214</v>
      </c>
      <c r="AO167" s="166">
        <v>87718</v>
      </c>
      <c r="AP167" s="166">
        <v>92475</v>
      </c>
      <c r="AQ167" s="166">
        <v>96027</v>
      </c>
      <c r="AR167" s="166">
        <v>99798</v>
      </c>
      <c r="AS167" s="166">
        <v>98288</v>
      </c>
      <c r="AT167" s="166">
        <v>103099</v>
      </c>
      <c r="AU167" s="166">
        <v>102475</v>
      </c>
      <c r="AV167" s="166">
        <v>102791</v>
      </c>
      <c r="AW167" s="166">
        <v>102507</v>
      </c>
      <c r="AX167" s="166">
        <v>104159</v>
      </c>
      <c r="AY167" s="166">
        <v>109706</v>
      </c>
      <c r="AZ167" s="167">
        <v>105569</v>
      </c>
      <c r="BA167" s="82">
        <f t="shared" ref="BA167:BE167" si="1222">SUM(BA164:BA166)</f>
        <v>116118.40363408318</v>
      </c>
      <c r="BB167" s="82">
        <f t="shared" si="1222"/>
        <v>114148.53331575784</v>
      </c>
      <c r="BC167" s="82">
        <f t="shared" si="1222"/>
        <v>115848.32644983228</v>
      </c>
      <c r="BD167" s="82">
        <f t="shared" si="1222"/>
        <v>117208.68467202145</v>
      </c>
      <c r="BE167" s="82">
        <f t="shared" si="1222"/>
        <v>117639.50241153641</v>
      </c>
      <c r="BF167" s="82">
        <f t="shared" ref="BF167:BM167" si="1223">SUM(BF164:BF166)</f>
        <v>118120.7847248688</v>
      </c>
      <c r="BG167" s="82">
        <f t="shared" si="1223"/>
        <v>118911.16827634869</v>
      </c>
      <c r="BH167" s="82">
        <f t="shared" si="1223"/>
        <v>119776.5763455643</v>
      </c>
      <c r="BI167" s="82">
        <f t="shared" si="1223"/>
        <v>120713.14742258238</v>
      </c>
      <c r="BJ167" s="82">
        <f t="shared" si="1223"/>
        <v>121717.55118149881</v>
      </c>
      <c r="BK167" s="82">
        <f t="shared" si="1223"/>
        <v>123839.85903585768</v>
      </c>
      <c r="BL167" s="82">
        <f t="shared" si="1223"/>
        <v>126001.18288865544</v>
      </c>
      <c r="BM167" s="82">
        <f t="shared" si="1223"/>
        <v>128202.26604107188</v>
      </c>
      <c r="BN167" s="82">
        <f t="shared" ref="BN167:BO167" si="1224">SUM(BN164:BN166)</f>
        <v>130443.86627492067</v>
      </c>
      <c r="BO167" s="82">
        <f t="shared" si="1224"/>
        <v>132726.75613854564</v>
      </c>
      <c r="BP167" s="82">
        <f t="shared" ref="BP167:BQ167" si="1225">SUM(BP164:BP166)</f>
        <v>135051.72323840501</v>
      </c>
      <c r="BQ167" s="82">
        <f t="shared" si="1225"/>
        <v>137419.57053645846</v>
      </c>
      <c r="BR167" s="82"/>
      <c r="BS167" s="81">
        <v>6873.3</v>
      </c>
      <c r="BT167" s="81">
        <v>6511.6</v>
      </c>
      <c r="BU167" s="81">
        <v>6110.2</v>
      </c>
      <c r="BV167" s="81">
        <v>8158</v>
      </c>
      <c r="BW167" s="81">
        <v>8811</v>
      </c>
      <c r="BX167" s="81">
        <v>11069</v>
      </c>
      <c r="BY167" s="81">
        <v>12548</v>
      </c>
      <c r="BZ167" s="81">
        <v>13491</v>
      </c>
      <c r="CA167" s="81">
        <v>15837</v>
      </c>
      <c r="CB167" s="81">
        <v>17136</v>
      </c>
      <c r="CC167" s="82">
        <f>E167</f>
        <v>20897</v>
      </c>
      <c r="CD167" s="82">
        <f>G167</f>
        <v>23077</v>
      </c>
      <c r="CE167" s="82">
        <f>I167</f>
        <v>30617</v>
      </c>
      <c r="CF167" s="82">
        <f>K167</f>
        <v>37022</v>
      </c>
      <c r="CG167" s="82">
        <f>M167</f>
        <v>42218</v>
      </c>
      <c r="CH167" s="82">
        <f>O167</f>
        <v>53340</v>
      </c>
      <c r="CI167" s="82">
        <f>Q167</f>
        <v>56069</v>
      </c>
      <c r="CJ167" s="82">
        <f>S167</f>
        <v>60399</v>
      </c>
      <c r="CK167" s="82">
        <f>U167</f>
        <v>47649</v>
      </c>
      <c r="CL167" s="82">
        <f>W167</f>
        <v>43849</v>
      </c>
      <c r="CM167" s="82">
        <f>Y167</f>
        <v>45000</v>
      </c>
      <c r="CN167" s="82">
        <f>AA167</f>
        <v>52034</v>
      </c>
      <c r="CO167" s="82">
        <f>AC167</f>
        <v>59523</v>
      </c>
      <c r="CP167" s="82">
        <f>AE167</f>
        <v>61460</v>
      </c>
      <c r="CQ167" s="82">
        <f>AG167</f>
        <v>72412</v>
      </c>
      <c r="CR167" s="82">
        <f>AI167</f>
        <v>77715</v>
      </c>
      <c r="CS167" s="82">
        <f>AK167</f>
        <v>78867</v>
      </c>
      <c r="CT167" s="82">
        <f>AM167</f>
        <v>86835</v>
      </c>
      <c r="CU167" s="82">
        <f>AO167</f>
        <v>87718</v>
      </c>
      <c r="CV167" s="82">
        <f>AQ167</f>
        <v>96027</v>
      </c>
      <c r="CW167" s="82">
        <f>AS167</f>
        <v>98288</v>
      </c>
      <c r="CX167" s="82">
        <f>AU167</f>
        <v>102475</v>
      </c>
      <c r="CY167" s="82">
        <f>AW167</f>
        <v>102507</v>
      </c>
      <c r="CZ167" s="83">
        <f>AY167</f>
        <v>109706</v>
      </c>
      <c r="DA167" s="82">
        <f>BA167</f>
        <v>116118.40363408318</v>
      </c>
      <c r="DB167" s="82">
        <f>BC167</f>
        <v>115848.32644983228</v>
      </c>
      <c r="DC167" s="82">
        <f>BE167</f>
        <v>117639.50241153641</v>
      </c>
      <c r="DD167" s="82">
        <f>BG167</f>
        <v>118911.16827634869</v>
      </c>
      <c r="DE167" s="82">
        <f>BI167</f>
        <v>120713.14742258238</v>
      </c>
      <c r="DF167" s="82">
        <f>BK167</f>
        <v>123839.85903585768</v>
      </c>
      <c r="DG167" s="82">
        <f>BM167</f>
        <v>128202.26604107188</v>
      </c>
      <c r="DH167" s="82">
        <f>BO167</f>
        <v>132726.75613854564</v>
      </c>
      <c r="DI167" s="82">
        <f>BQ167</f>
        <v>137419.57053645846</v>
      </c>
    </row>
    <row r="168" spans="1:114" outlineLevel="1">
      <c r="C168" s="55"/>
      <c r="D168" s="55"/>
      <c r="E168" s="55"/>
      <c r="F168" s="55"/>
      <c r="G168" s="55"/>
      <c r="H168" s="55"/>
      <c r="I168" s="55"/>
      <c r="J168" s="55"/>
      <c r="K168" s="55"/>
      <c r="L168" s="55"/>
      <c r="M168" s="55"/>
      <c r="N168" s="55"/>
      <c r="O168" s="55"/>
      <c r="P168" s="55"/>
      <c r="Q168" s="55"/>
      <c r="R168" s="55"/>
      <c r="S168" s="55"/>
      <c r="T168" s="55"/>
      <c r="U168" s="55"/>
      <c r="V168" s="55"/>
      <c r="W168" s="55"/>
      <c r="X168" s="55"/>
      <c r="Y168" s="55"/>
      <c r="Z168" s="55"/>
      <c r="AA168" s="55"/>
      <c r="AB168" s="55"/>
      <c r="AC168" s="55"/>
      <c r="AD168" s="55"/>
      <c r="AE168" s="55"/>
      <c r="AF168" s="55"/>
      <c r="AG168" s="55"/>
      <c r="AH168" s="55"/>
      <c r="AI168" s="55"/>
      <c r="AJ168" s="55"/>
      <c r="AK168" s="55"/>
      <c r="AL168" s="55"/>
      <c r="AM168" s="55"/>
      <c r="AN168" s="55"/>
      <c r="AO168" s="55"/>
      <c r="AP168" s="55"/>
      <c r="AQ168" s="55"/>
      <c r="AR168" s="55"/>
      <c r="AS168" s="55"/>
      <c r="AT168" s="55"/>
      <c r="AU168" s="55"/>
      <c r="AV168" s="55"/>
      <c r="AW168" s="55"/>
      <c r="AX168" s="55"/>
      <c r="AY168" s="55"/>
      <c r="AZ168" s="56"/>
      <c r="BA168" s="55"/>
      <c r="BB168" s="55"/>
      <c r="BC168" s="55"/>
      <c r="BD168" s="55"/>
      <c r="BE168" s="55"/>
      <c r="BF168" s="55"/>
      <c r="BG168" s="55"/>
      <c r="BH168" s="55"/>
      <c r="BI168" s="55"/>
      <c r="BJ168" s="55"/>
      <c r="BK168" s="55"/>
      <c r="BL168" s="55"/>
      <c r="BM168" s="55"/>
      <c r="BN168" s="55"/>
      <c r="BO168" s="55"/>
      <c r="BP168" s="55"/>
      <c r="BQ168" s="55"/>
      <c r="BR168" s="55"/>
      <c r="BS168" s="55"/>
      <c r="BT168" s="55"/>
      <c r="BU168" s="55"/>
      <c r="BV168" s="55"/>
      <c r="BW168" s="55"/>
      <c r="BX168" s="55"/>
      <c r="BY168" s="55"/>
      <c r="BZ168" s="55"/>
      <c r="CA168" s="55"/>
      <c r="CB168" s="55"/>
      <c r="CC168" s="55"/>
      <c r="CD168" s="55"/>
      <c r="CE168" s="55"/>
      <c r="CF168" s="55"/>
      <c r="CG168" s="55"/>
      <c r="CH168" s="55"/>
      <c r="CI168" s="55"/>
      <c r="CJ168" s="55"/>
      <c r="CK168" s="55"/>
      <c r="CL168" s="55"/>
      <c r="CM168" s="55"/>
      <c r="CN168" s="55"/>
      <c r="CO168" s="55"/>
      <c r="CP168" s="55"/>
      <c r="CQ168" s="55"/>
      <c r="CR168" s="55"/>
      <c r="CS168" s="55"/>
      <c r="CT168" s="55"/>
      <c r="CU168" s="55"/>
      <c r="CV168" s="55"/>
      <c r="CW168" s="55"/>
      <c r="CX168" s="55"/>
      <c r="CY168" s="55"/>
      <c r="CZ168" s="56"/>
      <c r="DA168" s="55"/>
      <c r="DB168" s="55"/>
    </row>
    <row r="169" spans="1:114" outlineLevel="1">
      <c r="B169" s="24" t="s">
        <v>341</v>
      </c>
      <c r="C169" s="55"/>
      <c r="D169" s="55"/>
      <c r="E169" s="55"/>
      <c r="F169" s="55"/>
      <c r="G169" s="55"/>
      <c r="H169" s="55"/>
      <c r="I169" s="55"/>
      <c r="J169" s="55"/>
      <c r="K169" s="55"/>
      <c r="L169" s="55"/>
      <c r="M169" s="55"/>
      <c r="N169" s="55"/>
      <c r="O169" s="55"/>
      <c r="P169" s="55"/>
      <c r="Q169" s="55"/>
      <c r="R169" s="55"/>
      <c r="S169" s="55"/>
      <c r="T169" s="55"/>
      <c r="U169" s="55"/>
      <c r="V169" s="55"/>
      <c r="W169" s="55"/>
      <c r="X169" s="55"/>
      <c r="Y169" s="55"/>
      <c r="Z169" s="55"/>
      <c r="AA169" s="55"/>
      <c r="AB169" s="55"/>
      <c r="AC169" s="55"/>
      <c r="AD169" s="55"/>
      <c r="AE169" s="55"/>
      <c r="AF169" s="55"/>
      <c r="AG169" s="55"/>
      <c r="AH169" s="55"/>
      <c r="AI169" s="55"/>
      <c r="AJ169" s="55"/>
      <c r="AK169" s="55"/>
      <c r="AL169" s="55"/>
      <c r="AM169" s="55"/>
      <c r="AN169" s="55"/>
      <c r="AO169" s="55"/>
      <c r="AP169" s="55"/>
      <c r="AQ169" s="55"/>
      <c r="AR169" s="55"/>
      <c r="AS169" s="55"/>
      <c r="AT169" s="55"/>
      <c r="AU169" s="55"/>
      <c r="AV169" s="55"/>
      <c r="AW169" s="55"/>
      <c r="AX169" s="55"/>
      <c r="AY169" s="55"/>
      <c r="AZ169" s="56"/>
      <c r="BA169" s="55"/>
      <c r="BB169" s="55"/>
      <c r="BC169" s="55"/>
      <c r="BD169" s="55"/>
      <c r="BE169" s="55"/>
      <c r="BF169" s="55"/>
      <c r="BG169" s="55"/>
      <c r="BH169" s="55"/>
      <c r="BI169" s="55"/>
      <c r="BJ169" s="55"/>
      <c r="BK169" s="55"/>
      <c r="BL169" s="55"/>
      <c r="BM169" s="55"/>
      <c r="BN169" s="55"/>
      <c r="BO169" s="55"/>
      <c r="BP169" s="55"/>
      <c r="BQ169" s="55"/>
      <c r="BR169" s="55"/>
      <c r="BS169" s="55"/>
      <c r="BT169" s="55"/>
      <c r="BU169" s="55"/>
      <c r="BV169" s="55"/>
      <c r="BW169" s="55"/>
      <c r="BX169" s="55"/>
      <c r="BY169" s="55"/>
      <c r="BZ169" s="55"/>
      <c r="CA169" s="55"/>
      <c r="CB169" s="55"/>
      <c r="CC169" s="55"/>
      <c r="CD169" s="55"/>
      <c r="CE169" s="55"/>
      <c r="CF169" s="55"/>
      <c r="CG169" s="55"/>
      <c r="CH169" s="55"/>
      <c r="CI169" s="55"/>
      <c r="CJ169" s="55"/>
      <c r="CK169" s="55"/>
      <c r="CL169" s="55"/>
      <c r="CM169" s="55"/>
      <c r="CN169" s="55"/>
      <c r="CO169" s="55"/>
      <c r="CP169" s="55"/>
      <c r="CQ169" s="55"/>
      <c r="CR169" s="55"/>
      <c r="CS169" s="55"/>
      <c r="CT169" s="55"/>
      <c r="CU169" s="55"/>
      <c r="CV169" s="55"/>
      <c r="CW169" s="55"/>
      <c r="CX169" s="55"/>
      <c r="CY169" s="55"/>
      <c r="CZ169" s="56"/>
      <c r="DA169" s="55"/>
      <c r="DB169" s="55"/>
    </row>
    <row r="170" spans="1:114" outlineLevel="1">
      <c r="A170" s="1" t="s">
        <v>603</v>
      </c>
      <c r="B170" s="19" t="s">
        <v>164</v>
      </c>
      <c r="C170" s="53">
        <v>0</v>
      </c>
      <c r="D170" s="53">
        <v>0</v>
      </c>
      <c r="E170" s="53">
        <v>0</v>
      </c>
      <c r="F170" s="53">
        <v>0</v>
      </c>
      <c r="G170" s="53">
        <v>0</v>
      </c>
      <c r="H170" s="53">
        <v>0</v>
      </c>
      <c r="I170" s="53">
        <v>0</v>
      </c>
      <c r="J170" s="53">
        <v>0</v>
      </c>
      <c r="K170" s="53">
        <v>0</v>
      </c>
      <c r="L170" s="53">
        <v>0</v>
      </c>
      <c r="M170" s="53">
        <v>0</v>
      </c>
      <c r="N170" s="53">
        <v>0</v>
      </c>
      <c r="O170" s="53">
        <v>0</v>
      </c>
      <c r="P170" s="53">
        <v>0</v>
      </c>
      <c r="Q170" s="53">
        <v>0</v>
      </c>
      <c r="R170" s="53">
        <v>0</v>
      </c>
      <c r="S170" s="53">
        <v>0</v>
      </c>
      <c r="T170" s="53">
        <v>712</v>
      </c>
      <c r="U170" s="53">
        <v>763</v>
      </c>
      <c r="V170" s="53">
        <v>700</v>
      </c>
      <c r="W170" s="53">
        <v>664</v>
      </c>
      <c r="X170" s="53">
        <v>726</v>
      </c>
      <c r="Y170" s="53">
        <v>737</v>
      </c>
      <c r="Z170" s="53">
        <v>758</v>
      </c>
      <c r="AA170" s="164">
        <v>828</v>
      </c>
      <c r="AB170" s="164">
        <v>823</v>
      </c>
      <c r="AC170" s="164">
        <v>830</v>
      </c>
      <c r="AD170" s="164">
        <v>894</v>
      </c>
      <c r="AE170" s="164">
        <v>914</v>
      </c>
      <c r="AF170" s="164">
        <v>947</v>
      </c>
      <c r="AG170" s="164">
        <v>982</v>
      </c>
      <c r="AH170" s="164">
        <v>1022</v>
      </c>
      <c r="AI170" s="164">
        <v>949</v>
      </c>
      <c r="AJ170" s="164">
        <v>861</v>
      </c>
      <c r="AK170" s="164">
        <v>873</v>
      </c>
      <c r="AL170" s="164">
        <v>896</v>
      </c>
      <c r="AM170" s="164">
        <v>902</v>
      </c>
      <c r="AN170" s="164">
        <v>834</v>
      </c>
      <c r="AO170" s="164">
        <v>724</v>
      </c>
      <c r="AP170" s="164">
        <v>592</v>
      </c>
      <c r="AQ170" s="164">
        <v>522</v>
      </c>
      <c r="AR170" s="164">
        <v>472</v>
      </c>
      <c r="AS170" s="164">
        <v>422</v>
      </c>
      <c r="AT170" s="164">
        <v>353</v>
      </c>
      <c r="AU170" s="164">
        <v>337</v>
      </c>
      <c r="AV170" s="164">
        <v>99</v>
      </c>
      <c r="AW170" s="164">
        <v>82</v>
      </c>
      <c r="AX170" s="164">
        <v>61</v>
      </c>
      <c r="AY170" s="164">
        <v>53</v>
      </c>
      <c r="AZ170" s="171">
        <v>41</v>
      </c>
      <c r="BA170" s="55">
        <f t="shared" ref="BA170:BE170" si="1226">AZ170*AZ$18/BA$18*(1+BA59)</f>
        <v>41.259640972529411</v>
      </c>
      <c r="BB170" s="55">
        <f t="shared" si="1226"/>
        <v>44.228144235615879</v>
      </c>
      <c r="BC170" s="55">
        <f t="shared" si="1226"/>
        <v>44.296370720557846</v>
      </c>
      <c r="BD170" s="55">
        <f t="shared" si="1226"/>
        <v>44.387286293652174</v>
      </c>
      <c r="BE170" s="55">
        <f t="shared" si="1226"/>
        <v>44.500041816158884</v>
      </c>
      <c r="BF170" s="55">
        <f t="shared" ref="BF170:BM171" si="1227">BE170*BE$18/BF$18*(1+BF59)</f>
        <v>44.633874869296953</v>
      </c>
      <c r="BG170" s="55">
        <f t="shared" si="1227"/>
        <v>44.151413618586332</v>
      </c>
      <c r="BH170" s="55">
        <f t="shared" si="1227"/>
        <v>43.720910760498441</v>
      </c>
      <c r="BI170" s="55">
        <f t="shared" si="1227"/>
        <v>43.230912287241203</v>
      </c>
      <c r="BJ170" s="55">
        <f t="shared" si="1227"/>
        <v>42.786706618034657</v>
      </c>
      <c r="BK170" s="55">
        <f t="shared" si="1227"/>
        <v>43.646719421057156</v>
      </c>
      <c r="BL170" s="55">
        <f t="shared" si="1227"/>
        <v>44.524018481420406</v>
      </c>
      <c r="BM170" s="55">
        <f t="shared" si="1227"/>
        <v>45.41895125289696</v>
      </c>
      <c r="BN170" s="55">
        <f t="shared" ref="BN170:BN171" si="1228">BM170*BM$18/BN$18*(1+BN59)</f>
        <v>46.331872173080193</v>
      </c>
      <c r="BO170" s="55">
        <f t="shared" ref="BO170:BO171" si="1229">BN170*BN$18/BO$18*(1+BO59)</f>
        <v>47.263142803759102</v>
      </c>
      <c r="BP170" s="55">
        <f t="shared" ref="BP170:BP171" si="1230">BO170*BO$18/BP$18*(1+BP59)</f>
        <v>48.21313197411466</v>
      </c>
      <c r="BQ170" s="55">
        <f t="shared" ref="BQ170:BQ171" si="1231">BP170*BP$18/BQ$18*(1+BQ59)</f>
        <v>49.182215926794363</v>
      </c>
      <c r="BR170" s="55"/>
      <c r="BS170" s="53">
        <v>0</v>
      </c>
      <c r="BT170" s="53">
        <v>0</v>
      </c>
      <c r="BU170" s="53">
        <v>0</v>
      </c>
      <c r="BV170" s="53">
        <v>0</v>
      </c>
      <c r="BW170" s="53">
        <v>0</v>
      </c>
      <c r="BX170" s="53">
        <v>0</v>
      </c>
      <c r="BY170" s="53">
        <v>0</v>
      </c>
      <c r="BZ170" s="53">
        <v>0</v>
      </c>
      <c r="CA170" s="53">
        <v>0</v>
      </c>
      <c r="CB170" s="53">
        <v>0</v>
      </c>
      <c r="CC170" s="55">
        <f>E170</f>
        <v>0</v>
      </c>
      <c r="CD170" s="55">
        <f>G170</f>
        <v>0</v>
      </c>
      <c r="CE170" s="55">
        <f>I170</f>
        <v>0</v>
      </c>
      <c r="CF170" s="55">
        <f>K170</f>
        <v>0</v>
      </c>
      <c r="CG170" s="55">
        <f>M170</f>
        <v>0</v>
      </c>
      <c r="CH170" s="55">
        <f>O170</f>
        <v>0</v>
      </c>
      <c r="CI170" s="55">
        <f>Q170</f>
        <v>0</v>
      </c>
      <c r="CJ170" s="55">
        <f>S170</f>
        <v>0</v>
      </c>
      <c r="CK170" s="55">
        <f>U170</f>
        <v>763</v>
      </c>
      <c r="CL170" s="55">
        <f>W170</f>
        <v>664</v>
      </c>
      <c r="CM170" s="55">
        <f>Y170</f>
        <v>737</v>
      </c>
      <c r="CN170" s="55">
        <f>AA170</f>
        <v>828</v>
      </c>
      <c r="CO170" s="55">
        <f>AC170</f>
        <v>830</v>
      </c>
      <c r="CP170" s="55">
        <f>AE170</f>
        <v>914</v>
      </c>
      <c r="CQ170" s="55">
        <f>AG170</f>
        <v>982</v>
      </c>
      <c r="CR170" s="55">
        <f>AI170</f>
        <v>949</v>
      </c>
      <c r="CS170" s="55">
        <f>AK170</f>
        <v>873</v>
      </c>
      <c r="CT170" s="55">
        <f>AM170</f>
        <v>902</v>
      </c>
      <c r="CU170" s="55">
        <f>AO170</f>
        <v>724</v>
      </c>
      <c r="CV170" s="55">
        <f>AQ170</f>
        <v>522</v>
      </c>
      <c r="CW170" s="55">
        <f>AS170</f>
        <v>422</v>
      </c>
      <c r="CX170" s="55">
        <f>AU170</f>
        <v>337</v>
      </c>
      <c r="CY170" s="55">
        <f>AW170</f>
        <v>82</v>
      </c>
      <c r="CZ170" s="56">
        <f>AY170</f>
        <v>53</v>
      </c>
      <c r="DA170" s="55">
        <f>BA170</f>
        <v>41.259640972529411</v>
      </c>
      <c r="DB170" s="55">
        <f>BC170</f>
        <v>44.296370720557846</v>
      </c>
      <c r="DC170" s="55">
        <f>BE170</f>
        <v>44.500041816158884</v>
      </c>
      <c r="DD170" s="55">
        <f>BG170</f>
        <v>44.151413618586332</v>
      </c>
      <c r="DE170" s="55">
        <f>BI170</f>
        <v>43.230912287241203</v>
      </c>
      <c r="DF170" s="55">
        <f>BK170</f>
        <v>43.646719421057156</v>
      </c>
      <c r="DG170" s="55">
        <f>BM170</f>
        <v>45.41895125289696</v>
      </c>
      <c r="DH170" s="55">
        <f>BO170</f>
        <v>47.263142803759102</v>
      </c>
      <c r="DI170" s="55">
        <f>BQ170</f>
        <v>49.182215926794363</v>
      </c>
    </row>
    <row r="171" spans="1:114" outlineLevel="1">
      <c r="A171" s="1" t="s">
        <v>732</v>
      </c>
      <c r="B171" s="19" t="s">
        <v>407</v>
      </c>
      <c r="C171" s="55">
        <f t="shared" ref="C171:L171" si="1232">C173-C170-C172</f>
        <v>0</v>
      </c>
      <c r="D171" s="55">
        <f t="shared" si="1232"/>
        <v>0</v>
      </c>
      <c r="E171" s="55">
        <f t="shared" si="1232"/>
        <v>0</v>
      </c>
      <c r="F171" s="55">
        <f t="shared" si="1232"/>
        <v>0</v>
      </c>
      <c r="G171" s="55">
        <f t="shared" si="1232"/>
        <v>0</v>
      </c>
      <c r="H171" s="55">
        <f t="shared" si="1232"/>
        <v>0</v>
      </c>
      <c r="I171" s="55">
        <f t="shared" si="1232"/>
        <v>0</v>
      </c>
      <c r="J171" s="55">
        <f t="shared" si="1232"/>
        <v>0</v>
      </c>
      <c r="K171" s="55">
        <f t="shared" si="1232"/>
        <v>0</v>
      </c>
      <c r="L171" s="55">
        <f t="shared" si="1232"/>
        <v>0</v>
      </c>
      <c r="M171" s="55">
        <f t="shared" ref="M171:Y171" si="1233">M173-M170-M172</f>
        <v>0</v>
      </c>
      <c r="N171" s="55">
        <f t="shared" si="1233"/>
        <v>0</v>
      </c>
      <c r="O171" s="55">
        <f t="shared" si="1233"/>
        <v>0</v>
      </c>
      <c r="P171" s="55">
        <f t="shared" si="1233"/>
        <v>0</v>
      </c>
      <c r="Q171" s="55">
        <f t="shared" si="1233"/>
        <v>0</v>
      </c>
      <c r="R171" s="55">
        <f t="shared" si="1233"/>
        <v>0</v>
      </c>
      <c r="S171" s="55">
        <f t="shared" si="1233"/>
        <v>0</v>
      </c>
      <c r="T171" s="55">
        <f t="shared" si="1233"/>
        <v>8807</v>
      </c>
      <c r="U171" s="55">
        <f t="shared" si="1233"/>
        <v>7911</v>
      </c>
      <c r="V171" s="55">
        <f t="shared" si="1233"/>
        <v>6861</v>
      </c>
      <c r="W171" s="55">
        <f t="shared" si="1233"/>
        <v>7215</v>
      </c>
      <c r="X171" s="55">
        <f t="shared" si="1233"/>
        <v>8325</v>
      </c>
      <c r="Y171" s="55">
        <f t="shared" si="1233"/>
        <v>9518</v>
      </c>
      <c r="Z171" s="55">
        <f t="shared" ref="Z171:AK171" si="1234">Z173-Z170-Z172</f>
        <v>9949</v>
      </c>
      <c r="AA171" s="55">
        <f t="shared" si="1234"/>
        <v>12613</v>
      </c>
      <c r="AB171" s="55">
        <f t="shared" si="1234"/>
        <v>16203</v>
      </c>
      <c r="AC171" s="55">
        <f t="shared" si="1234"/>
        <v>16309</v>
      </c>
      <c r="AD171" s="55">
        <f t="shared" si="1234"/>
        <v>19543</v>
      </c>
      <c r="AE171" s="55">
        <f t="shared" si="1234"/>
        <v>20796</v>
      </c>
      <c r="AF171" s="55">
        <f t="shared" si="1234"/>
        <v>22834</v>
      </c>
      <c r="AG171" s="55">
        <f t="shared" si="1234"/>
        <v>22771</v>
      </c>
      <c r="AH171" s="55">
        <f t="shared" si="1234"/>
        <v>23100</v>
      </c>
      <c r="AI171" s="55">
        <f t="shared" si="1234"/>
        <v>23939</v>
      </c>
      <c r="AJ171" s="55">
        <f t="shared" si="1234"/>
        <v>24092</v>
      </c>
      <c r="AK171" s="55">
        <f t="shared" si="1234"/>
        <v>24202</v>
      </c>
      <c r="AL171" s="55">
        <f t="shared" ref="AL171:AQ171" si="1235">AL173-AL170-AL172</f>
        <v>23904</v>
      </c>
      <c r="AM171" s="55">
        <f t="shared" si="1235"/>
        <v>20255</v>
      </c>
      <c r="AN171" s="55">
        <f t="shared" si="1235"/>
        <v>18397</v>
      </c>
      <c r="AO171" s="55">
        <f t="shared" si="1235"/>
        <v>17188</v>
      </c>
      <c r="AP171" s="55">
        <f t="shared" si="1235"/>
        <v>15320</v>
      </c>
      <c r="AQ171" s="55">
        <f t="shared" si="1235"/>
        <v>16122</v>
      </c>
      <c r="AR171" s="55">
        <f t="shared" ref="AR171" si="1236">AR173-AR170-AR172</f>
        <v>16624</v>
      </c>
      <c r="AS171" s="55">
        <f t="shared" ref="AS171:AT171" si="1237">AS173-AS170-AS172</f>
        <v>16616</v>
      </c>
      <c r="AT171" s="55">
        <f t="shared" si="1237"/>
        <v>14282</v>
      </c>
      <c r="AU171" s="55">
        <f t="shared" ref="AU171:AV171" si="1238">AU173-AU170-AU172</f>
        <v>14445</v>
      </c>
      <c r="AV171" s="55">
        <f t="shared" si="1238"/>
        <v>14622</v>
      </c>
      <c r="AW171" s="55">
        <f t="shared" ref="AW171:AX171" si="1239">AW173-AW170-AW172</f>
        <v>15025</v>
      </c>
      <c r="AX171" s="55">
        <f t="shared" si="1239"/>
        <v>17906</v>
      </c>
      <c r="AY171" s="55">
        <f t="shared" ref="AY171:AZ171" si="1240">AY173-AY170-AY172</f>
        <v>18988</v>
      </c>
      <c r="AZ171" s="56">
        <f t="shared" si="1240"/>
        <v>18556</v>
      </c>
      <c r="BA171" s="55">
        <f t="shared" ref="BA171:BE171" si="1241">AZ171*AZ$18/BA$18*(1+BA60)</f>
        <v>18680.816646804386</v>
      </c>
      <c r="BB171" s="55">
        <f t="shared" si="1241"/>
        <v>19948.12976379292</v>
      </c>
      <c r="BC171" s="55">
        <f t="shared" si="1241"/>
        <v>19902.364085294601</v>
      </c>
      <c r="BD171" s="55">
        <f t="shared" si="1241"/>
        <v>19768.278288774585</v>
      </c>
      <c r="BE171" s="55">
        <f t="shared" si="1241"/>
        <v>19644.654778191365</v>
      </c>
      <c r="BF171" s="55">
        <f t="shared" si="1227"/>
        <v>19530.90213881895</v>
      </c>
      <c r="BG171" s="55">
        <f t="shared" si="1227"/>
        <v>19188.279666718961</v>
      </c>
      <c r="BH171" s="55">
        <f t="shared" si="1227"/>
        <v>18871.844125402313</v>
      </c>
      <c r="BI171" s="55">
        <f t="shared" si="1227"/>
        <v>18579.25263684562</v>
      </c>
      <c r="BJ171" s="55">
        <f t="shared" si="1227"/>
        <v>18308.44241210664</v>
      </c>
      <c r="BK171" s="55">
        <f t="shared" si="1227"/>
        <v>18595.28526798949</v>
      </c>
      <c r="BL171" s="55">
        <f t="shared" si="1227"/>
        <v>18886.622161219646</v>
      </c>
      <c r="BM171" s="55">
        <f t="shared" si="1227"/>
        <v>19182.523500982017</v>
      </c>
      <c r="BN171" s="55">
        <f t="shared" si="1228"/>
        <v>19483.060799579467</v>
      </c>
      <c r="BO171" s="55">
        <f t="shared" si="1229"/>
        <v>19788.30668971565</v>
      </c>
      <c r="BP171" s="55">
        <f t="shared" si="1230"/>
        <v>20098.33494204859</v>
      </c>
      <c r="BQ171" s="55">
        <f t="shared" si="1231"/>
        <v>20413.2204830193</v>
      </c>
      <c r="BR171" s="55"/>
      <c r="BS171" s="55">
        <f t="shared" ref="BS171:CB171" si="1242">BS173-BS170-BS172</f>
        <v>0</v>
      </c>
      <c r="BT171" s="55">
        <f t="shared" si="1242"/>
        <v>0</v>
      </c>
      <c r="BU171" s="55">
        <f t="shared" si="1242"/>
        <v>0</v>
      </c>
      <c r="BV171" s="55">
        <f t="shared" si="1242"/>
        <v>0</v>
      </c>
      <c r="BW171" s="55">
        <f t="shared" si="1242"/>
        <v>0</v>
      </c>
      <c r="BX171" s="55">
        <f t="shared" si="1242"/>
        <v>0</v>
      </c>
      <c r="BY171" s="55">
        <f t="shared" si="1242"/>
        <v>0</v>
      </c>
      <c r="BZ171" s="55">
        <f t="shared" si="1242"/>
        <v>0</v>
      </c>
      <c r="CA171" s="55">
        <f t="shared" si="1242"/>
        <v>0</v>
      </c>
      <c r="CB171" s="55">
        <f t="shared" si="1242"/>
        <v>0</v>
      </c>
      <c r="CC171" s="55">
        <f>E171</f>
        <v>0</v>
      </c>
      <c r="CD171" s="55">
        <f>G171</f>
        <v>0</v>
      </c>
      <c r="CE171" s="55">
        <f>I171</f>
        <v>0</v>
      </c>
      <c r="CF171" s="55">
        <f>K171</f>
        <v>0</v>
      </c>
      <c r="CG171" s="55">
        <f>M171</f>
        <v>0</v>
      </c>
      <c r="CH171" s="55">
        <f>O171</f>
        <v>0</v>
      </c>
      <c r="CI171" s="55">
        <f>Q171</f>
        <v>0</v>
      </c>
      <c r="CJ171" s="55">
        <f>S171</f>
        <v>0</v>
      </c>
      <c r="CK171" s="55">
        <f>U171</f>
        <v>7911</v>
      </c>
      <c r="CL171" s="55">
        <f>W171</f>
        <v>7215</v>
      </c>
      <c r="CM171" s="55">
        <f>Y171</f>
        <v>9518</v>
      </c>
      <c r="CN171" s="55">
        <f>AA171</f>
        <v>12613</v>
      </c>
      <c r="CO171" s="55">
        <f>AC171</f>
        <v>16309</v>
      </c>
      <c r="CP171" s="55">
        <f>AE171</f>
        <v>20796</v>
      </c>
      <c r="CQ171" s="55">
        <f>AG171</f>
        <v>22771</v>
      </c>
      <c r="CR171" s="55">
        <f>AI171</f>
        <v>23939</v>
      </c>
      <c r="CS171" s="55">
        <f>AK171</f>
        <v>24202</v>
      </c>
      <c r="CT171" s="55">
        <f>AM171</f>
        <v>20255</v>
      </c>
      <c r="CU171" s="55">
        <f>AO171</f>
        <v>17188</v>
      </c>
      <c r="CV171" s="55">
        <f>AQ171</f>
        <v>16122</v>
      </c>
      <c r="CW171" s="55">
        <f>AS171</f>
        <v>16616</v>
      </c>
      <c r="CX171" s="55">
        <f>AU171</f>
        <v>14445</v>
      </c>
      <c r="CY171" s="55">
        <f>AW171</f>
        <v>15025</v>
      </c>
      <c r="CZ171" s="56">
        <f>AY171</f>
        <v>18988</v>
      </c>
      <c r="DA171" s="55">
        <f>BA171</f>
        <v>18680.816646804386</v>
      </c>
      <c r="DB171" s="55">
        <f>BC171</f>
        <v>19902.364085294601</v>
      </c>
      <c r="DC171" s="55">
        <f>BE171</f>
        <v>19644.654778191365</v>
      </c>
      <c r="DD171" s="55">
        <f>BG171</f>
        <v>19188.279666718961</v>
      </c>
      <c r="DE171" s="55">
        <f>BI171</f>
        <v>18579.25263684562</v>
      </c>
      <c r="DF171" s="55">
        <f>BK171</f>
        <v>18595.28526798949</v>
      </c>
      <c r="DG171" s="55">
        <f>BM171</f>
        <v>19182.523500982017</v>
      </c>
      <c r="DH171" s="55">
        <f>BO171</f>
        <v>19788.30668971565</v>
      </c>
      <c r="DI171" s="55">
        <f>BQ171</f>
        <v>20413.2204830193</v>
      </c>
    </row>
    <row r="172" spans="1:114" outlineLevel="1">
      <c r="A172" s="1" t="s">
        <v>596</v>
      </c>
      <c r="B172" s="19" t="s">
        <v>167</v>
      </c>
      <c r="C172" s="53">
        <v>0</v>
      </c>
      <c r="D172" s="53">
        <v>0</v>
      </c>
      <c r="E172" s="53">
        <v>0</v>
      </c>
      <c r="F172" s="53">
        <v>0</v>
      </c>
      <c r="G172" s="53">
        <v>0</v>
      </c>
      <c r="H172" s="53">
        <v>0</v>
      </c>
      <c r="I172" s="53">
        <v>0</v>
      </c>
      <c r="J172" s="53">
        <v>0</v>
      </c>
      <c r="K172" s="53">
        <v>0</v>
      </c>
      <c r="L172" s="53">
        <v>0</v>
      </c>
      <c r="M172" s="53">
        <v>0</v>
      </c>
      <c r="N172" s="53">
        <v>0</v>
      </c>
      <c r="O172" s="53">
        <v>0</v>
      </c>
      <c r="P172" s="53">
        <v>0</v>
      </c>
      <c r="Q172" s="53">
        <v>0</v>
      </c>
      <c r="R172" s="53">
        <v>0</v>
      </c>
      <c r="S172" s="53">
        <v>0</v>
      </c>
      <c r="T172" s="53">
        <v>0</v>
      </c>
      <c r="U172" s="53">
        <v>0</v>
      </c>
      <c r="V172" s="53">
        <v>0</v>
      </c>
      <c r="W172" s="53">
        <v>0</v>
      </c>
      <c r="X172" s="53">
        <v>0</v>
      </c>
      <c r="Y172" s="53">
        <v>0</v>
      </c>
      <c r="Z172" s="53">
        <v>0</v>
      </c>
      <c r="AA172" s="164">
        <v>0</v>
      </c>
      <c r="AB172" s="164">
        <v>0</v>
      </c>
      <c r="AC172" s="164">
        <v>0</v>
      </c>
      <c r="AD172" s="164">
        <v>0</v>
      </c>
      <c r="AE172" s="164">
        <v>0</v>
      </c>
      <c r="AF172" s="164">
        <v>0</v>
      </c>
      <c r="AG172" s="164">
        <v>0</v>
      </c>
      <c r="AH172" s="164">
        <v>0</v>
      </c>
      <c r="AI172" s="164">
        <v>0</v>
      </c>
      <c r="AJ172" s="164">
        <v>0</v>
      </c>
      <c r="AK172" s="164">
        <v>0</v>
      </c>
      <c r="AL172" s="164">
        <v>0</v>
      </c>
      <c r="AM172" s="164">
        <v>0</v>
      </c>
      <c r="AN172" s="164">
        <v>0</v>
      </c>
      <c r="AO172" s="164">
        <v>0</v>
      </c>
      <c r="AP172" s="164">
        <v>0</v>
      </c>
      <c r="AQ172" s="164">
        <v>0</v>
      </c>
      <c r="AR172" s="164">
        <v>0</v>
      </c>
      <c r="AS172" s="164">
        <v>0</v>
      </c>
      <c r="AT172" s="164">
        <v>0</v>
      </c>
      <c r="AU172" s="164">
        <v>0</v>
      </c>
      <c r="AV172" s="164">
        <v>0</v>
      </c>
      <c r="AW172" s="164">
        <v>0</v>
      </c>
      <c r="AX172" s="164">
        <v>0</v>
      </c>
      <c r="AY172" s="164">
        <v>0</v>
      </c>
      <c r="AZ172" s="56">
        <v>0</v>
      </c>
      <c r="BA172" s="55">
        <f t="shared" ref="BA172:BE172" si="1243">AZ172*AZ$18/BA$18*(1+BA60)</f>
        <v>0</v>
      </c>
      <c r="BB172" s="55">
        <f t="shared" si="1243"/>
        <v>0</v>
      </c>
      <c r="BC172" s="55">
        <f t="shared" si="1243"/>
        <v>0</v>
      </c>
      <c r="BD172" s="55">
        <f t="shared" si="1243"/>
        <v>0</v>
      </c>
      <c r="BE172" s="55">
        <f t="shared" si="1243"/>
        <v>0</v>
      </c>
      <c r="BF172" s="55">
        <f t="shared" ref="BF172:BM172" si="1244">BE172*BE$18/BF$18*(1+BF60)</f>
        <v>0</v>
      </c>
      <c r="BG172" s="55">
        <f t="shared" si="1244"/>
        <v>0</v>
      </c>
      <c r="BH172" s="55">
        <f t="shared" si="1244"/>
        <v>0</v>
      </c>
      <c r="BI172" s="55">
        <f t="shared" si="1244"/>
        <v>0</v>
      </c>
      <c r="BJ172" s="55">
        <f t="shared" si="1244"/>
        <v>0</v>
      </c>
      <c r="BK172" s="55">
        <f t="shared" si="1244"/>
        <v>0</v>
      </c>
      <c r="BL172" s="55">
        <f t="shared" si="1244"/>
        <v>0</v>
      </c>
      <c r="BM172" s="55">
        <f t="shared" si="1244"/>
        <v>0</v>
      </c>
      <c r="BN172" s="55">
        <f t="shared" ref="BN172" si="1245">BM172*BM$18/BN$18*(1+BN60)</f>
        <v>0</v>
      </c>
      <c r="BO172" s="55">
        <f t="shared" ref="BO172" si="1246">BN172*BN$18/BO$18*(1+BO60)</f>
        <v>0</v>
      </c>
      <c r="BP172" s="55">
        <f t="shared" ref="BP172" si="1247">BO172*BO$18/BP$18*(1+BP60)</f>
        <v>0</v>
      </c>
      <c r="BQ172" s="55">
        <f t="shared" ref="BQ172" si="1248">BP172*BP$18/BQ$18*(1+BQ60)</f>
        <v>0</v>
      </c>
      <c r="BR172" s="55"/>
      <c r="BS172" s="53">
        <v>0</v>
      </c>
      <c r="BT172" s="53">
        <v>0</v>
      </c>
      <c r="BU172" s="53">
        <v>0</v>
      </c>
      <c r="BV172" s="53">
        <v>0</v>
      </c>
      <c r="BW172" s="53">
        <v>0</v>
      </c>
      <c r="BX172" s="53">
        <v>0</v>
      </c>
      <c r="BY172" s="53">
        <v>0</v>
      </c>
      <c r="BZ172" s="53">
        <v>0</v>
      </c>
      <c r="CA172" s="53">
        <v>0</v>
      </c>
      <c r="CB172" s="53">
        <v>0</v>
      </c>
      <c r="CC172" s="55">
        <f>E172</f>
        <v>0</v>
      </c>
      <c r="CD172" s="55">
        <f>G172</f>
        <v>0</v>
      </c>
      <c r="CE172" s="55">
        <f>I172</f>
        <v>0</v>
      </c>
      <c r="CF172" s="55">
        <f>K172</f>
        <v>0</v>
      </c>
      <c r="CG172" s="55">
        <f>M172</f>
        <v>0</v>
      </c>
      <c r="CH172" s="55">
        <f>O172</f>
        <v>0</v>
      </c>
      <c r="CI172" s="55">
        <f>Q172</f>
        <v>0</v>
      </c>
      <c r="CJ172" s="55">
        <f>S172</f>
        <v>0</v>
      </c>
      <c r="CK172" s="55">
        <f>U172</f>
        <v>0</v>
      </c>
      <c r="CL172" s="55">
        <f>W172</f>
        <v>0</v>
      </c>
      <c r="CM172" s="55">
        <f>Y172</f>
        <v>0</v>
      </c>
      <c r="CN172" s="55">
        <f>AA172</f>
        <v>0</v>
      </c>
      <c r="CO172" s="55">
        <f>AC172</f>
        <v>0</v>
      </c>
      <c r="CP172" s="55">
        <f>AE172</f>
        <v>0</v>
      </c>
      <c r="CQ172" s="55">
        <f>AG172</f>
        <v>0</v>
      </c>
      <c r="CR172" s="55">
        <f>AI172</f>
        <v>0</v>
      </c>
      <c r="CS172" s="55">
        <f>AK172</f>
        <v>0</v>
      </c>
      <c r="CT172" s="55">
        <f>AM172</f>
        <v>0</v>
      </c>
      <c r="CU172" s="55">
        <f>AO172</f>
        <v>0</v>
      </c>
      <c r="CV172" s="55">
        <f>AQ172</f>
        <v>0</v>
      </c>
      <c r="CW172" s="55">
        <f>AS172</f>
        <v>0</v>
      </c>
      <c r="CX172" s="55">
        <f>AU172</f>
        <v>0</v>
      </c>
      <c r="CY172" s="55">
        <f>AW172</f>
        <v>0</v>
      </c>
      <c r="CZ172" s="56">
        <f>AY172</f>
        <v>0</v>
      </c>
      <c r="DA172" s="55">
        <f>BA172</f>
        <v>0</v>
      </c>
      <c r="DB172" s="55">
        <f>BC172</f>
        <v>0</v>
      </c>
      <c r="DC172" s="55">
        <f>BE172</f>
        <v>0</v>
      </c>
      <c r="DD172" s="55">
        <f>BG172</f>
        <v>0</v>
      </c>
      <c r="DE172" s="55">
        <f>BI172</f>
        <v>0</v>
      </c>
      <c r="DF172" s="55">
        <f>BK172</f>
        <v>0</v>
      </c>
      <c r="DG172" s="55">
        <f>BM172</f>
        <v>0</v>
      </c>
      <c r="DH172" s="55">
        <f>BO172</f>
        <v>0</v>
      </c>
      <c r="DI172" s="55">
        <f>BQ172</f>
        <v>0</v>
      </c>
    </row>
    <row r="173" spans="1:114" s="24" customFormat="1" outlineLevel="1">
      <c r="A173" s="1" t="s">
        <v>597</v>
      </c>
      <c r="B173" s="24" t="s">
        <v>168</v>
      </c>
      <c r="C173" s="81">
        <v>0</v>
      </c>
      <c r="D173" s="81">
        <v>0</v>
      </c>
      <c r="E173" s="81">
        <v>0</v>
      </c>
      <c r="F173" s="81">
        <v>0</v>
      </c>
      <c r="G173" s="81">
        <v>0</v>
      </c>
      <c r="H173" s="81">
        <v>0</v>
      </c>
      <c r="I173" s="81">
        <v>0</v>
      </c>
      <c r="J173" s="81">
        <v>0</v>
      </c>
      <c r="K173" s="81">
        <v>0</v>
      </c>
      <c r="L173" s="81">
        <v>0</v>
      </c>
      <c r="M173" s="81">
        <v>0</v>
      </c>
      <c r="N173" s="81">
        <v>0</v>
      </c>
      <c r="O173" s="81">
        <v>0</v>
      </c>
      <c r="P173" s="81">
        <v>0</v>
      </c>
      <c r="Q173" s="81">
        <v>0</v>
      </c>
      <c r="R173" s="81">
        <v>0</v>
      </c>
      <c r="S173" s="81">
        <v>0</v>
      </c>
      <c r="T173" s="81">
        <v>9519</v>
      </c>
      <c r="U173" s="81">
        <v>8674</v>
      </c>
      <c r="V173" s="81">
        <v>7561</v>
      </c>
      <c r="W173" s="81">
        <v>7879</v>
      </c>
      <c r="X173" s="81">
        <v>9051</v>
      </c>
      <c r="Y173" s="81">
        <v>10255</v>
      </c>
      <c r="Z173" s="81">
        <v>10707</v>
      </c>
      <c r="AA173" s="166">
        <v>13441</v>
      </c>
      <c r="AB173" s="166">
        <v>17026</v>
      </c>
      <c r="AC173" s="166">
        <v>17139</v>
      </c>
      <c r="AD173" s="166">
        <v>20437</v>
      </c>
      <c r="AE173" s="166">
        <v>21710</v>
      </c>
      <c r="AF173" s="166">
        <v>23781</v>
      </c>
      <c r="AG173" s="166">
        <v>23753</v>
      </c>
      <c r="AH173" s="166">
        <v>24122</v>
      </c>
      <c r="AI173" s="166">
        <v>24888</v>
      </c>
      <c r="AJ173" s="166">
        <v>24953</v>
      </c>
      <c r="AK173" s="166">
        <v>25075</v>
      </c>
      <c r="AL173" s="166">
        <v>24800</v>
      </c>
      <c r="AM173" s="166">
        <v>21157</v>
      </c>
      <c r="AN173" s="166">
        <v>19231</v>
      </c>
      <c r="AO173" s="166">
        <v>17912</v>
      </c>
      <c r="AP173" s="166">
        <v>15912</v>
      </c>
      <c r="AQ173" s="166">
        <v>16644</v>
      </c>
      <c r="AR173" s="166">
        <v>17096</v>
      </c>
      <c r="AS173" s="166">
        <v>17038</v>
      </c>
      <c r="AT173" s="166">
        <v>14635</v>
      </c>
      <c r="AU173" s="166">
        <v>14782</v>
      </c>
      <c r="AV173" s="166">
        <f>13919+802</f>
        <v>14721</v>
      </c>
      <c r="AW173" s="166">
        <f>15107</f>
        <v>15107</v>
      </c>
      <c r="AX173" s="166">
        <v>17967</v>
      </c>
      <c r="AY173" s="166">
        <v>19041</v>
      </c>
      <c r="AZ173" s="167">
        <v>18597</v>
      </c>
      <c r="BA173" s="82">
        <f t="shared" ref="BA173:BE173" si="1249">SUM(BA170:BA172)</f>
        <v>18722.076287776916</v>
      </c>
      <c r="BB173" s="82">
        <f t="shared" si="1249"/>
        <v>19992.357908028534</v>
      </c>
      <c r="BC173" s="82">
        <f t="shared" si="1249"/>
        <v>19946.660456015157</v>
      </c>
      <c r="BD173" s="82">
        <f t="shared" si="1249"/>
        <v>19812.665575068237</v>
      </c>
      <c r="BE173" s="82">
        <f t="shared" si="1249"/>
        <v>19689.154820007523</v>
      </c>
      <c r="BF173" s="82">
        <f t="shared" ref="BF173:BM173" si="1250">SUM(BF170:BF172)</f>
        <v>19575.536013688248</v>
      </c>
      <c r="BG173" s="82">
        <f t="shared" si="1250"/>
        <v>19232.431080337548</v>
      </c>
      <c r="BH173" s="82">
        <f t="shared" si="1250"/>
        <v>18915.56503616281</v>
      </c>
      <c r="BI173" s="82">
        <f t="shared" si="1250"/>
        <v>18622.483549132863</v>
      </c>
      <c r="BJ173" s="82">
        <f t="shared" si="1250"/>
        <v>18351.229118724674</v>
      </c>
      <c r="BK173" s="82">
        <f t="shared" si="1250"/>
        <v>18638.931987410546</v>
      </c>
      <c r="BL173" s="82">
        <f t="shared" si="1250"/>
        <v>18931.146179701067</v>
      </c>
      <c r="BM173" s="82">
        <f t="shared" si="1250"/>
        <v>19227.942452234915</v>
      </c>
      <c r="BN173" s="82">
        <f t="shared" ref="BN173:BO173" si="1251">SUM(BN170:BN172)</f>
        <v>19529.392671752546</v>
      </c>
      <c r="BO173" s="82">
        <f t="shared" si="1251"/>
        <v>19835.56983251941</v>
      </c>
      <c r="BP173" s="82">
        <f t="shared" ref="BP173:BQ173" si="1252">SUM(BP170:BP172)</f>
        <v>20146.548074022703</v>
      </c>
      <c r="BQ173" s="82">
        <f t="shared" si="1252"/>
        <v>20462.402698946094</v>
      </c>
      <c r="BR173" s="82"/>
      <c r="BS173" s="53">
        <v>0</v>
      </c>
      <c r="BT173" s="53">
        <v>0</v>
      </c>
      <c r="BU173" s="53">
        <v>0</v>
      </c>
      <c r="BV173" s="53">
        <v>0</v>
      </c>
      <c r="BW173" s="53">
        <v>0</v>
      </c>
      <c r="BX173" s="53">
        <v>0</v>
      </c>
      <c r="BY173" s="53">
        <v>0</v>
      </c>
      <c r="BZ173" s="53">
        <v>0</v>
      </c>
      <c r="CA173" s="53">
        <v>0</v>
      </c>
      <c r="CB173" s="53">
        <v>0</v>
      </c>
      <c r="CC173" s="82">
        <f>E173</f>
        <v>0</v>
      </c>
      <c r="CD173" s="82">
        <f>G173</f>
        <v>0</v>
      </c>
      <c r="CE173" s="82">
        <f>I173</f>
        <v>0</v>
      </c>
      <c r="CF173" s="82">
        <f>K173</f>
        <v>0</v>
      </c>
      <c r="CG173" s="82">
        <f>M173</f>
        <v>0</v>
      </c>
      <c r="CH173" s="82">
        <f>O173</f>
        <v>0</v>
      </c>
      <c r="CI173" s="82">
        <f>Q173</f>
        <v>0</v>
      </c>
      <c r="CJ173" s="82">
        <f>S173</f>
        <v>0</v>
      </c>
      <c r="CK173" s="82">
        <f>U173</f>
        <v>8674</v>
      </c>
      <c r="CL173" s="82">
        <f>W173</f>
        <v>7879</v>
      </c>
      <c r="CM173" s="82">
        <f>Y173</f>
        <v>10255</v>
      </c>
      <c r="CN173" s="82">
        <f>AA173</f>
        <v>13441</v>
      </c>
      <c r="CO173" s="82">
        <f>AC173</f>
        <v>17139</v>
      </c>
      <c r="CP173" s="82">
        <f>AE173</f>
        <v>21710</v>
      </c>
      <c r="CQ173" s="82">
        <f>AG173</f>
        <v>23753</v>
      </c>
      <c r="CR173" s="82">
        <f>AI173</f>
        <v>24888</v>
      </c>
      <c r="CS173" s="82">
        <f>AK173</f>
        <v>25075</v>
      </c>
      <c r="CT173" s="82">
        <f>AM173</f>
        <v>21157</v>
      </c>
      <c r="CU173" s="82">
        <f>AO173</f>
        <v>17912</v>
      </c>
      <c r="CV173" s="82">
        <f>AQ173</f>
        <v>16644</v>
      </c>
      <c r="CW173" s="82">
        <f>AS173</f>
        <v>17038</v>
      </c>
      <c r="CX173" s="82">
        <f>AU173</f>
        <v>14782</v>
      </c>
      <c r="CY173" s="82">
        <f>AW173</f>
        <v>15107</v>
      </c>
      <c r="CZ173" s="83">
        <f>AY173</f>
        <v>19041</v>
      </c>
      <c r="DA173" s="82">
        <f>BA173</f>
        <v>18722.076287776916</v>
      </c>
      <c r="DB173" s="82">
        <f>BC173</f>
        <v>19946.660456015157</v>
      </c>
      <c r="DC173" s="82">
        <f>BE173</f>
        <v>19689.154820007523</v>
      </c>
      <c r="DD173" s="82">
        <f>BG173</f>
        <v>19232.431080337548</v>
      </c>
      <c r="DE173" s="82">
        <f>BI173</f>
        <v>18622.483549132863</v>
      </c>
      <c r="DF173" s="82">
        <f>BK173</f>
        <v>18638.931987410546</v>
      </c>
      <c r="DG173" s="82">
        <f>BM173</f>
        <v>19227.942452234915</v>
      </c>
      <c r="DH173" s="82">
        <f>BO173</f>
        <v>19835.56983251941</v>
      </c>
      <c r="DI173" s="82">
        <f>BQ173</f>
        <v>20462.402698946094</v>
      </c>
    </row>
    <row r="174" spans="1:114" outlineLevel="1">
      <c r="C174" s="53"/>
      <c r="D174" s="53"/>
      <c r="E174" s="53"/>
      <c r="F174" s="53"/>
      <c r="G174" s="53"/>
      <c r="H174" s="53"/>
      <c r="I174" s="53"/>
      <c r="J174" s="53"/>
      <c r="K174" s="53"/>
      <c r="L174" s="53"/>
      <c r="M174" s="53"/>
      <c r="N174" s="53"/>
      <c r="O174" s="53"/>
      <c r="P174" s="53"/>
      <c r="Q174" s="53"/>
      <c r="R174" s="53"/>
      <c r="S174" s="53"/>
      <c r="T174" s="55"/>
      <c r="U174" s="55"/>
      <c r="V174" s="55"/>
      <c r="W174" s="55"/>
      <c r="X174" s="55"/>
      <c r="Y174" s="55"/>
      <c r="Z174" s="55"/>
      <c r="AA174" s="55"/>
      <c r="AB174" s="55"/>
      <c r="AC174" s="55"/>
      <c r="AD174" s="55"/>
      <c r="AE174" s="55"/>
      <c r="AF174" s="55"/>
      <c r="AG174" s="55"/>
      <c r="AH174" s="55"/>
      <c r="AI174" s="55"/>
      <c r="AJ174" s="55"/>
      <c r="AK174" s="55"/>
      <c r="AL174" s="55"/>
      <c r="AM174" s="55"/>
      <c r="AN174" s="55"/>
      <c r="AO174" s="55"/>
      <c r="AP174" s="55"/>
      <c r="AQ174" s="55"/>
      <c r="AR174" s="55"/>
      <c r="AS174" s="55"/>
      <c r="AT174" s="55"/>
      <c r="AU174" s="55"/>
      <c r="AV174" s="55"/>
      <c r="AW174" s="55"/>
      <c r="AX174" s="55"/>
      <c r="AY174" s="55"/>
      <c r="AZ174" s="56"/>
      <c r="BA174" s="55"/>
      <c r="BB174" s="55"/>
      <c r="BC174" s="55"/>
      <c r="BD174" s="55"/>
      <c r="BE174" s="55"/>
      <c r="BF174" s="55"/>
      <c r="BG174" s="55"/>
      <c r="BH174" s="55"/>
      <c r="BI174" s="55"/>
      <c r="BJ174" s="55"/>
      <c r="BK174" s="55"/>
      <c r="BL174" s="55"/>
      <c r="BM174" s="55"/>
      <c r="BN174" s="55"/>
      <c r="BO174" s="55"/>
      <c r="BP174" s="55"/>
      <c r="BQ174" s="55"/>
      <c r="BR174" s="55"/>
      <c r="BS174" s="55"/>
      <c r="BT174" s="55"/>
      <c r="BU174" s="55"/>
      <c r="BV174" s="55"/>
      <c r="BW174" s="55"/>
      <c r="BX174" s="55"/>
      <c r="BY174" s="55"/>
      <c r="BZ174" s="55"/>
      <c r="CA174" s="55"/>
      <c r="CB174" s="55"/>
      <c r="CC174" s="55"/>
      <c r="CD174" s="55"/>
      <c r="CE174" s="55"/>
      <c r="CF174" s="55"/>
      <c r="CG174" s="55"/>
      <c r="CH174" s="55"/>
      <c r="CI174" s="55"/>
      <c r="CJ174" s="55"/>
      <c r="CK174" s="55"/>
      <c r="CL174" s="55"/>
      <c r="CM174" s="55"/>
      <c r="CN174" s="55"/>
      <c r="CO174" s="55"/>
      <c r="CP174" s="55"/>
      <c r="CQ174" s="55"/>
      <c r="CR174" s="55"/>
      <c r="CS174" s="55"/>
      <c r="CT174" s="55"/>
      <c r="CU174" s="55"/>
      <c r="CV174" s="55"/>
      <c r="CW174" s="55"/>
      <c r="CX174" s="55"/>
      <c r="CY174" s="55"/>
      <c r="CZ174" s="56"/>
      <c r="DA174" s="55"/>
      <c r="DB174" s="55"/>
    </row>
    <row r="175" spans="1:114" outlineLevel="1">
      <c r="B175" s="24" t="s">
        <v>342</v>
      </c>
      <c r="C175" s="55"/>
      <c r="D175" s="55"/>
      <c r="E175" s="55"/>
      <c r="F175" s="55"/>
      <c r="G175" s="55"/>
      <c r="H175" s="55"/>
      <c r="I175" s="55"/>
      <c r="J175" s="55"/>
      <c r="K175" s="55"/>
      <c r="L175" s="55"/>
      <c r="M175" s="55"/>
      <c r="N175" s="55"/>
      <c r="O175" s="55"/>
      <c r="P175" s="55"/>
      <c r="Q175" s="55"/>
      <c r="R175" s="55"/>
      <c r="S175" s="55"/>
      <c r="T175" s="55"/>
      <c r="U175" s="55"/>
      <c r="V175" s="55"/>
      <c r="W175" s="55"/>
      <c r="X175" s="55"/>
      <c r="Y175" s="55"/>
      <c r="Z175" s="55"/>
      <c r="AA175" s="55"/>
      <c r="AB175" s="55"/>
      <c r="AC175" s="55"/>
      <c r="AD175" s="55"/>
      <c r="AE175" s="55"/>
      <c r="AF175" s="55"/>
      <c r="AG175" s="55"/>
      <c r="AH175" s="55"/>
      <c r="AI175" s="55"/>
      <c r="AJ175" s="55"/>
      <c r="AK175" s="55"/>
      <c r="AL175" s="55"/>
      <c r="AM175" s="55"/>
      <c r="AN175" s="55"/>
      <c r="AO175" s="55"/>
      <c r="AP175" s="45"/>
      <c r="AQ175" s="45"/>
      <c r="AR175" s="45"/>
      <c r="AS175" s="45"/>
      <c r="AT175" s="45"/>
      <c r="AU175" s="45"/>
      <c r="AV175" s="45"/>
      <c r="AW175" s="45"/>
      <c r="AX175" s="45"/>
      <c r="AY175" s="55"/>
      <c r="AZ175" s="56"/>
      <c r="BA175" s="55"/>
      <c r="BB175" s="55"/>
      <c r="BC175" s="55"/>
      <c r="BD175" s="55"/>
      <c r="BE175" s="55"/>
      <c r="BF175" s="55"/>
      <c r="BG175" s="55"/>
      <c r="BH175" s="55"/>
      <c r="BI175" s="55"/>
      <c r="BJ175" s="55"/>
      <c r="BK175" s="55"/>
      <c r="BL175" s="55"/>
      <c r="BM175" s="55"/>
      <c r="BN175" s="55"/>
      <c r="BO175" s="55"/>
      <c r="BP175" s="55"/>
      <c r="BQ175" s="55"/>
      <c r="BR175" s="55"/>
      <c r="BS175" s="55"/>
      <c r="BT175" s="55"/>
      <c r="BU175" s="55"/>
      <c r="BV175" s="55"/>
      <c r="BW175" s="55"/>
      <c r="BX175" s="55"/>
      <c r="BY175" s="55"/>
      <c r="BZ175" s="55"/>
      <c r="CA175" s="55"/>
      <c r="CB175" s="55"/>
      <c r="CC175" s="55"/>
      <c r="CD175" s="55"/>
      <c r="CE175" s="55"/>
      <c r="CF175" s="55"/>
      <c r="CG175" s="55"/>
      <c r="CH175" s="55"/>
      <c r="CI175" s="55"/>
      <c r="CJ175" s="55"/>
      <c r="CK175" s="55"/>
      <c r="CL175" s="55"/>
      <c r="CM175" s="55"/>
      <c r="CN175" s="55"/>
      <c r="CO175" s="55"/>
      <c r="CP175" s="55"/>
      <c r="CQ175" s="55"/>
      <c r="CR175" s="45"/>
      <c r="CS175" s="55"/>
      <c r="CT175" s="55"/>
      <c r="CU175" s="55"/>
      <c r="CV175" s="55"/>
      <c r="CW175" s="55"/>
      <c r="CX175" s="55"/>
      <c r="CY175" s="55"/>
      <c r="CZ175" s="56"/>
      <c r="DA175" s="55"/>
      <c r="DB175" s="55"/>
    </row>
    <row r="176" spans="1:114" outlineLevel="1">
      <c r="A176" s="1" t="s">
        <v>598</v>
      </c>
      <c r="B176" s="19" t="s">
        <v>164</v>
      </c>
      <c r="C176" s="55">
        <f t="shared" ref="C176:L176" si="1253">C157+C164+C170</f>
        <v>73511</v>
      </c>
      <c r="D176" s="55">
        <f t="shared" si="1253"/>
        <v>79745</v>
      </c>
      <c r="E176" s="55">
        <f t="shared" si="1253"/>
        <v>85838</v>
      </c>
      <c r="F176" s="55">
        <f t="shared" si="1253"/>
        <v>93545</v>
      </c>
      <c r="G176" s="55">
        <f t="shared" si="1253"/>
        <v>100203</v>
      </c>
      <c r="H176" s="55">
        <f t="shared" si="1253"/>
        <v>112228</v>
      </c>
      <c r="I176" s="55">
        <f t="shared" si="1253"/>
        <v>129455</v>
      </c>
      <c r="J176" s="55">
        <f t="shared" si="1253"/>
        <v>140649</v>
      </c>
      <c r="K176" s="55">
        <f t="shared" si="1253"/>
        <v>150678</v>
      </c>
      <c r="L176" s="55">
        <f t="shared" si="1253"/>
        <v>159339</v>
      </c>
      <c r="M176" s="55">
        <f t="shared" ref="M176:AB176" si="1254">M157+M164+M170</f>
        <v>167121</v>
      </c>
      <c r="N176" s="55">
        <f t="shared" si="1254"/>
        <v>176721</v>
      </c>
      <c r="O176" s="55">
        <f t="shared" si="1254"/>
        <v>192770</v>
      </c>
      <c r="P176" s="55">
        <f t="shared" si="1254"/>
        <v>203885</v>
      </c>
      <c r="Q176" s="55">
        <f t="shared" si="1254"/>
        <v>215743</v>
      </c>
      <c r="R176" s="55">
        <f t="shared" si="1254"/>
        <v>265694</v>
      </c>
      <c r="S176" s="55">
        <f t="shared" si="1254"/>
        <v>292206</v>
      </c>
      <c r="T176" s="55">
        <f t="shared" si="1254"/>
        <v>310822</v>
      </c>
      <c r="U176" s="55">
        <f t="shared" si="1254"/>
        <v>323573</v>
      </c>
      <c r="V176" s="55">
        <f t="shared" si="1254"/>
        <v>327704</v>
      </c>
      <c r="W176" s="55">
        <f t="shared" si="1254"/>
        <v>335841</v>
      </c>
      <c r="X176" s="55">
        <f t="shared" si="1254"/>
        <v>345622</v>
      </c>
      <c r="Y176" s="55">
        <f>Y157+Y164+Y170</f>
        <v>352981</v>
      </c>
      <c r="Z176" s="55">
        <f>Z157+Z164+Z170</f>
        <v>359058</v>
      </c>
      <c r="AA176" s="55">
        <f t="shared" si="1254"/>
        <v>372840</v>
      </c>
      <c r="AB176" s="55">
        <f t="shared" si="1254"/>
        <v>387021</v>
      </c>
      <c r="AC176" s="55">
        <f t="shared" ref="AC176:AK176" si="1255">AC157+AC164+AC170</f>
        <v>399685</v>
      </c>
      <c r="AD176" s="55">
        <f t="shared" si="1255"/>
        <v>411305</v>
      </c>
      <c r="AE176" s="55">
        <f t="shared" si="1255"/>
        <v>422851</v>
      </c>
      <c r="AF176" s="55">
        <f t="shared" si="1255"/>
        <v>437176</v>
      </c>
      <c r="AG176" s="55">
        <f t="shared" si="1255"/>
        <v>456074</v>
      </c>
      <c r="AH176" s="55">
        <f t="shared" si="1255"/>
        <v>472532</v>
      </c>
      <c r="AI176" s="55">
        <f t="shared" si="1255"/>
        <v>485857</v>
      </c>
      <c r="AJ176" s="55">
        <f t="shared" si="1255"/>
        <v>492688</v>
      </c>
      <c r="AK176" s="55">
        <f t="shared" si="1255"/>
        <v>501665</v>
      </c>
      <c r="AL176" s="55">
        <f t="shared" ref="AL176:AQ176" si="1256">AL157+AL164+AL170</f>
        <v>512505</v>
      </c>
      <c r="AM176" s="55">
        <f t="shared" si="1256"/>
        <v>522942</v>
      </c>
      <c r="AN176" s="55">
        <f t="shared" si="1256"/>
        <v>535090</v>
      </c>
      <c r="AO176" s="55">
        <f t="shared" si="1256"/>
        <v>542880</v>
      </c>
      <c r="AP176" s="55">
        <f t="shared" si="1256"/>
        <v>559318</v>
      </c>
      <c r="AQ176" s="55">
        <f t="shared" si="1256"/>
        <v>579756</v>
      </c>
      <c r="AR176" s="55">
        <f t="shared" ref="AR176" si="1257">AR157+AR164+AR170</f>
        <v>605910</v>
      </c>
      <c r="AS176" s="55">
        <f t="shared" ref="AS176:AT176" si="1258">AS157+AS164+AS170</f>
        <v>621993</v>
      </c>
      <c r="AT176" s="55">
        <f t="shared" si="1258"/>
        <v>639326</v>
      </c>
      <c r="AU176" s="55">
        <f t="shared" ref="AU176:AV176" si="1259">AU157+AU164+AU170</f>
        <v>652218</v>
      </c>
      <c r="AV176" s="55">
        <f t="shared" si="1259"/>
        <v>650460</v>
      </c>
      <c r="AW176" s="55">
        <f t="shared" ref="AW176:AX176" si="1260">AW157+AW164+AW170</f>
        <v>664701</v>
      </c>
      <c r="AX176" s="55">
        <f t="shared" si="1260"/>
        <v>685269</v>
      </c>
      <c r="AY176" s="55">
        <f t="shared" ref="AY176:BE176" si="1261">AY157+AY164+AY170</f>
        <v>707862</v>
      </c>
      <c r="AZ176" s="56">
        <f t="shared" ref="AZ176" si="1262">AZ157+AZ164+AZ170</f>
        <v>730188</v>
      </c>
      <c r="BA176" s="55">
        <f t="shared" si="1261"/>
        <v>758038.02942333743</v>
      </c>
      <c r="BB176" s="55">
        <f t="shared" si="1261"/>
        <v>775511.90609614272</v>
      </c>
      <c r="BC176" s="55">
        <f t="shared" si="1261"/>
        <v>796689.14061444392</v>
      </c>
      <c r="BD176" s="55">
        <f t="shared" si="1261"/>
        <v>818789.93179770338</v>
      </c>
      <c r="BE176" s="55">
        <f t="shared" si="1261"/>
        <v>840865.32496643218</v>
      </c>
      <c r="BF176" s="55">
        <f t="shared" ref="BF176:BM176" si="1263">BF157+BF164+BF170</f>
        <v>863606.28528253071</v>
      </c>
      <c r="BG176" s="55">
        <f t="shared" si="1263"/>
        <v>884040.90525898105</v>
      </c>
      <c r="BH176" s="55">
        <f t="shared" si="1263"/>
        <v>905024.72180188017</v>
      </c>
      <c r="BI176" s="55">
        <f t="shared" si="1263"/>
        <v>922413.39095958497</v>
      </c>
      <c r="BJ176" s="55">
        <f t="shared" si="1263"/>
        <v>940184.18728905101</v>
      </c>
      <c r="BK176" s="55">
        <f t="shared" si="1263"/>
        <v>959081.88945356093</v>
      </c>
      <c r="BL176" s="55">
        <f t="shared" si="1263"/>
        <v>978359.4354315775</v>
      </c>
      <c r="BM176" s="55">
        <f t="shared" si="1263"/>
        <v>998024.46008375229</v>
      </c>
      <c r="BN176" s="55">
        <f t="shared" ref="BN176:BO176" si="1264">BN157+BN164+BN170</f>
        <v>1018084.7517314358</v>
      </c>
      <c r="BO176" s="55">
        <f t="shared" si="1264"/>
        <v>1038548.2552412376</v>
      </c>
      <c r="BP176" s="55">
        <f t="shared" ref="BP176:BQ176" si="1265">BP157+BP164+BP170</f>
        <v>1059423.0751715866</v>
      </c>
      <c r="BQ176" s="55">
        <f t="shared" si="1265"/>
        <v>1080717.4789825352</v>
      </c>
      <c r="BR176" s="55"/>
      <c r="BS176" s="55">
        <f>9937.6+3418.8</f>
        <v>13356.400000000001</v>
      </c>
      <c r="BT176" s="55">
        <f>10592.1+4080.1</f>
        <v>14672.2</v>
      </c>
      <c r="BU176" s="55">
        <f>13167+4934</f>
        <v>18101</v>
      </c>
      <c r="BV176" s="55">
        <f t="shared" ref="BV176:CB176" si="1266">BV157+BV164+BV170</f>
        <v>30716</v>
      </c>
      <c r="BW176" s="55">
        <f t="shared" si="1266"/>
        <v>37201</v>
      </c>
      <c r="BX176" s="55">
        <f t="shared" si="1266"/>
        <v>43383</v>
      </c>
      <c r="BY176" s="55">
        <f t="shared" si="1266"/>
        <v>47410</v>
      </c>
      <c r="BZ176" s="55">
        <f t="shared" si="1266"/>
        <v>52646</v>
      </c>
      <c r="CA176" s="55">
        <f t="shared" si="1266"/>
        <v>70737</v>
      </c>
      <c r="CB176" s="55">
        <f t="shared" si="1266"/>
        <v>73511</v>
      </c>
      <c r="CC176" s="55">
        <f t="shared" ref="CC176:CC181" si="1267">E176</f>
        <v>85838</v>
      </c>
      <c r="CD176" s="55">
        <f t="shared" ref="CD176:CD181" si="1268">G176</f>
        <v>100203</v>
      </c>
      <c r="CE176" s="55">
        <f t="shared" ref="CE176:CE181" si="1269">I176</f>
        <v>129455</v>
      </c>
      <c r="CF176" s="55">
        <f t="shared" ref="CF176:CF181" si="1270">K176</f>
        <v>150678</v>
      </c>
      <c r="CG176" s="55">
        <f t="shared" ref="CG176:CG181" si="1271">M176</f>
        <v>167121</v>
      </c>
      <c r="CH176" s="55">
        <f t="shared" ref="CH176:CH181" si="1272">O176</f>
        <v>192770</v>
      </c>
      <c r="CI176" s="55">
        <f t="shared" ref="CI176:CI181" si="1273">Q176</f>
        <v>215743</v>
      </c>
      <c r="CJ176" s="55">
        <f t="shared" ref="CJ176:CJ181" si="1274">S176</f>
        <v>292206</v>
      </c>
      <c r="CK176" s="55">
        <f t="shared" ref="CK176:CK181" si="1275">U176</f>
        <v>323573</v>
      </c>
      <c r="CL176" s="55">
        <f t="shared" ref="CL176:CL181" si="1276">W176</f>
        <v>335841</v>
      </c>
      <c r="CM176" s="55">
        <f t="shared" ref="CM176:CM181" si="1277">Y176</f>
        <v>352981</v>
      </c>
      <c r="CN176" s="55">
        <f t="shared" ref="CN176:CN181" si="1278">AA176</f>
        <v>372840</v>
      </c>
      <c r="CO176" s="55">
        <f t="shared" ref="CO176:CO181" si="1279">AC176</f>
        <v>399685</v>
      </c>
      <c r="CP176" s="55">
        <f t="shared" ref="CP176:CP181" si="1280">AE176</f>
        <v>422851</v>
      </c>
      <c r="CQ176" s="55">
        <f t="shared" ref="CQ176:CQ181" si="1281">AG176</f>
        <v>456074</v>
      </c>
      <c r="CR176" s="55">
        <f t="shared" ref="CR176:CR181" si="1282">AI176</f>
        <v>485857</v>
      </c>
      <c r="CS176" s="55">
        <f t="shared" ref="CS176:CS181" si="1283">AK176</f>
        <v>501665</v>
      </c>
      <c r="CT176" s="55">
        <f t="shared" ref="CT176:CT181" si="1284">AM176</f>
        <v>522942</v>
      </c>
      <c r="CU176" s="55">
        <f t="shared" ref="CU176:CU181" si="1285">AO176</f>
        <v>542880</v>
      </c>
      <c r="CV176" s="55">
        <f t="shared" ref="CV176:CV181" si="1286">AQ176</f>
        <v>579756</v>
      </c>
      <c r="CW176" s="55">
        <f t="shared" ref="CW176:CW181" si="1287">AS176</f>
        <v>621993</v>
      </c>
      <c r="CX176" s="55">
        <f t="shared" ref="CX176:CX181" si="1288">AU176</f>
        <v>652218</v>
      </c>
      <c r="CY176" s="55">
        <f t="shared" ref="CY176:CY181" si="1289">AW176</f>
        <v>664701</v>
      </c>
      <c r="CZ176" s="56">
        <f t="shared" ref="CZ176:CZ181" si="1290">AY176</f>
        <v>707862</v>
      </c>
      <c r="DA176" s="55">
        <f t="shared" ref="DA176:DA181" si="1291">BA176</f>
        <v>758038.02942333743</v>
      </c>
      <c r="DB176" s="55">
        <f t="shared" ref="DB176:DB181" si="1292">BC176</f>
        <v>796689.14061444392</v>
      </c>
      <c r="DC176" s="55">
        <f t="shared" ref="DC176:DC181" si="1293">BE176</f>
        <v>840865.32496643218</v>
      </c>
      <c r="DD176" s="55">
        <f t="shared" ref="DD176:DD181" si="1294">BG176</f>
        <v>884040.90525898105</v>
      </c>
      <c r="DE176" s="55">
        <f t="shared" ref="DE176:DE181" si="1295">BI176</f>
        <v>922413.39095958497</v>
      </c>
      <c r="DF176" s="55">
        <f t="shared" ref="DF176:DF181" si="1296">BK176</f>
        <v>959081.88945356093</v>
      </c>
      <c r="DG176" s="55">
        <f t="shared" ref="DG176:DG181" si="1297">BM176</f>
        <v>998024.46008375229</v>
      </c>
      <c r="DH176" s="55">
        <f t="shared" ref="DH176:DH181" si="1298">BO176</f>
        <v>1038548.2552412376</v>
      </c>
      <c r="DI176" s="55">
        <f t="shared" ref="DI176:DI181" si="1299">BQ176</f>
        <v>1080717.4789825352</v>
      </c>
    </row>
    <row r="177" spans="1:113" outlineLevel="1">
      <c r="A177" s="1" t="s">
        <v>605</v>
      </c>
      <c r="B177" s="19" t="s">
        <v>343</v>
      </c>
      <c r="C177" s="55">
        <f t="shared" ref="C177:L177" si="1300">C178-C176</f>
        <v>64180</v>
      </c>
      <c r="D177" s="55">
        <f t="shared" si="1300"/>
        <v>63674</v>
      </c>
      <c r="E177" s="55">
        <f t="shared" si="1300"/>
        <v>62862</v>
      </c>
      <c r="F177" s="55">
        <f t="shared" si="1300"/>
        <v>62708</v>
      </c>
      <c r="G177" s="55">
        <f t="shared" si="1300"/>
        <v>61674</v>
      </c>
      <c r="H177" s="55">
        <f t="shared" si="1300"/>
        <v>65310</v>
      </c>
      <c r="I177" s="55">
        <f t="shared" si="1300"/>
        <v>61472</v>
      </c>
      <c r="J177" s="55">
        <f t="shared" si="1300"/>
        <v>73665</v>
      </c>
      <c r="K177" s="55">
        <f t="shared" si="1300"/>
        <v>79215</v>
      </c>
      <c r="L177" s="55">
        <f t="shared" si="1300"/>
        <v>87487</v>
      </c>
      <c r="M177" s="55">
        <f t="shared" ref="M177:AB177" si="1301">M178-M176</f>
        <v>93272</v>
      </c>
      <c r="N177" s="55">
        <f t="shared" si="1301"/>
        <v>102452</v>
      </c>
      <c r="O177" s="55">
        <f t="shared" si="1301"/>
        <v>123928</v>
      </c>
      <c r="P177" s="55">
        <f t="shared" si="1301"/>
        <v>140695</v>
      </c>
      <c r="Q177" s="55">
        <f t="shared" si="1301"/>
        <v>147252</v>
      </c>
      <c r="R177" s="55">
        <f t="shared" si="1301"/>
        <v>184204</v>
      </c>
      <c r="S177" s="55">
        <f t="shared" si="1301"/>
        <v>179349</v>
      </c>
      <c r="T177" s="55">
        <f t="shared" si="1301"/>
        <v>176441</v>
      </c>
      <c r="U177" s="55">
        <f t="shared" si="1301"/>
        <v>175314</v>
      </c>
      <c r="V177" s="55">
        <f t="shared" si="1301"/>
        <v>169649</v>
      </c>
      <c r="W177" s="55">
        <f t="shared" si="1301"/>
        <v>169363</v>
      </c>
      <c r="X177" s="55">
        <f t="shared" si="1301"/>
        <v>172546</v>
      </c>
      <c r="Y177" s="55">
        <f>Y178-Y176</f>
        <v>177528</v>
      </c>
      <c r="Z177" s="55">
        <f>Z178-Z176</f>
        <v>180272</v>
      </c>
      <c r="AA177" s="55">
        <f t="shared" si="1301"/>
        <v>188264</v>
      </c>
      <c r="AB177" s="55">
        <f t="shared" si="1301"/>
        <v>198411</v>
      </c>
      <c r="AC177" s="55">
        <f t="shared" ref="AC177:AK177" si="1302">AC178-AC176</f>
        <v>201961</v>
      </c>
      <c r="AD177" s="55">
        <f t="shared" si="1302"/>
        <v>212883</v>
      </c>
      <c r="AE177" s="55">
        <f t="shared" si="1302"/>
        <v>220029</v>
      </c>
      <c r="AF177" s="55">
        <f t="shared" si="1302"/>
        <v>235650</v>
      </c>
      <c r="AG177" s="55">
        <f t="shared" si="1302"/>
        <v>243042</v>
      </c>
      <c r="AH177" s="55">
        <f t="shared" si="1302"/>
        <v>244162</v>
      </c>
      <c r="AI177" s="55">
        <f t="shared" si="1302"/>
        <v>249598</v>
      </c>
      <c r="AJ177" s="55">
        <f t="shared" si="1302"/>
        <v>247351</v>
      </c>
      <c r="AK177" s="55">
        <f t="shared" si="1302"/>
        <v>245305</v>
      </c>
      <c r="AL177" s="55">
        <f t="shared" ref="AL177:AQ177" si="1303">AL178-AL176</f>
        <v>245729</v>
      </c>
      <c r="AM177" s="55">
        <f t="shared" si="1303"/>
        <v>236946</v>
      </c>
      <c r="AN177" s="55">
        <f t="shared" si="1303"/>
        <v>235313</v>
      </c>
      <c r="AO177" s="55">
        <f t="shared" si="1303"/>
        <v>236344</v>
      </c>
      <c r="AP177" s="55">
        <f t="shared" si="1303"/>
        <v>234303</v>
      </c>
      <c r="AQ177" s="55">
        <f t="shared" si="1303"/>
        <v>237700</v>
      </c>
      <c r="AR177" s="55">
        <f t="shared" ref="AR177" si="1304">AR178-AR176</f>
        <v>243794</v>
      </c>
      <c r="AS177" s="55">
        <f t="shared" ref="AS177:AT177" si="1305">AS178-AS176</f>
        <v>262091</v>
      </c>
      <c r="AT177" s="55">
        <f t="shared" si="1305"/>
        <v>272402</v>
      </c>
      <c r="AU177" s="55">
        <f t="shared" ref="AU177:AV177" si="1306">AU178-AU176</f>
        <v>279655</v>
      </c>
      <c r="AV177" s="55">
        <f t="shared" si="1306"/>
        <v>277539</v>
      </c>
      <c r="AW177" s="55">
        <f t="shared" ref="AW177:AX177" si="1307">AW178-AW176</f>
        <v>283421</v>
      </c>
      <c r="AX177" s="55">
        <f t="shared" si="1307"/>
        <v>290164</v>
      </c>
      <c r="AY177" s="55">
        <f t="shared" ref="AY177:BE177" si="1308">AY178-AY176</f>
        <v>306067</v>
      </c>
      <c r="AZ177" s="56">
        <f t="shared" ref="AZ177" si="1309">AZ178-AZ176</f>
        <v>316838</v>
      </c>
      <c r="BA177" s="55">
        <f t="shared" si="1308"/>
        <v>331496.20591052272</v>
      </c>
      <c r="BB177" s="55">
        <f t="shared" si="1308"/>
        <v>341142.36248169234</v>
      </c>
      <c r="BC177" s="55">
        <f t="shared" si="1308"/>
        <v>349578.97900381591</v>
      </c>
      <c r="BD177" s="55">
        <f t="shared" si="1308"/>
        <v>355381.07917508169</v>
      </c>
      <c r="BE177" s="55">
        <f t="shared" si="1308"/>
        <v>361014.87661798613</v>
      </c>
      <c r="BF177" s="55">
        <f t="shared" ref="BF177:BM177" si="1310">BF178-BF176</f>
        <v>366788.95615711564</v>
      </c>
      <c r="BG177" s="55">
        <f t="shared" si="1310"/>
        <v>372545.75741557963</v>
      </c>
      <c r="BH177" s="55">
        <f t="shared" si="1310"/>
        <v>378469.79997836228</v>
      </c>
      <c r="BI177" s="55">
        <f t="shared" si="1310"/>
        <v>384559.58125686354</v>
      </c>
      <c r="BJ177" s="55">
        <f t="shared" si="1310"/>
        <v>390814.11775595928</v>
      </c>
      <c r="BK177" s="55">
        <f t="shared" si="1310"/>
        <v>398085.00499913294</v>
      </c>
      <c r="BL177" s="55">
        <f t="shared" si="1310"/>
        <v>405495.32765715779</v>
      </c>
      <c r="BM177" s="55">
        <f t="shared" si="1310"/>
        <v>413047.80954037805</v>
      </c>
      <c r="BN177" s="55">
        <f t="shared" ref="BN177:BO177" si="1311">BN178-BN176</f>
        <v>420745.22825544677</v>
      </c>
      <c r="BO177" s="55">
        <f t="shared" si="1311"/>
        <v>428590.4162747697</v>
      </c>
      <c r="BP177" s="55">
        <f t="shared" ref="BP177:BQ177" si="1312">BP178-BP176</f>
        <v>436586.26202728972</v>
      </c>
      <c r="BQ177" s="55">
        <f t="shared" si="1312"/>
        <v>444735.71101104422</v>
      </c>
      <c r="BR177" s="55"/>
      <c r="BS177" s="55">
        <f t="shared" ref="BS177:CB177" si="1313">BS178-BS176</f>
        <v>45997.8</v>
      </c>
      <c r="BT177" s="55">
        <f t="shared" si="1313"/>
        <v>44371.599999999991</v>
      </c>
      <c r="BU177" s="55">
        <f t="shared" si="1313"/>
        <v>41000.5</v>
      </c>
      <c r="BV177" s="55">
        <f t="shared" si="1313"/>
        <v>32965</v>
      </c>
      <c r="BW177" s="55">
        <f t="shared" si="1313"/>
        <v>33764</v>
      </c>
      <c r="BX177" s="55">
        <f t="shared" si="1313"/>
        <v>39180</v>
      </c>
      <c r="BY177" s="55">
        <f t="shared" si="1313"/>
        <v>43761</v>
      </c>
      <c r="BZ177" s="55">
        <f t="shared" si="1313"/>
        <v>50547</v>
      </c>
      <c r="CA177" s="55">
        <f t="shared" si="1313"/>
        <v>63315</v>
      </c>
      <c r="CB177" s="55">
        <f t="shared" si="1313"/>
        <v>64180</v>
      </c>
      <c r="CC177" s="55">
        <f t="shared" si="1267"/>
        <v>62862</v>
      </c>
      <c r="CD177" s="55">
        <f t="shared" si="1268"/>
        <v>61674</v>
      </c>
      <c r="CE177" s="55">
        <f t="shared" si="1269"/>
        <v>61472</v>
      </c>
      <c r="CF177" s="55">
        <f t="shared" si="1270"/>
        <v>79215</v>
      </c>
      <c r="CG177" s="55">
        <f t="shared" si="1271"/>
        <v>93272</v>
      </c>
      <c r="CH177" s="55">
        <f t="shared" si="1272"/>
        <v>123928</v>
      </c>
      <c r="CI177" s="55">
        <f t="shared" si="1273"/>
        <v>147252</v>
      </c>
      <c r="CJ177" s="55">
        <f t="shared" si="1274"/>
        <v>179349</v>
      </c>
      <c r="CK177" s="55">
        <f t="shared" si="1275"/>
        <v>175314</v>
      </c>
      <c r="CL177" s="55">
        <f t="shared" si="1276"/>
        <v>169363</v>
      </c>
      <c r="CM177" s="55">
        <f t="shared" si="1277"/>
        <v>177528</v>
      </c>
      <c r="CN177" s="55">
        <f t="shared" si="1278"/>
        <v>188264</v>
      </c>
      <c r="CO177" s="55">
        <f t="shared" si="1279"/>
        <v>201961</v>
      </c>
      <c r="CP177" s="55">
        <f t="shared" si="1280"/>
        <v>220029</v>
      </c>
      <c r="CQ177" s="55">
        <f t="shared" si="1281"/>
        <v>243042</v>
      </c>
      <c r="CR177" s="55">
        <f t="shared" si="1282"/>
        <v>249598</v>
      </c>
      <c r="CS177" s="55">
        <f t="shared" si="1283"/>
        <v>245305</v>
      </c>
      <c r="CT177" s="55">
        <f t="shared" si="1284"/>
        <v>236946</v>
      </c>
      <c r="CU177" s="55">
        <f t="shared" si="1285"/>
        <v>236344</v>
      </c>
      <c r="CV177" s="55">
        <f t="shared" si="1286"/>
        <v>237700</v>
      </c>
      <c r="CW177" s="55">
        <f t="shared" si="1287"/>
        <v>262091</v>
      </c>
      <c r="CX177" s="55">
        <f t="shared" si="1288"/>
        <v>279655</v>
      </c>
      <c r="CY177" s="55">
        <f t="shared" si="1289"/>
        <v>283421</v>
      </c>
      <c r="CZ177" s="56">
        <f t="shared" si="1290"/>
        <v>306067</v>
      </c>
      <c r="DA177" s="55">
        <f t="shared" si="1291"/>
        <v>331496.20591052272</v>
      </c>
      <c r="DB177" s="55">
        <f t="shared" si="1292"/>
        <v>349578.97900381591</v>
      </c>
      <c r="DC177" s="55">
        <f t="shared" si="1293"/>
        <v>361014.87661798613</v>
      </c>
      <c r="DD177" s="55">
        <f t="shared" si="1294"/>
        <v>372545.75741557963</v>
      </c>
      <c r="DE177" s="55">
        <f t="shared" si="1295"/>
        <v>384559.58125686354</v>
      </c>
      <c r="DF177" s="55">
        <f t="shared" si="1296"/>
        <v>398085.00499913294</v>
      </c>
      <c r="DG177" s="55">
        <f t="shared" si="1297"/>
        <v>413047.80954037805</v>
      </c>
      <c r="DH177" s="55">
        <f t="shared" si="1298"/>
        <v>428590.4162747697</v>
      </c>
      <c r="DI177" s="55">
        <f t="shared" si="1299"/>
        <v>444735.71101104422</v>
      </c>
    </row>
    <row r="178" spans="1:113" s="24" customFormat="1" outlineLevel="1">
      <c r="A178" s="1" t="s">
        <v>606</v>
      </c>
      <c r="B178" s="24" t="s">
        <v>168</v>
      </c>
      <c r="C178" s="82">
        <f t="shared" ref="C178:L178" si="1314">C161+C167+C173</f>
        <v>137691</v>
      </c>
      <c r="D178" s="82">
        <f t="shared" si="1314"/>
        <v>143419</v>
      </c>
      <c r="E178" s="82">
        <f t="shared" si="1314"/>
        <v>148700</v>
      </c>
      <c r="F178" s="82">
        <f t="shared" si="1314"/>
        <v>156253</v>
      </c>
      <c r="G178" s="82">
        <f t="shared" si="1314"/>
        <v>161877</v>
      </c>
      <c r="H178" s="82">
        <f t="shared" si="1314"/>
        <v>177538</v>
      </c>
      <c r="I178" s="82">
        <f t="shared" si="1314"/>
        <v>190927</v>
      </c>
      <c r="J178" s="82">
        <f t="shared" si="1314"/>
        <v>214314</v>
      </c>
      <c r="K178" s="82">
        <f t="shared" si="1314"/>
        <v>229893</v>
      </c>
      <c r="L178" s="82">
        <f t="shared" si="1314"/>
        <v>246826</v>
      </c>
      <c r="M178" s="82">
        <f t="shared" ref="M178:AB178" si="1315">M161+M167+M173</f>
        <v>260393</v>
      </c>
      <c r="N178" s="82">
        <f t="shared" si="1315"/>
        <v>279173</v>
      </c>
      <c r="O178" s="82">
        <f t="shared" si="1315"/>
        <v>316698</v>
      </c>
      <c r="P178" s="82">
        <f t="shared" si="1315"/>
        <v>344580</v>
      </c>
      <c r="Q178" s="82">
        <f t="shared" si="1315"/>
        <v>362995</v>
      </c>
      <c r="R178" s="82">
        <f t="shared" si="1315"/>
        <v>449898</v>
      </c>
      <c r="S178" s="82">
        <f t="shared" si="1315"/>
        <v>471555</v>
      </c>
      <c r="T178" s="82">
        <f t="shared" si="1315"/>
        <v>487263</v>
      </c>
      <c r="U178" s="82">
        <f t="shared" si="1315"/>
        <v>498887</v>
      </c>
      <c r="V178" s="82">
        <f t="shared" si="1315"/>
        <v>497353</v>
      </c>
      <c r="W178" s="82">
        <f t="shared" si="1315"/>
        <v>505204</v>
      </c>
      <c r="X178" s="82">
        <f t="shared" si="1315"/>
        <v>518168</v>
      </c>
      <c r="Y178" s="82">
        <f>Y161+Y167+Y173</f>
        <v>530509</v>
      </c>
      <c r="Z178" s="82">
        <f>Z161+Z167+Z173</f>
        <v>539330</v>
      </c>
      <c r="AA178" s="82">
        <f t="shared" si="1315"/>
        <v>561104</v>
      </c>
      <c r="AB178" s="82">
        <f t="shared" si="1315"/>
        <v>585432</v>
      </c>
      <c r="AC178" s="82">
        <f t="shared" ref="AC178:AK178" si="1316">AC161+AC167+AC173</f>
        <v>601646</v>
      </c>
      <c r="AD178" s="82">
        <f t="shared" si="1316"/>
        <v>624188</v>
      </c>
      <c r="AE178" s="82">
        <f t="shared" si="1316"/>
        <v>642880</v>
      </c>
      <c r="AF178" s="82">
        <f t="shared" si="1316"/>
        <v>672826</v>
      </c>
      <c r="AG178" s="82">
        <f t="shared" si="1316"/>
        <v>699116</v>
      </c>
      <c r="AH178" s="82">
        <f t="shared" si="1316"/>
        <v>716694</v>
      </c>
      <c r="AI178" s="82">
        <f t="shared" si="1316"/>
        <v>735455</v>
      </c>
      <c r="AJ178" s="82">
        <f t="shared" si="1316"/>
        <v>740039</v>
      </c>
      <c r="AK178" s="82">
        <f t="shared" si="1316"/>
        <v>746970</v>
      </c>
      <c r="AL178" s="82">
        <f t="shared" ref="AL178:AQ178" si="1317">AL161+AL167+AL173</f>
        <v>758234</v>
      </c>
      <c r="AM178" s="82">
        <f t="shared" si="1317"/>
        <v>759888</v>
      </c>
      <c r="AN178" s="82">
        <f t="shared" si="1317"/>
        <v>770403</v>
      </c>
      <c r="AO178" s="82">
        <f t="shared" si="1317"/>
        <v>779224</v>
      </c>
      <c r="AP178" s="82">
        <f t="shared" si="1317"/>
        <v>793621</v>
      </c>
      <c r="AQ178" s="82">
        <f t="shared" si="1317"/>
        <v>817456</v>
      </c>
      <c r="AR178" s="82">
        <f t="shared" ref="AR178" si="1318">AR161+AR167+AR173</f>
        <v>849704</v>
      </c>
      <c r="AS178" s="82">
        <f t="shared" ref="AS178:AT178" si="1319">AS161+AS167+AS173</f>
        <v>884084</v>
      </c>
      <c r="AT178" s="82">
        <f t="shared" si="1319"/>
        <v>911728</v>
      </c>
      <c r="AU178" s="82">
        <f t="shared" ref="AU178:AV178" si="1320">AU161+AU167+AU173</f>
        <v>931873</v>
      </c>
      <c r="AV178" s="82">
        <f t="shared" si="1320"/>
        <v>927999</v>
      </c>
      <c r="AW178" s="82">
        <f t="shared" ref="AW178:AX178" si="1321">AW161+AW167+AW173</f>
        <v>948122</v>
      </c>
      <c r="AX178" s="82">
        <f t="shared" si="1321"/>
        <v>975433</v>
      </c>
      <c r="AY178" s="82">
        <f t="shared" ref="AY178:BE178" si="1322">AY161+AY167+AY173</f>
        <v>1013929</v>
      </c>
      <c r="AZ178" s="83">
        <f t="shared" ref="AZ178" si="1323">AZ161+AZ167+AZ173</f>
        <v>1047026</v>
      </c>
      <c r="BA178" s="82">
        <f t="shared" si="1322"/>
        <v>1089534.2353338602</v>
      </c>
      <c r="BB178" s="82">
        <f t="shared" si="1322"/>
        <v>1116654.2685778351</v>
      </c>
      <c r="BC178" s="82">
        <f t="shared" si="1322"/>
        <v>1146268.1196182598</v>
      </c>
      <c r="BD178" s="82">
        <f t="shared" si="1322"/>
        <v>1174171.0109727851</v>
      </c>
      <c r="BE178" s="82">
        <f t="shared" si="1322"/>
        <v>1201880.2015844183</v>
      </c>
      <c r="BF178" s="82">
        <f t="shared" ref="BF178:BM178" si="1324">BF161+BF167+BF173</f>
        <v>1230395.2414396463</v>
      </c>
      <c r="BG178" s="82">
        <f t="shared" si="1324"/>
        <v>1256586.6626745607</v>
      </c>
      <c r="BH178" s="82">
        <f t="shared" si="1324"/>
        <v>1283494.5217802424</v>
      </c>
      <c r="BI178" s="82">
        <f t="shared" si="1324"/>
        <v>1306972.9722164485</v>
      </c>
      <c r="BJ178" s="82">
        <f t="shared" si="1324"/>
        <v>1330998.3050450103</v>
      </c>
      <c r="BK178" s="82">
        <f t="shared" si="1324"/>
        <v>1357166.8944526939</v>
      </c>
      <c r="BL178" s="82">
        <f t="shared" si="1324"/>
        <v>1383854.7630887353</v>
      </c>
      <c r="BM178" s="82">
        <f t="shared" si="1324"/>
        <v>1411072.2696241303</v>
      </c>
      <c r="BN178" s="82">
        <f t="shared" ref="BN178:BO178" si="1325">BN161+BN167+BN173</f>
        <v>1438829.9799868825</v>
      </c>
      <c r="BO178" s="82">
        <f t="shared" si="1325"/>
        <v>1467138.6715160073</v>
      </c>
      <c r="BP178" s="82">
        <f t="shared" ref="BP178:BQ178" si="1326">BP161+BP167+BP173</f>
        <v>1496009.3371988763</v>
      </c>
      <c r="BQ178" s="82">
        <f t="shared" si="1326"/>
        <v>1525453.1899935794</v>
      </c>
      <c r="BR178" s="82"/>
      <c r="BS178" s="82">
        <f t="shared" ref="BS178:CB178" si="1327">BS161+BS167+BS173</f>
        <v>59354.200000000004</v>
      </c>
      <c r="BT178" s="82">
        <f t="shared" si="1327"/>
        <v>59043.799999999996</v>
      </c>
      <c r="BU178" s="82">
        <f t="shared" si="1327"/>
        <v>59101.5</v>
      </c>
      <c r="BV178" s="82">
        <f t="shared" si="1327"/>
        <v>63681</v>
      </c>
      <c r="BW178" s="82">
        <f t="shared" si="1327"/>
        <v>70965</v>
      </c>
      <c r="BX178" s="82">
        <f t="shared" si="1327"/>
        <v>82563</v>
      </c>
      <c r="BY178" s="82">
        <f t="shared" si="1327"/>
        <v>91171</v>
      </c>
      <c r="BZ178" s="82">
        <f t="shared" si="1327"/>
        <v>103193</v>
      </c>
      <c r="CA178" s="82">
        <f t="shared" si="1327"/>
        <v>134052</v>
      </c>
      <c r="CB178" s="82">
        <f t="shared" si="1327"/>
        <v>137691</v>
      </c>
      <c r="CC178" s="82">
        <f t="shared" si="1267"/>
        <v>148700</v>
      </c>
      <c r="CD178" s="82">
        <f t="shared" si="1268"/>
        <v>161877</v>
      </c>
      <c r="CE178" s="82">
        <f t="shared" si="1269"/>
        <v>190927</v>
      </c>
      <c r="CF178" s="82">
        <f t="shared" si="1270"/>
        <v>229893</v>
      </c>
      <c r="CG178" s="82">
        <f t="shared" si="1271"/>
        <v>260393</v>
      </c>
      <c r="CH178" s="82">
        <f t="shared" si="1272"/>
        <v>316698</v>
      </c>
      <c r="CI178" s="82">
        <f t="shared" si="1273"/>
        <v>362995</v>
      </c>
      <c r="CJ178" s="82">
        <f t="shared" si="1274"/>
        <v>471555</v>
      </c>
      <c r="CK178" s="82">
        <f t="shared" si="1275"/>
        <v>498887</v>
      </c>
      <c r="CL178" s="82">
        <f t="shared" si="1276"/>
        <v>505204</v>
      </c>
      <c r="CM178" s="82">
        <f t="shared" si="1277"/>
        <v>530509</v>
      </c>
      <c r="CN178" s="82">
        <f t="shared" si="1278"/>
        <v>561104</v>
      </c>
      <c r="CO178" s="82">
        <f t="shared" si="1279"/>
        <v>601646</v>
      </c>
      <c r="CP178" s="82">
        <f t="shared" si="1280"/>
        <v>642880</v>
      </c>
      <c r="CQ178" s="82">
        <f t="shared" si="1281"/>
        <v>699116</v>
      </c>
      <c r="CR178" s="82">
        <f t="shared" si="1282"/>
        <v>735455</v>
      </c>
      <c r="CS178" s="82">
        <f t="shared" si="1283"/>
        <v>746970</v>
      </c>
      <c r="CT178" s="82">
        <f t="shared" si="1284"/>
        <v>759888</v>
      </c>
      <c r="CU178" s="82">
        <f t="shared" si="1285"/>
        <v>779224</v>
      </c>
      <c r="CV178" s="82">
        <f t="shared" si="1286"/>
        <v>817456</v>
      </c>
      <c r="CW178" s="82">
        <f t="shared" si="1287"/>
        <v>884084</v>
      </c>
      <c r="CX178" s="82">
        <f t="shared" si="1288"/>
        <v>931873</v>
      </c>
      <c r="CY178" s="82">
        <f t="shared" si="1289"/>
        <v>948122</v>
      </c>
      <c r="CZ178" s="83">
        <f t="shared" si="1290"/>
        <v>1013929</v>
      </c>
      <c r="DA178" s="82">
        <f t="shared" si="1291"/>
        <v>1089534.2353338602</v>
      </c>
      <c r="DB178" s="82">
        <f t="shared" si="1292"/>
        <v>1146268.1196182598</v>
      </c>
      <c r="DC178" s="82">
        <f t="shared" si="1293"/>
        <v>1201880.2015844183</v>
      </c>
      <c r="DD178" s="82">
        <f t="shared" si="1294"/>
        <v>1256586.6626745607</v>
      </c>
      <c r="DE178" s="82">
        <f t="shared" si="1295"/>
        <v>1306972.9722164485</v>
      </c>
      <c r="DF178" s="82">
        <f t="shared" si="1296"/>
        <v>1357166.8944526939</v>
      </c>
      <c r="DG178" s="82">
        <f t="shared" si="1297"/>
        <v>1411072.2696241303</v>
      </c>
      <c r="DH178" s="82">
        <f t="shared" si="1298"/>
        <v>1467138.6715160073</v>
      </c>
      <c r="DI178" s="82">
        <f t="shared" si="1299"/>
        <v>1525453.1899935794</v>
      </c>
    </row>
    <row r="179" spans="1:113" outlineLevel="1">
      <c r="A179" s="1" t="s">
        <v>607</v>
      </c>
      <c r="B179" s="19" t="s">
        <v>344</v>
      </c>
      <c r="C179" s="53">
        <v>12075</v>
      </c>
      <c r="D179" s="53">
        <v>11865</v>
      </c>
      <c r="E179" s="53">
        <v>12517</v>
      </c>
      <c r="F179" s="53">
        <v>12831</v>
      </c>
      <c r="G179" s="53">
        <v>13197</v>
      </c>
      <c r="H179" s="53">
        <v>13734</v>
      </c>
      <c r="I179" s="53">
        <v>15019</v>
      </c>
      <c r="J179" s="53">
        <v>16297</v>
      </c>
      <c r="K179" s="53">
        <v>16786</v>
      </c>
      <c r="L179" s="53">
        <v>17263</v>
      </c>
      <c r="M179" s="53">
        <v>18310</v>
      </c>
      <c r="N179" s="53">
        <v>18395</v>
      </c>
      <c r="O179" s="53">
        <v>18721</v>
      </c>
      <c r="P179" s="53">
        <v>19805</v>
      </c>
      <c r="Q179" s="53">
        <v>18278</v>
      </c>
      <c r="R179" s="53">
        <v>14732</v>
      </c>
      <c r="S179" s="53">
        <v>14728</v>
      </c>
      <c r="T179" s="53">
        <f>(500644-1197-1224)-T178-T180</f>
        <v>10960</v>
      </c>
      <c r="U179" s="53">
        <f>(512838-1213-1169)-U178-U180</f>
        <v>11569</v>
      </c>
      <c r="V179" s="53">
        <f>(509779-1183-1097)-V178-V180</f>
        <v>10146</v>
      </c>
      <c r="W179" s="53">
        <f>515938-W178-W180</f>
        <v>10734</v>
      </c>
      <c r="X179" s="53">
        <v>10732</v>
      </c>
      <c r="Y179" s="53">
        <v>9717</v>
      </c>
      <c r="Z179" s="53">
        <v>8155</v>
      </c>
      <c r="AA179" s="164">
        <v>6063</v>
      </c>
      <c r="AB179" s="164">
        <v>4807</v>
      </c>
      <c r="AC179" s="164">
        <v>5027</v>
      </c>
      <c r="AD179" s="164">
        <v>2026</v>
      </c>
      <c r="AE179" s="164">
        <v>1944</v>
      </c>
      <c r="AF179" s="164">
        <v>1640</v>
      </c>
      <c r="AG179" s="164">
        <v>1431</v>
      </c>
      <c r="AH179" s="164">
        <v>1440</v>
      </c>
      <c r="AI179" s="164">
        <v>463</v>
      </c>
      <c r="AJ179" s="164">
        <v>222</v>
      </c>
      <c r="AK179" s="164">
        <v>379</v>
      </c>
      <c r="AL179" s="164">
        <v>53</v>
      </c>
      <c r="AM179" s="164">
        <v>32</v>
      </c>
      <c r="AN179" s="164">
        <v>0</v>
      </c>
      <c r="AO179" s="164">
        <v>0</v>
      </c>
      <c r="AP179" s="164">
        <v>0</v>
      </c>
      <c r="AQ179" s="164">
        <v>0</v>
      </c>
      <c r="AR179" s="164">
        <v>0</v>
      </c>
      <c r="AS179" s="164">
        <v>0</v>
      </c>
      <c r="AT179" s="164">
        <v>0</v>
      </c>
      <c r="AU179" s="164">
        <v>0</v>
      </c>
      <c r="AV179" s="164">
        <v>0</v>
      </c>
      <c r="AW179" s="164">
        <v>0</v>
      </c>
      <c r="AX179" s="164">
        <v>0</v>
      </c>
      <c r="AY179" s="164">
        <v>0</v>
      </c>
      <c r="AZ179" s="171">
        <v>0</v>
      </c>
      <c r="BA179" s="55">
        <f t="shared" ref="BA179:BE179" si="1328">AZ179*(1+BA53)</f>
        <v>0</v>
      </c>
      <c r="BB179" s="55">
        <f t="shared" si="1328"/>
        <v>0</v>
      </c>
      <c r="BC179" s="55">
        <f t="shared" si="1328"/>
        <v>0</v>
      </c>
      <c r="BD179" s="55">
        <f t="shared" si="1328"/>
        <v>0</v>
      </c>
      <c r="BE179" s="55">
        <f t="shared" si="1328"/>
        <v>0</v>
      </c>
      <c r="BF179" s="55">
        <f t="shared" ref="BF179:BM179" si="1329">BE179*(1+BF53)</f>
        <v>0</v>
      </c>
      <c r="BG179" s="55">
        <f t="shared" si="1329"/>
        <v>0</v>
      </c>
      <c r="BH179" s="55">
        <f t="shared" si="1329"/>
        <v>0</v>
      </c>
      <c r="BI179" s="55">
        <f t="shared" si="1329"/>
        <v>0</v>
      </c>
      <c r="BJ179" s="55">
        <f t="shared" si="1329"/>
        <v>0</v>
      </c>
      <c r="BK179" s="55">
        <f t="shared" si="1329"/>
        <v>0</v>
      </c>
      <c r="BL179" s="55">
        <f t="shared" si="1329"/>
        <v>0</v>
      </c>
      <c r="BM179" s="55">
        <f t="shared" si="1329"/>
        <v>0</v>
      </c>
      <c r="BN179" s="55">
        <f t="shared" ref="BN179" si="1330">BM179*(1+BN53)</f>
        <v>0</v>
      </c>
      <c r="BO179" s="55">
        <f t="shared" ref="BO179" si="1331">BN179*(1+BO53)</f>
        <v>0</v>
      </c>
      <c r="BP179" s="55">
        <f t="shared" ref="BP179" si="1332">BO179*(1+BP53)</f>
        <v>0</v>
      </c>
      <c r="BQ179" s="55">
        <f t="shared" ref="BQ179" si="1333">BP179*(1+BQ53)</f>
        <v>0</v>
      </c>
      <c r="BR179" s="55"/>
      <c r="BS179" s="53">
        <v>11235</v>
      </c>
      <c r="BT179" s="53">
        <v>9676.1</v>
      </c>
      <c r="BU179" s="53">
        <v>9353.7999999999993</v>
      </c>
      <c r="BV179" s="53">
        <v>10317</v>
      </c>
      <c r="BW179" s="53">
        <v>10057</v>
      </c>
      <c r="BX179" s="53">
        <v>8874</v>
      </c>
      <c r="BY179" s="53">
        <v>9727</v>
      </c>
      <c r="BZ179" s="53">
        <v>9672</v>
      </c>
      <c r="CA179" s="53">
        <v>11107</v>
      </c>
      <c r="CB179" s="53">
        <v>12075</v>
      </c>
      <c r="CC179" s="55">
        <f t="shared" si="1267"/>
        <v>12517</v>
      </c>
      <c r="CD179" s="55">
        <f t="shared" si="1268"/>
        <v>13197</v>
      </c>
      <c r="CE179" s="55">
        <f t="shared" si="1269"/>
        <v>15019</v>
      </c>
      <c r="CF179" s="55">
        <f t="shared" si="1270"/>
        <v>16786</v>
      </c>
      <c r="CG179" s="55">
        <f t="shared" si="1271"/>
        <v>18310</v>
      </c>
      <c r="CH179" s="55">
        <f t="shared" si="1272"/>
        <v>18721</v>
      </c>
      <c r="CI179" s="55">
        <f t="shared" si="1273"/>
        <v>18278</v>
      </c>
      <c r="CJ179" s="55">
        <f t="shared" si="1274"/>
        <v>14728</v>
      </c>
      <c r="CK179" s="55">
        <f t="shared" si="1275"/>
        <v>11569</v>
      </c>
      <c r="CL179" s="55">
        <f t="shared" si="1276"/>
        <v>10734</v>
      </c>
      <c r="CM179" s="55">
        <f t="shared" si="1277"/>
        <v>9717</v>
      </c>
      <c r="CN179" s="55">
        <f t="shared" si="1278"/>
        <v>6063</v>
      </c>
      <c r="CO179" s="55">
        <f t="shared" si="1279"/>
        <v>5027</v>
      </c>
      <c r="CP179" s="55">
        <f t="shared" si="1280"/>
        <v>1944</v>
      </c>
      <c r="CQ179" s="55">
        <f t="shared" si="1281"/>
        <v>1431</v>
      </c>
      <c r="CR179" s="55">
        <f t="shared" si="1282"/>
        <v>463</v>
      </c>
      <c r="CS179" s="55">
        <f t="shared" si="1283"/>
        <v>379</v>
      </c>
      <c r="CT179" s="55">
        <f t="shared" si="1284"/>
        <v>32</v>
      </c>
      <c r="CU179" s="55">
        <f t="shared" si="1285"/>
        <v>0</v>
      </c>
      <c r="CV179" s="55">
        <f t="shared" si="1286"/>
        <v>0</v>
      </c>
      <c r="CW179" s="55">
        <f t="shared" si="1287"/>
        <v>0</v>
      </c>
      <c r="CX179" s="55">
        <f t="shared" si="1288"/>
        <v>0</v>
      </c>
      <c r="CY179" s="55">
        <f t="shared" si="1289"/>
        <v>0</v>
      </c>
      <c r="CZ179" s="56">
        <f t="shared" si="1290"/>
        <v>0</v>
      </c>
      <c r="DA179" s="55">
        <f t="shared" si="1291"/>
        <v>0</v>
      </c>
      <c r="DB179" s="55">
        <f t="shared" si="1292"/>
        <v>0</v>
      </c>
      <c r="DC179" s="55">
        <f t="shared" si="1293"/>
        <v>0</v>
      </c>
      <c r="DD179" s="55">
        <f t="shared" si="1294"/>
        <v>0</v>
      </c>
      <c r="DE179" s="55">
        <f t="shared" si="1295"/>
        <v>0</v>
      </c>
      <c r="DF179" s="55">
        <f t="shared" si="1296"/>
        <v>0</v>
      </c>
      <c r="DG179" s="55">
        <f t="shared" si="1297"/>
        <v>0</v>
      </c>
      <c r="DH179" s="55">
        <f t="shared" si="1298"/>
        <v>0</v>
      </c>
      <c r="DI179" s="55">
        <f t="shared" si="1299"/>
        <v>0</v>
      </c>
    </row>
    <row r="180" spans="1:113" outlineLevel="1">
      <c r="A180" s="1" t="s">
        <v>608</v>
      </c>
      <c r="B180" s="19" t="s">
        <v>586</v>
      </c>
      <c r="C180" s="53">
        <v>6773</v>
      </c>
      <c r="D180" s="53">
        <v>5705</v>
      </c>
      <c r="E180" s="53">
        <v>7047</v>
      </c>
      <c r="F180" s="53">
        <v>5911</v>
      </c>
      <c r="G180" s="53">
        <v>6480</v>
      </c>
      <c r="H180" s="53">
        <v>5302</v>
      </c>
      <c r="I180" s="53">
        <v>7605</v>
      </c>
      <c r="J180" s="53">
        <v>6391</v>
      </c>
      <c r="K180" s="53">
        <v>10818</v>
      </c>
      <c r="L180" s="53">
        <v>9124</v>
      </c>
      <c r="M180" s="53">
        <v>0</v>
      </c>
      <c r="N180" s="53">
        <v>0</v>
      </c>
      <c r="O180" s="53">
        <v>0</v>
      </c>
      <c r="P180" s="53">
        <v>0</v>
      </c>
      <c r="Q180" s="53">
        <v>0</v>
      </c>
      <c r="R180" s="53">
        <v>0</v>
      </c>
      <c r="S180" s="53">
        <v>0</v>
      </c>
      <c r="T180" s="53">
        <v>0</v>
      </c>
      <c r="U180" s="53">
        <v>0</v>
      </c>
      <c r="V180" s="53">
        <v>0</v>
      </c>
      <c r="W180" s="53">
        <v>0</v>
      </c>
      <c r="X180" s="53">
        <v>0</v>
      </c>
      <c r="Y180" s="53">
        <v>0</v>
      </c>
      <c r="Z180" s="53">
        <v>0</v>
      </c>
      <c r="AA180" s="164">
        <v>0</v>
      </c>
      <c r="AB180" s="164">
        <v>0</v>
      </c>
      <c r="AC180" s="164">
        <v>0</v>
      </c>
      <c r="AD180" s="164">
        <v>0</v>
      </c>
      <c r="AE180" s="164">
        <v>0</v>
      </c>
      <c r="AF180" s="164">
        <v>0</v>
      </c>
      <c r="AG180" s="164">
        <v>0</v>
      </c>
      <c r="AH180" s="164">
        <v>0</v>
      </c>
      <c r="AI180" s="164">
        <v>0</v>
      </c>
      <c r="AJ180" s="164">
        <v>0</v>
      </c>
      <c r="AK180" s="164">
        <v>0</v>
      </c>
      <c r="AL180" s="164">
        <v>0</v>
      </c>
      <c r="AM180" s="164">
        <v>0</v>
      </c>
      <c r="AN180" s="164">
        <v>0</v>
      </c>
      <c r="AO180" s="164">
        <v>0</v>
      </c>
      <c r="AP180" s="164">
        <v>0</v>
      </c>
      <c r="AQ180" s="164">
        <v>0</v>
      </c>
      <c r="AR180" s="164">
        <v>0</v>
      </c>
      <c r="AS180" s="164">
        <v>0</v>
      </c>
      <c r="AT180" s="164">
        <v>0</v>
      </c>
      <c r="AU180" s="164">
        <v>0</v>
      </c>
      <c r="AV180" s="164">
        <v>0</v>
      </c>
      <c r="AW180" s="164">
        <v>0</v>
      </c>
      <c r="AX180" s="164">
        <v>0</v>
      </c>
      <c r="AY180" s="164">
        <v>0</v>
      </c>
      <c r="AZ180" s="171">
        <v>0</v>
      </c>
      <c r="BA180" s="55">
        <f t="shared" ref="BA180:BE180" si="1334">AZ180*(1+BA52)</f>
        <v>0</v>
      </c>
      <c r="BB180" s="55">
        <f t="shared" si="1334"/>
        <v>0</v>
      </c>
      <c r="BC180" s="55">
        <f t="shared" si="1334"/>
        <v>0</v>
      </c>
      <c r="BD180" s="55">
        <f t="shared" si="1334"/>
        <v>0</v>
      </c>
      <c r="BE180" s="55">
        <f t="shared" si="1334"/>
        <v>0</v>
      </c>
      <c r="BF180" s="55">
        <f t="shared" ref="BF180:BM180" si="1335">BE180*(1+BF52)</f>
        <v>0</v>
      </c>
      <c r="BG180" s="55">
        <f t="shared" si="1335"/>
        <v>0</v>
      </c>
      <c r="BH180" s="55">
        <f t="shared" si="1335"/>
        <v>0</v>
      </c>
      <c r="BI180" s="55">
        <f t="shared" si="1335"/>
        <v>0</v>
      </c>
      <c r="BJ180" s="55">
        <f t="shared" si="1335"/>
        <v>0</v>
      </c>
      <c r="BK180" s="55">
        <f t="shared" si="1335"/>
        <v>0</v>
      </c>
      <c r="BL180" s="55">
        <f t="shared" si="1335"/>
        <v>0</v>
      </c>
      <c r="BM180" s="55">
        <f t="shared" si="1335"/>
        <v>0</v>
      </c>
      <c r="BN180" s="55">
        <f t="shared" ref="BN180" si="1336">BM180*(1+BN52)</f>
        <v>0</v>
      </c>
      <c r="BO180" s="55">
        <f t="shared" ref="BO180" si="1337">BN180*(1+BO52)</f>
        <v>0</v>
      </c>
      <c r="BP180" s="55">
        <f t="shared" ref="BP180" si="1338">BO180*(1+BP52)</f>
        <v>0</v>
      </c>
      <c r="BQ180" s="55">
        <f t="shared" ref="BQ180" si="1339">BP180*(1+BQ52)</f>
        <v>0</v>
      </c>
      <c r="BR180" s="55"/>
      <c r="BS180" s="53"/>
      <c r="BT180" s="53"/>
      <c r="BU180" s="53"/>
      <c r="BV180" s="53"/>
      <c r="BW180" s="53"/>
      <c r="BX180" s="53"/>
      <c r="BY180" s="53"/>
      <c r="BZ180" s="53">
        <f>0.4*1000</f>
        <v>400</v>
      </c>
      <c r="CA180" s="53">
        <v>3006</v>
      </c>
      <c r="CB180" s="53">
        <v>6773</v>
      </c>
      <c r="CC180" s="55">
        <f t="shared" si="1267"/>
        <v>7047</v>
      </c>
      <c r="CD180" s="55">
        <f t="shared" si="1268"/>
        <v>6480</v>
      </c>
      <c r="CE180" s="55">
        <f t="shared" si="1269"/>
        <v>7605</v>
      </c>
      <c r="CF180" s="55">
        <f t="shared" si="1270"/>
        <v>10818</v>
      </c>
      <c r="CG180" s="55">
        <f t="shared" si="1271"/>
        <v>0</v>
      </c>
      <c r="CH180" s="55">
        <f t="shared" si="1272"/>
        <v>0</v>
      </c>
      <c r="CI180" s="55">
        <f t="shared" si="1273"/>
        <v>0</v>
      </c>
      <c r="CJ180" s="55">
        <f t="shared" si="1274"/>
        <v>0</v>
      </c>
      <c r="CK180" s="55">
        <f t="shared" si="1275"/>
        <v>0</v>
      </c>
      <c r="CL180" s="55">
        <f t="shared" si="1276"/>
        <v>0</v>
      </c>
      <c r="CM180" s="55">
        <f t="shared" si="1277"/>
        <v>0</v>
      </c>
      <c r="CN180" s="55">
        <f t="shared" si="1278"/>
        <v>0</v>
      </c>
      <c r="CO180" s="55">
        <f t="shared" si="1279"/>
        <v>0</v>
      </c>
      <c r="CP180" s="55">
        <f t="shared" si="1280"/>
        <v>0</v>
      </c>
      <c r="CQ180" s="55">
        <f t="shared" si="1281"/>
        <v>0</v>
      </c>
      <c r="CR180" s="55">
        <f t="shared" si="1282"/>
        <v>0</v>
      </c>
      <c r="CS180" s="55">
        <f t="shared" si="1283"/>
        <v>0</v>
      </c>
      <c r="CT180" s="55">
        <f t="shared" si="1284"/>
        <v>0</v>
      </c>
      <c r="CU180" s="55">
        <f t="shared" si="1285"/>
        <v>0</v>
      </c>
      <c r="CV180" s="55">
        <f t="shared" si="1286"/>
        <v>0</v>
      </c>
      <c r="CW180" s="55">
        <f t="shared" si="1287"/>
        <v>0</v>
      </c>
      <c r="CX180" s="55">
        <f t="shared" si="1288"/>
        <v>0</v>
      </c>
      <c r="CY180" s="55">
        <f t="shared" si="1289"/>
        <v>0</v>
      </c>
      <c r="CZ180" s="56">
        <f t="shared" si="1290"/>
        <v>0</v>
      </c>
      <c r="DA180" s="55">
        <f t="shared" si="1291"/>
        <v>0</v>
      </c>
      <c r="DB180" s="55">
        <f t="shared" si="1292"/>
        <v>0</v>
      </c>
      <c r="DC180" s="55">
        <f t="shared" si="1293"/>
        <v>0</v>
      </c>
      <c r="DD180" s="55">
        <f t="shared" si="1294"/>
        <v>0</v>
      </c>
      <c r="DE180" s="55">
        <f t="shared" si="1295"/>
        <v>0</v>
      </c>
      <c r="DF180" s="55">
        <f t="shared" si="1296"/>
        <v>0</v>
      </c>
      <c r="DG180" s="55">
        <f t="shared" si="1297"/>
        <v>0</v>
      </c>
      <c r="DH180" s="55">
        <f t="shared" si="1298"/>
        <v>0</v>
      </c>
      <c r="DI180" s="55">
        <f t="shared" si="1299"/>
        <v>0</v>
      </c>
    </row>
    <row r="181" spans="1:113" s="24" customFormat="1" outlineLevel="1">
      <c r="A181" s="1" t="s">
        <v>609</v>
      </c>
      <c r="B181" s="24" t="s">
        <v>587</v>
      </c>
      <c r="C181" s="82">
        <f t="shared" ref="C181:L181" si="1340">C178+C179+C180</f>
        <v>156539</v>
      </c>
      <c r="D181" s="82">
        <f t="shared" si="1340"/>
        <v>160989</v>
      </c>
      <c r="E181" s="82">
        <f t="shared" si="1340"/>
        <v>168264</v>
      </c>
      <c r="F181" s="82">
        <f t="shared" si="1340"/>
        <v>174995</v>
      </c>
      <c r="G181" s="82">
        <f t="shared" si="1340"/>
        <v>181554</v>
      </c>
      <c r="H181" s="82">
        <f t="shared" si="1340"/>
        <v>196574</v>
      </c>
      <c r="I181" s="82">
        <f t="shared" si="1340"/>
        <v>213551</v>
      </c>
      <c r="J181" s="82">
        <f t="shared" si="1340"/>
        <v>237002</v>
      </c>
      <c r="K181" s="82">
        <f t="shared" si="1340"/>
        <v>257497</v>
      </c>
      <c r="L181" s="82">
        <f t="shared" si="1340"/>
        <v>273213</v>
      </c>
      <c r="M181" s="82">
        <f t="shared" ref="M181:AC181" si="1341">M178+M179+M180</f>
        <v>278703</v>
      </c>
      <c r="N181" s="82">
        <f t="shared" si="1341"/>
        <v>297568</v>
      </c>
      <c r="O181" s="82">
        <f t="shared" si="1341"/>
        <v>335419</v>
      </c>
      <c r="P181" s="82">
        <f t="shared" si="1341"/>
        <v>364385</v>
      </c>
      <c r="Q181" s="82">
        <f t="shared" si="1341"/>
        <v>381273</v>
      </c>
      <c r="R181" s="82">
        <f t="shared" si="1341"/>
        <v>464630</v>
      </c>
      <c r="S181" s="82">
        <f t="shared" si="1341"/>
        <v>486283</v>
      </c>
      <c r="T181" s="82">
        <f t="shared" si="1341"/>
        <v>498223</v>
      </c>
      <c r="U181" s="82">
        <f t="shared" si="1341"/>
        <v>510456</v>
      </c>
      <c r="V181" s="82">
        <f t="shared" si="1341"/>
        <v>507499</v>
      </c>
      <c r="W181" s="82">
        <f t="shared" si="1341"/>
        <v>515938</v>
      </c>
      <c r="X181" s="82">
        <f t="shared" si="1341"/>
        <v>528900</v>
      </c>
      <c r="Y181" s="82">
        <f t="shared" si="1341"/>
        <v>540226</v>
      </c>
      <c r="Z181" s="82">
        <f t="shared" si="1341"/>
        <v>547485</v>
      </c>
      <c r="AA181" s="82">
        <f t="shared" si="1341"/>
        <v>567167</v>
      </c>
      <c r="AB181" s="82">
        <f t="shared" si="1341"/>
        <v>590239</v>
      </c>
      <c r="AC181" s="82">
        <f t="shared" si="1341"/>
        <v>606673</v>
      </c>
      <c r="AD181" s="82">
        <f t="shared" ref="AD181:AK181" si="1342">AD178+AD179+AD180</f>
        <v>626214</v>
      </c>
      <c r="AE181" s="82">
        <f t="shared" si="1342"/>
        <v>644824</v>
      </c>
      <c r="AF181" s="82">
        <f t="shared" si="1342"/>
        <v>674466</v>
      </c>
      <c r="AG181" s="82">
        <f t="shared" si="1342"/>
        <v>700547</v>
      </c>
      <c r="AH181" s="82">
        <f t="shared" si="1342"/>
        <v>718134</v>
      </c>
      <c r="AI181" s="82">
        <f t="shared" si="1342"/>
        <v>735918</v>
      </c>
      <c r="AJ181" s="82">
        <f t="shared" si="1342"/>
        <v>740261</v>
      </c>
      <c r="AK181" s="82">
        <f t="shared" si="1342"/>
        <v>747349</v>
      </c>
      <c r="AL181" s="82">
        <f t="shared" ref="AL181:AQ181" si="1343">AL178+AL179+AL180</f>
        <v>758287</v>
      </c>
      <c r="AM181" s="82">
        <f t="shared" si="1343"/>
        <v>759920</v>
      </c>
      <c r="AN181" s="82">
        <f t="shared" si="1343"/>
        <v>770403</v>
      </c>
      <c r="AO181" s="82">
        <f t="shared" si="1343"/>
        <v>779224</v>
      </c>
      <c r="AP181" s="82">
        <f t="shared" si="1343"/>
        <v>793621</v>
      </c>
      <c r="AQ181" s="82">
        <f t="shared" si="1343"/>
        <v>817456</v>
      </c>
      <c r="AR181" s="82">
        <f t="shared" ref="AR181" si="1344">AR178+AR179+AR180</f>
        <v>849704</v>
      </c>
      <c r="AS181" s="82">
        <f t="shared" ref="AS181:AT181" si="1345">AS178+AS179+AS180</f>
        <v>884084</v>
      </c>
      <c r="AT181" s="82">
        <f t="shared" si="1345"/>
        <v>911728</v>
      </c>
      <c r="AU181" s="82">
        <f t="shared" ref="AU181:AV181" si="1346">AU178+AU179+AU180</f>
        <v>931873</v>
      </c>
      <c r="AV181" s="82">
        <f t="shared" si="1346"/>
        <v>927999</v>
      </c>
      <c r="AW181" s="82">
        <f t="shared" ref="AW181:AX181" si="1347">AW178+AW179+AW180</f>
        <v>948122</v>
      </c>
      <c r="AX181" s="82">
        <f t="shared" si="1347"/>
        <v>975433</v>
      </c>
      <c r="AY181" s="82">
        <f t="shared" ref="AY181:BE181" si="1348">AY178+AY179+AY180</f>
        <v>1013929</v>
      </c>
      <c r="AZ181" s="83">
        <f t="shared" ref="AZ181" si="1349">AZ178+AZ179+AZ180</f>
        <v>1047026</v>
      </c>
      <c r="BA181" s="82">
        <f t="shared" si="1348"/>
        <v>1089534.2353338602</v>
      </c>
      <c r="BB181" s="82">
        <f t="shared" si="1348"/>
        <v>1116654.2685778351</v>
      </c>
      <c r="BC181" s="82">
        <f t="shared" si="1348"/>
        <v>1146268.1196182598</v>
      </c>
      <c r="BD181" s="82">
        <f t="shared" si="1348"/>
        <v>1174171.0109727851</v>
      </c>
      <c r="BE181" s="82">
        <f t="shared" si="1348"/>
        <v>1201880.2015844183</v>
      </c>
      <c r="BF181" s="82">
        <f t="shared" ref="BF181:BM181" si="1350">BF178+BF179+BF180</f>
        <v>1230395.2414396463</v>
      </c>
      <c r="BG181" s="82">
        <f t="shared" si="1350"/>
        <v>1256586.6626745607</v>
      </c>
      <c r="BH181" s="82">
        <f t="shared" si="1350"/>
        <v>1283494.5217802424</v>
      </c>
      <c r="BI181" s="82">
        <f t="shared" si="1350"/>
        <v>1306972.9722164485</v>
      </c>
      <c r="BJ181" s="82">
        <f t="shared" si="1350"/>
        <v>1330998.3050450103</v>
      </c>
      <c r="BK181" s="82">
        <f t="shared" si="1350"/>
        <v>1357166.8944526939</v>
      </c>
      <c r="BL181" s="82">
        <f t="shared" si="1350"/>
        <v>1383854.7630887353</v>
      </c>
      <c r="BM181" s="82">
        <f t="shared" si="1350"/>
        <v>1411072.2696241303</v>
      </c>
      <c r="BN181" s="82">
        <f t="shared" ref="BN181:BO181" si="1351">BN178+BN179+BN180</f>
        <v>1438829.9799868825</v>
      </c>
      <c r="BO181" s="82">
        <f t="shared" si="1351"/>
        <v>1467138.6715160073</v>
      </c>
      <c r="BP181" s="82">
        <f t="shared" ref="BP181:BQ181" si="1352">BP178+BP179+BP180</f>
        <v>1496009.3371988763</v>
      </c>
      <c r="BQ181" s="82">
        <f t="shared" si="1352"/>
        <v>1525453.1899935794</v>
      </c>
      <c r="BR181" s="82"/>
      <c r="BS181" s="82">
        <f t="shared" ref="BS181:CB181" si="1353">BS178+BS179+BS180</f>
        <v>70589.200000000012</v>
      </c>
      <c r="BT181" s="82">
        <f t="shared" si="1353"/>
        <v>68719.899999999994</v>
      </c>
      <c r="BU181" s="82">
        <f t="shared" si="1353"/>
        <v>68455.3</v>
      </c>
      <c r="BV181" s="82">
        <f t="shared" si="1353"/>
        <v>73998</v>
      </c>
      <c r="BW181" s="82">
        <f t="shared" si="1353"/>
        <v>81022</v>
      </c>
      <c r="BX181" s="82">
        <f t="shared" si="1353"/>
        <v>91437</v>
      </c>
      <c r="BY181" s="82">
        <f t="shared" si="1353"/>
        <v>100898</v>
      </c>
      <c r="BZ181" s="82">
        <f t="shared" si="1353"/>
        <v>113265</v>
      </c>
      <c r="CA181" s="82">
        <f t="shared" si="1353"/>
        <v>148165</v>
      </c>
      <c r="CB181" s="82">
        <f t="shared" si="1353"/>
        <v>156539</v>
      </c>
      <c r="CC181" s="82">
        <f t="shared" si="1267"/>
        <v>168264</v>
      </c>
      <c r="CD181" s="82">
        <f t="shared" si="1268"/>
        <v>181554</v>
      </c>
      <c r="CE181" s="82">
        <f t="shared" si="1269"/>
        <v>213551</v>
      </c>
      <c r="CF181" s="82">
        <f t="shared" si="1270"/>
        <v>257497</v>
      </c>
      <c r="CG181" s="82">
        <f t="shared" si="1271"/>
        <v>278703</v>
      </c>
      <c r="CH181" s="82">
        <f t="shared" si="1272"/>
        <v>335419</v>
      </c>
      <c r="CI181" s="82">
        <f t="shared" si="1273"/>
        <v>381273</v>
      </c>
      <c r="CJ181" s="82">
        <f t="shared" si="1274"/>
        <v>486283</v>
      </c>
      <c r="CK181" s="82">
        <f t="shared" si="1275"/>
        <v>510456</v>
      </c>
      <c r="CL181" s="82">
        <f t="shared" si="1276"/>
        <v>515938</v>
      </c>
      <c r="CM181" s="82">
        <f t="shared" si="1277"/>
        <v>540226</v>
      </c>
      <c r="CN181" s="82">
        <f t="shared" si="1278"/>
        <v>567167</v>
      </c>
      <c r="CO181" s="82">
        <f t="shared" si="1279"/>
        <v>606673</v>
      </c>
      <c r="CP181" s="82">
        <f t="shared" si="1280"/>
        <v>644824</v>
      </c>
      <c r="CQ181" s="82">
        <f t="shared" si="1281"/>
        <v>700547</v>
      </c>
      <c r="CR181" s="82">
        <f t="shared" si="1282"/>
        <v>735918</v>
      </c>
      <c r="CS181" s="82">
        <f t="shared" si="1283"/>
        <v>747349</v>
      </c>
      <c r="CT181" s="82">
        <f t="shared" si="1284"/>
        <v>759920</v>
      </c>
      <c r="CU181" s="82">
        <f t="shared" si="1285"/>
        <v>779224</v>
      </c>
      <c r="CV181" s="82">
        <f t="shared" si="1286"/>
        <v>817456</v>
      </c>
      <c r="CW181" s="82">
        <f t="shared" si="1287"/>
        <v>884084</v>
      </c>
      <c r="CX181" s="82">
        <f t="shared" si="1288"/>
        <v>931873</v>
      </c>
      <c r="CY181" s="82">
        <f t="shared" si="1289"/>
        <v>948122</v>
      </c>
      <c r="CZ181" s="83">
        <f t="shared" si="1290"/>
        <v>1013929</v>
      </c>
      <c r="DA181" s="82">
        <f t="shared" si="1291"/>
        <v>1089534.2353338602</v>
      </c>
      <c r="DB181" s="82">
        <f t="shared" si="1292"/>
        <v>1146268.1196182598</v>
      </c>
      <c r="DC181" s="82">
        <f t="shared" si="1293"/>
        <v>1201880.2015844183</v>
      </c>
      <c r="DD181" s="82">
        <f t="shared" si="1294"/>
        <v>1256586.6626745607</v>
      </c>
      <c r="DE181" s="82">
        <f t="shared" si="1295"/>
        <v>1306972.9722164485</v>
      </c>
      <c r="DF181" s="82">
        <f t="shared" si="1296"/>
        <v>1357166.8944526939</v>
      </c>
      <c r="DG181" s="82">
        <f t="shared" si="1297"/>
        <v>1411072.2696241303</v>
      </c>
      <c r="DH181" s="82">
        <f t="shared" si="1298"/>
        <v>1467138.6715160073</v>
      </c>
      <c r="DI181" s="82">
        <f t="shared" si="1299"/>
        <v>1525453.1899935794</v>
      </c>
    </row>
    <row r="182" spans="1:113" ht="12.75" outlineLevel="1">
      <c r="C182" s="591"/>
      <c r="D182" s="591"/>
      <c r="E182" s="591"/>
      <c r="F182" s="591"/>
      <c r="G182" s="591"/>
      <c r="H182" s="591"/>
      <c r="I182" s="591"/>
      <c r="J182" s="591"/>
      <c r="K182" s="591"/>
      <c r="L182" s="591"/>
      <c r="M182" s="591"/>
      <c r="N182" s="591"/>
      <c r="O182" s="591"/>
      <c r="P182" s="591"/>
      <c r="Q182" s="591"/>
      <c r="R182" s="591"/>
      <c r="S182" s="591"/>
      <c r="T182" s="591"/>
      <c r="U182" s="591"/>
      <c r="V182" s="591"/>
      <c r="W182" s="591"/>
      <c r="X182" s="592"/>
      <c r="Y182" s="592"/>
      <c r="Z182" s="591"/>
      <c r="AA182" s="591"/>
      <c r="AB182" s="591"/>
      <c r="AC182" s="591"/>
      <c r="AD182" s="591"/>
      <c r="AE182" s="591"/>
      <c r="AF182" s="591"/>
      <c r="AG182" s="591"/>
      <c r="AH182" s="82"/>
      <c r="AI182" s="82"/>
      <c r="AJ182" s="55"/>
      <c r="AK182" s="55"/>
      <c r="AL182" s="55"/>
      <c r="AM182" s="55"/>
      <c r="AN182" s="55"/>
      <c r="AO182" s="55"/>
      <c r="AP182" s="55"/>
      <c r="AQ182" s="55"/>
      <c r="AR182" s="55"/>
      <c r="AS182" s="55"/>
      <c r="AT182" s="55"/>
      <c r="AU182" s="55"/>
      <c r="AV182" s="55"/>
      <c r="AW182" s="55"/>
      <c r="AX182" s="55"/>
      <c r="AY182" s="55"/>
      <c r="AZ182" s="56"/>
      <c r="BA182" s="55"/>
      <c r="BB182" s="55"/>
      <c r="BC182" s="55"/>
      <c r="BD182" s="55"/>
      <c r="BE182" s="55"/>
      <c r="BF182" s="55"/>
      <c r="BG182" s="833"/>
      <c r="BH182" s="833"/>
      <c r="BI182" s="833"/>
      <c r="BJ182" s="833"/>
      <c r="BK182" s="833"/>
      <c r="BL182" s="833"/>
      <c r="BM182" s="833"/>
      <c r="BN182" s="833"/>
      <c r="BO182" s="55"/>
      <c r="BP182" s="55"/>
      <c r="BQ182" s="55"/>
      <c r="BR182" s="55"/>
      <c r="BS182" s="55"/>
      <c r="BT182" s="55"/>
      <c r="BU182" s="55"/>
      <c r="BV182" s="55"/>
      <c r="BW182" s="55"/>
      <c r="BX182" s="55"/>
      <c r="BY182" s="55"/>
      <c r="BZ182" s="55"/>
      <c r="CA182" s="55"/>
      <c r="CB182" s="55"/>
      <c r="CC182" s="55"/>
      <c r="CD182" s="55"/>
      <c r="CE182" s="55"/>
      <c r="CF182" s="55"/>
      <c r="CG182" s="55"/>
      <c r="CH182" s="55"/>
      <c r="CI182" s="55"/>
      <c r="CJ182" s="55"/>
      <c r="CK182" s="55"/>
      <c r="CL182" s="55"/>
      <c r="CM182" s="55"/>
      <c r="CN182" s="55"/>
      <c r="CO182" s="55"/>
      <c r="CP182" s="55"/>
      <c r="CQ182" s="55"/>
      <c r="CR182" s="55"/>
      <c r="CS182" s="55"/>
      <c r="CT182" s="55"/>
      <c r="CU182" s="55"/>
      <c r="CV182" s="45"/>
      <c r="CW182" s="45"/>
      <c r="CX182" s="45"/>
      <c r="CY182" s="55"/>
      <c r="CZ182" s="56"/>
      <c r="DA182" s="55"/>
      <c r="DB182" s="55"/>
    </row>
    <row r="183" spans="1:113" s="24" customFormat="1" outlineLevel="1">
      <c r="A183" s="1"/>
      <c r="B183" s="24" t="s">
        <v>588</v>
      </c>
      <c r="C183" s="593"/>
      <c r="D183" s="593"/>
      <c r="E183" s="593"/>
      <c r="F183" s="593"/>
      <c r="G183" s="593"/>
      <c r="H183" s="593"/>
      <c r="I183" s="593"/>
      <c r="J183" s="593"/>
      <c r="K183" s="593"/>
      <c r="L183" s="593"/>
      <c r="M183" s="593"/>
      <c r="N183" s="593"/>
      <c r="O183" s="593"/>
      <c r="P183" s="593"/>
      <c r="Q183" s="593"/>
      <c r="R183" s="593"/>
      <c r="S183" s="593"/>
      <c r="T183" s="593"/>
      <c r="U183" s="593"/>
      <c r="V183" s="593"/>
      <c r="W183" s="593"/>
      <c r="X183" s="593"/>
      <c r="Y183" s="593"/>
      <c r="Z183" s="593"/>
      <c r="AA183" s="593"/>
      <c r="AB183" s="593"/>
      <c r="AC183" s="593"/>
      <c r="AD183" s="593"/>
      <c r="AE183" s="593"/>
      <c r="AF183" s="593"/>
      <c r="AG183" s="593"/>
      <c r="AH183" s="593"/>
      <c r="AI183" s="82"/>
      <c r="AJ183" s="82"/>
      <c r="AK183" s="82"/>
      <c r="AL183" s="82"/>
      <c r="AM183" s="82"/>
      <c r="AN183" s="82"/>
      <c r="AO183" s="82"/>
      <c r="AP183" s="170"/>
      <c r="AQ183" s="170"/>
      <c r="AR183" s="55"/>
      <c r="AS183" s="55"/>
      <c r="AT183" s="55"/>
      <c r="AU183" s="55"/>
      <c r="AV183" s="55"/>
      <c r="AW183" s="55"/>
      <c r="AX183" s="55"/>
      <c r="AY183" s="82"/>
      <c r="AZ183" s="83"/>
      <c r="BA183" s="82"/>
      <c r="BB183" s="82"/>
      <c r="BC183" s="82"/>
      <c r="BD183" s="82"/>
      <c r="BE183" s="82"/>
      <c r="BF183" s="82"/>
      <c r="BG183" s="82"/>
      <c r="BH183" s="82"/>
      <c r="BI183" s="82"/>
      <c r="BJ183" s="82"/>
      <c r="BK183" s="82"/>
      <c r="BL183" s="82"/>
      <c r="BM183" s="82"/>
      <c r="BN183" s="82"/>
      <c r="BO183" s="82"/>
      <c r="BP183" s="82"/>
      <c r="BQ183" s="82"/>
      <c r="BR183" s="82"/>
      <c r="BS183" s="82"/>
      <c r="BT183" s="82"/>
      <c r="BU183" s="82"/>
      <c r="BV183" s="82"/>
      <c r="BW183" s="82"/>
      <c r="BX183" s="82"/>
      <c r="BY183" s="82"/>
      <c r="BZ183" s="82"/>
      <c r="CA183" s="82"/>
      <c r="CB183" s="82"/>
      <c r="CC183" s="82"/>
      <c r="CD183" s="82"/>
      <c r="CE183" s="82"/>
      <c r="CF183" s="82"/>
      <c r="CG183" s="82"/>
      <c r="CH183" s="82"/>
      <c r="CI183" s="82"/>
      <c r="CJ183" s="82"/>
      <c r="CK183" s="82"/>
      <c r="CL183" s="82"/>
      <c r="CM183" s="82"/>
      <c r="CN183" s="82"/>
      <c r="CO183" s="82"/>
      <c r="CP183" s="82"/>
      <c r="CQ183" s="82"/>
      <c r="CR183" s="82"/>
      <c r="CS183" s="82"/>
      <c r="CT183" s="82"/>
      <c r="CU183" s="82"/>
      <c r="CV183" s="82"/>
      <c r="CW183" s="82"/>
      <c r="CX183" s="82"/>
      <c r="CY183" s="82"/>
      <c r="CZ183" s="83"/>
      <c r="DA183" s="82"/>
      <c r="DB183" s="82"/>
    </row>
    <row r="184" spans="1:113" outlineLevel="1">
      <c r="A184" s="1" t="s">
        <v>610</v>
      </c>
      <c r="B184" s="19" t="s">
        <v>589</v>
      </c>
      <c r="C184" s="164">
        <f>54601+6350</f>
        <v>60951</v>
      </c>
      <c r="D184" s="164">
        <f>60818+5409</f>
        <v>66227</v>
      </c>
      <c r="E184" s="164">
        <f>63844+6072</f>
        <v>69916</v>
      </c>
      <c r="F184" s="164">
        <f>66772+5267</f>
        <v>72039</v>
      </c>
      <c r="G184" s="164">
        <f>68507+5001</f>
        <v>73508</v>
      </c>
      <c r="H184" s="164">
        <f>71055+5659</f>
        <v>76714</v>
      </c>
      <c r="I184" s="164">
        <f>71115+5407</f>
        <v>76522</v>
      </c>
      <c r="J184" s="164">
        <f>72853+5855</f>
        <v>78708</v>
      </c>
      <c r="K184" s="164">
        <f>75407+5823</f>
        <v>81230</v>
      </c>
      <c r="L184" s="164">
        <f>77902+6149</f>
        <v>84051</v>
      </c>
      <c r="M184" s="164">
        <f>81547+5872</f>
        <v>87419</v>
      </c>
      <c r="N184" s="164">
        <f>85691+6617</f>
        <v>92308</v>
      </c>
      <c r="O184" s="164">
        <f>109680+6662</f>
        <v>116342</v>
      </c>
      <c r="P184" s="164">
        <f>117045+6328</f>
        <v>123373</v>
      </c>
      <c r="Q184" s="164">
        <f>117712+6142</f>
        <v>123854</v>
      </c>
      <c r="R184" s="164">
        <f>144873+7384</f>
        <v>152257</v>
      </c>
      <c r="S184" s="164">
        <f>153382+7135</f>
        <v>160517</v>
      </c>
      <c r="T184" s="164">
        <f>154087+6839</f>
        <v>160926</v>
      </c>
      <c r="U184" s="164">
        <f>158874+7236</f>
        <v>166110</v>
      </c>
      <c r="V184" s="164">
        <f>158925+7707</f>
        <v>166632</v>
      </c>
      <c r="W184" s="164">
        <f>169190+7630</f>
        <v>176820</v>
      </c>
      <c r="X184" s="164">
        <f>175519+7757</f>
        <v>183276</v>
      </c>
      <c r="Y184" s="164">
        <f>176866+7530</f>
        <v>184396</v>
      </c>
      <c r="Z184" s="164">
        <f>184199+8415</f>
        <v>192614</v>
      </c>
      <c r="AA184" s="164">
        <f>195017+8891</f>
        <v>203908</v>
      </c>
      <c r="AB184" s="164">
        <f>213872+9197</f>
        <v>223069</v>
      </c>
      <c r="AC184" s="164">
        <f>227555+9971</f>
        <v>237526</v>
      </c>
      <c r="AD184" s="164">
        <f>242254+12078</f>
        <v>254332</v>
      </c>
      <c r="AE184" s="164">
        <f>265620+12568</f>
        <v>278188</v>
      </c>
      <c r="AF184" s="164">
        <f>285414+13699</f>
        <v>299113</v>
      </c>
      <c r="AG184" s="164">
        <f>281648+35164</f>
        <v>316812</v>
      </c>
      <c r="AH184" s="164">
        <f>286407+37833</f>
        <v>324240</v>
      </c>
      <c r="AI184" s="164">
        <f>293579+41787</f>
        <v>335366</v>
      </c>
      <c r="AJ184" s="164">
        <f>300492+43929</f>
        <v>344421</v>
      </c>
      <c r="AK184" s="164">
        <f>300607+46082</f>
        <v>346689</v>
      </c>
      <c r="AL184" s="164">
        <f>299251+48081</f>
        <v>347332</v>
      </c>
      <c r="AM184" s="164">
        <f>308299+49274</f>
        <v>357573</v>
      </c>
      <c r="AN184" s="164">
        <f>326839+56261</f>
        <v>383100</v>
      </c>
      <c r="AO184" s="164">
        <f>371165+69143</f>
        <v>440308</v>
      </c>
      <c r="AP184" s="164">
        <f>400512+84025</f>
        <v>484537</v>
      </c>
      <c r="AQ184" s="164">
        <f>406481+103510</f>
        <v>509991</v>
      </c>
      <c r="AR184" s="164">
        <f>420717+122694</f>
        <v>543411</v>
      </c>
      <c r="AS184" s="164">
        <f>440500+131828</f>
        <v>572328</v>
      </c>
      <c r="AT184" s="164">
        <f>439408+120719</f>
        <v>560127</v>
      </c>
      <c r="AU184" s="164">
        <f>457127+110045</f>
        <v>567172</v>
      </c>
      <c r="AV184" s="164">
        <f>459968+102403</f>
        <v>562371</v>
      </c>
      <c r="AW184" s="164">
        <f>779701-AW185</f>
        <v>556247</v>
      </c>
      <c r="AX184" s="164">
        <f>790158-AX185</f>
        <v>569292</v>
      </c>
      <c r="AY184" s="164">
        <f>820998-AY185</f>
        <v>592593</v>
      </c>
      <c r="AZ184" s="171">
        <f>863853-AZ185</f>
        <v>630918</v>
      </c>
      <c r="BA184" s="55">
        <f t="shared" ref="BA184:BA185" si="1354">AZ184*BA$204/AZ$204</f>
        <v>649159.65858274419</v>
      </c>
      <c r="BB184" s="55">
        <f t="shared" ref="BB184:BB185" si="1355">BA184*BB$204/BA$204</f>
        <v>665388.65004731272</v>
      </c>
      <c r="BC184" s="55">
        <f t="shared" ref="BC184:BC185" si="1356">BB184*BC$204/BB$204</f>
        <v>682023.36629849556</v>
      </c>
      <c r="BD184" s="55">
        <f t="shared" ref="BD184:BD185" si="1357">BC184*BD$204/BC$204</f>
        <v>699073.95045595779</v>
      </c>
      <c r="BE184" s="55">
        <f t="shared" ref="BE184:BE185" si="1358">BD184*BE$204/BD$204</f>
        <v>716550.79921735672</v>
      </c>
      <c r="BF184" s="55">
        <f t="shared" ref="BF184:BF185" si="1359">BE184*BF$204/BE$204</f>
        <v>734464.56919779046</v>
      </c>
      <c r="BG184" s="55">
        <f t="shared" ref="BG184:BG185" si="1360">BF184*BG$204/BF$204</f>
        <v>752826.18342773523</v>
      </c>
      <c r="BH184" s="55">
        <f t="shared" ref="BH184:BH185" si="1361">BG184*BH$204/BG$204</f>
        <v>771646.83801342838</v>
      </c>
      <c r="BI184" s="55">
        <f t="shared" ref="BI184:BI185" si="1362">BH184*BI$204/BH$204</f>
        <v>785241.48909764492</v>
      </c>
      <c r="BJ184" s="55">
        <f t="shared" ref="BJ184:BJ185" si="1363">BI184*BJ$204/BI$204</f>
        <v>799176.79222834285</v>
      </c>
      <c r="BK184" s="55">
        <f t="shared" ref="BK184:BK185" si="1364">BJ184*BK$204/BJ$204</f>
        <v>814837.75245658634</v>
      </c>
      <c r="BL184" s="55">
        <f t="shared" ref="BL184:BL185" si="1365">BK184*BL$204/BK$204</f>
        <v>830808.55368076591</v>
      </c>
      <c r="BM184" s="55">
        <f t="shared" ref="BM184:BM185" si="1366">BL184*BM$204/BL$204</f>
        <v>847095.36081367941</v>
      </c>
      <c r="BN184" s="55">
        <f t="shared" ref="BN184:BN185" si="1367">BM184*BN$204/BM$204</f>
        <v>863704.46185398404</v>
      </c>
      <c r="BO184" s="55">
        <f t="shared" ref="BO184:BO185" si="1368">BN184*BO$204/BN$204</f>
        <v>880642.27034892025</v>
      </c>
      <c r="BP184" s="55">
        <f t="shared" ref="BP184:BP185" si="1369">BO184*BP$204/BO$204</f>
        <v>897915.3279063782</v>
      </c>
      <c r="BQ184" s="55">
        <f t="shared" ref="BQ184:BQ185" si="1370">BP184*BQ$204/BP$204</f>
        <v>915530.30675729562</v>
      </c>
      <c r="BR184" s="55"/>
      <c r="BS184" s="55"/>
      <c r="BT184" s="55"/>
      <c r="BU184" s="55"/>
      <c r="BV184" s="55"/>
      <c r="BW184" s="55"/>
      <c r="BX184" s="55"/>
      <c r="BY184" s="55"/>
      <c r="BZ184" s="55"/>
      <c r="CA184" s="55"/>
      <c r="CB184" s="55"/>
      <c r="CC184" s="55"/>
      <c r="CD184" s="55"/>
      <c r="CE184" s="55"/>
      <c r="CF184" s="55">
        <f>K184</f>
        <v>81230</v>
      </c>
      <c r="CG184" s="55">
        <f>M184</f>
        <v>87419</v>
      </c>
      <c r="CH184" s="55">
        <f>O184</f>
        <v>116342</v>
      </c>
      <c r="CI184" s="55">
        <f>Q184</f>
        <v>123854</v>
      </c>
      <c r="CJ184" s="55">
        <f>S184</f>
        <v>160517</v>
      </c>
      <c r="CK184" s="55">
        <f>U184</f>
        <v>166110</v>
      </c>
      <c r="CL184" s="55">
        <f>W184</f>
        <v>176820</v>
      </c>
      <c r="CM184" s="55">
        <f>Y184</f>
        <v>184396</v>
      </c>
      <c r="CN184" s="55">
        <f>AA184</f>
        <v>203908</v>
      </c>
      <c r="CO184" s="55">
        <f>AC184</f>
        <v>237526</v>
      </c>
      <c r="CP184" s="86">
        <f>AE184</f>
        <v>278188</v>
      </c>
      <c r="CQ184" s="55">
        <f>AG184</f>
        <v>316812</v>
      </c>
      <c r="CR184" s="55">
        <f>AI184</f>
        <v>335366</v>
      </c>
      <c r="CS184" s="55">
        <f>AK184</f>
        <v>346689</v>
      </c>
      <c r="CT184" s="55">
        <f>AM184</f>
        <v>357573</v>
      </c>
      <c r="CU184" s="55">
        <f>AO184</f>
        <v>440308</v>
      </c>
      <c r="CV184" s="21">
        <f t="shared" ref="CV184:CV185" si="1371">AQ184</f>
        <v>509991</v>
      </c>
      <c r="CW184" s="21">
        <f t="shared" ref="CW184:CW185" si="1372">AS184</f>
        <v>572328</v>
      </c>
      <c r="CX184" s="21">
        <f t="shared" ref="CX184:CX185" si="1373">AU184</f>
        <v>567172</v>
      </c>
      <c r="CY184" s="55">
        <f>AW184</f>
        <v>556247</v>
      </c>
      <c r="CZ184" s="56">
        <f>AY184</f>
        <v>592593</v>
      </c>
      <c r="DA184" s="55">
        <f>BA184</f>
        <v>649159.65858274419</v>
      </c>
      <c r="DB184" s="55">
        <f>BC184</f>
        <v>682023.36629849556</v>
      </c>
      <c r="DC184" s="55">
        <f>BE184</f>
        <v>716550.79921735672</v>
      </c>
      <c r="DD184" s="55">
        <f>BG184</f>
        <v>752826.18342773523</v>
      </c>
      <c r="DE184" s="55">
        <f>BI184</f>
        <v>785241.48909764492</v>
      </c>
      <c r="DF184" s="55">
        <f>BK184</f>
        <v>814837.75245658634</v>
      </c>
      <c r="DG184" s="55">
        <f>BM184</f>
        <v>847095.36081367941</v>
      </c>
      <c r="DH184" s="55">
        <f>BO184</f>
        <v>880642.27034892025</v>
      </c>
      <c r="DI184" s="55">
        <f>BQ184</f>
        <v>915530.30675729562</v>
      </c>
    </row>
    <row r="185" spans="1:113" outlineLevel="1">
      <c r="A185" s="1" t="s">
        <v>611</v>
      </c>
      <c r="B185" s="19" t="s">
        <v>590</v>
      </c>
      <c r="C185" s="164">
        <f>+C187+28102</f>
        <v>41029</v>
      </c>
      <c r="D185" s="164">
        <f>+D187+28316</f>
        <v>40905</v>
      </c>
      <c r="E185" s="164">
        <f>+E187+28991</f>
        <v>44823</v>
      </c>
      <c r="F185" s="164">
        <f>+F187+31382</f>
        <v>44917</v>
      </c>
      <c r="G185" s="164">
        <f>+G187+32398</f>
        <v>43626</v>
      </c>
      <c r="H185" s="164">
        <f>+H187+35391</f>
        <v>55027</v>
      </c>
      <c r="I185" s="164">
        <f>+I187+38530</f>
        <v>59046</v>
      </c>
      <c r="J185" s="164">
        <f>+J187+40738</f>
        <v>59332</v>
      </c>
      <c r="K185" s="164">
        <f>+K187+41582</f>
        <v>57623</v>
      </c>
      <c r="L185" s="164">
        <f>+L187+42959</f>
        <v>60310</v>
      </c>
      <c r="M185" s="164">
        <f>+M187+43210</f>
        <v>61395</v>
      </c>
      <c r="N185" s="164">
        <f>+N187+46004</f>
        <v>66594</v>
      </c>
      <c r="O185" s="164">
        <f>+O187+50888</f>
        <v>71053</v>
      </c>
      <c r="P185" s="164">
        <f>+P187+58023</f>
        <v>95315</v>
      </c>
      <c r="Q185" s="164">
        <f>+Q187+71637</f>
        <v>108618</v>
      </c>
      <c r="R185" s="164">
        <f>+R187+101627</f>
        <v>145983</v>
      </c>
      <c r="S185" s="164">
        <f>+S187+99177</f>
        <v>155912</v>
      </c>
      <c r="T185" s="164">
        <f>T187+108716</f>
        <v>163534</v>
      </c>
      <c r="U185" s="164">
        <f>U187+122712</f>
        <v>163603</v>
      </c>
      <c r="V185" s="164">
        <f>V187+133546</f>
        <v>181842</v>
      </c>
      <c r="W185" s="164">
        <f>W187+137192</f>
        <v>182736</v>
      </c>
      <c r="X185" s="164">
        <f>X187+148135</f>
        <v>198228</v>
      </c>
      <c r="Y185" s="164">
        <f>Y187+152543</f>
        <v>198382</v>
      </c>
      <c r="Z185" s="164">
        <f>Z187+154698</f>
        <v>202821</v>
      </c>
      <c r="AA185" s="164">
        <f>AA187+157959</f>
        <v>200305</v>
      </c>
      <c r="AB185" s="164">
        <f>AB187+155450</f>
        <v>195328</v>
      </c>
      <c r="AC185" s="164">
        <f>AC187+150406</f>
        <v>194318</v>
      </c>
      <c r="AD185" s="164">
        <f>AD187+149057</f>
        <v>194364</v>
      </c>
      <c r="AE185" s="164">
        <f>AE187+143285</f>
        <v>189368</v>
      </c>
      <c r="AF185" s="164">
        <f>AF187+140409</f>
        <v>179209</v>
      </c>
      <c r="AG185" s="164">
        <f>AG187+138443</f>
        <v>182205</v>
      </c>
      <c r="AH185" s="164">
        <f>AH187+151263</f>
        <v>192281</v>
      </c>
      <c r="AI185" s="164">
        <f>AI187+158453</f>
        <v>198307</v>
      </c>
      <c r="AJ185" s="164">
        <f>AJ187+155471</f>
        <v>191342</v>
      </c>
      <c r="AK185" s="164">
        <f>AK187+149924</f>
        <v>181329</v>
      </c>
      <c r="AL185" s="164">
        <f>AL187+155976</f>
        <v>186825</v>
      </c>
      <c r="AM185" s="164">
        <f>AM187+148313</f>
        <v>179237</v>
      </c>
      <c r="AN185" s="164">
        <f>AN187+146168</f>
        <v>172235</v>
      </c>
      <c r="AO185" s="164">
        <f>AO187+129338</f>
        <v>159464</v>
      </c>
      <c r="AP185" s="164">
        <f>AP187+124950</f>
        <v>150329</v>
      </c>
      <c r="AQ185" s="164">
        <f>AQ187+118958</f>
        <v>148848</v>
      </c>
      <c r="AR185" s="164">
        <f>AR187+119273</f>
        <v>149744</v>
      </c>
      <c r="AS185" s="164">
        <f>AS187+131155</f>
        <v>158236</v>
      </c>
      <c r="AT185" s="164">
        <f>AT187+160136</f>
        <v>187304</v>
      </c>
      <c r="AU185" s="164">
        <f>AU187+171348</f>
        <v>200218</v>
      </c>
      <c r="AV185" s="164">
        <f>AV187+179676</f>
        <v>210448</v>
      </c>
      <c r="AW185" s="164">
        <f>AW187+193276</f>
        <v>223454</v>
      </c>
      <c r="AX185" s="164">
        <f>AX187+199599</f>
        <v>220866</v>
      </c>
      <c r="AY185" s="164">
        <f>AY187+204624</f>
        <v>228405</v>
      </c>
      <c r="AZ185" s="171">
        <f>AZ187+211594</f>
        <v>232935</v>
      </c>
      <c r="BA185" s="55">
        <f t="shared" si="1354"/>
        <v>239669.82249986767</v>
      </c>
      <c r="BB185" s="55">
        <f t="shared" si="1355"/>
        <v>245661.56806236436</v>
      </c>
      <c r="BC185" s="55">
        <f t="shared" si="1356"/>
        <v>251803.10726392345</v>
      </c>
      <c r="BD185" s="55">
        <f t="shared" si="1357"/>
        <v>258098.1849455215</v>
      </c>
      <c r="BE185" s="55">
        <f t="shared" si="1358"/>
        <v>264550.63956915954</v>
      </c>
      <c r="BF185" s="55">
        <f t="shared" si="1359"/>
        <v>271164.40555838851</v>
      </c>
      <c r="BG185" s="55">
        <f t="shared" si="1360"/>
        <v>277943.51569734816</v>
      </c>
      <c r="BH185" s="55">
        <f t="shared" si="1361"/>
        <v>284892.10358978179</v>
      </c>
      <c r="BI185" s="55">
        <f t="shared" si="1362"/>
        <v>289911.25037320209</v>
      </c>
      <c r="BJ185" s="55">
        <f t="shared" si="1363"/>
        <v>295056.16593235417</v>
      </c>
      <c r="BK185" s="55">
        <f t="shared" si="1364"/>
        <v>300838.19429541542</v>
      </c>
      <c r="BL185" s="55">
        <f t="shared" si="1365"/>
        <v>306734.61599071382</v>
      </c>
      <c r="BM185" s="55">
        <f t="shared" si="1366"/>
        <v>312747.70710478124</v>
      </c>
      <c r="BN185" s="55">
        <f t="shared" si="1367"/>
        <v>318879.78916746349</v>
      </c>
      <c r="BO185" s="55">
        <f t="shared" si="1368"/>
        <v>325133.23006115801</v>
      </c>
      <c r="BP185" s="55">
        <f t="shared" si="1369"/>
        <v>331510.44494826929</v>
      </c>
      <c r="BQ185" s="55">
        <f t="shared" si="1370"/>
        <v>338013.89721724635</v>
      </c>
      <c r="BR185" s="55"/>
      <c r="BS185" s="55"/>
      <c r="BT185" s="55"/>
      <c r="BU185" s="55"/>
      <c r="BV185" s="55"/>
      <c r="BW185" s="55"/>
      <c r="BX185" s="55"/>
      <c r="BY185" s="55"/>
      <c r="BZ185" s="55"/>
      <c r="CA185" s="55"/>
      <c r="CB185" s="55"/>
      <c r="CC185" s="55"/>
      <c r="CD185" s="55"/>
      <c r="CE185" s="55"/>
      <c r="CF185" s="55">
        <f>K185</f>
        <v>57623</v>
      </c>
      <c r="CG185" s="55">
        <f>M185</f>
        <v>61395</v>
      </c>
      <c r="CH185" s="55">
        <f>O185</f>
        <v>71053</v>
      </c>
      <c r="CI185" s="55">
        <f>Q185</f>
        <v>108618</v>
      </c>
      <c r="CJ185" s="55">
        <f>S185</f>
        <v>155912</v>
      </c>
      <c r="CK185" s="55">
        <f>U185</f>
        <v>163603</v>
      </c>
      <c r="CL185" s="55">
        <f>W185</f>
        <v>182736</v>
      </c>
      <c r="CM185" s="55">
        <f>Y185</f>
        <v>198382</v>
      </c>
      <c r="CN185" s="55">
        <f>AA185</f>
        <v>200305</v>
      </c>
      <c r="CO185" s="55">
        <f>AC185</f>
        <v>194318</v>
      </c>
      <c r="CP185" s="86">
        <f>AE185</f>
        <v>189368</v>
      </c>
      <c r="CQ185" s="55">
        <f>AG185</f>
        <v>182205</v>
      </c>
      <c r="CR185" s="55">
        <f>AI185</f>
        <v>198307</v>
      </c>
      <c r="CS185" s="55">
        <f>AK185</f>
        <v>181329</v>
      </c>
      <c r="CT185" s="55">
        <f>AM185</f>
        <v>179237</v>
      </c>
      <c r="CU185" s="55">
        <f>AO185</f>
        <v>159464</v>
      </c>
      <c r="CV185" s="21">
        <f t="shared" si="1371"/>
        <v>148848</v>
      </c>
      <c r="CW185" s="21">
        <f t="shared" si="1372"/>
        <v>158236</v>
      </c>
      <c r="CX185" s="21">
        <f t="shared" si="1373"/>
        <v>200218</v>
      </c>
      <c r="CY185" s="55">
        <f>AW185</f>
        <v>223454</v>
      </c>
      <c r="CZ185" s="56">
        <f>AY185</f>
        <v>228405</v>
      </c>
      <c r="DA185" s="55">
        <f>BA185</f>
        <v>239669.82249986767</v>
      </c>
      <c r="DB185" s="55">
        <f>BC185</f>
        <v>251803.10726392345</v>
      </c>
      <c r="DC185" s="55">
        <f>BE185</f>
        <v>264550.63956915954</v>
      </c>
      <c r="DD185" s="55">
        <f>BG185</f>
        <v>277943.51569734816</v>
      </c>
      <c r="DE185" s="55">
        <f>BI185</f>
        <v>289911.25037320209</v>
      </c>
      <c r="DF185" s="55">
        <f>BK185</f>
        <v>300838.19429541542</v>
      </c>
      <c r="DG185" s="55">
        <f>BM185</f>
        <v>312747.70710478124</v>
      </c>
      <c r="DH185" s="55">
        <f>BO185</f>
        <v>325133.23006115801</v>
      </c>
      <c r="DI185" s="55">
        <f>BQ185</f>
        <v>338013.89721724635</v>
      </c>
    </row>
    <row r="186" spans="1:113" s="24" customFormat="1" outlineLevel="1">
      <c r="A186" s="1" t="s">
        <v>612</v>
      </c>
      <c r="B186" s="24" t="s">
        <v>168</v>
      </c>
      <c r="C186" s="82">
        <f t="shared" ref="C186:L186" si="1374">C184+C185</f>
        <v>101980</v>
      </c>
      <c r="D186" s="82">
        <f t="shared" si="1374"/>
        <v>107132</v>
      </c>
      <c r="E186" s="82">
        <f t="shared" si="1374"/>
        <v>114739</v>
      </c>
      <c r="F186" s="82">
        <f t="shared" si="1374"/>
        <v>116956</v>
      </c>
      <c r="G186" s="82">
        <f t="shared" si="1374"/>
        <v>117134</v>
      </c>
      <c r="H186" s="82">
        <f t="shared" si="1374"/>
        <v>131741</v>
      </c>
      <c r="I186" s="82">
        <f t="shared" si="1374"/>
        <v>135568</v>
      </c>
      <c r="J186" s="82">
        <f t="shared" si="1374"/>
        <v>138040</v>
      </c>
      <c r="K186" s="82">
        <f t="shared" si="1374"/>
        <v>138853</v>
      </c>
      <c r="L186" s="82">
        <f t="shared" si="1374"/>
        <v>144361</v>
      </c>
      <c r="M186" s="82">
        <f t="shared" ref="M186:W186" si="1375">M184+M185</f>
        <v>148814</v>
      </c>
      <c r="N186" s="82">
        <f t="shared" si="1375"/>
        <v>158902</v>
      </c>
      <c r="O186" s="82">
        <f t="shared" si="1375"/>
        <v>187395</v>
      </c>
      <c r="P186" s="82">
        <f t="shared" si="1375"/>
        <v>218688</v>
      </c>
      <c r="Q186" s="82">
        <f t="shared" si="1375"/>
        <v>232472</v>
      </c>
      <c r="R186" s="82">
        <f t="shared" si="1375"/>
        <v>298240</v>
      </c>
      <c r="S186" s="82">
        <f t="shared" si="1375"/>
        <v>316429</v>
      </c>
      <c r="T186" s="82">
        <f t="shared" si="1375"/>
        <v>324460</v>
      </c>
      <c r="U186" s="82">
        <f t="shared" si="1375"/>
        <v>329713</v>
      </c>
      <c r="V186" s="82">
        <f t="shared" si="1375"/>
        <v>348474</v>
      </c>
      <c r="W186" s="82">
        <f t="shared" si="1375"/>
        <v>359556</v>
      </c>
      <c r="X186" s="82">
        <f t="shared" ref="X186:AK186" si="1376">X184+X185</f>
        <v>381504</v>
      </c>
      <c r="Y186" s="82">
        <f t="shared" si="1376"/>
        <v>382778</v>
      </c>
      <c r="Z186" s="82">
        <f t="shared" si="1376"/>
        <v>395435</v>
      </c>
      <c r="AA186" s="82">
        <f t="shared" si="1376"/>
        <v>404213</v>
      </c>
      <c r="AB186" s="82">
        <f t="shared" si="1376"/>
        <v>418397</v>
      </c>
      <c r="AC186" s="82">
        <f t="shared" si="1376"/>
        <v>431844</v>
      </c>
      <c r="AD186" s="82">
        <f t="shared" si="1376"/>
        <v>448696</v>
      </c>
      <c r="AE186" s="82">
        <f t="shared" si="1376"/>
        <v>467556</v>
      </c>
      <c r="AF186" s="82">
        <f t="shared" si="1376"/>
        <v>478322</v>
      </c>
      <c r="AG186" s="82">
        <f t="shared" si="1376"/>
        <v>499017</v>
      </c>
      <c r="AH186" s="82">
        <f t="shared" si="1376"/>
        <v>516521</v>
      </c>
      <c r="AI186" s="82">
        <f t="shared" si="1376"/>
        <v>533673</v>
      </c>
      <c r="AJ186" s="82">
        <f t="shared" si="1376"/>
        <v>535763</v>
      </c>
      <c r="AK186" s="82">
        <f t="shared" si="1376"/>
        <v>528018</v>
      </c>
      <c r="AL186" s="82">
        <f t="shared" ref="AL186:AQ186" si="1377">AL184+AL185</f>
        <v>534157</v>
      </c>
      <c r="AM186" s="82">
        <f t="shared" si="1377"/>
        <v>536810</v>
      </c>
      <c r="AN186" s="82">
        <f t="shared" si="1377"/>
        <v>555335</v>
      </c>
      <c r="AO186" s="82">
        <f t="shared" si="1377"/>
        <v>599772</v>
      </c>
      <c r="AP186" s="82">
        <f t="shared" si="1377"/>
        <v>634866</v>
      </c>
      <c r="AQ186" s="82">
        <f t="shared" si="1377"/>
        <v>658839</v>
      </c>
      <c r="AR186" s="82">
        <f t="shared" ref="AR186" si="1378">AR184+AR185</f>
        <v>693155</v>
      </c>
      <c r="AS186" s="82">
        <f t="shared" ref="AS186:AT186" si="1379">AS184+AS185</f>
        <v>730564</v>
      </c>
      <c r="AT186" s="82">
        <f t="shared" si="1379"/>
        <v>747431</v>
      </c>
      <c r="AU186" s="82">
        <f t="shared" ref="AU186:AV186" si="1380">AU184+AU185</f>
        <v>767390</v>
      </c>
      <c r="AV186" s="82">
        <f t="shared" si="1380"/>
        <v>772819</v>
      </c>
      <c r="AW186" s="82">
        <f t="shared" ref="AW186:AY186" si="1381">AW184+AW185</f>
        <v>779701</v>
      </c>
      <c r="AX186" s="82">
        <f t="shared" si="1381"/>
        <v>790158</v>
      </c>
      <c r="AY186" s="82">
        <f t="shared" si="1381"/>
        <v>820998</v>
      </c>
      <c r="AZ186" s="83">
        <f t="shared" ref="AZ186" si="1382">AZ184+AZ185</f>
        <v>863853</v>
      </c>
      <c r="BA186" s="82">
        <f t="shared" ref="BA186:BD186" si="1383">BA161/BA55</f>
        <v>889768.59</v>
      </c>
      <c r="BB186" s="82">
        <f t="shared" si="1383"/>
        <v>912012.80474999989</v>
      </c>
      <c r="BC186" s="82">
        <f t="shared" si="1383"/>
        <v>934813.12486874987</v>
      </c>
      <c r="BD186" s="82">
        <f t="shared" si="1383"/>
        <v>958183.45299046848</v>
      </c>
      <c r="BE186" s="82">
        <f>BE161/BE55</f>
        <v>982138.0393152301</v>
      </c>
      <c r="BF186" s="82">
        <f t="shared" ref="BF186:BM186" si="1384">BF161/BF55</f>
        <v>1006691.4902981106</v>
      </c>
      <c r="BG186" s="82">
        <f t="shared" si="1384"/>
        <v>1031858.7775555633</v>
      </c>
      <c r="BH186" s="82">
        <f t="shared" si="1384"/>
        <v>1057655.2469944523</v>
      </c>
      <c r="BI186" s="82">
        <f t="shared" si="1384"/>
        <v>1078751.9153517524</v>
      </c>
      <c r="BJ186" s="82">
        <f t="shared" si="1384"/>
        <v>1100271.0006669082</v>
      </c>
      <c r="BK186" s="82">
        <f t="shared" si="1384"/>
        <v>1122220.9772193604</v>
      </c>
      <c r="BL186" s="82">
        <f t="shared" si="1384"/>
        <v>1144610.489458143</v>
      </c>
      <c r="BM186" s="82">
        <f t="shared" si="1384"/>
        <v>1167448.3554206567</v>
      </c>
      <c r="BN186" s="82">
        <f t="shared" ref="BN186:BO186" si="1385">BN161/BN55</f>
        <v>1190743.5702201396</v>
      </c>
      <c r="BO186" s="82">
        <f t="shared" si="1385"/>
        <v>1214505.3096032185</v>
      </c>
      <c r="BP186" s="82">
        <f t="shared" ref="BP186:BQ186" si="1386">BP161/BP55</f>
        <v>1238742.9335789541</v>
      </c>
      <c r="BQ186" s="82">
        <f t="shared" si="1386"/>
        <v>1263465.9901208105</v>
      </c>
      <c r="BR186" s="82"/>
      <c r="BS186" s="81">
        <v>60520</v>
      </c>
      <c r="BT186" s="81">
        <f>69135-49-197</f>
        <v>68889</v>
      </c>
      <c r="BU186" s="81">
        <f>68746-275-775</f>
        <v>67696</v>
      </c>
      <c r="BV186" s="81">
        <f>72254-3491-521</f>
        <v>68242</v>
      </c>
      <c r="BW186" s="81">
        <f>62408-20-1497</f>
        <v>60891</v>
      </c>
      <c r="BX186" s="81">
        <f>67225-714-8</f>
        <v>66503</v>
      </c>
      <c r="BY186" s="81">
        <f>71620-662-7</f>
        <v>70951</v>
      </c>
      <c r="BZ186" s="81">
        <f>81506-619-7</f>
        <v>80880</v>
      </c>
      <c r="CA186" s="81">
        <f>99816-7-946</f>
        <v>98863</v>
      </c>
      <c r="CB186" s="81">
        <f>102421-6-435</f>
        <v>101980</v>
      </c>
      <c r="CC186" s="82">
        <f>E186</f>
        <v>114739</v>
      </c>
      <c r="CD186" s="82">
        <f>G186</f>
        <v>117134</v>
      </c>
      <c r="CE186" s="82">
        <f>I186</f>
        <v>135568</v>
      </c>
      <c r="CF186" s="82">
        <f>K186</f>
        <v>138853</v>
      </c>
      <c r="CG186" s="82">
        <f>M186</f>
        <v>148814</v>
      </c>
      <c r="CH186" s="82">
        <f>O186</f>
        <v>187395</v>
      </c>
      <c r="CI186" s="82">
        <f>Q186</f>
        <v>232472</v>
      </c>
      <c r="CJ186" s="82">
        <f>S186</f>
        <v>316429</v>
      </c>
      <c r="CK186" s="82">
        <f>U186</f>
        <v>329713</v>
      </c>
      <c r="CL186" s="82">
        <f>W186</f>
        <v>359556</v>
      </c>
      <c r="CM186" s="82">
        <f>Y186</f>
        <v>382778</v>
      </c>
      <c r="CN186" s="82">
        <f>AA186</f>
        <v>404213</v>
      </c>
      <c r="CO186" s="82">
        <f>AC186</f>
        <v>431844</v>
      </c>
      <c r="CP186" s="82">
        <f>AE186</f>
        <v>467556</v>
      </c>
      <c r="CQ186" s="82">
        <f>AG186</f>
        <v>499017</v>
      </c>
      <c r="CR186" s="82">
        <f>AI186</f>
        <v>533673</v>
      </c>
      <c r="CS186" s="82">
        <f>AK186</f>
        <v>528018</v>
      </c>
      <c r="CT186" s="82">
        <f>AM186</f>
        <v>536810</v>
      </c>
      <c r="CU186" s="82">
        <f>AO186</f>
        <v>599772</v>
      </c>
      <c r="CV186" s="82">
        <f>AQ186</f>
        <v>658839</v>
      </c>
      <c r="CW186" s="82">
        <f>AS186</f>
        <v>730564</v>
      </c>
      <c r="CX186" s="82">
        <f>AU186</f>
        <v>767390</v>
      </c>
      <c r="CY186" s="82">
        <f>AW186</f>
        <v>779701</v>
      </c>
      <c r="CZ186" s="83">
        <f>AY186</f>
        <v>820998</v>
      </c>
      <c r="DA186" s="82">
        <f>BA186</f>
        <v>889768.59</v>
      </c>
      <c r="DB186" s="82">
        <f>BC186</f>
        <v>934813.12486874987</v>
      </c>
      <c r="DC186" s="82">
        <f>BE186</f>
        <v>982138.0393152301</v>
      </c>
      <c r="DD186" s="82">
        <f>BG186</f>
        <v>1031858.7775555633</v>
      </c>
      <c r="DE186" s="82">
        <f>BI186</f>
        <v>1078751.9153517524</v>
      </c>
      <c r="DF186" s="82">
        <f>BK186</f>
        <v>1122220.9772193604</v>
      </c>
      <c r="DG186" s="82">
        <f>BM186</f>
        <v>1167448.3554206567</v>
      </c>
      <c r="DH186" s="82">
        <f>BO186</f>
        <v>1214505.3096032185</v>
      </c>
      <c r="DI186" s="82">
        <f>BQ186</f>
        <v>1263465.9901208105</v>
      </c>
    </row>
    <row r="187" spans="1:113" s="84" customFormat="1" outlineLevel="1">
      <c r="A187" s="1" t="s">
        <v>613</v>
      </c>
      <c r="B187" s="84" t="s">
        <v>614</v>
      </c>
      <c r="C187" s="53">
        <v>12927</v>
      </c>
      <c r="D187" s="53">
        <v>12589</v>
      </c>
      <c r="E187" s="53">
        <v>15832</v>
      </c>
      <c r="F187" s="53">
        <v>13535</v>
      </c>
      <c r="G187" s="53">
        <v>11228</v>
      </c>
      <c r="H187" s="53">
        <v>19636</v>
      </c>
      <c r="I187" s="53">
        <v>20516</v>
      </c>
      <c r="J187" s="53">
        <v>18594</v>
      </c>
      <c r="K187" s="53">
        <v>16041</v>
      </c>
      <c r="L187" s="53">
        <v>17351</v>
      </c>
      <c r="M187" s="85">
        <v>18185</v>
      </c>
      <c r="N187" s="85">
        <f>20590</f>
        <v>20590</v>
      </c>
      <c r="O187" s="85">
        <v>20165</v>
      </c>
      <c r="P187" s="85">
        <v>37292</v>
      </c>
      <c r="Q187" s="85">
        <v>36981</v>
      </c>
      <c r="R187" s="85">
        <v>44356</v>
      </c>
      <c r="S187" s="85">
        <v>56735</v>
      </c>
      <c r="T187" s="85">
        <v>54818</v>
      </c>
      <c r="U187" s="85">
        <v>40891</v>
      </c>
      <c r="V187" s="85">
        <v>48296</v>
      </c>
      <c r="W187" s="85">
        <v>45544</v>
      </c>
      <c r="X187" s="85">
        <v>50093</v>
      </c>
      <c r="Y187" s="85">
        <v>45839</v>
      </c>
      <c r="Z187" s="85">
        <v>48123</v>
      </c>
      <c r="AA187" s="165">
        <v>42346</v>
      </c>
      <c r="AB187" s="165">
        <v>39878</v>
      </c>
      <c r="AC187" s="165">
        <v>43912</v>
      </c>
      <c r="AD187" s="165">
        <v>45307</v>
      </c>
      <c r="AE187" s="165">
        <v>46083</v>
      </c>
      <c r="AF187" s="165">
        <v>38800</v>
      </c>
      <c r="AG187" s="165">
        <v>43762</v>
      </c>
      <c r="AH187" s="165">
        <v>41018</v>
      </c>
      <c r="AI187" s="165">
        <v>39854</v>
      </c>
      <c r="AJ187" s="165">
        <v>35871</v>
      </c>
      <c r="AK187" s="165">
        <v>31405</v>
      </c>
      <c r="AL187" s="165">
        <v>30849</v>
      </c>
      <c r="AM187" s="165">
        <v>30924</v>
      </c>
      <c r="AN187" s="165">
        <v>26067</v>
      </c>
      <c r="AO187" s="165">
        <v>30126</v>
      </c>
      <c r="AP187" s="165">
        <v>25379</v>
      </c>
      <c r="AQ187" s="165">
        <v>29890</v>
      </c>
      <c r="AR187" s="165">
        <v>30471</v>
      </c>
      <c r="AS187" s="165">
        <v>27081</v>
      </c>
      <c r="AT187" s="165">
        <v>27168</v>
      </c>
      <c r="AU187" s="165">
        <v>28870</v>
      </c>
      <c r="AV187" s="165">
        <v>30772</v>
      </c>
      <c r="AW187" s="165">
        <v>30178</v>
      </c>
      <c r="AX187" s="165">
        <v>21267</v>
      </c>
      <c r="AY187" s="165">
        <v>23781</v>
      </c>
      <c r="AZ187" s="392">
        <v>21341</v>
      </c>
      <c r="BA187" s="86">
        <f t="shared" ref="BA187:BE187" si="1387">AZ187*BA186/AZ186</f>
        <v>21981.23</v>
      </c>
      <c r="BB187" s="86">
        <f t="shared" si="1387"/>
        <v>22530.760749999998</v>
      </c>
      <c r="BC187" s="86">
        <f t="shared" si="1387"/>
        <v>23094.029768749999</v>
      </c>
      <c r="BD187" s="86">
        <f t="shared" si="1387"/>
        <v>23671.380512968746</v>
      </c>
      <c r="BE187" s="86">
        <f t="shared" si="1387"/>
        <v>24263.165025792961</v>
      </c>
      <c r="BF187" s="86">
        <f t="shared" ref="BF187:BM187" si="1388">BE187*BF186/BE186</f>
        <v>24869.744151437779</v>
      </c>
      <c r="BG187" s="86">
        <f t="shared" si="1388"/>
        <v>25491.487755223719</v>
      </c>
      <c r="BH187" s="86">
        <f t="shared" si="1388"/>
        <v>26128.774949104311</v>
      </c>
      <c r="BI187" s="86">
        <f t="shared" si="1388"/>
        <v>26649.956214219026</v>
      </c>
      <c r="BJ187" s="86">
        <f t="shared" si="1388"/>
        <v>27181.573051471129</v>
      </c>
      <c r="BK187" s="86">
        <f t="shared" si="1388"/>
        <v>27723.834813143407</v>
      </c>
      <c r="BL187" s="86">
        <f t="shared" si="1388"/>
        <v>28276.955055462251</v>
      </c>
      <c r="BM187" s="86">
        <f t="shared" si="1388"/>
        <v>28841.151623056514</v>
      </c>
      <c r="BN187" s="86">
        <f t="shared" ref="BN187" si="1389">BM187*BN186/BM186</f>
        <v>29416.6467351135</v>
      </c>
      <c r="BO187" s="86">
        <f t="shared" ref="BO187" si="1390">BN187*BO186/BN186</f>
        <v>30003.667073266271</v>
      </c>
      <c r="BP187" s="86">
        <f t="shared" ref="BP187" si="1391">BO187*BP186/BO186</f>
        <v>30602.443871247149</v>
      </c>
      <c r="BQ187" s="86">
        <f t="shared" ref="BQ187" si="1392">BP187*BQ186/BP186</f>
        <v>31213.213006342772</v>
      </c>
      <c r="BR187" s="86"/>
      <c r="BS187" s="53">
        <f>BT187*BS186/BT186</f>
        <v>1542.5438899016276</v>
      </c>
      <c r="BT187" s="53">
        <f>BU187*BT186/BU186</f>
        <v>1755.8543627137017</v>
      </c>
      <c r="BU187" s="53">
        <f>BV187*BU186/BV186</f>
        <v>1725.4469790280996</v>
      </c>
      <c r="BV187" s="53">
        <f>BW187*BV186/BW186</f>
        <v>1739.3635184181571</v>
      </c>
      <c r="BW187" s="53">
        <v>1552</v>
      </c>
      <c r="BX187" s="53">
        <v>1700</v>
      </c>
      <c r="BY187" s="53">
        <v>2156</v>
      </c>
      <c r="BZ187" s="53">
        <v>11000</v>
      </c>
      <c r="CA187" s="53">
        <v>14136</v>
      </c>
      <c r="CB187" s="53">
        <v>12927</v>
      </c>
      <c r="CC187" s="86">
        <f>E187</f>
        <v>15832</v>
      </c>
      <c r="CD187" s="86">
        <f>G187</f>
        <v>11228</v>
      </c>
      <c r="CE187" s="86">
        <f>I187</f>
        <v>20516</v>
      </c>
      <c r="CF187" s="86">
        <f>K187</f>
        <v>16041</v>
      </c>
      <c r="CG187" s="86">
        <f>M187</f>
        <v>18185</v>
      </c>
      <c r="CH187" s="86">
        <f>O187</f>
        <v>20165</v>
      </c>
      <c r="CI187" s="86">
        <f>Q187</f>
        <v>36981</v>
      </c>
      <c r="CJ187" s="86">
        <f>S187</f>
        <v>56735</v>
      </c>
      <c r="CK187" s="86">
        <f>U187</f>
        <v>40891</v>
      </c>
      <c r="CL187" s="86">
        <f>W187</f>
        <v>45544</v>
      </c>
      <c r="CM187" s="86">
        <f>Y187</f>
        <v>45839</v>
      </c>
      <c r="CN187" s="86">
        <f>AA187</f>
        <v>42346</v>
      </c>
      <c r="CO187" s="86">
        <f>AC187</f>
        <v>43912</v>
      </c>
      <c r="CP187" s="86">
        <f>AE187</f>
        <v>46083</v>
      </c>
      <c r="CQ187" s="86">
        <f>AG187</f>
        <v>43762</v>
      </c>
      <c r="CR187" s="86">
        <f>AI187</f>
        <v>39854</v>
      </c>
      <c r="CS187" s="86">
        <f>AK187</f>
        <v>31405</v>
      </c>
      <c r="CT187" s="86">
        <f>AM187</f>
        <v>30924</v>
      </c>
      <c r="CU187" s="86">
        <f>AO187</f>
        <v>30126</v>
      </c>
      <c r="CV187" s="86">
        <f>AQ187</f>
        <v>29890</v>
      </c>
      <c r="CW187" s="86">
        <f>AS187</f>
        <v>27081</v>
      </c>
      <c r="CX187" s="86">
        <f>AU187</f>
        <v>28870</v>
      </c>
      <c r="CY187" s="86">
        <f>AW187</f>
        <v>30178</v>
      </c>
      <c r="CZ187" s="87">
        <f>AY187</f>
        <v>23781</v>
      </c>
      <c r="DA187" s="86">
        <f>BA187</f>
        <v>21981.23</v>
      </c>
      <c r="DB187" s="86">
        <f>BC187</f>
        <v>23094.029768749999</v>
      </c>
      <c r="DC187" s="86">
        <f>BE187</f>
        <v>24263.165025792961</v>
      </c>
      <c r="DD187" s="86">
        <f>BG187</f>
        <v>25491.487755223719</v>
      </c>
      <c r="DE187" s="86">
        <f>BI187</f>
        <v>26649.956214219026</v>
      </c>
      <c r="DF187" s="86">
        <f>BK187</f>
        <v>27723.834813143407</v>
      </c>
      <c r="DG187" s="86">
        <f>BM187</f>
        <v>28841.151623056514</v>
      </c>
      <c r="DH187" s="86">
        <f>BO187</f>
        <v>30003.667073266271</v>
      </c>
      <c r="DI187" s="86">
        <f>BQ187</f>
        <v>31213.213006342772</v>
      </c>
    </row>
    <row r="188" spans="1:113" outlineLevel="1">
      <c r="C188" s="55"/>
      <c r="D188" s="55"/>
      <c r="E188" s="55"/>
      <c r="F188" s="55"/>
      <c r="G188" s="55"/>
      <c r="H188" s="55"/>
      <c r="I188" s="55"/>
      <c r="J188" s="55"/>
      <c r="K188" s="55"/>
      <c r="L188" s="55"/>
      <c r="M188" s="55"/>
      <c r="N188" s="55"/>
      <c r="O188" s="55"/>
      <c r="P188" s="55"/>
      <c r="Q188" s="55"/>
      <c r="R188" s="55"/>
      <c r="S188" s="55"/>
      <c r="T188" s="55"/>
      <c r="U188" s="55"/>
      <c r="V188" s="55"/>
      <c r="W188" s="55"/>
      <c r="X188" s="55"/>
      <c r="Y188" s="55"/>
      <c r="Z188" s="55"/>
      <c r="AA188" s="55"/>
      <c r="AB188" s="55"/>
      <c r="AC188" s="55"/>
      <c r="AD188" s="55"/>
      <c r="AE188" s="55"/>
      <c r="AF188" s="55"/>
      <c r="AG188" s="55"/>
      <c r="AH188" s="55"/>
      <c r="AI188" s="55"/>
      <c r="AJ188" s="55"/>
      <c r="AK188" s="55"/>
      <c r="AL188" s="55"/>
      <c r="AM188" s="55"/>
      <c r="AN188" s="55"/>
      <c r="AO188" s="55"/>
      <c r="AP188" s="55"/>
      <c r="AQ188" s="55"/>
      <c r="AR188" s="55"/>
      <c r="AS188" s="55"/>
      <c r="AT188" s="55"/>
      <c r="AU188" s="55"/>
      <c r="AV188" s="55"/>
      <c r="AW188" s="55"/>
      <c r="AX188" s="55"/>
      <c r="AY188" s="55"/>
      <c r="AZ188" s="56"/>
      <c r="BA188" s="55"/>
      <c r="BB188" s="55"/>
      <c r="BC188" s="55"/>
      <c r="BD188" s="55"/>
      <c r="BE188" s="55"/>
      <c r="BF188" s="55"/>
      <c r="BG188" s="55"/>
      <c r="BH188" s="55"/>
      <c r="BI188" s="55"/>
      <c r="BJ188" s="55"/>
      <c r="BK188" s="55"/>
      <c r="BL188" s="55"/>
      <c r="BM188" s="55"/>
      <c r="BN188" s="55"/>
      <c r="BO188" s="55"/>
      <c r="BP188" s="55"/>
      <c r="BQ188" s="55"/>
      <c r="BR188" s="55"/>
      <c r="BS188" s="55"/>
      <c r="BT188" s="55"/>
      <c r="BU188" s="55"/>
      <c r="BV188" s="55"/>
      <c r="BW188" s="55"/>
      <c r="BX188" s="55"/>
      <c r="BY188" s="55"/>
      <c r="BZ188" s="55"/>
      <c r="CA188" s="55"/>
      <c r="CB188" s="55"/>
      <c r="CC188" s="55"/>
      <c r="CD188" s="55"/>
      <c r="CE188" s="55"/>
      <c r="CF188" s="55"/>
      <c r="CG188" s="55"/>
      <c r="CH188" s="55"/>
      <c r="CI188" s="55"/>
      <c r="CJ188" s="55"/>
      <c r="CK188" s="55"/>
      <c r="CL188" s="55"/>
      <c r="CM188" s="55"/>
      <c r="CN188" s="55"/>
      <c r="CO188" s="55"/>
      <c r="CP188" s="55"/>
      <c r="CQ188" s="55"/>
      <c r="CR188" s="55"/>
      <c r="CS188" s="55"/>
      <c r="CT188" s="55"/>
      <c r="CU188" s="55"/>
      <c r="CV188" s="55"/>
      <c r="CW188" s="55"/>
      <c r="CX188" s="55"/>
      <c r="CY188" s="55"/>
      <c r="CZ188" s="56"/>
      <c r="DA188" s="55"/>
      <c r="DB188" s="55"/>
      <c r="DC188" s="55"/>
      <c r="DD188" s="55"/>
      <c r="DE188" s="55"/>
      <c r="DF188" s="55"/>
      <c r="DG188" s="55"/>
      <c r="DH188" s="55"/>
      <c r="DI188" s="55"/>
    </row>
    <row r="189" spans="1:113" s="24" customFormat="1" outlineLevel="1">
      <c r="A189" s="1"/>
      <c r="B189" s="24" t="s">
        <v>591</v>
      </c>
      <c r="C189" s="82"/>
      <c r="D189" s="82"/>
      <c r="E189" s="82"/>
      <c r="F189" s="82"/>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c r="AV189" s="82"/>
      <c r="AW189" s="82"/>
      <c r="AX189" s="82"/>
      <c r="AY189" s="82"/>
      <c r="AZ189" s="83"/>
      <c r="BA189" s="82"/>
      <c r="BB189" s="82"/>
      <c r="BC189" s="82"/>
      <c r="BD189" s="82"/>
      <c r="BE189" s="82"/>
      <c r="BF189" s="82"/>
      <c r="BG189" s="82"/>
      <c r="BH189" s="82"/>
      <c r="BI189" s="82"/>
      <c r="BJ189" s="82"/>
      <c r="BK189" s="82"/>
      <c r="BL189" s="82"/>
      <c r="BM189" s="82"/>
      <c r="BN189" s="82"/>
      <c r="BO189" s="82"/>
      <c r="BP189" s="82"/>
      <c r="BQ189" s="82"/>
      <c r="BR189" s="82"/>
      <c r="BS189" s="82"/>
      <c r="BT189" s="82"/>
      <c r="BU189" s="82"/>
      <c r="BV189" s="82"/>
      <c r="BW189" s="82"/>
      <c r="BX189" s="82"/>
      <c r="BY189" s="82"/>
      <c r="BZ189" s="82"/>
      <c r="CA189" s="82"/>
      <c r="CB189" s="82"/>
      <c r="CC189" s="82"/>
      <c r="CD189" s="82"/>
      <c r="CE189" s="82"/>
      <c r="CF189" s="82"/>
      <c r="CG189" s="82"/>
      <c r="CH189" s="82"/>
      <c r="CI189" s="82"/>
      <c r="CJ189" s="82"/>
      <c r="CK189" s="82"/>
      <c r="CL189" s="82"/>
      <c r="CM189" s="82"/>
      <c r="CN189" s="82"/>
      <c r="CO189" s="82"/>
      <c r="CP189" s="82"/>
      <c r="CQ189" s="82"/>
      <c r="CR189" s="82"/>
      <c r="CS189" s="82"/>
      <c r="CT189" s="82"/>
      <c r="CU189" s="82"/>
      <c r="CV189" s="82"/>
      <c r="CW189" s="82"/>
      <c r="CX189" s="82"/>
      <c r="CY189" s="82"/>
      <c r="CZ189" s="83"/>
      <c r="DA189" s="82"/>
      <c r="DB189" s="82"/>
      <c r="DC189" s="82"/>
      <c r="DD189" s="82"/>
      <c r="DE189" s="82"/>
      <c r="DF189" s="82"/>
      <c r="DG189" s="82"/>
      <c r="DH189" s="82"/>
      <c r="DI189" s="82"/>
    </row>
    <row r="190" spans="1:113" outlineLevel="1">
      <c r="A190" s="1" t="s">
        <v>251</v>
      </c>
      <c r="B190" s="19" t="str">
        <f>B$184</f>
        <v>Core deposits</v>
      </c>
      <c r="C190" s="164">
        <f>4130+635</f>
        <v>4765</v>
      </c>
      <c r="D190" s="164">
        <f>4572+740</f>
        <v>5312</v>
      </c>
      <c r="E190" s="164">
        <f>5185+806</f>
        <v>5991</v>
      </c>
      <c r="F190" s="164">
        <f>5822+935</f>
        <v>6757</v>
      </c>
      <c r="G190" s="164">
        <f>5871+921</f>
        <v>6792</v>
      </c>
      <c r="H190" s="164">
        <f>6266+1113</f>
        <v>7379</v>
      </c>
      <c r="I190" s="164">
        <f>6852+1174</f>
        <v>8026</v>
      </c>
      <c r="J190" s="164">
        <f>7622+1158</f>
        <v>8780</v>
      </c>
      <c r="K190" s="164">
        <f>8633+1155</f>
        <v>9788</v>
      </c>
      <c r="L190" s="164">
        <f>7024+1222</f>
        <v>8246</v>
      </c>
      <c r="M190" s="164">
        <f>7088+1166</f>
        <v>8254</v>
      </c>
      <c r="N190" s="164">
        <f>8351+1672</f>
        <v>10023</v>
      </c>
      <c r="O190" s="164">
        <f>9183+1818</f>
        <v>11001</v>
      </c>
      <c r="P190" s="164">
        <f>9235+1693</f>
        <v>10928</v>
      </c>
      <c r="Q190" s="164">
        <f>8351+1468</f>
        <v>9819</v>
      </c>
      <c r="R190" s="164">
        <f>11248+2061</f>
        <v>13309</v>
      </c>
      <c r="S190" s="164">
        <f>9760+1481</f>
        <v>11241</v>
      </c>
      <c r="T190" s="164">
        <f>8895+1618</f>
        <v>10513</v>
      </c>
      <c r="U190" s="164">
        <f>8327+1554</f>
        <v>9881</v>
      </c>
      <c r="V190" s="164">
        <f>7923+1555</f>
        <v>9478</v>
      </c>
      <c r="W190" s="164">
        <f>8083+1565</f>
        <v>9648</v>
      </c>
      <c r="X190" s="164">
        <f>10735+1648</f>
        <v>12383</v>
      </c>
      <c r="Y190" s="164">
        <f>10732+1661</f>
        <v>12393</v>
      </c>
      <c r="Z190" s="164">
        <f>11576+1921</f>
        <v>13497</v>
      </c>
      <c r="AA190" s="164">
        <f>13379+1977</f>
        <v>15356</v>
      </c>
      <c r="AB190" s="164">
        <f>17271+2465</f>
        <v>19736</v>
      </c>
      <c r="AC190" s="164">
        <f>18121+2427</f>
        <v>20548</v>
      </c>
      <c r="AD190" s="164">
        <f>19509+2768</f>
        <v>22277</v>
      </c>
      <c r="AE190" s="164">
        <f>19880+2592</f>
        <v>22472</v>
      </c>
      <c r="AF190" s="164">
        <f>22750+3170</f>
        <v>25920</v>
      </c>
      <c r="AG190" s="164">
        <f>23752+3345</f>
        <v>27097</v>
      </c>
      <c r="AH190" s="164">
        <f>23082+3784</f>
        <v>26866</v>
      </c>
      <c r="AI190" s="164">
        <f>21530+3847</f>
        <v>25377</v>
      </c>
      <c r="AJ190" s="164">
        <f>20758+4244</f>
        <v>25002</v>
      </c>
      <c r="AK190" s="164">
        <f>20629+4418</f>
        <v>25047</v>
      </c>
      <c r="AL190" s="164">
        <f>22328+5114</f>
        <v>27442</v>
      </c>
      <c r="AM190" s="164">
        <f>22167+5286</f>
        <v>27453</v>
      </c>
      <c r="AN190" s="164">
        <f>23531+6326</f>
        <v>29857</v>
      </c>
      <c r="AO190" s="164">
        <f>27406+7588</f>
        <v>34994</v>
      </c>
      <c r="AP190" s="164">
        <f>32100+9815</f>
        <v>41915</v>
      </c>
      <c r="AQ190" s="164">
        <f>33841+10848</f>
        <v>44689</v>
      </c>
      <c r="AR190" s="164">
        <f>36551+13084</f>
        <v>49635</v>
      </c>
      <c r="AS190" s="164">
        <f>34189+11898</f>
        <v>46087</v>
      </c>
      <c r="AT190" s="164">
        <f>32813+11278</f>
        <v>44091</v>
      </c>
      <c r="AU190" s="164">
        <f>30552+9635</f>
        <v>40187</v>
      </c>
      <c r="AV190" s="164">
        <f>30880+9659</f>
        <v>40539</v>
      </c>
      <c r="AW190" s="164">
        <f>80004-AW191</f>
        <v>39385</v>
      </c>
      <c r="AX190" s="164">
        <f>82253-AX191</f>
        <v>40115</v>
      </c>
      <c r="AY190" s="164">
        <f>85552-AY191</f>
        <v>42343</v>
      </c>
      <c r="AZ190" s="171">
        <f>81505-AZ191</f>
        <v>42012</v>
      </c>
      <c r="BA190" s="55">
        <f t="shared" ref="BA190:BA191" si="1393">AZ190*BA$204/AZ$204</f>
        <v>43226.688058318592</v>
      </c>
      <c r="BB190" s="55">
        <f t="shared" ref="BB190:BB191" si="1394">BA190*BB$204/BA$204</f>
        <v>44307.355259776559</v>
      </c>
      <c r="BC190" s="55">
        <f t="shared" ref="BC190:BC191" si="1395">BB190*BC$204/BB$204</f>
        <v>45415.039141270972</v>
      </c>
      <c r="BD190" s="55">
        <f t="shared" ref="BD190:BD191" si="1396">BC190*BD$204/BC$204</f>
        <v>46550.415119802747</v>
      </c>
      <c r="BE190" s="55">
        <f t="shared" ref="BE190:BE191" si="1397">BD190*BE$204/BD$204</f>
        <v>47714.175497797813</v>
      </c>
      <c r="BF190" s="55">
        <f t="shared" ref="BF190:BF191" si="1398">BE190*BF$204/BE$204</f>
        <v>48907.029885242744</v>
      </c>
      <c r="BG190" s="55">
        <f t="shared" ref="BG190:BG191" si="1399">BF190*BG$204/BF$204</f>
        <v>50129.705632373814</v>
      </c>
      <c r="BH190" s="55">
        <f t="shared" ref="BH190:BH191" si="1400">BG190*BH$204/BG$204</f>
        <v>51382.948273183145</v>
      </c>
      <c r="BI190" s="55">
        <f t="shared" ref="BI190:BI191" si="1401">BH190*BI$204/BH$204</f>
        <v>52288.19821271587</v>
      </c>
      <c r="BJ190" s="55">
        <f t="shared" ref="BJ190:BJ191" si="1402">BI190*BJ$204/BI$204</f>
        <v>53216.131724086415</v>
      </c>
      <c r="BK190" s="55">
        <f t="shared" ref="BK190:BK191" si="1403">BJ190*BK$204/BJ$204</f>
        <v>54258.974472445101</v>
      </c>
      <c r="BL190" s="55">
        <f t="shared" ref="BL190:BL191" si="1404">BK190*BL$204/BK$204</f>
        <v>55322.449125300511</v>
      </c>
      <c r="BM190" s="55">
        <f t="shared" ref="BM190:BM191" si="1405">BL190*BM$204/BL$204</f>
        <v>56406.966196089365</v>
      </c>
      <c r="BN190" s="55">
        <f t="shared" ref="BN190:BN191" si="1406">BM190*BN$204/BM$204</f>
        <v>57512.944394373902</v>
      </c>
      <c r="BO190" s="55">
        <f t="shared" ref="BO190:BO191" si="1407">BN190*BO$204/BN$204</f>
        <v>58640.810789831419</v>
      </c>
      <c r="BP190" s="55">
        <f t="shared" ref="BP190:BP191" si="1408">BO190*BP$204/BO$204</f>
        <v>59791.000979529483</v>
      </c>
      <c r="BQ190" s="55">
        <f t="shared" ref="BQ190:BQ191" si="1409">BP190*BQ$204/BP$204</f>
        <v>60963.95925855267</v>
      </c>
      <c r="BR190" s="55"/>
      <c r="BS190" s="55"/>
      <c r="BT190" s="55"/>
      <c r="BU190" s="55"/>
      <c r="BV190" s="55"/>
      <c r="BW190" s="55"/>
      <c r="BX190" s="55"/>
      <c r="BY190" s="55"/>
      <c r="BZ190" s="55"/>
      <c r="CA190" s="55"/>
      <c r="CB190" s="55"/>
      <c r="CC190" s="55"/>
      <c r="CD190" s="55"/>
      <c r="CE190" s="55"/>
      <c r="CF190" s="55">
        <f>K190</f>
        <v>9788</v>
      </c>
      <c r="CG190" s="55">
        <f>M190</f>
        <v>8254</v>
      </c>
      <c r="CH190" s="55">
        <f>O190</f>
        <v>11001</v>
      </c>
      <c r="CI190" s="55">
        <f>Q190</f>
        <v>9819</v>
      </c>
      <c r="CJ190" s="55">
        <f>S190</f>
        <v>11241</v>
      </c>
      <c r="CK190" s="55">
        <f>U190</f>
        <v>9881</v>
      </c>
      <c r="CL190" s="55">
        <f>W190</f>
        <v>9648</v>
      </c>
      <c r="CM190" s="55">
        <f>Y190</f>
        <v>12393</v>
      </c>
      <c r="CN190" s="55">
        <f>AA190</f>
        <v>15356</v>
      </c>
      <c r="CO190" s="55">
        <f>AC190</f>
        <v>20548</v>
      </c>
      <c r="CP190" s="86">
        <f>AE190</f>
        <v>22472</v>
      </c>
      <c r="CQ190" s="55">
        <f>AG190</f>
        <v>27097</v>
      </c>
      <c r="CR190" s="55">
        <f>AI190</f>
        <v>25377</v>
      </c>
      <c r="CS190" s="55">
        <f>AK190</f>
        <v>25047</v>
      </c>
      <c r="CT190" s="55">
        <f>AM190</f>
        <v>27453</v>
      </c>
      <c r="CU190" s="55">
        <f>AO190</f>
        <v>34994</v>
      </c>
      <c r="CV190" s="21">
        <f t="shared" ref="CV190:CV191" si="1410">AQ190</f>
        <v>44689</v>
      </c>
      <c r="CW190" s="21">
        <f t="shared" ref="CW190:CW191" si="1411">AS190</f>
        <v>46087</v>
      </c>
      <c r="CX190" s="21">
        <f t="shared" ref="CX190:CX191" si="1412">AU190</f>
        <v>40187</v>
      </c>
      <c r="CY190" s="55">
        <f>AW190</f>
        <v>39385</v>
      </c>
      <c r="CZ190" s="56">
        <f>AY190</f>
        <v>42343</v>
      </c>
      <c r="DA190" s="55">
        <f>BA190</f>
        <v>43226.688058318592</v>
      </c>
      <c r="DB190" s="55">
        <f>BC190</f>
        <v>45415.039141270972</v>
      </c>
      <c r="DC190" s="55">
        <f>BE190</f>
        <v>47714.175497797813</v>
      </c>
      <c r="DD190" s="55">
        <f>BG190</f>
        <v>50129.705632373814</v>
      </c>
      <c r="DE190" s="55">
        <f>BI190</f>
        <v>52288.19821271587</v>
      </c>
      <c r="DF190" s="55">
        <f>BK190</f>
        <v>54258.974472445101</v>
      </c>
      <c r="DG190" s="55">
        <f>BM190</f>
        <v>56406.966196089365</v>
      </c>
      <c r="DH190" s="55">
        <f>BO190</f>
        <v>58640.810789831419</v>
      </c>
      <c r="DI190" s="55">
        <f>BQ190</f>
        <v>60963.95925855267</v>
      </c>
    </row>
    <row r="191" spans="1:113" outlineLevel="1">
      <c r="A191" s="1" t="s">
        <v>249</v>
      </c>
      <c r="B191" s="19" t="str">
        <f>B$185</f>
        <v>Time deposits (includes CDs)</v>
      </c>
      <c r="C191" s="164">
        <f>C193+7849</f>
        <v>10143</v>
      </c>
      <c r="D191" s="164">
        <f>D193+8547</f>
        <v>12009</v>
      </c>
      <c r="E191" s="164">
        <f>E193+9035</f>
        <v>11293</v>
      </c>
      <c r="F191" s="164">
        <f>F193+10725</f>
        <v>14332</v>
      </c>
      <c r="G191" s="164">
        <f>G193+10326</f>
        <v>13226</v>
      </c>
      <c r="H191" s="164">
        <f>H193+11413</f>
        <v>14998</v>
      </c>
      <c r="I191" s="164">
        <f>I193+11724</f>
        <v>15440</v>
      </c>
      <c r="J191" s="164">
        <f>J193+13719</f>
        <v>16932</v>
      </c>
      <c r="K191" s="164">
        <f>K193+13617</f>
        <v>16722</v>
      </c>
      <c r="L191" s="164">
        <f>L193+13992</f>
        <v>14927</v>
      </c>
      <c r="M191" s="164">
        <f>M193+13790</f>
        <v>14749</v>
      </c>
      <c r="N191" s="164">
        <f>N193+14987</f>
        <v>17401</v>
      </c>
      <c r="O191" s="164">
        <f>O193+16416</f>
        <v>17319</v>
      </c>
      <c r="P191" s="164">
        <f>P193+16895</f>
        <v>20145</v>
      </c>
      <c r="Q191" s="164">
        <f>Q193+15687</f>
        <v>19826</v>
      </c>
      <c r="R191" s="164">
        <f>R193+20658</f>
        <v>28573</v>
      </c>
      <c r="S191" s="164">
        <f>+S193+22517</f>
        <v>32477</v>
      </c>
      <c r="T191" s="164">
        <f>+T193+14472</f>
        <v>14906</v>
      </c>
      <c r="U191" s="164">
        <f>+U193+15715</f>
        <v>16122</v>
      </c>
      <c r="V191" s="164">
        <f>V193+15058</f>
        <v>15479</v>
      </c>
      <c r="W191" s="164">
        <f>W193+15940</f>
        <v>16295</v>
      </c>
      <c r="X191" s="164">
        <f>X193+16531</f>
        <v>16786</v>
      </c>
      <c r="Y191" s="164">
        <f>+Y193+17710</f>
        <v>17964</v>
      </c>
      <c r="Z191" s="164">
        <f>+Z193+17670</f>
        <v>18022</v>
      </c>
      <c r="AA191" s="164">
        <f>+AA193+18959</f>
        <v>19040</v>
      </c>
      <c r="AB191" s="164">
        <f>+AB193+19805</f>
        <v>19882</v>
      </c>
      <c r="AC191" s="164">
        <f>+AC193+20125</f>
        <v>20336</v>
      </c>
      <c r="AD191" s="164">
        <f>+AD193+22043</f>
        <v>22802</v>
      </c>
      <c r="AE191" s="164">
        <f>+AE193+21494</f>
        <v>23356</v>
      </c>
      <c r="AF191" s="164">
        <f>+AF193+21694</f>
        <v>23904</v>
      </c>
      <c r="AG191" s="164">
        <f>+AG193+22060</f>
        <v>24839</v>
      </c>
      <c r="AH191" s="164">
        <f>+AH193+24560</f>
        <v>27081</v>
      </c>
      <c r="AI191" s="164">
        <f>+AI193+27396</f>
        <v>29805</v>
      </c>
      <c r="AJ191" s="164">
        <f>+AJ193+27919</f>
        <v>30081</v>
      </c>
      <c r="AK191" s="164">
        <f>+AK193+29580</f>
        <v>31919</v>
      </c>
      <c r="AL191" s="164">
        <f>+AL193+31484</f>
        <v>34934</v>
      </c>
      <c r="AM191" s="164">
        <f>+AM193+32537</f>
        <v>35766</v>
      </c>
      <c r="AN191" s="164">
        <f>+AN193+32498</f>
        <v>35733</v>
      </c>
      <c r="AO191" s="164">
        <f>+AO193+30717</f>
        <v>34475</v>
      </c>
      <c r="AP191" s="164">
        <f>+AP193+26167</f>
        <v>29656</v>
      </c>
      <c r="AQ191" s="164">
        <f>+AQ193+23649</f>
        <v>27237</v>
      </c>
      <c r="AR191" s="164">
        <f>+AR193+23901</f>
        <v>26610</v>
      </c>
      <c r="AS191" s="164">
        <f>+AS193+23956</f>
        <v>26562</v>
      </c>
      <c r="AT191" s="164">
        <f>+AT193+29576</f>
        <v>32998</v>
      </c>
      <c r="AU191" s="164">
        <f>+AU193+33935</f>
        <v>37332</v>
      </c>
      <c r="AV191" s="164">
        <f>+AV193+37645</f>
        <v>39755</v>
      </c>
      <c r="AW191" s="164">
        <f>+AW193+38288</f>
        <v>40619</v>
      </c>
      <c r="AX191" s="164">
        <f>+AX193+39401</f>
        <v>42138</v>
      </c>
      <c r="AY191" s="164">
        <f>+AY193+40843</f>
        <v>43209</v>
      </c>
      <c r="AZ191" s="171">
        <f>+AZ193+37968</f>
        <v>39493</v>
      </c>
      <c r="BA191" s="55">
        <f t="shared" si="1393"/>
        <v>40634.856504978961</v>
      </c>
      <c r="BB191" s="55">
        <f t="shared" si="1394"/>
        <v>41650.727917603435</v>
      </c>
      <c r="BC191" s="55">
        <f t="shared" si="1395"/>
        <v>42691.996115543516</v>
      </c>
      <c r="BD191" s="55">
        <f t="shared" si="1396"/>
        <v>43759.296018432098</v>
      </c>
      <c r="BE191" s="55">
        <f t="shared" si="1397"/>
        <v>44853.278418892893</v>
      </c>
      <c r="BF191" s="55">
        <f t="shared" si="1398"/>
        <v>45974.610379365207</v>
      </c>
      <c r="BG191" s="55">
        <f t="shared" si="1399"/>
        <v>47123.975638849333</v>
      </c>
      <c r="BH191" s="55">
        <f t="shared" si="1400"/>
        <v>48302.075029820553</v>
      </c>
      <c r="BI191" s="55">
        <f t="shared" si="1401"/>
        <v>49153.047034532683</v>
      </c>
      <c r="BJ191" s="55">
        <f t="shared" si="1402"/>
        <v>50025.342525453299</v>
      </c>
      <c r="BK191" s="55">
        <f t="shared" si="1403"/>
        <v>51005.657403605481</v>
      </c>
      <c r="BL191" s="55">
        <f t="shared" si="1404"/>
        <v>52005.367116668865</v>
      </c>
      <c r="BM191" s="55">
        <f t="shared" si="1405"/>
        <v>53024.857564080652</v>
      </c>
      <c r="BN191" s="55">
        <f t="shared" si="1406"/>
        <v>54064.522349971616</v>
      </c>
      <c r="BO191" s="55">
        <f t="shared" si="1407"/>
        <v>55124.762937322928</v>
      </c>
      <c r="BP191" s="55">
        <f t="shared" si="1408"/>
        <v>56205.98880521176</v>
      </c>
      <c r="BQ191" s="55">
        <f t="shared" si="1409"/>
        <v>57308.617609207344</v>
      </c>
      <c r="BR191" s="55"/>
      <c r="BS191" s="55"/>
      <c r="BT191" s="55"/>
      <c r="BU191" s="55"/>
      <c r="BV191" s="55"/>
      <c r="BW191" s="55"/>
      <c r="BX191" s="55"/>
      <c r="BY191" s="55"/>
      <c r="BZ191" s="55"/>
      <c r="CA191" s="55"/>
      <c r="CB191" s="55"/>
      <c r="CC191" s="55"/>
      <c r="CD191" s="55"/>
      <c r="CE191" s="55"/>
      <c r="CF191" s="55">
        <f>K191</f>
        <v>16722</v>
      </c>
      <c r="CG191" s="55">
        <f>M191</f>
        <v>14749</v>
      </c>
      <c r="CH191" s="55">
        <f>O191</f>
        <v>17319</v>
      </c>
      <c r="CI191" s="55">
        <f>Q191</f>
        <v>19826</v>
      </c>
      <c r="CJ191" s="55">
        <f>S191</f>
        <v>32477</v>
      </c>
      <c r="CK191" s="55">
        <f>U191</f>
        <v>16122</v>
      </c>
      <c r="CL191" s="55">
        <f>W191</f>
        <v>16295</v>
      </c>
      <c r="CM191" s="55">
        <f>Y191</f>
        <v>17964</v>
      </c>
      <c r="CN191" s="55">
        <f>AA191</f>
        <v>19040</v>
      </c>
      <c r="CO191" s="55">
        <f>AC191</f>
        <v>20336</v>
      </c>
      <c r="CP191" s="86">
        <f>AE191</f>
        <v>23356</v>
      </c>
      <c r="CQ191" s="55">
        <f>AG191</f>
        <v>24839</v>
      </c>
      <c r="CR191" s="55">
        <f>AI191</f>
        <v>29805</v>
      </c>
      <c r="CS191" s="55">
        <f>AK191</f>
        <v>31919</v>
      </c>
      <c r="CT191" s="55">
        <f>AM191</f>
        <v>35766</v>
      </c>
      <c r="CU191" s="55">
        <f>AO191</f>
        <v>34475</v>
      </c>
      <c r="CV191" s="21">
        <f t="shared" si="1410"/>
        <v>27237</v>
      </c>
      <c r="CW191" s="21">
        <f t="shared" si="1411"/>
        <v>26562</v>
      </c>
      <c r="CX191" s="21">
        <f t="shared" si="1412"/>
        <v>37332</v>
      </c>
      <c r="CY191" s="55">
        <f t="shared" ref="CY191:CY193" si="1413">AW191</f>
        <v>40619</v>
      </c>
      <c r="CZ191" s="56">
        <f>AY191</f>
        <v>43209</v>
      </c>
      <c r="DA191" s="55">
        <f>BA191</f>
        <v>40634.856504978961</v>
      </c>
      <c r="DB191" s="55">
        <f>BC191</f>
        <v>42691.996115543516</v>
      </c>
      <c r="DC191" s="55">
        <f>BE191</f>
        <v>44853.278418892893</v>
      </c>
      <c r="DD191" s="55">
        <f>BG191</f>
        <v>47123.975638849333</v>
      </c>
      <c r="DE191" s="55">
        <f>BI191</f>
        <v>49153.047034532683</v>
      </c>
      <c r="DF191" s="55">
        <f>BK191</f>
        <v>51005.657403605481</v>
      </c>
      <c r="DG191" s="55">
        <f>BM191</f>
        <v>53024.857564080652</v>
      </c>
      <c r="DH191" s="55">
        <f>BO191</f>
        <v>55124.762937322928</v>
      </c>
      <c r="DI191" s="55">
        <f>BQ191</f>
        <v>57308.617609207344</v>
      </c>
    </row>
    <row r="192" spans="1:113" s="24" customFormat="1" outlineLevel="1">
      <c r="A192" s="1" t="s">
        <v>250</v>
      </c>
      <c r="B192" s="24" t="s">
        <v>168</v>
      </c>
      <c r="C192" s="82">
        <f t="shared" ref="C192:L192" si="1414">C190+C191</f>
        <v>14908</v>
      </c>
      <c r="D192" s="82">
        <f t="shared" si="1414"/>
        <v>17321</v>
      </c>
      <c r="E192" s="82">
        <f t="shared" si="1414"/>
        <v>17284</v>
      </c>
      <c r="F192" s="82">
        <f t="shared" si="1414"/>
        <v>21089</v>
      </c>
      <c r="G192" s="82">
        <f t="shared" si="1414"/>
        <v>20018</v>
      </c>
      <c r="H192" s="82">
        <f t="shared" si="1414"/>
        <v>22377</v>
      </c>
      <c r="I192" s="82">
        <f t="shared" si="1414"/>
        <v>23466</v>
      </c>
      <c r="J192" s="82">
        <f t="shared" si="1414"/>
        <v>25712</v>
      </c>
      <c r="K192" s="82">
        <f t="shared" si="1414"/>
        <v>26510</v>
      </c>
      <c r="L192" s="82">
        <f t="shared" si="1414"/>
        <v>23173</v>
      </c>
      <c r="M192" s="82">
        <f t="shared" ref="M192:W192" si="1415">M190+M191</f>
        <v>23003</v>
      </c>
      <c r="N192" s="82">
        <f t="shared" si="1415"/>
        <v>27424</v>
      </c>
      <c r="O192" s="82">
        <f t="shared" si="1415"/>
        <v>28320</v>
      </c>
      <c r="P192" s="82">
        <f t="shared" si="1415"/>
        <v>31073</v>
      </c>
      <c r="Q192" s="82">
        <f t="shared" si="1415"/>
        <v>29645</v>
      </c>
      <c r="R192" s="82">
        <f t="shared" si="1415"/>
        <v>41882</v>
      </c>
      <c r="S192" s="82">
        <f t="shared" si="1415"/>
        <v>43718</v>
      </c>
      <c r="T192" s="82">
        <f t="shared" si="1415"/>
        <v>25419</v>
      </c>
      <c r="U192" s="82">
        <f t="shared" si="1415"/>
        <v>26003</v>
      </c>
      <c r="V192" s="82">
        <f t="shared" si="1415"/>
        <v>24957</v>
      </c>
      <c r="W192" s="82">
        <f t="shared" si="1415"/>
        <v>25943</v>
      </c>
      <c r="X192" s="82">
        <f t="shared" ref="X192:AK192" si="1416">X190+X191</f>
        <v>29169</v>
      </c>
      <c r="Y192" s="82">
        <f t="shared" si="1416"/>
        <v>30357</v>
      </c>
      <c r="Z192" s="82">
        <f t="shared" si="1416"/>
        <v>31519</v>
      </c>
      <c r="AA192" s="82">
        <f t="shared" si="1416"/>
        <v>34396</v>
      </c>
      <c r="AB192" s="82">
        <f t="shared" si="1416"/>
        <v>39618</v>
      </c>
      <c r="AC192" s="82">
        <f t="shared" si="1416"/>
        <v>40884</v>
      </c>
      <c r="AD192" s="82">
        <f t="shared" si="1416"/>
        <v>45079</v>
      </c>
      <c r="AE192" s="82">
        <f t="shared" si="1416"/>
        <v>45828</v>
      </c>
      <c r="AF192" s="82">
        <f t="shared" si="1416"/>
        <v>49824</v>
      </c>
      <c r="AG192" s="82">
        <f t="shared" si="1416"/>
        <v>51936</v>
      </c>
      <c r="AH192" s="82">
        <f t="shared" si="1416"/>
        <v>53947</v>
      </c>
      <c r="AI192" s="82">
        <f t="shared" si="1416"/>
        <v>55182</v>
      </c>
      <c r="AJ192" s="82">
        <f t="shared" si="1416"/>
        <v>55083</v>
      </c>
      <c r="AK192" s="82">
        <f t="shared" si="1416"/>
        <v>56966</v>
      </c>
      <c r="AL192" s="82">
        <f t="shared" ref="AL192:AQ192" si="1417">AL190+AL191</f>
        <v>62376</v>
      </c>
      <c r="AM192" s="82">
        <f t="shared" si="1417"/>
        <v>63219</v>
      </c>
      <c r="AN192" s="82">
        <f t="shared" si="1417"/>
        <v>65590</v>
      </c>
      <c r="AO192" s="82">
        <f t="shared" si="1417"/>
        <v>69469</v>
      </c>
      <c r="AP192" s="82">
        <f t="shared" si="1417"/>
        <v>71571</v>
      </c>
      <c r="AQ192" s="82">
        <f t="shared" si="1417"/>
        <v>71926</v>
      </c>
      <c r="AR192" s="82">
        <f t="shared" ref="AR192" si="1418">AR190+AR191</f>
        <v>76245</v>
      </c>
      <c r="AS192" s="82">
        <f t="shared" ref="AS192:AT192" si="1419">AS190+AS191</f>
        <v>72649</v>
      </c>
      <c r="AT192" s="82">
        <f t="shared" si="1419"/>
        <v>77089</v>
      </c>
      <c r="AU192" s="82">
        <f t="shared" ref="AU192:AV192" si="1420">AU190+AU191</f>
        <v>77519</v>
      </c>
      <c r="AV192" s="82">
        <f t="shared" si="1420"/>
        <v>80294</v>
      </c>
      <c r="AW192" s="82">
        <f t="shared" ref="AW192:AX192" si="1421">AW190+AW191</f>
        <v>80004</v>
      </c>
      <c r="AX192" s="82">
        <f t="shared" si="1421"/>
        <v>82253</v>
      </c>
      <c r="AY192" s="82">
        <f t="shared" ref="AY192:AZ192" si="1422">AY190+AY191</f>
        <v>85552</v>
      </c>
      <c r="AZ192" s="83">
        <f t="shared" si="1422"/>
        <v>81505</v>
      </c>
      <c r="BA192" s="82">
        <f t="shared" ref="BA192:BE192" si="1423">BA167/BA58</f>
        <v>83216.604999999996</v>
      </c>
      <c r="BB192" s="82">
        <f t="shared" si="1423"/>
        <v>85297.020124999995</v>
      </c>
      <c r="BC192" s="82">
        <f t="shared" si="1423"/>
        <v>87429.445628124988</v>
      </c>
      <c r="BD192" s="82">
        <f t="shared" si="1423"/>
        <v>89615.181768828101</v>
      </c>
      <c r="BE192" s="82">
        <f t="shared" si="1423"/>
        <v>91855.561313048791</v>
      </c>
      <c r="BF192" s="82">
        <f t="shared" ref="BF192:BM192" si="1424">BF167/BF58</f>
        <v>94151.950345874997</v>
      </c>
      <c r="BG192" s="82">
        <f t="shared" si="1424"/>
        <v>96505.749104521848</v>
      </c>
      <c r="BH192" s="82">
        <f t="shared" si="1424"/>
        <v>98918.392832134879</v>
      </c>
      <c r="BI192" s="82">
        <f t="shared" si="1424"/>
        <v>99691.867150221951</v>
      </c>
      <c r="BJ192" s="82">
        <f t="shared" si="1424"/>
        <v>100521.36160245881</v>
      </c>
      <c r="BK192" s="82">
        <f t="shared" si="1424"/>
        <v>102274.08561956977</v>
      </c>
      <c r="BL192" s="82">
        <f t="shared" si="1424"/>
        <v>104059.03129452126</v>
      </c>
      <c r="BM192" s="82">
        <f t="shared" si="1424"/>
        <v>105876.8124882228</v>
      </c>
      <c r="BN192" s="82">
        <f t="shared" ref="BN192:BO192" si="1425">BN167/BN58</f>
        <v>107728.05502052508</v>
      </c>
      <c r="BO192" s="82">
        <f t="shared" si="1425"/>
        <v>109613.39690632958</v>
      </c>
      <c r="BP192" s="82">
        <f t="shared" ref="BP192:BQ192" si="1426">BP167/BP58</f>
        <v>111533.48859639563</v>
      </c>
      <c r="BQ192" s="82">
        <f t="shared" si="1426"/>
        <v>113488.99322293969</v>
      </c>
      <c r="BR192" s="82"/>
      <c r="BS192" s="81">
        <v>10552</v>
      </c>
      <c r="BT192" s="81">
        <f>5905-55</f>
        <v>5850</v>
      </c>
      <c r="BU192" s="81">
        <f>5581-140</f>
        <v>5441</v>
      </c>
      <c r="BV192" s="81">
        <f>7261-46</f>
        <v>7215</v>
      </c>
      <c r="BW192" s="81">
        <f>8973-56</f>
        <v>8917</v>
      </c>
      <c r="BX192" s="81">
        <f>10655-105</f>
        <v>10550</v>
      </c>
      <c r="BY192" s="81">
        <f>12266-70</f>
        <v>12196</v>
      </c>
      <c r="BZ192" s="81">
        <f>11922-57</f>
        <v>11865</v>
      </c>
      <c r="CA192" s="81">
        <f>12778-26-0</f>
        <v>12752</v>
      </c>
      <c r="CB192" s="81">
        <f>14934-26-0</f>
        <v>14908</v>
      </c>
      <c r="CC192" s="82">
        <f>E192</f>
        <v>17284</v>
      </c>
      <c r="CD192" s="82">
        <f>G192</f>
        <v>20018</v>
      </c>
      <c r="CE192" s="82">
        <f>I192</f>
        <v>23466</v>
      </c>
      <c r="CF192" s="82">
        <f>K192</f>
        <v>26510</v>
      </c>
      <c r="CG192" s="82">
        <f>M192</f>
        <v>23003</v>
      </c>
      <c r="CH192" s="82">
        <f>O192</f>
        <v>28320</v>
      </c>
      <c r="CI192" s="82">
        <f>Q192</f>
        <v>29645</v>
      </c>
      <c r="CJ192" s="82">
        <f>S192</f>
        <v>43718</v>
      </c>
      <c r="CK192" s="82">
        <f>U192</f>
        <v>26003</v>
      </c>
      <c r="CL192" s="82">
        <f>W192</f>
        <v>25943</v>
      </c>
      <c r="CM192" s="82">
        <f>Y192</f>
        <v>30357</v>
      </c>
      <c r="CN192" s="82">
        <f>AA192</f>
        <v>34396</v>
      </c>
      <c r="CO192" s="82">
        <f>AC192</f>
        <v>40884</v>
      </c>
      <c r="CP192" s="82">
        <f>AE192</f>
        <v>45828</v>
      </c>
      <c r="CQ192" s="82">
        <f>AG192</f>
        <v>51936</v>
      </c>
      <c r="CR192" s="82">
        <f>AI192</f>
        <v>55182</v>
      </c>
      <c r="CS192" s="82">
        <f>AK192</f>
        <v>56966</v>
      </c>
      <c r="CT192" s="82">
        <f>AM192</f>
        <v>63219</v>
      </c>
      <c r="CU192" s="82">
        <f>AO192</f>
        <v>69469</v>
      </c>
      <c r="CV192" s="82">
        <f>AQ192</f>
        <v>71926</v>
      </c>
      <c r="CW192" s="82">
        <f>AS192</f>
        <v>72649</v>
      </c>
      <c r="CX192" s="82">
        <f>AU192</f>
        <v>77519</v>
      </c>
      <c r="CY192" s="82">
        <f t="shared" si="1413"/>
        <v>80004</v>
      </c>
      <c r="CZ192" s="83">
        <f>AY192</f>
        <v>85552</v>
      </c>
      <c r="DA192" s="82">
        <f>BA192</f>
        <v>83216.604999999996</v>
      </c>
      <c r="DB192" s="82">
        <f>BC192</f>
        <v>87429.445628124988</v>
      </c>
      <c r="DC192" s="82">
        <f>BE192</f>
        <v>91855.561313048791</v>
      </c>
      <c r="DD192" s="82">
        <f>BG192</f>
        <v>96505.749104521848</v>
      </c>
      <c r="DE192" s="82">
        <f>BI192</f>
        <v>99691.867150221951</v>
      </c>
      <c r="DF192" s="82">
        <f>BK192</f>
        <v>102274.08561956977</v>
      </c>
      <c r="DG192" s="82">
        <f>BM192</f>
        <v>105876.8124882228</v>
      </c>
      <c r="DH192" s="82">
        <f>BO192</f>
        <v>109613.39690632958</v>
      </c>
      <c r="DI192" s="82">
        <f>BQ192</f>
        <v>113488.99322293969</v>
      </c>
    </row>
    <row r="193" spans="1:113" s="84" customFormat="1" outlineLevel="1">
      <c r="A193" s="1" t="s">
        <v>615</v>
      </c>
      <c r="B193" s="84" t="s">
        <v>614</v>
      </c>
      <c r="C193" s="53">
        <v>2294</v>
      </c>
      <c r="D193" s="53">
        <v>3462</v>
      </c>
      <c r="E193" s="53">
        <v>2258</v>
      </c>
      <c r="F193" s="53">
        <v>3607</v>
      </c>
      <c r="G193" s="53">
        <v>2900</v>
      </c>
      <c r="H193" s="53">
        <v>3585</v>
      </c>
      <c r="I193" s="53">
        <v>3716</v>
      </c>
      <c r="J193" s="53">
        <v>3213</v>
      </c>
      <c r="K193" s="53">
        <v>3105</v>
      </c>
      <c r="L193" s="53">
        <v>935</v>
      </c>
      <c r="M193" s="85">
        <v>959</v>
      </c>
      <c r="N193" s="85">
        <v>2414</v>
      </c>
      <c r="O193" s="85">
        <v>903</v>
      </c>
      <c r="P193" s="85">
        <v>3250</v>
      </c>
      <c r="Q193" s="85">
        <v>4139</v>
      </c>
      <c r="R193" s="85">
        <v>7915</v>
      </c>
      <c r="S193" s="85">
        <v>9960</v>
      </c>
      <c r="T193" s="85">
        <v>434</v>
      </c>
      <c r="U193" s="85">
        <v>407</v>
      </c>
      <c r="V193" s="85">
        <v>421</v>
      </c>
      <c r="W193" s="85">
        <v>355</v>
      </c>
      <c r="X193" s="85">
        <v>255</v>
      </c>
      <c r="Y193" s="85">
        <v>254</v>
      </c>
      <c r="Z193" s="85">
        <v>352</v>
      </c>
      <c r="AA193" s="165">
        <v>81</v>
      </c>
      <c r="AB193" s="165">
        <v>77</v>
      </c>
      <c r="AC193" s="165">
        <v>211</v>
      </c>
      <c r="AD193" s="165">
        <v>759</v>
      </c>
      <c r="AE193" s="165">
        <v>1862</v>
      </c>
      <c r="AF193" s="165">
        <v>2210</v>
      </c>
      <c r="AG193" s="165">
        <v>2779</v>
      </c>
      <c r="AH193" s="165">
        <v>2521</v>
      </c>
      <c r="AI193" s="165">
        <v>2409</v>
      </c>
      <c r="AJ193" s="165">
        <v>2162</v>
      </c>
      <c r="AK193" s="165">
        <v>2339</v>
      </c>
      <c r="AL193" s="165">
        <v>3450</v>
      </c>
      <c r="AM193" s="165">
        <v>3229</v>
      </c>
      <c r="AN193" s="165">
        <v>3235</v>
      </c>
      <c r="AO193" s="165">
        <v>3758</v>
      </c>
      <c r="AP193" s="165">
        <v>3489</v>
      </c>
      <c r="AQ193" s="165">
        <v>3588</v>
      </c>
      <c r="AR193" s="165">
        <v>2709</v>
      </c>
      <c r="AS193" s="165">
        <v>2606</v>
      </c>
      <c r="AT193" s="165">
        <v>3422</v>
      </c>
      <c r="AU193" s="165">
        <v>3397</v>
      </c>
      <c r="AV193" s="165">
        <v>2110</v>
      </c>
      <c r="AW193" s="165">
        <v>2331</v>
      </c>
      <c r="AX193" s="165">
        <v>2737</v>
      </c>
      <c r="AY193" s="165">
        <v>2366</v>
      </c>
      <c r="AZ193" s="392">
        <v>1525</v>
      </c>
      <c r="BA193" s="86">
        <f t="shared" ref="BA193:BE193" si="1427">AZ193*BA192/AZ192</f>
        <v>1557.0250000000001</v>
      </c>
      <c r="BB193" s="86">
        <f t="shared" si="1427"/>
        <v>1595.9506250000002</v>
      </c>
      <c r="BC193" s="86">
        <f t="shared" si="1427"/>
        <v>1635.8493906250001</v>
      </c>
      <c r="BD193" s="86">
        <f t="shared" si="1427"/>
        <v>1676.7456253906248</v>
      </c>
      <c r="BE193" s="86">
        <f t="shared" si="1427"/>
        <v>1718.6642660253901</v>
      </c>
      <c r="BF193" s="86">
        <f t="shared" ref="BF193:BM193" si="1428">BE193*BF192/BE192</f>
        <v>1761.6308726760246</v>
      </c>
      <c r="BG193" s="86">
        <f t="shared" si="1428"/>
        <v>1805.671644492925</v>
      </c>
      <c r="BH193" s="86">
        <f t="shared" si="1428"/>
        <v>1850.8134356052478</v>
      </c>
      <c r="BI193" s="86">
        <f t="shared" si="1428"/>
        <v>1865.2855334530213</v>
      </c>
      <c r="BJ193" s="86">
        <f t="shared" si="1428"/>
        <v>1880.8057965002113</v>
      </c>
      <c r="BK193" s="86">
        <f t="shared" si="1428"/>
        <v>1913.6001542217523</v>
      </c>
      <c r="BL193" s="86">
        <f t="shared" si="1428"/>
        <v>1946.9973955480639</v>
      </c>
      <c r="BM193" s="86">
        <f t="shared" si="1428"/>
        <v>1981.0090061289466</v>
      </c>
      <c r="BN193" s="86">
        <f t="shared" ref="BN193" si="1429">BM193*BN192/BM192</f>
        <v>2015.6466953720724</v>
      </c>
      <c r="BO193" s="86">
        <f t="shared" ref="BO193" si="1430">BN193*BO192/BN192</f>
        <v>2050.9224008607157</v>
      </c>
      <c r="BP193" s="86">
        <f t="shared" ref="BP193" si="1431">BO193*BP192/BO192</f>
        <v>2086.8482928593753</v>
      </c>
      <c r="BQ193" s="86">
        <f t="shared" ref="BQ193" si="1432">BP193*BQ192/BP192</f>
        <v>2123.4367789090616</v>
      </c>
      <c r="BR193" s="86"/>
      <c r="BS193" s="53">
        <v>365.5</v>
      </c>
      <c r="BT193" s="53">
        <v>581.20000000000005</v>
      </c>
      <c r="BU193" s="53">
        <v>547.4</v>
      </c>
      <c r="BV193" s="53">
        <v>1028</v>
      </c>
      <c r="BW193" s="53">
        <v>1640</v>
      </c>
      <c r="BX193" s="53">
        <v>2076</v>
      </c>
      <c r="BY193" s="53">
        <v>2938</v>
      </c>
      <c r="BZ193" s="53">
        <v>2295</v>
      </c>
      <c r="CA193" s="53">
        <v>2686</v>
      </c>
      <c r="CB193" s="53">
        <v>2294</v>
      </c>
      <c r="CC193" s="86">
        <f>E193</f>
        <v>2258</v>
      </c>
      <c r="CD193" s="86">
        <f>G193</f>
        <v>2900</v>
      </c>
      <c r="CE193" s="86">
        <f>I193</f>
        <v>3716</v>
      </c>
      <c r="CF193" s="86">
        <f>K193</f>
        <v>3105</v>
      </c>
      <c r="CG193" s="86">
        <f>M193</f>
        <v>959</v>
      </c>
      <c r="CH193" s="86">
        <f>O193</f>
        <v>903</v>
      </c>
      <c r="CI193" s="86">
        <f>Q193</f>
        <v>4139</v>
      </c>
      <c r="CJ193" s="86">
        <f>S193</f>
        <v>9960</v>
      </c>
      <c r="CK193" s="86">
        <f>U193</f>
        <v>407</v>
      </c>
      <c r="CL193" s="86">
        <f>W193</f>
        <v>355</v>
      </c>
      <c r="CM193" s="86">
        <f>Y193</f>
        <v>254</v>
      </c>
      <c r="CN193" s="86">
        <f>AA193</f>
        <v>81</v>
      </c>
      <c r="CO193" s="86">
        <f>AC193</f>
        <v>211</v>
      </c>
      <c r="CP193" s="86">
        <f>AE193</f>
        <v>1862</v>
      </c>
      <c r="CQ193" s="86">
        <f>AG193</f>
        <v>2779</v>
      </c>
      <c r="CR193" s="86">
        <f>AI193</f>
        <v>2409</v>
      </c>
      <c r="CS193" s="86">
        <f>AK193</f>
        <v>2339</v>
      </c>
      <c r="CT193" s="86">
        <f>AM193</f>
        <v>3229</v>
      </c>
      <c r="CU193" s="86">
        <f>AO193</f>
        <v>3758</v>
      </c>
      <c r="CV193" s="86">
        <f>AQ193</f>
        <v>3588</v>
      </c>
      <c r="CW193" s="86">
        <f>AS193</f>
        <v>2606</v>
      </c>
      <c r="CX193" s="86">
        <f>AU193</f>
        <v>3397</v>
      </c>
      <c r="CY193" s="86">
        <f t="shared" si="1413"/>
        <v>2331</v>
      </c>
      <c r="CZ193" s="87">
        <f>AY193</f>
        <v>2366</v>
      </c>
      <c r="DA193" s="86">
        <f>BA193</f>
        <v>1557.0250000000001</v>
      </c>
      <c r="DB193" s="86">
        <f>BC193</f>
        <v>1635.8493906250001</v>
      </c>
      <c r="DC193" s="86">
        <f>BE193</f>
        <v>1718.6642660253901</v>
      </c>
      <c r="DD193" s="86">
        <f>BG193</f>
        <v>1805.671644492925</v>
      </c>
      <c r="DE193" s="86">
        <f>BI193</f>
        <v>1865.2855334530213</v>
      </c>
      <c r="DF193" s="86">
        <f>BK193</f>
        <v>1913.6001542217523</v>
      </c>
      <c r="DG193" s="86">
        <f>BM193</f>
        <v>1981.0090061289466</v>
      </c>
      <c r="DH193" s="86">
        <f>BO193</f>
        <v>2050.9224008607157</v>
      </c>
      <c r="DI193" s="86">
        <f>BQ193</f>
        <v>2123.4367789090616</v>
      </c>
    </row>
    <row r="194" spans="1:113" outlineLevel="1">
      <c r="C194" s="55"/>
      <c r="D194" s="55"/>
      <c r="E194" s="55"/>
      <c r="F194" s="55"/>
      <c r="G194" s="55"/>
      <c r="H194" s="55"/>
      <c r="I194" s="55"/>
      <c r="J194" s="55"/>
      <c r="K194" s="55"/>
      <c r="L194" s="55"/>
      <c r="M194" s="55"/>
      <c r="N194" s="55"/>
      <c r="O194" s="55"/>
      <c r="P194" s="55"/>
      <c r="Q194" s="55"/>
      <c r="R194" s="55"/>
      <c r="S194" s="55"/>
      <c r="T194" s="55"/>
      <c r="U194" s="55"/>
      <c r="V194" s="55"/>
      <c r="W194" s="55"/>
      <c r="X194" s="55"/>
      <c r="Y194" s="55"/>
      <c r="Z194" s="55"/>
      <c r="AA194" s="55"/>
      <c r="AB194" s="55"/>
      <c r="AC194" s="55"/>
      <c r="AD194" s="55"/>
      <c r="AE194" s="55"/>
      <c r="AF194" s="55"/>
      <c r="AG194" s="55"/>
      <c r="AH194" s="55"/>
      <c r="AI194" s="55"/>
      <c r="AJ194" s="55"/>
      <c r="AK194" s="55"/>
      <c r="AL194" s="55"/>
      <c r="AM194" s="55"/>
      <c r="AN194" s="55"/>
      <c r="AO194" s="55"/>
      <c r="AP194" s="55"/>
      <c r="AQ194" s="55"/>
      <c r="AR194" s="55"/>
      <c r="AS194" s="55"/>
      <c r="AT194" s="55"/>
      <c r="AU194" s="55"/>
      <c r="AV194" s="55"/>
      <c r="AW194" s="55"/>
      <c r="AX194" s="55"/>
      <c r="AY194" s="55"/>
      <c r="AZ194" s="56"/>
      <c r="BA194" s="55"/>
      <c r="BB194" s="55"/>
      <c r="BC194" s="55"/>
      <c r="BD194" s="55"/>
      <c r="BE194" s="55"/>
      <c r="BF194" s="55"/>
      <c r="BG194" s="55"/>
      <c r="BH194" s="55"/>
      <c r="BI194" s="55"/>
      <c r="BJ194" s="55"/>
      <c r="BK194" s="55"/>
      <c r="BL194" s="55"/>
      <c r="BM194" s="55"/>
      <c r="BN194" s="55"/>
      <c r="BO194" s="55"/>
      <c r="BP194" s="55"/>
      <c r="BQ194" s="55"/>
      <c r="BR194" s="55"/>
      <c r="BS194" s="55"/>
      <c r="BT194" s="55"/>
      <c r="BU194" s="55"/>
      <c r="BV194" s="55"/>
      <c r="BW194" s="55"/>
      <c r="BX194" s="55"/>
      <c r="BY194" s="55"/>
      <c r="BZ194" s="55"/>
      <c r="CA194" s="55"/>
      <c r="CB194" s="55"/>
      <c r="CC194" s="55"/>
      <c r="CD194" s="55"/>
      <c r="CE194" s="55"/>
      <c r="CF194" s="55"/>
      <c r="CG194" s="55"/>
      <c r="CH194" s="55"/>
      <c r="CI194" s="55"/>
      <c r="CJ194" s="55"/>
      <c r="CK194" s="55"/>
      <c r="CL194" s="55"/>
      <c r="CM194" s="55"/>
      <c r="CN194" s="55"/>
      <c r="CO194" s="55"/>
      <c r="CP194" s="55"/>
      <c r="CQ194" s="55"/>
      <c r="CR194" s="55"/>
      <c r="CS194" s="55"/>
      <c r="CT194" s="55"/>
      <c r="CU194" s="55"/>
      <c r="CV194" s="55"/>
      <c r="CW194" s="55"/>
      <c r="CX194" s="55"/>
      <c r="CY194" s="55"/>
      <c r="CZ194" s="56"/>
      <c r="DA194" s="55"/>
      <c r="DB194" s="55"/>
      <c r="DC194" s="55"/>
      <c r="DD194" s="55"/>
      <c r="DE194" s="55"/>
      <c r="DF194" s="55"/>
      <c r="DG194" s="55"/>
      <c r="DH194" s="55"/>
      <c r="DI194" s="55"/>
    </row>
    <row r="195" spans="1:113" s="24" customFormat="1" outlineLevel="1">
      <c r="A195" s="1"/>
      <c r="B195" s="24" t="s">
        <v>491</v>
      </c>
      <c r="C195" s="82"/>
      <c r="D195" s="82"/>
      <c r="E195" s="82"/>
      <c r="F195" s="82"/>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c r="AV195" s="82"/>
      <c r="AW195" s="82"/>
      <c r="AX195" s="82"/>
      <c r="AY195" s="82"/>
      <c r="AZ195" s="83"/>
      <c r="BA195" s="82"/>
      <c r="BB195" s="82"/>
      <c r="BC195" s="82"/>
      <c r="BD195" s="82"/>
      <c r="BE195" s="82"/>
      <c r="BF195" s="82"/>
      <c r="BG195" s="82"/>
      <c r="BH195" s="82"/>
      <c r="BI195" s="82"/>
      <c r="BJ195" s="82"/>
      <c r="BK195" s="82"/>
      <c r="BL195" s="82"/>
      <c r="BM195" s="82"/>
      <c r="BN195" s="82"/>
      <c r="BO195" s="82"/>
      <c r="BP195" s="82"/>
      <c r="BQ195" s="82"/>
      <c r="BR195" s="82"/>
      <c r="BS195" s="82"/>
      <c r="BT195" s="82"/>
      <c r="BU195" s="82"/>
      <c r="BV195" s="82"/>
      <c r="BW195" s="82"/>
      <c r="BX195" s="82"/>
      <c r="BY195" s="82"/>
      <c r="BZ195" s="82"/>
      <c r="CA195" s="82"/>
      <c r="CB195" s="82"/>
      <c r="CC195" s="82"/>
      <c r="CD195" s="82"/>
      <c r="CE195" s="82"/>
      <c r="CF195" s="82"/>
      <c r="CG195" s="82"/>
      <c r="CH195" s="82"/>
      <c r="CI195" s="82"/>
      <c r="CJ195" s="82"/>
      <c r="CK195" s="82"/>
      <c r="CL195" s="82"/>
      <c r="CM195" s="82"/>
      <c r="CN195" s="82"/>
      <c r="CO195" s="82"/>
      <c r="CP195" s="82"/>
      <c r="CQ195" s="82"/>
      <c r="CR195" s="82"/>
      <c r="CS195" s="82"/>
      <c r="CT195" s="82"/>
      <c r="CU195" s="82"/>
      <c r="CV195" s="82"/>
      <c r="CW195" s="82"/>
      <c r="CX195" s="82"/>
      <c r="CY195" s="82"/>
      <c r="CZ195" s="83"/>
      <c r="DA195" s="82"/>
      <c r="DB195" s="82"/>
      <c r="DC195" s="82"/>
      <c r="DD195" s="82"/>
      <c r="DE195" s="82"/>
      <c r="DF195" s="82"/>
      <c r="DG195" s="82"/>
      <c r="DH195" s="82"/>
      <c r="DI195" s="82"/>
    </row>
    <row r="196" spans="1:113" outlineLevel="1">
      <c r="A196" s="1" t="s">
        <v>248</v>
      </c>
      <c r="B196" s="19" t="str">
        <f>B$184</f>
        <v>Core deposits</v>
      </c>
      <c r="C196" s="164">
        <v>0</v>
      </c>
      <c r="D196" s="164">
        <v>0</v>
      </c>
      <c r="E196" s="164">
        <v>0</v>
      </c>
      <c r="F196" s="164">
        <v>0</v>
      </c>
      <c r="G196" s="164">
        <v>0</v>
      </c>
      <c r="H196" s="164">
        <v>0</v>
      </c>
      <c r="I196" s="164">
        <v>0</v>
      </c>
      <c r="J196" s="164">
        <v>0</v>
      </c>
      <c r="K196" s="164">
        <v>0</v>
      </c>
      <c r="L196" s="164">
        <v>0</v>
      </c>
      <c r="M196" s="164">
        <v>0</v>
      </c>
      <c r="N196" s="164">
        <v>0</v>
      </c>
      <c r="O196" s="164">
        <v>0</v>
      </c>
      <c r="P196" s="164">
        <v>0</v>
      </c>
      <c r="Q196" s="164">
        <v>0</v>
      </c>
      <c r="R196" s="164">
        <v>0</v>
      </c>
      <c r="S196" s="164">
        <v>0</v>
      </c>
      <c r="T196" s="164">
        <f>904+3</f>
        <v>907</v>
      </c>
      <c r="U196" s="164">
        <f>1337+4</f>
        <v>1341</v>
      </c>
      <c r="V196" s="164">
        <f>826+4</f>
        <v>830</v>
      </c>
      <c r="W196" s="164">
        <f>783+93</f>
        <v>876</v>
      </c>
      <c r="X196" s="164">
        <f>938+74</f>
        <v>1012</v>
      </c>
      <c r="Y196" s="164">
        <f>916+91</f>
        <v>1007</v>
      </c>
      <c r="Z196" s="164">
        <f>957+102</f>
        <v>1059</v>
      </c>
      <c r="AA196" s="164">
        <f>1085+84</f>
        <v>1169</v>
      </c>
      <c r="AB196" s="164">
        <f>947+231</f>
        <v>1178</v>
      </c>
      <c r="AC196" s="164">
        <f>933+77</f>
        <v>1010</v>
      </c>
      <c r="AD196" s="164">
        <f>2035+46</f>
        <v>2081</v>
      </c>
      <c r="AE196" s="164">
        <f>2279+76</f>
        <v>2355</v>
      </c>
      <c r="AF196" s="164">
        <f>2417+67</f>
        <v>2484</v>
      </c>
      <c r="AG196" s="164">
        <f>3575+65</f>
        <v>3640</v>
      </c>
      <c r="AH196" s="164">
        <f>2507+64</f>
        <v>2571</v>
      </c>
      <c r="AI196" s="164">
        <f>2482+49</f>
        <v>2531</v>
      </c>
      <c r="AJ196" s="164">
        <f>1962+59</f>
        <v>2021</v>
      </c>
      <c r="AK196" s="164">
        <f>2011+57</f>
        <v>2068</v>
      </c>
      <c r="AL196" s="164">
        <f>1420+35</f>
        <v>1455</v>
      </c>
      <c r="AM196" s="164">
        <f>1324+63</f>
        <v>1387</v>
      </c>
      <c r="AN196" s="164">
        <f>1087+40</f>
        <v>1127</v>
      </c>
      <c r="AO196" s="164">
        <f>1090+189</f>
        <v>1279</v>
      </c>
      <c r="AP196" s="164">
        <f>840+51</f>
        <v>891</v>
      </c>
      <c r="AQ196" s="164">
        <f>839+58</f>
        <v>897</v>
      </c>
      <c r="AR196" s="164">
        <f>941+43</f>
        <v>984</v>
      </c>
      <c r="AS196" s="164">
        <f>1225+30</f>
        <v>1255</v>
      </c>
      <c r="AT196" s="164">
        <f>1115+25</f>
        <v>1140</v>
      </c>
      <c r="AU196" s="164">
        <f>1225+21</f>
        <v>1246</v>
      </c>
      <c r="AV196" s="164">
        <f>436+26</f>
        <v>462</v>
      </c>
      <c r="AW196" s="164">
        <f>23217-AW197</f>
        <v>4100</v>
      </c>
      <c r="AX196" s="164">
        <f>30091-AX197</f>
        <v>5653</v>
      </c>
      <c r="AY196" s="164">
        <f>31307-AY197</f>
        <v>7446</v>
      </c>
      <c r="AZ196" s="171">
        <f>37176-AZ197</f>
        <v>10978</v>
      </c>
      <c r="BA196" s="55">
        <f t="shared" ref="BA196:BA197" si="1433">AZ196*BA$204/AZ$204</f>
        <v>11295.405634205024</v>
      </c>
      <c r="BB196" s="55">
        <f t="shared" ref="BB196:BB197" si="1434">BA196*BB$204/BA$204</f>
        <v>11577.79077506015</v>
      </c>
      <c r="BC196" s="55">
        <f t="shared" ref="BC196:BC197" si="1435">BB196*BC$204/BB$204</f>
        <v>11867.235544436653</v>
      </c>
      <c r="BD196" s="55">
        <f t="shared" ref="BD196:BD197" si="1436">BC196*BD$204/BC$204</f>
        <v>12163.916433047567</v>
      </c>
      <c r="BE196" s="55">
        <f t="shared" ref="BE196:BE197" si="1437">BD196*BE$204/BD$204</f>
        <v>12468.014343873756</v>
      </c>
      <c r="BF196" s="55">
        <f t="shared" ref="BF196:BF197" si="1438">BE196*BF$204/BE$204</f>
        <v>12779.714702470596</v>
      </c>
      <c r="BG196" s="55">
        <f t="shared" ref="BG196:BG197" si="1439">BF196*BG$204/BF$204</f>
        <v>13099.207570032358</v>
      </c>
      <c r="BH196" s="55">
        <f t="shared" ref="BH196:BH197" si="1440">BG196*BH$204/BG$204</f>
        <v>13426.687759283164</v>
      </c>
      <c r="BI196" s="55">
        <f t="shared" ref="BI196:BI197" si="1441">BH196*BI$204/BH$204</f>
        <v>13663.235265619218</v>
      </c>
      <c r="BJ196" s="55">
        <f t="shared" ref="BJ196:BJ197" si="1442">BI196*BJ$204/BI$204</f>
        <v>13905.710132034192</v>
      </c>
      <c r="BK196" s="55">
        <f t="shared" ref="BK196:BK197" si="1443">BJ196*BK$204/BJ$204</f>
        <v>14178.211505248551</v>
      </c>
      <c r="BL196" s="55">
        <f t="shared" ref="BL196:BL197" si="1444">BK196*BL$204/BK$204</f>
        <v>14456.104124953557</v>
      </c>
      <c r="BM196" s="55">
        <f t="shared" ref="BM196:BM197" si="1445">BL196*BM$204/BL$204</f>
        <v>14739.495260893766</v>
      </c>
      <c r="BN196" s="55">
        <f t="shared" ref="BN196:BN197" si="1446">BM196*BN$204/BM$204</f>
        <v>15028.494324512912</v>
      </c>
      <c r="BO196" s="55">
        <f t="shared" ref="BO196:BO197" si="1447">BN196*BO$204/BN$204</f>
        <v>15323.212911805413</v>
      </c>
      <c r="BP196" s="55">
        <f t="shared" ref="BP196:BP197" si="1448">BO196*BP$204/BO$204</f>
        <v>15623.764847026428</v>
      </c>
      <c r="BQ196" s="55">
        <f t="shared" ref="BQ196:BQ197" si="1449">BP196*BQ$204/BP$204</f>
        <v>15930.266227277702</v>
      </c>
      <c r="BR196" s="55"/>
      <c r="BS196" s="55"/>
      <c r="BT196" s="55"/>
      <c r="BU196" s="55"/>
      <c r="BV196" s="55"/>
      <c r="BW196" s="55"/>
      <c r="BX196" s="55"/>
      <c r="BY196" s="55"/>
      <c r="BZ196" s="55"/>
      <c r="CA196" s="55"/>
      <c r="CB196" s="55"/>
      <c r="CC196" s="55"/>
      <c r="CD196" s="55"/>
      <c r="CE196" s="55"/>
      <c r="CF196" s="55">
        <f>K196</f>
        <v>0</v>
      </c>
      <c r="CG196" s="55">
        <f>M196</f>
        <v>0</v>
      </c>
      <c r="CH196" s="55">
        <f>O196</f>
        <v>0</v>
      </c>
      <c r="CI196" s="55">
        <f>Q196</f>
        <v>0</v>
      </c>
      <c r="CJ196" s="55">
        <f>S196</f>
        <v>0</v>
      </c>
      <c r="CK196" s="55">
        <f>U196</f>
        <v>1341</v>
      </c>
      <c r="CL196" s="55">
        <f>W196</f>
        <v>876</v>
      </c>
      <c r="CM196" s="55">
        <f>Y196</f>
        <v>1007</v>
      </c>
      <c r="CN196" s="55">
        <f>AA196</f>
        <v>1169</v>
      </c>
      <c r="CO196" s="55">
        <f>AC196</f>
        <v>1010</v>
      </c>
      <c r="CP196" s="86">
        <f>AE196</f>
        <v>2355</v>
      </c>
      <c r="CQ196" s="55">
        <f>AG196</f>
        <v>3640</v>
      </c>
      <c r="CR196" s="55">
        <f>AI196</f>
        <v>2531</v>
      </c>
      <c r="CS196" s="55">
        <f>AK196</f>
        <v>2068</v>
      </c>
      <c r="CT196" s="55">
        <f>AM196</f>
        <v>1387</v>
      </c>
      <c r="CU196" s="55">
        <f>AO196</f>
        <v>1279</v>
      </c>
      <c r="CV196" s="21">
        <f t="shared" ref="CV196:CV197" si="1450">AQ196</f>
        <v>897</v>
      </c>
      <c r="CW196" s="21">
        <f t="shared" ref="CW196:CW197" si="1451">AS196</f>
        <v>1255</v>
      </c>
      <c r="CX196" s="21">
        <f t="shared" ref="CX196:CX197" si="1452">AU196</f>
        <v>1246</v>
      </c>
      <c r="CY196" s="55">
        <f t="shared" ref="CY196:CY197" si="1453">AW196</f>
        <v>4100</v>
      </c>
      <c r="CZ196" s="56">
        <f>AY196</f>
        <v>7446</v>
      </c>
      <c r="DA196" s="55">
        <f>BA196</f>
        <v>11295.405634205024</v>
      </c>
      <c r="DB196" s="55">
        <f>BC196</f>
        <v>11867.235544436653</v>
      </c>
      <c r="DC196" s="55">
        <f>BE196</f>
        <v>12468.014343873756</v>
      </c>
      <c r="DD196" s="55">
        <f>BG196</f>
        <v>13099.207570032358</v>
      </c>
      <c r="DE196" s="55">
        <f>BI196</f>
        <v>13663.235265619218</v>
      </c>
      <c r="DF196" s="55">
        <f>BK196</f>
        <v>14178.211505248551</v>
      </c>
      <c r="DG196" s="55">
        <f>BM196</f>
        <v>14739.495260893766</v>
      </c>
      <c r="DH196" s="55">
        <f>BO196</f>
        <v>15323.212911805413</v>
      </c>
      <c r="DI196" s="55">
        <f>BQ196</f>
        <v>15930.266227277702</v>
      </c>
    </row>
    <row r="197" spans="1:113" outlineLevel="1">
      <c r="A197" s="1" t="s">
        <v>246</v>
      </c>
      <c r="B197" s="19" t="str">
        <f>B$185</f>
        <v>Time deposits (includes CDs)</v>
      </c>
      <c r="C197" s="164">
        <v>0</v>
      </c>
      <c r="D197" s="164">
        <v>0</v>
      </c>
      <c r="E197" s="164">
        <v>0</v>
      </c>
      <c r="F197" s="164">
        <v>0</v>
      </c>
      <c r="G197" s="164">
        <v>0</v>
      </c>
      <c r="H197" s="164">
        <v>0</v>
      </c>
      <c r="I197" s="164">
        <v>0</v>
      </c>
      <c r="J197" s="164">
        <v>0</v>
      </c>
      <c r="K197" s="164">
        <v>0</v>
      </c>
      <c r="L197" s="164">
        <v>0</v>
      </c>
      <c r="M197" s="164">
        <v>0</v>
      </c>
      <c r="N197" s="164">
        <v>0</v>
      </c>
      <c r="O197" s="164">
        <v>0</v>
      </c>
      <c r="P197" s="164">
        <v>0</v>
      </c>
      <c r="Q197" s="164">
        <v>0</v>
      </c>
      <c r="R197" s="164">
        <v>0</v>
      </c>
      <c r="S197" s="164">
        <v>0</v>
      </c>
      <c r="T197" s="164">
        <f>T199+6013</f>
        <v>15403</v>
      </c>
      <c r="U197" s="164">
        <f>+U199+4404</f>
        <v>11846</v>
      </c>
      <c r="V197" s="164">
        <f>V199+7490</f>
        <v>16599</v>
      </c>
      <c r="W197" s="164">
        <f>W199+6364</f>
        <v>10709</v>
      </c>
      <c r="X197" s="164">
        <f>+X199+9027</f>
        <v>16446</v>
      </c>
      <c r="Y197" s="164">
        <f>+Y199+11266</f>
        <v>18268</v>
      </c>
      <c r="Z197" s="164">
        <f>+Z199+6361</f>
        <v>15769</v>
      </c>
      <c r="AA197" s="164">
        <f>+AA199+7922</f>
        <v>14079</v>
      </c>
      <c r="AB197" s="164">
        <f>+AB199+7129</f>
        <v>15609</v>
      </c>
      <c r="AC197" s="164">
        <f>+AC199+8578</f>
        <v>14653</v>
      </c>
      <c r="AD197" s="164">
        <f>+AD199+7600</f>
        <v>17640</v>
      </c>
      <c r="AE197" s="164">
        <f>+AE199+9318</f>
        <v>14516</v>
      </c>
      <c r="AF197" s="164">
        <f>+AF199+10967</f>
        <v>17929</v>
      </c>
      <c r="AG197" s="164">
        <f>+AG199+10009</f>
        <v>16328</v>
      </c>
      <c r="AH197" s="164">
        <f>+AH199+10694</f>
        <v>20037</v>
      </c>
      <c r="AI197" s="164">
        <f>+AI199+8912</f>
        <v>18999</v>
      </c>
      <c r="AJ197" s="164">
        <f>+AJ199+10962</f>
        <v>19760</v>
      </c>
      <c r="AK197" s="164">
        <f>+AK199+14316</f>
        <v>20486</v>
      </c>
      <c r="AL197" s="164">
        <f>+AL199+11432</f>
        <v>20779</v>
      </c>
      <c r="AM197" s="164">
        <f>+AM199+6610</f>
        <v>15525</v>
      </c>
      <c r="AN197" s="164">
        <f>+AN199+6531</f>
        <v>20426</v>
      </c>
      <c r="AO197" s="164">
        <f>+AO199+4691</f>
        <v>14602</v>
      </c>
      <c r="AP197" s="164">
        <f>+AP199+3610</f>
        <v>14019</v>
      </c>
      <c r="AQ197" s="164">
        <f>+AQ199+4457</f>
        <v>15401</v>
      </c>
      <c r="AR197" s="164">
        <f>+AR199+4420</f>
        <v>20583</v>
      </c>
      <c r="AS197" s="164">
        <f>+AS199+4024</f>
        <v>19954</v>
      </c>
      <c r="AT197" s="164">
        <f>+AT199+4024</f>
        <v>19611</v>
      </c>
      <c r="AU197" s="164">
        <f>+AU199+4024</f>
        <v>16541</v>
      </c>
      <c r="AV197" s="164">
        <f>+AV199+5019</f>
        <v>16740</v>
      </c>
      <c r="AW197" s="164">
        <f>+AW199+6209</f>
        <v>19117</v>
      </c>
      <c r="AX197" s="164">
        <f>+AX199+8287</f>
        <v>24438</v>
      </c>
      <c r="AY197" s="164">
        <f>+AY199+9266</f>
        <v>23861</v>
      </c>
      <c r="AZ197" s="171">
        <f>+AZ199+8353</f>
        <v>26198</v>
      </c>
      <c r="BA197" s="55">
        <f t="shared" si="1433"/>
        <v>26955.459719885519</v>
      </c>
      <c r="BB197" s="55">
        <f t="shared" si="1434"/>
        <v>27629.346212882658</v>
      </c>
      <c r="BC197" s="55">
        <f t="shared" si="1435"/>
        <v>28320.079868204724</v>
      </c>
      <c r="BD197" s="55">
        <f t="shared" si="1436"/>
        <v>29028.08186490984</v>
      </c>
      <c r="BE197" s="55">
        <f t="shared" si="1437"/>
        <v>29753.783911532584</v>
      </c>
      <c r="BF197" s="55">
        <f t="shared" si="1438"/>
        <v>30497.62850932089</v>
      </c>
      <c r="BG197" s="55">
        <f t="shared" si="1439"/>
        <v>31260.069222053906</v>
      </c>
      <c r="BH197" s="55">
        <f t="shared" si="1440"/>
        <v>32041.570952605249</v>
      </c>
      <c r="BI197" s="55">
        <f t="shared" si="1441"/>
        <v>32606.070093704893</v>
      </c>
      <c r="BJ197" s="55">
        <f t="shared" si="1442"/>
        <v>33184.714341321895</v>
      </c>
      <c r="BK197" s="55">
        <f t="shared" si="1443"/>
        <v>33835.014120468346</v>
      </c>
      <c r="BL197" s="55">
        <f t="shared" si="1444"/>
        <v>34498.179619742506</v>
      </c>
      <c r="BM197" s="55">
        <f t="shared" si="1445"/>
        <v>35174.466828647732</v>
      </c>
      <c r="BN197" s="55">
        <f t="shared" si="1446"/>
        <v>35864.136847657966</v>
      </c>
      <c r="BO197" s="55">
        <f t="shared" si="1447"/>
        <v>36567.455990478964</v>
      </c>
      <c r="BP197" s="55">
        <f t="shared" si="1448"/>
        <v>37284.695888358379</v>
      </c>
      <c r="BQ197" s="55">
        <f t="shared" si="1449"/>
        <v>38016.133596485801</v>
      </c>
      <c r="BR197" s="55"/>
      <c r="BS197" s="55"/>
      <c r="BT197" s="55"/>
      <c r="BU197" s="55"/>
      <c r="BV197" s="55"/>
      <c r="BW197" s="55"/>
      <c r="BX197" s="55"/>
      <c r="BY197" s="55"/>
      <c r="BZ197" s="55"/>
      <c r="CA197" s="55"/>
      <c r="CB197" s="55"/>
      <c r="CC197" s="55"/>
      <c r="CD197" s="55"/>
      <c r="CE197" s="55"/>
      <c r="CF197" s="55">
        <f>K197</f>
        <v>0</v>
      </c>
      <c r="CG197" s="55">
        <f>M197</f>
        <v>0</v>
      </c>
      <c r="CH197" s="55">
        <f>O197</f>
        <v>0</v>
      </c>
      <c r="CI197" s="55">
        <f>Q197</f>
        <v>0</v>
      </c>
      <c r="CJ197" s="55">
        <f>S197</f>
        <v>0</v>
      </c>
      <c r="CK197" s="55">
        <f>U197</f>
        <v>11846</v>
      </c>
      <c r="CL197" s="55">
        <f>W197</f>
        <v>10709</v>
      </c>
      <c r="CM197" s="55">
        <f>Y197</f>
        <v>18268</v>
      </c>
      <c r="CN197" s="55">
        <f>AA197</f>
        <v>14079</v>
      </c>
      <c r="CO197" s="55">
        <f>AC197</f>
        <v>14653</v>
      </c>
      <c r="CP197" s="86">
        <f>AE197</f>
        <v>14516</v>
      </c>
      <c r="CQ197" s="55">
        <f>AG197</f>
        <v>16328</v>
      </c>
      <c r="CR197" s="55">
        <f>AI197</f>
        <v>18999</v>
      </c>
      <c r="CS197" s="55">
        <f>AK197</f>
        <v>20486</v>
      </c>
      <c r="CT197" s="55">
        <f>AM197</f>
        <v>15525</v>
      </c>
      <c r="CU197" s="55">
        <f>AO197</f>
        <v>14602</v>
      </c>
      <c r="CV197" s="21">
        <f t="shared" si="1450"/>
        <v>15401</v>
      </c>
      <c r="CW197" s="21">
        <f t="shared" si="1451"/>
        <v>19954</v>
      </c>
      <c r="CX197" s="21">
        <f t="shared" si="1452"/>
        <v>16541</v>
      </c>
      <c r="CY197" s="55">
        <f t="shared" si="1453"/>
        <v>19117</v>
      </c>
      <c r="CZ197" s="56">
        <f>AY197</f>
        <v>23861</v>
      </c>
      <c r="DA197" s="55">
        <f>BA197</f>
        <v>26955.459719885519</v>
      </c>
      <c r="DB197" s="55">
        <f>BC197</f>
        <v>28320.079868204724</v>
      </c>
      <c r="DC197" s="55">
        <f>BE197</f>
        <v>29753.783911532584</v>
      </c>
      <c r="DD197" s="55">
        <f>BG197</f>
        <v>31260.069222053906</v>
      </c>
      <c r="DE197" s="55">
        <f>BI197</f>
        <v>32606.070093704893</v>
      </c>
      <c r="DF197" s="55">
        <f>BK197</f>
        <v>33835.014120468346</v>
      </c>
      <c r="DG197" s="55">
        <f>BM197</f>
        <v>35174.466828647732</v>
      </c>
      <c r="DH197" s="55">
        <f>BO197</f>
        <v>36567.455990478964</v>
      </c>
      <c r="DI197" s="55">
        <f>BQ197</f>
        <v>38016.133596485801</v>
      </c>
    </row>
    <row r="198" spans="1:113" s="24" customFormat="1" outlineLevel="1">
      <c r="A198" s="1" t="s">
        <v>247</v>
      </c>
      <c r="B198" s="24" t="s">
        <v>168</v>
      </c>
      <c r="C198" s="82">
        <f t="shared" ref="C198:L198" si="1454">C196+C197</f>
        <v>0</v>
      </c>
      <c r="D198" s="82">
        <f t="shared" si="1454"/>
        <v>0</v>
      </c>
      <c r="E198" s="82">
        <f t="shared" si="1454"/>
        <v>0</v>
      </c>
      <c r="F198" s="82">
        <f t="shared" si="1454"/>
        <v>0</v>
      </c>
      <c r="G198" s="82">
        <f t="shared" si="1454"/>
        <v>0</v>
      </c>
      <c r="H198" s="82">
        <f t="shared" si="1454"/>
        <v>0</v>
      </c>
      <c r="I198" s="82">
        <f t="shared" si="1454"/>
        <v>0</v>
      </c>
      <c r="J198" s="82">
        <f t="shared" si="1454"/>
        <v>0</v>
      </c>
      <c r="K198" s="82">
        <f t="shared" si="1454"/>
        <v>0</v>
      </c>
      <c r="L198" s="82">
        <f t="shared" si="1454"/>
        <v>0</v>
      </c>
      <c r="M198" s="82">
        <f t="shared" ref="M198:W198" si="1455">M196+M197</f>
        <v>0</v>
      </c>
      <c r="N198" s="82">
        <f t="shared" si="1455"/>
        <v>0</v>
      </c>
      <c r="O198" s="82">
        <f t="shared" si="1455"/>
        <v>0</v>
      </c>
      <c r="P198" s="82">
        <f t="shared" si="1455"/>
        <v>0</v>
      </c>
      <c r="Q198" s="82">
        <f t="shared" si="1455"/>
        <v>0</v>
      </c>
      <c r="R198" s="82">
        <f t="shared" si="1455"/>
        <v>0</v>
      </c>
      <c r="S198" s="82">
        <f t="shared" si="1455"/>
        <v>0</v>
      </c>
      <c r="T198" s="82">
        <f t="shared" si="1455"/>
        <v>16310</v>
      </c>
      <c r="U198" s="82">
        <f t="shared" si="1455"/>
        <v>13187</v>
      </c>
      <c r="V198" s="82">
        <f t="shared" si="1455"/>
        <v>17429</v>
      </c>
      <c r="W198" s="82">
        <f t="shared" si="1455"/>
        <v>11585</v>
      </c>
      <c r="X198" s="82">
        <f t="shared" ref="X198:AK198" si="1456">X196+X197</f>
        <v>17458</v>
      </c>
      <c r="Y198" s="82">
        <f t="shared" si="1456"/>
        <v>19275</v>
      </c>
      <c r="Z198" s="82">
        <f t="shared" si="1456"/>
        <v>16828</v>
      </c>
      <c r="AA198" s="82">
        <f t="shared" si="1456"/>
        <v>15248</v>
      </c>
      <c r="AB198" s="82">
        <f t="shared" si="1456"/>
        <v>16787</v>
      </c>
      <c r="AC198" s="82">
        <f t="shared" si="1456"/>
        <v>15663</v>
      </c>
      <c r="AD198" s="82">
        <f t="shared" si="1456"/>
        <v>19721</v>
      </c>
      <c r="AE198" s="82">
        <f t="shared" si="1456"/>
        <v>16871</v>
      </c>
      <c r="AF198" s="82">
        <f t="shared" si="1456"/>
        <v>20413</v>
      </c>
      <c r="AG198" s="82">
        <f t="shared" si="1456"/>
        <v>19968</v>
      </c>
      <c r="AH198" s="82">
        <f t="shared" si="1456"/>
        <v>22608</v>
      </c>
      <c r="AI198" s="82">
        <f t="shared" si="1456"/>
        <v>21530</v>
      </c>
      <c r="AJ198" s="82">
        <f t="shared" si="1456"/>
        <v>21781</v>
      </c>
      <c r="AK198" s="82">
        <f t="shared" si="1456"/>
        <v>22554</v>
      </c>
      <c r="AL198" s="82">
        <f t="shared" ref="AL198:AQ198" si="1457">AL196+AL197</f>
        <v>22234</v>
      </c>
      <c r="AM198" s="82">
        <f t="shared" si="1457"/>
        <v>16912</v>
      </c>
      <c r="AN198" s="82">
        <f t="shared" si="1457"/>
        <v>21553</v>
      </c>
      <c r="AO198" s="82">
        <f t="shared" si="1457"/>
        <v>15881</v>
      </c>
      <c r="AP198" s="82">
        <f t="shared" si="1457"/>
        <v>14910</v>
      </c>
      <c r="AQ198" s="82">
        <f t="shared" si="1457"/>
        <v>16298</v>
      </c>
      <c r="AR198" s="82">
        <f t="shared" ref="AR198" si="1458">AR196+AR197</f>
        <v>21567</v>
      </c>
      <c r="AS198" s="82">
        <f t="shared" ref="AS198:AT198" si="1459">AS196+AS197</f>
        <v>21209</v>
      </c>
      <c r="AT198" s="82">
        <f t="shared" si="1459"/>
        <v>20751</v>
      </c>
      <c r="AU198" s="82">
        <f t="shared" ref="AU198:AV198" si="1460">AU196+AU197</f>
        <v>17787</v>
      </c>
      <c r="AV198" s="82">
        <f t="shared" si="1460"/>
        <v>17202</v>
      </c>
      <c r="AW198" s="82">
        <f t="shared" ref="AW198:AX198" si="1461">AW196+AW197</f>
        <v>23217</v>
      </c>
      <c r="AX198" s="82">
        <f t="shared" si="1461"/>
        <v>30091</v>
      </c>
      <c r="AY198" s="82">
        <f t="shared" ref="AY198:AZ198" si="1462">AY196+AY197</f>
        <v>31307</v>
      </c>
      <c r="AZ198" s="83">
        <f t="shared" si="1462"/>
        <v>37176</v>
      </c>
      <c r="BA198" s="82">
        <f t="shared" ref="BA198:BE198" si="1463">BA173/BA61</f>
        <v>37956.695999999996</v>
      </c>
      <c r="BB198" s="82">
        <f t="shared" si="1463"/>
        <v>38905.613399999995</v>
      </c>
      <c r="BC198" s="82">
        <f t="shared" si="1463"/>
        <v>39878.253734999991</v>
      </c>
      <c r="BD198" s="82">
        <f t="shared" si="1463"/>
        <v>40875.210078374985</v>
      </c>
      <c r="BE198" s="82">
        <f t="shared" si="1463"/>
        <v>41897.090330334358</v>
      </c>
      <c r="BF198" s="82">
        <f t="shared" ref="BF198:BM198" si="1464">BF173/BF61</f>
        <v>42944.517588592716</v>
      </c>
      <c r="BG198" s="82">
        <f t="shared" si="1464"/>
        <v>44018.130528307527</v>
      </c>
      <c r="BH198" s="82">
        <f t="shared" si="1464"/>
        <v>45118.583791515208</v>
      </c>
      <c r="BI198" s="82">
        <f t="shared" si="1464"/>
        <v>44419.507575445423</v>
      </c>
      <c r="BJ198" s="82">
        <f t="shared" si="1464"/>
        <v>43772.494614225718</v>
      </c>
      <c r="BK198" s="82">
        <f t="shared" si="1464"/>
        <v>44458.741414839191</v>
      </c>
      <c r="BL198" s="82">
        <f t="shared" si="1464"/>
        <v>45155.748905481109</v>
      </c>
      <c r="BM198" s="82">
        <f t="shared" si="1464"/>
        <v>45863.685859292789</v>
      </c>
      <c r="BN198" s="82">
        <f t="shared" ref="BN198:BO198" si="1465">BN173/BN61</f>
        <v>46582.723697299451</v>
      </c>
      <c r="BO198" s="82">
        <f t="shared" si="1465"/>
        <v>47313.036529969148</v>
      </c>
      <c r="BP198" s="82">
        <f t="shared" ref="BP198:BQ198" si="1466">BP173/BP61</f>
        <v>48054.801199424175</v>
      </c>
      <c r="BQ198" s="82">
        <f t="shared" si="1466"/>
        <v>48808.197322315493</v>
      </c>
      <c r="BR198" s="82"/>
      <c r="BS198" s="166">
        <v>0</v>
      </c>
      <c r="BT198" s="166">
        <v>0</v>
      </c>
      <c r="BU198" s="166">
        <v>0</v>
      </c>
      <c r="BV198" s="166">
        <v>0</v>
      </c>
      <c r="BW198" s="166">
        <v>0</v>
      </c>
      <c r="BX198" s="166">
        <v>0</v>
      </c>
      <c r="BY198" s="166">
        <v>0</v>
      </c>
      <c r="BZ198" s="166">
        <v>0</v>
      </c>
      <c r="CA198" s="166">
        <v>0</v>
      </c>
      <c r="CB198" s="166">
        <v>0</v>
      </c>
      <c r="CC198" s="82">
        <f>E198</f>
        <v>0</v>
      </c>
      <c r="CD198" s="82">
        <f>G198</f>
        <v>0</v>
      </c>
      <c r="CE198" s="82">
        <f>I198</f>
        <v>0</v>
      </c>
      <c r="CF198" s="82">
        <f>K198</f>
        <v>0</v>
      </c>
      <c r="CG198" s="82">
        <f>M198</f>
        <v>0</v>
      </c>
      <c r="CH198" s="82">
        <f>O198</f>
        <v>0</v>
      </c>
      <c r="CI198" s="82">
        <f>Q198</f>
        <v>0</v>
      </c>
      <c r="CJ198" s="82">
        <f>S198</f>
        <v>0</v>
      </c>
      <c r="CK198" s="82">
        <f>U198</f>
        <v>13187</v>
      </c>
      <c r="CL198" s="82">
        <f>W198</f>
        <v>11585</v>
      </c>
      <c r="CM198" s="82">
        <f>Y198</f>
        <v>19275</v>
      </c>
      <c r="CN198" s="82">
        <f>AA198</f>
        <v>15248</v>
      </c>
      <c r="CO198" s="82">
        <f>AC198</f>
        <v>15663</v>
      </c>
      <c r="CP198" s="82">
        <f>AE198</f>
        <v>16871</v>
      </c>
      <c r="CQ198" s="82">
        <f>AG198</f>
        <v>19968</v>
      </c>
      <c r="CR198" s="82">
        <f>AI198</f>
        <v>21530</v>
      </c>
      <c r="CS198" s="82">
        <f>AK198</f>
        <v>22554</v>
      </c>
      <c r="CT198" s="82">
        <f>AM198</f>
        <v>16912</v>
      </c>
      <c r="CU198" s="82">
        <f>AO198</f>
        <v>15881</v>
      </c>
      <c r="CV198" s="82">
        <f>AQ198</f>
        <v>16298</v>
      </c>
      <c r="CW198" s="82">
        <f>AS198</f>
        <v>21209</v>
      </c>
      <c r="CX198" s="82">
        <f>AU198</f>
        <v>17787</v>
      </c>
      <c r="CY198" s="82">
        <f>AW198</f>
        <v>23217</v>
      </c>
      <c r="CZ198" s="83">
        <f>AY198</f>
        <v>31307</v>
      </c>
      <c r="DA198" s="82">
        <f>BA198</f>
        <v>37956.695999999996</v>
      </c>
      <c r="DB198" s="82">
        <f>BC198</f>
        <v>39878.253734999991</v>
      </c>
      <c r="DC198" s="82">
        <f>BE198</f>
        <v>41897.090330334358</v>
      </c>
      <c r="DD198" s="82">
        <f>BG198</f>
        <v>44018.130528307527</v>
      </c>
      <c r="DE198" s="82">
        <f>BI198</f>
        <v>44419.507575445423</v>
      </c>
      <c r="DF198" s="82">
        <f>BK198</f>
        <v>44458.741414839191</v>
      </c>
      <c r="DG198" s="82">
        <f>BM198</f>
        <v>45863.685859292789</v>
      </c>
      <c r="DH198" s="82">
        <f>BO198</f>
        <v>47313.036529969148</v>
      </c>
      <c r="DI198" s="82">
        <f>BQ198</f>
        <v>48808.197322315493</v>
      </c>
    </row>
    <row r="199" spans="1:113" s="84" customFormat="1" outlineLevel="1">
      <c r="A199" s="1" t="s">
        <v>616</v>
      </c>
      <c r="B199" s="84" t="s">
        <v>614</v>
      </c>
      <c r="C199" s="164">
        <v>0</v>
      </c>
      <c r="D199" s="164">
        <v>0</v>
      </c>
      <c r="E199" s="164">
        <v>0</v>
      </c>
      <c r="F199" s="164">
        <v>0</v>
      </c>
      <c r="G199" s="164">
        <v>0</v>
      </c>
      <c r="H199" s="164">
        <v>0</v>
      </c>
      <c r="I199" s="164">
        <v>0</v>
      </c>
      <c r="J199" s="164">
        <v>0</v>
      </c>
      <c r="K199" s="164">
        <v>0</v>
      </c>
      <c r="L199" s="164">
        <v>0</v>
      </c>
      <c r="M199" s="165">
        <v>0</v>
      </c>
      <c r="N199" s="165">
        <v>0</v>
      </c>
      <c r="O199" s="165">
        <v>0</v>
      </c>
      <c r="P199" s="165">
        <v>0</v>
      </c>
      <c r="Q199" s="165">
        <v>0</v>
      </c>
      <c r="R199" s="165">
        <v>0</v>
      </c>
      <c r="S199" s="165">
        <v>0</v>
      </c>
      <c r="T199" s="165">
        <v>9390</v>
      </c>
      <c r="U199" s="165">
        <v>7442</v>
      </c>
      <c r="V199" s="165">
        <v>9109</v>
      </c>
      <c r="W199" s="165">
        <v>4345</v>
      </c>
      <c r="X199" s="165">
        <v>7419</v>
      </c>
      <c r="Y199" s="85">
        <v>7002</v>
      </c>
      <c r="Z199" s="85">
        <v>9408</v>
      </c>
      <c r="AA199" s="165">
        <v>6157</v>
      </c>
      <c r="AB199" s="165">
        <v>8480</v>
      </c>
      <c r="AC199" s="165">
        <v>6075</v>
      </c>
      <c r="AD199" s="165">
        <v>10040</v>
      </c>
      <c r="AE199" s="165">
        <v>5198</v>
      </c>
      <c r="AF199" s="165">
        <v>6962</v>
      </c>
      <c r="AG199" s="165">
        <v>6319</v>
      </c>
      <c r="AH199" s="165">
        <v>9343</v>
      </c>
      <c r="AI199" s="165">
        <v>10087</v>
      </c>
      <c r="AJ199" s="165">
        <v>8798</v>
      </c>
      <c r="AK199" s="165">
        <v>6170</v>
      </c>
      <c r="AL199" s="165">
        <v>9347</v>
      </c>
      <c r="AM199" s="165">
        <v>8915</v>
      </c>
      <c r="AN199" s="165">
        <v>13895</v>
      </c>
      <c r="AO199" s="165">
        <v>9911</v>
      </c>
      <c r="AP199" s="165">
        <v>10409</v>
      </c>
      <c r="AQ199" s="165">
        <v>10944</v>
      </c>
      <c r="AR199" s="165">
        <v>16163</v>
      </c>
      <c r="AS199" s="165">
        <v>15930</v>
      </c>
      <c r="AT199" s="165">
        <v>15587</v>
      </c>
      <c r="AU199" s="165">
        <v>12517</v>
      </c>
      <c r="AV199" s="165">
        <v>11721</v>
      </c>
      <c r="AW199" s="165">
        <v>12908</v>
      </c>
      <c r="AX199" s="165">
        <v>16151</v>
      </c>
      <c r="AY199" s="165">
        <v>14595</v>
      </c>
      <c r="AZ199" s="392">
        <v>17845</v>
      </c>
      <c r="BA199" s="86">
        <f t="shared" ref="BA199:BE199" si="1467">AZ199*BA198/AZ198</f>
        <v>18219.744999999995</v>
      </c>
      <c r="BB199" s="86">
        <f t="shared" si="1467"/>
        <v>18675.238624999994</v>
      </c>
      <c r="BC199" s="86">
        <f t="shared" si="1467"/>
        <v>19142.119590624992</v>
      </c>
      <c r="BD199" s="86">
        <f t="shared" si="1467"/>
        <v>19620.672580390616</v>
      </c>
      <c r="BE199" s="86">
        <f t="shared" si="1467"/>
        <v>20111.189394900382</v>
      </c>
      <c r="BF199" s="86">
        <f t="shared" ref="BF199:BM199" si="1468">BE199*BF198/BE198</f>
        <v>20613.969129772893</v>
      </c>
      <c r="BG199" s="86">
        <f t="shared" si="1468"/>
        <v>21129.318358017212</v>
      </c>
      <c r="BH199" s="86">
        <f t="shared" si="1468"/>
        <v>21657.551316967638</v>
      </c>
      <c r="BI199" s="86">
        <f t="shared" si="1468"/>
        <v>21321.984954912405</v>
      </c>
      <c r="BJ199" s="86">
        <f t="shared" si="1468"/>
        <v>21011.409683420967</v>
      </c>
      <c r="BK199" s="86">
        <f t="shared" si="1468"/>
        <v>21340.817746605477</v>
      </c>
      <c r="BL199" s="86">
        <f t="shared" si="1468"/>
        <v>21675.391091518995</v>
      </c>
      <c r="BM199" s="86">
        <f t="shared" si="1468"/>
        <v>22015.210731630075</v>
      </c>
      <c r="BN199" s="86">
        <f t="shared" ref="BN199" si="1469">BM199*BN198/BM198</f>
        <v>22360.35895142857</v>
      </c>
      <c r="BO199" s="86">
        <f t="shared" ref="BO199" si="1470">BN199*BO198/BN198</f>
        <v>22710.919326374522</v>
      </c>
      <c r="BP199" s="86">
        <f t="shared" ref="BP199" si="1471">BO199*BP198/BO198</f>
        <v>23066.976743160216</v>
      </c>
      <c r="BQ199" s="86">
        <f t="shared" ref="BQ199" si="1472">BP199*BQ198/BP198</f>
        <v>23428.617420290502</v>
      </c>
      <c r="BR199" s="86"/>
      <c r="BS199" s="164">
        <v>0</v>
      </c>
      <c r="BT199" s="164">
        <v>0</v>
      </c>
      <c r="BU199" s="164">
        <v>0</v>
      </c>
      <c r="BV199" s="164">
        <v>0</v>
      </c>
      <c r="BW199" s="164">
        <v>0</v>
      </c>
      <c r="BX199" s="164">
        <v>0</v>
      </c>
      <c r="BY199" s="164">
        <v>0</v>
      </c>
      <c r="BZ199" s="164">
        <v>0</v>
      </c>
      <c r="CA199" s="164">
        <v>0</v>
      </c>
      <c r="CB199" s="164">
        <v>0</v>
      </c>
      <c r="CC199" s="86">
        <f>E199</f>
        <v>0</v>
      </c>
      <c r="CD199" s="86">
        <f>G199</f>
        <v>0</v>
      </c>
      <c r="CE199" s="86">
        <f>I199</f>
        <v>0</v>
      </c>
      <c r="CF199" s="86">
        <f>K199</f>
        <v>0</v>
      </c>
      <c r="CG199" s="86">
        <f>M199</f>
        <v>0</v>
      </c>
      <c r="CH199" s="86">
        <f>O199</f>
        <v>0</v>
      </c>
      <c r="CI199" s="86">
        <f>Q199</f>
        <v>0</v>
      </c>
      <c r="CJ199" s="86">
        <f>S199</f>
        <v>0</v>
      </c>
      <c r="CK199" s="86">
        <f>U199</f>
        <v>7442</v>
      </c>
      <c r="CL199" s="86">
        <f>W199</f>
        <v>4345</v>
      </c>
      <c r="CM199" s="86">
        <f>Y199</f>
        <v>7002</v>
      </c>
      <c r="CN199" s="86">
        <f>AA199</f>
        <v>6157</v>
      </c>
      <c r="CO199" s="86">
        <f>AC199</f>
        <v>6075</v>
      </c>
      <c r="CP199" s="86">
        <f>AE199</f>
        <v>5198</v>
      </c>
      <c r="CQ199" s="86">
        <f>AG199</f>
        <v>6319</v>
      </c>
      <c r="CR199" s="86">
        <f>AI199</f>
        <v>10087</v>
      </c>
      <c r="CS199" s="86">
        <f>AK199</f>
        <v>6170</v>
      </c>
      <c r="CT199" s="86">
        <f>AM199</f>
        <v>8915</v>
      </c>
      <c r="CU199" s="86">
        <f>AO199</f>
        <v>9911</v>
      </c>
      <c r="CV199" s="86">
        <f>AQ199</f>
        <v>10944</v>
      </c>
      <c r="CW199" s="86">
        <f>AS199</f>
        <v>15930</v>
      </c>
      <c r="CX199" s="86">
        <f>AU199</f>
        <v>12517</v>
      </c>
      <c r="CY199" s="86">
        <f>AW199</f>
        <v>12908</v>
      </c>
      <c r="CZ199" s="87">
        <f>AY199</f>
        <v>14595</v>
      </c>
      <c r="DA199" s="86">
        <f>BA199</f>
        <v>18219.744999999995</v>
      </c>
      <c r="DB199" s="86">
        <f>BC199</f>
        <v>19142.119590624992</v>
      </c>
      <c r="DC199" s="86">
        <f>BE199</f>
        <v>20111.189394900382</v>
      </c>
      <c r="DD199" s="86">
        <f>BG199</f>
        <v>21129.318358017212</v>
      </c>
      <c r="DE199" s="86">
        <f>BI199</f>
        <v>21321.984954912405</v>
      </c>
      <c r="DF199" s="86">
        <f>BK199</f>
        <v>21340.817746605477</v>
      </c>
      <c r="DG199" s="86">
        <f>BM199</f>
        <v>22015.210731630075</v>
      </c>
      <c r="DH199" s="86">
        <f>BO199</f>
        <v>22710.919326374522</v>
      </c>
      <c r="DI199" s="86">
        <f>BQ199</f>
        <v>23428.617420290502</v>
      </c>
    </row>
    <row r="200" spans="1:113" outlineLevel="1">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5"/>
      <c r="AU200" s="55"/>
      <c r="AV200" s="55"/>
      <c r="AW200" s="55"/>
      <c r="AX200" s="55"/>
      <c r="AY200" s="55"/>
      <c r="AZ200" s="56"/>
      <c r="BA200" s="55"/>
      <c r="BB200" s="55"/>
      <c r="BC200" s="55"/>
      <c r="BD200" s="55"/>
      <c r="BE200" s="55"/>
      <c r="BF200" s="55"/>
      <c r="BG200" s="55"/>
      <c r="BH200" s="55"/>
      <c r="BI200" s="55"/>
      <c r="BJ200" s="55"/>
      <c r="BK200" s="55"/>
      <c r="BL200" s="55"/>
      <c r="BM200" s="55"/>
      <c r="BN200" s="55"/>
      <c r="BO200" s="55"/>
      <c r="BP200" s="55"/>
      <c r="BQ200" s="55"/>
      <c r="BR200" s="55"/>
      <c r="BS200" s="55"/>
      <c r="BT200" s="55"/>
      <c r="BU200" s="55"/>
      <c r="BV200" s="55"/>
      <c r="BW200" s="55"/>
      <c r="BX200" s="55"/>
      <c r="BY200" s="55"/>
      <c r="BZ200" s="55"/>
      <c r="CA200" s="55"/>
      <c r="CB200" s="55"/>
      <c r="CC200" s="55"/>
      <c r="CD200" s="55"/>
      <c r="CE200" s="55"/>
      <c r="CF200" s="55"/>
      <c r="CG200" s="55"/>
      <c r="CH200" s="55"/>
      <c r="CI200" s="55"/>
      <c r="CJ200" s="55"/>
      <c r="CK200" s="55"/>
      <c r="CL200" s="55"/>
      <c r="CM200" s="55"/>
      <c r="CN200" s="55"/>
      <c r="CO200" s="55"/>
      <c r="CP200" s="55"/>
      <c r="CQ200" s="55"/>
      <c r="CR200" s="55"/>
      <c r="CS200" s="55"/>
      <c r="CT200" s="55"/>
      <c r="CU200" s="55"/>
      <c r="CV200" s="55"/>
      <c r="CW200" s="55"/>
      <c r="CX200" s="55"/>
      <c r="CY200" s="55"/>
      <c r="CZ200" s="56"/>
      <c r="DA200" s="55"/>
      <c r="DB200" s="55"/>
    </row>
    <row r="201" spans="1:113" s="24" customFormat="1" outlineLevel="1">
      <c r="A201" s="1"/>
      <c r="B201" s="24" t="s">
        <v>496</v>
      </c>
      <c r="C201" s="82"/>
      <c r="D201" s="82"/>
      <c r="E201" s="82"/>
      <c r="F201" s="82"/>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c r="AV201" s="82"/>
      <c r="AW201" s="82"/>
      <c r="AX201" s="82"/>
      <c r="AY201" s="82"/>
      <c r="AZ201" s="83"/>
      <c r="BA201" s="82"/>
      <c r="BB201" s="82"/>
      <c r="BC201" s="82"/>
      <c r="BD201" s="82"/>
      <c r="BE201" s="82"/>
      <c r="BF201" s="82"/>
      <c r="BG201" s="82"/>
      <c r="BH201" s="82"/>
      <c r="BI201" s="82"/>
      <c r="BJ201" s="82"/>
      <c r="BK201" s="82"/>
      <c r="BL201" s="82"/>
      <c r="BM201" s="82"/>
      <c r="BN201" s="82"/>
      <c r="BO201" s="82"/>
      <c r="BP201" s="82"/>
      <c r="BQ201" s="82"/>
      <c r="BR201" s="82"/>
      <c r="BS201" s="82"/>
      <c r="BT201" s="82"/>
      <c r="BU201" s="82"/>
      <c r="BV201" s="82"/>
      <c r="BW201" s="82"/>
      <c r="BX201" s="82"/>
      <c r="BY201" s="82"/>
      <c r="BZ201" s="82"/>
      <c r="CA201" s="82"/>
      <c r="CB201" s="82"/>
      <c r="CC201" s="82"/>
      <c r="CD201" s="82"/>
      <c r="CE201" s="82"/>
      <c r="CF201" s="82"/>
      <c r="CG201" s="82"/>
      <c r="CH201" s="82"/>
      <c r="CI201" s="82"/>
      <c r="CJ201" s="82"/>
      <c r="CK201" s="82"/>
      <c r="CL201" s="82"/>
      <c r="CM201" s="82"/>
      <c r="CN201" s="82"/>
      <c r="CO201" s="82"/>
      <c r="CP201" s="82"/>
      <c r="CQ201" s="82"/>
      <c r="CR201" s="82"/>
      <c r="CS201" s="82"/>
      <c r="CT201" s="82"/>
      <c r="CU201" s="82"/>
      <c r="CV201" s="82"/>
      <c r="CW201" s="82"/>
      <c r="CX201" s="82"/>
      <c r="CY201" s="82"/>
      <c r="CZ201" s="83"/>
      <c r="DA201" s="82"/>
      <c r="DB201" s="82"/>
    </row>
    <row r="202" spans="1:113" outlineLevel="1">
      <c r="A202" s="1" t="s">
        <v>617</v>
      </c>
      <c r="B202" s="19" t="str">
        <f>B$184</f>
        <v>Core deposits</v>
      </c>
      <c r="C202" s="55">
        <f t="shared" ref="C202:L203" si="1473">C184+C190+C196</f>
        <v>65716</v>
      </c>
      <c r="D202" s="55">
        <f t="shared" si="1473"/>
        <v>71539</v>
      </c>
      <c r="E202" s="55">
        <f t="shared" si="1473"/>
        <v>75907</v>
      </c>
      <c r="F202" s="55">
        <f t="shared" si="1473"/>
        <v>78796</v>
      </c>
      <c r="G202" s="55">
        <f t="shared" si="1473"/>
        <v>80300</v>
      </c>
      <c r="H202" s="55">
        <f t="shared" si="1473"/>
        <v>84093</v>
      </c>
      <c r="I202" s="55">
        <f t="shared" si="1473"/>
        <v>84548</v>
      </c>
      <c r="J202" s="55">
        <f t="shared" si="1473"/>
        <v>87488</v>
      </c>
      <c r="K202" s="55">
        <f t="shared" si="1473"/>
        <v>91018</v>
      </c>
      <c r="L202" s="55">
        <f t="shared" si="1473"/>
        <v>92297</v>
      </c>
      <c r="M202" s="55">
        <f t="shared" ref="M202:W202" si="1474">M184+M190+M196</f>
        <v>95673</v>
      </c>
      <c r="N202" s="55">
        <f t="shared" si="1474"/>
        <v>102331</v>
      </c>
      <c r="O202" s="55">
        <f t="shared" si="1474"/>
        <v>127343</v>
      </c>
      <c r="P202" s="55">
        <f t="shared" si="1474"/>
        <v>134301</v>
      </c>
      <c r="Q202" s="55">
        <f t="shared" si="1474"/>
        <v>133673</v>
      </c>
      <c r="R202" s="55">
        <f t="shared" si="1474"/>
        <v>165566</v>
      </c>
      <c r="S202" s="55">
        <f t="shared" si="1474"/>
        <v>171758</v>
      </c>
      <c r="T202" s="55">
        <f t="shared" si="1474"/>
        <v>172346</v>
      </c>
      <c r="U202" s="55">
        <f t="shared" si="1474"/>
        <v>177332</v>
      </c>
      <c r="V202" s="55">
        <f t="shared" si="1474"/>
        <v>176940</v>
      </c>
      <c r="W202" s="55">
        <f t="shared" si="1474"/>
        <v>187344</v>
      </c>
      <c r="X202" s="55">
        <f t="shared" ref="X202:AK202" si="1475">X184+X190+X196</f>
        <v>196671</v>
      </c>
      <c r="Y202" s="55">
        <f t="shared" si="1475"/>
        <v>197796</v>
      </c>
      <c r="Z202" s="55">
        <f t="shared" si="1475"/>
        <v>207170</v>
      </c>
      <c r="AA202" s="55">
        <f t="shared" si="1475"/>
        <v>220433</v>
      </c>
      <c r="AB202" s="55">
        <f t="shared" si="1475"/>
        <v>243983</v>
      </c>
      <c r="AC202" s="55">
        <f t="shared" si="1475"/>
        <v>259084</v>
      </c>
      <c r="AD202" s="55">
        <f t="shared" si="1475"/>
        <v>278690</v>
      </c>
      <c r="AE202" s="55">
        <f t="shared" si="1475"/>
        <v>303015</v>
      </c>
      <c r="AF202" s="55">
        <f t="shared" si="1475"/>
        <v>327517</v>
      </c>
      <c r="AG202" s="55">
        <f t="shared" si="1475"/>
        <v>347549</v>
      </c>
      <c r="AH202" s="55">
        <f t="shared" si="1475"/>
        <v>353677</v>
      </c>
      <c r="AI202" s="55">
        <f t="shared" si="1475"/>
        <v>363274</v>
      </c>
      <c r="AJ202" s="55">
        <f t="shared" si="1475"/>
        <v>371444</v>
      </c>
      <c r="AK202" s="55">
        <f t="shared" si="1475"/>
        <v>373804</v>
      </c>
      <c r="AL202" s="55">
        <f t="shared" ref="AL202:AN203" si="1476">AL184+AL190+AL196</f>
        <v>376229</v>
      </c>
      <c r="AM202" s="55">
        <f t="shared" si="1476"/>
        <v>386413</v>
      </c>
      <c r="AN202" s="55">
        <f t="shared" si="1476"/>
        <v>414084</v>
      </c>
      <c r="AO202" s="55">
        <f t="shared" ref="AO202:AQ203" si="1477">AO184+AO190+AO196</f>
        <v>476581</v>
      </c>
      <c r="AP202" s="55">
        <f t="shared" si="1477"/>
        <v>527343</v>
      </c>
      <c r="AQ202" s="55">
        <f t="shared" si="1477"/>
        <v>555577</v>
      </c>
      <c r="AR202" s="55">
        <f t="shared" ref="AR202" si="1478">AR184+AR190+AR196</f>
        <v>594030</v>
      </c>
      <c r="AS202" s="55">
        <f t="shared" ref="AS202:AT202" si="1479">AS184+AS190+AS196</f>
        <v>619670</v>
      </c>
      <c r="AT202" s="55">
        <f t="shared" si="1479"/>
        <v>605358</v>
      </c>
      <c r="AU202" s="55">
        <f t="shared" ref="AU202:AV202" si="1480">AU184+AU190+AU196</f>
        <v>608605</v>
      </c>
      <c r="AV202" s="55">
        <f t="shared" si="1480"/>
        <v>603372</v>
      </c>
      <c r="AW202" s="55">
        <f t="shared" ref="AW202:AX202" si="1481">AW184+AW190+AW196</f>
        <v>599732</v>
      </c>
      <c r="AX202" s="55">
        <f t="shared" si="1481"/>
        <v>615060</v>
      </c>
      <c r="AY202" s="55">
        <f t="shared" ref="AY202:BE202" si="1482">AX202*AY$204/AX$204</f>
        <v>639154.62394543167</v>
      </c>
      <c r="AZ202" s="56">
        <f t="shared" si="1482"/>
        <v>669602.24136899412</v>
      </c>
      <c r="BA202" s="55">
        <f t="shared" si="1482"/>
        <v>688962.37291270262</v>
      </c>
      <c r="BB202" s="55">
        <f t="shared" si="1482"/>
        <v>706186.43223552022</v>
      </c>
      <c r="BC202" s="55">
        <f t="shared" si="1482"/>
        <v>723841.09304140811</v>
      </c>
      <c r="BD202" s="55">
        <f t="shared" si="1482"/>
        <v>741937.12036744319</v>
      </c>
      <c r="BE202" s="55">
        <f t="shared" si="1482"/>
        <v>760485.54837662925</v>
      </c>
      <c r="BF202" s="55">
        <f t="shared" ref="BF202:BM203" si="1483">BE202*BF$204/BE$204</f>
        <v>779497.68708604469</v>
      </c>
      <c r="BG202" s="55">
        <f t="shared" si="1483"/>
        <v>798985.12926319567</v>
      </c>
      <c r="BH202" s="55">
        <f t="shared" si="1483"/>
        <v>818959.75749477535</v>
      </c>
      <c r="BI202" s="55">
        <f t="shared" si="1483"/>
        <v>833387.95392699132</v>
      </c>
      <c r="BJ202" s="55">
        <f t="shared" si="1483"/>
        <v>848177.68921822042</v>
      </c>
      <c r="BK202" s="55">
        <f t="shared" si="1483"/>
        <v>864798.88891583961</v>
      </c>
      <c r="BL202" s="55">
        <f t="shared" si="1483"/>
        <v>881748.92726657505</v>
      </c>
      <c r="BM202" s="55">
        <f t="shared" si="1483"/>
        <v>899034.34718000819</v>
      </c>
      <c r="BN202" s="55">
        <f t="shared" ref="BN202:BN203" si="1484">BM202*BN$204/BM$204</f>
        <v>916661.82219849259</v>
      </c>
      <c r="BO202" s="55">
        <f t="shared" ref="BO202:BO203" si="1485">BN202*BO$204/BN$204</f>
        <v>934638.15911087755</v>
      </c>
      <c r="BP202" s="55">
        <f t="shared" ref="BP202:BP203" si="1486">BO202*BP$204/BO$204</f>
        <v>952970.30061860033</v>
      </c>
      <c r="BQ202" s="55">
        <f t="shared" ref="BQ202:BQ203" si="1487">BP202*BQ$204/BP$204</f>
        <v>971665.32805519551</v>
      </c>
      <c r="BR202" s="55"/>
      <c r="BS202" s="55">
        <f t="shared" ref="BS202:CB202" si="1488">BS204-BS203</f>
        <v>51447.356110098379</v>
      </c>
      <c r="BT202" s="55">
        <f t="shared" si="1488"/>
        <v>54497.545637286297</v>
      </c>
      <c r="BU202" s="55">
        <f t="shared" si="1488"/>
        <v>52668.0530209719</v>
      </c>
      <c r="BV202" s="55">
        <f t="shared" si="1488"/>
        <v>51294.636481581838</v>
      </c>
      <c r="BW202" s="55">
        <f t="shared" si="1488"/>
        <v>40426</v>
      </c>
      <c r="BX202" s="55">
        <f t="shared" si="1488"/>
        <v>45607</v>
      </c>
      <c r="BY202" s="55">
        <f t="shared" si="1488"/>
        <v>47330</v>
      </c>
      <c r="BZ202" s="55">
        <f t="shared" si="1488"/>
        <v>49887</v>
      </c>
      <c r="CA202" s="55">
        <f t="shared" si="1488"/>
        <v>58972</v>
      </c>
      <c r="CB202" s="55">
        <f t="shared" si="1488"/>
        <v>65716</v>
      </c>
      <c r="CC202" s="55">
        <f>E202</f>
        <v>75907</v>
      </c>
      <c r="CD202" s="55">
        <f>G202</f>
        <v>80300</v>
      </c>
      <c r="CE202" s="55">
        <f>I202</f>
        <v>84548</v>
      </c>
      <c r="CF202" s="55">
        <f>K202</f>
        <v>91018</v>
      </c>
      <c r="CG202" s="55">
        <f>M202</f>
        <v>95673</v>
      </c>
      <c r="CH202" s="55">
        <f>O202</f>
        <v>127343</v>
      </c>
      <c r="CI202" s="55">
        <f>Q202</f>
        <v>133673</v>
      </c>
      <c r="CJ202" s="55">
        <f>S202</f>
        <v>171758</v>
      </c>
      <c r="CK202" s="55">
        <f>U202</f>
        <v>177332</v>
      </c>
      <c r="CL202" s="55">
        <f>W202</f>
        <v>187344</v>
      </c>
      <c r="CM202" s="55">
        <f>Y202</f>
        <v>197796</v>
      </c>
      <c r="CN202" s="55">
        <f>AA202</f>
        <v>220433</v>
      </c>
      <c r="CO202" s="55">
        <f>AC202</f>
        <v>259084</v>
      </c>
      <c r="CP202" s="55">
        <f>AE202</f>
        <v>303015</v>
      </c>
      <c r="CQ202" s="55">
        <f>AG202</f>
        <v>347549</v>
      </c>
      <c r="CR202" s="55">
        <f>AI202</f>
        <v>363274</v>
      </c>
      <c r="CS202" s="55">
        <f>AK202</f>
        <v>373804</v>
      </c>
      <c r="CT202" s="55">
        <f>AM202</f>
        <v>386413</v>
      </c>
      <c r="CU202" s="55">
        <f>AO202</f>
        <v>476581</v>
      </c>
      <c r="CV202" s="55">
        <f>AQ202</f>
        <v>555577</v>
      </c>
      <c r="CW202" s="55">
        <f>AS202</f>
        <v>619670</v>
      </c>
      <c r="CX202" s="55">
        <f>AU202</f>
        <v>608605</v>
      </c>
      <c r="CY202" s="55">
        <f>AW202</f>
        <v>599732</v>
      </c>
      <c r="CZ202" s="56">
        <f>AY202</f>
        <v>639154.62394543167</v>
      </c>
      <c r="DA202" s="55">
        <f>BA202</f>
        <v>688962.37291270262</v>
      </c>
      <c r="DB202" s="55">
        <f>BC202</f>
        <v>723841.09304140811</v>
      </c>
      <c r="DC202" s="55">
        <f>BE202</f>
        <v>760485.54837662925</v>
      </c>
      <c r="DD202" s="55">
        <f>BG202</f>
        <v>798985.12926319567</v>
      </c>
      <c r="DE202" s="55">
        <f>BI202</f>
        <v>833387.95392699132</v>
      </c>
      <c r="DF202" s="55">
        <f>BK202</f>
        <v>864798.88891583961</v>
      </c>
      <c r="DG202" s="55">
        <f>BM202</f>
        <v>899034.34718000819</v>
      </c>
      <c r="DH202" s="55">
        <f>BO202</f>
        <v>934638.15911087755</v>
      </c>
      <c r="DI202" s="55">
        <f>BQ202</f>
        <v>971665.32805519551</v>
      </c>
    </row>
    <row r="203" spans="1:113" outlineLevel="1">
      <c r="A203" s="1" t="s">
        <v>618</v>
      </c>
      <c r="B203" s="19" t="str">
        <f>B$185</f>
        <v>Time deposits (includes CDs)</v>
      </c>
      <c r="C203" s="55">
        <f t="shared" si="1473"/>
        <v>51172</v>
      </c>
      <c r="D203" s="55">
        <f t="shared" si="1473"/>
        <v>52914</v>
      </c>
      <c r="E203" s="55">
        <f t="shared" si="1473"/>
        <v>56116</v>
      </c>
      <c r="F203" s="55">
        <f t="shared" si="1473"/>
        <v>59249</v>
      </c>
      <c r="G203" s="55">
        <f t="shared" si="1473"/>
        <v>56852</v>
      </c>
      <c r="H203" s="55">
        <f t="shared" si="1473"/>
        <v>70025</v>
      </c>
      <c r="I203" s="55">
        <f t="shared" si="1473"/>
        <v>74486</v>
      </c>
      <c r="J203" s="55">
        <f t="shared" si="1473"/>
        <v>76264</v>
      </c>
      <c r="K203" s="55">
        <f t="shared" si="1473"/>
        <v>74345</v>
      </c>
      <c r="L203" s="55">
        <f t="shared" si="1473"/>
        <v>75237</v>
      </c>
      <c r="M203" s="55">
        <f t="shared" ref="M203:W203" si="1489">M185+M191+M197</f>
        <v>76144</v>
      </c>
      <c r="N203" s="55">
        <f t="shared" si="1489"/>
        <v>83995</v>
      </c>
      <c r="O203" s="55">
        <f t="shared" si="1489"/>
        <v>88372</v>
      </c>
      <c r="P203" s="55">
        <f t="shared" si="1489"/>
        <v>115460</v>
      </c>
      <c r="Q203" s="55">
        <f t="shared" si="1489"/>
        <v>128444</v>
      </c>
      <c r="R203" s="55">
        <f t="shared" si="1489"/>
        <v>174556</v>
      </c>
      <c r="S203" s="55">
        <f t="shared" si="1489"/>
        <v>188389</v>
      </c>
      <c r="T203" s="55">
        <f t="shared" si="1489"/>
        <v>193843</v>
      </c>
      <c r="U203" s="55">
        <f t="shared" si="1489"/>
        <v>191571</v>
      </c>
      <c r="V203" s="55">
        <f t="shared" si="1489"/>
        <v>213920</v>
      </c>
      <c r="W203" s="55">
        <f t="shared" si="1489"/>
        <v>209740</v>
      </c>
      <c r="X203" s="55">
        <f t="shared" ref="X203:AK203" si="1490">X185+X191+X197</f>
        <v>231460</v>
      </c>
      <c r="Y203" s="55">
        <f t="shared" si="1490"/>
        <v>234614</v>
      </c>
      <c r="Z203" s="55">
        <f t="shared" si="1490"/>
        <v>236612</v>
      </c>
      <c r="AA203" s="55">
        <f t="shared" si="1490"/>
        <v>233424</v>
      </c>
      <c r="AB203" s="55">
        <f t="shared" si="1490"/>
        <v>230819</v>
      </c>
      <c r="AC203" s="55">
        <f t="shared" si="1490"/>
        <v>229307</v>
      </c>
      <c r="AD203" s="55">
        <f t="shared" si="1490"/>
        <v>234806</v>
      </c>
      <c r="AE203" s="55">
        <f t="shared" si="1490"/>
        <v>227240</v>
      </c>
      <c r="AF203" s="55">
        <f t="shared" si="1490"/>
        <v>221042</v>
      </c>
      <c r="AG203" s="55">
        <f t="shared" si="1490"/>
        <v>223372</v>
      </c>
      <c r="AH203" s="55">
        <f t="shared" si="1490"/>
        <v>239399</v>
      </c>
      <c r="AI203" s="55">
        <f t="shared" si="1490"/>
        <v>247111</v>
      </c>
      <c r="AJ203" s="55">
        <f t="shared" si="1490"/>
        <v>241183</v>
      </c>
      <c r="AK203" s="55">
        <f t="shared" si="1490"/>
        <v>233734</v>
      </c>
      <c r="AL203" s="55">
        <f t="shared" si="1476"/>
        <v>242538</v>
      </c>
      <c r="AM203" s="55">
        <f t="shared" si="1476"/>
        <v>230528</v>
      </c>
      <c r="AN203" s="55">
        <f t="shared" si="1476"/>
        <v>228394</v>
      </c>
      <c r="AO203" s="55">
        <f t="shared" si="1477"/>
        <v>208541</v>
      </c>
      <c r="AP203" s="55">
        <f t="shared" si="1477"/>
        <v>194004</v>
      </c>
      <c r="AQ203" s="55">
        <f t="shared" si="1477"/>
        <v>191486</v>
      </c>
      <c r="AR203" s="55">
        <f t="shared" ref="AR203" si="1491">AR185+AR191+AR197</f>
        <v>196937</v>
      </c>
      <c r="AS203" s="55">
        <f t="shared" ref="AS203:AT203" si="1492">AS185+AS191+AS197</f>
        <v>204752</v>
      </c>
      <c r="AT203" s="55">
        <f t="shared" si="1492"/>
        <v>239913</v>
      </c>
      <c r="AU203" s="55">
        <f t="shared" ref="AU203:AV203" si="1493">AU185+AU191+AU197</f>
        <v>254091</v>
      </c>
      <c r="AV203" s="55">
        <f t="shared" si="1493"/>
        <v>266943</v>
      </c>
      <c r="AW203" s="55">
        <f t="shared" ref="AW203:AX203" si="1494">AW185+AW191+AW197</f>
        <v>283190</v>
      </c>
      <c r="AX203" s="55">
        <f t="shared" si="1494"/>
        <v>287442</v>
      </c>
      <c r="AY203" s="55">
        <f t="shared" ref="AY203:BE203" si="1495">AX203*AY$204/AX$204</f>
        <v>298702.37605456827</v>
      </c>
      <c r="AZ203" s="56">
        <f t="shared" si="1495"/>
        <v>312931.75863100577</v>
      </c>
      <c r="BA203" s="55">
        <f t="shared" si="1495"/>
        <v>321979.51808729727</v>
      </c>
      <c r="BB203" s="55">
        <f t="shared" si="1495"/>
        <v>330029.00603947975</v>
      </c>
      <c r="BC203" s="55">
        <f t="shared" si="1495"/>
        <v>338279.73119046673</v>
      </c>
      <c r="BD203" s="55">
        <f t="shared" si="1495"/>
        <v>346736.72447022831</v>
      </c>
      <c r="BE203" s="55">
        <f t="shared" si="1495"/>
        <v>355405.14258198399</v>
      </c>
      <c r="BF203" s="55">
        <f t="shared" si="1483"/>
        <v>364290.27114653349</v>
      </c>
      <c r="BG203" s="55">
        <f t="shared" si="1483"/>
        <v>373397.5279251968</v>
      </c>
      <c r="BH203" s="55">
        <f t="shared" si="1483"/>
        <v>382732.46612332662</v>
      </c>
      <c r="BI203" s="55">
        <f t="shared" si="1483"/>
        <v>389475.33615042811</v>
      </c>
      <c r="BJ203" s="55">
        <f t="shared" si="1483"/>
        <v>396387.16766537214</v>
      </c>
      <c r="BK203" s="55">
        <f t="shared" si="1483"/>
        <v>404154.91533792939</v>
      </c>
      <c r="BL203" s="55">
        <f t="shared" si="1483"/>
        <v>412076.34239156987</v>
      </c>
      <c r="BM203" s="55">
        <f t="shared" si="1483"/>
        <v>420154.50658816373</v>
      </c>
      <c r="BN203" s="55">
        <f t="shared" si="1484"/>
        <v>428392.52673947118</v>
      </c>
      <c r="BO203" s="55">
        <f t="shared" si="1485"/>
        <v>436793.5839286393</v>
      </c>
      <c r="BP203" s="55">
        <f t="shared" si="1486"/>
        <v>445360.92275617301</v>
      </c>
      <c r="BQ203" s="55">
        <f t="shared" si="1487"/>
        <v>454097.85261086974</v>
      </c>
      <c r="BR203" s="55"/>
      <c r="BS203" s="53">
        <f>BS205+14602+3114.6</f>
        <v>19624.643889901625</v>
      </c>
      <c r="BT203" s="53">
        <f>BT205+14666+3238.4</f>
        <v>20241.454362713703</v>
      </c>
      <c r="BU203" s="53">
        <f>BU205+14636+3560.1</f>
        <v>20468.9469790281</v>
      </c>
      <c r="BV203" s="53">
        <f>BV205+17217+4178</f>
        <v>24162.363518418158</v>
      </c>
      <c r="BW203" s="53">
        <f>BW205+21588+4602</f>
        <v>29382</v>
      </c>
      <c r="BX203" s="53">
        <f>BX205+22415+5255</f>
        <v>31446</v>
      </c>
      <c r="BY203" s="53">
        <f>BY205+24522+6201</f>
        <v>35817</v>
      </c>
      <c r="BZ203" s="53">
        <f>BZ205+23871+5692</f>
        <v>42858</v>
      </c>
      <c r="CA203" s="53">
        <f>CA205+29677+6144</f>
        <v>52643</v>
      </c>
      <c r="CB203" s="53">
        <f>CB205+28102+7849</f>
        <v>51172</v>
      </c>
      <c r="CC203" s="55">
        <f>E203</f>
        <v>56116</v>
      </c>
      <c r="CD203" s="55">
        <f>G203</f>
        <v>56852</v>
      </c>
      <c r="CE203" s="55">
        <f>I203</f>
        <v>74486</v>
      </c>
      <c r="CF203" s="55">
        <f>K203</f>
        <v>74345</v>
      </c>
      <c r="CG203" s="55">
        <f>M203</f>
        <v>76144</v>
      </c>
      <c r="CH203" s="55">
        <f>O203</f>
        <v>88372</v>
      </c>
      <c r="CI203" s="55">
        <f>Q203</f>
        <v>128444</v>
      </c>
      <c r="CJ203" s="55">
        <f>S203</f>
        <v>188389</v>
      </c>
      <c r="CK203" s="55">
        <f>U203</f>
        <v>191571</v>
      </c>
      <c r="CL203" s="55">
        <f>W203</f>
        <v>209740</v>
      </c>
      <c r="CM203" s="55">
        <f>Y203</f>
        <v>234614</v>
      </c>
      <c r="CN203" s="55">
        <f>AA203</f>
        <v>233424</v>
      </c>
      <c r="CO203" s="55">
        <f>AC203</f>
        <v>229307</v>
      </c>
      <c r="CP203" s="55">
        <f>AE203</f>
        <v>227240</v>
      </c>
      <c r="CQ203" s="55">
        <f>AG203</f>
        <v>223372</v>
      </c>
      <c r="CR203" s="55">
        <f>AI203</f>
        <v>247111</v>
      </c>
      <c r="CS203" s="55">
        <f>AK203</f>
        <v>233734</v>
      </c>
      <c r="CT203" s="55">
        <f>AM203</f>
        <v>230528</v>
      </c>
      <c r="CU203" s="55">
        <f>AO203</f>
        <v>208541</v>
      </c>
      <c r="CV203" s="55">
        <f>AQ203</f>
        <v>191486</v>
      </c>
      <c r="CW203" s="55">
        <f>AS203</f>
        <v>204752</v>
      </c>
      <c r="CX203" s="55">
        <f>AU203</f>
        <v>254091</v>
      </c>
      <c r="CY203" s="55">
        <f>AW203</f>
        <v>283190</v>
      </c>
      <c r="CZ203" s="56">
        <f>AY203</f>
        <v>298702.37605456827</v>
      </c>
      <c r="DA203" s="55">
        <f>BA203</f>
        <v>321979.51808729727</v>
      </c>
      <c r="DB203" s="55">
        <f>BC203</f>
        <v>338279.73119046673</v>
      </c>
      <c r="DC203" s="55">
        <f>BE203</f>
        <v>355405.14258198399</v>
      </c>
      <c r="DD203" s="55">
        <f>BG203</f>
        <v>373397.5279251968</v>
      </c>
      <c r="DE203" s="55">
        <f>BI203</f>
        <v>389475.33615042811</v>
      </c>
      <c r="DF203" s="55">
        <f>BK203</f>
        <v>404154.91533792939</v>
      </c>
      <c r="DG203" s="55">
        <f>BM203</f>
        <v>420154.50658816373</v>
      </c>
      <c r="DH203" s="55">
        <f>BO203</f>
        <v>436793.5839286393</v>
      </c>
      <c r="DI203" s="55">
        <f>BQ203</f>
        <v>454097.85261086974</v>
      </c>
    </row>
    <row r="204" spans="1:113" s="24" customFormat="1" outlineLevel="1">
      <c r="A204" s="1" t="s">
        <v>1054</v>
      </c>
      <c r="B204" s="24" t="s">
        <v>496</v>
      </c>
      <c r="C204" s="82">
        <f t="shared" ref="C204:L204" si="1496">C202+C203</f>
        <v>116888</v>
      </c>
      <c r="D204" s="82">
        <f t="shared" si="1496"/>
        <v>124453</v>
      </c>
      <c r="E204" s="82">
        <f t="shared" si="1496"/>
        <v>132023</v>
      </c>
      <c r="F204" s="82">
        <f t="shared" si="1496"/>
        <v>138045</v>
      </c>
      <c r="G204" s="82">
        <f t="shared" si="1496"/>
        <v>137152</v>
      </c>
      <c r="H204" s="82">
        <f t="shared" si="1496"/>
        <v>154118</v>
      </c>
      <c r="I204" s="82">
        <f t="shared" si="1496"/>
        <v>159034</v>
      </c>
      <c r="J204" s="82">
        <f t="shared" si="1496"/>
        <v>163752</v>
      </c>
      <c r="K204" s="82">
        <f t="shared" si="1496"/>
        <v>165363</v>
      </c>
      <c r="L204" s="82">
        <f t="shared" si="1496"/>
        <v>167534</v>
      </c>
      <c r="M204" s="82">
        <f t="shared" ref="M204:W204" si="1497">M202+M203</f>
        <v>171817</v>
      </c>
      <c r="N204" s="82">
        <f t="shared" si="1497"/>
        <v>186326</v>
      </c>
      <c r="O204" s="82">
        <f t="shared" si="1497"/>
        <v>215715</v>
      </c>
      <c r="P204" s="82">
        <f t="shared" si="1497"/>
        <v>249761</v>
      </c>
      <c r="Q204" s="82">
        <f t="shared" si="1497"/>
        <v>262117</v>
      </c>
      <c r="R204" s="82">
        <f t="shared" si="1497"/>
        <v>340122</v>
      </c>
      <c r="S204" s="82">
        <f t="shared" si="1497"/>
        <v>360147</v>
      </c>
      <c r="T204" s="82">
        <f t="shared" si="1497"/>
        <v>366189</v>
      </c>
      <c r="U204" s="82">
        <f t="shared" si="1497"/>
        <v>368903</v>
      </c>
      <c r="V204" s="82">
        <f t="shared" si="1497"/>
        <v>390860</v>
      </c>
      <c r="W204" s="82">
        <f t="shared" si="1497"/>
        <v>397084</v>
      </c>
      <c r="X204" s="82">
        <f t="shared" ref="X204:AK204" si="1498">X202+X203</f>
        <v>428131</v>
      </c>
      <c r="Y204" s="82">
        <f t="shared" si="1498"/>
        <v>432410</v>
      </c>
      <c r="Z204" s="82">
        <f t="shared" si="1498"/>
        <v>443782</v>
      </c>
      <c r="AA204" s="82">
        <f t="shared" si="1498"/>
        <v>453857</v>
      </c>
      <c r="AB204" s="82">
        <f t="shared" si="1498"/>
        <v>474802</v>
      </c>
      <c r="AC204" s="82">
        <f t="shared" si="1498"/>
        <v>488391</v>
      </c>
      <c r="AD204" s="82">
        <f t="shared" si="1498"/>
        <v>513496</v>
      </c>
      <c r="AE204" s="82">
        <f t="shared" si="1498"/>
        <v>530255</v>
      </c>
      <c r="AF204" s="82">
        <f t="shared" si="1498"/>
        <v>548559</v>
      </c>
      <c r="AG204" s="82">
        <f t="shared" si="1498"/>
        <v>570921</v>
      </c>
      <c r="AH204" s="82">
        <f t="shared" si="1498"/>
        <v>593076</v>
      </c>
      <c r="AI204" s="82">
        <f t="shared" si="1498"/>
        <v>610385</v>
      </c>
      <c r="AJ204" s="82">
        <f t="shared" si="1498"/>
        <v>612627</v>
      </c>
      <c r="AK204" s="82">
        <f t="shared" si="1498"/>
        <v>607538</v>
      </c>
      <c r="AL204" s="82">
        <f t="shared" ref="AL204:AQ204" si="1499">AL202+AL203</f>
        <v>618767</v>
      </c>
      <c r="AM204" s="82">
        <f t="shared" si="1499"/>
        <v>616941</v>
      </c>
      <c r="AN204" s="82">
        <f t="shared" si="1499"/>
        <v>642478</v>
      </c>
      <c r="AO204" s="82">
        <f t="shared" si="1499"/>
        <v>685122</v>
      </c>
      <c r="AP204" s="82">
        <f t="shared" si="1499"/>
        <v>721347</v>
      </c>
      <c r="AQ204" s="82">
        <f t="shared" si="1499"/>
        <v>747063</v>
      </c>
      <c r="AR204" s="82">
        <f t="shared" ref="AR204" si="1500">AR202+AR203</f>
        <v>790967</v>
      </c>
      <c r="AS204" s="82">
        <f t="shared" ref="AS204:AT204" si="1501">AS202+AS203</f>
        <v>824422</v>
      </c>
      <c r="AT204" s="82">
        <f t="shared" si="1501"/>
        <v>845271</v>
      </c>
      <c r="AU204" s="82">
        <f t="shared" ref="AU204:AV204" si="1502">AU202+AU203</f>
        <v>862696</v>
      </c>
      <c r="AV204" s="82">
        <f t="shared" si="1502"/>
        <v>870315</v>
      </c>
      <c r="AW204" s="82">
        <f t="shared" ref="AW204:AX204" si="1503">AW202+AW203</f>
        <v>882922</v>
      </c>
      <c r="AX204" s="82">
        <f t="shared" si="1503"/>
        <v>902502</v>
      </c>
      <c r="AY204" s="82">
        <f>AY186+AY192+AY198</f>
        <v>937857</v>
      </c>
      <c r="AZ204" s="83">
        <f>AZ186+AZ192+AZ198</f>
        <v>982534</v>
      </c>
      <c r="BA204" s="82">
        <f t="shared" ref="BA204:BE204" si="1504">BA186+BA192+BA198</f>
        <v>1010941.8909999999</v>
      </c>
      <c r="BB204" s="82">
        <f t="shared" si="1504"/>
        <v>1036215.438275</v>
      </c>
      <c r="BC204" s="82">
        <f t="shared" si="1504"/>
        <v>1062120.8242318749</v>
      </c>
      <c r="BD204" s="82">
        <f t="shared" si="1504"/>
        <v>1088673.8448376716</v>
      </c>
      <c r="BE204" s="82">
        <f t="shared" si="1504"/>
        <v>1115890.6909586133</v>
      </c>
      <c r="BF204" s="82">
        <f t="shared" ref="BF204:BI205" si="1505">BF186+BF192+BF198</f>
        <v>1143787.9582325784</v>
      </c>
      <c r="BG204" s="82">
        <f t="shared" si="1505"/>
        <v>1172382.6571883927</v>
      </c>
      <c r="BH204" s="82">
        <f t="shared" si="1505"/>
        <v>1201692.2236181023</v>
      </c>
      <c r="BI204" s="82">
        <f t="shared" si="1505"/>
        <v>1222863.2900774197</v>
      </c>
      <c r="BJ204" s="82">
        <f t="shared" ref="BJ204:BM205" si="1506">BJ186+BJ192+BJ198</f>
        <v>1244564.8568835929</v>
      </c>
      <c r="BK204" s="82">
        <f t="shared" si="1506"/>
        <v>1268953.8042537693</v>
      </c>
      <c r="BL204" s="82">
        <f t="shared" si="1506"/>
        <v>1293825.2696581453</v>
      </c>
      <c r="BM204" s="82">
        <f t="shared" si="1506"/>
        <v>1319188.8537681722</v>
      </c>
      <c r="BN204" s="82">
        <f t="shared" ref="BN204:BO204" si="1507">BN186+BN192+BN198</f>
        <v>1345054.3489379641</v>
      </c>
      <c r="BO204" s="82">
        <f t="shared" si="1507"/>
        <v>1371431.7430395172</v>
      </c>
      <c r="BP204" s="82">
        <f t="shared" ref="BP204:BQ204" si="1508">BP186+BP192+BP198</f>
        <v>1398331.2233747737</v>
      </c>
      <c r="BQ204" s="82">
        <f t="shared" si="1508"/>
        <v>1425763.1806660658</v>
      </c>
      <c r="BR204" s="82"/>
      <c r="BS204" s="82">
        <f t="shared" ref="BS204:CA205" si="1509">BS186+BS192</f>
        <v>71072</v>
      </c>
      <c r="BT204" s="82">
        <f t="shared" si="1509"/>
        <v>74739</v>
      </c>
      <c r="BU204" s="82">
        <f t="shared" si="1509"/>
        <v>73137</v>
      </c>
      <c r="BV204" s="82">
        <f t="shared" si="1509"/>
        <v>75457</v>
      </c>
      <c r="BW204" s="82">
        <f t="shared" si="1509"/>
        <v>69808</v>
      </c>
      <c r="BX204" s="82">
        <f t="shared" si="1509"/>
        <v>77053</v>
      </c>
      <c r="BY204" s="82">
        <f t="shared" si="1509"/>
        <v>83147</v>
      </c>
      <c r="BZ204" s="82">
        <f t="shared" si="1509"/>
        <v>92745</v>
      </c>
      <c r="CA204" s="82">
        <f t="shared" si="1509"/>
        <v>111615</v>
      </c>
      <c r="CB204" s="82">
        <f>CB186+CB192</f>
        <v>116888</v>
      </c>
      <c r="CC204" s="82">
        <f>E204</f>
        <v>132023</v>
      </c>
      <c r="CD204" s="82">
        <f>G204</f>
        <v>137152</v>
      </c>
      <c r="CE204" s="82">
        <f>I204</f>
        <v>159034</v>
      </c>
      <c r="CF204" s="82">
        <f>K204</f>
        <v>165363</v>
      </c>
      <c r="CG204" s="82">
        <f>M204</f>
        <v>171817</v>
      </c>
      <c r="CH204" s="82">
        <f>O204</f>
        <v>215715</v>
      </c>
      <c r="CI204" s="82">
        <f>Q204</f>
        <v>262117</v>
      </c>
      <c r="CJ204" s="82">
        <f>S204</f>
        <v>360147</v>
      </c>
      <c r="CK204" s="82">
        <f>U204</f>
        <v>368903</v>
      </c>
      <c r="CL204" s="82">
        <f>W204</f>
        <v>397084</v>
      </c>
      <c r="CM204" s="82">
        <f>Y204</f>
        <v>432410</v>
      </c>
      <c r="CN204" s="82">
        <f>AA204</f>
        <v>453857</v>
      </c>
      <c r="CO204" s="82">
        <f>AC204</f>
        <v>488391</v>
      </c>
      <c r="CP204" s="82">
        <f>AE204</f>
        <v>530255</v>
      </c>
      <c r="CQ204" s="82">
        <f>AG204</f>
        <v>570921</v>
      </c>
      <c r="CR204" s="82">
        <f>AI204</f>
        <v>610385</v>
      </c>
      <c r="CS204" s="82">
        <f>AK204</f>
        <v>607538</v>
      </c>
      <c r="CT204" s="82">
        <f>AM204</f>
        <v>616941</v>
      </c>
      <c r="CU204" s="82">
        <f>AO204</f>
        <v>685122</v>
      </c>
      <c r="CV204" s="82">
        <f>AQ204</f>
        <v>747063</v>
      </c>
      <c r="CW204" s="82">
        <f>AS204</f>
        <v>824422</v>
      </c>
      <c r="CX204" s="82">
        <f>AU204</f>
        <v>862696</v>
      </c>
      <c r="CY204" s="82">
        <f>AW204</f>
        <v>882922</v>
      </c>
      <c r="CZ204" s="83">
        <f>AY204</f>
        <v>937857</v>
      </c>
      <c r="DA204" s="82">
        <f>BA204</f>
        <v>1010941.8909999999</v>
      </c>
      <c r="DB204" s="82">
        <f>BC204</f>
        <v>1062120.8242318749</v>
      </c>
      <c r="DC204" s="82">
        <f>BE204</f>
        <v>1115890.6909586133</v>
      </c>
      <c r="DD204" s="82">
        <f>BG204</f>
        <v>1172382.6571883927</v>
      </c>
      <c r="DE204" s="82">
        <f>BI204</f>
        <v>1222863.2900774197</v>
      </c>
      <c r="DF204" s="82">
        <f>BK204</f>
        <v>1268953.8042537693</v>
      </c>
      <c r="DG204" s="82">
        <f>BM204</f>
        <v>1319188.8537681722</v>
      </c>
      <c r="DH204" s="82">
        <f>BO204</f>
        <v>1371431.7430395172</v>
      </c>
      <c r="DI204" s="82">
        <f>BQ204</f>
        <v>1425763.1806660658</v>
      </c>
    </row>
    <row r="205" spans="1:113" s="84" customFormat="1" outlineLevel="1">
      <c r="A205" s="1" t="s">
        <v>1055</v>
      </c>
      <c r="B205" s="84" t="s">
        <v>614</v>
      </c>
      <c r="C205" s="55">
        <f t="shared" ref="C205:L205" si="1510">C187+C193+C199</f>
        <v>15221</v>
      </c>
      <c r="D205" s="55">
        <f t="shared" si="1510"/>
        <v>16051</v>
      </c>
      <c r="E205" s="55">
        <f t="shared" si="1510"/>
        <v>18090</v>
      </c>
      <c r="F205" s="55">
        <f t="shared" si="1510"/>
        <v>17142</v>
      </c>
      <c r="G205" s="55">
        <f t="shared" si="1510"/>
        <v>14128</v>
      </c>
      <c r="H205" s="55">
        <f t="shared" si="1510"/>
        <v>23221</v>
      </c>
      <c r="I205" s="55">
        <f t="shared" si="1510"/>
        <v>24232</v>
      </c>
      <c r="J205" s="55">
        <f t="shared" si="1510"/>
        <v>21807</v>
      </c>
      <c r="K205" s="55">
        <f t="shared" si="1510"/>
        <v>19146</v>
      </c>
      <c r="L205" s="55">
        <f t="shared" si="1510"/>
        <v>18286</v>
      </c>
      <c r="M205" s="86">
        <f t="shared" ref="M205:W205" si="1511">M187+M193+M199</f>
        <v>19144</v>
      </c>
      <c r="N205" s="86">
        <f t="shared" si="1511"/>
        <v>23004</v>
      </c>
      <c r="O205" s="86">
        <f t="shared" si="1511"/>
        <v>21068</v>
      </c>
      <c r="P205" s="86">
        <f t="shared" si="1511"/>
        <v>40542</v>
      </c>
      <c r="Q205" s="86">
        <f t="shared" si="1511"/>
        <v>41120</v>
      </c>
      <c r="R205" s="86">
        <f t="shared" si="1511"/>
        <v>52271</v>
      </c>
      <c r="S205" s="86">
        <f t="shared" si="1511"/>
        <v>66695</v>
      </c>
      <c r="T205" s="86">
        <f t="shared" si="1511"/>
        <v>64642</v>
      </c>
      <c r="U205" s="86">
        <f t="shared" si="1511"/>
        <v>48740</v>
      </c>
      <c r="V205" s="86">
        <f t="shared" si="1511"/>
        <v>57826</v>
      </c>
      <c r="W205" s="86">
        <f t="shared" si="1511"/>
        <v>50244</v>
      </c>
      <c r="X205" s="86">
        <f t="shared" ref="X205:AK205" si="1512">X187+X193+X199</f>
        <v>57767</v>
      </c>
      <c r="Y205" s="86">
        <f t="shared" si="1512"/>
        <v>53095</v>
      </c>
      <c r="Z205" s="86">
        <f t="shared" si="1512"/>
        <v>57883</v>
      </c>
      <c r="AA205" s="86">
        <f t="shared" si="1512"/>
        <v>48584</v>
      </c>
      <c r="AB205" s="86">
        <f t="shared" si="1512"/>
        <v>48435</v>
      </c>
      <c r="AC205" s="86">
        <f t="shared" si="1512"/>
        <v>50198</v>
      </c>
      <c r="AD205" s="86">
        <f t="shared" si="1512"/>
        <v>56106</v>
      </c>
      <c r="AE205" s="86">
        <f t="shared" si="1512"/>
        <v>53143</v>
      </c>
      <c r="AF205" s="86">
        <f t="shared" si="1512"/>
        <v>47972</v>
      </c>
      <c r="AG205" s="86">
        <f t="shared" si="1512"/>
        <v>52860</v>
      </c>
      <c r="AH205" s="86">
        <f t="shared" si="1512"/>
        <v>52882</v>
      </c>
      <c r="AI205" s="86">
        <f t="shared" si="1512"/>
        <v>52350</v>
      </c>
      <c r="AJ205" s="86">
        <f t="shared" si="1512"/>
        <v>46831</v>
      </c>
      <c r="AK205" s="86">
        <f t="shared" si="1512"/>
        <v>39914</v>
      </c>
      <c r="AL205" s="86">
        <f t="shared" ref="AL205:AQ205" si="1513">AL187+AL193+AL199</f>
        <v>43646</v>
      </c>
      <c r="AM205" s="86">
        <f t="shared" si="1513"/>
        <v>43068</v>
      </c>
      <c r="AN205" s="86">
        <f t="shared" si="1513"/>
        <v>43197</v>
      </c>
      <c r="AO205" s="86">
        <f t="shared" si="1513"/>
        <v>43795</v>
      </c>
      <c r="AP205" s="86">
        <f t="shared" si="1513"/>
        <v>39277</v>
      </c>
      <c r="AQ205" s="86">
        <f t="shared" si="1513"/>
        <v>44422</v>
      </c>
      <c r="AR205" s="86">
        <f t="shared" ref="AR205" si="1514">AR187+AR193+AR199</f>
        <v>49343</v>
      </c>
      <c r="AS205" s="86">
        <f t="shared" ref="AS205:AT205" si="1515">AS187+AS193+AS199</f>
        <v>45617</v>
      </c>
      <c r="AT205" s="86">
        <f t="shared" si="1515"/>
        <v>46177</v>
      </c>
      <c r="AU205" s="86">
        <f t="shared" ref="AU205:AV205" si="1516">AU187+AU193+AU199</f>
        <v>44784</v>
      </c>
      <c r="AV205" s="86">
        <f t="shared" si="1516"/>
        <v>44603</v>
      </c>
      <c r="AW205" s="86">
        <f t="shared" ref="AW205:AX205" si="1517">AW187+AW193+AW199</f>
        <v>45417</v>
      </c>
      <c r="AX205" s="86">
        <f t="shared" si="1517"/>
        <v>40155</v>
      </c>
      <c r="AY205" s="86">
        <f t="shared" ref="AY205:BE205" si="1518">AY187+AY193+AY199</f>
        <v>40742</v>
      </c>
      <c r="AZ205" s="87">
        <f t="shared" ref="AZ205" si="1519">AZ187+AZ193+AZ199</f>
        <v>40711</v>
      </c>
      <c r="BA205" s="86">
        <f t="shared" si="1518"/>
        <v>41758</v>
      </c>
      <c r="BB205" s="86">
        <f t="shared" si="1518"/>
        <v>42801.95</v>
      </c>
      <c r="BC205" s="86">
        <f t="shared" si="1518"/>
        <v>43871.998749999992</v>
      </c>
      <c r="BD205" s="86">
        <f t="shared" si="1518"/>
        <v>44968.798718749982</v>
      </c>
      <c r="BE205" s="86">
        <f t="shared" si="1518"/>
        <v>46093.018686718729</v>
      </c>
      <c r="BF205" s="86">
        <f t="shared" si="1505"/>
        <v>47245.344153886697</v>
      </c>
      <c r="BG205" s="86">
        <f t="shared" si="1505"/>
        <v>48426.477757733854</v>
      </c>
      <c r="BH205" s="86">
        <f t="shared" si="1505"/>
        <v>49637.139701677195</v>
      </c>
      <c r="BI205" s="86">
        <f t="shared" si="1505"/>
        <v>49837.226702584449</v>
      </c>
      <c r="BJ205" s="86">
        <f t="shared" ref="BJ205:BK205" si="1520">BJ187+BJ193+BJ199</f>
        <v>50073.788531392303</v>
      </c>
      <c r="BK205" s="86">
        <f t="shared" si="1520"/>
        <v>50978.252713970636</v>
      </c>
      <c r="BL205" s="86">
        <f t="shared" si="1506"/>
        <v>51899.343542529314</v>
      </c>
      <c r="BM205" s="86">
        <f t="shared" si="1506"/>
        <v>52837.371360815538</v>
      </c>
      <c r="BN205" s="86">
        <f t="shared" ref="BN205:BO205" si="1521">BN187+BN193+BN199</f>
        <v>53792.652381914144</v>
      </c>
      <c r="BO205" s="86">
        <f t="shared" si="1521"/>
        <v>54765.508800501513</v>
      </c>
      <c r="BP205" s="86">
        <f t="shared" ref="BP205:BQ205" si="1522">BP187+BP193+BP199</f>
        <v>55756.268907266742</v>
      </c>
      <c r="BQ205" s="86">
        <f t="shared" si="1522"/>
        <v>56765.267205542339</v>
      </c>
      <c r="BR205" s="86"/>
      <c r="BS205" s="55">
        <f t="shared" si="1509"/>
        <v>1908.0438899016276</v>
      </c>
      <c r="BT205" s="55">
        <f t="shared" si="1509"/>
        <v>2337.0543627137017</v>
      </c>
      <c r="BU205" s="55">
        <f t="shared" si="1509"/>
        <v>2272.8469790280997</v>
      </c>
      <c r="BV205" s="55">
        <f t="shared" si="1509"/>
        <v>2767.3635184181571</v>
      </c>
      <c r="BW205" s="55">
        <f t="shared" si="1509"/>
        <v>3192</v>
      </c>
      <c r="BX205" s="55">
        <f t="shared" si="1509"/>
        <v>3776</v>
      </c>
      <c r="BY205" s="55">
        <f t="shared" si="1509"/>
        <v>5094</v>
      </c>
      <c r="BZ205" s="55">
        <f t="shared" si="1509"/>
        <v>13295</v>
      </c>
      <c r="CA205" s="55">
        <f t="shared" si="1509"/>
        <v>16822</v>
      </c>
      <c r="CB205" s="55">
        <f>CB187+CB193</f>
        <v>15221</v>
      </c>
      <c r="CC205" s="86">
        <f>E205</f>
        <v>18090</v>
      </c>
      <c r="CD205" s="86">
        <f>G205</f>
        <v>14128</v>
      </c>
      <c r="CE205" s="86">
        <f>I205</f>
        <v>24232</v>
      </c>
      <c r="CF205" s="86">
        <f>K205</f>
        <v>19146</v>
      </c>
      <c r="CG205" s="86">
        <f>M205</f>
        <v>19144</v>
      </c>
      <c r="CH205" s="86">
        <f>O205</f>
        <v>21068</v>
      </c>
      <c r="CI205" s="86">
        <f>Q205</f>
        <v>41120</v>
      </c>
      <c r="CJ205" s="86">
        <f>S205</f>
        <v>66695</v>
      </c>
      <c r="CK205" s="86">
        <f>U205</f>
        <v>48740</v>
      </c>
      <c r="CL205" s="86">
        <f>W205</f>
        <v>50244</v>
      </c>
      <c r="CM205" s="86">
        <f>Y205</f>
        <v>53095</v>
      </c>
      <c r="CN205" s="86">
        <f>AA205</f>
        <v>48584</v>
      </c>
      <c r="CO205" s="86">
        <f>AC205</f>
        <v>50198</v>
      </c>
      <c r="CP205" s="86">
        <f>AE205</f>
        <v>53143</v>
      </c>
      <c r="CQ205" s="86">
        <f>AG205</f>
        <v>52860</v>
      </c>
      <c r="CR205" s="86">
        <f>AI205</f>
        <v>52350</v>
      </c>
      <c r="CS205" s="86">
        <f>AK205</f>
        <v>39914</v>
      </c>
      <c r="CT205" s="86">
        <f>AM205</f>
        <v>43068</v>
      </c>
      <c r="CU205" s="86">
        <f>AO205</f>
        <v>43795</v>
      </c>
      <c r="CV205" s="86">
        <f>AQ205</f>
        <v>44422</v>
      </c>
      <c r="CW205" s="86">
        <f>AS205</f>
        <v>45617</v>
      </c>
      <c r="CX205" s="86">
        <f>AU205</f>
        <v>44784</v>
      </c>
      <c r="CY205" s="86">
        <f>AW205</f>
        <v>45417</v>
      </c>
      <c r="CZ205" s="87">
        <f>AY205</f>
        <v>40742</v>
      </c>
      <c r="DA205" s="86">
        <f>BA205</f>
        <v>41758</v>
      </c>
      <c r="DB205" s="86">
        <f>BC205</f>
        <v>43871.998749999992</v>
      </c>
      <c r="DC205" s="86">
        <f>BE205</f>
        <v>46093.018686718729</v>
      </c>
      <c r="DD205" s="86">
        <f>BG205</f>
        <v>48426.477757733854</v>
      </c>
      <c r="DE205" s="86">
        <f>BI205</f>
        <v>49837.226702584449</v>
      </c>
      <c r="DF205" s="86">
        <f>BK205</f>
        <v>50978.252713970636</v>
      </c>
      <c r="DG205" s="86">
        <f>BM205</f>
        <v>52837.371360815538</v>
      </c>
      <c r="DH205" s="86">
        <f>BO205</f>
        <v>54765.508800501513</v>
      </c>
      <c r="DI205" s="86">
        <f>BQ205</f>
        <v>56765.267205542339</v>
      </c>
    </row>
    <row r="206" spans="1:113" outlineLevel="1">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5"/>
      <c r="AU206" s="55"/>
      <c r="AV206" s="55"/>
      <c r="AW206" s="55"/>
      <c r="AX206" s="813"/>
      <c r="AY206" s="813"/>
      <c r="AZ206" s="814"/>
      <c r="BA206" s="813"/>
      <c r="BB206" s="813"/>
      <c r="BC206" s="813"/>
      <c r="BD206" s="813"/>
      <c r="BE206" s="813"/>
      <c r="BF206" s="813"/>
      <c r="BG206" s="813"/>
      <c r="BH206" s="813"/>
      <c r="BI206" s="813"/>
      <c r="BJ206" s="55"/>
      <c r="BK206" s="55"/>
      <c r="BL206" s="55"/>
      <c r="BM206" s="55"/>
      <c r="BN206" s="55"/>
      <c r="BO206" s="55"/>
      <c r="BP206" s="55"/>
      <c r="BQ206" s="55"/>
      <c r="BR206" s="55"/>
      <c r="BS206" s="55"/>
      <c r="BT206" s="55"/>
      <c r="BU206" s="55"/>
      <c r="BV206" s="55"/>
      <c r="BW206" s="55"/>
      <c r="BX206" s="55"/>
      <c r="BY206" s="55"/>
      <c r="BZ206" s="55"/>
      <c r="CA206" s="55"/>
      <c r="CB206" s="55"/>
      <c r="CC206" s="55"/>
      <c r="CD206" s="55"/>
      <c r="CE206" s="55"/>
      <c r="CF206" s="55"/>
      <c r="CG206" s="55"/>
      <c r="CH206" s="55"/>
      <c r="CI206" s="55"/>
      <c r="CJ206" s="55"/>
      <c r="CK206" s="55"/>
      <c r="CL206" s="55"/>
      <c r="CM206" s="55"/>
      <c r="CN206" s="55"/>
      <c r="CO206" s="55"/>
      <c r="CP206" s="55"/>
      <c r="CQ206" s="55"/>
      <c r="CR206" s="55"/>
      <c r="CS206" s="55"/>
      <c r="CT206" s="55"/>
      <c r="CU206" s="55"/>
      <c r="CV206" s="55"/>
      <c r="CW206" s="55"/>
      <c r="CX206" s="55"/>
      <c r="CY206" s="55"/>
      <c r="CZ206" s="56"/>
      <c r="DA206" s="55"/>
      <c r="DB206" s="55"/>
      <c r="DC206" s="55"/>
      <c r="DD206" s="55"/>
      <c r="DE206" s="55"/>
      <c r="DF206" s="55"/>
      <c r="DG206" s="55"/>
      <c r="DH206" s="55"/>
      <c r="DI206" s="55"/>
    </row>
    <row r="207" spans="1:113" s="24" customFormat="1" outlineLevel="1">
      <c r="A207" s="1"/>
      <c r="B207" s="24" t="s">
        <v>497</v>
      </c>
      <c r="C207" s="82"/>
      <c r="D207" s="82"/>
      <c r="E207" s="82"/>
      <c r="F207" s="82"/>
      <c r="G207" s="82"/>
      <c r="H207" s="82"/>
      <c r="I207" s="82"/>
      <c r="J207" s="82"/>
      <c r="K207" s="82"/>
      <c r="L207" s="82"/>
      <c r="M207" s="82"/>
      <c r="N207" s="82"/>
      <c r="O207" s="82"/>
      <c r="P207" s="82"/>
      <c r="Q207" s="82"/>
      <c r="R207" s="82"/>
      <c r="S207" s="82"/>
      <c r="T207" s="82"/>
      <c r="U207" s="82"/>
      <c r="V207" s="82"/>
      <c r="W207" s="82"/>
      <c r="X207" s="82"/>
      <c r="Y207" s="82"/>
      <c r="Z207" s="82"/>
      <c r="AA207" s="368"/>
      <c r="AB207" s="82"/>
      <c r="AC207" s="82"/>
      <c r="AD207" s="82"/>
      <c r="AE207" s="82"/>
      <c r="AF207" s="82"/>
      <c r="AG207" s="82"/>
      <c r="AH207" s="82"/>
      <c r="AI207" s="82"/>
      <c r="AJ207" s="82"/>
      <c r="AK207" s="82"/>
      <c r="AL207" s="82"/>
      <c r="AM207" s="82"/>
      <c r="AN207" s="82"/>
      <c r="AO207" s="82"/>
      <c r="AP207" s="82"/>
      <c r="AQ207" s="82"/>
      <c r="AR207" s="82"/>
      <c r="AS207" s="82"/>
      <c r="AT207" s="82"/>
      <c r="AU207" s="82"/>
      <c r="AV207" s="82"/>
      <c r="AW207" s="82"/>
      <c r="AX207" s="82"/>
      <c r="AY207" s="82"/>
      <c r="AZ207" s="83"/>
      <c r="BA207" s="82"/>
      <c r="BB207" s="82"/>
      <c r="BC207" s="82"/>
      <c r="BD207" s="82"/>
      <c r="BE207" s="82"/>
      <c r="BF207" s="82"/>
      <c r="BG207" s="82"/>
      <c r="BH207" s="82"/>
      <c r="BI207" s="82"/>
      <c r="BJ207" s="82"/>
      <c r="BK207" s="82"/>
      <c r="BL207" s="82"/>
      <c r="BM207" s="82"/>
      <c r="BN207" s="82"/>
      <c r="BO207" s="82"/>
      <c r="BP207" s="82"/>
      <c r="BQ207" s="82"/>
      <c r="BR207" s="82"/>
      <c r="BS207" s="82"/>
      <c r="BT207" s="82"/>
      <c r="BU207" s="82"/>
      <c r="BV207" s="82"/>
      <c r="BW207" s="82"/>
      <c r="BX207" s="82"/>
      <c r="BY207" s="82"/>
      <c r="BZ207" s="82"/>
      <c r="CA207" s="82"/>
      <c r="CB207" s="82"/>
      <c r="CC207" s="82"/>
      <c r="CD207" s="82"/>
      <c r="CE207" s="82"/>
      <c r="CF207" s="82"/>
      <c r="CG207" s="82"/>
      <c r="CH207" s="82"/>
      <c r="CI207" s="82"/>
      <c r="CJ207" s="82"/>
      <c r="CK207" s="82"/>
      <c r="CL207" s="82"/>
      <c r="CM207" s="82"/>
      <c r="CN207" s="82"/>
      <c r="CO207" s="82"/>
      <c r="CP207" s="82"/>
      <c r="CQ207" s="82"/>
      <c r="CR207" s="82"/>
      <c r="CS207" s="82"/>
      <c r="CT207" s="82"/>
      <c r="CU207" s="82"/>
      <c r="CV207" s="82"/>
      <c r="CW207" s="82"/>
      <c r="CX207" s="82"/>
      <c r="CY207" s="82"/>
      <c r="CZ207" s="83"/>
      <c r="DA207" s="82"/>
      <c r="DB207" s="82"/>
      <c r="DC207" s="82"/>
      <c r="DD207" s="82"/>
      <c r="DE207" s="82"/>
      <c r="DF207" s="82"/>
      <c r="DG207" s="82"/>
      <c r="DH207" s="82"/>
      <c r="DI207" s="82"/>
    </row>
    <row r="208" spans="1:113" outlineLevel="1">
      <c r="A208" s="1" t="s">
        <v>1056</v>
      </c>
      <c r="B208" s="19" t="s">
        <v>433</v>
      </c>
      <c r="C208" s="55">
        <f>C210-D209</f>
        <v>21378</v>
      </c>
      <c r="D208" s="55">
        <f>D210-E209</f>
        <v>28819</v>
      </c>
      <c r="E208" s="55">
        <f>E210-F209</f>
        <v>31541</v>
      </c>
      <c r="F208" s="55">
        <f>F210-F209</f>
        <v>23929</v>
      </c>
      <c r="G208" s="55">
        <f t="shared" ref="G208:L208" si="1523">G210-G209</f>
        <v>22858</v>
      </c>
      <c r="H208" s="55">
        <f t="shared" si="1523"/>
        <v>27288</v>
      </c>
      <c r="I208" s="55">
        <f t="shared" si="1523"/>
        <v>23492</v>
      </c>
      <c r="J208" s="55">
        <f t="shared" si="1523"/>
        <v>23221</v>
      </c>
      <c r="K208" s="55">
        <f t="shared" si="1523"/>
        <v>22959</v>
      </c>
      <c r="L208" s="185">
        <f t="shared" si="1523"/>
        <v>21217</v>
      </c>
      <c r="M208" s="185">
        <f t="shared" ref="M208:X208" si="1524">M210-M209</f>
        <v>20792</v>
      </c>
      <c r="N208" s="55">
        <f t="shared" si="1524"/>
        <v>22729</v>
      </c>
      <c r="O208" s="55">
        <f t="shared" si="1524"/>
        <v>21613</v>
      </c>
      <c r="P208" s="55">
        <f t="shared" si="1524"/>
        <v>20671</v>
      </c>
      <c r="Q208" s="55">
        <f t="shared" si="1524"/>
        <v>18495</v>
      </c>
      <c r="R208" s="55">
        <f t="shared" si="1524"/>
        <v>16897</v>
      </c>
      <c r="S208" s="55">
        <f t="shared" si="1524"/>
        <v>16056</v>
      </c>
      <c r="T208" s="55">
        <f t="shared" si="1524"/>
        <v>16272</v>
      </c>
      <c r="U208" s="55">
        <f t="shared" si="1524"/>
        <v>14592</v>
      </c>
      <c r="V208" s="55">
        <f t="shared" si="1524"/>
        <v>14099</v>
      </c>
      <c r="W208" s="55">
        <f t="shared" si="1524"/>
        <v>13652</v>
      </c>
      <c r="X208" s="55">
        <f t="shared" si="1524"/>
        <v>12881</v>
      </c>
      <c r="Y208" s="55">
        <f>Y210-Y209</f>
        <v>12994</v>
      </c>
      <c r="Z208" s="55">
        <f>Z210-Z209</f>
        <v>13032</v>
      </c>
      <c r="AA208" s="55">
        <f>AA210-AA209</f>
        <v>13004</v>
      </c>
      <c r="AB208" s="55">
        <f t="shared" ref="AB208:AG208" si="1525">AB210-AB209</f>
        <v>13140</v>
      </c>
      <c r="AC208" s="55">
        <f t="shared" si="1525"/>
        <v>13166</v>
      </c>
      <c r="AD208" s="55">
        <f t="shared" si="1525"/>
        <v>13177</v>
      </c>
      <c r="AE208" s="55">
        <f t="shared" si="1525"/>
        <v>12911</v>
      </c>
      <c r="AF208" s="55">
        <f t="shared" si="1525"/>
        <v>12611</v>
      </c>
      <c r="AG208" s="55">
        <f t="shared" si="1525"/>
        <v>12636</v>
      </c>
      <c r="AH208" s="55">
        <f t="shared" ref="AH208:AM208" si="1526">AH210-AH209</f>
        <v>12388</v>
      </c>
      <c r="AI208" s="55">
        <f t="shared" si="1526"/>
        <v>12018</v>
      </c>
      <c r="AJ208" s="55">
        <f t="shared" si="1526"/>
        <v>481</v>
      </c>
      <c r="AK208" s="55">
        <f t="shared" si="1526"/>
        <v>451</v>
      </c>
      <c r="AL208" s="55">
        <f t="shared" si="1526"/>
        <v>0</v>
      </c>
      <c r="AM208" s="55">
        <f t="shared" si="1526"/>
        <v>0</v>
      </c>
      <c r="AN208" s="55">
        <f t="shared" ref="AN208:AS208" si="1527">AN210-AN209</f>
        <v>0</v>
      </c>
      <c r="AO208" s="55">
        <f t="shared" si="1527"/>
        <v>0</v>
      </c>
      <c r="AP208" s="55">
        <f t="shared" si="1527"/>
        <v>0</v>
      </c>
      <c r="AQ208" s="55">
        <f t="shared" si="1527"/>
        <v>0</v>
      </c>
      <c r="AR208" s="55">
        <f t="shared" si="1527"/>
        <v>0</v>
      </c>
      <c r="AS208" s="55">
        <f t="shared" si="1527"/>
        <v>0</v>
      </c>
      <c r="AT208" s="55">
        <f t="shared" ref="AT208:AU208" si="1528">AT210-AT209</f>
        <v>0</v>
      </c>
      <c r="AU208" s="55">
        <f t="shared" si="1528"/>
        <v>0</v>
      </c>
      <c r="AV208" s="55">
        <f t="shared" ref="AV208:AW208" si="1529">AV210-AV209</f>
        <v>0</v>
      </c>
      <c r="AW208" s="55">
        <f t="shared" si="1529"/>
        <v>0</v>
      </c>
      <c r="AX208" s="55">
        <f t="shared" ref="AX208:AY208" si="1530">AX210-AX209</f>
        <v>0</v>
      </c>
      <c r="AY208" s="55">
        <f t="shared" si="1530"/>
        <v>0</v>
      </c>
      <c r="AZ208" s="56">
        <f t="shared" ref="AZ208" si="1531">AZ210-AZ209</f>
        <v>0</v>
      </c>
      <c r="BA208" s="54">
        <v>0</v>
      </c>
      <c r="BB208" s="54">
        <v>0</v>
      </c>
      <c r="BC208" s="54">
        <v>0</v>
      </c>
      <c r="BD208" s="54">
        <v>0</v>
      </c>
      <c r="BE208" s="54">
        <v>0</v>
      </c>
      <c r="BF208" s="54">
        <v>0</v>
      </c>
      <c r="BG208" s="54">
        <v>0</v>
      </c>
      <c r="BH208" s="54">
        <v>0</v>
      </c>
      <c r="BI208" s="54">
        <v>0</v>
      </c>
      <c r="BJ208" s="54">
        <v>0</v>
      </c>
      <c r="BK208" s="54">
        <v>0</v>
      </c>
      <c r="BL208" s="54">
        <v>0</v>
      </c>
      <c r="BM208" s="54">
        <v>0</v>
      </c>
      <c r="BN208" s="54">
        <v>0</v>
      </c>
      <c r="BO208" s="54">
        <v>0</v>
      </c>
      <c r="BP208" s="54">
        <v>0</v>
      </c>
      <c r="BQ208" s="54">
        <v>0</v>
      </c>
      <c r="BR208" s="55"/>
      <c r="BS208" s="55">
        <f t="shared" ref="BS208:BZ208" si="1532">BS210-BS209</f>
        <v>0</v>
      </c>
      <c r="BT208" s="55">
        <f t="shared" si="1532"/>
        <v>0</v>
      </c>
      <c r="BU208" s="55">
        <f t="shared" si="1532"/>
        <v>0</v>
      </c>
      <c r="BV208" s="55">
        <f t="shared" si="1532"/>
        <v>0</v>
      </c>
      <c r="BW208" s="55">
        <f t="shared" si="1532"/>
        <v>0</v>
      </c>
      <c r="BX208" s="55">
        <f t="shared" si="1532"/>
        <v>0</v>
      </c>
      <c r="BY208" s="55">
        <f t="shared" si="1532"/>
        <v>0</v>
      </c>
      <c r="BZ208" s="55">
        <f t="shared" si="1532"/>
        <v>0</v>
      </c>
      <c r="CA208" s="55">
        <f>CA210-CA209</f>
        <v>25282</v>
      </c>
      <c r="CB208" s="55">
        <f>CB210-CB209</f>
        <v>27029</v>
      </c>
      <c r="CC208" s="55">
        <f>E208</f>
        <v>31541</v>
      </c>
      <c r="CD208" s="55">
        <f>G208</f>
        <v>22858</v>
      </c>
      <c r="CE208" s="55">
        <f>I208</f>
        <v>23492</v>
      </c>
      <c r="CF208" s="55">
        <f>K208</f>
        <v>22959</v>
      </c>
      <c r="CG208" s="55">
        <f>M208</f>
        <v>20792</v>
      </c>
      <c r="CH208" s="55">
        <f>O208</f>
        <v>21613</v>
      </c>
      <c r="CI208" s="55">
        <f>Q208</f>
        <v>18495</v>
      </c>
      <c r="CJ208" s="55">
        <f>S208</f>
        <v>16056</v>
      </c>
      <c r="CK208" s="55">
        <f>U208</f>
        <v>14592</v>
      </c>
      <c r="CL208" s="55">
        <f>W208</f>
        <v>13652</v>
      </c>
      <c r="CM208" s="55">
        <f>Y208</f>
        <v>12994</v>
      </c>
      <c r="CN208" s="55">
        <f>AA208</f>
        <v>13004</v>
      </c>
      <c r="CO208" s="55">
        <f>AC208</f>
        <v>13166</v>
      </c>
      <c r="CP208" s="55">
        <f>AE208</f>
        <v>12911</v>
      </c>
      <c r="CQ208" s="55">
        <f>AG208</f>
        <v>12636</v>
      </c>
      <c r="CR208" s="55">
        <f>AI208</f>
        <v>12018</v>
      </c>
      <c r="CS208" s="55">
        <f>AK208</f>
        <v>451</v>
      </c>
      <c r="CT208" s="55">
        <f>AM208</f>
        <v>0</v>
      </c>
      <c r="CU208" s="55">
        <f>AO208</f>
        <v>0</v>
      </c>
      <c r="CV208" s="55">
        <f>AQ208</f>
        <v>0</v>
      </c>
      <c r="CW208" s="55">
        <f>AS208</f>
        <v>0</v>
      </c>
      <c r="CX208" s="55">
        <f>AU208</f>
        <v>0</v>
      </c>
      <c r="CY208" s="55">
        <f>AW208</f>
        <v>0</v>
      </c>
      <c r="CZ208" s="56">
        <f>AY208</f>
        <v>0</v>
      </c>
      <c r="DA208" s="55">
        <f>BA208</f>
        <v>0</v>
      </c>
      <c r="DB208" s="55">
        <f>BC208</f>
        <v>0</v>
      </c>
      <c r="DC208" s="55">
        <f>BE208</f>
        <v>0</v>
      </c>
      <c r="DD208" s="55">
        <f>BG208</f>
        <v>0</v>
      </c>
      <c r="DE208" s="55">
        <f>BI208</f>
        <v>0</v>
      </c>
      <c r="DF208" s="55">
        <f>BK208</f>
        <v>0</v>
      </c>
      <c r="DG208" s="55">
        <f>BM208</f>
        <v>0</v>
      </c>
      <c r="DH208" s="55">
        <f>BO208</f>
        <v>0</v>
      </c>
      <c r="DI208" s="55">
        <f>BQ208</f>
        <v>0</v>
      </c>
    </row>
    <row r="209" spans="1:119" outlineLevel="1">
      <c r="A209" s="1" t="s">
        <v>1057</v>
      </c>
      <c r="B209" s="19" t="s">
        <v>434</v>
      </c>
      <c r="C209" s="53">
        <v>76954</v>
      </c>
      <c r="D209" s="53">
        <v>80103</v>
      </c>
      <c r="E209" s="53">
        <v>77483</v>
      </c>
      <c r="F209" s="53">
        <v>71297</v>
      </c>
      <c r="G209" s="53">
        <v>76422</v>
      </c>
      <c r="H209" s="53">
        <v>78238</v>
      </c>
      <c r="I209" s="53">
        <v>86391</v>
      </c>
      <c r="J209" s="53">
        <v>94219</v>
      </c>
      <c r="K209" s="53">
        <v>100105</v>
      </c>
      <c r="L209" s="53">
        <f>L210-21217</f>
        <v>115757</v>
      </c>
      <c r="M209" s="53">
        <v>130721</v>
      </c>
      <c r="N209" s="53">
        <f>N210-22729</f>
        <v>138015</v>
      </c>
      <c r="O209" s="53">
        <f>O210-21613</f>
        <v>147197</v>
      </c>
      <c r="P209" s="53">
        <f>P210-20671</f>
        <v>179163</v>
      </c>
      <c r="Q209" s="53">
        <f>Q210-18495</f>
        <v>166475</v>
      </c>
      <c r="R209" s="53">
        <f>R210-16897</f>
        <v>141870</v>
      </c>
      <c r="S209" s="53">
        <f>S210-16056</f>
        <v>153154</v>
      </c>
      <c r="T209" s="53">
        <f>T210-16272</f>
        <v>169427</v>
      </c>
      <c r="U209" s="53">
        <f>U210-14592</f>
        <v>165022</v>
      </c>
      <c r="V209" s="53">
        <f>V210-14099</f>
        <v>177355</v>
      </c>
      <c r="W209" s="53">
        <f>W210-13652</f>
        <v>174859</v>
      </c>
      <c r="X209" s="53">
        <f>X210-12881</f>
        <v>171164</v>
      </c>
      <c r="Y209" s="53">
        <f>Y210-12994</f>
        <v>183205</v>
      </c>
      <c r="Z209" s="53">
        <f>Z210-13032</f>
        <v>151134</v>
      </c>
      <c r="AA209" s="164">
        <f>AA210-13004</f>
        <v>227348</v>
      </c>
      <c r="AB209" s="164">
        <f>AB210-13140</f>
        <v>247280</v>
      </c>
      <c r="AC209" s="164">
        <f>AC210-13166</f>
        <v>240317</v>
      </c>
      <c r="AD209" s="164">
        <f>AD210-13177</f>
        <v>114932</v>
      </c>
      <c r="AE209" s="164">
        <f>AE210-12911</f>
        <v>118992</v>
      </c>
      <c r="AF209" s="164">
        <f>AF210-12611</f>
        <v>122865</v>
      </c>
      <c r="AG209" s="164">
        <f>AG210-12636</f>
        <v>123165</v>
      </c>
      <c r="AH209" s="164">
        <f>AH210-12388</f>
        <v>128432</v>
      </c>
      <c r="AI209" s="164">
        <f>AI210-12018</f>
        <v>134760</v>
      </c>
      <c r="AJ209" s="164">
        <f>AJ210-481</f>
        <v>143187</v>
      </c>
      <c r="AK209" s="164">
        <f>AK210-451</f>
        <v>147548</v>
      </c>
      <c r="AL209" s="164">
        <f t="shared" ref="AL209:AZ209" si="1533">AL210</f>
        <v>13715.343451788169</v>
      </c>
      <c r="AM209" s="164">
        <f t="shared" si="1533"/>
        <v>15024.111437467696</v>
      </c>
      <c r="AN209" s="164">
        <f t="shared" si="1533"/>
        <v>15557.553014736472</v>
      </c>
      <c r="AO209" s="164">
        <f t="shared" si="1533"/>
        <v>0</v>
      </c>
      <c r="AP209" s="164">
        <f t="shared" si="1533"/>
        <v>0</v>
      </c>
      <c r="AQ209" s="164">
        <f t="shared" si="1533"/>
        <v>0</v>
      </c>
      <c r="AR209" s="164">
        <f t="shared" si="1533"/>
        <v>0</v>
      </c>
      <c r="AS209" s="164">
        <f t="shared" si="1533"/>
        <v>0</v>
      </c>
      <c r="AT209" s="164">
        <f t="shared" si="1533"/>
        <v>0</v>
      </c>
      <c r="AU209" s="164">
        <f t="shared" si="1533"/>
        <v>0</v>
      </c>
      <c r="AV209" s="164">
        <f t="shared" si="1533"/>
        <v>0</v>
      </c>
      <c r="AW209" s="164">
        <f t="shared" si="1533"/>
        <v>0</v>
      </c>
      <c r="AX209" s="164">
        <f t="shared" si="1533"/>
        <v>0</v>
      </c>
      <c r="AY209" s="164">
        <f t="shared" si="1533"/>
        <v>0</v>
      </c>
      <c r="AZ209" s="171">
        <f t="shared" si="1533"/>
        <v>0</v>
      </c>
      <c r="BA209" s="55">
        <f t="shared" ref="BA209:BG209" si="1534">AZ209*(1+BA64)</f>
        <v>0</v>
      </c>
      <c r="BB209" s="55">
        <f t="shared" si="1534"/>
        <v>0</v>
      </c>
      <c r="BC209" s="55">
        <f t="shared" si="1534"/>
        <v>0</v>
      </c>
      <c r="BD209" s="55">
        <f t="shared" si="1534"/>
        <v>0</v>
      </c>
      <c r="BE209" s="55">
        <f t="shared" si="1534"/>
        <v>0</v>
      </c>
      <c r="BF209" s="55">
        <f t="shared" si="1534"/>
        <v>0</v>
      </c>
      <c r="BG209" s="55">
        <f t="shared" si="1534"/>
        <v>0</v>
      </c>
      <c r="BH209" s="55">
        <f>BG209*(1+BH64)</f>
        <v>0</v>
      </c>
      <c r="BI209" s="55">
        <f>BH209*(1+BI64)</f>
        <v>0</v>
      </c>
      <c r="BJ209" s="55">
        <f>BI209*(1+BJ64)</f>
        <v>0</v>
      </c>
      <c r="BK209" s="55">
        <f>BJ209*(1+BK64)</f>
        <v>0</v>
      </c>
      <c r="BL209" s="55">
        <f t="shared" ref="BL209:BM209" si="1535">BK209*(1+BL64)</f>
        <v>0</v>
      </c>
      <c r="BM209" s="55">
        <f t="shared" si="1535"/>
        <v>0</v>
      </c>
      <c r="BN209" s="55">
        <f t="shared" ref="BN209" si="1536">BM209*(1+BN64)</f>
        <v>0</v>
      </c>
      <c r="BO209" s="55">
        <f t="shared" ref="BO209" si="1537">BN209*(1+BO64)</f>
        <v>0</v>
      </c>
      <c r="BP209" s="55">
        <f t="shared" ref="BP209" si="1538">BO209*(1+BP64)</f>
        <v>0</v>
      </c>
      <c r="BQ209" s="55">
        <f t="shared" ref="BQ209" si="1539">BP209*(1+BQ64)</f>
        <v>0</v>
      </c>
      <c r="BR209" s="55"/>
      <c r="BS209" s="53">
        <f t="shared" ref="BS209:BY209" si="1540">BS210</f>
        <v>11900</v>
      </c>
      <c r="BT209" s="53">
        <f t="shared" si="1540"/>
        <v>12900</v>
      </c>
      <c r="BU209" s="53">
        <f t="shared" si="1540"/>
        <v>14300</v>
      </c>
      <c r="BV209" s="53">
        <f t="shared" si="1540"/>
        <v>14200</v>
      </c>
      <c r="BW209" s="53">
        <f t="shared" si="1540"/>
        <v>14343</v>
      </c>
      <c r="BX209" s="53">
        <f t="shared" si="1540"/>
        <v>22000</v>
      </c>
      <c r="BY209" s="53">
        <f t="shared" si="1540"/>
        <v>27200</v>
      </c>
      <c r="BZ209" s="53">
        <f>BZ210</f>
        <v>27531</v>
      </c>
      <c r="CA209" s="53">
        <f>CA210-25282</f>
        <v>62900</v>
      </c>
      <c r="CB209" s="53">
        <f>CB210-27029</f>
        <v>74452</v>
      </c>
      <c r="CC209" s="55">
        <f>E209</f>
        <v>77483</v>
      </c>
      <c r="CD209" s="55">
        <f>G209</f>
        <v>76422</v>
      </c>
      <c r="CE209" s="55">
        <f>I209</f>
        <v>86391</v>
      </c>
      <c r="CF209" s="55">
        <f>K209</f>
        <v>100105</v>
      </c>
      <c r="CG209" s="55">
        <f>M209</f>
        <v>130721</v>
      </c>
      <c r="CH209" s="55">
        <f>O209</f>
        <v>147197</v>
      </c>
      <c r="CI209" s="55">
        <f>Q209</f>
        <v>166475</v>
      </c>
      <c r="CJ209" s="55">
        <f>S209</f>
        <v>153154</v>
      </c>
      <c r="CK209" s="55">
        <f>U209</f>
        <v>165022</v>
      </c>
      <c r="CL209" s="55">
        <f>W209</f>
        <v>174859</v>
      </c>
      <c r="CM209" s="55">
        <f>Y209</f>
        <v>183205</v>
      </c>
      <c r="CN209" s="55">
        <f>AA209</f>
        <v>227348</v>
      </c>
      <c r="CO209" s="55">
        <f>AC209</f>
        <v>240317</v>
      </c>
      <c r="CP209" s="55">
        <f>AE209</f>
        <v>118992</v>
      </c>
      <c r="CQ209" s="55">
        <f>AG209</f>
        <v>123165</v>
      </c>
      <c r="CR209" s="55">
        <f>AI209</f>
        <v>134760</v>
      </c>
      <c r="CS209" s="55">
        <f>AK209</f>
        <v>147548</v>
      </c>
      <c r="CT209" s="55">
        <f>AM209</f>
        <v>15024.111437467696</v>
      </c>
      <c r="CU209" s="55">
        <f>AO209</f>
        <v>0</v>
      </c>
      <c r="CV209" s="55">
        <f>AQ209</f>
        <v>0</v>
      </c>
      <c r="CW209" s="55">
        <f>AS209</f>
        <v>0</v>
      </c>
      <c r="CX209" s="55">
        <f>AU209</f>
        <v>0</v>
      </c>
      <c r="CY209" s="55">
        <f>AW209</f>
        <v>0</v>
      </c>
      <c r="CZ209" s="56">
        <f>AY209</f>
        <v>0</v>
      </c>
      <c r="DA209" s="55">
        <f>BA209</f>
        <v>0</v>
      </c>
      <c r="DB209" s="55">
        <f>BC209</f>
        <v>0</v>
      </c>
      <c r="DC209" s="55">
        <f>BE209</f>
        <v>0</v>
      </c>
      <c r="DD209" s="55">
        <f>BG209</f>
        <v>0</v>
      </c>
      <c r="DE209" s="55">
        <f>BI209</f>
        <v>0</v>
      </c>
      <c r="DF209" s="55">
        <f>BK209</f>
        <v>0</v>
      </c>
      <c r="DG209" s="55">
        <f>BM209</f>
        <v>0</v>
      </c>
      <c r="DH209" s="55">
        <f>BO209</f>
        <v>0</v>
      </c>
      <c r="DI209" s="55">
        <f>BQ209</f>
        <v>0</v>
      </c>
    </row>
    <row r="210" spans="1:119" s="24" customFormat="1" outlineLevel="1">
      <c r="A210" s="1" t="s">
        <v>1058</v>
      </c>
      <c r="B210" s="24" t="s">
        <v>386</v>
      </c>
      <c r="C210" s="81">
        <v>101481</v>
      </c>
      <c r="D210" s="81">
        <v>106302</v>
      </c>
      <c r="E210" s="81">
        <v>102838</v>
      </c>
      <c r="F210" s="81">
        <v>95226</v>
      </c>
      <c r="G210" s="81">
        <v>99280</v>
      </c>
      <c r="H210" s="81">
        <v>105526</v>
      </c>
      <c r="I210" s="81">
        <v>109883</v>
      </c>
      <c r="J210" s="81">
        <v>117440</v>
      </c>
      <c r="K210" s="81">
        <v>123064</v>
      </c>
      <c r="L210" s="81">
        <f>136974</f>
        <v>136974</v>
      </c>
      <c r="M210" s="81">
        <f>20792+130721</f>
        <v>151513</v>
      </c>
      <c r="N210" s="81">
        <v>160744</v>
      </c>
      <c r="O210" s="81">
        <v>168810</v>
      </c>
      <c r="P210" s="81">
        <v>199834</v>
      </c>
      <c r="Q210" s="81">
        <v>184970</v>
      </c>
      <c r="R210" s="81">
        <v>158767</v>
      </c>
      <c r="S210" s="81">
        <v>169210</v>
      </c>
      <c r="T210" s="81">
        <v>185699</v>
      </c>
      <c r="U210" s="81">
        <v>179614</v>
      </c>
      <c r="V210" s="81">
        <v>191454</v>
      </c>
      <c r="W210" s="81">
        <v>188511</v>
      </c>
      <c r="X210" s="81">
        <v>184045</v>
      </c>
      <c r="Y210" s="81">
        <v>196199</v>
      </c>
      <c r="Z210" s="81">
        <f>202259*2-AA210</f>
        <v>164166</v>
      </c>
      <c r="AA210" s="166">
        <v>240352</v>
      </c>
      <c r="AB210" s="166">
        <v>260420</v>
      </c>
      <c r="AC210" s="166">
        <v>253483</v>
      </c>
      <c r="AD210" s="166">
        <v>128109</v>
      </c>
      <c r="AE210" s="166">
        <v>131903</v>
      </c>
      <c r="AF210" s="166">
        <v>135476</v>
      </c>
      <c r="AG210" s="166">
        <v>135801</v>
      </c>
      <c r="AH210" s="166">
        <v>140820</v>
      </c>
      <c r="AI210" s="166">
        <v>146778</v>
      </c>
      <c r="AJ210" s="166">
        <v>143668</v>
      </c>
      <c r="AK210" s="166">
        <v>147999</v>
      </c>
      <c r="AL210" s="166">
        <f>AL267/146971*141925</f>
        <v>13715.343451788169</v>
      </c>
      <c r="AM210" s="166">
        <f>AM267/149671*155468</f>
        <v>15024.111437467696</v>
      </c>
      <c r="AN210" s="166">
        <f>AN267/158654*160988</f>
        <v>15557.553014736472</v>
      </c>
      <c r="AO210" s="166">
        <f>AO267/160988*147621</f>
        <v>0</v>
      </c>
      <c r="AP210" s="166">
        <f>AP267/147621*155248</f>
        <v>0</v>
      </c>
      <c r="AQ210" s="166">
        <f t="shared" ref="AQ210:AV210" si="1541">AQ267/164537*164537</f>
        <v>0</v>
      </c>
      <c r="AR210" s="166">
        <f t="shared" si="1541"/>
        <v>0</v>
      </c>
      <c r="AS210" s="166">
        <f t="shared" si="1541"/>
        <v>0</v>
      </c>
      <c r="AT210" s="166">
        <f t="shared" si="1541"/>
        <v>0</v>
      </c>
      <c r="AU210" s="166">
        <f t="shared" si="1541"/>
        <v>0</v>
      </c>
      <c r="AV210" s="166">
        <f t="shared" si="1541"/>
        <v>0</v>
      </c>
      <c r="AW210" s="166">
        <f t="shared" ref="AW210:AX210" si="1542">AW267/164537*164537</f>
        <v>0</v>
      </c>
      <c r="AX210" s="166">
        <f t="shared" si="1542"/>
        <v>0</v>
      </c>
      <c r="AY210" s="166">
        <f t="shared" ref="AY210:AZ210" si="1543">AY267/164537*164537</f>
        <v>0</v>
      </c>
      <c r="AZ210" s="167">
        <f t="shared" si="1543"/>
        <v>0</v>
      </c>
      <c r="BA210" s="82">
        <f t="shared" ref="BA210:BG210" si="1544">SUM(BA208:BA209)</f>
        <v>0</v>
      </c>
      <c r="BB210" s="82">
        <f t="shared" si="1544"/>
        <v>0</v>
      </c>
      <c r="BC210" s="82">
        <f t="shared" si="1544"/>
        <v>0</v>
      </c>
      <c r="BD210" s="82">
        <f t="shared" si="1544"/>
        <v>0</v>
      </c>
      <c r="BE210" s="82">
        <f t="shared" si="1544"/>
        <v>0</v>
      </c>
      <c r="BF210" s="82">
        <f t="shared" si="1544"/>
        <v>0</v>
      </c>
      <c r="BG210" s="82">
        <f t="shared" si="1544"/>
        <v>0</v>
      </c>
      <c r="BH210" s="82">
        <f>SUM(BH208:BH209)</f>
        <v>0</v>
      </c>
      <c r="BI210" s="82">
        <f>SUM(BI208:BI209)</f>
        <v>0</v>
      </c>
      <c r="BJ210" s="82">
        <f>SUM(BJ208:BJ209)</f>
        <v>0</v>
      </c>
      <c r="BK210" s="82">
        <f>SUM(BK208:BK209)</f>
        <v>0</v>
      </c>
      <c r="BL210" s="82">
        <f t="shared" ref="BL210:BM210" si="1545">SUM(BL208:BL209)</f>
        <v>0</v>
      </c>
      <c r="BM210" s="82">
        <f t="shared" si="1545"/>
        <v>0</v>
      </c>
      <c r="BN210" s="82">
        <f t="shared" ref="BN210:BO210" si="1546">SUM(BN208:BN209)</f>
        <v>0</v>
      </c>
      <c r="BO210" s="82">
        <f t="shared" si="1546"/>
        <v>0</v>
      </c>
      <c r="BP210" s="82">
        <f t="shared" ref="BP210:BQ210" si="1547">SUM(BP208:BP209)</f>
        <v>0</v>
      </c>
      <c r="BQ210" s="82">
        <f t="shared" si="1547"/>
        <v>0</v>
      </c>
      <c r="BR210" s="82"/>
      <c r="BS210" s="81">
        <f>11.9*1000</f>
        <v>11900</v>
      </c>
      <c r="BT210" s="81">
        <f>12.9*1000</f>
        <v>12900</v>
      </c>
      <c r="BU210" s="81">
        <f>14.3*1000</f>
        <v>14300</v>
      </c>
      <c r="BV210" s="81">
        <f>14.2*1000</f>
        <v>14200</v>
      </c>
      <c r="BW210" s="81">
        <v>14343</v>
      </c>
      <c r="BX210" s="81">
        <f>22*1000</f>
        <v>22000</v>
      </c>
      <c r="BY210" s="81">
        <f>27.2*1000</f>
        <v>27200</v>
      </c>
      <c r="BZ210" s="81">
        <v>27531</v>
      </c>
      <c r="CA210" s="81">
        <v>88182</v>
      </c>
      <c r="CB210" s="81">
        <v>101481</v>
      </c>
      <c r="CC210" s="82">
        <f>E210</f>
        <v>102838</v>
      </c>
      <c r="CD210" s="82">
        <f>G210</f>
        <v>99280</v>
      </c>
      <c r="CE210" s="82">
        <f>I210</f>
        <v>109883</v>
      </c>
      <c r="CF210" s="82">
        <f>K210</f>
        <v>123064</v>
      </c>
      <c r="CG210" s="82">
        <f>M210</f>
        <v>151513</v>
      </c>
      <c r="CH210" s="82">
        <f>O210</f>
        <v>168810</v>
      </c>
      <c r="CI210" s="82">
        <f>Q210</f>
        <v>184970</v>
      </c>
      <c r="CJ210" s="82">
        <f>S210</f>
        <v>169210</v>
      </c>
      <c r="CK210" s="82">
        <f>U210</f>
        <v>179614</v>
      </c>
      <c r="CL210" s="82">
        <f>W210</f>
        <v>188511</v>
      </c>
      <c r="CM210" s="82">
        <f>Y210</f>
        <v>196199</v>
      </c>
      <c r="CN210" s="82">
        <f>AA210</f>
        <v>240352</v>
      </c>
      <c r="CO210" s="82">
        <f>AC210</f>
        <v>253483</v>
      </c>
      <c r="CP210" s="82">
        <f>AE210</f>
        <v>131903</v>
      </c>
      <c r="CQ210" s="82">
        <f>AG210</f>
        <v>135801</v>
      </c>
      <c r="CR210" s="82">
        <f>AI210</f>
        <v>146778</v>
      </c>
      <c r="CS210" s="82">
        <f>AK210</f>
        <v>147999</v>
      </c>
      <c r="CT210" s="82">
        <f>AM210</f>
        <v>15024.111437467696</v>
      </c>
      <c r="CU210" s="82">
        <f>AO210</f>
        <v>0</v>
      </c>
      <c r="CV210" s="82">
        <f>AQ210</f>
        <v>0</v>
      </c>
      <c r="CW210" s="82">
        <f>AS210</f>
        <v>0</v>
      </c>
      <c r="CX210" s="82">
        <f>AU210</f>
        <v>0</v>
      </c>
      <c r="CY210" s="82">
        <f>AW210</f>
        <v>0</v>
      </c>
      <c r="CZ210" s="83">
        <f>AY210</f>
        <v>0</v>
      </c>
      <c r="DA210" s="82">
        <f>BA210</f>
        <v>0</v>
      </c>
      <c r="DB210" s="82">
        <f>BC210</f>
        <v>0</v>
      </c>
      <c r="DC210" s="82">
        <f>BE210</f>
        <v>0</v>
      </c>
      <c r="DD210" s="82">
        <f>BG210</f>
        <v>0</v>
      </c>
      <c r="DE210" s="82">
        <f>BI210</f>
        <v>0</v>
      </c>
      <c r="DF210" s="82">
        <f>BK210</f>
        <v>0</v>
      </c>
      <c r="DG210" s="82">
        <f>BM210</f>
        <v>0</v>
      </c>
      <c r="DH210" s="82">
        <f>BO210</f>
        <v>0</v>
      </c>
      <c r="DI210" s="82">
        <f>BQ210</f>
        <v>0</v>
      </c>
    </row>
    <row r="211" spans="1:119">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45"/>
      <c r="AH211" s="45"/>
      <c r="AI211" s="55"/>
      <c r="AJ211" s="55"/>
      <c r="AK211" s="45"/>
      <c r="AL211" s="45"/>
      <c r="AM211" s="45"/>
      <c r="AN211" s="45"/>
      <c r="AO211" s="45"/>
      <c r="AP211" s="45"/>
      <c r="AQ211" s="45"/>
      <c r="AR211" s="45"/>
      <c r="AS211" s="45"/>
      <c r="AT211" s="45"/>
      <c r="AU211" s="45"/>
      <c r="AV211" s="45"/>
      <c r="AW211" s="45"/>
      <c r="AX211" s="45"/>
      <c r="AY211" s="55"/>
      <c r="AZ211" s="56"/>
      <c r="BA211" s="55"/>
      <c r="BB211" s="55"/>
      <c r="BC211" s="55"/>
      <c r="BD211" s="55"/>
      <c r="BE211" s="55"/>
      <c r="BF211" s="55"/>
      <c r="BG211" s="55"/>
      <c r="BH211" s="55"/>
      <c r="BI211" s="55"/>
      <c r="BJ211" s="55"/>
      <c r="BK211" s="55"/>
      <c r="BL211" s="55"/>
      <c r="BM211" s="55"/>
      <c r="BN211" s="55"/>
      <c r="BO211" s="55"/>
      <c r="BP211" s="55"/>
      <c r="BQ211" s="55"/>
      <c r="BR211" s="55"/>
      <c r="BS211" s="55"/>
      <c r="BT211" s="55"/>
      <c r="BU211" s="55"/>
      <c r="BV211" s="55"/>
      <c r="BW211" s="55"/>
      <c r="BX211" s="55"/>
      <c r="BY211" s="55"/>
      <c r="BZ211" s="55"/>
      <c r="CA211" s="55"/>
      <c r="CB211" s="55"/>
      <c r="CC211" s="55"/>
      <c r="CD211" s="55"/>
      <c r="CE211" s="55"/>
      <c r="CF211" s="55"/>
      <c r="CG211" s="55"/>
      <c r="CH211" s="55"/>
      <c r="CI211" s="55"/>
      <c r="CJ211" s="55"/>
      <c r="CK211" s="55"/>
      <c r="CL211" s="55"/>
      <c r="CM211" s="55"/>
      <c r="CN211" s="55"/>
      <c r="CO211" s="55"/>
      <c r="CP211" s="55"/>
      <c r="CQ211" s="55"/>
      <c r="CR211" s="55"/>
      <c r="CS211" s="55"/>
      <c r="CT211" s="55"/>
      <c r="CU211" s="55"/>
      <c r="CV211" s="55"/>
      <c r="CW211" s="55"/>
      <c r="CX211" s="55"/>
      <c r="CY211" s="55"/>
      <c r="CZ211" s="56"/>
      <c r="DA211" s="55"/>
      <c r="DB211" s="55"/>
    </row>
    <row r="212" spans="1:119" s="36" customFormat="1" collapsed="1">
      <c r="A212" s="1" t="s">
        <v>1059</v>
      </c>
      <c r="B212" s="2" t="s">
        <v>387</v>
      </c>
      <c r="C212" s="3"/>
      <c r="D212" s="79">
        <f t="shared" ref="D212:L212" si="1548">D239</f>
        <v>168222</v>
      </c>
      <c r="E212" s="79">
        <f t="shared" si="1548"/>
        <v>173084</v>
      </c>
      <c r="F212" s="79">
        <f t="shared" si="1548"/>
        <v>183675</v>
      </c>
      <c r="G212" s="79">
        <f t="shared" si="1548"/>
        <v>192942</v>
      </c>
      <c r="H212" s="79">
        <f t="shared" si="1548"/>
        <v>204323</v>
      </c>
      <c r="I212" s="79">
        <f t="shared" si="1548"/>
        <v>224160</v>
      </c>
      <c r="J212" s="79">
        <f t="shared" si="1548"/>
        <v>246377</v>
      </c>
      <c r="K212" s="79">
        <f t="shared" si="1548"/>
        <v>260289</v>
      </c>
      <c r="L212" s="79">
        <f t="shared" si="1548"/>
        <v>277182</v>
      </c>
      <c r="M212" s="79">
        <f t="shared" ref="M212:AG212" si="1549">M239</f>
        <v>294328</v>
      </c>
      <c r="N212" s="79">
        <f t="shared" si="1549"/>
        <v>318515</v>
      </c>
      <c r="O212" s="79">
        <f t="shared" si="1549"/>
        <v>358683</v>
      </c>
      <c r="P212" s="79">
        <f t="shared" si="1549"/>
        <v>385224</v>
      </c>
      <c r="Q212" s="79">
        <f t="shared" si="1549"/>
        <v>413116</v>
      </c>
      <c r="R212" s="79">
        <f t="shared" si="1549"/>
        <v>512537</v>
      </c>
      <c r="S212" s="79">
        <f t="shared" si="1549"/>
        <v>540279</v>
      </c>
      <c r="T212" s="79">
        <f t="shared" si="1549"/>
        <v>559159</v>
      </c>
      <c r="U212" s="79">
        <f t="shared" si="1549"/>
        <v>570338</v>
      </c>
      <c r="V212" s="79">
        <f t="shared" si="1549"/>
        <v>594157.02762430941</v>
      </c>
      <c r="W212" s="79">
        <f t="shared" si="1549"/>
        <v>600602</v>
      </c>
      <c r="X212" s="79">
        <f t="shared" si="1549"/>
        <v>622898</v>
      </c>
      <c r="Y212" s="79">
        <f>Y239</f>
        <v>636547</v>
      </c>
      <c r="Z212" s="79">
        <f t="shared" si="1549"/>
        <v>649394</v>
      </c>
      <c r="AA212" s="79">
        <f t="shared" si="1549"/>
        <v>657951</v>
      </c>
      <c r="AB212" s="79">
        <f t="shared" si="1549"/>
        <v>690106</v>
      </c>
      <c r="AC212" s="79">
        <f t="shared" si="1549"/>
        <v>720889</v>
      </c>
      <c r="AD212" s="79">
        <f t="shared" si="1549"/>
        <v>739272</v>
      </c>
      <c r="AE212" s="79">
        <f>AE239</f>
        <v>772747</v>
      </c>
      <c r="AF212" s="79">
        <f>AF239</f>
        <v>780921</v>
      </c>
      <c r="AG212" s="79">
        <f t="shared" si="1549"/>
        <v>800379</v>
      </c>
      <c r="AH212" s="79">
        <f t="shared" ref="AH212:AM212" si="1550">AH239</f>
        <v>823058</v>
      </c>
      <c r="AI212" s="79">
        <f t="shared" si="1550"/>
        <v>846619</v>
      </c>
      <c r="AJ212" s="79">
        <f t="shared" si="1550"/>
        <v>851522</v>
      </c>
      <c r="AK212" s="79">
        <f t="shared" si="1550"/>
        <v>857050</v>
      </c>
      <c r="AL212" s="79">
        <f t="shared" si="1550"/>
        <v>870903.72488873766</v>
      </c>
      <c r="AM212" s="79">
        <f t="shared" si="1550"/>
        <v>871940.34217183117</v>
      </c>
      <c r="AN212" s="79">
        <f t="shared" ref="AN212:AS212" si="1551">AN239</f>
        <v>881850</v>
      </c>
      <c r="AO212" s="79">
        <f t="shared" si="1551"/>
        <v>913139</v>
      </c>
      <c r="AP212" s="79">
        <f t="shared" si="1551"/>
        <v>922924</v>
      </c>
      <c r="AQ212" s="79">
        <f t="shared" si="1551"/>
        <v>936883</v>
      </c>
      <c r="AR212" s="79">
        <f t="shared" si="1551"/>
        <v>1008070</v>
      </c>
      <c r="AS212" s="79">
        <f t="shared" si="1551"/>
        <v>1046062</v>
      </c>
      <c r="AT212" s="79">
        <f t="shared" ref="AT212:AU212" si="1552">AT239</f>
        <v>1100027</v>
      </c>
      <c r="AU212" s="79">
        <f t="shared" si="1552"/>
        <v>1122667</v>
      </c>
      <c r="AV212" s="79">
        <f t="shared" ref="AV212:AW212" si="1553">AV239</f>
        <v>1140693</v>
      </c>
      <c r="AW212" s="79">
        <f t="shared" si="1553"/>
        <v>1148062</v>
      </c>
      <c r="AX212" s="79">
        <f t="shared" ref="AX212" si="1554">AX239</f>
        <v>1135859</v>
      </c>
      <c r="AY212" s="79">
        <f t="shared" ref="AY212:BE212" si="1555">AY239</f>
        <v>1171804</v>
      </c>
      <c r="AZ212" s="80">
        <f>AZ239</f>
        <v>1232326</v>
      </c>
      <c r="BA212" s="79">
        <f t="shared" si="1555"/>
        <v>1281431.5893694169</v>
      </c>
      <c r="BB212" s="79">
        <f t="shared" si="1555"/>
        <v>1311298.5321265664</v>
      </c>
      <c r="BC212" s="79">
        <f t="shared" si="1555"/>
        <v>1344337.9212039346</v>
      </c>
      <c r="BD212" s="79">
        <f t="shared" si="1555"/>
        <v>1375812.5490959843</v>
      </c>
      <c r="BE212" s="79">
        <f t="shared" si="1555"/>
        <v>1406930.1270036707</v>
      </c>
      <c r="BF212" s="79">
        <f t="shared" ref="BF212:BM212" si="1556">BF239</f>
        <v>1438982.7098466593</v>
      </c>
      <c r="BG212" s="79">
        <f t="shared" si="1556"/>
        <v>1468332.8118876943</v>
      </c>
      <c r="BH212" s="79">
        <f t="shared" si="1556"/>
        <v>1498514.558777326</v>
      </c>
      <c r="BI212" s="79">
        <f t="shared" si="1556"/>
        <v>1524738.182590402</v>
      </c>
      <c r="BJ212" s="79">
        <f t="shared" si="1556"/>
        <v>1551592.8793127215</v>
      </c>
      <c r="BK212" s="79">
        <f t="shared" si="1556"/>
        <v>1581120.7225957701</v>
      </c>
      <c r="BL212" s="79">
        <f t="shared" si="1556"/>
        <v>1611223.1929155162</v>
      </c>
      <c r="BM212" s="79">
        <f t="shared" si="1556"/>
        <v>1641911.6229259616</v>
      </c>
      <c r="BN212" s="79">
        <f t="shared" ref="BN212:BO212" si="1557">BN239</f>
        <v>1673197.5705298202</v>
      </c>
      <c r="BO212" s="79">
        <f t="shared" si="1557"/>
        <v>1705092.8233758672</v>
      </c>
      <c r="BP212" s="79">
        <f t="shared" ref="BP212:BQ212" si="1558">BP239</f>
        <v>1737609.4034463202</v>
      </c>
      <c r="BQ212" s="79">
        <f t="shared" si="1558"/>
        <v>1770759.5717360487</v>
      </c>
      <c r="BR212" s="79"/>
      <c r="BS212" s="79">
        <f t="shared" ref="BS212:CB212" si="1559">BS239</f>
        <v>71869.399999999994</v>
      </c>
      <c r="BT212" s="79">
        <f t="shared" si="1559"/>
        <v>72343.100000000006</v>
      </c>
      <c r="BU212" s="79">
        <f t="shared" si="1559"/>
        <v>74733.3</v>
      </c>
      <c r="BV212" s="79">
        <f t="shared" si="1559"/>
        <v>78461</v>
      </c>
      <c r="BW212" s="79">
        <f t="shared" si="1559"/>
        <v>85795</v>
      </c>
      <c r="BX212" s="79">
        <f t="shared" si="1559"/>
        <v>96163</v>
      </c>
      <c r="BY212" s="79">
        <f t="shared" si="1559"/>
        <v>102165</v>
      </c>
      <c r="BZ212" s="79">
        <f t="shared" si="1559"/>
        <v>114271</v>
      </c>
      <c r="CA212" s="79">
        <f t="shared" si="1559"/>
        <v>129163</v>
      </c>
      <c r="CB212" s="79">
        <f t="shared" si="1559"/>
        <v>160607</v>
      </c>
      <c r="CC212" s="79">
        <f t="shared" ref="CC212:CO212" si="1560">CC239</f>
        <v>170672.98082191779</v>
      </c>
      <c r="CD212" s="79">
        <f t="shared" si="1560"/>
        <v>188346.58356164381</v>
      </c>
      <c r="CE212" s="79">
        <f t="shared" si="1560"/>
        <v>214295.69945355193</v>
      </c>
      <c r="CF212" s="79">
        <f t="shared" si="1560"/>
        <v>253390.17260273971</v>
      </c>
      <c r="CG212" s="79">
        <f t="shared" si="1560"/>
        <v>285685</v>
      </c>
      <c r="CH212" s="79">
        <f t="shared" si="1560"/>
        <v>345836</v>
      </c>
      <c r="CI212" s="79">
        <f t="shared" si="1560"/>
        <v>399094</v>
      </c>
      <c r="CJ212" s="79">
        <f t="shared" si="1560"/>
        <v>526294</v>
      </c>
      <c r="CK212" s="79">
        <f t="shared" si="1560"/>
        <v>564702</v>
      </c>
      <c r="CL212" s="79">
        <f t="shared" si="1560"/>
        <v>597406</v>
      </c>
      <c r="CM212" s="79">
        <f t="shared" si="1560"/>
        <v>629685</v>
      </c>
      <c r="CN212" s="79">
        <f t="shared" si="1560"/>
        <v>653637</v>
      </c>
      <c r="CO212" s="79">
        <f t="shared" si="1560"/>
        <v>705371</v>
      </c>
      <c r="CP212" s="79">
        <f t="shared" ref="CP212:CX212" si="1561">CP239</f>
        <v>755872</v>
      </c>
      <c r="CQ212" s="79">
        <f t="shared" si="1561"/>
        <v>790596</v>
      </c>
      <c r="CR212" s="79">
        <f t="shared" si="1561"/>
        <v>834741</v>
      </c>
      <c r="CS212" s="79">
        <f t="shared" si="1561"/>
        <v>854264</v>
      </c>
      <c r="CT212" s="79">
        <f t="shared" si="1561"/>
        <v>871418</v>
      </c>
      <c r="CU212" s="79">
        <f t="shared" si="1561"/>
        <v>897409</v>
      </c>
      <c r="CV212" s="79">
        <f t="shared" si="1561"/>
        <v>929846</v>
      </c>
      <c r="CW212" s="79">
        <f t="shared" si="1561"/>
        <v>1026910</v>
      </c>
      <c r="CX212" s="79">
        <f t="shared" si="1561"/>
        <v>1111254</v>
      </c>
      <c r="CY212" s="79">
        <f t="shared" ref="CY212:DD212" si="1562">CY239</f>
        <v>1144357</v>
      </c>
      <c r="CZ212" s="80">
        <f t="shared" si="1562"/>
        <v>1153684</v>
      </c>
      <c r="DA212" s="79">
        <f t="shared" si="1562"/>
        <v>1257080.5984766376</v>
      </c>
      <c r="DB212" s="79">
        <f t="shared" si="1562"/>
        <v>1327954.0049765273</v>
      </c>
      <c r="DC212" s="79">
        <f t="shared" si="1562"/>
        <v>1391456.3587544933</v>
      </c>
      <c r="DD212" s="79">
        <f t="shared" si="1562"/>
        <v>1453778.3777248797</v>
      </c>
      <c r="DE212" s="79">
        <f>DE239</f>
        <v>1511734.139000904</v>
      </c>
      <c r="DF212" s="79">
        <f>DF239</f>
        <v>1566478.1482554092</v>
      </c>
      <c r="DG212" s="79">
        <f>DG239</f>
        <v>1626651.2560901663</v>
      </c>
      <c r="DH212" s="79">
        <f>DH239</f>
        <v>1689276.2733344028</v>
      </c>
      <c r="DI212" s="79">
        <f>DI239</f>
        <v>1754320.7211594982</v>
      </c>
    </row>
    <row r="213" spans="1:119" outlineLevel="1">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45"/>
      <c r="AO213" s="45"/>
      <c r="AP213" s="45"/>
      <c r="AQ213" s="55"/>
      <c r="AR213" s="55"/>
      <c r="AS213" s="55"/>
      <c r="AT213" s="55"/>
      <c r="AU213" s="55"/>
      <c r="AV213" s="55"/>
      <c r="AW213" s="55"/>
      <c r="AX213" s="817"/>
      <c r="AY213" s="818"/>
      <c r="AZ213" s="847"/>
      <c r="BA213" s="818"/>
      <c r="BB213" s="818"/>
      <c r="BC213" s="818"/>
      <c r="BD213" s="818"/>
      <c r="BE213" s="818"/>
      <c r="BF213" s="818"/>
      <c r="BG213" s="818"/>
      <c r="BH213" s="818"/>
      <c r="BI213" s="818"/>
      <c r="BJ213" s="818"/>
      <c r="BK213" s="818"/>
      <c r="BL213" s="818"/>
      <c r="BM213" s="818"/>
      <c r="BN213" s="818"/>
      <c r="BO213" s="818"/>
      <c r="BP213" s="818"/>
      <c r="BQ213" s="818"/>
      <c r="BR213" s="55"/>
      <c r="BS213" s="55"/>
      <c r="BT213" s="55"/>
      <c r="BU213" s="55"/>
      <c r="BV213" s="55"/>
      <c r="BW213" s="55"/>
      <c r="BX213" s="55"/>
      <c r="BY213" s="55"/>
      <c r="BZ213" s="55"/>
      <c r="CA213" s="55"/>
      <c r="CB213" s="55"/>
      <c r="CC213" s="55"/>
      <c r="CD213" s="55"/>
      <c r="CE213" s="55"/>
      <c r="CF213" s="55"/>
      <c r="CG213" s="55"/>
      <c r="CH213" s="55"/>
      <c r="CI213" s="55"/>
      <c r="CJ213" s="55"/>
      <c r="CK213" s="55"/>
      <c r="CL213" s="55"/>
      <c r="CM213" s="55"/>
      <c r="CN213" s="55"/>
      <c r="CO213" s="55"/>
      <c r="CP213" s="55"/>
      <c r="CQ213" s="55"/>
      <c r="CR213" s="55"/>
      <c r="CS213" s="55"/>
      <c r="CT213" s="55"/>
      <c r="CU213" s="55"/>
      <c r="CV213" s="55"/>
      <c r="CW213" s="55"/>
      <c r="CX213" s="55"/>
      <c r="CY213" s="45"/>
      <c r="CZ213" s="43"/>
      <c r="DA213" s="42"/>
      <c r="DB213" s="42"/>
    </row>
    <row r="214" spans="1:119" s="24" customFormat="1" outlineLevel="1">
      <c r="A214" s="1"/>
      <c r="B214" s="24" t="s">
        <v>440</v>
      </c>
      <c r="C214" s="82"/>
      <c r="D214" s="82"/>
      <c r="E214" s="82"/>
      <c r="F214" s="82"/>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c r="AV214" s="82"/>
      <c r="AW214" s="817"/>
      <c r="AX214" s="813"/>
      <c r="AY214" s="813"/>
      <c r="AZ214" s="814"/>
      <c r="BA214" s="813"/>
      <c r="BB214" s="813"/>
      <c r="BC214" s="813"/>
      <c r="BD214" s="813"/>
      <c r="BE214" s="813"/>
      <c r="BF214" s="813"/>
      <c r="BG214" s="813"/>
      <c r="BH214" s="813"/>
      <c r="BI214" s="813"/>
      <c r="BJ214" s="82"/>
      <c r="BK214" s="82"/>
      <c r="BL214" s="82"/>
      <c r="BM214" s="82"/>
      <c r="BN214" s="82"/>
      <c r="BO214" s="82"/>
      <c r="BP214" s="82"/>
      <c r="BQ214" s="82"/>
      <c r="BR214" s="82"/>
      <c r="BS214" s="82"/>
      <c r="BT214" s="82"/>
      <c r="BU214" s="82"/>
      <c r="BV214" s="82"/>
      <c r="BW214" s="82"/>
      <c r="BX214" s="82"/>
      <c r="BY214" s="82"/>
      <c r="BZ214" s="82"/>
      <c r="CA214" s="82"/>
      <c r="CB214" s="82"/>
      <c r="CC214" s="82"/>
      <c r="CD214" s="82"/>
      <c r="CE214" s="82"/>
      <c r="CF214" s="82"/>
      <c r="CG214" s="82"/>
      <c r="CH214" s="82"/>
      <c r="CI214" s="82"/>
      <c r="CJ214" s="82"/>
      <c r="CK214" s="82"/>
      <c r="CL214" s="82"/>
      <c r="CM214" s="82"/>
      <c r="CN214" s="82"/>
      <c r="CO214" s="82"/>
      <c r="CP214" s="82"/>
      <c r="CQ214" s="82"/>
      <c r="CR214" s="55"/>
      <c r="CS214" s="55"/>
      <c r="CT214" s="55"/>
      <c r="CU214" s="55"/>
      <c r="CV214" s="55"/>
      <c r="CW214" s="55"/>
      <c r="CX214" s="55"/>
      <c r="CY214" s="55"/>
      <c r="CZ214" s="56"/>
      <c r="DA214" s="55"/>
      <c r="DO214" s="781"/>
    </row>
    <row r="215" spans="1:119" outlineLevel="1">
      <c r="A215" s="1" t="s">
        <v>191</v>
      </c>
      <c r="B215" s="19" t="s">
        <v>164</v>
      </c>
      <c r="C215" s="55">
        <f t="shared" ref="C215:L218" si="1563">C$219*AVERAGE(B157:C157)/AVERAGE(B$161:C$161)</f>
        <v>65012.562896603209</v>
      </c>
      <c r="D215" s="55">
        <f t="shared" si="1563"/>
        <v>67840.901596714015</v>
      </c>
      <c r="E215" s="55">
        <f t="shared" si="1563"/>
        <v>72281.057155470349</v>
      </c>
      <c r="F215" s="55">
        <f t="shared" si="1563"/>
        <v>77988.943106508086</v>
      </c>
      <c r="G215" s="55">
        <f t="shared" si="1563"/>
        <v>83455.045478285174</v>
      </c>
      <c r="H215" s="55">
        <f t="shared" si="1563"/>
        <v>91926.891459099235</v>
      </c>
      <c r="I215" s="55">
        <f t="shared" si="1563"/>
        <v>104380.86774801454</v>
      </c>
      <c r="J215" s="55">
        <f t="shared" si="1563"/>
        <v>119126.04688530066</v>
      </c>
      <c r="K215" s="55">
        <f t="shared" si="1563"/>
        <v>125268.73710887975</v>
      </c>
      <c r="L215" s="55">
        <f t="shared" si="1563"/>
        <v>131765.98271199997</v>
      </c>
      <c r="M215" s="55">
        <f t="shared" ref="M215:U215" si="1564">M$219*AVERAGE(L157:M157)/AVERAGE(L$161:M$161)</f>
        <v>138821.80868981205</v>
      </c>
      <c r="N215" s="55">
        <f t="shared" si="1564"/>
        <v>148359.62260864128</v>
      </c>
      <c r="O215" s="55">
        <f t="shared" si="1564"/>
        <v>163105.02516731212</v>
      </c>
      <c r="P215" s="55">
        <f t="shared" si="1564"/>
        <v>168314.23526192663</v>
      </c>
      <c r="Q215" s="55">
        <f t="shared" si="1564"/>
        <v>180084.49375315954</v>
      </c>
      <c r="R215" s="55">
        <f t="shared" si="1564"/>
        <v>226585.71074968006</v>
      </c>
      <c r="S215" s="55">
        <f t="shared" si="1564"/>
        <v>247721.06035450418</v>
      </c>
      <c r="T215" s="55">
        <f t="shared" si="1564"/>
        <v>273127.65111097379</v>
      </c>
      <c r="U215" s="55">
        <f t="shared" si="1564"/>
        <v>286017.68116509839</v>
      </c>
      <c r="V215" s="55">
        <f>V$219*AVERAGE(U157:V157)/AVERAGE(SUM(U$161,U$179),SUM(V$161,V$179))</f>
        <v>295358.07380036608</v>
      </c>
      <c r="W215" s="55">
        <f>W$219*AVERAGE(V157:W157)/AVERAGE(SUM(V$161,V$179),SUM(W$161,W$179))</f>
        <v>302928.32100504258</v>
      </c>
      <c r="X215" s="55">
        <f>X$219*AVERAGE(W157:X157)/AVERAGE(SUM(W$161,W$179),SUM(X$161,X$179))</f>
        <v>311413.59011646447</v>
      </c>
      <c r="Y215" s="55">
        <f>Y$219*AVERAGE(X157:Y157)/AVERAGE(SUM(X$161,X$179),SUM(Y$161,Y$179))</f>
        <v>319024.66979449324</v>
      </c>
      <c r="Z215" s="55">
        <f t="shared" ref="Z215:AF215" si="1565">Z$219*AVERAGE(Y157:Z157)/AVERAGE(SUM(Y$161,Y$179),SUM(Z$161,Z$179))</f>
        <v>326611.65868642653</v>
      </c>
      <c r="AA215" s="55">
        <f t="shared" si="1565"/>
        <v>331226.67804408498</v>
      </c>
      <c r="AB215" s="55">
        <f t="shared" si="1565"/>
        <v>341649.95961722865</v>
      </c>
      <c r="AC215" s="55">
        <f t="shared" si="1565"/>
        <v>352537.37317077373</v>
      </c>
      <c r="AD215" s="55">
        <f t="shared" si="1565"/>
        <v>363647.91108531575</v>
      </c>
      <c r="AE215" s="55">
        <f>AE$219*AVERAGE(AD157:AE157)/AVERAGE(SUM(AD$161,AD$179),SUM(AE$161,AE$179))</f>
        <v>375394.28080906509</v>
      </c>
      <c r="AF215" s="55">
        <f t="shared" si="1565"/>
        <v>371606.45338991197</v>
      </c>
      <c r="AG215" s="55">
        <f t="shared" ref="AG215:AZ215" si="1566">AG$219*AVERAGE(AF157:AG157)/AVERAGE(SUM(AF$161,AF$179),SUM(AG$161,AG$179))</f>
        <v>379483.60525437753</v>
      </c>
      <c r="AH215" s="55">
        <f t="shared" si="1566"/>
        <v>392612.66019171936</v>
      </c>
      <c r="AI215" s="55">
        <f t="shared" si="1566"/>
        <v>402729.90760914324</v>
      </c>
      <c r="AJ215" s="55">
        <f t="shared" si="1566"/>
        <v>412688.04335623112</v>
      </c>
      <c r="AK215" s="55">
        <f t="shared" si="1566"/>
        <v>417578.6744665521</v>
      </c>
      <c r="AL215" s="55">
        <f t="shared" si="1566"/>
        <v>423893.90395503392</v>
      </c>
      <c r="AM215" s="55">
        <f t="shared" si="1566"/>
        <v>430611.83719378925</v>
      </c>
      <c r="AN215" s="55">
        <f t="shared" si="1566"/>
        <v>439051.7553851704</v>
      </c>
      <c r="AO215" s="55">
        <f t="shared" si="1566"/>
        <v>447002.17366901477</v>
      </c>
      <c r="AP215" s="55">
        <f t="shared" si="1566"/>
        <v>450682.87487452425</v>
      </c>
      <c r="AQ215" s="55">
        <f t="shared" si="1566"/>
        <v>462098.23634209315</v>
      </c>
      <c r="AR215" s="55">
        <f t="shared" si="1566"/>
        <v>480937.34389866411</v>
      </c>
      <c r="AS215" s="55">
        <f t="shared" si="1566"/>
        <v>497368.39724274894</v>
      </c>
      <c r="AT215" s="55">
        <f t="shared" si="1566"/>
        <v>512258.69216228806</v>
      </c>
      <c r="AU215" s="55">
        <f t="shared" si="1566"/>
        <v>524265.27952082857</v>
      </c>
      <c r="AV215" s="55">
        <f t="shared" si="1566"/>
        <v>525592.52578575024</v>
      </c>
      <c r="AW215" s="55">
        <f t="shared" si="1566"/>
        <v>529130.02935536066</v>
      </c>
      <c r="AX215" s="55">
        <f t="shared" si="1566"/>
        <v>541031.84235797881</v>
      </c>
      <c r="AY215" s="55">
        <f t="shared" si="1566"/>
        <v>558421.67032578296</v>
      </c>
      <c r="AZ215" s="56">
        <f t="shared" si="1566"/>
        <v>576376.93255300482</v>
      </c>
      <c r="BA215" s="55">
        <f t="shared" ref="BA215:BQ219" si="1567">AZ215*(1+((BA157/AZ157)-1))+(BA$213*AZ215)</f>
        <v>594090.1484442238</v>
      </c>
      <c r="BB215" s="55">
        <f t="shared" si="1567"/>
        <v>610255.48990592826</v>
      </c>
      <c r="BC215" s="55">
        <f t="shared" si="1567"/>
        <v>627470.94984004693</v>
      </c>
      <c r="BD215" s="55">
        <f t="shared" si="1567"/>
        <v>645799.53315261216</v>
      </c>
      <c r="BE215" s="55">
        <f t="shared" si="1567"/>
        <v>664663.49896588328</v>
      </c>
      <c r="BF215" s="55">
        <f t="shared" si="1567"/>
        <v>684078.48593655147</v>
      </c>
      <c r="BG215" s="55">
        <f t="shared" si="1567"/>
        <v>701287.33534839284</v>
      </c>
      <c r="BH215" s="55">
        <f t="shared" si="1567"/>
        <v>718929.09487825085</v>
      </c>
      <c r="BI215" s="55">
        <f t="shared" si="1567"/>
        <v>733379.56968530372</v>
      </c>
      <c r="BJ215" s="55">
        <f t="shared" si="1567"/>
        <v>748120.49903597834</v>
      </c>
      <c r="BK215" s="55">
        <f t="shared" si="1567"/>
        <v>763157.72106660146</v>
      </c>
      <c r="BL215" s="55">
        <f t="shared" si="1567"/>
        <v>778497.19126004016</v>
      </c>
      <c r="BM215" s="55">
        <f t="shared" si="1567"/>
        <v>794144.98480436695</v>
      </c>
      <c r="BN215" s="55">
        <f t="shared" si="1567"/>
        <v>810107.29899893468</v>
      </c>
      <c r="BO215" s="55">
        <f t="shared" si="1567"/>
        <v>826390.45570881327</v>
      </c>
      <c r="BP215" s="55">
        <f t="shared" si="1567"/>
        <v>843000.90386856045</v>
      </c>
      <c r="BQ215" s="55">
        <f t="shared" si="1567"/>
        <v>859945.2220363185</v>
      </c>
      <c r="BR215" s="55"/>
      <c r="BS215" s="55">
        <f t="shared" ref="BS215:CB218" si="1568">BS$219*AVERAGE(BR157:BS157)/AVERAGE(BR$161:BS$161)</f>
        <v>19862.590919744136</v>
      </c>
      <c r="BT215" s="55">
        <f t="shared" si="1568"/>
        <v>19840.789617295366</v>
      </c>
      <c r="BU215" s="55">
        <f t="shared" si="1568"/>
        <v>22212.928954213989</v>
      </c>
      <c r="BV215" s="55">
        <f t="shared" si="1568"/>
        <v>24900.714606277696</v>
      </c>
      <c r="BW215" s="55">
        <f t="shared" si="1568"/>
        <v>29198.820772113497</v>
      </c>
      <c r="BX215" s="55">
        <f t="shared" si="1568"/>
        <v>35112.700556686221</v>
      </c>
      <c r="BY215" s="55">
        <f t="shared" si="1568"/>
        <v>38608.518615479923</v>
      </c>
      <c r="BZ215" s="55">
        <f t="shared" si="1568"/>
        <v>42897.829793554134</v>
      </c>
      <c r="CA215" s="55">
        <f t="shared" si="1568"/>
        <v>49742.397004573941</v>
      </c>
      <c r="CB215" s="55">
        <f t="shared" si="1568"/>
        <v>64215.777647945724</v>
      </c>
      <c r="CC215" s="55">
        <f>SUMPRODUCT(D215:E215,D$5:E$5)/SUM(D$5:E$5)</f>
        <v>70079.226590717211</v>
      </c>
      <c r="CD215" s="55">
        <f>SUMPRODUCT(F215:G215,F$5:G$5)/SUM(F$5:G$5)</f>
        <v>80744.457726801178</v>
      </c>
      <c r="CE215" s="55">
        <f>SUMPRODUCT(H215:I215,H$5:I$5)/SUM(H$5:I$5)</f>
        <v>98187.906861176874</v>
      </c>
      <c r="CF215" s="55">
        <f>SUMPRODUCT(J215:K215,J$5:K$5)/SUM(J$5:K$5)</f>
        <v>122222.63592951588</v>
      </c>
      <c r="CG215" s="55">
        <f t="shared" ref="CG215:CV215" si="1569">CG$219*AVERAGE(CF157:CG157)/AVERAGE(CF$161:CG$161)</f>
        <v>135669.05609347858</v>
      </c>
      <c r="CH215" s="55">
        <f t="shared" si="1569"/>
        <v>158566.92130757394</v>
      </c>
      <c r="CI215" s="55">
        <f t="shared" si="1569"/>
        <v>176249.13466798997</v>
      </c>
      <c r="CJ215" s="55">
        <f t="shared" si="1569"/>
        <v>240808.76221657137</v>
      </c>
      <c r="CK215" s="55">
        <f t="shared" si="1569"/>
        <v>279269.46808789769</v>
      </c>
      <c r="CL215" s="55">
        <f t="shared" si="1569"/>
        <v>305876.50077005493</v>
      </c>
      <c r="CM215" s="55">
        <f t="shared" si="1569"/>
        <v>321833.39085417718</v>
      </c>
      <c r="CN215" s="55">
        <f t="shared" si="1569"/>
        <v>334363.4418977364</v>
      </c>
      <c r="CO215" s="55">
        <f t="shared" si="1569"/>
        <v>350891.39340278832</v>
      </c>
      <c r="CP215" s="55">
        <f t="shared" si="1569"/>
        <v>371552.7624343824</v>
      </c>
      <c r="CQ215" s="55">
        <f t="shared" si="1569"/>
        <v>377821.29524943215</v>
      </c>
      <c r="CR215" s="55">
        <f t="shared" si="1569"/>
        <v>397630.65808061638</v>
      </c>
      <c r="CS215" s="55">
        <f t="shared" si="1569"/>
        <v>415534.6717504781</v>
      </c>
      <c r="CT215" s="55">
        <f t="shared" si="1569"/>
        <v>428098.45429693174</v>
      </c>
      <c r="CU215" s="55">
        <f t="shared" si="1569"/>
        <v>442230.32756188279</v>
      </c>
      <c r="CV215" s="55">
        <f t="shared" si="1569"/>
        <v>456283.69993158628</v>
      </c>
      <c r="CW215" s="55">
        <f>SUMPRODUCT(AR215:AS215,AR$5:AS$5)/SUM(AR$5:AS$5)</f>
        <v>489220.39544746303</v>
      </c>
      <c r="CX215" s="55">
        <f>SUMPRODUCT(AT215:AU215,AT$5:AU$5)/SUM(AT$5:AU$5)</f>
        <v>518311.32798138791</v>
      </c>
      <c r="CY215" s="55">
        <f>SUMPRODUCT(AV215:AW215,AV$5:AW$5)/SUM(AV$5:AW$5)</f>
        <v>527370.94288085494</v>
      </c>
      <c r="CZ215" s="56">
        <f>SUMPRODUCT(AX215:AY215,AX$5:AY$5)/SUM(AX$5:AY$5)</f>
        <v>549798.22138832381</v>
      </c>
      <c r="DA215" s="55">
        <f>SUMPRODUCT(AZ215:BA215,AZ$5:BA$5)/SUM(AZ$5:BA$5)</f>
        <v>585306.33453652344</v>
      </c>
      <c r="DB215" s="55">
        <f>SUMPRODUCT(BB215:BC215,BB$5:BC$5)/SUM(BB$5:BC$5)</f>
        <v>618933.96833847021</v>
      </c>
      <c r="DC215" s="55">
        <f>SUMPRODUCT(BD215:BE215,BD$5:BE$5)/SUM(BD$5:BE$5)</f>
        <v>655283.05694944796</v>
      </c>
      <c r="DD215" s="55">
        <f>SUMPRODUCT(BF215:BG215,BF$5:BG$5)/SUM(BF$5:BG$5)</f>
        <v>692753.63194142492</v>
      </c>
      <c r="DE215" s="55">
        <f>SUMPRODUCT(BH215:BI215,BH$5:BI$5)/SUM(BH$5:BI$5)</f>
        <v>726213.71779468283</v>
      </c>
      <c r="DF215" s="55">
        <f>SUMPRODUCT(BJ215:BK215,BJ$5:BK$5)/SUM(BJ$5:BK$5)</f>
        <v>755700.90685415547</v>
      </c>
      <c r="DG215" s="55">
        <f>SUMPRODUCT(BL215:BM215,BL$5:BM$5)/SUM(BL$5:BM$5)</f>
        <v>786363.84156647767</v>
      </c>
      <c r="DH215" s="55">
        <f>SUMPRODUCT(BN215:BO215,BN$5:BO$5)/SUM(BN$5:BO$5)</f>
        <v>818315.79443624336</v>
      </c>
      <c r="DI215" s="55">
        <f>SUMPRODUCT(BP215:BQ215,BP$5:BQ$5)/SUM(BP$5:BQ$5)</f>
        <v>851542.69713669037</v>
      </c>
      <c r="DJ215" s="134"/>
    </row>
    <row r="216" spans="1:119" outlineLevel="1">
      <c r="A216" s="1" t="s">
        <v>394</v>
      </c>
      <c r="B216" s="19" t="s">
        <v>165</v>
      </c>
      <c r="C216" s="55">
        <f t="shared" si="1563"/>
        <v>28864.211845136637</v>
      </c>
      <c r="D216" s="55">
        <f t="shared" si="1563"/>
        <v>27231.650314932351</v>
      </c>
      <c r="E216" s="55">
        <f t="shared" si="1563"/>
        <v>25043.410569112853</v>
      </c>
      <c r="F216" s="55">
        <f t="shared" si="1563"/>
        <v>24328.796936696453</v>
      </c>
      <c r="G216" s="55">
        <f t="shared" si="1563"/>
        <v>23559.335796553609</v>
      </c>
      <c r="H216" s="55">
        <f t="shared" si="1563"/>
        <v>24396.919365208683</v>
      </c>
      <c r="I216" s="55">
        <f t="shared" si="1563"/>
        <v>25688.254850407306</v>
      </c>
      <c r="J216" s="55">
        <f t="shared" si="1563"/>
        <v>27557.765876689162</v>
      </c>
      <c r="K216" s="55">
        <f t="shared" si="1563"/>
        <v>28597.573665329321</v>
      </c>
      <c r="L216" s="55">
        <f t="shared" si="1563"/>
        <v>32029.612981056318</v>
      </c>
      <c r="M216" s="55">
        <f t="shared" ref="M216:U216" si="1570">M$219*AVERAGE(L158:M158)/AVERAGE(L$161:M$161)</f>
        <v>36142.343872108766</v>
      </c>
      <c r="N216" s="55">
        <f t="shared" si="1570"/>
        <v>40456.062366894621</v>
      </c>
      <c r="O216" s="55">
        <f t="shared" si="1570"/>
        <v>46045.794038433487</v>
      </c>
      <c r="P216" s="55">
        <f t="shared" si="1570"/>
        <v>49847.848779399828</v>
      </c>
      <c r="Q216" s="55">
        <f t="shared" si="1570"/>
        <v>54353.698976508451</v>
      </c>
      <c r="R216" s="55">
        <f t="shared" si="1570"/>
        <v>61498.681998191016</v>
      </c>
      <c r="S216" s="55">
        <f t="shared" si="1570"/>
        <v>60099.067459244405</v>
      </c>
      <c r="T216" s="55">
        <f t="shared" si="1570"/>
        <v>63580.855842535188</v>
      </c>
      <c r="U216" s="55">
        <f t="shared" si="1570"/>
        <v>65907.167306545947</v>
      </c>
      <c r="V216" s="55">
        <f>V$219*AVERAGE(SUM(U158,U179),SUM(V158,V179))/AVERAGE(SUM(U$161,U$179),SUM(V$161,V$179))</f>
        <v>77206.242437234541</v>
      </c>
      <c r="W216" s="55">
        <f>W$219*AVERAGE(SUM(V158,V179),SUM(W158,W179))/AVERAGE(SUM(V$161,V$179),SUM(W$161,W$179))</f>
        <v>77685.494228890282</v>
      </c>
      <c r="X216" s="55">
        <f>X$219*AVERAGE(SUM(W158,W179),SUM(X158,X179))/AVERAGE(SUM(W$161,W$179),SUM(X$161,X$179))</f>
        <v>79377.080906103074</v>
      </c>
      <c r="Y216" s="55">
        <f>Y$219*AVERAGE(SUM(X158,X179),SUM(Y158,Y179))/AVERAGE(SUM(X$161,X$179),SUM(Y$161,Y$179))</f>
        <v>79693.972157732322</v>
      </c>
      <c r="Z216" s="55">
        <f t="shared" ref="Z216:AZ216" si="1571">Z$219*AVERAGE(SUM(Y158,Y179),SUM(Z158,Z179))/AVERAGE(SUM(Y$161,Y$179),SUM(Z$161,Z$179))</f>
        <v>80380.596019150937</v>
      </c>
      <c r="AA216" s="55">
        <f t="shared" si="1571"/>
        <v>79427.694527821004</v>
      </c>
      <c r="AB216" s="55">
        <f t="shared" si="1571"/>
        <v>78323.906051367288</v>
      </c>
      <c r="AC216" s="55">
        <f t="shared" si="1571"/>
        <v>77573.752159190291</v>
      </c>
      <c r="AD216" s="55">
        <f t="shared" si="1571"/>
        <v>78196.667962882682</v>
      </c>
      <c r="AE216" s="55">
        <f t="shared" si="1571"/>
        <v>79277.824527163859</v>
      </c>
      <c r="AF216" s="55">
        <f t="shared" si="1571"/>
        <v>77084.18919773103</v>
      </c>
      <c r="AG216" s="55">
        <f t="shared" si="1571"/>
        <v>77808.799011128547</v>
      </c>
      <c r="AH216" s="55">
        <f t="shared" si="1571"/>
        <v>80306.209102862529</v>
      </c>
      <c r="AI216" s="55">
        <f t="shared" si="1571"/>
        <v>81490.327519810598</v>
      </c>
      <c r="AJ216" s="55">
        <f t="shared" si="1571"/>
        <v>82641.866515695743</v>
      </c>
      <c r="AK216" s="55">
        <f t="shared" si="1571"/>
        <v>83524.200082227879</v>
      </c>
      <c r="AL216" s="55">
        <f t="shared" si="1571"/>
        <v>83804.106523133232</v>
      </c>
      <c r="AM216" s="55">
        <f t="shared" si="1571"/>
        <v>84308.496005119785</v>
      </c>
      <c r="AN216" s="55">
        <f t="shared" si="1571"/>
        <v>84892.544144925807</v>
      </c>
      <c r="AO216" s="55">
        <f t="shared" si="1571"/>
        <v>85060.668161928552</v>
      </c>
      <c r="AP216" s="55">
        <f t="shared" si="1571"/>
        <v>86275.476186095664</v>
      </c>
      <c r="AQ216" s="55">
        <f t="shared" si="1571"/>
        <v>90876.286292489531</v>
      </c>
      <c r="AR216" s="55">
        <f t="shared" si="1571"/>
        <v>96726.111390203776</v>
      </c>
      <c r="AS216" s="55">
        <f t="shared" si="1571"/>
        <v>102765.99907962876</v>
      </c>
      <c r="AT216" s="55">
        <f t="shared" si="1571"/>
        <v>109055.08201429274</v>
      </c>
      <c r="AU216" s="55">
        <f t="shared" si="1571"/>
        <v>114802.0026140581</v>
      </c>
      <c r="AV216" s="55">
        <f t="shared" si="1571"/>
        <v>119594.53533529874</v>
      </c>
      <c r="AW216" s="55">
        <f t="shared" si="1571"/>
        <v>125584.46986371074</v>
      </c>
      <c r="AX216" s="55">
        <f t="shared" si="1571"/>
        <v>132291.33667297178</v>
      </c>
      <c r="AY216" s="55">
        <f t="shared" si="1571"/>
        <v>139598.82497272055</v>
      </c>
      <c r="AZ216" s="56">
        <f t="shared" si="1571"/>
        <v>146558.22946424916</v>
      </c>
      <c r="BA216" s="55">
        <f t="shared" ref="BA216:BN216" si="1572">AZ216*(1+((BA158/AZ158)-1))+(BA$213*AZ216)</f>
        <v>153211.97308192606</v>
      </c>
      <c r="BB216" s="55">
        <f t="shared" si="1572"/>
        <v>158608.86483373685</v>
      </c>
      <c r="BC216" s="55">
        <f t="shared" si="1572"/>
        <v>163402.81777333652</v>
      </c>
      <c r="BD216" s="55">
        <f t="shared" si="1572"/>
        <v>166687.21441058058</v>
      </c>
      <c r="BE216" s="55">
        <f t="shared" si="1572"/>
        <v>170037.62742023324</v>
      </c>
      <c r="BF216" s="55">
        <f t="shared" si="1572"/>
        <v>173455.38373137993</v>
      </c>
      <c r="BG216" s="55">
        <f t="shared" si="1572"/>
        <v>176941.83694438066</v>
      </c>
      <c r="BH216" s="55">
        <f t="shared" si="1572"/>
        <v>180498.36786696271</v>
      </c>
      <c r="BI216" s="55">
        <f t="shared" si="1572"/>
        <v>184126.38506108866</v>
      </c>
      <c r="BJ216" s="55">
        <f t="shared" si="1572"/>
        <v>187827.32540081654</v>
      </c>
      <c r="BK216" s="55">
        <f t="shared" si="1572"/>
        <v>191602.65464137297</v>
      </c>
      <c r="BL216" s="55">
        <f t="shared" si="1572"/>
        <v>195453.86799966457</v>
      </c>
      <c r="BM216" s="55">
        <f t="shared" si="1572"/>
        <v>199382.49074645783</v>
      </c>
      <c r="BN216" s="55">
        <f t="shared" si="1572"/>
        <v>203390.07881046162</v>
      </c>
      <c r="BO216" s="55">
        <f t="shared" si="1567"/>
        <v>207478.21939455191</v>
      </c>
      <c r="BP216" s="55">
        <f t="shared" si="1567"/>
        <v>211648.53160438241</v>
      </c>
      <c r="BQ216" s="55">
        <f t="shared" si="1567"/>
        <v>215902.6670896305</v>
      </c>
      <c r="BR216" s="55"/>
      <c r="BS216" s="55">
        <f t="shared" si="1568"/>
        <v>14586.987129515403</v>
      </c>
      <c r="BT216" s="55">
        <f t="shared" si="1568"/>
        <v>13686.879373773245</v>
      </c>
      <c r="BU216" s="55">
        <f t="shared" si="1568"/>
        <v>12654.337220177737</v>
      </c>
      <c r="BV216" s="55">
        <f t="shared" si="1568"/>
        <v>11451.510650688451</v>
      </c>
      <c r="BW216" s="55">
        <f t="shared" si="1568"/>
        <v>11951.579655123271</v>
      </c>
      <c r="BX216" s="55">
        <f t="shared" si="1568"/>
        <v>14091.603982376531</v>
      </c>
      <c r="BY216" s="55">
        <f t="shared" si="1568"/>
        <v>15355.93902378538</v>
      </c>
      <c r="BZ216" s="55">
        <f t="shared" si="1568"/>
        <v>17342.757251152339</v>
      </c>
      <c r="CA216" s="55">
        <f t="shared" si="1568"/>
        <v>20682.892165375051</v>
      </c>
      <c r="CB216" s="55">
        <f t="shared" si="1568"/>
        <v>25737.612277841574</v>
      </c>
      <c r="CC216" s="55">
        <f>SUMPRODUCT(D216:E216,D$5:E$5)/SUM(D$5:E$5)</f>
        <v>26128.537675943891</v>
      </c>
      <c r="CD216" s="55">
        <f>SUMPRODUCT(F216:G216,F$5:G$5)/SUM(F$5:G$5)</f>
        <v>23940.904197555952</v>
      </c>
      <c r="CE216" s="55">
        <f>SUMPRODUCT(H216:I216,H$5:I$5)/SUM(H$5:I$5)</f>
        <v>25046.115346838593</v>
      </c>
      <c r="CF216" s="55">
        <f>SUMPRODUCT(J216:K216,J$5:K$5)/SUM(J$5:K$5)</f>
        <v>28081.942953702284</v>
      </c>
      <c r="CG216" s="55">
        <f t="shared" ref="CG216:CL218" si="1573">CG$219*AVERAGE(CF158:CG158)/AVERAGE(CF$161:CG$161)</f>
        <v>33446.665050764299</v>
      </c>
      <c r="CH216" s="55">
        <f t="shared" si="1573"/>
        <v>43366.983226181728</v>
      </c>
      <c r="CI216" s="55">
        <f t="shared" si="1573"/>
        <v>51004.115648395025</v>
      </c>
      <c r="CJ216" s="55">
        <f t="shared" si="1573"/>
        <v>62478.791118798144</v>
      </c>
      <c r="CK216" s="55">
        <f t="shared" si="1573"/>
        <v>64612.912217154611</v>
      </c>
      <c r="CL216" s="55">
        <f t="shared" si="1573"/>
        <v>69215.150367485912</v>
      </c>
      <c r="CM216" s="55">
        <f t="shared" ref="CM216:CV216" si="1574">CM$219*AVERAGE(CL158:CM158)/AVERAGE(CL$161:CM$161)</f>
        <v>71075.267704020807</v>
      </c>
      <c r="CN216" s="55">
        <f t="shared" si="1574"/>
        <v>72916.455020841851</v>
      </c>
      <c r="CO216" s="55">
        <f t="shared" si="1574"/>
        <v>73826.339868784737</v>
      </c>
      <c r="CP216" s="55">
        <f t="shared" si="1574"/>
        <v>75784.109414913342</v>
      </c>
      <c r="CQ216" s="55">
        <f t="shared" si="1574"/>
        <v>76642.511164905329</v>
      </c>
      <c r="CR216" s="55">
        <f t="shared" si="1574"/>
        <v>79642.227678116978</v>
      </c>
      <c r="CS216" s="55">
        <f t="shared" si="1574"/>
        <v>82791.895236150725</v>
      </c>
      <c r="CT216" s="55">
        <f t="shared" si="1574"/>
        <v>84568.954831403244</v>
      </c>
      <c r="CU216" s="55">
        <f t="shared" si="1574"/>
        <v>85310.409391243986</v>
      </c>
      <c r="CV216" s="55">
        <f t="shared" si="1574"/>
        <v>89090.374639340851</v>
      </c>
      <c r="CW216" s="55">
        <f>SUMPRODUCT(AR216:AS216,AR$5:AS$5)/SUM(AR$5:AS$5)</f>
        <v>99770.876691174184</v>
      </c>
      <c r="CX216" s="55">
        <f>SUMPRODUCT(AT216:AU216,AT$5:AU$5)/SUM(AT$5:AU$5)</f>
        <v>111952.15979609228</v>
      </c>
      <c r="CY216" s="55">
        <f>SUMPRODUCT(AV216:AW216,AV$5:AW$5)/SUM(AV$5:AW$5)</f>
        <v>122605.8685408392</v>
      </c>
      <c r="CZ216" s="56">
        <f>SUMPRODUCT(AX216:AY216,AX$5:AY$5)/SUM(AX$5:AY$5)</f>
        <v>135975.11159668074</v>
      </c>
      <c r="DA216" s="55">
        <f>SUMPRODUCT(AZ216:BA216,AZ$5:BA$5)/SUM(AZ$5:BA$5)</f>
        <v>149912.44542494105</v>
      </c>
      <c r="DB216" s="55">
        <f>SUMPRODUCT(BB216:BC216,BB$5:BC$5)/SUM(BB$5:BC$5)</f>
        <v>161025.54248000079</v>
      </c>
      <c r="DC216" s="55">
        <f>SUMPRODUCT(BD216:BE216,BD$5:BE$5)/SUM(BD$5:BE$5)</f>
        <v>168371.57504931311</v>
      </c>
      <c r="DD216" s="55">
        <f>SUMPRODUCT(BF216:BG216,BF$5:BG$5)/SUM(BF$5:BG$5)</f>
        <v>175212.93822779672</v>
      </c>
      <c r="DE216" s="55">
        <f>SUMPRODUCT(BH216:BI216,BH$5:BI$5)/SUM(BH$5:BI$5)</f>
        <v>182327.28612372756</v>
      </c>
      <c r="DF216" s="55">
        <f>SUMPRODUCT(BJ216:BK216,BJ$5:BK$5)/SUM(BJ$5:BK$5)</f>
        <v>189730.50507276828</v>
      </c>
      <c r="DG216" s="55">
        <f>SUMPRODUCT(BL216:BM216,BL$5:BM$5)/SUM(BL$5:BM$5)</f>
        <v>197428.91331499233</v>
      </c>
      <c r="DH216" s="55">
        <f>SUMPRODUCT(BN216:BO216,BN$5:BO$5)/SUM(BN$5:BO$5)</f>
        <v>205450.94968024959</v>
      </c>
      <c r="DI216" s="55">
        <f>SUMPRODUCT(BP216:BQ216,BP$5:BQ$5)/SUM(BP$5:BQ$5)</f>
        <v>213793.08209557598</v>
      </c>
    </row>
    <row r="217" spans="1:119" outlineLevel="1">
      <c r="A217" s="1" t="s">
        <v>395</v>
      </c>
      <c r="B217" s="19" t="s">
        <v>166</v>
      </c>
      <c r="C217" s="55">
        <f t="shared" si="1563"/>
        <v>18574.918842101553</v>
      </c>
      <c r="D217" s="55">
        <f t="shared" si="1563"/>
        <v>17524.320333090429</v>
      </c>
      <c r="E217" s="55">
        <f t="shared" si="1563"/>
        <v>16116.127519659885</v>
      </c>
      <c r="F217" s="55">
        <f t="shared" si="1563"/>
        <v>15656.253877628307</v>
      </c>
      <c r="G217" s="55">
        <f t="shared" si="1563"/>
        <v>15161.084347034928</v>
      </c>
      <c r="H217" s="55">
        <f t="shared" si="1563"/>
        <v>15700.092544962466</v>
      </c>
      <c r="I217" s="55">
        <f t="shared" si="1563"/>
        <v>12381.860844841047</v>
      </c>
      <c r="J217" s="55">
        <f t="shared" si="1563"/>
        <v>13065.502024664776</v>
      </c>
      <c r="K217" s="55">
        <f t="shared" si="1563"/>
        <v>17496.813017457374</v>
      </c>
      <c r="L217" s="55">
        <f t="shared" si="1563"/>
        <v>17822.911480903615</v>
      </c>
      <c r="M217" s="55">
        <f t="shared" ref="M217:U217" si="1575">M$219*AVERAGE(L159:M159)/AVERAGE(L$161:M$161)</f>
        <v>17961.456682730764</v>
      </c>
      <c r="N217" s="55">
        <f t="shared" si="1575"/>
        <v>18538.449009786538</v>
      </c>
      <c r="O217" s="55">
        <f t="shared" si="1575"/>
        <v>27043.137610587397</v>
      </c>
      <c r="P217" s="55">
        <f t="shared" si="1575"/>
        <v>37507.712647284454</v>
      </c>
      <c r="Q217" s="55">
        <f t="shared" si="1575"/>
        <v>43266.750579352025</v>
      </c>
      <c r="R217" s="55">
        <f t="shared" si="1575"/>
        <v>64204.042496801834</v>
      </c>
      <c r="S217" s="55">
        <f t="shared" si="1575"/>
        <v>71990.61127088168</v>
      </c>
      <c r="T217" s="55">
        <f t="shared" si="1575"/>
        <v>68513.000661337603</v>
      </c>
      <c r="U217" s="55">
        <f t="shared" si="1575"/>
        <v>64747.188876480708</v>
      </c>
      <c r="V217" s="55">
        <f t="shared" ref="V217:Y218" si="1576">V$219*AVERAGE(U159:V159)/AVERAGE(SUM(U$161,U$179),SUM(V$161,V$179))</f>
        <v>62490.691175505068</v>
      </c>
      <c r="W217" s="55">
        <f t="shared" si="1576"/>
        <v>60034.606640523722</v>
      </c>
      <c r="X217" s="55">
        <f t="shared" si="1576"/>
        <v>59306.566039415004</v>
      </c>
      <c r="Y217" s="55">
        <f t="shared" si="1576"/>
        <v>60676.283800548525</v>
      </c>
      <c r="Z217" s="55">
        <f t="shared" ref="Z217:AZ217" si="1577">Z$219*AVERAGE(Y159:Z159)/AVERAGE(SUM(Y$161,Y$179),SUM(Z$161,Z$179))</f>
        <v>61472.741926074923</v>
      </c>
      <c r="AA217" s="55">
        <f t="shared" si="1577"/>
        <v>61530.330571918079</v>
      </c>
      <c r="AB217" s="55">
        <f t="shared" si="1577"/>
        <v>64562.037913738757</v>
      </c>
      <c r="AC217" s="55">
        <f t="shared" si="1577"/>
        <v>67837.766507672844</v>
      </c>
      <c r="AD217" s="55">
        <f t="shared" si="1577"/>
        <v>69805.428960789519</v>
      </c>
      <c r="AE217" s="55">
        <f t="shared" si="1577"/>
        <v>72965.74106854992</v>
      </c>
      <c r="AF217" s="55">
        <f t="shared" si="1577"/>
        <v>76895.076742328223</v>
      </c>
      <c r="AG217" s="55">
        <f t="shared" si="1577"/>
        <v>81936.03246407742</v>
      </c>
      <c r="AH217" s="55">
        <f t="shared" si="1577"/>
        <v>81584.888625381209</v>
      </c>
      <c r="AI217" s="55">
        <f t="shared" si="1577"/>
        <v>80594.322401554629</v>
      </c>
      <c r="AJ217" s="55">
        <f t="shared" si="1577"/>
        <v>80053.355473269301</v>
      </c>
      <c r="AK217" s="55">
        <f t="shared" si="1577"/>
        <v>76069.563496871502</v>
      </c>
      <c r="AL217" s="55">
        <f t="shared" si="1577"/>
        <v>73777.235791869316</v>
      </c>
      <c r="AM217" s="55">
        <f t="shared" si="1577"/>
        <v>70183.3042935212</v>
      </c>
      <c r="AN217" s="55">
        <f t="shared" si="1577"/>
        <v>67413.112450851899</v>
      </c>
      <c r="AO217" s="55">
        <f t="shared" si="1577"/>
        <v>70214.195981886136</v>
      </c>
      <c r="AP217" s="55">
        <f t="shared" si="1577"/>
        <v>69865.691842529006</v>
      </c>
      <c r="AQ217" s="55">
        <f t="shared" si="1577"/>
        <v>65324.106092794413</v>
      </c>
      <c r="AR217" s="55">
        <f t="shared" si="1577"/>
        <v>62612.079393709631</v>
      </c>
      <c r="AS217" s="55">
        <f t="shared" si="1577"/>
        <v>66905.840588638006</v>
      </c>
      <c r="AT217" s="55">
        <f t="shared" si="1577"/>
        <v>74641.94703574208</v>
      </c>
      <c r="AU217" s="55">
        <f t="shared" si="1577"/>
        <v>76936.032192389699</v>
      </c>
      <c r="AV217" s="55">
        <f t="shared" si="1577"/>
        <v>72726.400530304847</v>
      </c>
      <c r="AW217" s="55">
        <f>AW$219*AVERAGE(AV159:AW159)/AVERAGE(SUM(AV$161,AV$179),SUM(AW$161,AW$179))</f>
        <v>67607.933363599528</v>
      </c>
      <c r="AX217" s="55">
        <f t="shared" si="1577"/>
        <v>64168.365503336172</v>
      </c>
      <c r="AY217" s="55">
        <f t="shared" si="1577"/>
        <v>64856.967246844819</v>
      </c>
      <c r="AZ217" s="56">
        <f t="shared" si="1577"/>
        <v>69220.649806807589</v>
      </c>
      <c r="BA217" s="55">
        <f t="shared" si="1567"/>
        <v>72363.267308036651</v>
      </c>
      <c r="BB217" s="55">
        <f t="shared" si="1567"/>
        <v>74912.263398962212</v>
      </c>
      <c r="BC217" s="55">
        <f t="shared" si="1567"/>
        <v>77176.48656019583</v>
      </c>
      <c r="BD217" s="55">
        <f t="shared" si="1567"/>
        <v>78727.733940055768</v>
      </c>
      <c r="BE217" s="55">
        <f t="shared" si="1567"/>
        <v>80310.161392250884</v>
      </c>
      <c r="BF217" s="55">
        <f t="shared" si="1567"/>
        <v>81924.395636235131</v>
      </c>
      <c r="BG217" s="55">
        <f t="shared" si="1567"/>
        <v>83571.075988523458</v>
      </c>
      <c r="BH217" s="55">
        <f t="shared" si="1567"/>
        <v>85250.854615892778</v>
      </c>
      <c r="BI217" s="55">
        <f t="shared" si="1567"/>
        <v>86964.396793672218</v>
      </c>
      <c r="BJ217" s="55">
        <f t="shared" si="1567"/>
        <v>88712.381169225031</v>
      </c>
      <c r="BK217" s="55">
        <f t="shared" si="1567"/>
        <v>90495.500030726456</v>
      </c>
      <c r="BL217" s="55">
        <f t="shared" si="1567"/>
        <v>92314.459581344054</v>
      </c>
      <c r="BM217" s="55">
        <f t="shared" si="1567"/>
        <v>94169.980218929064</v>
      </c>
      <c r="BN217" s="55">
        <f t="shared" si="1567"/>
        <v>96062.796821329539</v>
      </c>
      <c r="BO217" s="55">
        <f t="shared" si="1567"/>
        <v>97993.659037438265</v>
      </c>
      <c r="BP217" s="55">
        <f t="shared" si="1567"/>
        <v>99963.331584090774</v>
      </c>
      <c r="BQ217" s="55">
        <f t="shared" si="1567"/>
        <v>101972.594548931</v>
      </c>
      <c r="BR217" s="55"/>
      <c r="BS217" s="55">
        <f t="shared" si="1568"/>
        <v>11730.590823987683</v>
      </c>
      <c r="BT217" s="55">
        <f t="shared" si="1568"/>
        <v>11006.740471179433</v>
      </c>
      <c r="BU217" s="55">
        <f t="shared" si="1568"/>
        <v>10176.388774505911</v>
      </c>
      <c r="BV217" s="55">
        <f t="shared" si="1568"/>
        <v>9209.0974350661454</v>
      </c>
      <c r="BW217" s="55">
        <f t="shared" si="1568"/>
        <v>9611.2438702895124</v>
      </c>
      <c r="BX217" s="55">
        <f t="shared" si="1568"/>
        <v>11332.212670323099</v>
      </c>
      <c r="BY217" s="55">
        <f t="shared" si="1568"/>
        <v>12348.968008729256</v>
      </c>
      <c r="BZ217" s="55">
        <f t="shared" si="1568"/>
        <v>13946.731238376842</v>
      </c>
      <c r="CA217" s="55">
        <f t="shared" si="1568"/>
        <v>16632.80723390447</v>
      </c>
      <c r="CB217" s="55">
        <f t="shared" si="1568"/>
        <v>21800.79944473664</v>
      </c>
      <c r="CC217" s="55">
        <f>SUMPRODUCT(D217:E217,D$5:E$5)/SUM(D$5:E$5)</f>
        <v>16814.43683262133</v>
      </c>
      <c r="CD217" s="55">
        <f>SUMPRODUCT(F217:G217,F$5:G$5)/SUM(F$5:G$5)</f>
        <v>15406.634169055205</v>
      </c>
      <c r="CE217" s="55">
        <f>SUMPRODUCT(H217:I217,H$5:I$5)/SUM(H$5:I$5)</f>
        <v>14031.910488070824</v>
      </c>
      <c r="CF217" s="55">
        <f>SUMPRODUCT(J217:K217,J$5:K$5)/SUM(J$5:K$5)</f>
        <v>15299.368388154744</v>
      </c>
      <c r="CG217" s="55">
        <f t="shared" si="1573"/>
        <v>18025.181411675429</v>
      </c>
      <c r="CH217" s="55">
        <f t="shared" si="1573"/>
        <v>26763.535251264264</v>
      </c>
      <c r="CI217" s="55">
        <f t="shared" si="1573"/>
        <v>39566.730282755067</v>
      </c>
      <c r="CJ217" s="55">
        <f t="shared" si="1573"/>
        <v>61696.969997620319</v>
      </c>
      <c r="CK217" s="55">
        <f t="shared" si="1573"/>
        <v>67245.673037964167</v>
      </c>
      <c r="CL217" s="55">
        <f t="shared" si="1573"/>
        <v>62305.764323822521</v>
      </c>
      <c r="CM217" s="55">
        <f t="shared" ref="CM217:CV217" si="1578">CM$219*AVERAGE(CL159:CM159)/AVERAGE(CL$161:CM$161)</f>
        <v>61274.448189726572</v>
      </c>
      <c r="CN217" s="55">
        <f t="shared" si="1578"/>
        <v>62738.454128870319</v>
      </c>
      <c r="CO217" s="55">
        <f t="shared" si="1578"/>
        <v>66270.707787868669</v>
      </c>
      <c r="CP217" s="55">
        <f t="shared" si="1578"/>
        <v>72341.786467243292</v>
      </c>
      <c r="CQ217" s="55">
        <f t="shared" si="1578"/>
        <v>77991.249857439092</v>
      </c>
      <c r="CR217" s="55">
        <f t="shared" si="1578"/>
        <v>82393.831305394153</v>
      </c>
      <c r="CS217" s="55">
        <f t="shared" si="1578"/>
        <v>77975.90274171553</v>
      </c>
      <c r="CT217" s="55">
        <f t="shared" si="1578"/>
        <v>70574.378300116441</v>
      </c>
      <c r="CU217" s="55">
        <f t="shared" si="1578"/>
        <v>69701.909011761687</v>
      </c>
      <c r="CV217" s="55">
        <f t="shared" si="1578"/>
        <v>67088.383116689962</v>
      </c>
      <c r="CW217" s="55">
        <f>SUMPRODUCT(AR217:AS217,AR$5:AS$5)/SUM(AR$5:AS$5)</f>
        <v>64776.605585125581</v>
      </c>
      <c r="CX217" s="55">
        <f>SUMPRODUCT(AT217:AU217,AT$5:AU$5)/SUM(AT$5:AU$5)</f>
        <v>75798.417361284985</v>
      </c>
      <c r="CY217" s="55">
        <f>SUMPRODUCT(AV217:AW217,AV$5:AW$5)/SUM(AV$5:AW$5)</f>
        <v>70153.18206398304</v>
      </c>
      <c r="CZ217" s="56">
        <f>SUMPRODUCT(AX217:AY217,AX$5:AY$5)/SUM(AX$5:AY$5)</f>
        <v>64515.4962452693</v>
      </c>
      <c r="DA217" s="55">
        <f>SUMPRODUCT(AZ217:BA217,AZ$5:BA$5)/SUM(AZ$5:BA$5)</f>
        <v>70804.873423865516</v>
      </c>
      <c r="DB217" s="55">
        <f>SUMPRODUCT(BB217:BC217,BB$5:BC$5)/SUM(BB$5:BC$5)</f>
        <v>76053.680006269031</v>
      </c>
      <c r="DC217" s="55">
        <f>SUMPRODUCT(BD217:BE217,BD$5:BE$5)/SUM(BD$5:BE$5)</f>
        <v>79523.271238427085</v>
      </c>
      <c r="DD217" s="55">
        <f>SUMPRODUCT(BF217:BG217,BF$5:BG$5)/SUM(BF$5:BG$5)</f>
        <v>82754.502991909249</v>
      </c>
      <c r="DE217" s="55">
        <f>SUMPRODUCT(BH217:BI217,BH$5:BI$5)/SUM(BH$5:BI$5)</f>
        <v>86114.667658937746</v>
      </c>
      <c r="DF217" s="55">
        <f>SUMPRODUCT(BJ217:BK217,BJ$5:BK$5)/SUM(BJ$5:BK$5)</f>
        <v>89611.268485707944</v>
      </c>
      <c r="DG217" s="55">
        <f>SUMPRODUCT(BL217:BM217,BL$5:BM$5)/SUM(BL$5:BM$5)</f>
        <v>93247.289628654558</v>
      </c>
      <c r="DH217" s="55">
        <f>SUMPRODUCT(BN217:BO217,BN$5:BO$5)/SUM(BN$5:BO$5)</f>
        <v>97036.162979587098</v>
      </c>
      <c r="DI217" s="55">
        <f>SUMPRODUCT(BP217:BQ217,BP$5:BQ$5)/SUM(BP$5:BQ$5)</f>
        <v>100976.22031157187</v>
      </c>
    </row>
    <row r="218" spans="1:119" outlineLevel="1">
      <c r="A218" s="1" t="s">
        <v>396</v>
      </c>
      <c r="B218" s="19" t="s">
        <v>167</v>
      </c>
      <c r="C218" s="55">
        <f t="shared" si="1563"/>
        <v>7268.3064161585999</v>
      </c>
      <c r="D218" s="55">
        <f t="shared" si="1563"/>
        <v>9083.1277552632037</v>
      </c>
      <c r="E218" s="55">
        <f t="shared" si="1563"/>
        <v>10978.404755756907</v>
      </c>
      <c r="F218" s="55">
        <f t="shared" si="1563"/>
        <v>11534.006079167162</v>
      </c>
      <c r="G218" s="55">
        <f t="shared" si="1563"/>
        <v>11845.534378126287</v>
      </c>
      <c r="H218" s="55">
        <f t="shared" si="1563"/>
        <v>12080.096630729618</v>
      </c>
      <c r="I218" s="55">
        <f t="shared" si="1563"/>
        <v>12478.016556737111</v>
      </c>
      <c r="J218" s="55">
        <f t="shared" si="1563"/>
        <v>13859.685213345405</v>
      </c>
      <c r="K218" s="55">
        <f t="shared" si="1563"/>
        <v>14765.876208333557</v>
      </c>
      <c r="L218" s="55">
        <f t="shared" si="1563"/>
        <v>15238.397966088052</v>
      </c>
      <c r="M218" s="55">
        <f t="shared" ref="M218:U218" si="1579">M$219*AVERAGE(L160:M160)/AVERAGE(L$161:M$161)</f>
        <v>15961.660615849578</v>
      </c>
      <c r="N218" s="55">
        <f t="shared" si="1579"/>
        <v>17320.866014677573</v>
      </c>
      <c r="O218" s="55">
        <f t="shared" si="1579"/>
        <v>19313.04318366701</v>
      </c>
      <c r="P218" s="55">
        <f t="shared" si="1579"/>
        <v>19864.203311389083</v>
      </c>
      <c r="Q218" s="55">
        <f t="shared" si="1579"/>
        <v>19984.056690979996</v>
      </c>
      <c r="R218" s="55">
        <f t="shared" si="1579"/>
        <v>20663.564755327083</v>
      </c>
      <c r="S218" s="55">
        <f t="shared" si="1579"/>
        <v>18672.260915369749</v>
      </c>
      <c r="T218" s="55">
        <f t="shared" si="1579"/>
        <v>19499.492385153426</v>
      </c>
      <c r="U218" s="55">
        <f t="shared" si="1579"/>
        <v>19973.962651874968</v>
      </c>
      <c r="V218" s="55">
        <f t="shared" si="1576"/>
        <v>20035.141758165064</v>
      </c>
      <c r="W218" s="55">
        <f t="shared" si="1576"/>
        <v>20263.578125543383</v>
      </c>
      <c r="X218" s="55">
        <f t="shared" si="1576"/>
        <v>20347.762938017426</v>
      </c>
      <c r="Y218" s="55">
        <f t="shared" si="1576"/>
        <v>20343.074247225883</v>
      </c>
      <c r="Z218" s="55">
        <f t="shared" ref="Z218:AZ218" si="1580">Z$219*AVERAGE(Y160:Z160)/AVERAGE(SUM(Y$161,Y$179),SUM(Z$161,Z$179))</f>
        <v>20724.003368347592</v>
      </c>
      <c r="AA218" s="55">
        <f t="shared" si="1580"/>
        <v>20979.296856175952</v>
      </c>
      <c r="AB218" s="55">
        <f t="shared" si="1580"/>
        <v>21485.096417665311</v>
      </c>
      <c r="AC218" s="55">
        <f t="shared" si="1580"/>
        <v>21932.108162363147</v>
      </c>
      <c r="AD218" s="55">
        <f t="shared" si="1580"/>
        <v>22444.991991012033</v>
      </c>
      <c r="AE218" s="55">
        <f t="shared" si="1580"/>
        <v>22676.153595221105</v>
      </c>
      <c r="AF218" s="55">
        <f t="shared" si="1580"/>
        <v>21907.280670028755</v>
      </c>
      <c r="AG218" s="55">
        <f t="shared" si="1580"/>
        <v>21766.563270416511</v>
      </c>
      <c r="AH218" s="55">
        <f t="shared" si="1580"/>
        <v>21619.242080036929</v>
      </c>
      <c r="AI218" s="55">
        <f t="shared" si="1580"/>
        <v>21330.442469491547</v>
      </c>
      <c r="AJ218" s="55">
        <f t="shared" si="1580"/>
        <v>21195.734654803822</v>
      </c>
      <c r="AK218" s="55">
        <f t="shared" si="1580"/>
        <v>20946.561954348523</v>
      </c>
      <c r="AL218" s="55">
        <f t="shared" si="1580"/>
        <v>20458.753729963559</v>
      </c>
      <c r="AM218" s="55">
        <f t="shared" si="1580"/>
        <v>19773.362507569771</v>
      </c>
      <c r="AN218" s="55">
        <f t="shared" si="1580"/>
        <v>19040.58801905188</v>
      </c>
      <c r="AO218" s="55">
        <f t="shared" si="1580"/>
        <v>17335.962187170549</v>
      </c>
      <c r="AP218" s="55">
        <f t="shared" si="1580"/>
        <v>15470.957096851111</v>
      </c>
      <c r="AQ218" s="55">
        <f t="shared" si="1580"/>
        <v>14832.371272622891</v>
      </c>
      <c r="AR218" s="55">
        <f t="shared" si="1580"/>
        <v>14510.4653174225</v>
      </c>
      <c r="AS218" s="55">
        <f t="shared" si="1580"/>
        <v>14258.763088984315</v>
      </c>
      <c r="AT218" s="55">
        <f t="shared" si="1580"/>
        <v>14413.278787677124</v>
      </c>
      <c r="AU218" s="55">
        <f t="shared" si="1580"/>
        <v>14631.685672723655</v>
      </c>
      <c r="AV218" s="55">
        <f t="shared" si="1580"/>
        <v>14757.538348646209</v>
      </c>
      <c r="AW218" s="55">
        <f t="shared" si="1580"/>
        <v>14579.567417329121</v>
      </c>
      <c r="AX218" s="55">
        <f t="shared" si="1580"/>
        <v>14238.455465713276</v>
      </c>
      <c r="AY218" s="55">
        <f t="shared" si="1580"/>
        <v>14151.537454651712</v>
      </c>
      <c r="AZ218" s="56">
        <f t="shared" si="1580"/>
        <v>14071.18817593839</v>
      </c>
      <c r="BA218" s="55">
        <f t="shared" si="1567"/>
        <v>14354.019058274753</v>
      </c>
      <c r="BB218" s="55">
        <f t="shared" si="1567"/>
        <v>14533.98257221787</v>
      </c>
      <c r="BC218" s="55">
        <f t="shared" si="1567"/>
        <v>14679.685747504351</v>
      </c>
      <c r="BD218" s="55">
        <f t="shared" si="1567"/>
        <v>14826.849597123079</v>
      </c>
      <c r="BE218" s="55">
        <f t="shared" si="1567"/>
        <v>14975.488764334234</v>
      </c>
      <c r="BF218" s="55">
        <f t="shared" si="1567"/>
        <v>15125.618039196681</v>
      </c>
      <c r="BG218" s="55">
        <f t="shared" si="1567"/>
        <v>15277.252360039623</v>
      </c>
      <c r="BH218" s="55">
        <f t="shared" si="1567"/>
        <v>15430.406814949016</v>
      </c>
      <c r="BI218" s="55">
        <f t="shared" si="1567"/>
        <v>15585.096643268875</v>
      </c>
      <c r="BJ218" s="55">
        <f t="shared" si="1567"/>
        <v>15741.337237117641</v>
      </c>
      <c r="BK218" s="55">
        <f t="shared" si="1567"/>
        <v>15899.14414291974</v>
      </c>
      <c r="BL218" s="55">
        <f t="shared" si="1567"/>
        <v>16058.533062952507</v>
      </c>
      <c r="BM218" s="55">
        <f t="shared" si="1567"/>
        <v>16219.519856908602</v>
      </c>
      <c r="BN218" s="55">
        <f t="shared" si="1567"/>
        <v>16382.120543474106</v>
      </c>
      <c r="BO218" s="55">
        <f t="shared" si="1567"/>
        <v>16546.35130192243</v>
      </c>
      <c r="BP218" s="55">
        <f t="shared" si="1567"/>
        <v>16712.228473724197</v>
      </c>
      <c r="BQ218" s="55">
        <f t="shared" si="1567"/>
        <v>16879.768564173279</v>
      </c>
      <c r="BR218" s="55"/>
      <c r="BS218" s="55">
        <f t="shared" si="1568"/>
        <v>7052.7311267527803</v>
      </c>
      <c r="BT218" s="55">
        <f t="shared" si="1568"/>
        <v>6785.3905377519568</v>
      </c>
      <c r="BU218" s="55">
        <f t="shared" si="1568"/>
        <v>6811.3450511023611</v>
      </c>
      <c r="BV218" s="55">
        <f t="shared" si="1568"/>
        <v>7648.677307967705</v>
      </c>
      <c r="BW218" s="55">
        <f t="shared" si="1568"/>
        <v>7542.3557024737202</v>
      </c>
      <c r="BX218" s="55">
        <f t="shared" si="1568"/>
        <v>6755.4827906141509</v>
      </c>
      <c r="BY218" s="55">
        <f t="shared" si="1568"/>
        <v>7483.5743520054357</v>
      </c>
      <c r="BZ218" s="55">
        <f t="shared" si="1568"/>
        <v>9162.6817169166789</v>
      </c>
      <c r="CA218" s="55">
        <f t="shared" si="1568"/>
        <v>7854.9035961465388</v>
      </c>
      <c r="CB218" s="55">
        <f t="shared" si="1568"/>
        <v>7162.8106294760646</v>
      </c>
      <c r="CC218" s="55">
        <f>SUMPRODUCT(D218:E218,D$5:E$5)/SUM(D$5:E$5)</f>
        <v>10038.555065101125</v>
      </c>
      <c r="CD218" s="55">
        <f>SUMPRODUCT(F218:G218,F$5:G$5)/SUM(F$5:G$5)</f>
        <v>11691.050481930119</v>
      </c>
      <c r="CE218" s="55">
        <f>SUMPRODUCT(H218:I218,H$5:I$5)/SUM(H$5:I$5)</f>
        <v>12280.143806645954</v>
      </c>
      <c r="CF218" s="55">
        <f>SUMPRODUCT(J218:K218,J$5:K$5)/SUM(J$5:K$5)</f>
        <v>14316.504783421624</v>
      </c>
      <c r="CG218" s="55">
        <f t="shared" si="1573"/>
        <v>15832.097444081684</v>
      </c>
      <c r="CH218" s="55">
        <f t="shared" si="1573"/>
        <v>18668.560214980072</v>
      </c>
      <c r="CI218" s="55">
        <f t="shared" si="1573"/>
        <v>19731.019400859921</v>
      </c>
      <c r="CJ218" s="55">
        <f t="shared" si="1573"/>
        <v>20628.476667010174</v>
      </c>
      <c r="CK218" s="55">
        <f t="shared" si="1573"/>
        <v>19505.946656983553</v>
      </c>
      <c r="CL218" s="55">
        <f t="shared" si="1573"/>
        <v>20627.584538636667</v>
      </c>
      <c r="CM218" s="55">
        <f t="shared" ref="CM218:CV218" si="1581">CM$219*AVERAGE(CL160:CM160)/AVERAGE(CL$161:CM$161)</f>
        <v>20882.893252075413</v>
      </c>
      <c r="CN218" s="55">
        <f t="shared" si="1581"/>
        <v>21141.648952551441</v>
      </c>
      <c r="CO218" s="55">
        <f t="shared" si="1581"/>
        <v>21906.558940558272</v>
      </c>
      <c r="CP218" s="55">
        <f t="shared" si="1581"/>
        <v>22459.341683460956</v>
      </c>
      <c r="CQ218" s="55">
        <f t="shared" si="1581"/>
        <v>21750.943728223447</v>
      </c>
      <c r="CR218" s="55">
        <f t="shared" si="1581"/>
        <v>21426.282935872467</v>
      </c>
      <c r="CS218" s="55">
        <f t="shared" si="1581"/>
        <v>21040.53027165564</v>
      </c>
      <c r="CT218" s="55">
        <f t="shared" si="1581"/>
        <v>20152.2125715486</v>
      </c>
      <c r="CU218" s="55">
        <f t="shared" si="1581"/>
        <v>17737.354035111544</v>
      </c>
      <c r="CV218" s="55">
        <f t="shared" si="1581"/>
        <v>15206.542312382879</v>
      </c>
      <c r="CW218" s="55">
        <f>SUMPRODUCT(AR218:AS218,AR$5:AS$5)/SUM(AR$5:AS$5)</f>
        <v>14383.579810483798</v>
      </c>
      <c r="CX218" s="55">
        <f>SUMPRODUCT(AT218:AU218,AT$5:AU$5)/SUM(AT$5:AU$5)</f>
        <v>14523.379792741676</v>
      </c>
      <c r="CY218" s="55">
        <f>SUMPRODUCT(AV218:AW218,AV$5:AW$5)/SUM(AV$5:AW$5)</f>
        <v>14668.066623612483</v>
      </c>
      <c r="CZ218" s="56">
        <f>SUMPRODUCT(AX218:AY218,AX$5:AY$5)/SUM(AX$5:AY$5)</f>
        <v>14194.639262876761</v>
      </c>
      <c r="DA218" s="55">
        <f>SUMPRODUCT(AZ218:BA218,AZ$5:BA$5)/SUM(AZ$5:BA$5)</f>
        <v>14213.765935801104</v>
      </c>
      <c r="DB218" s="55">
        <f>SUMPRODUCT(BB218:BC218,BB$5:BC$5)/SUM(BB$5:BC$5)</f>
        <v>14607.432940033521</v>
      </c>
      <c r="DC218" s="55">
        <f>SUMPRODUCT(BD218:BE218,BD$5:BE$5)/SUM(BD$5:BE$5)</f>
        <v>14901.575298671856</v>
      </c>
      <c r="DD218" s="55">
        <f>SUMPRODUCT(BF218:BG218,BF$5:BG$5)/SUM(BF$5:BG$5)</f>
        <v>15202.058354361343</v>
      </c>
      <c r="DE218" s="55">
        <f>SUMPRODUCT(BH218:BI218,BH$5:BI$5)/SUM(BH$5:BI$5)</f>
        <v>15508.387440732178</v>
      </c>
      <c r="DF218" s="55">
        <f>SUMPRODUCT(BJ218:BK218,BJ$5:BK$5)/SUM(BJ$5:BK$5)</f>
        <v>15820.889211549384</v>
      </c>
      <c r="DG218" s="55">
        <f>SUMPRODUCT(BL218:BM218,BL$5:BM$5)/SUM(BL$5:BM$5)</f>
        <v>16139.466314558851</v>
      </c>
      <c r="DH218" s="55">
        <f>SUMPRODUCT(BN218:BO218,BN$5:BO$5)/SUM(BN$5:BO$5)</f>
        <v>16464.910843623398</v>
      </c>
      <c r="DI218" s="55">
        <f>SUMPRODUCT(BP218:BQ218,BP$5:BQ$5)/SUM(BP$5:BQ$5)</f>
        <v>16796.687039868393</v>
      </c>
    </row>
    <row r="219" spans="1:119" s="24" customFormat="1" outlineLevel="1">
      <c r="A219" s="1" t="s">
        <v>1122</v>
      </c>
      <c r="B219" s="24" t="s">
        <v>168</v>
      </c>
      <c r="C219" s="81">
        <v>119720</v>
      </c>
      <c r="D219" s="81">
        <f>121680+0</f>
        <v>121680</v>
      </c>
      <c r="E219" s="81">
        <f>124419+0</f>
        <v>124419</v>
      </c>
      <c r="F219" s="81">
        <f>129508+0</f>
        <v>129508</v>
      </c>
      <c r="G219" s="81">
        <f>134021+0</f>
        <v>134021</v>
      </c>
      <c r="H219" s="81">
        <f>144104+0</f>
        <v>144104</v>
      </c>
      <c r="I219" s="81">
        <f>154929+0</f>
        <v>154929</v>
      </c>
      <c r="J219" s="81">
        <f>166382+7227</f>
        <v>173609</v>
      </c>
      <c r="K219" s="81">
        <f>176197+9932</f>
        <v>186129</v>
      </c>
      <c r="L219" s="81">
        <f>186994+10013</f>
        <v>197007</v>
      </c>
      <c r="M219" s="81">
        <f>197262+11775</f>
        <v>209037</v>
      </c>
      <c r="N219" s="81">
        <f>213028+11647</f>
        <v>224675</v>
      </c>
      <c r="O219" s="81">
        <f>240438+15069</f>
        <v>255507</v>
      </c>
      <c r="P219" s="81">
        <f>261129+14405</f>
        <v>275534</v>
      </c>
      <c r="Q219" s="81">
        <f>285251+12438</f>
        <v>297689</v>
      </c>
      <c r="R219" s="81">
        <f>356970+15982</f>
        <v>372952</v>
      </c>
      <c r="S219" s="81">
        <f>384716+13767</f>
        <v>398483</v>
      </c>
      <c r="T219" s="81">
        <f>412941+11780</f>
        <v>424721</v>
      </c>
      <c r="U219" s="81">
        <f>426505+10141</f>
        <v>436646</v>
      </c>
      <c r="V219" s="81">
        <f>(458025*(V$5+W$5)-W219*W$5)/V$5</f>
        <v>455090.14917127078</v>
      </c>
      <c r="W219" s="81">
        <v>460912</v>
      </c>
      <c r="X219" s="81">
        <v>470445</v>
      </c>
      <c r="Y219" s="81">
        <v>479738</v>
      </c>
      <c r="Z219" s="81">
        <v>489189</v>
      </c>
      <c r="AA219" s="166">
        <v>493164</v>
      </c>
      <c r="AB219" s="166">
        <v>506021</v>
      </c>
      <c r="AC219" s="166">
        <v>519881</v>
      </c>
      <c r="AD219" s="166">
        <v>534095</v>
      </c>
      <c r="AE219" s="166">
        <v>550314</v>
      </c>
      <c r="AF219" s="166">
        <v>547493</v>
      </c>
      <c r="AG219" s="166">
        <v>560995</v>
      </c>
      <c r="AH219" s="166">
        <v>576123</v>
      </c>
      <c r="AI219" s="166">
        <v>586145</v>
      </c>
      <c r="AJ219" s="166">
        <v>596579</v>
      </c>
      <c r="AK219" s="166">
        <v>598119</v>
      </c>
      <c r="AL219" s="166">
        <v>601934</v>
      </c>
      <c r="AM219" s="166">
        <v>604877</v>
      </c>
      <c r="AN219" s="166">
        <v>610398</v>
      </c>
      <c r="AO219" s="166">
        <v>619613</v>
      </c>
      <c r="AP219" s="166">
        <v>622295</v>
      </c>
      <c r="AQ219" s="166">
        <v>633131</v>
      </c>
      <c r="AR219" s="166">
        <v>654786</v>
      </c>
      <c r="AS219" s="166">
        <v>681299</v>
      </c>
      <c r="AT219" s="166">
        <v>710369</v>
      </c>
      <c r="AU219" s="166">
        <v>730635</v>
      </c>
      <c r="AV219" s="166">
        <v>732671</v>
      </c>
      <c r="AW219" s="166">
        <v>736902</v>
      </c>
      <c r="AX219" s="166">
        <v>751730</v>
      </c>
      <c r="AY219" s="166">
        <v>777029</v>
      </c>
      <c r="AZ219" s="167">
        <v>806227</v>
      </c>
      <c r="BA219" s="82">
        <f t="shared" si="1567"/>
        <v>834037.53802803298</v>
      </c>
      <c r="BB219" s="82">
        <f t="shared" si="1567"/>
        <v>858341.25726981601</v>
      </c>
      <c r="BC219" s="82">
        <f t="shared" si="1567"/>
        <v>882767.39957017312</v>
      </c>
      <c r="BD219" s="82">
        <f t="shared" si="1567"/>
        <v>906072.49151322537</v>
      </c>
      <c r="BE219" s="82">
        <f t="shared" si="1567"/>
        <v>930011.26709250023</v>
      </c>
      <c r="BF219" s="82">
        <f t="shared" si="1567"/>
        <v>954601.31844491791</v>
      </c>
      <c r="BG219" s="82">
        <f t="shared" si="1567"/>
        <v>977091.86183124175</v>
      </c>
      <c r="BH219" s="82">
        <f t="shared" si="1567"/>
        <v>1000119.8326306847</v>
      </c>
      <c r="BI219" s="82">
        <f t="shared" si="1567"/>
        <v>1020068.8627957841</v>
      </c>
      <c r="BJ219" s="82">
        <f t="shared" si="1567"/>
        <v>1040417.3308480323</v>
      </c>
      <c r="BK219" s="82">
        <f t="shared" si="1567"/>
        <v>1061173.2500743289</v>
      </c>
      <c r="BL219" s="82">
        <f t="shared" si="1567"/>
        <v>1082344.7946741083</v>
      </c>
      <c r="BM219" s="82">
        <f t="shared" si="1567"/>
        <v>1103940.3029921334</v>
      </c>
      <c r="BN219" s="82">
        <f t="shared" si="1567"/>
        <v>1125968.2808162502</v>
      </c>
      <c r="BO219" s="82">
        <f t="shared" si="1567"/>
        <v>1148437.4047414146</v>
      </c>
      <c r="BP219" s="82">
        <f t="shared" si="1567"/>
        <v>1171356.5256013193</v>
      </c>
      <c r="BQ219" s="82">
        <f t="shared" si="1567"/>
        <v>1194734.6719689798</v>
      </c>
      <c r="BR219" s="82"/>
      <c r="BS219" s="81">
        <v>53232.9</v>
      </c>
      <c r="BT219" s="81">
        <v>51319.8</v>
      </c>
      <c r="BU219" s="81">
        <v>51855</v>
      </c>
      <c r="BV219" s="81">
        <v>53210</v>
      </c>
      <c r="BW219" s="81">
        <v>58304</v>
      </c>
      <c r="BX219" s="81">
        <v>67292</v>
      </c>
      <c r="BY219" s="81">
        <v>73797</v>
      </c>
      <c r="BZ219" s="81">
        <v>83350</v>
      </c>
      <c r="CA219" s="81">
        <v>94913</v>
      </c>
      <c r="CB219" s="81">
        <v>118917</v>
      </c>
      <c r="CC219" s="82">
        <f>SUMPRODUCT(D219:E219,D$5:E$5)/SUM(D$5:E$5)</f>
        <v>123060.75616438357</v>
      </c>
      <c r="CD219" s="82">
        <f>SUMPRODUCT(F219:G219,F$5:G$5)/SUM(F$5:G$5)</f>
        <v>131783.04657534248</v>
      </c>
      <c r="CE219" s="82">
        <f>SUMPRODUCT(H219:I219,H$5:I$5)/SUM(H$5:I$5)</f>
        <v>149546.07650273226</v>
      </c>
      <c r="CF219" s="82">
        <f>SUMPRODUCT(J219:K219,J$5:K$5)/SUM(J$5:K$5)</f>
        <v>179920.45205479453</v>
      </c>
      <c r="CG219" s="166">
        <f>192086+10887</f>
        <v>202973</v>
      </c>
      <c r="CH219" s="166">
        <f>234022+13344</f>
        <v>247366</v>
      </c>
      <c r="CI219" s="166">
        <f>273124+13427</f>
        <v>286551</v>
      </c>
      <c r="CJ219" s="166">
        <f>370729+14884</f>
        <v>385613</v>
      </c>
      <c r="CK219" s="166">
        <f>419667+10967</f>
        <v>430634</v>
      </c>
      <c r="CL219" s="166">
        <v>458025</v>
      </c>
      <c r="CM219" s="166">
        <v>475066</v>
      </c>
      <c r="CN219" s="166">
        <v>491160</v>
      </c>
      <c r="CO219" s="166">
        <v>512895</v>
      </c>
      <c r="CP219" s="166">
        <v>542138</v>
      </c>
      <c r="CQ219" s="166">
        <f>644747-CQ224-CQ229</f>
        <v>554206</v>
      </c>
      <c r="CR219" s="166">
        <f>680154-CR224-CR229</f>
        <v>581093</v>
      </c>
      <c r="CS219" s="166">
        <v>597343</v>
      </c>
      <c r="CT219" s="166">
        <v>603394</v>
      </c>
      <c r="CU219" s="166">
        <v>614980</v>
      </c>
      <c r="CV219" s="166">
        <v>627669</v>
      </c>
      <c r="CW219" s="166">
        <v>667934</v>
      </c>
      <c r="CX219" s="166">
        <v>720419</v>
      </c>
      <c r="CY219" s="166">
        <v>734774</v>
      </c>
      <c r="CZ219" s="167">
        <v>764275</v>
      </c>
      <c r="DA219" s="82">
        <f>SUMPRODUCT(AZ219:BA219,AZ$5:BA$5)/SUM(AZ$5:BA$5)</f>
        <v>820246.55889632343</v>
      </c>
      <c r="DB219" s="82">
        <f>SUMPRODUCT(BB219:BC219,BB$5:BC$5)/SUM(BB$5:BC$5)</f>
        <v>870654.70982670831</v>
      </c>
      <c r="DC219" s="82">
        <f>SUMPRODUCT(BD219:BE219,BD$5:BE$5)/SUM(BD$5:BE$5)</f>
        <v>918107.28579351655</v>
      </c>
      <c r="DD219" s="82">
        <f>SUMPRODUCT(BF219:BG219,BF$5:BG$5)/SUM(BF$5:BG$5)</f>
        <v>965939.01702870848</v>
      </c>
      <c r="DE219" s="82">
        <f>SUMPRODUCT(BH219:BI219,BH$5:BI$5)/SUM(BH$5:BI$5)</f>
        <v>1010176.3300289813</v>
      </c>
      <c r="DF219" s="82">
        <f>SUMPRODUCT(BJ219:BK219,BJ$5:BK$5)/SUM(BJ$5:BK$5)</f>
        <v>1050880.5887593708</v>
      </c>
      <c r="DG219" s="82">
        <f>SUMPRODUCT(BL219:BM219,BL$5:BM$5)/SUM(BL$5:BM$5)</f>
        <v>1093201.5529542086</v>
      </c>
      <c r="DH219" s="82">
        <f>SUMPRODUCT(BN219:BO219,BN$5:BO$5)/SUM(BN$5:BO$5)</f>
        <v>1137295.1816442783</v>
      </c>
      <c r="DI219" s="82">
        <f>SUMPRODUCT(BP219:BQ219,BP$5:BQ$5)/SUM(BP$5:BQ$5)</f>
        <v>1183141.6733592632</v>
      </c>
    </row>
    <row r="220" spans="1:119" outlineLevel="1">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5"/>
      <c r="AU220" s="55"/>
      <c r="AV220" s="55"/>
      <c r="AW220" s="55"/>
      <c r="AX220" s="55"/>
      <c r="AY220" s="55"/>
      <c r="AZ220" s="56"/>
      <c r="BA220" s="55"/>
      <c r="BB220" s="55"/>
      <c r="BC220" s="55"/>
      <c r="BD220" s="55"/>
      <c r="BE220" s="55"/>
      <c r="BF220" s="55"/>
      <c r="BG220" s="55"/>
      <c r="BH220" s="55"/>
      <c r="BI220" s="55"/>
      <c r="BJ220" s="55"/>
      <c r="BK220" s="55"/>
      <c r="BL220" s="55"/>
      <c r="BM220" s="55"/>
      <c r="BN220" s="55"/>
      <c r="BO220" s="55"/>
      <c r="BP220" s="55"/>
      <c r="BQ220" s="55"/>
      <c r="BR220" s="55"/>
      <c r="BS220" s="55"/>
      <c r="BT220" s="55"/>
      <c r="BU220" s="55"/>
      <c r="BV220" s="55"/>
      <c r="BW220" s="55"/>
      <c r="BX220" s="55"/>
      <c r="BY220" s="55"/>
      <c r="BZ220" s="55"/>
      <c r="CA220" s="55"/>
      <c r="CB220" s="55"/>
      <c r="CC220" s="55"/>
      <c r="CD220" s="55"/>
      <c r="CE220" s="55"/>
      <c r="CF220" s="55"/>
      <c r="CG220" s="55"/>
      <c r="CH220" s="55"/>
      <c r="CI220" s="55"/>
      <c r="CJ220" s="55"/>
      <c r="CK220" s="55"/>
      <c r="CL220" s="55"/>
      <c r="CM220" s="55"/>
      <c r="CN220" s="55"/>
      <c r="CO220" s="55"/>
      <c r="CP220" s="55"/>
      <c r="CQ220" s="55"/>
      <c r="CR220" s="55"/>
      <c r="CS220" s="55"/>
      <c r="CT220" s="55"/>
      <c r="CU220" s="55"/>
      <c r="CV220" s="55"/>
      <c r="CW220" s="55"/>
      <c r="CX220" s="55"/>
      <c r="CY220" s="55"/>
      <c r="CZ220" s="56"/>
      <c r="DA220" s="55"/>
      <c r="DB220" s="55"/>
    </row>
    <row r="221" spans="1:119" s="24" customFormat="1" outlineLevel="1">
      <c r="A221" s="1"/>
      <c r="B221" s="24" t="s">
        <v>406</v>
      </c>
      <c r="C221" s="82"/>
      <c r="D221" s="82"/>
      <c r="E221" s="82"/>
      <c r="F221" s="82"/>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c r="AV221" s="82"/>
      <c r="AW221" s="82"/>
      <c r="AX221" s="82"/>
      <c r="AY221" s="82"/>
      <c r="AZ221" s="83"/>
      <c r="BA221" s="82"/>
      <c r="BB221" s="82"/>
      <c r="BC221" s="82"/>
      <c r="BD221" s="82"/>
      <c r="BE221" s="82"/>
      <c r="BF221" s="82"/>
      <c r="BG221" s="82"/>
      <c r="BH221" s="82"/>
      <c r="BI221" s="82"/>
      <c r="BJ221" s="82"/>
      <c r="BK221" s="82"/>
      <c r="BL221" s="82"/>
      <c r="BM221" s="82"/>
      <c r="BN221" s="82"/>
      <c r="BO221" s="82"/>
      <c r="BP221" s="82"/>
      <c r="BQ221" s="82"/>
      <c r="BR221" s="82"/>
      <c r="BS221" s="82"/>
      <c r="BT221" s="82"/>
      <c r="BU221" s="82"/>
      <c r="BV221" s="82"/>
      <c r="BW221" s="82"/>
      <c r="BX221" s="82"/>
      <c r="BY221" s="82"/>
      <c r="BZ221" s="82"/>
      <c r="CA221" s="82"/>
      <c r="CB221" s="82"/>
      <c r="CC221" s="82"/>
      <c r="CD221" s="82"/>
      <c r="CE221" s="82"/>
      <c r="CF221" s="82"/>
      <c r="CG221" s="82"/>
      <c r="CH221" s="82"/>
      <c r="CI221" s="82"/>
      <c r="CJ221" s="82"/>
      <c r="CK221" s="82"/>
      <c r="CL221" s="82"/>
      <c r="CM221" s="82"/>
      <c r="CN221" s="82"/>
      <c r="CO221" s="82"/>
      <c r="CP221" s="82"/>
      <c r="CQ221" s="82"/>
      <c r="CR221" s="82"/>
      <c r="CS221" s="82"/>
      <c r="CT221" s="82"/>
      <c r="CU221" s="82"/>
      <c r="CV221" s="82"/>
      <c r="CW221" s="82"/>
      <c r="CX221" s="82"/>
      <c r="CY221" s="82"/>
      <c r="CZ221" s="83"/>
      <c r="DA221" s="82"/>
      <c r="DB221" s="82"/>
    </row>
    <row r="222" spans="1:119" outlineLevel="1">
      <c r="A222" s="1" t="s">
        <v>480</v>
      </c>
      <c r="B222" s="19" t="s">
        <v>164</v>
      </c>
      <c r="C222" s="55">
        <f t="shared" ref="C222:L222" si="1582">C$224*AVERAGE(B164:C164)/AVERAGE(B$167:C$167)</f>
        <v>8453.9166083099899</v>
      </c>
      <c r="D222" s="55">
        <f t="shared" si="1582"/>
        <v>8739.7682619647348</v>
      </c>
      <c r="E222" s="55">
        <f t="shared" si="1582"/>
        <v>9580.9263802172954</v>
      </c>
      <c r="F222" s="55">
        <f t="shared" si="1582"/>
        <v>11398.869138940583</v>
      </c>
      <c r="G222" s="55">
        <f t="shared" si="1582"/>
        <v>12534.424527485835</v>
      </c>
      <c r="H222" s="55">
        <f t="shared" si="1582"/>
        <v>13794.742265933302</v>
      </c>
      <c r="I222" s="55">
        <f t="shared" si="1582"/>
        <v>15801.84424327245</v>
      </c>
      <c r="J222" s="55">
        <f t="shared" si="1582"/>
        <v>18467.102908977165</v>
      </c>
      <c r="K222" s="55">
        <f t="shared" si="1582"/>
        <v>20044.390930414385</v>
      </c>
      <c r="L222" s="55">
        <f t="shared" si="1582"/>
        <v>21587.773269327943</v>
      </c>
      <c r="M222" s="55">
        <f t="shared" ref="M222:AZ222" si="1583">M$224*AVERAGE(L164:M164)/AVERAGE(L$167:M$167)</f>
        <v>22919.706671724594</v>
      </c>
      <c r="N222" s="55">
        <f t="shared" si="1583"/>
        <v>24460.60456605089</v>
      </c>
      <c r="O222" s="55">
        <f t="shared" si="1583"/>
        <v>27331.776547167978</v>
      </c>
      <c r="P222" s="55">
        <f t="shared" si="1583"/>
        <v>29151.773269362577</v>
      </c>
      <c r="Q222" s="55">
        <f t="shared" si="1583"/>
        <v>29593.027908054995</v>
      </c>
      <c r="R222" s="55">
        <f t="shared" si="1583"/>
        <v>31154.320652173912</v>
      </c>
      <c r="S222" s="55">
        <f t="shared" si="1583"/>
        <v>30711.409317240603</v>
      </c>
      <c r="T222" s="55">
        <f t="shared" si="1583"/>
        <v>27041.373688361091</v>
      </c>
      <c r="U222" s="55">
        <f t="shared" si="1583"/>
        <v>29775.252107118431</v>
      </c>
      <c r="V222" s="55">
        <f t="shared" si="1583"/>
        <v>29297.186090361214</v>
      </c>
      <c r="W222" s="55">
        <f t="shared" si="1583"/>
        <v>28179.839498161367</v>
      </c>
      <c r="X222" s="55">
        <f t="shared" si="1583"/>
        <v>29048.907193320487</v>
      </c>
      <c r="Y222" s="55">
        <f>Y$224*AVERAGE(X164:Y164)/AVERAGE(X$167:Y$167)</f>
        <v>29121.58473223685</v>
      </c>
      <c r="Z222" s="55">
        <f>Z$224*AVERAGE(Y164:Z164)/AVERAGE(Y$167:Z$167)</f>
        <v>29771.388985105645</v>
      </c>
      <c r="AA222" s="55">
        <f t="shared" si="1583"/>
        <v>32190.359854352329</v>
      </c>
      <c r="AB222" s="55">
        <f t="shared" si="1583"/>
        <v>35825.762946687973</v>
      </c>
      <c r="AC222" s="55">
        <f t="shared" si="1583"/>
        <v>38252.709809322216</v>
      </c>
      <c r="AD222" s="55">
        <f t="shared" si="1583"/>
        <v>38263.039318703879</v>
      </c>
      <c r="AE222" s="55">
        <f t="shared" si="1583"/>
        <v>40617.276079966003</v>
      </c>
      <c r="AF222" s="55">
        <f t="shared" si="1583"/>
        <v>40585.49161326146</v>
      </c>
      <c r="AG222" s="55">
        <f t="shared" si="1583"/>
        <v>43008.552719721803</v>
      </c>
      <c r="AH222" s="55">
        <f t="shared" si="1583"/>
        <v>46751.941678969262</v>
      </c>
      <c r="AI222" s="55">
        <f t="shared" si="1583"/>
        <v>47482.848622693957</v>
      </c>
      <c r="AJ222" s="55">
        <f t="shared" si="1583"/>
        <v>47326.233842797592</v>
      </c>
      <c r="AK222" s="55">
        <f t="shared" si="1583"/>
        <v>49236.416697815301</v>
      </c>
      <c r="AL222" s="55">
        <f t="shared" si="1583"/>
        <v>50303.86911084671</v>
      </c>
      <c r="AM222" s="55">
        <f t="shared" si="1583"/>
        <v>53534.542427290056</v>
      </c>
      <c r="AN222" s="55">
        <f t="shared" si="1583"/>
        <v>54800.352674539477</v>
      </c>
      <c r="AO222" s="55">
        <f t="shared" si="1583"/>
        <v>56854.315171930459</v>
      </c>
      <c r="AP222" s="55">
        <f t="shared" si="1583"/>
        <v>58021.910473769793</v>
      </c>
      <c r="AQ222" s="55">
        <f t="shared" si="1583"/>
        <v>61133.576121208265</v>
      </c>
      <c r="AR222" s="55">
        <f t="shared" si="1583"/>
        <v>65617.052725647896</v>
      </c>
      <c r="AS222" s="55">
        <f t="shared" si="1583"/>
        <v>65340.655876740406</v>
      </c>
      <c r="AT222" s="55">
        <f t="shared" si="1583"/>
        <v>65956.085268661831</v>
      </c>
      <c r="AU222" s="55">
        <f t="shared" si="1583"/>
        <v>67813.599968867653</v>
      </c>
      <c r="AV222" s="55">
        <f t="shared" si="1583"/>
        <v>68199.07485896349</v>
      </c>
      <c r="AW222" s="55">
        <f t="shared" si="1583"/>
        <v>68564.835775311993</v>
      </c>
      <c r="AX222" s="55">
        <f t="shared" si="1583"/>
        <v>68669.091248681449</v>
      </c>
      <c r="AY222" s="55">
        <f t="shared" si="1583"/>
        <v>71323.730530942412</v>
      </c>
      <c r="AZ222" s="56">
        <f t="shared" si="1583"/>
        <v>72150.97491580536</v>
      </c>
      <c r="BA222" s="55">
        <f t="shared" ref="BA222:BQ222" si="1584">AZ222*(1+((BA164/AZ164)-1))+(BA$213*AZ222)</f>
        <v>79833.74889395728</v>
      </c>
      <c r="BB222" s="55">
        <f t="shared" si="1584"/>
        <v>78819.877828882891</v>
      </c>
      <c r="BC222" s="55">
        <f t="shared" si="1584"/>
        <v>80337.390376914074</v>
      </c>
      <c r="BD222" s="55">
        <f t="shared" si="1584"/>
        <v>81502.783144248504</v>
      </c>
      <c r="BE222" s="55">
        <f t="shared" si="1584"/>
        <v>82024.467409480319</v>
      </c>
      <c r="BF222" s="55">
        <f t="shared" si="1584"/>
        <v>82582.320672121918</v>
      </c>
      <c r="BG222" s="55">
        <f t="shared" si="1584"/>
        <v>83357.920902138445</v>
      </c>
      <c r="BH222" s="55">
        <f t="shared" si="1584"/>
        <v>84188.459910010759</v>
      </c>
      <c r="BI222" s="55">
        <f t="shared" si="1584"/>
        <v>85071.615881899677</v>
      </c>
      <c r="BJ222" s="55">
        <f t="shared" si="1584"/>
        <v>86005.410743691231</v>
      </c>
      <c r="BK222" s="55">
        <f t="shared" si="1584"/>
        <v>87734.119499639419</v>
      </c>
      <c r="BL222" s="55">
        <f t="shared" si="1584"/>
        <v>89497.575301582168</v>
      </c>
      <c r="BM222" s="55">
        <f t="shared" si="1584"/>
        <v>91296.476565143967</v>
      </c>
      <c r="BN222" s="55">
        <f t="shared" si="1584"/>
        <v>93131.535744103356</v>
      </c>
      <c r="BO222" s="55">
        <f t="shared" si="1584"/>
        <v>95003.479612559837</v>
      </c>
      <c r="BP222" s="55">
        <f t="shared" si="1584"/>
        <v>96913.049552772296</v>
      </c>
      <c r="BQ222" s="55">
        <f t="shared" si="1584"/>
        <v>98861.001848783024</v>
      </c>
      <c r="BR222" s="55"/>
      <c r="BS222" s="55">
        <f t="shared" ref="BS222:CB222" si="1585">BS$224*AVERAGE(BR164:BS164)/AVERAGE(BR$167:BS$167)</f>
        <v>1751.3092328284811</v>
      </c>
      <c r="BT222" s="55">
        <f t="shared" si="1585"/>
        <v>2262.2319912737489</v>
      </c>
      <c r="BU222" s="55">
        <f t="shared" si="1585"/>
        <v>2687.8728850084781</v>
      </c>
      <c r="BV222" s="55">
        <f t="shared" si="1585"/>
        <v>3518.481055774379</v>
      </c>
      <c r="BW222" s="55">
        <f t="shared" si="1585"/>
        <v>4333.9633449230951</v>
      </c>
      <c r="BX222" s="55">
        <f t="shared" si="1585"/>
        <v>5310.0102615694168</v>
      </c>
      <c r="BY222" s="55">
        <f t="shared" si="1585"/>
        <v>6199.8743278147094</v>
      </c>
      <c r="BZ222" s="55">
        <f t="shared" si="1585"/>
        <v>6859.7006029417416</v>
      </c>
      <c r="CA222" s="55">
        <f t="shared" si="1585"/>
        <v>6931.25</v>
      </c>
      <c r="CB222" s="55">
        <f t="shared" si="1585"/>
        <v>7890.2287325993993</v>
      </c>
      <c r="CC222" s="55">
        <f>SUMPRODUCT(D222:E222,D$5:E$5)/SUM(D$5:E$5)</f>
        <v>9163.8041352756136</v>
      </c>
      <c r="CD222" s="55">
        <f>SUMPRODUCT(F222:G222,F$5:G$5)/SUM(F$5:G$5)</f>
        <v>11971.313499193531</v>
      </c>
      <c r="CE222" s="55">
        <f>SUMPRODUCT(H222:I222,H$5:I$5)/SUM(H$5:I$5)</f>
        <v>14803.777139786864</v>
      </c>
      <c r="CF222" s="55">
        <f>SUMPRODUCT(J222:K222,J$5:K$5)/SUM(J$5:K$5)</f>
        <v>19262.228925263327</v>
      </c>
      <c r="CG222" s="55">
        <f t="shared" ref="CG222:CL222" si="1586">CG$224*AVERAGE(CF164:CG164)/AVERAGE(CF$167:CG$167)</f>
        <v>22024.216607773851</v>
      </c>
      <c r="CH222" s="55">
        <f t="shared" si="1586"/>
        <v>26236.106678666361</v>
      </c>
      <c r="CI222" s="55">
        <f t="shared" si="1586"/>
        <v>28872.15263826559</v>
      </c>
      <c r="CJ222" s="55">
        <f t="shared" si="1586"/>
        <v>31455.618770821169</v>
      </c>
      <c r="CK222" s="55">
        <f t="shared" si="1586"/>
        <v>26684.960017769881</v>
      </c>
      <c r="CL222" s="55">
        <f t="shared" si="1586"/>
        <v>28812.359778355811</v>
      </c>
      <c r="CM222" s="55">
        <f t="shared" ref="CM222:CV222" si="1587">CM$224*AVERAGE(CL164:CM164)/AVERAGE(CL$167:CM$167)</f>
        <v>29075.687863678824</v>
      </c>
      <c r="CN222" s="55">
        <f t="shared" si="1587"/>
        <v>31092.432188717357</v>
      </c>
      <c r="CO222" s="55">
        <f t="shared" si="1587"/>
        <v>37088.041037317249</v>
      </c>
      <c r="CP222" s="55">
        <f t="shared" si="1587"/>
        <v>39482.105750394687</v>
      </c>
      <c r="CQ222" s="55">
        <f t="shared" si="1587"/>
        <v>41874.283278056653</v>
      </c>
      <c r="CR222" s="55">
        <f t="shared" si="1587"/>
        <v>47017.631258867492</v>
      </c>
      <c r="CS222" s="55">
        <f t="shared" si="1587"/>
        <v>48250.856247844582</v>
      </c>
      <c r="CT222" s="55">
        <f t="shared" si="1587"/>
        <v>52037.550011466366</v>
      </c>
      <c r="CU222" s="55">
        <f t="shared" si="1587"/>
        <v>55918.541188063224</v>
      </c>
      <c r="CV222" s="55">
        <f t="shared" si="1587"/>
        <v>59398.911687392858</v>
      </c>
      <c r="CW222" s="55">
        <f>SUMPRODUCT(AR222:AS222,AR$5:AS$5)/SUM(AR$5:AS$5)</f>
        <v>65477.718423732884</v>
      </c>
      <c r="CX222" s="55">
        <f>SUMPRODUCT(AT222:AU222,AT$5:AU$5)/SUM(AT$5:AU$5)</f>
        <v>66892.476240820382</v>
      </c>
      <c r="CY222" s="55">
        <f>SUMPRODUCT(AV222:AW222,AV$5:AW$5)/SUM(AV$5:AW$5)</f>
        <v>68382.954663903714</v>
      </c>
      <c r="CZ222" s="56">
        <f>SUMPRODUCT(AX222:AY222,AX$5:AY$5)/SUM(AX$5:AY$5)</f>
        <v>70007.320366314365</v>
      </c>
      <c r="DA222" s="55">
        <f>SUMPRODUCT(AZ222:BA222,AZ$5:BA$5)/SUM(AZ$5:BA$5)</f>
        <v>76023.934948627153</v>
      </c>
      <c r="DB222" s="55">
        <f>SUMPRODUCT(BB222:BC222,BB$5:BC$5)/SUM(BB$5:BC$5)</f>
        <v>79584.870455835611</v>
      </c>
      <c r="DC222" s="55">
        <f>SUMPRODUCT(BD222:BE222,BD$5:BE$5)/SUM(BD$5:BE$5)</f>
        <v>81765.050643709299</v>
      </c>
      <c r="DD222" s="55">
        <f>SUMPRODUCT(BF222:BG222,BF$5:BG$5)/SUM(BF$5:BG$5)</f>
        <v>82973.308185335729</v>
      </c>
      <c r="DE222" s="55">
        <f>SUMPRODUCT(BH222:BI222,BH$5:BI$5)/SUM(BH$5:BI$5)</f>
        <v>84633.667304058879</v>
      </c>
      <c r="DF222" s="55">
        <f>SUMPRODUCT(BJ222:BK222,BJ$5:BK$5)/SUM(BJ$5:BK$5)</f>
        <v>86876.869404224009</v>
      </c>
      <c r="DG222" s="55">
        <f>SUMPRODUCT(BL222:BM222,BL$5:BM$5)/SUM(BL$5:BM$5)</f>
        <v>90401.94096413783</v>
      </c>
      <c r="DH222" s="55">
        <f>SUMPRODUCT(BN222:BO222,BN$5:BO$5)/SUM(BN$5:BO$5)</f>
        <v>94075.200598338954</v>
      </c>
      <c r="DI222" s="55">
        <f>SUMPRODUCT(BP222:BQ222,BP$5:BQ$5)/SUM(BP$5:BQ$5)</f>
        <v>97895.030984185927</v>
      </c>
    </row>
    <row r="223" spans="1:119" outlineLevel="1">
      <c r="A223" s="1" t="s">
        <v>1060</v>
      </c>
      <c r="B223" s="19" t="s">
        <v>343</v>
      </c>
      <c r="C223" s="55">
        <f t="shared" ref="C223:L223" si="1588">C$224*(SUM(AVERAGE(B166:C166),AVERAGE(B165:C165))/AVERAGE(B$167:C$167))</f>
        <v>9553.0833916900101</v>
      </c>
      <c r="D223" s="55">
        <f t="shared" si="1588"/>
        <v>10117.231738035265</v>
      </c>
      <c r="E223" s="55">
        <f t="shared" si="1588"/>
        <v>10396.073619782706</v>
      </c>
      <c r="F223" s="55">
        <f t="shared" si="1588"/>
        <v>11148.130861059417</v>
      </c>
      <c r="G223" s="55">
        <f t="shared" si="1588"/>
        <v>11178.575472514163</v>
      </c>
      <c r="H223" s="55">
        <f t="shared" si="1588"/>
        <v>11091.257734066698</v>
      </c>
      <c r="I223" s="55">
        <f t="shared" si="1588"/>
        <v>12545.155756727549</v>
      </c>
      <c r="J223" s="55">
        <f t="shared" si="1588"/>
        <v>14412.897091022833</v>
      </c>
      <c r="K223" s="55">
        <f t="shared" si="1588"/>
        <v>15463.609069585615</v>
      </c>
      <c r="L223" s="55">
        <f t="shared" si="1588"/>
        <v>17150.226730672057</v>
      </c>
      <c r="M223" s="55">
        <f t="shared" ref="M223:AZ223" si="1589">M$224*(SUM(AVERAGE(L166:M166),AVERAGE(L165:M165))/AVERAGE(L$167:M$167))</f>
        <v>19446.293328275406</v>
      </c>
      <c r="N223" s="55">
        <f t="shared" si="1589"/>
        <v>22155.39543394911</v>
      </c>
      <c r="O223" s="55">
        <f t="shared" si="1589"/>
        <v>23988.223452832022</v>
      </c>
      <c r="P223" s="55">
        <f t="shared" si="1589"/>
        <v>24418.226730637423</v>
      </c>
      <c r="Q223" s="55">
        <f t="shared" si="1589"/>
        <v>26250.972091945005</v>
      </c>
      <c r="R223" s="55">
        <f t="shared" si="1589"/>
        <v>30690.679347826088</v>
      </c>
      <c r="S223" s="55">
        <f t="shared" si="1589"/>
        <v>30544.590682759401</v>
      </c>
      <c r="T223" s="55">
        <f t="shared" si="1589"/>
        <v>20615.626311638909</v>
      </c>
      <c r="U223" s="55">
        <f t="shared" si="1589"/>
        <v>16516.747892881569</v>
      </c>
      <c r="V223" s="55">
        <f t="shared" si="1589"/>
        <v>16082.476893064195</v>
      </c>
      <c r="W223" s="55">
        <f t="shared" si="1589"/>
        <v>14929.160501838633</v>
      </c>
      <c r="X223" s="55">
        <f t="shared" si="1589"/>
        <v>15107.092806679511</v>
      </c>
      <c r="Y223" s="55">
        <f>Y$224*(SUM(AVERAGE(X166:Y166),AVERAGE(X165:Y165))/AVERAGE(X$167:Y$167))</f>
        <v>15419.41526776315</v>
      </c>
      <c r="Z223" s="55">
        <f>Z$224*(SUM(AVERAGE(Y166:Z166),AVERAGE(Y165:Z165))/AVERAGE(Y$167:Z$167))</f>
        <v>16068.611014894355</v>
      </c>
      <c r="AA223" s="55">
        <f t="shared" si="1589"/>
        <v>17301.640145647671</v>
      </c>
      <c r="AB223" s="55">
        <f t="shared" si="1589"/>
        <v>19208.237053312027</v>
      </c>
      <c r="AC223" s="55">
        <f t="shared" si="1589"/>
        <v>20684.290190677788</v>
      </c>
      <c r="AD223" s="55">
        <f t="shared" si="1589"/>
        <v>21193.960681296125</v>
      </c>
      <c r="AE223" s="55">
        <f t="shared" si="1589"/>
        <v>23391.723920034001</v>
      </c>
      <c r="AF223" s="55">
        <f t="shared" si="1589"/>
        <v>23910.50838673854</v>
      </c>
      <c r="AG223" s="55">
        <f t="shared" si="1589"/>
        <v>25349.447280278193</v>
      </c>
      <c r="AH223" s="55">
        <f t="shared" si="1589"/>
        <v>27375.058321030734</v>
      </c>
      <c r="AI223" s="55">
        <f t="shared" si="1589"/>
        <v>28005.151377306043</v>
      </c>
      <c r="AJ223" s="55">
        <f t="shared" si="1589"/>
        <v>28131.766157202404</v>
      </c>
      <c r="AK223" s="55">
        <f t="shared" si="1589"/>
        <v>29284.583302184699</v>
      </c>
      <c r="AL223" s="55">
        <f t="shared" si="1589"/>
        <v>30070.130889153286</v>
      </c>
      <c r="AM223" s="55">
        <f t="shared" si="1589"/>
        <v>31788.457572709944</v>
      </c>
      <c r="AN223" s="55">
        <f t="shared" si="1589"/>
        <v>31931.647325460526</v>
      </c>
      <c r="AO223" s="55">
        <f t="shared" si="1589"/>
        <v>32232.684828069541</v>
      </c>
      <c r="AP223" s="55">
        <f t="shared" si="1589"/>
        <v>31505.089526230211</v>
      </c>
      <c r="AQ223" s="55">
        <f t="shared" si="1589"/>
        <v>32223.423878791735</v>
      </c>
      <c r="AR223" s="55">
        <f t="shared" si="1589"/>
        <v>34172.947274352096</v>
      </c>
      <c r="AS223" s="55">
        <f t="shared" si="1589"/>
        <v>33597.344123259594</v>
      </c>
      <c r="AT223" s="55">
        <f t="shared" si="1589"/>
        <v>33451.914731338169</v>
      </c>
      <c r="AU223" s="55">
        <f t="shared" si="1589"/>
        <v>34241.40003113234</v>
      </c>
      <c r="AV223" s="55">
        <f t="shared" si="1589"/>
        <v>34394.92514103651</v>
      </c>
      <c r="AW223" s="55">
        <f t="shared" si="1589"/>
        <v>34430.164224688015</v>
      </c>
      <c r="AX223" s="55">
        <f t="shared" si="1589"/>
        <v>34198.908751318551</v>
      </c>
      <c r="AY223" s="55">
        <f t="shared" si="1589"/>
        <v>34877.269469057581</v>
      </c>
      <c r="AZ223" s="56">
        <f t="shared" si="1589"/>
        <v>34692.02508419464</v>
      </c>
      <c r="BA223" s="55">
        <f t="shared" ref="BA223:BQ223" si="1590">BA224-BA222</f>
        <v>36220.990427782206</v>
      </c>
      <c r="BB223" s="55">
        <f t="shared" si="1590"/>
        <v>34211.170177301523</v>
      </c>
      <c r="BC223" s="55">
        <f t="shared" si="1590"/>
        <v>33311.541264896281</v>
      </c>
      <c r="BD223" s="55">
        <f t="shared" si="1590"/>
        <v>32792.735466895654</v>
      </c>
      <c r="BE223" s="55">
        <f t="shared" si="1590"/>
        <v>32002.955391064243</v>
      </c>
      <c r="BF223" s="55">
        <f t="shared" si="1590"/>
        <v>31222.877315139718</v>
      </c>
      <c r="BG223" s="55">
        <f t="shared" si="1590"/>
        <v>30517.767628474438</v>
      </c>
      <c r="BH223" s="55">
        <f t="shared" si="1590"/>
        <v>29822.298051950551</v>
      </c>
      <c r="BI223" s="55">
        <f t="shared" si="1590"/>
        <v>29133.899041733283</v>
      </c>
      <c r="BJ223" s="55">
        <f t="shared" si="1590"/>
        <v>28450.254701114172</v>
      </c>
      <c r="BK223" s="55">
        <f t="shared" si="1590"/>
        <v>28007.397012108093</v>
      </c>
      <c r="BL223" s="55">
        <f t="shared" si="1590"/>
        <v>27544.238158488064</v>
      </c>
      <c r="BM223" s="55">
        <f t="shared" si="1590"/>
        <v>27060.242016744334</v>
      </c>
      <c r="BN223" s="55">
        <f t="shared" si="1590"/>
        <v>26554.860248482262</v>
      </c>
      <c r="BO223" s="55">
        <f t="shared" si="1590"/>
        <v>26027.532038738951</v>
      </c>
      <c r="BP223" s="55">
        <f t="shared" si="1590"/>
        <v>25477.683828858426</v>
      </c>
      <c r="BQ223" s="55">
        <f t="shared" si="1590"/>
        <v>24904.729043813975</v>
      </c>
      <c r="BR223" s="55"/>
      <c r="BS223" s="55">
        <f t="shared" ref="BS223:CB223" si="1591">BS$224*(SUM(AVERAGE(BR166:BS166),AVERAGE(BR165:BS165))/AVERAGE(BR$167:BS$167))</f>
        <v>4771.1907671715189</v>
      </c>
      <c r="BT223" s="55">
        <f t="shared" si="1591"/>
        <v>4902.368008726251</v>
      </c>
      <c r="BU223" s="55">
        <f t="shared" si="1591"/>
        <v>3631.4271149915221</v>
      </c>
      <c r="BV223" s="55">
        <f t="shared" si="1591"/>
        <v>3544.5189442256201</v>
      </c>
      <c r="BW223" s="55">
        <f t="shared" si="1591"/>
        <v>3852.0366550769049</v>
      </c>
      <c r="BX223" s="55">
        <f t="shared" si="1591"/>
        <v>4421.9897384305832</v>
      </c>
      <c r="BY223" s="55">
        <f t="shared" si="1591"/>
        <v>5747.1256721852906</v>
      </c>
      <c r="BZ223" s="55">
        <f t="shared" si="1591"/>
        <v>6446.2993970582584</v>
      </c>
      <c r="CA223" s="55">
        <f t="shared" si="1591"/>
        <v>7168.75</v>
      </c>
      <c r="CB223" s="55">
        <f t="shared" si="1591"/>
        <v>9101.7712674006016</v>
      </c>
      <c r="CC223" s="55">
        <f>SUMPRODUCT(D223:E223,D$5:E$5)/SUM(D$5:E$5)</f>
        <v>10257.798604450414</v>
      </c>
      <c r="CD223" s="55">
        <f>SUMPRODUCT(F223:G223,F$5:G$5)/SUM(F$5:G$5)</f>
        <v>11163.478281628386</v>
      </c>
      <c r="CE223" s="55">
        <f>SUMPRODUCT(H223:I223,H$5:I$5)/SUM(H$5:I$5)</f>
        <v>11822.179144366144</v>
      </c>
      <c r="CF223" s="55">
        <f>SUMPRODUCT(J223:K223,J$5:K$5)/SUM(J$5:K$5)</f>
        <v>14942.571074736672</v>
      </c>
      <c r="CG223" s="55">
        <f t="shared" ref="CG223:CL223" si="1592">CG$224*(SUM(AVERAGE(CF166:CG166),AVERAGE(CF165:CG165))/AVERAGE(CF$167:CG$167))</f>
        <v>18512.783392226149</v>
      </c>
      <c r="CH223" s="55">
        <f t="shared" si="1592"/>
        <v>22712.893321333642</v>
      </c>
      <c r="CI223" s="55">
        <f t="shared" si="1592"/>
        <v>25828.84736173441</v>
      </c>
      <c r="CJ223" s="55">
        <f t="shared" si="1592"/>
        <v>30097.381229178831</v>
      </c>
      <c r="CK223" s="55">
        <f t="shared" si="1592"/>
        <v>20295.039982230119</v>
      </c>
      <c r="CL223" s="55">
        <f t="shared" si="1592"/>
        <v>15422.640221644189</v>
      </c>
      <c r="CM223" s="55">
        <f t="shared" ref="CM223:CV223" si="1593">CM$224*(SUM(AVERAGE(CL166:CM166),AVERAGE(CL165:CM165))/AVERAGE(CL$167:CM$167))</f>
        <v>15271.312136321174</v>
      </c>
      <c r="CN223" s="55">
        <f t="shared" si="1593"/>
        <v>16558.567811282643</v>
      </c>
      <c r="CO223" s="55">
        <f t="shared" si="1593"/>
        <v>19880.958962682755</v>
      </c>
      <c r="CP223" s="55">
        <f t="shared" si="1593"/>
        <v>22231.894249605317</v>
      </c>
      <c r="CQ223" s="55">
        <f t="shared" si="1593"/>
        <v>24542.716721943347</v>
      </c>
      <c r="CR223" s="55">
        <f t="shared" si="1593"/>
        <v>27784.368741132508</v>
      </c>
      <c r="CS223" s="55">
        <f t="shared" si="1593"/>
        <v>28726.143752155418</v>
      </c>
      <c r="CT223" s="55">
        <f t="shared" si="1593"/>
        <v>30790.449988533634</v>
      </c>
      <c r="CU223" s="55">
        <f t="shared" si="1593"/>
        <v>31984.458811936776</v>
      </c>
      <c r="CV223" s="55">
        <f t="shared" si="1593"/>
        <v>32027.088312607146</v>
      </c>
      <c r="CW223" s="55">
        <f>SUMPRODUCT(AR223:AS223,AR$5:AS$5)/SUM(AR$5:AS$5)</f>
        <v>33882.780206404095</v>
      </c>
      <c r="CX223" s="55">
        <f>SUMPRODUCT(AT223:AU223,AT$5:AU$5)/SUM(AT$5:AU$5)</f>
        <v>33849.9018413714</v>
      </c>
      <c r="CY223" s="55">
        <f>SUMPRODUCT(AV223:AW223,AV$5:AW$5)/SUM(AV$5:AW$5)</f>
        <v>34412.640964511585</v>
      </c>
      <c r="CZ223" s="56">
        <f>SUMPRODUCT(AX223:AY223,AX$5:AY$5)/SUM(AX$5:AY$5)</f>
        <v>34540.87689395959</v>
      </c>
      <c r="DA223" s="55">
        <f>SUMPRODUCT(AZ223:BA223,AZ$5:BA$5)/SUM(AZ$5:BA$5)</f>
        <v>35462.791175208651</v>
      </c>
      <c r="DB223" s="55">
        <f>SUMPRODUCT(BB223:BC223,BB$5:BC$5)/SUM(BB$5:BC$5)</f>
        <v>33757.658615979431</v>
      </c>
      <c r="DC223" s="55">
        <f>SUMPRODUCT(BD223:BE223,BD$5:BE$5)/SUM(BD$5:BE$5)</f>
        <v>32395.687559920301</v>
      </c>
      <c r="DD223" s="55">
        <f>SUMPRODUCT(BF223:BG223,BF$5:BG$5)/SUM(BF$5:BG$5)</f>
        <v>30867.424760765985</v>
      </c>
      <c r="DE223" s="55">
        <f>SUMPRODUCT(BH223:BI223,BH$5:BI$5)/SUM(BH$5:BI$5)</f>
        <v>29475.269509813628</v>
      </c>
      <c r="DF223" s="55">
        <f>SUMPRODUCT(BJ223:BK223,BJ$5:BK$5)/SUM(BJ$5:BK$5)</f>
        <v>28227.005893505626</v>
      </c>
      <c r="DG223" s="55">
        <f>SUMPRODUCT(BL223:BM223,BL$5:BM$5)/SUM(BL$5:BM$5)</f>
        <v>27300.917693786301</v>
      </c>
      <c r="DH223" s="55">
        <f>SUMPRODUCT(BN223:BO223,BN$5:BO$5)/SUM(BN$5:BO$5)</f>
        <v>26289.029041378784</v>
      </c>
      <c r="DI223" s="55">
        <f>SUMPRODUCT(BP223:BQ223,BP$5:BQ$5)/SUM(BP$5:BQ$5)</f>
        <v>25188.851827630537</v>
      </c>
    </row>
    <row r="224" spans="1:119" s="24" customFormat="1" outlineLevel="1">
      <c r="A224" s="1" t="s">
        <v>1121</v>
      </c>
      <c r="B224" s="24" t="s">
        <v>168</v>
      </c>
      <c r="C224" s="81">
        <v>18007</v>
      </c>
      <c r="D224" s="81">
        <f>18857+0</f>
        <v>18857</v>
      </c>
      <c r="E224" s="81">
        <f>19977+0</f>
        <v>19977</v>
      </c>
      <c r="F224" s="81">
        <f>22547+0</f>
        <v>22547</v>
      </c>
      <c r="G224" s="81">
        <f>23713+0</f>
        <v>23713</v>
      </c>
      <c r="H224" s="81">
        <f>24886+0</f>
        <v>24886</v>
      </c>
      <c r="I224" s="81">
        <f>28347+0</f>
        <v>28347</v>
      </c>
      <c r="J224" s="81">
        <f>32880+0</f>
        <v>32880</v>
      </c>
      <c r="K224" s="81">
        <f>35508+0</f>
        <v>35508</v>
      </c>
      <c r="L224" s="81">
        <f>38738+0</f>
        <v>38738</v>
      </c>
      <c r="M224" s="81">
        <f>42366+0</f>
        <v>42366</v>
      </c>
      <c r="N224" s="81">
        <f>46616</f>
        <v>46616</v>
      </c>
      <c r="O224" s="81">
        <v>51320</v>
      </c>
      <c r="P224" s="81">
        <f>53570+0</f>
        <v>53570</v>
      </c>
      <c r="Q224" s="81">
        <f>55844+0</f>
        <v>55844</v>
      </c>
      <c r="R224" s="81">
        <f>61845+0</f>
        <v>61845</v>
      </c>
      <c r="S224" s="81">
        <f>61256+0</f>
        <v>61256</v>
      </c>
      <c r="T224" s="81">
        <v>47657</v>
      </c>
      <c r="U224" s="81">
        <v>46292</v>
      </c>
      <c r="V224" s="81">
        <f>(44235*(V$5+W$5)-W224*W$5)/V$5</f>
        <v>45379.662983425413</v>
      </c>
      <c r="W224" s="81">
        <v>43109</v>
      </c>
      <c r="X224" s="81">
        <v>44156</v>
      </c>
      <c r="Y224" s="81">
        <v>44541</v>
      </c>
      <c r="Z224" s="81">
        <v>45840</v>
      </c>
      <c r="AA224" s="166">
        <v>49492</v>
      </c>
      <c r="AB224" s="166">
        <v>55034</v>
      </c>
      <c r="AC224" s="166">
        <v>58937</v>
      </c>
      <c r="AD224" s="166">
        <v>59457</v>
      </c>
      <c r="AE224" s="166">
        <v>64009</v>
      </c>
      <c r="AF224" s="166">
        <v>64496</v>
      </c>
      <c r="AG224" s="166">
        <v>68358</v>
      </c>
      <c r="AH224" s="166">
        <v>74127</v>
      </c>
      <c r="AI224" s="166">
        <v>75488</v>
      </c>
      <c r="AJ224" s="166">
        <v>75458</v>
      </c>
      <c r="AK224" s="166">
        <v>78521</v>
      </c>
      <c r="AL224" s="166">
        <v>80374</v>
      </c>
      <c r="AM224" s="166">
        <v>85323</v>
      </c>
      <c r="AN224" s="166">
        <v>86732</v>
      </c>
      <c r="AO224" s="166">
        <v>89087</v>
      </c>
      <c r="AP224" s="166">
        <v>89527</v>
      </c>
      <c r="AQ224" s="166">
        <v>93357</v>
      </c>
      <c r="AR224" s="166">
        <v>99790</v>
      </c>
      <c r="AS224" s="166">
        <v>98938</v>
      </c>
      <c r="AT224" s="166">
        <v>99408</v>
      </c>
      <c r="AU224" s="166">
        <v>102055</v>
      </c>
      <c r="AV224" s="166">
        <v>102594</v>
      </c>
      <c r="AW224" s="166">
        <v>102995</v>
      </c>
      <c r="AX224" s="166">
        <v>102868</v>
      </c>
      <c r="AY224" s="166">
        <v>106201</v>
      </c>
      <c r="AZ224" s="167">
        <v>106843</v>
      </c>
      <c r="BA224" s="82">
        <f t="shared" ref="BA224:BQ224" si="1594">AZ224*(1+((BA166/AZ166)-1))+(BA$213*AZ224)</f>
        <v>116054.73932173949</v>
      </c>
      <c r="BB224" s="82">
        <f t="shared" si="1594"/>
        <v>113031.04800618441</v>
      </c>
      <c r="BC224" s="82">
        <f t="shared" si="1594"/>
        <v>113648.93164181036</v>
      </c>
      <c r="BD224" s="82">
        <f t="shared" si="1594"/>
        <v>114295.51861114416</v>
      </c>
      <c r="BE224" s="82">
        <f t="shared" si="1594"/>
        <v>114027.42280054456</v>
      </c>
      <c r="BF224" s="82">
        <f t="shared" si="1594"/>
        <v>113805.19798726164</v>
      </c>
      <c r="BG224" s="82">
        <f t="shared" si="1594"/>
        <v>113875.68853061288</v>
      </c>
      <c r="BH224" s="82">
        <f t="shared" si="1594"/>
        <v>114010.75796196131</v>
      </c>
      <c r="BI224" s="82">
        <f t="shared" si="1594"/>
        <v>114205.51492363296</v>
      </c>
      <c r="BJ224" s="82">
        <f t="shared" si="1594"/>
        <v>114455.6654448054</v>
      </c>
      <c r="BK224" s="82">
        <f t="shared" si="1594"/>
        <v>115741.51651174751</v>
      </c>
      <c r="BL224" s="82">
        <f t="shared" si="1594"/>
        <v>117041.81346007023</v>
      </c>
      <c r="BM224" s="82">
        <f t="shared" si="1594"/>
        <v>118356.7185818883</v>
      </c>
      <c r="BN224" s="82">
        <f t="shared" si="1594"/>
        <v>119686.39599258562</v>
      </c>
      <c r="BO224" s="82">
        <f t="shared" si="1594"/>
        <v>121031.01165129879</v>
      </c>
      <c r="BP224" s="82">
        <f t="shared" si="1594"/>
        <v>122390.73338163072</v>
      </c>
      <c r="BQ224" s="82">
        <f t="shared" si="1594"/>
        <v>123765.730892597</v>
      </c>
      <c r="BR224" s="82"/>
      <c r="BS224" s="81">
        <v>6522.5</v>
      </c>
      <c r="BT224" s="81">
        <v>7164.6</v>
      </c>
      <c r="BU224" s="81">
        <v>6319.3</v>
      </c>
      <c r="BV224" s="81">
        <v>7063</v>
      </c>
      <c r="BW224" s="81">
        <v>8186</v>
      </c>
      <c r="BX224" s="81">
        <v>9732</v>
      </c>
      <c r="BY224" s="81">
        <v>11947</v>
      </c>
      <c r="BZ224" s="81">
        <v>13306</v>
      </c>
      <c r="CA224" s="81">
        <v>14100</v>
      </c>
      <c r="CB224" s="81">
        <v>16992</v>
      </c>
      <c r="CC224" s="82">
        <f>SUMPRODUCT(D224:E224,D$5:E$5)/SUM(D$5:E$5)</f>
        <v>19421.602739726026</v>
      </c>
      <c r="CD224" s="82">
        <f>SUMPRODUCT(F224:G224,F$5:G$5)/SUM(F$5:G$5)</f>
        <v>23134.791780821917</v>
      </c>
      <c r="CE224" s="82">
        <f>SUMPRODUCT(H224:I224,H$5:I$5)/SUM(H$5:I$5)</f>
        <v>26625.956284153006</v>
      </c>
      <c r="CF224" s="82">
        <f>SUMPRODUCT(J224:K224,J$5:K$5)/SUM(J$5:K$5)</f>
        <v>34204.799999999996</v>
      </c>
      <c r="CG224" s="166">
        <f>40537</f>
        <v>40537</v>
      </c>
      <c r="CH224" s="166">
        <f>48949</f>
        <v>48949</v>
      </c>
      <c r="CI224" s="166">
        <f>54701</f>
        <v>54701</v>
      </c>
      <c r="CJ224" s="166">
        <f>61553</f>
        <v>61553</v>
      </c>
      <c r="CK224" s="166">
        <f>46980</f>
        <v>46980</v>
      </c>
      <c r="CL224" s="166">
        <v>44235</v>
      </c>
      <c r="CM224" s="166">
        <v>44347</v>
      </c>
      <c r="CN224" s="166">
        <v>47651</v>
      </c>
      <c r="CO224" s="166">
        <v>56969</v>
      </c>
      <c r="CP224" s="166">
        <v>61714</v>
      </c>
      <c r="CQ224" s="166">
        <v>66417</v>
      </c>
      <c r="CR224" s="166">
        <v>74802</v>
      </c>
      <c r="CS224" s="166">
        <v>76977</v>
      </c>
      <c r="CT224" s="166">
        <v>82828</v>
      </c>
      <c r="CU224" s="166">
        <v>87903</v>
      </c>
      <c r="CV224" s="166">
        <v>91426</v>
      </c>
      <c r="CW224" s="166">
        <v>99368</v>
      </c>
      <c r="CX224" s="166">
        <v>100720</v>
      </c>
      <c r="CY224" s="166">
        <v>102794</v>
      </c>
      <c r="CZ224" s="167">
        <v>104521</v>
      </c>
      <c r="DA224" s="82">
        <f>SUMPRODUCT(AZ224:BA224,AZ$5:BA$5)/SUM(AZ$5:BA$5)</f>
        <v>111486.7261238358</v>
      </c>
      <c r="DB224" s="82">
        <f>SUMPRODUCT(BB224:BC224,BB$5:BC$5)/SUM(BB$5:BC$5)</f>
        <v>113342.52907181502</v>
      </c>
      <c r="DC224" s="82">
        <f>SUMPRODUCT(BD224:BE224,BD$5:BE$5)/SUM(BD$5:BE$5)</f>
        <v>114160.73820362962</v>
      </c>
      <c r="DD224" s="82">
        <f>SUMPRODUCT(BF224:BG224,BF$5:BG$5)/SUM(BF$5:BG$5)</f>
        <v>113840.73294610172</v>
      </c>
      <c r="DE224" s="82">
        <f>SUMPRODUCT(BH224:BI224,BH$5:BI$5)/SUM(BH$5:BI$5)</f>
        <v>114108.9368138725</v>
      </c>
      <c r="DF224" s="82">
        <f>SUMPRODUCT(BJ224:BK224,BJ$5:BK$5)/SUM(BJ$5:BK$5)</f>
        <v>115103.87529772965</v>
      </c>
      <c r="DG224" s="82">
        <f>SUMPRODUCT(BL224:BM224,BL$5:BM$5)/SUM(BL$5:BM$5)</f>
        <v>117702.85865792414</v>
      </c>
      <c r="DH224" s="82">
        <f>SUMPRODUCT(BN224:BO224,BN$5:BO$5)/SUM(BN$5:BO$5)</f>
        <v>120364.22963971773</v>
      </c>
      <c r="DI224" s="82">
        <f>SUMPRODUCT(BP224:BQ224,BP$5:BQ$5)/SUM(BP$5:BQ$5)</f>
        <v>123083.88281181647</v>
      </c>
    </row>
    <row r="225" spans="1:114" outlineLevel="1">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5"/>
      <c r="AU225" s="55"/>
      <c r="AV225" s="55"/>
      <c r="AW225" s="55"/>
      <c r="AX225" s="55"/>
      <c r="AY225" s="55"/>
      <c r="AZ225" s="56"/>
      <c r="BA225" s="55"/>
      <c r="BB225" s="55"/>
      <c r="BC225" s="55"/>
      <c r="BD225" s="55"/>
      <c r="BE225" s="55"/>
      <c r="BF225" s="55"/>
      <c r="BG225" s="55"/>
      <c r="BH225" s="55"/>
      <c r="BI225" s="55"/>
      <c r="BJ225" s="55"/>
      <c r="BK225" s="55"/>
      <c r="BL225" s="55"/>
      <c r="BM225" s="55"/>
      <c r="BN225" s="55"/>
      <c r="BO225" s="55"/>
      <c r="BP225" s="55"/>
      <c r="BQ225" s="55"/>
      <c r="BR225" s="55"/>
      <c r="BS225" s="55"/>
      <c r="BT225" s="55"/>
      <c r="BU225" s="55"/>
      <c r="BV225" s="55"/>
      <c r="BW225" s="55"/>
      <c r="BX225" s="55"/>
      <c r="BY225" s="55"/>
      <c r="BZ225" s="55"/>
      <c r="CA225" s="55"/>
      <c r="CB225" s="55"/>
      <c r="CC225" s="55"/>
      <c r="CD225" s="55"/>
      <c r="CE225" s="55"/>
      <c r="CF225" s="55"/>
      <c r="CG225" s="55"/>
      <c r="CH225" s="55"/>
      <c r="CI225" s="55"/>
      <c r="CJ225" s="55"/>
      <c r="CK225" s="55"/>
      <c r="CL225" s="55"/>
      <c r="CM225" s="55"/>
      <c r="CN225" s="55"/>
      <c r="CO225" s="55"/>
      <c r="CP225" s="55"/>
      <c r="CQ225" s="55"/>
      <c r="CR225" s="55"/>
      <c r="CS225" s="55"/>
      <c r="CT225" s="55"/>
      <c r="CU225" s="55"/>
      <c r="CV225" s="55"/>
      <c r="CW225" s="55"/>
      <c r="CX225" s="55"/>
      <c r="CY225" s="55"/>
      <c r="CZ225" s="56"/>
      <c r="DA225" s="55"/>
      <c r="DB225" s="55"/>
      <c r="DC225" s="55"/>
      <c r="DD225" s="55"/>
      <c r="DE225" s="55"/>
      <c r="DF225" s="55"/>
      <c r="DG225" s="55"/>
      <c r="DH225" s="55"/>
      <c r="DI225" s="55"/>
    </row>
    <row r="226" spans="1:114" s="24" customFormat="1" outlineLevel="1">
      <c r="A226" s="1"/>
      <c r="B226" s="24" t="s">
        <v>341</v>
      </c>
      <c r="C226" s="82"/>
      <c r="D226" s="82"/>
      <c r="E226" s="82"/>
      <c r="F226" s="82"/>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c r="AV226" s="82"/>
      <c r="AW226" s="82"/>
      <c r="AX226" s="82"/>
      <c r="AY226" s="82"/>
      <c r="AZ226" s="83"/>
      <c r="BA226" s="82"/>
      <c r="BB226" s="82"/>
      <c r="BC226" s="82"/>
      <c r="BD226" s="82"/>
      <c r="BE226" s="82"/>
      <c r="BF226" s="82"/>
      <c r="BG226" s="82"/>
      <c r="BH226" s="82"/>
      <c r="BI226" s="82"/>
      <c r="BJ226" s="82"/>
      <c r="BK226" s="82"/>
      <c r="BL226" s="82"/>
      <c r="BM226" s="82"/>
      <c r="BN226" s="82"/>
      <c r="BO226" s="82"/>
      <c r="BP226" s="82"/>
      <c r="BQ226" s="82"/>
      <c r="BR226" s="82"/>
      <c r="BS226" s="82"/>
      <c r="BT226" s="82"/>
      <c r="BU226" s="82"/>
      <c r="BV226" s="82"/>
      <c r="BW226" s="82"/>
      <c r="BX226" s="82"/>
      <c r="BY226" s="82"/>
      <c r="BZ226" s="82"/>
      <c r="CA226" s="82"/>
      <c r="CB226" s="82"/>
      <c r="CC226" s="82"/>
      <c r="CD226" s="82"/>
      <c r="CE226" s="82"/>
      <c r="CF226" s="82"/>
      <c r="CG226" s="82"/>
      <c r="CH226" s="82"/>
      <c r="CI226" s="82"/>
      <c r="CJ226" s="82"/>
      <c r="CK226" s="82"/>
      <c r="CL226" s="82"/>
      <c r="CM226" s="82"/>
      <c r="CN226" s="82"/>
      <c r="CO226" s="82"/>
      <c r="CP226" s="82"/>
      <c r="CQ226" s="82"/>
      <c r="CR226" s="82"/>
      <c r="CS226" s="82"/>
      <c r="CT226" s="82"/>
      <c r="CU226" s="82"/>
      <c r="CV226" s="82"/>
      <c r="CW226" s="82"/>
      <c r="CX226" s="82"/>
      <c r="CY226" s="82"/>
      <c r="CZ226" s="83"/>
      <c r="DA226" s="82"/>
      <c r="DB226" s="82"/>
      <c r="DC226" s="82"/>
      <c r="DD226" s="82"/>
      <c r="DE226" s="82"/>
      <c r="DF226" s="82"/>
      <c r="DG226" s="82"/>
      <c r="DH226" s="82"/>
      <c r="DI226" s="82"/>
    </row>
    <row r="227" spans="1:114" outlineLevel="1">
      <c r="A227" s="1" t="s">
        <v>399</v>
      </c>
      <c r="B227" s="19" t="s">
        <v>164</v>
      </c>
      <c r="C227" s="55">
        <v>0</v>
      </c>
      <c r="D227" s="55">
        <v>0</v>
      </c>
      <c r="E227" s="55">
        <v>0</v>
      </c>
      <c r="F227" s="55">
        <v>0</v>
      </c>
      <c r="G227" s="55">
        <v>0</v>
      </c>
      <c r="H227" s="55">
        <v>0</v>
      </c>
      <c r="I227" s="55">
        <v>0</v>
      </c>
      <c r="J227" s="55">
        <v>0</v>
      </c>
      <c r="K227" s="55">
        <v>0</v>
      </c>
      <c r="L227" s="55">
        <v>0</v>
      </c>
      <c r="M227" s="55">
        <v>0</v>
      </c>
      <c r="N227" s="55">
        <v>0</v>
      </c>
      <c r="O227" s="55">
        <v>0</v>
      </c>
      <c r="P227" s="55">
        <v>0</v>
      </c>
      <c r="Q227" s="55">
        <v>0</v>
      </c>
      <c r="R227" s="55">
        <v>0</v>
      </c>
      <c r="S227" s="55">
        <v>0</v>
      </c>
      <c r="T227" s="55">
        <f t="shared" ref="T227:AZ227" si="1595">T$229*AVERAGE(S170:T170)/AVERAGE(S$173:T$173)</f>
        <v>860.32398361172397</v>
      </c>
      <c r="U227" s="55">
        <f t="shared" si="1595"/>
        <v>723.2713131424174</v>
      </c>
      <c r="V227" s="55">
        <f t="shared" si="1595"/>
        <v>714.70470115210458</v>
      </c>
      <c r="W227" s="55">
        <f t="shared" si="1595"/>
        <v>710.09274611398962</v>
      </c>
      <c r="X227" s="55">
        <f t="shared" si="1595"/>
        <v>726.0348493797992</v>
      </c>
      <c r="Y227" s="55">
        <f t="shared" si="1595"/>
        <v>756.58303118201593</v>
      </c>
      <c r="Z227" s="55">
        <f t="shared" si="1595"/>
        <v>742.22235473714341</v>
      </c>
      <c r="AA227" s="55">
        <f t="shared" si="1595"/>
        <v>788.40251780685776</v>
      </c>
      <c r="AB227" s="55">
        <f t="shared" si="1595"/>
        <v>796.04785505629036</v>
      </c>
      <c r="AC227" s="55">
        <f t="shared" si="1595"/>
        <v>842.877594028977</v>
      </c>
      <c r="AD227" s="55">
        <f t="shared" si="1595"/>
        <v>884.80253353204171</v>
      </c>
      <c r="AE227" s="55">
        <f>AE$229*AVERAGE(AD170:AE170)/AVERAGE(AD$173:AE$173)</f>
        <v>929.93152537547155</v>
      </c>
      <c r="AF227" s="55">
        <f t="shared" si="1595"/>
        <v>981.37057879580573</v>
      </c>
      <c r="AG227" s="55">
        <f t="shared" si="1595"/>
        <v>984.54725038919514</v>
      </c>
      <c r="AH227" s="55">
        <f t="shared" si="1595"/>
        <v>1010.3508720626631</v>
      </c>
      <c r="AI227" s="55">
        <f t="shared" si="1595"/>
        <v>980.63382983064685</v>
      </c>
      <c r="AJ227" s="55">
        <f t="shared" si="1595"/>
        <v>926.807447683634</v>
      </c>
      <c r="AK227" s="55">
        <f t="shared" si="1595"/>
        <v>889.28675941472773</v>
      </c>
      <c r="AL227" s="55">
        <f t="shared" si="1595"/>
        <v>874.90572431077692</v>
      </c>
      <c r="AM227" s="55">
        <f t="shared" si="1595"/>
        <v>858.17459799377684</v>
      </c>
      <c r="AN227" s="55">
        <f t="shared" si="1595"/>
        <v>865.93681291472717</v>
      </c>
      <c r="AO227" s="55">
        <f t="shared" si="1595"/>
        <v>843.49196349244812</v>
      </c>
      <c r="AP227" s="55">
        <f t="shared" si="1595"/>
        <v>647.53394039735099</v>
      </c>
      <c r="AQ227" s="55">
        <f t="shared" si="1595"/>
        <v>541.22551910554125</v>
      </c>
      <c r="AR227" s="55">
        <f t="shared" si="1595"/>
        <v>513.43900414937764</v>
      </c>
      <c r="AS227" s="55">
        <f t="shared" si="1595"/>
        <v>446.5285638952364</v>
      </c>
      <c r="AT227" s="55">
        <f t="shared" si="1595"/>
        <v>394.02093265557414</v>
      </c>
      <c r="AU227" s="55">
        <f t="shared" si="1595"/>
        <v>347.38076622361217</v>
      </c>
      <c r="AV227" s="55">
        <f t="shared" si="1595"/>
        <v>221.43592177066739</v>
      </c>
      <c r="AW227" s="55">
        <f t="shared" si="1595"/>
        <v>93.066816414107549</v>
      </c>
      <c r="AX227" s="55">
        <f t="shared" si="1595"/>
        <v>73.462931607909539</v>
      </c>
      <c r="AY227" s="55">
        <f t="shared" si="1595"/>
        <v>55.964980544747078</v>
      </c>
      <c r="AZ227" s="56">
        <f t="shared" si="1595"/>
        <v>48.133854083638873</v>
      </c>
      <c r="BA227" s="55">
        <f t="shared" ref="BA227:BQ227" si="1596">AZ227*(1+((BA170/AZ170)-1))+(BA$213*AZ227)</f>
        <v>48.438671661342894</v>
      </c>
      <c r="BB227" s="55">
        <f t="shared" si="1596"/>
        <v>51.923683927494352</v>
      </c>
      <c r="BC227" s="55">
        <f t="shared" si="1596"/>
        <v>52.003781578002553</v>
      </c>
      <c r="BD227" s="55">
        <f t="shared" si="1596"/>
        <v>52.110516137252624</v>
      </c>
      <c r="BE227" s="55">
        <f t="shared" si="1596"/>
        <v>52.242890719385855</v>
      </c>
      <c r="BF227" s="55">
        <f t="shared" si="1596"/>
        <v>52.400010247466724</v>
      </c>
      <c r="BG227" s="55">
        <f t="shared" si="1596"/>
        <v>51.833602456180991</v>
      </c>
      <c r="BH227" s="55">
        <f t="shared" si="1596"/>
        <v>51.328193632917767</v>
      </c>
      <c r="BI227" s="55">
        <f t="shared" si="1596"/>
        <v>50.752937169186794</v>
      </c>
      <c r="BJ227" s="55">
        <f t="shared" si="1596"/>
        <v>50.231441294437694</v>
      </c>
      <c r="BK227" s="55">
        <f t="shared" si="1596"/>
        <v>51.241093264455891</v>
      </c>
      <c r="BL227" s="55">
        <f t="shared" si="1596"/>
        <v>52.271039239071456</v>
      </c>
      <c r="BM227" s="55">
        <f t="shared" si="1596"/>
        <v>53.321687127776791</v>
      </c>
      <c r="BN227" s="55">
        <f t="shared" si="1596"/>
        <v>54.393453039045106</v>
      </c>
      <c r="BO227" s="55">
        <f t="shared" si="1596"/>
        <v>55.486761445129915</v>
      </c>
      <c r="BP227" s="55">
        <f t="shared" si="1596"/>
        <v>56.602045350177029</v>
      </c>
      <c r="BQ227" s="55">
        <f t="shared" si="1596"/>
        <v>57.73974646171559</v>
      </c>
      <c r="BR227" s="55"/>
      <c r="BS227" s="55">
        <v>0</v>
      </c>
      <c r="BT227" s="55">
        <v>0</v>
      </c>
      <c r="BU227" s="55">
        <v>0</v>
      </c>
      <c r="BV227" s="55">
        <v>0</v>
      </c>
      <c r="BW227" s="55">
        <v>0</v>
      </c>
      <c r="BX227" s="55">
        <v>0</v>
      </c>
      <c r="BY227" s="55">
        <v>0</v>
      </c>
      <c r="BZ227" s="55">
        <v>0</v>
      </c>
      <c r="CA227" s="55">
        <v>0</v>
      </c>
      <c r="CB227" s="55">
        <v>0</v>
      </c>
      <c r="CC227" s="55">
        <f>SUMPRODUCT(D227:E227,D$5:E$5)/SUM(D$5:E$5)</f>
        <v>0</v>
      </c>
      <c r="CD227" s="55">
        <f>SUMPRODUCT(F227:G227,F$5:G$5)/SUM(F$5:G$5)</f>
        <v>0</v>
      </c>
      <c r="CE227" s="55">
        <f>SUMPRODUCT(H227:I227,H$5:I$5)/SUM(H$5:I$5)</f>
        <v>0</v>
      </c>
      <c r="CF227" s="55">
        <f>SUMPRODUCT(J227:K227,J$5:K$5)/SUM(J$5:K$5)</f>
        <v>0</v>
      </c>
      <c r="CG227" s="55">
        <f>SUMPRODUCT(L227:M227,L$5:M$5)/SUM(L$5:M$5)</f>
        <v>0</v>
      </c>
      <c r="CH227" s="55">
        <f>SUMPRODUCT(N227:O227,N$5:O$5)/SUM(N$5:O$5)</f>
        <v>0</v>
      </c>
      <c r="CI227" s="55">
        <f>SUMPRODUCT(P227:Q227,P$5:Q$5)/SUM(P$5:Q$5)</f>
        <v>0</v>
      </c>
      <c r="CJ227" s="55">
        <f>SUMPRODUCT(R227:S227,R$5:S$5)/SUM(R$5:S$5)</f>
        <v>0</v>
      </c>
      <c r="CK227" s="55">
        <f>CK$229*AVERAGE(CJ170:CK170)/AVERAGE(CJ$173:CK$173)</f>
        <v>899.16831911459531</v>
      </c>
      <c r="CL227" s="55">
        <f>CL$229*AVERAGE(CK170:CL170)/AVERAGE(CK$173:CL$173)</f>
        <v>688.37038603274334</v>
      </c>
      <c r="CM227" s="55">
        <f t="shared" ref="CM227:CV227" si="1597">CM$229*AVERAGE(CL170:CM170)/AVERAGE(CL$173:CM$173)</f>
        <v>726.99955883974849</v>
      </c>
      <c r="CN227" s="55">
        <f t="shared" si="1597"/>
        <v>739.63685854152595</v>
      </c>
      <c r="CO227" s="55">
        <f t="shared" si="1597"/>
        <v>869.88070634401572</v>
      </c>
      <c r="CP227" s="55">
        <f t="shared" si="1597"/>
        <v>919.02411902494271</v>
      </c>
      <c r="CQ227" s="55">
        <f t="shared" si="1597"/>
        <v>1006.073158392539</v>
      </c>
      <c r="CR227" s="55">
        <f t="shared" si="1597"/>
        <v>963.05851031023212</v>
      </c>
      <c r="CS227" s="55">
        <f t="shared" si="1597"/>
        <v>933.15369373336273</v>
      </c>
      <c r="CT227" s="55">
        <f t="shared" si="1597"/>
        <v>895.02509084616713</v>
      </c>
      <c r="CU227" s="55">
        <f t="shared" si="1597"/>
        <v>837.7006834062812</v>
      </c>
      <c r="CV227" s="55">
        <f t="shared" si="1597"/>
        <v>585.32000231508277</v>
      </c>
      <c r="CW227" s="55">
        <f>SUMPRODUCT(AR227:AS227,AR$5:AS$5)/SUM(AR$5:AS$5)</f>
        <v>479.70880961030372</v>
      </c>
      <c r="CX227" s="55">
        <f>SUMPRODUCT(AT227:AU227,AT$5:AU$5)/SUM(AT$5:AU$5)</f>
        <v>370.5091775227495</v>
      </c>
      <c r="CY227" s="55">
        <f>SUMPRODUCT(AV227:AW227,AV$5:AW$5)/SUM(AV$5:AW$5)</f>
        <v>156.90063383185043</v>
      </c>
      <c r="CZ227" s="56">
        <f>SUMPRODUCT(AX227:AY227,AX$5:AY$5)/SUM(AX$5:AY$5)</f>
        <v>64.6420466883975</v>
      </c>
      <c r="DA227" s="55">
        <f>SUMPRODUCT(AZ227:BA227,AZ$5:BA$5)/SUM(AZ$5:BA$5)</f>
        <v>48.287515547467748</v>
      </c>
      <c r="DB227" s="55">
        <f>SUMPRODUCT(BB227:BC227,BB$5:BC$5)/SUM(BB$5:BC$5)</f>
        <v>51.964061921175201</v>
      </c>
      <c r="DC227" s="55">
        <f>SUMPRODUCT(BD227:BE227,BD$5:BE$5)/SUM(BD$5:BE$5)</f>
        <v>52.177065107505399</v>
      </c>
      <c r="DD227" s="55">
        <f>SUMPRODUCT(BF227:BG227,BF$5:BG$5)/SUM(BF$5:BG$5)</f>
        <v>52.114478648571996</v>
      </c>
      <c r="DE227" s="55">
        <f>SUMPRODUCT(BH227:BI227,BH$5:BI$5)/SUM(BH$5:BI$5)</f>
        <v>51.038201333393111</v>
      </c>
      <c r="DF227" s="55">
        <f>SUMPRODUCT(BJ227:BK227,BJ$5:BK$5)/SUM(BJ$5:BK$5)</f>
        <v>50.740416534118097</v>
      </c>
      <c r="DG227" s="55">
        <f>SUMPRODUCT(BL227:BM227,BL$5:BM$5)/SUM(BL$5:BM$5)</f>
        <v>52.799233806070859</v>
      </c>
      <c r="DH227" s="55">
        <f>SUMPRODUCT(BN227:BO227,BN$5:BO$5)/SUM(BN$5:BO$5)</f>
        <v>54.944600290331699</v>
      </c>
      <c r="DI227" s="55">
        <f>SUMPRODUCT(BP227:BQ227,BP$5:BQ$5)/SUM(BP$5:BQ$5)</f>
        <v>57.175571389966329</v>
      </c>
    </row>
    <row r="228" spans="1:114" outlineLevel="1">
      <c r="A228" s="1" t="s">
        <v>1061</v>
      </c>
      <c r="B228" s="19" t="s">
        <v>343</v>
      </c>
      <c r="C228" s="55">
        <v>0</v>
      </c>
      <c r="D228" s="55">
        <v>0</v>
      </c>
      <c r="E228" s="55">
        <v>0</v>
      </c>
      <c r="F228" s="55">
        <v>0</v>
      </c>
      <c r="G228" s="55">
        <v>0</v>
      </c>
      <c r="H228" s="55">
        <v>0</v>
      </c>
      <c r="I228" s="55">
        <v>0</v>
      </c>
      <c r="J228" s="55">
        <v>0</v>
      </c>
      <c r="K228" s="55">
        <v>0</v>
      </c>
      <c r="L228" s="55">
        <v>0</v>
      </c>
      <c r="M228" s="55">
        <v>0</v>
      </c>
      <c r="N228" s="55">
        <v>0</v>
      </c>
      <c r="O228" s="55">
        <v>0</v>
      </c>
      <c r="P228" s="55">
        <v>0</v>
      </c>
      <c r="Q228" s="55">
        <v>0</v>
      </c>
      <c r="R228" s="55">
        <v>0</v>
      </c>
      <c r="S228" s="55">
        <v>0</v>
      </c>
      <c r="T228" s="55">
        <f t="shared" ref="T228:AZ228" si="1598">T$229*(SUM(AVERAGE(S172:T172),AVERAGE(S171:T171))/AVERAGE(S$173:T$173))</f>
        <v>10641.676016388277</v>
      </c>
      <c r="U228" s="55">
        <f t="shared" si="1598"/>
        <v>8197.7286868575829</v>
      </c>
      <c r="V228" s="55">
        <f t="shared" si="1598"/>
        <v>7216.4168458092208</v>
      </c>
      <c r="W228" s="55">
        <f t="shared" si="1598"/>
        <v>7327.90725388601</v>
      </c>
      <c r="X228" s="55">
        <f t="shared" si="1598"/>
        <v>8116.9651506202008</v>
      </c>
      <c r="Y228" s="55">
        <f t="shared" si="1598"/>
        <v>9227.4169688179845</v>
      </c>
      <c r="Z228" s="55">
        <f t="shared" si="1598"/>
        <v>9664.7776452628568</v>
      </c>
      <c r="AA228" s="55">
        <f t="shared" si="1598"/>
        <v>11215.597482193143</v>
      </c>
      <c r="AB228" s="55">
        <f t="shared" si="1598"/>
        <v>13893.952144943709</v>
      </c>
      <c r="AC228" s="55">
        <f t="shared" si="1598"/>
        <v>16578.122405971022</v>
      </c>
      <c r="AD228" s="55">
        <f t="shared" si="1598"/>
        <v>18400.197466467958</v>
      </c>
      <c r="AE228" s="55">
        <f t="shared" si="1598"/>
        <v>20748.068474624528</v>
      </c>
      <c r="AF228" s="55">
        <f t="shared" si="1598"/>
        <v>23007.629421204194</v>
      </c>
      <c r="AG228" s="55">
        <f t="shared" si="1598"/>
        <v>23276.452749610806</v>
      </c>
      <c r="AH228" s="55">
        <f t="shared" si="1598"/>
        <v>23126.649127937337</v>
      </c>
      <c r="AI228" s="55">
        <f t="shared" si="1598"/>
        <v>23403.366170169353</v>
      </c>
      <c r="AJ228" s="55">
        <f t="shared" si="1598"/>
        <v>24594.192552316366</v>
      </c>
      <c r="AK228" s="55">
        <f t="shared" si="1598"/>
        <v>24767.713240585272</v>
      </c>
      <c r="AL228" s="55">
        <f t="shared" si="1598"/>
        <v>23792.094275689222</v>
      </c>
      <c r="AM228" s="55">
        <f t="shared" si="1598"/>
        <v>21076.825402006223</v>
      </c>
      <c r="AN228" s="55">
        <f t="shared" si="1598"/>
        <v>19280.063187085274</v>
      </c>
      <c r="AO228" s="55">
        <f t="shared" si="1598"/>
        <v>19265.508036507552</v>
      </c>
      <c r="AP228" s="55">
        <f t="shared" si="1598"/>
        <v>15995.46605960265</v>
      </c>
      <c r="AQ228" s="55">
        <f t="shared" si="1598"/>
        <v>15275.774480894459</v>
      </c>
      <c r="AR228" s="55">
        <f t="shared" si="1598"/>
        <v>16914.560995850621</v>
      </c>
      <c r="AS228" s="55">
        <f t="shared" si="1598"/>
        <v>16602.471436104763</v>
      </c>
      <c r="AT228" s="55">
        <f t="shared" si="1598"/>
        <v>15708.979067344426</v>
      </c>
      <c r="AU228" s="55">
        <f t="shared" si="1598"/>
        <v>14462.619233776388</v>
      </c>
      <c r="AV228" s="55">
        <f t="shared" si="1598"/>
        <v>14762.564078229332</v>
      </c>
      <c r="AW228" s="55">
        <f t="shared" si="1598"/>
        <v>15243.933183585892</v>
      </c>
      <c r="AX228" s="55">
        <f t="shared" si="1598"/>
        <v>16917.537068392088</v>
      </c>
      <c r="AY228" s="55">
        <f t="shared" si="1598"/>
        <v>18112.035019455252</v>
      </c>
      <c r="AZ228" s="56">
        <f t="shared" si="1598"/>
        <v>19224.86614591636</v>
      </c>
      <c r="BA228" s="55">
        <f t="shared" ref="BA228:BQ228" si="1599">AZ228*(1+((BA171/AZ171)-1))+(BA$213*AZ228)</f>
        <v>19354.181910499054</v>
      </c>
      <c r="BB228" s="55">
        <f t="shared" si="1599"/>
        <v>20667.176361839247</v>
      </c>
      <c r="BC228" s="55">
        <f t="shared" si="1599"/>
        <v>20619.76102215358</v>
      </c>
      <c r="BD228" s="55">
        <f t="shared" si="1599"/>
        <v>20480.841993798014</v>
      </c>
      <c r="BE228" s="55">
        <f t="shared" si="1599"/>
        <v>20352.762373004163</v>
      </c>
      <c r="BF228" s="55">
        <f t="shared" si="1599"/>
        <v>20234.909427020149</v>
      </c>
      <c r="BG228" s="55">
        <f t="shared" si="1599"/>
        <v>19879.936848624737</v>
      </c>
      <c r="BH228" s="55">
        <f t="shared" si="1599"/>
        <v>19552.09513027902</v>
      </c>
      <c r="BI228" s="55">
        <f t="shared" si="1599"/>
        <v>19248.956943011461</v>
      </c>
      <c r="BJ228" s="55">
        <f t="shared" si="1599"/>
        <v>18968.38514297091</v>
      </c>
      <c r="BK228" s="55">
        <f t="shared" si="1599"/>
        <v>19265.567483413903</v>
      </c>
      <c r="BL228" s="55">
        <f t="shared" si="1599"/>
        <v>19567.405852443699</v>
      </c>
      <c r="BM228" s="55">
        <f t="shared" si="1599"/>
        <v>19873.973197201667</v>
      </c>
      <c r="BN228" s="55">
        <f t="shared" si="1599"/>
        <v>20185.343607709929</v>
      </c>
      <c r="BO228" s="55">
        <f t="shared" si="1599"/>
        <v>20501.592334777142</v>
      </c>
      <c r="BP228" s="55">
        <f t="shared" si="1599"/>
        <v>20822.795808184837</v>
      </c>
      <c r="BQ228" s="55">
        <f t="shared" si="1599"/>
        <v>21149.031655158666</v>
      </c>
      <c r="BR228" s="55"/>
      <c r="BS228" s="55">
        <v>0</v>
      </c>
      <c r="BT228" s="55">
        <v>0</v>
      </c>
      <c r="BU228" s="55">
        <v>0</v>
      </c>
      <c r="BV228" s="55">
        <v>0</v>
      </c>
      <c r="BW228" s="55">
        <v>0</v>
      </c>
      <c r="BX228" s="55">
        <v>0</v>
      </c>
      <c r="BY228" s="55">
        <v>0</v>
      </c>
      <c r="BZ228" s="55">
        <v>0</v>
      </c>
      <c r="CA228" s="55">
        <v>0</v>
      </c>
      <c r="CB228" s="55">
        <v>0</v>
      </c>
      <c r="CC228" s="55">
        <f>SUMPRODUCT(D228:E228,D$5:E$5)/SUM(D$5:E$5)</f>
        <v>0</v>
      </c>
      <c r="CD228" s="55">
        <f>SUMPRODUCT(F228:G228,F$5:G$5)/SUM(F$5:G$5)</f>
        <v>0</v>
      </c>
      <c r="CE228" s="55">
        <f>SUMPRODUCT(H228:I228,H$5:I$5)/SUM(H$5:I$5)</f>
        <v>0</v>
      </c>
      <c r="CF228" s="55">
        <f>SUMPRODUCT(J228:K228,J$5:K$5)/SUM(J$5:K$5)</f>
        <v>0</v>
      </c>
      <c r="CG228" s="55">
        <f>SUMPRODUCT(L228:M228,L$5:M$5)/SUM(L$5:M$5)</f>
        <v>0</v>
      </c>
      <c r="CH228" s="55">
        <f>SUMPRODUCT(N228:O228,N$5:O$5)/SUM(N$5:O$5)</f>
        <v>0</v>
      </c>
      <c r="CI228" s="55">
        <f>SUMPRODUCT(P228:Q228,P$5:Q$5)/SUM(P$5:Q$5)</f>
        <v>0</v>
      </c>
      <c r="CJ228" s="55">
        <f>SUMPRODUCT(R228:S228,R$5:S$5)/SUM(R$5:S$5)</f>
        <v>0</v>
      </c>
      <c r="CK228" s="55">
        <f>CK$229*(SUM(AVERAGE(CJ172:CK172),AVERAGE(CJ171:CK171))/AVERAGE(CJ$173:CK$173))</f>
        <v>9322.8316808854033</v>
      </c>
      <c r="CL228" s="55">
        <f>CL$229*(SUM(AVERAGE(CK172:CL172),AVERAGE(CK171:CL171))/AVERAGE(CK$173:CL$173))</f>
        <v>7296.6296139672559</v>
      </c>
      <c r="CM228" s="55">
        <f t="shared" ref="CM228:CV228" si="1600">CM$229*(SUM(AVERAGE(CL172:CM172),AVERAGE(CL171:CM171))/AVERAGE(CL$173:CM$173))</f>
        <v>8683.0004411602513</v>
      </c>
      <c r="CN228" s="55">
        <f t="shared" si="1600"/>
        <v>10459.363141458474</v>
      </c>
      <c r="CO228" s="55">
        <f t="shared" si="1600"/>
        <v>15174.119293655986</v>
      </c>
      <c r="CP228" s="55">
        <f t="shared" si="1600"/>
        <v>19552.975880975056</v>
      </c>
      <c r="CQ228" s="55">
        <f t="shared" si="1600"/>
        <v>23117.926841607459</v>
      </c>
      <c r="CR228" s="55">
        <f t="shared" si="1600"/>
        <v>23295.941489689769</v>
      </c>
      <c r="CS228" s="55">
        <f t="shared" si="1600"/>
        <v>24655.846306266638</v>
      </c>
      <c r="CT228" s="55">
        <f t="shared" si="1600"/>
        <v>22416.974909153832</v>
      </c>
      <c r="CU228" s="55">
        <f t="shared" si="1600"/>
        <v>19290.299316593719</v>
      </c>
      <c r="CV228" s="55">
        <f t="shared" si="1600"/>
        <v>15647.679997684918</v>
      </c>
      <c r="CW228" s="55">
        <f>SUMPRODUCT(AR228:AS228,AR$5:AS$5)/SUM(AR$5:AS$5)</f>
        <v>16757.233656143122</v>
      </c>
      <c r="CX228" s="55">
        <f>SUMPRODUCT(AT228:AU228,AT$5:AU$5)/SUM(AT$5:AU$5)</f>
        <v>15080.677123847114</v>
      </c>
      <c r="CY228" s="55">
        <f>SUMPRODUCT(AV228:AW228,AV$5:AW$5)/SUM(AV$5:AW$5)</f>
        <v>15004.563847042467</v>
      </c>
      <c r="CZ228" s="56">
        <f>SUMPRODUCT(AX228:AY228,AX$5:AY$5)/SUM(AX$5:AY$5)</f>
        <v>17519.694939612971</v>
      </c>
      <c r="DA228" s="55">
        <f>SUMPRODUCT(AZ228:BA228,AZ$5:BA$5)/SUM(AZ$5:BA$5)</f>
        <v>19290.055462856675</v>
      </c>
      <c r="DB228" s="55">
        <f>SUMPRODUCT(BB228:BC228,BB$5:BC$5)/SUM(BB$5:BC$5)</f>
        <v>20643.273834436062</v>
      </c>
      <c r="DC228" s="55">
        <f>SUMPRODUCT(BD228:BE228,BD$5:BE$5)/SUM(BD$5:BE$5)</f>
        <v>20416.452239081984</v>
      </c>
      <c r="DD228" s="55">
        <f>SUMPRODUCT(BF228:BG228,BF$5:BG$5)/SUM(BF$5:BG$5)</f>
        <v>20055.96434640438</v>
      </c>
      <c r="DE228" s="55">
        <f>SUMPRODUCT(BH228:BI228,BH$5:BI$5)/SUM(BH$5:BI$5)</f>
        <v>19399.280263272907</v>
      </c>
      <c r="DF228" s="55">
        <f>SUMPRODUCT(BJ228:BK228,BJ$5:BK$5)/SUM(BJ$5:BK$5)</f>
        <v>19118.1976104819</v>
      </c>
      <c r="DG228" s="55">
        <f>SUMPRODUCT(BL228:BM228,BL$5:BM$5)/SUM(BL$5:BM$5)</f>
        <v>19721.527140518745</v>
      </c>
      <c r="DH228" s="55">
        <f>SUMPRODUCT(BN228:BO228,BN$5:BO$5)/SUM(BN$5:BO$5)</f>
        <v>20344.767623546551</v>
      </c>
      <c r="DI228" s="55">
        <f>SUMPRODUCT(BP228:BQ228,BP$5:BQ$5)/SUM(BP$5:BQ$5)</f>
        <v>20987.25442693329</v>
      </c>
    </row>
    <row r="229" spans="1:114" s="24" customFormat="1" outlineLevel="1">
      <c r="A229" s="1" t="s">
        <v>400</v>
      </c>
      <c r="B229" s="24" t="s">
        <v>168</v>
      </c>
      <c r="C229" s="81">
        <v>0</v>
      </c>
      <c r="D229" s="81">
        <v>0</v>
      </c>
      <c r="E229" s="81">
        <v>0</v>
      </c>
      <c r="F229" s="81">
        <v>0</v>
      </c>
      <c r="G229" s="81">
        <v>0</v>
      </c>
      <c r="H229" s="81">
        <v>0</v>
      </c>
      <c r="I229" s="81">
        <v>0</v>
      </c>
      <c r="J229" s="81">
        <v>0</v>
      </c>
      <c r="K229" s="81">
        <v>0</v>
      </c>
      <c r="L229" s="81">
        <v>0</v>
      </c>
      <c r="M229" s="81">
        <v>0</v>
      </c>
      <c r="N229" s="81">
        <v>0</v>
      </c>
      <c r="O229" s="81">
        <v>0</v>
      </c>
      <c r="P229" s="81">
        <v>0</v>
      </c>
      <c r="Q229" s="81">
        <v>0</v>
      </c>
      <c r="R229" s="81">
        <v>0</v>
      </c>
      <c r="S229" s="81">
        <v>0</v>
      </c>
      <c r="T229" s="81">
        <v>11502</v>
      </c>
      <c r="U229" s="81">
        <v>8921</v>
      </c>
      <c r="V229" s="81">
        <f>(7985*(V$5+W$5)-W229*W$5)/V$5</f>
        <v>7931.1215469613253</v>
      </c>
      <c r="W229" s="81">
        <v>8038</v>
      </c>
      <c r="X229" s="81">
        <v>8843</v>
      </c>
      <c r="Y229" s="81">
        <v>9984</v>
      </c>
      <c r="Z229" s="81">
        <v>10407</v>
      </c>
      <c r="AA229" s="166">
        <v>12004</v>
      </c>
      <c r="AB229" s="166">
        <v>14690</v>
      </c>
      <c r="AC229" s="166">
        <v>17421</v>
      </c>
      <c r="AD229" s="166">
        <v>19285</v>
      </c>
      <c r="AE229" s="166">
        <v>21678</v>
      </c>
      <c r="AF229" s="166">
        <v>23989</v>
      </c>
      <c r="AG229" s="166">
        <v>24261</v>
      </c>
      <c r="AH229" s="166">
        <v>24137</v>
      </c>
      <c r="AI229" s="166">
        <v>24384</v>
      </c>
      <c r="AJ229" s="166">
        <v>25521</v>
      </c>
      <c r="AK229" s="166">
        <v>25657</v>
      </c>
      <c r="AL229" s="166">
        <v>24667</v>
      </c>
      <c r="AM229" s="166">
        <v>21935</v>
      </c>
      <c r="AN229" s="166">
        <v>20146</v>
      </c>
      <c r="AO229" s="166">
        <v>20109</v>
      </c>
      <c r="AP229" s="166">
        <v>16643</v>
      </c>
      <c r="AQ229" s="166">
        <v>15817</v>
      </c>
      <c r="AR229" s="166">
        <v>17428</v>
      </c>
      <c r="AS229" s="166">
        <v>17049</v>
      </c>
      <c r="AT229" s="166">
        <v>16103</v>
      </c>
      <c r="AU229" s="166">
        <v>14810</v>
      </c>
      <c r="AV229" s="166">
        <v>14984</v>
      </c>
      <c r="AW229" s="166">
        <v>15337</v>
      </c>
      <c r="AX229" s="166">
        <v>16991</v>
      </c>
      <c r="AY229" s="166">
        <v>18168</v>
      </c>
      <c r="AZ229" s="167">
        <v>19273</v>
      </c>
      <c r="BA229" s="82">
        <f t="shared" ref="BA229:BQ229" si="1601">AZ229*(1+((BA173/AZ173)-1))+(BA$213*AZ229)</f>
        <v>19402.62280444827</v>
      </c>
      <c r="BB229" s="82">
        <f t="shared" si="1601"/>
        <v>20719.079096705595</v>
      </c>
      <c r="BC229" s="82">
        <f t="shared" si="1601"/>
        <v>20671.720544645916</v>
      </c>
      <c r="BD229" s="82">
        <f t="shared" si="1601"/>
        <v>20532.854956621504</v>
      </c>
      <c r="BE229" s="82">
        <f t="shared" si="1601"/>
        <v>20404.854591923697</v>
      </c>
      <c r="BF229" s="82">
        <f t="shared" si="1601"/>
        <v>20287.105747798763</v>
      </c>
      <c r="BG229" s="82">
        <f t="shared" si="1601"/>
        <v>19931.52896764777</v>
      </c>
      <c r="BH229" s="82">
        <f t="shared" si="1601"/>
        <v>19603.144858953907</v>
      </c>
      <c r="BI229" s="82">
        <f t="shared" si="1601"/>
        <v>19299.409874842051</v>
      </c>
      <c r="BJ229" s="82">
        <f t="shared" si="1601"/>
        <v>19018.295359745152</v>
      </c>
      <c r="BK229" s="82">
        <f t="shared" si="1601"/>
        <v>19316.456213010882</v>
      </c>
      <c r="BL229" s="82">
        <f t="shared" si="1601"/>
        <v>19619.292376263838</v>
      </c>
      <c r="BM229" s="82">
        <f t="shared" si="1601"/>
        <v>19926.877178142895</v>
      </c>
      <c r="BN229" s="82">
        <f t="shared" si="1601"/>
        <v>20239.285097740856</v>
      </c>
      <c r="BO229" s="82">
        <f t="shared" si="1601"/>
        <v>20556.591782660995</v>
      </c>
      <c r="BP229" s="82">
        <f t="shared" si="1601"/>
        <v>20878.874067357076</v>
      </c>
      <c r="BQ229" s="82">
        <f t="shared" si="1601"/>
        <v>21206.209991761469</v>
      </c>
      <c r="BR229" s="82"/>
      <c r="BS229" s="81">
        <v>0</v>
      </c>
      <c r="BT229" s="81">
        <v>0</v>
      </c>
      <c r="BU229" s="81">
        <v>0</v>
      </c>
      <c r="BV229" s="81">
        <v>0</v>
      </c>
      <c r="BW229" s="81">
        <v>0</v>
      </c>
      <c r="BX229" s="81">
        <v>0</v>
      </c>
      <c r="BY229" s="81">
        <v>0</v>
      </c>
      <c r="BZ229" s="81">
        <v>0</v>
      </c>
      <c r="CA229" s="81">
        <v>0</v>
      </c>
      <c r="CB229" s="81">
        <v>0</v>
      </c>
      <c r="CC229" s="82">
        <f>SUMPRODUCT(D229:E229,D$5:E$5)/SUM(D$5:E$5)</f>
        <v>0</v>
      </c>
      <c r="CD229" s="82">
        <f>SUMPRODUCT(F229:G229,F$5:G$5)/SUM(F$5:G$5)</f>
        <v>0</v>
      </c>
      <c r="CE229" s="82">
        <f>SUMPRODUCT(H229:I229,H$5:I$5)/SUM(H$5:I$5)</f>
        <v>0</v>
      </c>
      <c r="CF229" s="82">
        <f>SUMPRODUCT(J229:K229,J$5:K$5)/SUM(J$5:K$5)</f>
        <v>0</v>
      </c>
      <c r="CG229" s="82">
        <f>SUMPRODUCT(L229:M229,L$5:M$5)/SUM(L$5:M$5)</f>
        <v>0</v>
      </c>
      <c r="CH229" s="82">
        <f>SUMPRODUCT(N229:O229,N$5:O$5)/SUM(N$5:O$5)</f>
        <v>0</v>
      </c>
      <c r="CI229" s="82">
        <f>SUMPRODUCT(P229:Q229,P$5:Q$5)/SUM(P$5:Q$5)</f>
        <v>0</v>
      </c>
      <c r="CJ229" s="82">
        <f>SUMPRODUCT(R229:S229,R$5:S$5)/SUM(R$5:S$5)</f>
        <v>0</v>
      </c>
      <c r="CK229" s="166">
        <f>10222</f>
        <v>10222</v>
      </c>
      <c r="CL229" s="166">
        <v>7985</v>
      </c>
      <c r="CM229" s="166">
        <v>9410</v>
      </c>
      <c r="CN229" s="166">
        <v>11199</v>
      </c>
      <c r="CO229" s="166">
        <v>16044</v>
      </c>
      <c r="CP229" s="166">
        <v>20472</v>
      </c>
      <c r="CQ229" s="166">
        <v>24124</v>
      </c>
      <c r="CR229" s="166">
        <v>24259</v>
      </c>
      <c r="CS229" s="166">
        <v>25589</v>
      </c>
      <c r="CT229" s="166">
        <v>23312</v>
      </c>
      <c r="CU229" s="166">
        <v>20128</v>
      </c>
      <c r="CV229" s="166">
        <v>16233</v>
      </c>
      <c r="CW229" s="166">
        <v>17240</v>
      </c>
      <c r="CX229" s="166">
        <v>15462</v>
      </c>
      <c r="CY229" s="166">
        <v>15160</v>
      </c>
      <c r="CZ229" s="167">
        <v>17575</v>
      </c>
      <c r="DA229" s="82">
        <f>SUMPRODUCT(AZ229:BA229,AZ$5:BA$5)/SUM(AZ$5:BA$5)</f>
        <v>19338.344098680769</v>
      </c>
      <c r="DB229" s="82">
        <f>SUMPRODUCT(BB229:BC229,BB$5:BC$5)/SUM(BB$5:BC$5)</f>
        <v>20695.205196489205</v>
      </c>
      <c r="DC229" s="82">
        <f>SUMPRODUCT(BD229:BE229,BD$5:BE$5)/SUM(BD$5:BE$5)</f>
        <v>20468.505046500202</v>
      </c>
      <c r="DD229" s="82">
        <f>SUMPRODUCT(BF229:BG229,BF$5:BG$5)/SUM(BF$5:BG$5)</f>
        <v>20107.856083284289</v>
      </c>
      <c r="DE229" s="82">
        <f>SUMPRODUCT(BH229:BI229,BH$5:BI$5)/SUM(BH$5:BI$5)</f>
        <v>19450.029140935876</v>
      </c>
      <c r="DF229" s="82">
        <f>SUMPRODUCT(BJ229:BK229,BJ$5:BK$5)/SUM(BJ$5:BK$5)</f>
        <v>19168.601104953083</v>
      </c>
      <c r="DG229" s="82">
        <f>SUMPRODUCT(BL229:BM229,BL$5:BM$5)/SUM(BL$5:BM$5)</f>
        <v>19773.925172836916</v>
      </c>
      <c r="DH229" s="82">
        <f>SUMPRODUCT(BN229:BO229,BN$5:BO$5)/SUM(BN$5:BO$5)</f>
        <v>20399.242440275939</v>
      </c>
      <c r="DI229" s="82">
        <f>SUMPRODUCT(BP229:BQ229,BP$5:BQ$5)/SUM(BP$5:BQ$5)</f>
        <v>21043.887245686961</v>
      </c>
    </row>
    <row r="230" spans="1:114" outlineLevel="1">
      <c r="C230" s="55"/>
      <c r="D230" s="55"/>
      <c r="E230" s="55"/>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5"/>
      <c r="AU230" s="55"/>
      <c r="AV230" s="55"/>
      <c r="AW230" s="55"/>
      <c r="AX230" s="55"/>
      <c r="AY230" s="55"/>
      <c r="AZ230" s="56"/>
      <c r="BA230" s="55"/>
      <c r="BB230" s="55"/>
      <c r="BC230" s="55"/>
      <c r="BD230" s="55"/>
      <c r="BE230" s="55"/>
      <c r="BF230" s="55"/>
      <c r="BG230" s="55"/>
      <c r="BH230" s="55"/>
      <c r="BI230" s="55"/>
      <c r="BJ230" s="55"/>
      <c r="BK230" s="55"/>
      <c r="BL230" s="55"/>
      <c r="BM230" s="55"/>
      <c r="BN230" s="55"/>
      <c r="BO230" s="55"/>
      <c r="BP230" s="55"/>
      <c r="BQ230" s="55"/>
      <c r="BR230" s="55"/>
      <c r="BS230" s="55"/>
      <c r="BT230" s="55"/>
      <c r="BU230" s="55"/>
      <c r="BV230" s="55"/>
      <c r="BW230" s="55"/>
      <c r="BX230" s="55"/>
      <c r="BY230" s="55"/>
      <c r="BZ230" s="55"/>
      <c r="CA230" s="55"/>
      <c r="CB230" s="55"/>
      <c r="CC230" s="55"/>
      <c r="CD230" s="55"/>
      <c r="CE230" s="55"/>
      <c r="CF230" s="55"/>
      <c r="CG230" s="55"/>
      <c r="CH230" s="55"/>
      <c r="CI230" s="55"/>
      <c r="CJ230" s="55"/>
      <c r="CK230" s="55"/>
      <c r="CL230" s="55"/>
      <c r="CM230" s="55"/>
      <c r="CN230" s="55"/>
      <c r="CO230" s="55"/>
      <c r="CP230" s="55"/>
      <c r="CQ230" s="55"/>
      <c r="CR230" s="55"/>
      <c r="CS230" s="55"/>
      <c r="CT230" s="55"/>
      <c r="CU230" s="55"/>
      <c r="CV230" s="55"/>
      <c r="CW230" s="55"/>
      <c r="CX230" s="55"/>
      <c r="CY230" s="55"/>
      <c r="CZ230" s="56"/>
      <c r="DA230" s="55"/>
      <c r="DB230" s="55"/>
      <c r="DC230" s="55"/>
      <c r="DD230" s="55"/>
      <c r="DE230" s="55"/>
      <c r="DF230" s="55"/>
      <c r="DG230" s="55"/>
      <c r="DH230" s="55"/>
      <c r="DI230" s="55"/>
    </row>
    <row r="231" spans="1:114" s="24" customFormat="1" outlineLevel="1">
      <c r="A231" s="1"/>
      <c r="B231" s="24" t="s">
        <v>342</v>
      </c>
      <c r="C231" s="82"/>
      <c r="D231" s="82"/>
      <c r="E231" s="82"/>
      <c r="F231" s="82"/>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G231" s="82"/>
      <c r="AH231" s="82"/>
      <c r="AI231" s="82"/>
      <c r="AJ231" s="82"/>
      <c r="AK231" s="82"/>
      <c r="AL231" s="82"/>
      <c r="AM231" s="82"/>
      <c r="AN231" s="82"/>
      <c r="AO231" s="82"/>
      <c r="AP231" s="82"/>
      <c r="AQ231" s="82"/>
      <c r="AR231" s="82"/>
      <c r="AS231" s="82"/>
      <c r="AT231" s="82"/>
      <c r="AU231" s="82"/>
      <c r="AV231" s="82"/>
      <c r="AW231" s="82"/>
      <c r="AX231" s="82"/>
      <c r="AY231" s="82"/>
      <c r="AZ231" s="83"/>
      <c r="BA231" s="82"/>
      <c r="BB231" s="82"/>
      <c r="BC231" s="82"/>
      <c r="BD231" s="82"/>
      <c r="BE231" s="82"/>
      <c r="BF231" s="82"/>
      <c r="BG231" s="82"/>
      <c r="BH231" s="82"/>
      <c r="BI231" s="82"/>
      <c r="BJ231" s="82"/>
      <c r="BK231" s="82"/>
      <c r="BL231" s="82"/>
      <c r="BM231" s="82"/>
      <c r="BN231" s="82"/>
      <c r="BO231" s="82"/>
      <c r="BP231" s="82"/>
      <c r="BQ231" s="82"/>
      <c r="BR231" s="82"/>
      <c r="BS231" s="82"/>
      <c r="BT231" s="82"/>
      <c r="BU231" s="82"/>
      <c r="BV231" s="82"/>
      <c r="BW231" s="82"/>
      <c r="BX231" s="82"/>
      <c r="BY231" s="82"/>
      <c r="BZ231" s="82"/>
      <c r="CA231" s="82"/>
      <c r="CB231" s="82"/>
      <c r="CC231" s="82"/>
      <c r="CD231" s="82"/>
      <c r="CE231" s="82"/>
      <c r="CF231" s="82"/>
      <c r="CG231" s="82"/>
      <c r="CH231" s="82"/>
      <c r="CI231" s="82"/>
      <c r="CJ231" s="82"/>
      <c r="CK231" s="82"/>
      <c r="CL231" s="82"/>
      <c r="CM231" s="82"/>
      <c r="CN231" s="82"/>
      <c r="CO231" s="82"/>
      <c r="CP231" s="82"/>
      <c r="CQ231" s="82"/>
      <c r="CR231" s="82"/>
      <c r="CS231" s="82"/>
      <c r="CT231" s="82"/>
      <c r="CU231" s="82"/>
      <c r="CV231" s="82"/>
      <c r="CW231" s="82"/>
      <c r="CX231" s="82"/>
      <c r="CY231" s="82"/>
      <c r="CZ231" s="83"/>
      <c r="DA231" s="82"/>
      <c r="DB231" s="82"/>
      <c r="DC231" s="82"/>
      <c r="DD231" s="82"/>
      <c r="DE231" s="82"/>
      <c r="DF231" s="82"/>
      <c r="DG231" s="82"/>
      <c r="DH231" s="82"/>
      <c r="DI231" s="82"/>
    </row>
    <row r="232" spans="1:114" outlineLevel="1">
      <c r="A232" s="1" t="s">
        <v>403</v>
      </c>
      <c r="B232" s="19" t="s">
        <v>164</v>
      </c>
      <c r="C232" s="55">
        <f t="shared" ref="C232:L232" si="1602">C215+C222+C227</f>
        <v>73466.479504913194</v>
      </c>
      <c r="D232" s="55">
        <f t="shared" si="1602"/>
        <v>76580.669858678753</v>
      </c>
      <c r="E232" s="55">
        <f t="shared" si="1602"/>
        <v>81861.983535687643</v>
      </c>
      <c r="F232" s="55">
        <f t="shared" si="1602"/>
        <v>89387.812245448673</v>
      </c>
      <c r="G232" s="55">
        <f t="shared" si="1602"/>
        <v>95989.470005771014</v>
      </c>
      <c r="H232" s="55">
        <f t="shared" si="1602"/>
        <v>105721.63372503253</v>
      </c>
      <c r="I232" s="55">
        <f t="shared" si="1602"/>
        <v>120182.711991287</v>
      </c>
      <c r="J232" s="55">
        <f t="shared" si="1602"/>
        <v>137593.14979427782</v>
      </c>
      <c r="K232" s="55">
        <f t="shared" si="1602"/>
        <v>145313.12803929413</v>
      </c>
      <c r="L232" s="55">
        <f t="shared" si="1602"/>
        <v>153353.75598132791</v>
      </c>
      <c r="M232" s="55">
        <f t="shared" ref="M232:AB232" si="1603">M215+M222+M227</f>
        <v>161741.51536153664</v>
      </c>
      <c r="N232" s="55">
        <f t="shared" si="1603"/>
        <v>172820.22717469218</v>
      </c>
      <c r="O232" s="55">
        <f t="shared" si="1603"/>
        <v>190436.8017144801</v>
      </c>
      <c r="P232" s="55">
        <f t="shared" si="1603"/>
        <v>197466.0085312892</v>
      </c>
      <c r="Q232" s="55">
        <f t="shared" si="1603"/>
        <v>209677.52166121453</v>
      </c>
      <c r="R232" s="55">
        <f t="shared" si="1603"/>
        <v>257740.03140185398</v>
      </c>
      <c r="S232" s="55">
        <f t="shared" si="1603"/>
        <v>278432.4696717448</v>
      </c>
      <c r="T232" s="55">
        <f t="shared" si="1603"/>
        <v>301029.34878294659</v>
      </c>
      <c r="U232" s="55">
        <f t="shared" si="1603"/>
        <v>316516.20458535926</v>
      </c>
      <c r="V232" s="55">
        <f t="shared" si="1603"/>
        <v>325369.9645918794</v>
      </c>
      <c r="W232" s="55">
        <f t="shared" si="1603"/>
        <v>331818.25324931799</v>
      </c>
      <c r="X232" s="55">
        <f t="shared" si="1603"/>
        <v>341188.53215916478</v>
      </c>
      <c r="Y232" s="55">
        <f>Y215+Y222+Y227</f>
        <v>348902.83755791211</v>
      </c>
      <c r="Z232" s="55">
        <f>Z215+Z222+Z227</f>
        <v>357125.27002626931</v>
      </c>
      <c r="AA232" s="55">
        <f t="shared" si="1603"/>
        <v>364205.44041624415</v>
      </c>
      <c r="AB232" s="55">
        <f t="shared" si="1603"/>
        <v>378271.77041897294</v>
      </c>
      <c r="AC232" s="55">
        <f t="shared" ref="AC232:AK232" si="1604">AC215+AC222+AC227</f>
        <v>391632.96057412488</v>
      </c>
      <c r="AD232" s="55">
        <f t="shared" si="1604"/>
        <v>402795.75293755165</v>
      </c>
      <c r="AE232" s="55">
        <f t="shared" si="1604"/>
        <v>416941.48841440654</v>
      </c>
      <c r="AF232" s="55">
        <f t="shared" si="1604"/>
        <v>413173.31558196922</v>
      </c>
      <c r="AG232" s="55">
        <f t="shared" si="1604"/>
        <v>423476.70522448851</v>
      </c>
      <c r="AH232" s="55">
        <f t="shared" si="1604"/>
        <v>440374.95274275128</v>
      </c>
      <c r="AI232" s="55">
        <f t="shared" si="1604"/>
        <v>451193.39006166783</v>
      </c>
      <c r="AJ232" s="55">
        <f t="shared" si="1604"/>
        <v>460941.08464671235</v>
      </c>
      <c r="AK232" s="55">
        <f t="shared" si="1604"/>
        <v>467704.3779237821</v>
      </c>
      <c r="AL232" s="55">
        <f t="shared" ref="AL232:AQ232" si="1605">AL215+AL222+AL227</f>
        <v>475072.67879019142</v>
      </c>
      <c r="AM232" s="55">
        <f t="shared" si="1605"/>
        <v>485004.55421907309</v>
      </c>
      <c r="AN232" s="55">
        <f t="shared" si="1605"/>
        <v>494718.04487262462</v>
      </c>
      <c r="AO232" s="55">
        <f t="shared" si="1605"/>
        <v>504699.98080443771</v>
      </c>
      <c r="AP232" s="55">
        <f t="shared" si="1605"/>
        <v>509352.31928869145</v>
      </c>
      <c r="AQ232" s="55">
        <f t="shared" si="1605"/>
        <v>523773.03798240697</v>
      </c>
      <c r="AR232" s="55">
        <f t="shared" ref="AR232" si="1606">AR215+AR222+AR227</f>
        <v>547067.83562846144</v>
      </c>
      <c r="AS232" s="55">
        <f t="shared" ref="AS232:AT232" si="1607">AS215+AS222+AS227</f>
        <v>563155.5816833846</v>
      </c>
      <c r="AT232" s="55">
        <f t="shared" si="1607"/>
        <v>578608.7983636054</v>
      </c>
      <c r="AU232" s="55">
        <f t="shared" ref="AU232:AV232" si="1608">AU215+AU222+AU227</f>
        <v>592426.26025591989</v>
      </c>
      <c r="AV232" s="55">
        <f t="shared" si="1608"/>
        <v>594013.03656648437</v>
      </c>
      <c r="AW232" s="55">
        <f t="shared" ref="AW232:AX232" si="1609">AW215+AW222+AW227</f>
        <v>597787.93194708682</v>
      </c>
      <c r="AX232" s="55">
        <f t="shared" si="1609"/>
        <v>609774.39653826819</v>
      </c>
      <c r="AY232" s="55">
        <f t="shared" ref="AY232:AZ232" si="1610">AY215+AY222+AY227</f>
        <v>629801.36583727016</v>
      </c>
      <c r="AZ232" s="56">
        <f t="shared" si="1610"/>
        <v>648576.04132289381</v>
      </c>
      <c r="BA232" s="55">
        <f t="shared" ref="BA232:BQ232" si="1611">BA215+BA222+BA227</f>
        <v>673972.33600984234</v>
      </c>
      <c r="BB232" s="55">
        <f t="shared" si="1611"/>
        <v>689127.29141873866</v>
      </c>
      <c r="BC232" s="55">
        <f t="shared" si="1611"/>
        <v>707860.34399853903</v>
      </c>
      <c r="BD232" s="55">
        <f t="shared" si="1611"/>
        <v>727354.4268129979</v>
      </c>
      <c r="BE232" s="55">
        <f t="shared" si="1611"/>
        <v>746740.20926608308</v>
      </c>
      <c r="BF232" s="55">
        <f t="shared" si="1611"/>
        <v>766713.2066189209</v>
      </c>
      <c r="BG232" s="55">
        <f t="shared" si="1611"/>
        <v>784697.08985298744</v>
      </c>
      <c r="BH232" s="55">
        <f t="shared" si="1611"/>
        <v>803168.88298189454</v>
      </c>
      <c r="BI232" s="55">
        <f t="shared" si="1611"/>
        <v>818501.93850437261</v>
      </c>
      <c r="BJ232" s="55">
        <f t="shared" si="1611"/>
        <v>834176.14122096403</v>
      </c>
      <c r="BK232" s="55">
        <f t="shared" si="1611"/>
        <v>850943.08165950526</v>
      </c>
      <c r="BL232" s="55">
        <f t="shared" si="1611"/>
        <v>868047.03760086128</v>
      </c>
      <c r="BM232" s="55">
        <f t="shared" si="1611"/>
        <v>885494.78305663879</v>
      </c>
      <c r="BN232" s="55">
        <f t="shared" si="1611"/>
        <v>903293.22819607705</v>
      </c>
      <c r="BO232" s="55">
        <f t="shared" si="1611"/>
        <v>921449.42208281835</v>
      </c>
      <c r="BP232" s="55">
        <f t="shared" si="1611"/>
        <v>939970.55546668288</v>
      </c>
      <c r="BQ232" s="55">
        <f t="shared" si="1611"/>
        <v>958863.96363156324</v>
      </c>
      <c r="BR232" s="55"/>
      <c r="BS232" s="55">
        <f t="shared" ref="BS232:CB232" si="1612">BS215+BS222+BS227</f>
        <v>21613.900152572616</v>
      </c>
      <c r="BT232" s="55">
        <f t="shared" si="1612"/>
        <v>22103.021608569114</v>
      </c>
      <c r="BU232" s="55">
        <f t="shared" si="1612"/>
        <v>24900.801839222466</v>
      </c>
      <c r="BV232" s="55">
        <f t="shared" si="1612"/>
        <v>28419.195662052076</v>
      </c>
      <c r="BW232" s="55">
        <f t="shared" si="1612"/>
        <v>33532.784117036594</v>
      </c>
      <c r="BX232" s="55">
        <f t="shared" si="1612"/>
        <v>40422.71081825564</v>
      </c>
      <c r="BY232" s="55">
        <f t="shared" si="1612"/>
        <v>44808.392943294632</v>
      </c>
      <c r="BZ232" s="55">
        <f t="shared" si="1612"/>
        <v>49757.530396495873</v>
      </c>
      <c r="CA232" s="55">
        <f t="shared" si="1612"/>
        <v>56673.647004573941</v>
      </c>
      <c r="CB232" s="55">
        <f t="shared" si="1612"/>
        <v>72106.006380545121</v>
      </c>
      <c r="CC232" s="55">
        <f t="shared" ref="CC232:CC239" si="1613">SUMPRODUCT(D232:E232,D$5:E$5)/SUM(D$5:E$5)</f>
        <v>79243.030725992823</v>
      </c>
      <c r="CD232" s="55">
        <f t="shared" ref="CD232:CD239" si="1614">SUMPRODUCT(F232:G232,F$5:G$5)/SUM(F$5:G$5)</f>
        <v>92715.771225994729</v>
      </c>
      <c r="CE232" s="55">
        <f t="shared" ref="CE232:CE239" si="1615">SUMPRODUCT(H232:I232,H$5:I$5)/SUM(H$5:I$5)</f>
        <v>112991.68400096374</v>
      </c>
      <c r="CF232" s="55">
        <f t="shared" ref="CF232:CF239" si="1616">SUMPRODUCT(J232:K232,J$5:K$5)/SUM(J$5:K$5)</f>
        <v>141484.86485477918</v>
      </c>
      <c r="CG232" s="55">
        <f t="shared" ref="CG232:CL232" si="1617">CG215+CG222+CG227</f>
        <v>157693.27270125243</v>
      </c>
      <c r="CH232" s="55">
        <f t="shared" si="1617"/>
        <v>184803.02798624031</v>
      </c>
      <c r="CI232" s="55">
        <f t="shared" si="1617"/>
        <v>205121.28730625557</v>
      </c>
      <c r="CJ232" s="55">
        <f t="shared" si="1617"/>
        <v>272264.38098739256</v>
      </c>
      <c r="CK232" s="55">
        <f t="shared" si="1617"/>
        <v>306853.59642478218</v>
      </c>
      <c r="CL232" s="55">
        <f t="shared" si="1617"/>
        <v>335377.23093444348</v>
      </c>
      <c r="CM232" s="55">
        <f t="shared" ref="CM232:CS232" si="1618">CM215+CM222+CM227</f>
        <v>351636.0782766958</v>
      </c>
      <c r="CN232" s="55">
        <f t="shared" si="1618"/>
        <v>366195.51094499527</v>
      </c>
      <c r="CO232" s="55">
        <f t="shared" si="1618"/>
        <v>388849.3151464496</v>
      </c>
      <c r="CP232" s="55">
        <f t="shared" si="1618"/>
        <v>411953.89230380201</v>
      </c>
      <c r="CQ232" s="55">
        <f t="shared" si="1618"/>
        <v>420701.65168588137</v>
      </c>
      <c r="CR232" s="55">
        <f t="shared" si="1618"/>
        <v>445611.34784979414</v>
      </c>
      <c r="CS232" s="55">
        <f t="shared" si="1618"/>
        <v>464718.68169205607</v>
      </c>
      <c r="CT232" s="55">
        <f>CT215+CT222+CT227</f>
        <v>481031.02939924429</v>
      </c>
      <c r="CU232" s="55">
        <f>CU215+CU222+CU227</f>
        <v>498986.56943335227</v>
      </c>
      <c r="CV232" s="55">
        <f t="shared" ref="CV232:CV238" si="1619">SUMPRODUCT(AP232:AQ232,AP$5:AQ$5)/SUM(AP$5:AQ$5)</f>
        <v>516621.94186305767</v>
      </c>
      <c r="CW232" s="55">
        <f t="shared" ref="CW232:CW237" si="1620">SUMPRODUCT(AR232:AS232,AR$5:AS$5)/SUM(AR$5:AS$5)</f>
        <v>555177.82268080628</v>
      </c>
      <c r="CX232" s="55">
        <f t="shared" ref="CX232:CX237" si="1621">SUMPRODUCT(AT232:AU232,AT$5:AU$5)/SUM(AT$5:AU$5)</f>
        <v>585574.31339973107</v>
      </c>
      <c r="CY232" s="55">
        <f t="shared" ref="CY232:CY237" si="1622">SUMPRODUCT(AV232:AW232,AV$5:AW$5)/SUM(AV$5:AW$5)</f>
        <v>595910.7981785906</v>
      </c>
      <c r="CZ232" s="56">
        <f t="shared" ref="CZ232:CZ237" si="1623">SUMPRODUCT(AX232:AY232,AX$5:AY$5)/SUM(AX$5:AY$5)</f>
        <v>619870.18380132667</v>
      </c>
      <c r="DA232" s="55">
        <f t="shared" ref="DA232:DA237" si="1624">SUMPRODUCT(AZ232:BA232,AZ$5:BA$5)/SUM(AZ$5:BA$5)</f>
        <v>661378.55700069794</v>
      </c>
      <c r="DB232" s="55">
        <f t="shared" ref="DB232:DB237" si="1625">SUMPRODUCT(BB232:BC232,BB$5:BC$5)/SUM(BB$5:BC$5)</f>
        <v>698570.80285622703</v>
      </c>
      <c r="DC232" s="55">
        <f t="shared" ref="DC232:DC237" si="1626">SUMPRODUCT(BD232:BE232,BD$5:BE$5)/SUM(BD$5:BE$5)</f>
        <v>737100.28465826472</v>
      </c>
      <c r="DD232" s="55">
        <f t="shared" ref="DD232:DD239" si="1627">SUMPRODUCT(BF232:BG232,BF$5:BG$5)/SUM(BF$5:BG$5)</f>
        <v>775779.05460540927</v>
      </c>
      <c r="DE232" s="55">
        <f t="shared" ref="DE232:DE239" si="1628">SUMPRODUCT(BH232:BI232,BH$5:BI$5)/SUM(BH$5:BI$5)</f>
        <v>810898.42330007534</v>
      </c>
      <c r="DF232" s="55">
        <f t="shared" ref="DF232:DF239" si="1629">SUMPRODUCT(BJ232:BK232,BJ$5:BK$5)/SUM(BJ$5:BK$5)</f>
        <v>842628.51667491358</v>
      </c>
      <c r="DG232" s="55">
        <f t="shared" ref="DG232:DG239" si="1630">SUMPRODUCT(BL232:BM232,BL$5:BM$5)/SUM(BL$5:BM$5)</f>
        <v>876818.58176442166</v>
      </c>
      <c r="DH232" s="55">
        <f t="shared" ref="DH232:DH239" si="1631">SUMPRODUCT(BN232:BO232,BN$5:BO$5)/SUM(BN$5:BO$5)</f>
        <v>912445.9396348726</v>
      </c>
      <c r="DI232" s="55">
        <f t="shared" ref="DI232:DI239" si="1632">SUMPRODUCT(BP232:BQ232,BP$5:BQ$5)/SUM(BP$5:BQ$5)</f>
        <v>949494.90369226644</v>
      </c>
    </row>
    <row r="233" spans="1:114" outlineLevel="1">
      <c r="A233" s="1" t="s">
        <v>334</v>
      </c>
      <c r="B233" s="19" t="s">
        <v>343</v>
      </c>
      <c r="C233" s="55">
        <f t="shared" ref="C233:L233" si="1633">C234-C232</f>
        <v>64260.520495086806</v>
      </c>
      <c r="D233" s="55">
        <f t="shared" si="1633"/>
        <v>63956.330141321247</v>
      </c>
      <c r="E233" s="55">
        <f t="shared" si="1633"/>
        <v>62534.016464312357</v>
      </c>
      <c r="F233" s="55">
        <f t="shared" si="1633"/>
        <v>62667.187754551327</v>
      </c>
      <c r="G233" s="55">
        <f t="shared" si="1633"/>
        <v>61744.529994228986</v>
      </c>
      <c r="H233" s="55">
        <f t="shared" si="1633"/>
        <v>63268.36627496747</v>
      </c>
      <c r="I233" s="55">
        <f t="shared" si="1633"/>
        <v>63093.288008713003</v>
      </c>
      <c r="J233" s="55">
        <f t="shared" si="1633"/>
        <v>68895.850205722178</v>
      </c>
      <c r="K233" s="55">
        <f t="shared" si="1633"/>
        <v>76323.871960705874</v>
      </c>
      <c r="L233" s="55">
        <f t="shared" si="1633"/>
        <v>82391.244018672092</v>
      </c>
      <c r="M233" s="55">
        <f t="shared" ref="M233:AB233" si="1634">M234-M232</f>
        <v>89661.484638463357</v>
      </c>
      <c r="N233" s="55">
        <f t="shared" si="1634"/>
        <v>98470.772825307824</v>
      </c>
      <c r="O233" s="55">
        <f t="shared" si="1634"/>
        <v>116390.1982855199</v>
      </c>
      <c r="P233" s="55">
        <f t="shared" si="1634"/>
        <v>131637.9914687108</v>
      </c>
      <c r="Q233" s="55">
        <f t="shared" si="1634"/>
        <v>143855.47833878547</v>
      </c>
      <c r="R233" s="55">
        <f t="shared" si="1634"/>
        <v>177056.96859814602</v>
      </c>
      <c r="S233" s="55">
        <f t="shared" si="1634"/>
        <v>181306.5303282552</v>
      </c>
      <c r="T233" s="55">
        <f t="shared" si="1634"/>
        <v>182850.65121705341</v>
      </c>
      <c r="U233" s="55">
        <f t="shared" si="1634"/>
        <v>175342.79541464074</v>
      </c>
      <c r="V233" s="55">
        <f t="shared" si="1634"/>
        <v>183030.96910977812</v>
      </c>
      <c r="W233" s="55">
        <f t="shared" si="1634"/>
        <v>180240.74675068201</v>
      </c>
      <c r="X233" s="55">
        <f t="shared" si="1634"/>
        <v>182255.46784083522</v>
      </c>
      <c r="Y233" s="55">
        <f>Y234-Y232</f>
        <v>185360.16244208789</v>
      </c>
      <c r="Z233" s="55">
        <f>Z234-Z232</f>
        <v>188310.72997373069</v>
      </c>
      <c r="AA233" s="55">
        <f>AA234-AA232</f>
        <v>190454.55958375585</v>
      </c>
      <c r="AB233" s="55">
        <f t="shared" si="1634"/>
        <v>197473.22958102706</v>
      </c>
      <c r="AC233" s="55">
        <f t="shared" ref="AC233:AK233" si="1635">AC234-AC232</f>
        <v>204606.03942587512</v>
      </c>
      <c r="AD233" s="55">
        <f t="shared" si="1635"/>
        <v>210041.24706244835</v>
      </c>
      <c r="AE233" s="55">
        <f t="shared" si="1635"/>
        <v>219059.51158559346</v>
      </c>
      <c r="AF233" s="55">
        <f t="shared" si="1635"/>
        <v>222804.68441803078</v>
      </c>
      <c r="AG233" s="55">
        <f t="shared" si="1635"/>
        <v>230137.29477551149</v>
      </c>
      <c r="AH233" s="55">
        <f t="shared" si="1635"/>
        <v>234012.04725724872</v>
      </c>
      <c r="AI233" s="55">
        <f t="shared" si="1635"/>
        <v>234823.60993833217</v>
      </c>
      <c r="AJ233" s="55">
        <f t="shared" si="1635"/>
        <v>236616.91535328765</v>
      </c>
      <c r="AK233" s="55">
        <f t="shared" si="1635"/>
        <v>234592.6220762179</v>
      </c>
      <c r="AL233" s="55">
        <f t="shared" ref="AL233:AQ233" si="1636">AL234-AL232</f>
        <v>231902.32120980858</v>
      </c>
      <c r="AM233" s="55">
        <f t="shared" si="1636"/>
        <v>227130.44578092691</v>
      </c>
      <c r="AN233" s="55">
        <f t="shared" si="1636"/>
        <v>222557.95512737538</v>
      </c>
      <c r="AO233" s="55">
        <f t="shared" si="1636"/>
        <v>224109.01919556229</v>
      </c>
      <c r="AP233" s="55">
        <f t="shared" si="1636"/>
        <v>219112.68071130855</v>
      </c>
      <c r="AQ233" s="55">
        <f t="shared" si="1636"/>
        <v>218531.96201759303</v>
      </c>
      <c r="AR233" s="55">
        <f t="shared" ref="AR233" si="1637">AR234-AR232</f>
        <v>224936.16437153856</v>
      </c>
      <c r="AS233" s="55">
        <f t="shared" ref="AS233:AT233" si="1638">AS234-AS232</f>
        <v>234130.4183166154</v>
      </c>
      <c r="AT233" s="55">
        <f t="shared" si="1638"/>
        <v>247271.2016363946</v>
      </c>
      <c r="AU233" s="55">
        <f t="shared" ref="AU233:AV233" si="1639">AU234-AU232</f>
        <v>255073.73974408011</v>
      </c>
      <c r="AV233" s="55">
        <f t="shared" si="1639"/>
        <v>256235.96343351563</v>
      </c>
      <c r="AW233" s="55">
        <f t="shared" ref="AW233:AX233" si="1640">AW234-AW232</f>
        <v>257446.06805291318</v>
      </c>
      <c r="AX233" s="55">
        <f t="shared" si="1640"/>
        <v>261814.60346173181</v>
      </c>
      <c r="AY233" s="55">
        <f t="shared" ref="AY233:AZ233" si="1641">AY234-AY232</f>
        <v>271596.63416272984</v>
      </c>
      <c r="AZ233" s="56">
        <f t="shared" si="1641"/>
        <v>283766.95867710619</v>
      </c>
      <c r="BA233" s="55">
        <f t="shared" ref="BA233:BQ233" si="1642">BA234-BA232</f>
        <v>295522.56414437841</v>
      </c>
      <c r="BB233" s="55">
        <f t="shared" si="1642"/>
        <v>302964.0929539674</v>
      </c>
      <c r="BC233" s="55">
        <f t="shared" si="1642"/>
        <v>309227.70775809034</v>
      </c>
      <c r="BD233" s="55">
        <f t="shared" si="1642"/>
        <v>313546.43826799316</v>
      </c>
      <c r="BE233" s="55">
        <f t="shared" si="1642"/>
        <v>317703.33521888545</v>
      </c>
      <c r="BF233" s="55">
        <f t="shared" si="1642"/>
        <v>321980.41556105739</v>
      </c>
      <c r="BG233" s="55">
        <f t="shared" si="1642"/>
        <v>326201.9894765151</v>
      </c>
      <c r="BH233" s="55">
        <f t="shared" si="1642"/>
        <v>330564.85246970551</v>
      </c>
      <c r="BI233" s="55">
        <f t="shared" si="1642"/>
        <v>335071.84908988664</v>
      </c>
      <c r="BJ233" s="55">
        <f t="shared" si="1642"/>
        <v>339715.15043161879</v>
      </c>
      <c r="BK233" s="55">
        <f t="shared" si="1642"/>
        <v>345288.14113958215</v>
      </c>
      <c r="BL233" s="55">
        <f t="shared" si="1642"/>
        <v>350958.86290958093</v>
      </c>
      <c r="BM233" s="55">
        <f t="shared" si="1642"/>
        <v>356729.11569552578</v>
      </c>
      <c r="BN233" s="55">
        <f t="shared" si="1642"/>
        <v>362600.73371049971</v>
      </c>
      <c r="BO233" s="55">
        <f t="shared" si="1642"/>
        <v>368575.5860925559</v>
      </c>
      <c r="BP233" s="55">
        <f t="shared" si="1642"/>
        <v>374655.57758362405</v>
      </c>
      <c r="BQ233" s="55">
        <f t="shared" si="1642"/>
        <v>380842.64922177501</v>
      </c>
      <c r="BR233" s="55"/>
      <c r="BS233" s="55">
        <f t="shared" ref="BS233:CB233" si="1643">BS234-BS232</f>
        <v>38141.499847427389</v>
      </c>
      <c r="BT233" s="55">
        <f t="shared" si="1643"/>
        <v>36381.378391430888</v>
      </c>
      <c r="BU233" s="55">
        <f t="shared" si="1643"/>
        <v>33273.498160777541</v>
      </c>
      <c r="BV233" s="55">
        <f t="shared" si="1643"/>
        <v>31853.804337947924</v>
      </c>
      <c r="BW233" s="55">
        <f t="shared" si="1643"/>
        <v>32957.215882963406</v>
      </c>
      <c r="BX233" s="55">
        <f t="shared" si="1643"/>
        <v>36601.28918174436</v>
      </c>
      <c r="BY233" s="55">
        <f t="shared" si="1643"/>
        <v>40935.607056705368</v>
      </c>
      <c r="BZ233" s="55">
        <f t="shared" si="1643"/>
        <v>46898.469603504127</v>
      </c>
      <c r="CA233" s="55">
        <f t="shared" si="1643"/>
        <v>52339.352995426059</v>
      </c>
      <c r="CB233" s="55">
        <f t="shared" si="1643"/>
        <v>63802.993619454879</v>
      </c>
      <c r="CC233" s="55">
        <f t="shared" si="1613"/>
        <v>63239.328178116768</v>
      </c>
      <c r="CD233" s="55">
        <f t="shared" si="1614"/>
        <v>62202.067130169649</v>
      </c>
      <c r="CE233" s="55">
        <f t="shared" si="1615"/>
        <v>63180.348785921509</v>
      </c>
      <c r="CF233" s="55">
        <f t="shared" si="1616"/>
        <v>72640.387200015335</v>
      </c>
      <c r="CG233" s="55">
        <f t="shared" ref="CG233:CL233" si="1644">CG234-CG232</f>
        <v>85816.727298747574</v>
      </c>
      <c r="CH233" s="55">
        <f t="shared" si="1644"/>
        <v>111511.97201375969</v>
      </c>
      <c r="CI233" s="55">
        <f t="shared" si="1644"/>
        <v>136130.71269374443</v>
      </c>
      <c r="CJ233" s="55">
        <f t="shared" si="1644"/>
        <v>174901.61901260744</v>
      </c>
      <c r="CK233" s="55">
        <f t="shared" si="1644"/>
        <v>180982.40357521782</v>
      </c>
      <c r="CL233" s="55">
        <f t="shared" si="1644"/>
        <v>174867.76906555652</v>
      </c>
      <c r="CM233" s="55">
        <f t="shared" ref="CM233:CS233" si="1645">CM234-CM232</f>
        <v>177186.9217233042</v>
      </c>
      <c r="CN233" s="55">
        <f t="shared" si="1645"/>
        <v>183814.48905500473</v>
      </c>
      <c r="CO233" s="55">
        <f t="shared" si="1645"/>
        <v>197058.6848535504</v>
      </c>
      <c r="CP233" s="55">
        <f t="shared" si="1645"/>
        <v>212370.10769619799</v>
      </c>
      <c r="CQ233" s="55">
        <f t="shared" si="1645"/>
        <v>224045.34831411863</v>
      </c>
      <c r="CR233" s="55">
        <f t="shared" si="1645"/>
        <v>234542.65215020586</v>
      </c>
      <c r="CS233" s="55">
        <f t="shared" si="1645"/>
        <v>235190.31830794393</v>
      </c>
      <c r="CT233" s="55">
        <f>CT234-CT232</f>
        <v>228502.97060075571</v>
      </c>
      <c r="CU233" s="55">
        <f>CU234-CU232</f>
        <v>224024.43056664773</v>
      </c>
      <c r="CV233" s="55">
        <f t="shared" si="1619"/>
        <v>218819.93484927114</v>
      </c>
      <c r="CW233" s="55">
        <f t="shared" si="1620"/>
        <v>229571.07594933073</v>
      </c>
      <c r="CX233" s="55">
        <f t="shared" si="1621"/>
        <v>251204.53591533742</v>
      </c>
      <c r="CY233" s="55">
        <f t="shared" si="1622"/>
        <v>256844.32203998874</v>
      </c>
      <c r="CZ233" s="56">
        <f t="shared" si="1623"/>
        <v>266745.81893839932</v>
      </c>
      <c r="DA233" s="55">
        <f t="shared" si="1624"/>
        <v>289693.07211814204</v>
      </c>
      <c r="DB233" s="55">
        <f t="shared" si="1625"/>
        <v>306121.64123878552</v>
      </c>
      <c r="DC233" s="55">
        <f t="shared" si="1626"/>
        <v>315636.24438538169</v>
      </c>
      <c r="DD233" s="55">
        <f t="shared" si="1627"/>
        <v>324108.55145268538</v>
      </c>
      <c r="DE233" s="55">
        <f t="shared" si="1628"/>
        <v>332836.87268371461</v>
      </c>
      <c r="DF233" s="55">
        <f t="shared" si="1629"/>
        <v>342524.54848714004</v>
      </c>
      <c r="DG233" s="55">
        <f t="shared" si="1630"/>
        <v>353859.75502054777</v>
      </c>
      <c r="DH233" s="55">
        <f t="shared" si="1631"/>
        <v>365612.71408939932</v>
      </c>
      <c r="DI233" s="55">
        <f t="shared" si="1632"/>
        <v>377774.53972450009</v>
      </c>
    </row>
    <row r="234" spans="1:114" s="24" customFormat="1" outlineLevel="1">
      <c r="A234" s="1" t="s">
        <v>335</v>
      </c>
      <c r="B234" s="24" t="s">
        <v>168</v>
      </c>
      <c r="C234" s="82">
        <f t="shared" ref="C234:L234" si="1646">C219+C224+C229</f>
        <v>137727</v>
      </c>
      <c r="D234" s="82">
        <f t="shared" si="1646"/>
        <v>140537</v>
      </c>
      <c r="E234" s="82">
        <f t="shared" si="1646"/>
        <v>144396</v>
      </c>
      <c r="F234" s="82">
        <f t="shared" si="1646"/>
        <v>152055</v>
      </c>
      <c r="G234" s="82">
        <f t="shared" si="1646"/>
        <v>157734</v>
      </c>
      <c r="H234" s="82">
        <f t="shared" si="1646"/>
        <v>168990</v>
      </c>
      <c r="I234" s="82">
        <f t="shared" si="1646"/>
        <v>183276</v>
      </c>
      <c r="J234" s="82">
        <f t="shared" si="1646"/>
        <v>206489</v>
      </c>
      <c r="K234" s="82">
        <f t="shared" si="1646"/>
        <v>221637</v>
      </c>
      <c r="L234" s="82">
        <f t="shared" si="1646"/>
        <v>235745</v>
      </c>
      <c r="M234" s="82">
        <f t="shared" ref="M234:AB234" si="1647">M219+M224+M229</f>
        <v>251403</v>
      </c>
      <c r="N234" s="82">
        <f t="shared" si="1647"/>
        <v>271291</v>
      </c>
      <c r="O234" s="82">
        <f t="shared" si="1647"/>
        <v>306827</v>
      </c>
      <c r="P234" s="82">
        <f t="shared" si="1647"/>
        <v>329104</v>
      </c>
      <c r="Q234" s="82">
        <f t="shared" si="1647"/>
        <v>353533</v>
      </c>
      <c r="R234" s="82">
        <f t="shared" si="1647"/>
        <v>434797</v>
      </c>
      <c r="S234" s="82">
        <f t="shared" si="1647"/>
        <v>459739</v>
      </c>
      <c r="T234" s="82">
        <f t="shared" si="1647"/>
        <v>483880</v>
      </c>
      <c r="U234" s="82">
        <f t="shared" si="1647"/>
        <v>491859</v>
      </c>
      <c r="V234" s="82">
        <f t="shared" si="1647"/>
        <v>508400.93370165752</v>
      </c>
      <c r="W234" s="82">
        <f t="shared" si="1647"/>
        <v>512059</v>
      </c>
      <c r="X234" s="82">
        <f t="shared" si="1647"/>
        <v>523444</v>
      </c>
      <c r="Y234" s="82">
        <f>Y219+Y224+Y229</f>
        <v>534263</v>
      </c>
      <c r="Z234" s="82">
        <f>Z219+Z224+Z229</f>
        <v>545436</v>
      </c>
      <c r="AA234" s="82">
        <f t="shared" si="1647"/>
        <v>554660</v>
      </c>
      <c r="AB234" s="82">
        <f t="shared" si="1647"/>
        <v>575745</v>
      </c>
      <c r="AC234" s="82">
        <f t="shared" ref="AC234:AK234" si="1648">AC219+AC224+AC229</f>
        <v>596239</v>
      </c>
      <c r="AD234" s="82">
        <f t="shared" si="1648"/>
        <v>612837</v>
      </c>
      <c r="AE234" s="82">
        <f t="shared" si="1648"/>
        <v>636001</v>
      </c>
      <c r="AF234" s="82">
        <f t="shared" si="1648"/>
        <v>635978</v>
      </c>
      <c r="AG234" s="82">
        <f t="shared" si="1648"/>
        <v>653614</v>
      </c>
      <c r="AH234" s="82">
        <f t="shared" si="1648"/>
        <v>674387</v>
      </c>
      <c r="AI234" s="82">
        <f t="shared" si="1648"/>
        <v>686017</v>
      </c>
      <c r="AJ234" s="82">
        <f t="shared" si="1648"/>
        <v>697558</v>
      </c>
      <c r="AK234" s="82">
        <f t="shared" si="1648"/>
        <v>702297</v>
      </c>
      <c r="AL234" s="82">
        <f t="shared" ref="AL234:AQ234" si="1649">AL219+AL224+AL229</f>
        <v>706975</v>
      </c>
      <c r="AM234" s="82">
        <f t="shared" si="1649"/>
        <v>712135</v>
      </c>
      <c r="AN234" s="82">
        <f t="shared" si="1649"/>
        <v>717276</v>
      </c>
      <c r="AO234" s="82">
        <f t="shared" si="1649"/>
        <v>728809</v>
      </c>
      <c r="AP234" s="82">
        <f t="shared" si="1649"/>
        <v>728465</v>
      </c>
      <c r="AQ234" s="82">
        <f t="shared" si="1649"/>
        <v>742305</v>
      </c>
      <c r="AR234" s="82">
        <f t="shared" ref="AR234" si="1650">AR219+AR224+AR229</f>
        <v>772004</v>
      </c>
      <c r="AS234" s="82">
        <f t="shared" ref="AS234:AT234" si="1651">AS219+AS224+AS229</f>
        <v>797286</v>
      </c>
      <c r="AT234" s="82">
        <f t="shared" si="1651"/>
        <v>825880</v>
      </c>
      <c r="AU234" s="82">
        <f t="shared" ref="AU234:AV234" si="1652">AU219+AU224+AU229</f>
        <v>847500</v>
      </c>
      <c r="AV234" s="82">
        <f t="shared" si="1652"/>
        <v>850249</v>
      </c>
      <c r="AW234" s="82">
        <f t="shared" ref="AW234:AX234" si="1653">AW219+AW224+AW229</f>
        <v>855234</v>
      </c>
      <c r="AX234" s="82">
        <f t="shared" si="1653"/>
        <v>871589</v>
      </c>
      <c r="AY234" s="82">
        <f t="shared" ref="AY234:AZ234" si="1654">AY219+AY224+AY229</f>
        <v>901398</v>
      </c>
      <c r="AZ234" s="83">
        <f t="shared" si="1654"/>
        <v>932343</v>
      </c>
      <c r="BA234" s="82">
        <f t="shared" ref="BA234:BQ234" si="1655">BA219+BA224+BA229</f>
        <v>969494.90015422076</v>
      </c>
      <c r="BB234" s="82">
        <f t="shared" si="1655"/>
        <v>992091.38437270606</v>
      </c>
      <c r="BC234" s="82">
        <f t="shared" si="1655"/>
        <v>1017088.0517566294</v>
      </c>
      <c r="BD234" s="82">
        <f t="shared" si="1655"/>
        <v>1040900.8650809911</v>
      </c>
      <c r="BE234" s="82">
        <f t="shared" si="1655"/>
        <v>1064443.5444849685</v>
      </c>
      <c r="BF234" s="82">
        <f t="shared" si="1655"/>
        <v>1088693.6221799783</v>
      </c>
      <c r="BG234" s="82">
        <f t="shared" si="1655"/>
        <v>1110899.0793295025</v>
      </c>
      <c r="BH234" s="82">
        <f t="shared" si="1655"/>
        <v>1133733.7354516</v>
      </c>
      <c r="BI234" s="82">
        <f t="shared" si="1655"/>
        <v>1153573.7875942593</v>
      </c>
      <c r="BJ234" s="82">
        <f t="shared" si="1655"/>
        <v>1173891.2916525828</v>
      </c>
      <c r="BK234" s="82">
        <f t="shared" si="1655"/>
        <v>1196231.2227990874</v>
      </c>
      <c r="BL234" s="82">
        <f t="shared" si="1655"/>
        <v>1219005.9005104422</v>
      </c>
      <c r="BM234" s="82">
        <f t="shared" si="1655"/>
        <v>1242223.8987521646</v>
      </c>
      <c r="BN234" s="82">
        <f t="shared" si="1655"/>
        <v>1265893.9619065768</v>
      </c>
      <c r="BO234" s="82">
        <f t="shared" si="1655"/>
        <v>1290025.0081753742</v>
      </c>
      <c r="BP234" s="82">
        <f t="shared" si="1655"/>
        <v>1314626.1330503069</v>
      </c>
      <c r="BQ234" s="82">
        <f t="shared" si="1655"/>
        <v>1339706.6128533382</v>
      </c>
      <c r="BR234" s="82"/>
      <c r="BS234" s="82">
        <f t="shared" ref="BS234:CB234" si="1656">BS219+BS224+BS229</f>
        <v>59755.4</v>
      </c>
      <c r="BT234" s="82">
        <f t="shared" si="1656"/>
        <v>58484.4</v>
      </c>
      <c r="BU234" s="82">
        <f t="shared" si="1656"/>
        <v>58174.3</v>
      </c>
      <c r="BV234" s="82">
        <f t="shared" si="1656"/>
        <v>60273</v>
      </c>
      <c r="BW234" s="82">
        <f t="shared" si="1656"/>
        <v>66490</v>
      </c>
      <c r="BX234" s="82">
        <f t="shared" si="1656"/>
        <v>77024</v>
      </c>
      <c r="BY234" s="82">
        <f t="shared" si="1656"/>
        <v>85744</v>
      </c>
      <c r="BZ234" s="82">
        <f t="shared" si="1656"/>
        <v>96656</v>
      </c>
      <c r="CA234" s="82">
        <f t="shared" si="1656"/>
        <v>109013</v>
      </c>
      <c r="CB234" s="82">
        <f t="shared" si="1656"/>
        <v>135909</v>
      </c>
      <c r="CC234" s="82">
        <f t="shared" si="1613"/>
        <v>142482.3589041096</v>
      </c>
      <c r="CD234" s="82">
        <f t="shared" si="1614"/>
        <v>154917.8383561644</v>
      </c>
      <c r="CE234" s="82">
        <f t="shared" si="1615"/>
        <v>176172.03278688525</v>
      </c>
      <c r="CF234" s="82">
        <f t="shared" si="1616"/>
        <v>214125.25205479455</v>
      </c>
      <c r="CG234" s="82">
        <f t="shared" ref="CG234:CS234" si="1657">CG219+CG224+CG229</f>
        <v>243510</v>
      </c>
      <c r="CH234" s="82">
        <f t="shared" si="1657"/>
        <v>296315</v>
      </c>
      <c r="CI234" s="82">
        <f t="shared" si="1657"/>
        <v>341252</v>
      </c>
      <c r="CJ234" s="82">
        <f t="shared" si="1657"/>
        <v>447166</v>
      </c>
      <c r="CK234" s="82">
        <f t="shared" si="1657"/>
        <v>487836</v>
      </c>
      <c r="CL234" s="82">
        <f t="shared" si="1657"/>
        <v>510245</v>
      </c>
      <c r="CM234" s="82">
        <f t="shared" si="1657"/>
        <v>528823</v>
      </c>
      <c r="CN234" s="82">
        <f t="shared" si="1657"/>
        <v>550010</v>
      </c>
      <c r="CO234" s="82">
        <f t="shared" si="1657"/>
        <v>585908</v>
      </c>
      <c r="CP234" s="82">
        <f t="shared" si="1657"/>
        <v>624324</v>
      </c>
      <c r="CQ234" s="82">
        <f t="shared" si="1657"/>
        <v>644747</v>
      </c>
      <c r="CR234" s="82">
        <f t="shared" si="1657"/>
        <v>680154</v>
      </c>
      <c r="CS234" s="82">
        <f t="shared" si="1657"/>
        <v>699909</v>
      </c>
      <c r="CT234" s="82">
        <f>CT219+CT224+CT229</f>
        <v>709534</v>
      </c>
      <c r="CU234" s="82">
        <f>CU219+CU224+CU229</f>
        <v>723011</v>
      </c>
      <c r="CV234" s="82">
        <f t="shared" si="1619"/>
        <v>735441.87671232875</v>
      </c>
      <c r="CW234" s="82">
        <f t="shared" si="1620"/>
        <v>784748.89863013697</v>
      </c>
      <c r="CX234" s="82">
        <f t="shared" si="1621"/>
        <v>836778.84931506857</v>
      </c>
      <c r="CY234" s="82">
        <f t="shared" si="1622"/>
        <v>852755.12021857931</v>
      </c>
      <c r="CZ234" s="83">
        <f t="shared" si="1623"/>
        <v>886616.00273972598</v>
      </c>
      <c r="DA234" s="82">
        <f t="shared" si="1624"/>
        <v>951071.62911883998</v>
      </c>
      <c r="DB234" s="82">
        <f t="shared" si="1625"/>
        <v>1004692.4440950126</v>
      </c>
      <c r="DC234" s="82">
        <f t="shared" si="1626"/>
        <v>1052736.5290436463</v>
      </c>
      <c r="DD234" s="82">
        <f t="shared" si="1627"/>
        <v>1099887.6060580947</v>
      </c>
      <c r="DE234" s="82">
        <f t="shared" si="1628"/>
        <v>1143735.2959837897</v>
      </c>
      <c r="DF234" s="82">
        <f t="shared" si="1629"/>
        <v>1185153.0651620536</v>
      </c>
      <c r="DG234" s="82">
        <f t="shared" si="1630"/>
        <v>1230678.3367849695</v>
      </c>
      <c r="DH234" s="82">
        <f t="shared" si="1631"/>
        <v>1278058.6537242718</v>
      </c>
      <c r="DI234" s="82">
        <f t="shared" si="1632"/>
        <v>1327269.4434167664</v>
      </c>
    </row>
    <row r="235" spans="1:114" outlineLevel="1">
      <c r="A235" s="1" t="s">
        <v>336</v>
      </c>
      <c r="B235" s="19" t="s">
        <v>344</v>
      </c>
      <c r="C235" s="53">
        <v>0</v>
      </c>
      <c r="D235" s="53">
        <v>0</v>
      </c>
      <c r="E235" s="53">
        <v>0</v>
      </c>
      <c r="F235" s="53">
        <v>0</v>
      </c>
      <c r="G235" s="53">
        <v>0</v>
      </c>
      <c r="H235" s="53">
        <v>0</v>
      </c>
      <c r="I235" s="53">
        <v>0</v>
      </c>
      <c r="J235" s="53">
        <v>0</v>
      </c>
      <c r="K235" s="53">
        <v>0</v>
      </c>
      <c r="L235" s="53">
        <v>0</v>
      </c>
      <c r="M235" s="53">
        <v>0</v>
      </c>
      <c r="N235" s="53">
        <v>0</v>
      </c>
      <c r="O235" s="53">
        <v>0</v>
      </c>
      <c r="P235" s="53">
        <v>0</v>
      </c>
      <c r="Q235" s="53">
        <v>0</v>
      </c>
      <c r="R235" s="53">
        <v>0</v>
      </c>
      <c r="S235" s="53">
        <v>0</v>
      </c>
      <c r="T235" s="53">
        <v>0</v>
      </c>
      <c r="U235" s="53">
        <v>0</v>
      </c>
      <c r="V235" s="53">
        <v>0</v>
      </c>
      <c r="W235" s="53">
        <v>0</v>
      </c>
      <c r="X235" s="53">
        <v>0</v>
      </c>
      <c r="Y235" s="53">
        <v>0</v>
      </c>
      <c r="Z235" s="53">
        <v>0</v>
      </c>
      <c r="AA235" s="164">
        <v>0</v>
      </c>
      <c r="AB235" s="164">
        <v>0</v>
      </c>
      <c r="AC235" s="164">
        <v>0</v>
      </c>
      <c r="AD235" s="164">
        <v>0</v>
      </c>
      <c r="AE235" s="164">
        <v>0</v>
      </c>
      <c r="AF235" s="164">
        <v>0</v>
      </c>
      <c r="AG235" s="164">
        <v>0</v>
      </c>
      <c r="AH235" s="164">
        <v>0</v>
      </c>
      <c r="AI235" s="164">
        <v>0</v>
      </c>
      <c r="AJ235" s="164">
        <v>0</v>
      </c>
      <c r="AK235" s="164">
        <v>0</v>
      </c>
      <c r="AL235" s="164">
        <v>0</v>
      </c>
      <c r="AM235" s="164">
        <v>0</v>
      </c>
      <c r="AN235" s="164">
        <v>0</v>
      </c>
      <c r="AO235" s="164">
        <v>0</v>
      </c>
      <c r="AP235" s="164">
        <v>0</v>
      </c>
      <c r="AQ235" s="164">
        <v>0</v>
      </c>
      <c r="AR235" s="164">
        <v>0</v>
      </c>
      <c r="AS235" s="164">
        <v>0</v>
      </c>
      <c r="AT235" s="164">
        <v>0</v>
      </c>
      <c r="AU235" s="164">
        <v>0</v>
      </c>
      <c r="AV235" s="164">
        <v>0</v>
      </c>
      <c r="AW235" s="164">
        <v>0</v>
      </c>
      <c r="AX235" s="164">
        <v>0</v>
      </c>
      <c r="AY235" s="164">
        <v>0</v>
      </c>
      <c r="AZ235" s="171">
        <v>0</v>
      </c>
      <c r="BA235" s="54">
        <v>0</v>
      </c>
      <c r="BB235" s="54">
        <v>0</v>
      </c>
      <c r="BC235" s="54">
        <v>0</v>
      </c>
      <c r="BD235" s="54">
        <v>0</v>
      </c>
      <c r="BE235" s="54">
        <v>0</v>
      </c>
      <c r="BF235" s="54">
        <v>0</v>
      </c>
      <c r="BG235" s="54">
        <v>0</v>
      </c>
      <c r="BH235" s="54">
        <v>0</v>
      </c>
      <c r="BI235" s="54">
        <v>0</v>
      </c>
      <c r="BJ235" s="54">
        <v>0</v>
      </c>
      <c r="BK235" s="54">
        <v>0</v>
      </c>
      <c r="BL235" s="54">
        <v>0</v>
      </c>
      <c r="BM235" s="54">
        <v>0</v>
      </c>
      <c r="BN235" s="54">
        <v>0</v>
      </c>
      <c r="BO235" s="54">
        <v>0</v>
      </c>
      <c r="BP235" s="54">
        <v>0</v>
      </c>
      <c r="BQ235" s="54">
        <v>0</v>
      </c>
      <c r="BR235" s="55"/>
      <c r="BS235" s="53">
        <v>0</v>
      </c>
      <c r="BT235" s="53">
        <v>0</v>
      </c>
      <c r="BU235" s="53">
        <v>0</v>
      </c>
      <c r="BV235" s="53">
        <v>0</v>
      </c>
      <c r="BW235" s="53">
        <v>0</v>
      </c>
      <c r="BX235" s="53">
        <v>0</v>
      </c>
      <c r="BY235" s="53">
        <v>0</v>
      </c>
      <c r="BZ235" s="53">
        <v>0</v>
      </c>
      <c r="CA235" s="53">
        <v>0</v>
      </c>
      <c r="CB235" s="53">
        <v>0</v>
      </c>
      <c r="CC235" s="55">
        <f t="shared" si="1613"/>
        <v>0</v>
      </c>
      <c r="CD235" s="55">
        <f t="shared" si="1614"/>
        <v>0</v>
      </c>
      <c r="CE235" s="55">
        <f t="shared" si="1615"/>
        <v>0</v>
      </c>
      <c r="CF235" s="55">
        <f t="shared" si="1616"/>
        <v>0</v>
      </c>
      <c r="CG235" s="55">
        <f>SUMPRODUCT(L235:M235,L$5:M$5)/SUM(L$5:M$5)</f>
        <v>0</v>
      </c>
      <c r="CH235" s="164">
        <v>0</v>
      </c>
      <c r="CI235" s="164">
        <v>0</v>
      </c>
      <c r="CJ235" s="164">
        <v>0</v>
      </c>
      <c r="CK235" s="164">
        <v>0</v>
      </c>
      <c r="CL235" s="164">
        <v>0</v>
      </c>
      <c r="CM235" s="164">
        <v>0</v>
      </c>
      <c r="CN235" s="164">
        <v>0</v>
      </c>
      <c r="CO235" s="164">
        <v>0</v>
      </c>
      <c r="CP235" s="164">
        <v>0</v>
      </c>
      <c r="CQ235" s="164">
        <v>0</v>
      </c>
      <c r="CR235" s="164">
        <v>0</v>
      </c>
      <c r="CS235" s="164">
        <v>0</v>
      </c>
      <c r="CT235" s="164">
        <v>0</v>
      </c>
      <c r="CU235" s="164">
        <v>0</v>
      </c>
      <c r="CV235" s="164">
        <v>0</v>
      </c>
      <c r="CW235" s="164">
        <v>0</v>
      </c>
      <c r="CX235" s="164">
        <v>0</v>
      </c>
      <c r="CY235" s="164">
        <v>0</v>
      </c>
      <c r="CZ235" s="56">
        <f t="shared" si="1623"/>
        <v>0</v>
      </c>
      <c r="DA235" s="55">
        <f t="shared" si="1624"/>
        <v>0</v>
      </c>
      <c r="DB235" s="55">
        <f t="shared" si="1625"/>
        <v>0</v>
      </c>
      <c r="DC235" s="55">
        <f t="shared" si="1626"/>
        <v>0</v>
      </c>
      <c r="DD235" s="55">
        <f t="shared" si="1627"/>
        <v>0</v>
      </c>
      <c r="DE235" s="55">
        <f t="shared" si="1628"/>
        <v>0</v>
      </c>
      <c r="DF235" s="55">
        <f t="shared" si="1629"/>
        <v>0</v>
      </c>
      <c r="DG235" s="55">
        <f t="shared" si="1630"/>
        <v>0</v>
      </c>
      <c r="DH235" s="55">
        <f t="shared" si="1631"/>
        <v>0</v>
      </c>
      <c r="DI235" s="55">
        <f t="shared" si="1632"/>
        <v>0</v>
      </c>
    </row>
    <row r="236" spans="1:114" outlineLevel="1">
      <c r="A236" s="1" t="s">
        <v>337</v>
      </c>
      <c r="B236" s="19" t="s">
        <v>586</v>
      </c>
      <c r="C236" s="53">
        <v>0</v>
      </c>
      <c r="D236" s="53">
        <v>0</v>
      </c>
      <c r="E236" s="53">
        <v>0</v>
      </c>
      <c r="F236" s="53">
        <v>0</v>
      </c>
      <c r="G236" s="53">
        <v>0</v>
      </c>
      <c r="H236" s="53">
        <v>0</v>
      </c>
      <c r="I236" s="53">
        <v>0</v>
      </c>
      <c r="J236" s="53">
        <v>0</v>
      </c>
      <c r="K236" s="53">
        <v>0</v>
      </c>
      <c r="L236" s="53">
        <v>0</v>
      </c>
      <c r="M236" s="53">
        <v>0</v>
      </c>
      <c r="N236" s="53">
        <v>0</v>
      </c>
      <c r="O236" s="53">
        <v>0</v>
      </c>
      <c r="P236" s="53">
        <v>0</v>
      </c>
      <c r="Q236" s="53">
        <v>0</v>
      </c>
      <c r="R236" s="53">
        <v>0</v>
      </c>
      <c r="S236" s="53">
        <v>0</v>
      </c>
      <c r="T236" s="53">
        <v>0</v>
      </c>
      <c r="U236" s="53">
        <v>0</v>
      </c>
      <c r="V236" s="53">
        <v>0</v>
      </c>
      <c r="W236" s="53">
        <v>0</v>
      </c>
      <c r="X236" s="53">
        <v>0</v>
      </c>
      <c r="Y236" s="53">
        <v>0</v>
      </c>
      <c r="Z236" s="53">
        <v>0</v>
      </c>
      <c r="AA236" s="164">
        <v>0</v>
      </c>
      <c r="AB236" s="164">
        <v>0</v>
      </c>
      <c r="AC236" s="164">
        <v>0</v>
      </c>
      <c r="AD236" s="164">
        <v>0</v>
      </c>
      <c r="AE236" s="164">
        <v>0</v>
      </c>
      <c r="AF236" s="164">
        <v>0</v>
      </c>
      <c r="AG236" s="164">
        <v>0</v>
      </c>
      <c r="AH236" s="164">
        <v>0</v>
      </c>
      <c r="AI236" s="164">
        <v>0</v>
      </c>
      <c r="AJ236" s="164">
        <v>0</v>
      </c>
      <c r="AK236" s="164">
        <v>0</v>
      </c>
      <c r="AL236" s="164">
        <v>0</v>
      </c>
      <c r="AM236" s="164">
        <v>0</v>
      </c>
      <c r="AN236" s="164">
        <v>0</v>
      </c>
      <c r="AO236" s="164">
        <v>0</v>
      </c>
      <c r="AP236" s="164">
        <v>0</v>
      </c>
      <c r="AQ236" s="164">
        <v>0</v>
      </c>
      <c r="AR236" s="164">
        <v>0</v>
      </c>
      <c r="AS236" s="164">
        <v>0</v>
      </c>
      <c r="AT236" s="164">
        <v>0</v>
      </c>
      <c r="AU236" s="164">
        <v>0</v>
      </c>
      <c r="AV236" s="164">
        <v>0</v>
      </c>
      <c r="AW236" s="164">
        <v>0</v>
      </c>
      <c r="AX236" s="164">
        <v>0</v>
      </c>
      <c r="AY236" s="164">
        <v>0</v>
      </c>
      <c r="AZ236" s="171">
        <v>0</v>
      </c>
      <c r="BA236" s="54">
        <v>0</v>
      </c>
      <c r="BB236" s="54">
        <v>0</v>
      </c>
      <c r="BC236" s="54">
        <v>0</v>
      </c>
      <c r="BD236" s="54">
        <v>0</v>
      </c>
      <c r="BE236" s="54">
        <v>0</v>
      </c>
      <c r="BF236" s="54">
        <v>0</v>
      </c>
      <c r="BG236" s="54">
        <v>0</v>
      </c>
      <c r="BH236" s="54">
        <v>0</v>
      </c>
      <c r="BI236" s="54">
        <v>0</v>
      </c>
      <c r="BJ236" s="54">
        <v>0</v>
      </c>
      <c r="BK236" s="54">
        <v>0</v>
      </c>
      <c r="BL236" s="54">
        <v>0</v>
      </c>
      <c r="BM236" s="54">
        <v>0</v>
      </c>
      <c r="BN236" s="54">
        <v>0</v>
      </c>
      <c r="BO236" s="54">
        <v>0</v>
      </c>
      <c r="BP236" s="54">
        <v>0</v>
      </c>
      <c r="BQ236" s="54">
        <v>0</v>
      </c>
      <c r="BR236" s="55"/>
      <c r="BS236" s="53">
        <v>0</v>
      </c>
      <c r="BT236" s="53">
        <v>0</v>
      </c>
      <c r="BU236" s="53">
        <v>0</v>
      </c>
      <c r="BV236" s="53">
        <v>0</v>
      </c>
      <c r="BW236" s="53">
        <v>0</v>
      </c>
      <c r="BX236" s="53">
        <v>0</v>
      </c>
      <c r="BY236" s="53">
        <v>0</v>
      </c>
      <c r="BZ236" s="53">
        <v>0</v>
      </c>
      <c r="CA236" s="53">
        <v>0</v>
      </c>
      <c r="CB236" s="53">
        <v>0</v>
      </c>
      <c r="CC236" s="55">
        <f t="shared" si="1613"/>
        <v>0</v>
      </c>
      <c r="CD236" s="55">
        <f t="shared" si="1614"/>
        <v>0</v>
      </c>
      <c r="CE236" s="55">
        <f t="shared" si="1615"/>
        <v>0</v>
      </c>
      <c r="CF236" s="55">
        <f t="shared" si="1616"/>
        <v>0</v>
      </c>
      <c r="CG236" s="55">
        <f>SUMPRODUCT(L236:M236,L$5:M$5)/SUM(L$5:M$5)</f>
        <v>0</v>
      </c>
      <c r="CH236" s="164">
        <v>0</v>
      </c>
      <c r="CI236" s="164">
        <v>0</v>
      </c>
      <c r="CJ236" s="164">
        <v>0</v>
      </c>
      <c r="CK236" s="164">
        <v>0</v>
      </c>
      <c r="CL236" s="164">
        <v>0</v>
      </c>
      <c r="CM236" s="164">
        <v>0</v>
      </c>
      <c r="CN236" s="164">
        <v>0</v>
      </c>
      <c r="CO236" s="164">
        <v>0</v>
      </c>
      <c r="CP236" s="164">
        <v>0</v>
      </c>
      <c r="CQ236" s="164">
        <v>0</v>
      </c>
      <c r="CR236" s="164">
        <v>0</v>
      </c>
      <c r="CS236" s="164">
        <v>0</v>
      </c>
      <c r="CT236" s="164">
        <v>0</v>
      </c>
      <c r="CU236" s="164">
        <v>0</v>
      </c>
      <c r="CV236" s="164">
        <v>0</v>
      </c>
      <c r="CW236" s="164">
        <v>0</v>
      </c>
      <c r="CX236" s="164">
        <v>0</v>
      </c>
      <c r="CY236" s="164">
        <v>0</v>
      </c>
      <c r="CZ236" s="56">
        <f t="shared" si="1623"/>
        <v>0</v>
      </c>
      <c r="DA236" s="55">
        <f t="shared" si="1624"/>
        <v>0</v>
      </c>
      <c r="DB236" s="55">
        <f t="shared" si="1625"/>
        <v>0</v>
      </c>
      <c r="DC236" s="55">
        <f t="shared" si="1626"/>
        <v>0</v>
      </c>
      <c r="DD236" s="55">
        <f t="shared" si="1627"/>
        <v>0</v>
      </c>
      <c r="DE236" s="55">
        <f t="shared" si="1628"/>
        <v>0</v>
      </c>
      <c r="DF236" s="55">
        <f t="shared" si="1629"/>
        <v>0</v>
      </c>
      <c r="DG236" s="55">
        <f t="shared" si="1630"/>
        <v>0</v>
      </c>
      <c r="DH236" s="55">
        <f t="shared" si="1631"/>
        <v>0</v>
      </c>
      <c r="DI236" s="55">
        <f t="shared" si="1632"/>
        <v>0</v>
      </c>
    </row>
    <row r="237" spans="1:114" s="24" customFormat="1" outlineLevel="1">
      <c r="A237" s="1" t="s">
        <v>338</v>
      </c>
      <c r="B237" s="24" t="s">
        <v>587</v>
      </c>
      <c r="C237" s="82">
        <f t="shared" ref="C237:L237" si="1658">C234+C235+C236</f>
        <v>137727</v>
      </c>
      <c r="D237" s="82">
        <f t="shared" si="1658"/>
        <v>140537</v>
      </c>
      <c r="E237" s="82">
        <f t="shared" si="1658"/>
        <v>144396</v>
      </c>
      <c r="F237" s="82">
        <f t="shared" si="1658"/>
        <v>152055</v>
      </c>
      <c r="G237" s="82">
        <f t="shared" si="1658"/>
        <v>157734</v>
      </c>
      <c r="H237" s="82">
        <f t="shared" si="1658"/>
        <v>168990</v>
      </c>
      <c r="I237" s="82">
        <f t="shared" si="1658"/>
        <v>183276</v>
      </c>
      <c r="J237" s="82">
        <f t="shared" si="1658"/>
        <v>206489</v>
      </c>
      <c r="K237" s="82">
        <f t="shared" si="1658"/>
        <v>221637</v>
      </c>
      <c r="L237" s="82">
        <f t="shared" si="1658"/>
        <v>235745</v>
      </c>
      <c r="M237" s="82">
        <f t="shared" ref="M237:X237" si="1659">M234+M235+M236</f>
        <v>251403</v>
      </c>
      <c r="N237" s="82">
        <f t="shared" si="1659"/>
        <v>271291</v>
      </c>
      <c r="O237" s="82">
        <f t="shared" si="1659"/>
        <v>306827</v>
      </c>
      <c r="P237" s="82">
        <f t="shared" si="1659"/>
        <v>329104</v>
      </c>
      <c r="Q237" s="82">
        <f t="shared" si="1659"/>
        <v>353533</v>
      </c>
      <c r="R237" s="82">
        <f t="shared" si="1659"/>
        <v>434797</v>
      </c>
      <c r="S237" s="82">
        <f t="shared" si="1659"/>
        <v>459739</v>
      </c>
      <c r="T237" s="82">
        <f t="shared" si="1659"/>
        <v>483880</v>
      </c>
      <c r="U237" s="82">
        <f t="shared" si="1659"/>
        <v>491859</v>
      </c>
      <c r="V237" s="82">
        <f t="shared" si="1659"/>
        <v>508400.93370165752</v>
      </c>
      <c r="W237" s="82">
        <f t="shared" si="1659"/>
        <v>512059</v>
      </c>
      <c r="X237" s="82">
        <f t="shared" si="1659"/>
        <v>523444</v>
      </c>
      <c r="Y237" s="82">
        <f t="shared" ref="Y237:AK237" si="1660">Y234+Y235+Y236</f>
        <v>534263</v>
      </c>
      <c r="Z237" s="82">
        <f t="shared" si="1660"/>
        <v>545436</v>
      </c>
      <c r="AA237" s="82">
        <f t="shared" si="1660"/>
        <v>554660</v>
      </c>
      <c r="AB237" s="82">
        <f t="shared" si="1660"/>
        <v>575745</v>
      </c>
      <c r="AC237" s="82">
        <f t="shared" si="1660"/>
        <v>596239</v>
      </c>
      <c r="AD237" s="82">
        <f t="shared" si="1660"/>
        <v>612837</v>
      </c>
      <c r="AE237" s="82">
        <f t="shared" si="1660"/>
        <v>636001</v>
      </c>
      <c r="AF237" s="82">
        <f t="shared" si="1660"/>
        <v>635978</v>
      </c>
      <c r="AG237" s="82">
        <f t="shared" si="1660"/>
        <v>653614</v>
      </c>
      <c r="AH237" s="82">
        <f t="shared" si="1660"/>
        <v>674387</v>
      </c>
      <c r="AI237" s="82">
        <f t="shared" si="1660"/>
        <v>686017</v>
      </c>
      <c r="AJ237" s="82">
        <f t="shared" si="1660"/>
        <v>697558</v>
      </c>
      <c r="AK237" s="82">
        <f t="shared" si="1660"/>
        <v>702297</v>
      </c>
      <c r="AL237" s="82">
        <f t="shared" ref="AL237:AQ237" si="1661">AL234+AL235+AL236</f>
        <v>706975</v>
      </c>
      <c r="AM237" s="82">
        <f t="shared" si="1661"/>
        <v>712135</v>
      </c>
      <c r="AN237" s="82">
        <f t="shared" si="1661"/>
        <v>717276</v>
      </c>
      <c r="AO237" s="82">
        <f t="shared" si="1661"/>
        <v>728809</v>
      </c>
      <c r="AP237" s="82">
        <f t="shared" si="1661"/>
        <v>728465</v>
      </c>
      <c r="AQ237" s="82">
        <f t="shared" si="1661"/>
        <v>742305</v>
      </c>
      <c r="AR237" s="82">
        <f t="shared" ref="AR237" si="1662">AR234+AR235+AR236</f>
        <v>772004</v>
      </c>
      <c r="AS237" s="82">
        <f t="shared" ref="AS237:AT237" si="1663">AS234+AS235+AS236</f>
        <v>797286</v>
      </c>
      <c r="AT237" s="82">
        <f t="shared" si="1663"/>
        <v>825880</v>
      </c>
      <c r="AU237" s="82">
        <f t="shared" ref="AU237:AV237" si="1664">AU234+AU235+AU236</f>
        <v>847500</v>
      </c>
      <c r="AV237" s="82">
        <f t="shared" si="1664"/>
        <v>850249</v>
      </c>
      <c r="AW237" s="82">
        <f t="shared" ref="AW237:AX237" si="1665">AW234+AW235+AW236</f>
        <v>855234</v>
      </c>
      <c r="AX237" s="82">
        <f t="shared" si="1665"/>
        <v>871589</v>
      </c>
      <c r="AY237" s="82">
        <f t="shared" ref="AY237:AZ237" si="1666">SUM(AY234:AY236)</f>
        <v>901398</v>
      </c>
      <c r="AZ237" s="83">
        <f t="shared" si="1666"/>
        <v>932343</v>
      </c>
      <c r="BA237" s="82">
        <f t="shared" ref="BA237:BQ237" si="1667">SUM(BA234:BA236)</f>
        <v>969494.90015422076</v>
      </c>
      <c r="BB237" s="82">
        <f t="shared" si="1667"/>
        <v>992091.38437270606</v>
      </c>
      <c r="BC237" s="82">
        <f t="shared" si="1667"/>
        <v>1017088.0517566294</v>
      </c>
      <c r="BD237" s="82">
        <f t="shared" si="1667"/>
        <v>1040900.8650809911</v>
      </c>
      <c r="BE237" s="82">
        <f t="shared" si="1667"/>
        <v>1064443.5444849685</v>
      </c>
      <c r="BF237" s="82">
        <f t="shared" si="1667"/>
        <v>1088693.6221799783</v>
      </c>
      <c r="BG237" s="82">
        <f t="shared" si="1667"/>
        <v>1110899.0793295025</v>
      </c>
      <c r="BH237" s="82">
        <f t="shared" si="1667"/>
        <v>1133733.7354516</v>
      </c>
      <c r="BI237" s="82">
        <f t="shared" si="1667"/>
        <v>1153573.7875942593</v>
      </c>
      <c r="BJ237" s="82">
        <f t="shared" si="1667"/>
        <v>1173891.2916525828</v>
      </c>
      <c r="BK237" s="82">
        <f t="shared" si="1667"/>
        <v>1196231.2227990874</v>
      </c>
      <c r="BL237" s="82">
        <f t="shared" si="1667"/>
        <v>1219005.9005104422</v>
      </c>
      <c r="BM237" s="82">
        <f t="shared" si="1667"/>
        <v>1242223.8987521646</v>
      </c>
      <c r="BN237" s="82">
        <f t="shared" si="1667"/>
        <v>1265893.9619065768</v>
      </c>
      <c r="BO237" s="82">
        <f t="shared" si="1667"/>
        <v>1290025.0081753742</v>
      </c>
      <c r="BP237" s="82">
        <f t="shared" si="1667"/>
        <v>1314626.1330503069</v>
      </c>
      <c r="BQ237" s="82">
        <f t="shared" si="1667"/>
        <v>1339706.6128533382</v>
      </c>
      <c r="BR237" s="82"/>
      <c r="BS237" s="82">
        <f t="shared" ref="BS237:CB237" si="1668">BS234+BS235+BS236</f>
        <v>59755.4</v>
      </c>
      <c r="BT237" s="82">
        <f t="shared" si="1668"/>
        <v>58484.4</v>
      </c>
      <c r="BU237" s="82">
        <f t="shared" si="1668"/>
        <v>58174.3</v>
      </c>
      <c r="BV237" s="82">
        <f t="shared" si="1668"/>
        <v>60273</v>
      </c>
      <c r="BW237" s="82">
        <f t="shared" si="1668"/>
        <v>66490</v>
      </c>
      <c r="BX237" s="82">
        <f t="shared" si="1668"/>
        <v>77024</v>
      </c>
      <c r="BY237" s="82">
        <f t="shared" si="1668"/>
        <v>85744</v>
      </c>
      <c r="BZ237" s="82">
        <f t="shared" si="1668"/>
        <v>96656</v>
      </c>
      <c r="CA237" s="82">
        <f t="shared" si="1668"/>
        <v>109013</v>
      </c>
      <c r="CB237" s="82">
        <f t="shared" si="1668"/>
        <v>135909</v>
      </c>
      <c r="CC237" s="82">
        <f t="shared" si="1613"/>
        <v>142482.3589041096</v>
      </c>
      <c r="CD237" s="82">
        <f t="shared" si="1614"/>
        <v>154917.8383561644</v>
      </c>
      <c r="CE237" s="82">
        <f t="shared" si="1615"/>
        <v>176172.03278688525</v>
      </c>
      <c r="CF237" s="82">
        <f t="shared" si="1616"/>
        <v>214125.25205479455</v>
      </c>
      <c r="CG237" s="82">
        <f t="shared" ref="CG237:CL237" si="1669">CG234+CG235+CG236</f>
        <v>243510</v>
      </c>
      <c r="CH237" s="82">
        <f t="shared" si="1669"/>
        <v>296315</v>
      </c>
      <c r="CI237" s="82">
        <f t="shared" si="1669"/>
        <v>341252</v>
      </c>
      <c r="CJ237" s="82">
        <f t="shared" si="1669"/>
        <v>447166</v>
      </c>
      <c r="CK237" s="82">
        <f t="shared" si="1669"/>
        <v>487836</v>
      </c>
      <c r="CL237" s="82">
        <f t="shared" si="1669"/>
        <v>510245</v>
      </c>
      <c r="CM237" s="82">
        <f t="shared" ref="CM237:CS237" si="1670">CM234+CM235+CM236</f>
        <v>528823</v>
      </c>
      <c r="CN237" s="82">
        <f t="shared" si="1670"/>
        <v>550010</v>
      </c>
      <c r="CO237" s="82">
        <f t="shared" si="1670"/>
        <v>585908</v>
      </c>
      <c r="CP237" s="82">
        <f t="shared" si="1670"/>
        <v>624324</v>
      </c>
      <c r="CQ237" s="82">
        <f t="shared" si="1670"/>
        <v>644747</v>
      </c>
      <c r="CR237" s="82">
        <f t="shared" si="1670"/>
        <v>680154</v>
      </c>
      <c r="CS237" s="82">
        <f t="shared" si="1670"/>
        <v>699909</v>
      </c>
      <c r="CT237" s="82">
        <f>CT234+CT235+CT236</f>
        <v>709534</v>
      </c>
      <c r="CU237" s="82">
        <f>CU234+CU235+CU236</f>
        <v>723011</v>
      </c>
      <c r="CV237" s="82">
        <f t="shared" si="1619"/>
        <v>735441.87671232875</v>
      </c>
      <c r="CW237" s="82">
        <f t="shared" si="1620"/>
        <v>784748.89863013697</v>
      </c>
      <c r="CX237" s="82">
        <f t="shared" si="1621"/>
        <v>836778.84931506857</v>
      </c>
      <c r="CY237" s="82">
        <f t="shared" si="1622"/>
        <v>852755.12021857931</v>
      </c>
      <c r="CZ237" s="83">
        <f t="shared" si="1623"/>
        <v>886616.00273972598</v>
      </c>
      <c r="DA237" s="82">
        <f t="shared" si="1624"/>
        <v>951071.62911883998</v>
      </c>
      <c r="DB237" s="82">
        <f t="shared" si="1625"/>
        <v>1004692.4440950126</v>
      </c>
      <c r="DC237" s="82">
        <f t="shared" si="1626"/>
        <v>1052736.5290436463</v>
      </c>
      <c r="DD237" s="82">
        <f t="shared" si="1627"/>
        <v>1099887.6060580947</v>
      </c>
      <c r="DE237" s="82">
        <f t="shared" si="1628"/>
        <v>1143735.2959837897</v>
      </c>
      <c r="DF237" s="82">
        <f t="shared" si="1629"/>
        <v>1185153.0651620536</v>
      </c>
      <c r="DG237" s="82">
        <f t="shared" si="1630"/>
        <v>1230678.3367849695</v>
      </c>
      <c r="DH237" s="82">
        <f t="shared" si="1631"/>
        <v>1278058.6537242718</v>
      </c>
      <c r="DI237" s="82">
        <f t="shared" si="1632"/>
        <v>1327269.4434167664</v>
      </c>
      <c r="DJ237" s="134"/>
    </row>
    <row r="238" spans="1:114" outlineLevel="1">
      <c r="A238" s="1" t="s">
        <v>919</v>
      </c>
      <c r="B238" s="19" t="s">
        <v>388</v>
      </c>
      <c r="C238" s="55">
        <f t="shared" ref="C238:L238" si="1671">C239-C237</f>
        <v>25636</v>
      </c>
      <c r="D238" s="55">
        <f t="shared" si="1671"/>
        <v>27685</v>
      </c>
      <c r="E238" s="55">
        <f t="shared" si="1671"/>
        <v>28688</v>
      </c>
      <c r="F238" s="55">
        <f t="shared" si="1671"/>
        <v>31620</v>
      </c>
      <c r="G238" s="55">
        <f t="shared" si="1671"/>
        <v>35208</v>
      </c>
      <c r="H238" s="55">
        <f t="shared" si="1671"/>
        <v>35333</v>
      </c>
      <c r="I238" s="55">
        <f t="shared" si="1671"/>
        <v>40884</v>
      </c>
      <c r="J238" s="55">
        <f t="shared" si="1671"/>
        <v>39888</v>
      </c>
      <c r="K238" s="55">
        <f t="shared" si="1671"/>
        <v>38652</v>
      </c>
      <c r="L238" s="55">
        <f t="shared" si="1671"/>
        <v>41437</v>
      </c>
      <c r="M238" s="55">
        <f t="shared" ref="M238:X238" si="1672">M239-M237</f>
        <v>42925</v>
      </c>
      <c r="N238" s="55">
        <f t="shared" si="1672"/>
        <v>47224</v>
      </c>
      <c r="O238" s="55">
        <f t="shared" si="1672"/>
        <v>51856</v>
      </c>
      <c r="P238" s="55">
        <f t="shared" si="1672"/>
        <v>56120</v>
      </c>
      <c r="Q238" s="55">
        <f t="shared" si="1672"/>
        <v>59583</v>
      </c>
      <c r="R238" s="55">
        <f t="shared" si="1672"/>
        <v>77740</v>
      </c>
      <c r="S238" s="55">
        <f t="shared" si="1672"/>
        <v>80540</v>
      </c>
      <c r="T238" s="55">
        <f t="shared" si="1672"/>
        <v>75279</v>
      </c>
      <c r="U238" s="55">
        <f t="shared" si="1672"/>
        <v>78479</v>
      </c>
      <c r="V238" s="55">
        <f t="shared" si="1672"/>
        <v>85756.093922651897</v>
      </c>
      <c r="W238" s="55">
        <f t="shared" si="1672"/>
        <v>88543</v>
      </c>
      <c r="X238" s="55">
        <f t="shared" si="1672"/>
        <v>99454</v>
      </c>
      <c r="Y238" s="55">
        <f t="shared" ref="Y238:AK238" si="1673">Y239-Y237</f>
        <v>102284</v>
      </c>
      <c r="Z238" s="55">
        <f t="shared" si="1673"/>
        <v>103958</v>
      </c>
      <c r="AA238" s="55">
        <f t="shared" si="1673"/>
        <v>103291</v>
      </c>
      <c r="AB238" s="55">
        <f t="shared" si="1673"/>
        <v>114361</v>
      </c>
      <c r="AC238" s="55">
        <f t="shared" si="1673"/>
        <v>124650</v>
      </c>
      <c r="AD238" s="55">
        <f t="shared" si="1673"/>
        <v>126435</v>
      </c>
      <c r="AE238" s="55">
        <f t="shared" si="1673"/>
        <v>136746</v>
      </c>
      <c r="AF238" s="55">
        <f t="shared" si="1673"/>
        <v>144943</v>
      </c>
      <c r="AG238" s="55">
        <f t="shared" si="1673"/>
        <v>146765</v>
      </c>
      <c r="AH238" s="55">
        <f t="shared" si="1673"/>
        <v>148671</v>
      </c>
      <c r="AI238" s="55">
        <f t="shared" si="1673"/>
        <v>160602</v>
      </c>
      <c r="AJ238" s="55">
        <f t="shared" si="1673"/>
        <v>153964</v>
      </c>
      <c r="AK238" s="55">
        <f t="shared" si="1673"/>
        <v>154753</v>
      </c>
      <c r="AL238" s="55">
        <f t="shared" ref="AL238:AQ238" si="1674">AL239-AL237</f>
        <v>163928.72488873766</v>
      </c>
      <c r="AM238" s="55">
        <f t="shared" si="1674"/>
        <v>159805.34217183117</v>
      </c>
      <c r="AN238" s="55">
        <f t="shared" si="1674"/>
        <v>164574</v>
      </c>
      <c r="AO238" s="55">
        <f t="shared" si="1674"/>
        <v>184330</v>
      </c>
      <c r="AP238" s="55">
        <f t="shared" si="1674"/>
        <v>194459</v>
      </c>
      <c r="AQ238" s="55">
        <f t="shared" si="1674"/>
        <v>194578</v>
      </c>
      <c r="AR238" s="55">
        <f t="shared" ref="AR238" si="1675">AR239-AR237</f>
        <v>236066</v>
      </c>
      <c r="AS238" s="55">
        <f t="shared" ref="AS238:AT238" si="1676">AS239-AS237</f>
        <v>248776</v>
      </c>
      <c r="AT238" s="55">
        <f t="shared" si="1676"/>
        <v>274147</v>
      </c>
      <c r="AU238" s="55">
        <f t="shared" ref="AU238:AV238" si="1677">AU239-AU237</f>
        <v>275167</v>
      </c>
      <c r="AV238" s="55">
        <f t="shared" si="1677"/>
        <v>290444</v>
      </c>
      <c r="AW238" s="55">
        <f t="shared" ref="AW238:AX238" si="1678">AW239-AW237</f>
        <v>292828</v>
      </c>
      <c r="AX238" s="55">
        <f t="shared" si="1678"/>
        <v>264270</v>
      </c>
      <c r="AY238" s="55">
        <f t="shared" ref="AY238:AZ238" si="1679">AY239-AY237</f>
        <v>270406</v>
      </c>
      <c r="AZ238" s="56">
        <f t="shared" si="1679"/>
        <v>299983</v>
      </c>
      <c r="BA238" s="872">
        <f>((BA$237/(1-(AZ$238/AZ$239))-BA$237))</f>
        <v>311936.68921519618</v>
      </c>
      <c r="BB238" s="872">
        <f t="shared" ref="BB238:BI238" si="1680">((BB$237/(1-(BA$238/BA$239))-BB$237))</f>
        <v>319207.14775386034</v>
      </c>
      <c r="BC238" s="872">
        <f t="shared" si="1680"/>
        <v>327249.86944730522</v>
      </c>
      <c r="BD238" s="872">
        <f t="shared" si="1680"/>
        <v>334911.68401499325</v>
      </c>
      <c r="BE238" s="872">
        <f t="shared" si="1680"/>
        <v>342486.58251870214</v>
      </c>
      <c r="BF238" s="872">
        <f t="shared" si="1680"/>
        <v>350289.08766668104</v>
      </c>
      <c r="BG238" s="872">
        <f t="shared" si="1680"/>
        <v>357433.73255819175</v>
      </c>
      <c r="BH238" s="872">
        <f t="shared" si="1680"/>
        <v>364780.82332572597</v>
      </c>
      <c r="BI238" s="872">
        <f t="shared" si="1680"/>
        <v>371164.39499614271</v>
      </c>
      <c r="BJ238" s="872">
        <f t="shared" ref="BJ238" si="1681">((BJ$237/(1-(BI$238/BI$239))-BJ$237))</f>
        <v>377701.58766013873</v>
      </c>
      <c r="BK238" s="872">
        <f t="shared" ref="BK238" si="1682">((BK$237/(1-(BJ$238/BJ$239))-BK$237))</f>
        <v>384889.49979668274</v>
      </c>
      <c r="BL238" s="872">
        <f t="shared" ref="BL238" si="1683">((BL$237/(1-(BK$238/BK$239))-BL$237))</f>
        <v>392217.292405074</v>
      </c>
      <c r="BM238" s="872">
        <f t="shared" ref="BM238" si="1684">((BM$237/(1-(BL$238/BL$239))-BM$237))</f>
        <v>399687.72417379706</v>
      </c>
      <c r="BN238" s="872">
        <f t="shared" ref="BN238" si="1685">((BN$237/(1-(BM$238/BM$239))-BN$237))</f>
        <v>407303.6086232434</v>
      </c>
      <c r="BO238" s="872">
        <f t="shared" ref="BO238" si="1686">((BO$237/(1-(BN$238/BN$239))-BO$237))</f>
        <v>415067.81520049297</v>
      </c>
      <c r="BP238" s="872">
        <f t="shared" ref="BP238" si="1687">((BP$237/(1-(BO$238/BO$239))-BP$237))</f>
        <v>422983.27039601328</v>
      </c>
      <c r="BQ238" s="872">
        <f t="shared" ref="BQ238" si="1688">((BQ$237/(1-(BP$238/BP$239))-BQ$237))</f>
        <v>431052.95888271043</v>
      </c>
      <c r="BR238" s="55"/>
      <c r="BS238" s="55">
        <f t="shared" ref="BS238:CB238" si="1689">BS239-BS237</f>
        <v>12113.999999999993</v>
      </c>
      <c r="BT238" s="55">
        <f t="shared" si="1689"/>
        <v>13858.700000000004</v>
      </c>
      <c r="BU238" s="55">
        <f t="shared" si="1689"/>
        <v>16559</v>
      </c>
      <c r="BV238" s="55">
        <f t="shared" si="1689"/>
        <v>18188</v>
      </c>
      <c r="BW238" s="55">
        <f t="shared" si="1689"/>
        <v>19305</v>
      </c>
      <c r="BX238" s="55">
        <f t="shared" si="1689"/>
        <v>19139</v>
      </c>
      <c r="BY238" s="55">
        <f t="shared" si="1689"/>
        <v>16421</v>
      </c>
      <c r="BZ238" s="55">
        <f t="shared" si="1689"/>
        <v>17615</v>
      </c>
      <c r="CA238" s="55">
        <f t="shared" si="1689"/>
        <v>20150</v>
      </c>
      <c r="CB238" s="55">
        <f t="shared" si="1689"/>
        <v>24698</v>
      </c>
      <c r="CC238" s="55">
        <f t="shared" si="1613"/>
        <v>28190.621917808217</v>
      </c>
      <c r="CD238" s="55">
        <f t="shared" si="1614"/>
        <v>33428.745205479456</v>
      </c>
      <c r="CE238" s="55">
        <f t="shared" si="1615"/>
        <v>38123.666666666664</v>
      </c>
      <c r="CF238" s="55">
        <f t="shared" si="1616"/>
        <v>39264.920547945207</v>
      </c>
      <c r="CG238" s="55">
        <f>SUMPRODUCT(L238:M238,L$5:M$5)/SUM(L$5:M$5)</f>
        <v>42187.115068493149</v>
      </c>
      <c r="CH238" s="55">
        <f t="shared" ref="CH238:CS238" si="1690">CH239-CH237</f>
        <v>49521</v>
      </c>
      <c r="CI238" s="55">
        <f t="shared" si="1690"/>
        <v>57842</v>
      </c>
      <c r="CJ238" s="55">
        <f t="shared" si="1690"/>
        <v>79128</v>
      </c>
      <c r="CK238" s="55">
        <f t="shared" si="1690"/>
        <v>76866</v>
      </c>
      <c r="CL238" s="55">
        <f t="shared" si="1690"/>
        <v>87161</v>
      </c>
      <c r="CM238" s="55">
        <f t="shared" si="1690"/>
        <v>100862</v>
      </c>
      <c r="CN238" s="55">
        <f t="shared" si="1690"/>
        <v>103627</v>
      </c>
      <c r="CO238" s="55">
        <f t="shared" si="1690"/>
        <v>119463</v>
      </c>
      <c r="CP238" s="55">
        <f t="shared" si="1690"/>
        <v>131548</v>
      </c>
      <c r="CQ238" s="55">
        <f t="shared" si="1690"/>
        <v>145849</v>
      </c>
      <c r="CR238" s="55">
        <f t="shared" si="1690"/>
        <v>154587</v>
      </c>
      <c r="CS238" s="55">
        <f t="shared" si="1690"/>
        <v>154355</v>
      </c>
      <c r="CT238" s="55">
        <f>CT239-CT237</f>
        <v>161884</v>
      </c>
      <c r="CU238" s="55">
        <f>CU239-CU237</f>
        <v>174398</v>
      </c>
      <c r="CV238" s="55">
        <f t="shared" si="1619"/>
        <v>194518.98904109589</v>
      </c>
      <c r="CW238" s="55">
        <f t="shared" ref="CW238:CY238" si="1691">CW239-CW237</f>
        <v>242161.10136986303</v>
      </c>
      <c r="CX238" s="55">
        <f t="shared" si="1691"/>
        <v>274475.15068493143</v>
      </c>
      <c r="CY238" s="55">
        <f t="shared" si="1691"/>
        <v>291601.87978142069</v>
      </c>
      <c r="CZ238" s="56">
        <f>CZ239-CZ237</f>
        <v>267067.99726027402</v>
      </c>
      <c r="DA238" s="55">
        <f>SUMPRODUCT(AZ238:BA238,AZ$5:BA$5)/SUM(AZ$5:BA$5)</f>
        <v>306008.96935779753</v>
      </c>
      <c r="DB238" s="55">
        <f>SUMPRODUCT(BB238:BC238,BB$5:BC$5)/SUM(BB$5:BC$5)</f>
        <v>323261.56088151474</v>
      </c>
      <c r="DC238" s="55">
        <f>SUMPRODUCT(BD238:BE238,BD$5:BE$5)/SUM(BD$5:BE$5)</f>
        <v>338719.82971084694</v>
      </c>
      <c r="DD238" s="55">
        <f>SUMPRODUCT(BF238:BG238,BF$5:BG$5)/SUM(BF$5:BG$5)</f>
        <v>353890.77166678512</v>
      </c>
      <c r="DE238" s="55">
        <f>SUMPRODUCT(BH238:BI238,BH$5:BI$5)/SUM(BH$5:BI$5)</f>
        <v>367998.84301711415</v>
      </c>
      <c r="DF238" s="55">
        <f>SUMPRODUCT(BJ238:BK238,BJ$5:BK$5)/SUM(BJ$5:BK$5)</f>
        <v>381325.08309335541</v>
      </c>
      <c r="DG238" s="55">
        <f>SUMPRODUCT(BL238:BM238,BL$5:BM$5)/SUM(BL$5:BM$5)</f>
        <v>395972.91930519708</v>
      </c>
      <c r="DH238" s="55">
        <f>SUMPRODUCT(BN238:BO238,BN$5:BO$5)/SUM(BN$5:BO$5)</f>
        <v>411217.61961013085</v>
      </c>
      <c r="DI238" s="55">
        <f>SUMPRODUCT(BP238:BQ238,BP$5:BQ$5)/SUM(BP$5:BQ$5)</f>
        <v>427051.27774273179</v>
      </c>
      <c r="DJ238" s="134"/>
    </row>
    <row r="239" spans="1:114" s="24" customFormat="1" outlineLevel="1">
      <c r="A239" s="1" t="s">
        <v>920</v>
      </c>
      <c r="B239" s="24" t="s">
        <v>470</v>
      </c>
      <c r="C239" s="81">
        <v>163363</v>
      </c>
      <c r="D239" s="81">
        <f>168222+0</f>
        <v>168222</v>
      </c>
      <c r="E239" s="81">
        <f>173084+0</f>
        <v>173084</v>
      </c>
      <c r="F239" s="81">
        <f>183675+0</f>
        <v>183675</v>
      </c>
      <c r="G239" s="81">
        <f>192942+0</f>
        <v>192942</v>
      </c>
      <c r="H239" s="81">
        <f>204323+0</f>
        <v>204323</v>
      </c>
      <c r="I239" s="81">
        <f>224160+0</f>
        <v>224160</v>
      </c>
      <c r="J239" s="81">
        <f>239150+7227</f>
        <v>246377</v>
      </c>
      <c r="K239" s="81">
        <f>250357+9932</f>
        <v>260289</v>
      </c>
      <c r="L239" s="81">
        <f>267169+10013</f>
        <v>277182</v>
      </c>
      <c r="M239" s="81">
        <f>282553+11775</f>
        <v>294328</v>
      </c>
      <c r="N239" s="81">
        <f>306868+11647</f>
        <v>318515</v>
      </c>
      <c r="O239" s="81">
        <f>343614+15069</f>
        <v>358683</v>
      </c>
      <c r="P239" s="81">
        <f>370819+14405</f>
        <v>385224</v>
      </c>
      <c r="Q239" s="81">
        <f>400678+12438</f>
        <v>413116</v>
      </c>
      <c r="R239" s="81">
        <f>496555+15982</f>
        <v>512537</v>
      </c>
      <c r="S239" s="81">
        <f>526512+13767</f>
        <v>540279</v>
      </c>
      <c r="T239" s="81">
        <f>547379+11780</f>
        <v>559159</v>
      </c>
      <c r="U239" s="81">
        <f>560197+10141</f>
        <v>570338</v>
      </c>
      <c r="V239" s="81">
        <f>(597406*(V$5+W$5)-W239*W$5)/V$5</f>
        <v>594157.02762430941</v>
      </c>
      <c r="W239" s="81">
        <v>600602</v>
      </c>
      <c r="X239" s="81">
        <v>622898</v>
      </c>
      <c r="Y239" s="81">
        <v>636547</v>
      </c>
      <c r="Z239" s="81">
        <v>649394</v>
      </c>
      <c r="AA239" s="166">
        <v>657951</v>
      </c>
      <c r="AB239" s="166">
        <v>690106</v>
      </c>
      <c r="AC239" s="166">
        <v>720889</v>
      </c>
      <c r="AD239" s="166">
        <v>739272</v>
      </c>
      <c r="AE239" s="166">
        <v>772747</v>
      </c>
      <c r="AF239" s="166">
        <v>780921</v>
      </c>
      <c r="AG239" s="166">
        <v>800379</v>
      </c>
      <c r="AH239" s="166">
        <v>823058</v>
      </c>
      <c r="AI239" s="166">
        <v>846619</v>
      </c>
      <c r="AJ239" s="166">
        <v>851522</v>
      </c>
      <c r="AK239" s="166">
        <v>857050</v>
      </c>
      <c r="AL239" s="166">
        <f>871418/864174*863664</f>
        <v>870903.72488873766</v>
      </c>
      <c r="AM239" s="166">
        <f>871418/864174*864692</f>
        <v>871940.34217183117</v>
      </c>
      <c r="AN239" s="166">
        <v>881850</v>
      </c>
      <c r="AO239" s="166">
        <v>913139</v>
      </c>
      <c r="AP239" s="166">
        <v>922924</v>
      </c>
      <c r="AQ239" s="166">
        <v>936883</v>
      </c>
      <c r="AR239" s="166">
        <v>1008070</v>
      </c>
      <c r="AS239" s="166">
        <v>1046062</v>
      </c>
      <c r="AT239" s="166">
        <v>1100027</v>
      </c>
      <c r="AU239" s="166">
        <v>1122667</v>
      </c>
      <c r="AV239" s="166">
        <v>1140693</v>
      </c>
      <c r="AW239" s="166">
        <v>1148062</v>
      </c>
      <c r="AX239" s="166">
        <v>1135859</v>
      </c>
      <c r="AY239" s="166">
        <v>1171804</v>
      </c>
      <c r="AZ239" s="167">
        <v>1232326</v>
      </c>
      <c r="BA239" s="82">
        <f t="shared" ref="BA239:BE239" si="1692">BA237+BA238</f>
        <v>1281431.5893694169</v>
      </c>
      <c r="BB239" s="82">
        <f t="shared" si="1692"/>
        <v>1311298.5321265664</v>
      </c>
      <c r="BC239" s="82">
        <f t="shared" si="1692"/>
        <v>1344337.9212039346</v>
      </c>
      <c r="BD239" s="82">
        <f t="shared" si="1692"/>
        <v>1375812.5490959843</v>
      </c>
      <c r="BE239" s="82">
        <f t="shared" si="1692"/>
        <v>1406930.1270036707</v>
      </c>
      <c r="BF239" s="82">
        <f t="shared" ref="BF239:BM239" si="1693">BF237+BF238</f>
        <v>1438982.7098466593</v>
      </c>
      <c r="BG239" s="82">
        <f t="shared" si="1693"/>
        <v>1468332.8118876943</v>
      </c>
      <c r="BH239" s="82">
        <f t="shared" si="1693"/>
        <v>1498514.558777326</v>
      </c>
      <c r="BI239" s="82">
        <f t="shared" si="1693"/>
        <v>1524738.182590402</v>
      </c>
      <c r="BJ239" s="82">
        <f t="shared" si="1693"/>
        <v>1551592.8793127215</v>
      </c>
      <c r="BK239" s="82">
        <f t="shared" si="1693"/>
        <v>1581120.7225957701</v>
      </c>
      <c r="BL239" s="82">
        <f t="shared" si="1693"/>
        <v>1611223.1929155162</v>
      </c>
      <c r="BM239" s="82">
        <f t="shared" si="1693"/>
        <v>1641911.6229259616</v>
      </c>
      <c r="BN239" s="82">
        <f t="shared" ref="BN239:BO239" si="1694">BN237+BN238</f>
        <v>1673197.5705298202</v>
      </c>
      <c r="BO239" s="82">
        <f t="shared" si="1694"/>
        <v>1705092.8233758672</v>
      </c>
      <c r="BP239" s="82">
        <f t="shared" ref="BP239:BQ239" si="1695">BP237+BP238</f>
        <v>1737609.4034463202</v>
      </c>
      <c r="BQ239" s="82">
        <f t="shared" si="1695"/>
        <v>1770759.5717360487</v>
      </c>
      <c r="BR239" s="82"/>
      <c r="BS239" s="81">
        <v>71869.399999999994</v>
      </c>
      <c r="BT239" s="81">
        <v>72343.100000000006</v>
      </c>
      <c r="BU239" s="81">
        <v>74733.3</v>
      </c>
      <c r="BV239" s="81">
        <v>78461</v>
      </c>
      <c r="BW239" s="81">
        <v>85795</v>
      </c>
      <c r="BX239" s="81">
        <v>96163</v>
      </c>
      <c r="BY239" s="81">
        <v>102165</v>
      </c>
      <c r="BZ239" s="81">
        <v>114271</v>
      </c>
      <c r="CA239" s="81">
        <v>129163</v>
      </c>
      <c r="CB239" s="81">
        <v>160607</v>
      </c>
      <c r="CC239" s="82">
        <f t="shared" si="1613"/>
        <v>170672.98082191779</v>
      </c>
      <c r="CD239" s="82">
        <f t="shared" si="1614"/>
        <v>188346.58356164381</v>
      </c>
      <c r="CE239" s="82">
        <f t="shared" si="1615"/>
        <v>214295.69945355193</v>
      </c>
      <c r="CF239" s="82">
        <f t="shared" si="1616"/>
        <v>253390.17260273971</v>
      </c>
      <c r="CG239" s="166">
        <f>274798+10887</f>
        <v>285685</v>
      </c>
      <c r="CH239" s="166">
        <f>332492+13344</f>
        <v>345836</v>
      </c>
      <c r="CI239" s="166">
        <f>385667+13427</f>
        <v>399094</v>
      </c>
      <c r="CJ239" s="166">
        <f>511410+14884</f>
        <v>526294</v>
      </c>
      <c r="CK239" s="166">
        <f>553735+10967</f>
        <v>564702</v>
      </c>
      <c r="CL239" s="166">
        <v>597406</v>
      </c>
      <c r="CM239" s="166">
        <v>629685</v>
      </c>
      <c r="CN239" s="166">
        <v>653637</v>
      </c>
      <c r="CO239" s="166">
        <v>705371</v>
      </c>
      <c r="CP239" s="166">
        <v>755872</v>
      </c>
      <c r="CQ239" s="166">
        <v>790596</v>
      </c>
      <c r="CR239" s="166">
        <v>834741</v>
      </c>
      <c r="CS239" s="166">
        <v>854264</v>
      </c>
      <c r="CT239" s="166">
        <v>871418</v>
      </c>
      <c r="CU239" s="166">
        <v>897409</v>
      </c>
      <c r="CV239" s="166">
        <v>929846</v>
      </c>
      <c r="CW239" s="166">
        <v>1026910</v>
      </c>
      <c r="CX239" s="166">
        <v>1111254</v>
      </c>
      <c r="CY239" s="166">
        <v>1144357</v>
      </c>
      <c r="CZ239" s="167">
        <v>1153684</v>
      </c>
      <c r="DA239" s="82">
        <f>DA237+DA238</f>
        <v>1257080.5984766376</v>
      </c>
      <c r="DB239" s="82">
        <f t="shared" ref="DB239:DC239" si="1696">DB237+DB238</f>
        <v>1327954.0049765273</v>
      </c>
      <c r="DC239" s="82">
        <f t="shared" si="1696"/>
        <v>1391456.3587544933</v>
      </c>
      <c r="DD239" s="82">
        <f t="shared" si="1627"/>
        <v>1453778.3777248797</v>
      </c>
      <c r="DE239" s="82">
        <f t="shared" si="1628"/>
        <v>1511734.139000904</v>
      </c>
      <c r="DF239" s="82">
        <f t="shared" si="1629"/>
        <v>1566478.1482554092</v>
      </c>
      <c r="DG239" s="82">
        <f t="shared" si="1630"/>
        <v>1626651.2560901663</v>
      </c>
      <c r="DH239" s="82">
        <f t="shared" si="1631"/>
        <v>1689276.2733344028</v>
      </c>
      <c r="DI239" s="82">
        <f t="shared" si="1632"/>
        <v>1754320.7211594982</v>
      </c>
      <c r="DJ239" s="134"/>
    </row>
    <row r="240" spans="1:114" outlineLevel="1">
      <c r="C240" s="55"/>
      <c r="D240" s="55"/>
      <c r="E240" s="55"/>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5"/>
      <c r="AU240" s="55"/>
      <c r="AV240" s="55"/>
      <c r="AW240" s="55"/>
      <c r="AX240" s="817"/>
      <c r="AY240" s="888"/>
      <c r="AZ240" s="889"/>
      <c r="BA240" s="813"/>
      <c r="BB240" s="813"/>
      <c r="BC240" s="813"/>
      <c r="BD240" s="813"/>
      <c r="BE240" s="813"/>
      <c r="BF240" s="813"/>
      <c r="BG240" s="833"/>
      <c r="BH240" s="833"/>
      <c r="BI240" s="833"/>
      <c r="BJ240" s="833"/>
      <c r="BK240" s="833"/>
      <c r="BL240" s="833"/>
      <c r="BM240" s="833"/>
      <c r="BN240" s="833"/>
      <c r="BO240" s="833"/>
      <c r="BP240" s="833"/>
      <c r="BQ240" s="833"/>
      <c r="BR240" s="55"/>
      <c r="BS240" s="55"/>
      <c r="BT240" s="55"/>
      <c r="BU240" s="55"/>
      <c r="BV240" s="55"/>
      <c r="BW240" s="55"/>
      <c r="BX240" s="55"/>
      <c r="BY240" s="55"/>
      <c r="BZ240" s="55"/>
      <c r="CA240" s="55"/>
      <c r="CB240" s="55"/>
      <c r="CC240" s="55"/>
      <c r="CD240" s="55"/>
      <c r="CE240" s="55"/>
      <c r="CF240" s="55"/>
      <c r="CG240" s="55"/>
      <c r="CH240" s="55"/>
      <c r="CI240" s="55"/>
      <c r="CJ240" s="55"/>
      <c r="CK240" s="55"/>
      <c r="CL240" s="55"/>
      <c r="CM240" s="55"/>
      <c r="CN240" s="55"/>
      <c r="CO240" s="55"/>
      <c r="CP240" s="55"/>
      <c r="CQ240" s="55"/>
      <c r="CR240" s="55"/>
      <c r="CS240" s="55"/>
      <c r="CT240" s="55"/>
      <c r="CU240" s="55"/>
      <c r="CV240" s="55"/>
      <c r="CW240" s="55"/>
      <c r="CX240" s="55"/>
      <c r="CY240" s="55"/>
      <c r="CZ240" s="389"/>
      <c r="DA240" s="55"/>
      <c r="DB240" s="55"/>
    </row>
    <row r="241" spans="1:113" s="24" customFormat="1" outlineLevel="1">
      <c r="A241" s="19"/>
      <c r="B241" s="24" t="s">
        <v>588</v>
      </c>
      <c r="C241" s="82"/>
      <c r="D241" s="82"/>
      <c r="E241" s="82"/>
      <c r="F241" s="82"/>
      <c r="G241" s="82"/>
      <c r="H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c r="AV241" s="82"/>
      <c r="AW241" s="82"/>
      <c r="AX241" s="82"/>
      <c r="AY241" s="82"/>
      <c r="AZ241" s="83"/>
      <c r="BA241" s="82"/>
      <c r="BB241" s="82"/>
      <c r="BC241" s="82"/>
      <c r="BD241" s="82"/>
      <c r="BE241" s="82"/>
      <c r="BF241" s="82"/>
      <c r="BG241" s="82"/>
      <c r="BH241" s="82"/>
      <c r="BI241" s="82"/>
      <c r="BJ241" s="82"/>
      <c r="BK241" s="82"/>
      <c r="BL241" s="82"/>
      <c r="BM241" s="82"/>
      <c r="BN241" s="82"/>
      <c r="BO241" s="82"/>
      <c r="BP241" s="82"/>
      <c r="BQ241" s="82"/>
      <c r="BR241" s="82"/>
      <c r="BS241" s="82"/>
      <c r="BT241" s="82"/>
      <c r="BU241" s="82"/>
      <c r="BV241" s="82"/>
      <c r="BW241" s="82"/>
      <c r="BX241" s="82"/>
      <c r="BY241" s="82"/>
      <c r="BZ241" s="82"/>
      <c r="CA241" s="82"/>
      <c r="CB241" s="82"/>
      <c r="CC241" s="82"/>
      <c r="CD241" s="82"/>
      <c r="CE241" s="82"/>
      <c r="CF241" s="82"/>
      <c r="CG241" s="82"/>
      <c r="CH241" s="82" t="s">
        <v>2260</v>
      </c>
      <c r="CI241" s="82"/>
      <c r="CJ241" s="82"/>
      <c r="CK241" s="82"/>
      <c r="CL241" s="82"/>
      <c r="CM241" s="82"/>
      <c r="CN241" s="82"/>
      <c r="CO241" s="82"/>
      <c r="CP241" s="82"/>
      <c r="CQ241" s="82"/>
      <c r="CR241" s="82"/>
      <c r="CS241" s="82"/>
      <c r="CT241" s="82"/>
      <c r="CU241" s="82"/>
      <c r="CV241" s="82"/>
      <c r="CW241" s="82"/>
      <c r="CX241" s="82"/>
      <c r="CY241" s="82"/>
      <c r="CZ241" s="83"/>
      <c r="DA241" s="82"/>
      <c r="DB241" s="82"/>
    </row>
    <row r="242" spans="1:113" outlineLevel="1">
      <c r="A242" s="1" t="s">
        <v>339</v>
      </c>
      <c r="B242" s="19" t="s">
        <v>589</v>
      </c>
      <c r="C242" s="55">
        <f t="shared" ref="C242:L243" si="1697">C$244*AVERAGE(B184:C184)/AVERAGE(B$186:C$186)</f>
        <v>60195.537517160228</v>
      </c>
      <c r="D242" s="55">
        <f t="shared" si="1697"/>
        <v>65464.022829871072</v>
      </c>
      <c r="E242" s="55">
        <f t="shared" si="1697"/>
        <v>66882.624200548962</v>
      </c>
      <c r="F242" s="55">
        <f t="shared" si="1697"/>
        <v>71216.139040548995</v>
      </c>
      <c r="G242" s="55">
        <f t="shared" si="1697"/>
        <v>73579.918296381729</v>
      </c>
      <c r="H242" s="55">
        <f t="shared" si="1697"/>
        <v>76389.735537920642</v>
      </c>
      <c r="I242" s="55">
        <f t="shared" si="1697"/>
        <v>79757.999738130777</v>
      </c>
      <c r="J242" s="55">
        <f t="shared" si="1697"/>
        <v>78855.215125288727</v>
      </c>
      <c r="K242" s="55">
        <f t="shared" si="1697"/>
        <v>81591.813906454845</v>
      </c>
      <c r="L242" s="55">
        <f t="shared" si="1697"/>
        <v>81818.220984838321</v>
      </c>
      <c r="M242" s="55">
        <f t="shared" ref="M242:W242" si="1698">M$244*AVERAGE(L184:M184)/AVERAGE(L$186:M$186)</f>
        <v>85419.168841135834</v>
      </c>
      <c r="N242" s="55">
        <f t="shared" si="1698"/>
        <v>90335.718797527588</v>
      </c>
      <c r="O242" s="55">
        <f t="shared" si="1698"/>
        <v>111279.25689509294</v>
      </c>
      <c r="P242" s="55">
        <f t="shared" si="1698"/>
        <v>122037.22098684259</v>
      </c>
      <c r="Q242" s="55">
        <f t="shared" si="1698"/>
        <v>124223.95056742619</v>
      </c>
      <c r="R242" s="55">
        <f t="shared" si="1698"/>
        <v>147556.58360466693</v>
      </c>
      <c r="S242" s="55">
        <f t="shared" si="1698"/>
        <v>165231.82163245583</v>
      </c>
      <c r="T242" s="55">
        <f t="shared" si="1698"/>
        <v>165380.22140963568</v>
      </c>
      <c r="U242" s="55">
        <f t="shared" si="1698"/>
        <v>166225.58190264655</v>
      </c>
      <c r="V242" s="55">
        <f t="shared" si="1698"/>
        <v>168608.46856516955</v>
      </c>
      <c r="W242" s="55">
        <f t="shared" si="1698"/>
        <v>174115.26715817128</v>
      </c>
      <c r="X242" s="55">
        <f t="shared" ref="X242:AC242" si="1699">X$244*AVERAGE(W184:X184)/AVERAGE(W$186:X$186)</f>
        <v>182812.1568779856</v>
      </c>
      <c r="Y242" s="55">
        <f t="shared" si="1699"/>
        <v>183710.68165415383</v>
      </c>
      <c r="Z242" s="55">
        <f t="shared" si="1699"/>
        <v>193294.81701667796</v>
      </c>
      <c r="AA242" s="55">
        <f t="shared" si="1699"/>
        <v>201785.64881547881</v>
      </c>
      <c r="AB242" s="55">
        <f t="shared" si="1699"/>
        <v>217606.13598910783</v>
      </c>
      <c r="AC242" s="55">
        <f t="shared" si="1699"/>
        <v>236749.14859433973</v>
      </c>
      <c r="AD242" s="55">
        <f t="shared" ref="AD242:AG243" si="1700">AD$244*AVERAGE(AC184:AD184)/AVERAGE(AC$186:AD$186)</f>
        <v>252296.05136961411</v>
      </c>
      <c r="AE242" s="55">
        <f t="shared" si="1700"/>
        <v>273742.28923920495</v>
      </c>
      <c r="AF242" s="55">
        <f t="shared" si="1700"/>
        <v>283051.60593173752</v>
      </c>
      <c r="AG242" s="55">
        <f t="shared" si="1700"/>
        <v>296604.92565783212</v>
      </c>
      <c r="AH242" s="55">
        <f t="shared" ref="AH242:AM242" si="1701">AH244-AH243</f>
        <v>284472.12676390115</v>
      </c>
      <c r="AI242" s="55">
        <f t="shared" si="1701"/>
        <v>293962.42234004766</v>
      </c>
      <c r="AJ242" s="55">
        <f t="shared" si="1701"/>
        <v>303404.43421027937</v>
      </c>
      <c r="AK242" s="55">
        <f t="shared" si="1701"/>
        <v>301517.58328139095</v>
      </c>
      <c r="AL242" s="55">
        <f t="shared" si="1701"/>
        <v>306454.57544282166</v>
      </c>
      <c r="AM242" s="55">
        <f t="shared" si="1701"/>
        <v>306897.91458181059</v>
      </c>
      <c r="AN242" s="55">
        <f t="shared" ref="AN242:AS242" si="1702">AN244-AN243</f>
        <v>336304.35709004197</v>
      </c>
      <c r="AO242" s="55">
        <f t="shared" si="1702"/>
        <v>353054.03690650803</v>
      </c>
      <c r="AP242" s="55">
        <f t="shared" si="1702"/>
        <v>422467.03806472954</v>
      </c>
      <c r="AQ242" s="55">
        <f t="shared" si="1702"/>
        <v>436297.61975595559</v>
      </c>
      <c r="AR242" s="55">
        <f t="shared" si="1702"/>
        <v>472075.32803922647</v>
      </c>
      <c r="AS242" s="55">
        <f t="shared" si="1702"/>
        <v>488542.7573192101</v>
      </c>
      <c r="AT242" s="55">
        <f t="shared" ref="AT242:AU242" si="1703">AT244-AT243</f>
        <v>497385.28586782538</v>
      </c>
      <c r="AU242" s="55">
        <f t="shared" si="1703"/>
        <v>503504.62552503822</v>
      </c>
      <c r="AV242" s="55">
        <f t="shared" ref="AV242:AW242" si="1704">AV244-AV243</f>
        <v>501456.54064065096</v>
      </c>
      <c r="AW242" s="55">
        <f t="shared" si="1704"/>
        <v>507912.77437352203</v>
      </c>
      <c r="AX242" s="55">
        <f t="shared" ref="AX242:AY242" si="1705">AX244-AX243</f>
        <v>505011.44114960602</v>
      </c>
      <c r="AY242" s="55">
        <f t="shared" si="1705"/>
        <v>516498.69862968579</v>
      </c>
      <c r="AZ242" s="56">
        <f t="shared" ref="AZ242" si="1706">AZ244-AZ243</f>
        <v>544420.10408986418</v>
      </c>
      <c r="BA242" s="55">
        <f t="shared" ref="BA242:BE242" si="1707">AZ242/AZ$244*BA$244</f>
        <v>566641.70811664232</v>
      </c>
      <c r="BB242" s="55">
        <f t="shared" si="1707"/>
        <v>582203.42005137284</v>
      </c>
      <c r="BC242" s="55">
        <f t="shared" si="1707"/>
        <v>596758.50555265706</v>
      </c>
      <c r="BD242" s="55">
        <f t="shared" si="1707"/>
        <v>611677.4681914734</v>
      </c>
      <c r="BE242" s="55">
        <f t="shared" si="1707"/>
        <v>626969.40489626024</v>
      </c>
      <c r="BF242" s="55">
        <f t="shared" ref="BF242:BM243" si="1708">BE242/BE$244*BF$244</f>
        <v>642643.64001866651</v>
      </c>
      <c r="BG242" s="55">
        <f t="shared" si="1708"/>
        <v>658709.73101913312</v>
      </c>
      <c r="BH242" s="55">
        <f t="shared" si="1708"/>
        <v>675177.47429461137</v>
      </c>
      <c r="BI242" s="55">
        <f t="shared" si="1708"/>
        <v>690329.8924966373</v>
      </c>
      <c r="BJ242" s="55">
        <f t="shared" si="1708"/>
        <v>704100.17429023597</v>
      </c>
      <c r="BK242" s="55">
        <f t="shared" si="1708"/>
        <v>718146.18262370408</v>
      </c>
      <c r="BL242" s="55">
        <f t="shared" si="1708"/>
        <v>732473.44901284797</v>
      </c>
      <c r="BM242" s="55">
        <f t="shared" si="1708"/>
        <v>747087.61605080043</v>
      </c>
      <c r="BN242" s="55">
        <f t="shared" ref="BN242:BN243" si="1709">BM242/BM$244*BN$244</f>
        <v>761994.43963961164</v>
      </c>
      <c r="BO242" s="55">
        <f t="shared" ref="BO242:BO243" si="1710">BN242/BN$244*BO$244</f>
        <v>777199.79126668256</v>
      </c>
      <c r="BP242" s="55">
        <f t="shared" ref="BP242:BP243" si="1711">BO242/BO$244*BP$244</f>
        <v>792709.6603269456</v>
      </c>
      <c r="BQ242" s="55">
        <f t="shared" ref="BQ242:BQ243" si="1712">BP242/BP$244*BQ$244</f>
        <v>808530.15649170917</v>
      </c>
      <c r="BR242" s="55"/>
      <c r="BS242" s="55"/>
      <c r="BT242" s="55"/>
      <c r="BU242" s="55"/>
      <c r="BV242" s="55"/>
      <c r="BW242" s="55"/>
      <c r="BX242" s="55"/>
      <c r="BY242" s="55"/>
      <c r="BZ242" s="55"/>
      <c r="CA242" s="55"/>
      <c r="CB242" s="55"/>
      <c r="CC242" s="55">
        <f>SUMPRODUCT(D242:E242,D$5:E$5)/SUM(D$5:E$5)</f>
        <v>66179.153383856639</v>
      </c>
      <c r="CD242" s="55">
        <f>SUMPRODUCT(F242:G242,F$5:G$5)/SUM(F$5:G$5)</f>
        <v>72407.742829790688</v>
      </c>
      <c r="CE242" s="55">
        <f>SUMPRODUCT(H242:I242,H$5:I$5)/SUM(H$5:I$5)</f>
        <v>78083.070545676557</v>
      </c>
      <c r="CF242" s="55">
        <f>SUMPRODUCT(J242:K242,J$5:K$5)/SUM(J$5:K$5)</f>
        <v>80234.760812232751</v>
      </c>
      <c r="CG242" s="55">
        <f t="shared" ref="CG242:CL243" si="1713">CG$244*AVERAGE(CF184:CG184)/AVERAGE(CF$186:CG$186)</f>
        <v>83805.655763434799</v>
      </c>
      <c r="CH242" s="55">
        <f t="shared" si="1713"/>
        <v>107140.75061643204</v>
      </c>
      <c r="CI242" s="55">
        <f t="shared" si="1713"/>
        <v>123966.66662538375</v>
      </c>
      <c r="CJ242" s="55">
        <f t="shared" si="1713"/>
        <v>157301.32720199088</v>
      </c>
      <c r="CK242" s="55">
        <f t="shared" si="1713"/>
        <v>167463.43044330814</v>
      </c>
      <c r="CL242" s="55">
        <f t="shared" si="1713"/>
        <v>174811.11844577373</v>
      </c>
      <c r="CM242" s="55">
        <f t="shared" ref="CM242:CQ243" si="1714">CM$244*AVERAGE(CL184:CM184)/AVERAGE(CL$186:CM$186)</f>
        <v>184392.73577661806</v>
      </c>
      <c r="CN242" s="55">
        <f t="shared" si="1714"/>
        <v>198757.4269184781</v>
      </c>
      <c r="CO242" s="55">
        <f t="shared" si="1714"/>
        <v>226076.94226589813</v>
      </c>
      <c r="CP242" s="55">
        <f t="shared" si="1714"/>
        <v>264252.9659917723</v>
      </c>
      <c r="CQ242" s="55">
        <f t="shared" si="1714"/>
        <v>290737.58008965699</v>
      </c>
      <c r="CR242" s="55">
        <f>CR244-CR243</f>
        <v>289373.5</v>
      </c>
      <c r="CS242" s="55">
        <f>CS244-CS243</f>
        <v>302475.5</v>
      </c>
      <c r="CT242" s="55">
        <f>CT244-CT243</f>
        <v>306557</v>
      </c>
      <c r="CU242" s="55">
        <f>CU244-CU243</f>
        <v>345597.5</v>
      </c>
      <c r="CV242" s="55">
        <f>CV244-CV243</f>
        <v>430206.5</v>
      </c>
      <c r="CW242" s="55">
        <f>SUMPRODUCT(AR242:AS242,AR$5:AS$5)/SUM(AR$5:AS$5)</f>
        <v>480376.7170461223</v>
      </c>
      <c r="CX242" s="55">
        <f>SUMPRODUCT(AT242:AU242,AT$5:AU$5)/SUM(AT$5:AU$5)</f>
        <v>500470.10366762581</v>
      </c>
      <c r="CY242" s="55">
        <f>SUMPRODUCT(AV242:AW242,AV$5:AW$5)/SUM(AV$5:AW$5)</f>
        <v>504702.29748996318</v>
      </c>
      <c r="CZ242" s="56">
        <f>SUMPRODUCT(AX242:AY242,AX$5:AY$5)/SUM(AX$5:AY$5)</f>
        <v>510802.27779709833</v>
      </c>
      <c r="DA242" s="55">
        <f>SUMPRODUCT(AZ242:BA242,AZ$5:BA$5)/SUM(AZ$5:BA$5)</f>
        <v>555622.22776363732</v>
      </c>
      <c r="DB242" s="55">
        <f>SUMPRODUCT(BB242:BC242,BB$5:BC$5)/SUM(BB$5:BC$5)</f>
        <v>589540.77822188323</v>
      </c>
      <c r="DC242" s="55">
        <f>SUMPRODUCT(BD242:BE242,BD$5:BE$5)/SUM(BD$5:BE$5)</f>
        <v>619365.2177916941</v>
      </c>
      <c r="DD242" s="55">
        <f>SUMPRODUCT(BF242:BG242,BF$5:BG$5)/SUM(BF$5:BG$5)</f>
        <v>650742.71055040858</v>
      </c>
      <c r="DE242" s="55">
        <f>SUMPRODUCT(BH242:BI242,BH$5:BI$5)/SUM(BH$5:BI$5)</f>
        <v>682815.95360741345</v>
      </c>
      <c r="DF242" s="55">
        <f>SUMPRODUCT(BJ242:BK242,BJ$5:BK$5)/SUM(BJ$5:BK$5)</f>
        <v>711180.90177888842</v>
      </c>
      <c r="DG242" s="55">
        <f>SUMPRODUCT(BL242:BM242,BL$5:BM$5)/SUM(BL$5:BM$5)</f>
        <v>739820.46194996079</v>
      </c>
      <c r="DH242" s="55">
        <f>SUMPRODUCT(BN242:BO242,BN$5:BO$5)/SUM(BN$5:BO$5)</f>
        <v>769659.60319955961</v>
      </c>
      <c r="DI242" s="55">
        <f>SUMPRODUCT(BP242:BQ242,BP$5:BQ$5)/SUM(BP$5:BQ$5)</f>
        <v>800684.92414699087</v>
      </c>
    </row>
    <row r="243" spans="1:113" outlineLevel="1">
      <c r="A243" s="1" t="s">
        <v>340</v>
      </c>
      <c r="B243" s="19" t="s">
        <v>471</v>
      </c>
      <c r="C243" s="55">
        <f t="shared" si="1697"/>
        <v>40520.462482839772</v>
      </c>
      <c r="D243" s="55">
        <f t="shared" si="1697"/>
        <v>42174.977170128928</v>
      </c>
      <c r="E243" s="55">
        <f t="shared" si="1697"/>
        <v>42115.375799451031</v>
      </c>
      <c r="F243" s="55">
        <f t="shared" si="1697"/>
        <v>45020.860959451005</v>
      </c>
      <c r="G243" s="55">
        <f t="shared" si="1697"/>
        <v>44762.081703618263</v>
      </c>
      <c r="H243" s="55">
        <f t="shared" si="1697"/>
        <v>50166.264462079358</v>
      </c>
      <c r="I243" s="55">
        <f t="shared" si="1697"/>
        <v>59374.000261869223</v>
      </c>
      <c r="J243" s="55">
        <f t="shared" si="1697"/>
        <v>60134.784874711266</v>
      </c>
      <c r="K243" s="55">
        <f t="shared" si="1697"/>
        <v>59664.186093545162</v>
      </c>
      <c r="L243" s="55">
        <f t="shared" si="1697"/>
        <v>58379.779015161679</v>
      </c>
      <c r="M243" s="55">
        <f t="shared" ref="M243:W243" si="1715">M$244*AVERAGE(L185:M185)/AVERAGE(L$186:M$186)</f>
        <v>60628.331158864159</v>
      </c>
      <c r="N243" s="55">
        <f t="shared" si="1715"/>
        <v>64330.781202472412</v>
      </c>
      <c r="O243" s="55">
        <f t="shared" si="1715"/>
        <v>73411.243104907058</v>
      </c>
      <c r="P243" s="55">
        <f t="shared" si="1715"/>
        <v>84696.779013157415</v>
      </c>
      <c r="Q243" s="55">
        <f t="shared" si="1715"/>
        <v>102470.04943257381</v>
      </c>
      <c r="R243" s="55">
        <f t="shared" si="1715"/>
        <v>136061.41639533307</v>
      </c>
      <c r="S243" s="55">
        <f t="shared" si="1715"/>
        <v>159484.67836754417</v>
      </c>
      <c r="T243" s="55">
        <f t="shared" si="1715"/>
        <v>164352.77859036432</v>
      </c>
      <c r="U243" s="55">
        <f t="shared" si="1715"/>
        <v>166276.91809735345</v>
      </c>
      <c r="V243" s="55">
        <f t="shared" si="1715"/>
        <v>175045.38778842165</v>
      </c>
      <c r="W243" s="55">
        <f t="shared" si="1715"/>
        <v>184825.23284182872</v>
      </c>
      <c r="X243" s="55">
        <f t="shared" ref="X243:AC243" si="1716">X$244*AVERAGE(W185:X185)/AVERAGE(W$186:X$186)</f>
        <v>193406.3431220144</v>
      </c>
      <c r="Y243" s="55">
        <f t="shared" si="1716"/>
        <v>198169.81834584617</v>
      </c>
      <c r="Z243" s="55">
        <f t="shared" si="1716"/>
        <v>205698.68298332204</v>
      </c>
      <c r="AA243" s="55">
        <f t="shared" si="1716"/>
        <v>205146.35118452119</v>
      </c>
      <c r="AB243" s="55">
        <f t="shared" si="1716"/>
        <v>201631.86401089217</v>
      </c>
      <c r="AC243" s="55">
        <f t="shared" si="1716"/>
        <v>200280.85140566027</v>
      </c>
      <c r="AD243" s="55">
        <f t="shared" si="1700"/>
        <v>199372.44863038589</v>
      </c>
      <c r="AE243" s="55">
        <f t="shared" si="1700"/>
        <v>197257.71076079507</v>
      </c>
      <c r="AF243" s="55">
        <f t="shared" si="1700"/>
        <v>180713.89406826251</v>
      </c>
      <c r="AG243" s="55">
        <f t="shared" si="1700"/>
        <v>174042.57434216788</v>
      </c>
      <c r="AH243" s="55">
        <f>AH244*$CR243/$CR244</f>
        <v>203986.37323609885</v>
      </c>
      <c r="AI243" s="55">
        <f>AI244*$CR243/$CR244</f>
        <v>210791.57765995237</v>
      </c>
      <c r="AJ243" s="55">
        <f>AJ244*$CS243/$CS244</f>
        <v>204319.56578972063</v>
      </c>
      <c r="AK243" s="55">
        <f>AK244*$CS243/$CS244</f>
        <v>203048.91671860908</v>
      </c>
      <c r="AL243" s="55">
        <f>AL244*$CT243/$CT244</f>
        <v>203681.92455717834</v>
      </c>
      <c r="AM243" s="55">
        <f>AM244*$CT243/$CT244</f>
        <v>203976.58541818944</v>
      </c>
      <c r="AN243" s="55">
        <f>AN244*$CU243/$CU244</f>
        <v>187487.142909958</v>
      </c>
      <c r="AO243" s="55">
        <f>AO244*$CU243/$CU244</f>
        <v>196824.96309349197</v>
      </c>
      <c r="AP243" s="55">
        <f>AP244*$CV243/$CV244</f>
        <v>163814.96193527043</v>
      </c>
      <c r="AQ243" s="55">
        <f>AQ244*$CV243/$CV244</f>
        <v>169177.88024404441</v>
      </c>
      <c r="AR243" s="55">
        <f>AR244*$CW243/$CW244</f>
        <v>155822.67196077353</v>
      </c>
      <c r="AS243" s="55">
        <f>AS244*$CW243/$CW244</f>
        <v>161258.24268078987</v>
      </c>
      <c r="AT243" s="55">
        <f t="shared" ref="AT243:AX243" si="1717">AT244*$CX243/$CX244</f>
        <v>191348.21413217462</v>
      </c>
      <c r="AU243" s="55">
        <f t="shared" si="1717"/>
        <v>193702.37447496175</v>
      </c>
      <c r="AV243" s="55">
        <f t="shared" si="1717"/>
        <v>192914.45935934904</v>
      </c>
      <c r="AW243" s="55">
        <f t="shared" si="1717"/>
        <v>195398.22562647794</v>
      </c>
      <c r="AX243" s="55">
        <f t="shared" si="1717"/>
        <v>194282.05885039401</v>
      </c>
      <c r="AY243" s="55">
        <f>AY244*$CX243/$CX244</f>
        <v>198701.30137031418</v>
      </c>
      <c r="AZ243" s="56">
        <f>AZ244*$CX243/$CX244</f>
        <v>209442.89591013585</v>
      </c>
      <c r="BA243" s="55">
        <f t="shared" ref="BA243:BE243" si="1718">AZ243/AZ$244*BA$244</f>
        <v>217991.7299156643</v>
      </c>
      <c r="BB243" s="55">
        <f t="shared" si="1718"/>
        <v>223978.44860669796</v>
      </c>
      <c r="BC243" s="55">
        <f t="shared" si="1718"/>
        <v>229577.90982186538</v>
      </c>
      <c r="BD243" s="55">
        <f t="shared" si="1718"/>
        <v>235317.35756741199</v>
      </c>
      <c r="BE243" s="55">
        <f t="shared" si="1718"/>
        <v>241200.29150659728</v>
      </c>
      <c r="BF243" s="55">
        <f t="shared" si="1708"/>
        <v>247230.29879426214</v>
      </c>
      <c r="BG243" s="55">
        <f t="shared" si="1708"/>
        <v>253411.05626411867</v>
      </c>
      <c r="BH243" s="55">
        <f t="shared" si="1708"/>
        <v>259746.33267072163</v>
      </c>
      <c r="BI243" s="55">
        <f t="shared" si="1708"/>
        <v>265575.59269332711</v>
      </c>
      <c r="BJ243" s="55">
        <f t="shared" si="1708"/>
        <v>270873.13346135477</v>
      </c>
      <c r="BK243" s="55">
        <f t="shared" si="1708"/>
        <v>276276.74849915266</v>
      </c>
      <c r="BL243" s="55">
        <f t="shared" si="1708"/>
        <v>281788.56582638883</v>
      </c>
      <c r="BM243" s="55">
        <f t="shared" si="1708"/>
        <v>287410.75619509345</v>
      </c>
      <c r="BN243" s="55">
        <f t="shared" si="1709"/>
        <v>293145.53394816996</v>
      </c>
      <c r="BO243" s="55">
        <f t="shared" si="1710"/>
        <v>298995.15789515775</v>
      </c>
      <c r="BP243" s="55">
        <f t="shared" si="1711"/>
        <v>304961.93220559409</v>
      </c>
      <c r="BQ243" s="55">
        <f t="shared" si="1712"/>
        <v>311048.20732032857</v>
      </c>
      <c r="BR243" s="55"/>
      <c r="BS243" s="55"/>
      <c r="BT243" s="55"/>
      <c r="BU243" s="55"/>
      <c r="BV243" s="55"/>
      <c r="BW243" s="55"/>
      <c r="BX243" s="55"/>
      <c r="BY243" s="55"/>
      <c r="BZ243" s="55"/>
      <c r="CA243" s="55"/>
      <c r="CB243" s="55"/>
      <c r="CC243" s="55">
        <f>SUMPRODUCT(D243:E243,D$5:E$5)/SUM(D$5:E$5)</f>
        <v>42144.931547650209</v>
      </c>
      <c r="CD243" s="55">
        <f>SUMPRODUCT(F243:G243,F$5:G$5)/SUM(F$5:G$5)</f>
        <v>44890.407855140802</v>
      </c>
      <c r="CE243" s="55">
        <f>SUMPRODUCT(H243:I243,H$5:I$5)/SUM(H$5:I$5)</f>
        <v>54795.290110061149</v>
      </c>
      <c r="CF243" s="55">
        <f>SUMPRODUCT(J243:K243,J$5:K$5)/SUM(J$5:K$5)</f>
        <v>59897.551516534382</v>
      </c>
      <c r="CG243" s="55">
        <f t="shared" si="1713"/>
        <v>59142.844236565194</v>
      </c>
      <c r="CH243" s="55">
        <f t="shared" si="1713"/>
        <v>69643.249383567963</v>
      </c>
      <c r="CI243" s="55">
        <f t="shared" si="1713"/>
        <v>92729.333374616253</v>
      </c>
      <c r="CJ243" s="55">
        <f t="shared" si="1713"/>
        <v>146326.17279800912</v>
      </c>
      <c r="CK243" s="55">
        <f t="shared" si="1713"/>
        <v>163817.06955669186</v>
      </c>
      <c r="CL243" s="55">
        <f t="shared" si="1713"/>
        <v>176548.88155422627</v>
      </c>
      <c r="CM243" s="55">
        <f t="shared" si="1714"/>
        <v>194552.26422338194</v>
      </c>
      <c r="CN243" s="55">
        <f t="shared" si="1714"/>
        <v>204072.0730815219</v>
      </c>
      <c r="CO243" s="55">
        <f t="shared" si="1714"/>
        <v>202103.05773410187</v>
      </c>
      <c r="CP243" s="55">
        <f t="shared" si="1714"/>
        <v>196601.5340082277</v>
      </c>
      <c r="CQ243" s="55">
        <f t="shared" si="1714"/>
        <v>181563.41991034304</v>
      </c>
      <c r="CR243" s="164">
        <v>207501</v>
      </c>
      <c r="CS243" s="164">
        <v>203694</v>
      </c>
      <c r="CT243" s="164">
        <v>203750</v>
      </c>
      <c r="CU243" s="164">
        <v>192668</v>
      </c>
      <c r="CV243" s="164">
        <v>166816</v>
      </c>
      <c r="CW243" s="164">
        <v>157909</v>
      </c>
      <c r="CX243" s="164">
        <v>189801</v>
      </c>
      <c r="CY243" s="164">
        <v>204049</v>
      </c>
      <c r="CZ243" s="56">
        <f>SUMPRODUCT(AX243:AY243,AX$5:AY$5)/SUM(AX$5:AY$5)</f>
        <v>196509.84138098391</v>
      </c>
      <c r="DA243" s="55">
        <f>SUMPRODUCT(AZ243:BA243,AZ$5:BA$5)/SUM(AZ$5:BA$5)</f>
        <v>213752.44510744335</v>
      </c>
      <c r="DB243" s="55">
        <f>SUMPRODUCT(BB243:BC243,BB$5:BC$5)/SUM(BB$5:BC$5)</f>
        <v>226801.19069872756</v>
      </c>
      <c r="DC243" s="55">
        <f>SUMPRODUCT(BD243:BE243,BD$5:BE$5)/SUM(BD$5:BE$5)</f>
        <v>238274.89812700241</v>
      </c>
      <c r="DD243" s="55">
        <f>SUMPRODUCT(BF243:BG243,BF$5:BG$5)/SUM(BF$5:BG$5)</f>
        <v>250346.07790235421</v>
      </c>
      <c r="DE243" s="55">
        <f>SUMPRODUCT(BH243:BI243,BH$5:BI$5)/SUM(BH$5:BI$5)</f>
        <v>262684.91854513093</v>
      </c>
      <c r="DF243" s="55">
        <f>SUMPRODUCT(BJ243:BK243,BJ$5:BK$5)/SUM(BJ$5:BK$5)</f>
        <v>273597.14761739539</v>
      </c>
      <c r="DG243" s="55">
        <f>SUMPRODUCT(BL243:BM243,BL$5:BM$5)/SUM(BL$5:BM$5)</f>
        <v>284615.0221866119</v>
      </c>
      <c r="DH243" s="55">
        <f>SUMPRODUCT(BN243:BO243,BN$5:BO$5)/SUM(BN$5:BO$5)</f>
        <v>296094.38547213096</v>
      </c>
      <c r="DI243" s="55">
        <f>SUMPRODUCT(BP243:BQ243,BP$5:BQ$5)/SUM(BP$5:BQ$5)</f>
        <v>308030.0818524739</v>
      </c>
    </row>
    <row r="244" spans="1:113" s="24" customFormat="1" outlineLevel="1">
      <c r="A244" s="1" t="s">
        <v>253</v>
      </c>
      <c r="B244" s="24" t="s">
        <v>168</v>
      </c>
      <c r="C244" s="166">
        <f>41475+27432+25501+6308</f>
        <v>100716</v>
      </c>
      <c r="D244" s="166">
        <f>42107+31277+28442+5813</f>
        <v>107639</v>
      </c>
      <c r="E244" s="166">
        <f>40465+32894+30610+5029</f>
        <v>108998</v>
      </c>
      <c r="F244" s="166">
        <f>45941+33059+32517+4720</f>
        <v>116237</v>
      </c>
      <c r="G244" s="166">
        <f>45402+32496+35595+4849</f>
        <v>118342</v>
      </c>
      <c r="H244" s="166">
        <f>121302+AVERAGE(4849,5659)</f>
        <v>126556</v>
      </c>
      <c r="I244" s="166">
        <f>133599+AVERAGE(5659,5407)</f>
        <v>139132</v>
      </c>
      <c r="J244" s="166">
        <f>133344+AVERAGE(5407,5885)</f>
        <v>138990</v>
      </c>
      <c r="K244" s="166">
        <f>135402+AVERAGE(5885,5823)</f>
        <v>141256</v>
      </c>
      <c r="L244" s="166">
        <f>134212+AVERAGE(5823,6149)</f>
        <v>140198</v>
      </c>
      <c r="M244" s="166">
        <f>140037+AVERAGE(6149,5872)</f>
        <v>146047.5</v>
      </c>
      <c r="N244" s="166">
        <f>148422+AVERAGE(5872,6617)</f>
        <v>154666.5</v>
      </c>
      <c r="O244" s="166">
        <f>178051+AVERAGE(6617,6662)</f>
        <v>184690.5</v>
      </c>
      <c r="P244" s="166">
        <f>200239+AVERAGE(6662,6328)</f>
        <v>206734</v>
      </c>
      <c r="Q244" s="166">
        <f>220459+AVERAGE(6328,6142)</f>
        <v>226694</v>
      </c>
      <c r="R244" s="166">
        <f>276855+AVERAGE(7384,6142)</f>
        <v>283618</v>
      </c>
      <c r="S244" s="166">
        <f>317457+AVERAGE(7384,7135)</f>
        <v>324716.5</v>
      </c>
      <c r="T244" s="166">
        <f>322746+AVERAGE(6839,7135)</f>
        <v>329733</v>
      </c>
      <c r="U244" s="166">
        <f>325465+AVERAGE(6839,7236)</f>
        <v>332502.5</v>
      </c>
      <c r="V244" s="81">
        <f>((343927+AVERAGE(7630,7236))*(V$5+W$5)-W244*W$5)/V$5</f>
        <v>343653.8563535912</v>
      </c>
      <c r="W244" s="81">
        <f>351272+AVERAGE(7707,7630)</f>
        <v>358940.5</v>
      </c>
      <c r="X244" s="166">
        <f>368525+AVERAGE(7757,7630)</f>
        <v>376218.5</v>
      </c>
      <c r="Y244" s="166">
        <f>374237+AVERAGE(7530,7757)</f>
        <v>381880.5</v>
      </c>
      <c r="Z244" s="166">
        <f>391021+AVERAGE(8415,7530)</f>
        <v>398993.5</v>
      </c>
      <c r="AA244" s="166">
        <f>398279+AVERAGE(8415,8891)</f>
        <v>406932</v>
      </c>
      <c r="AB244" s="166">
        <f>410194+AVERAGE(9197,8891)</f>
        <v>419238</v>
      </c>
      <c r="AC244" s="166">
        <f>427446+AVERAGE(9197,9971)</f>
        <v>437030</v>
      </c>
      <c r="AD244" s="166">
        <f>440644+AVERAGE(12078,9971)</f>
        <v>451668.5</v>
      </c>
      <c r="AE244" s="166">
        <f>458677+AVERAGE(12568,12078)</f>
        <v>471000</v>
      </c>
      <c r="AF244" s="166">
        <f>450632+AVERAGE(13699,12568)</f>
        <v>463765.5</v>
      </c>
      <c r="AG244" s="166">
        <f>446216+AVERAGE(13699,35164)</f>
        <v>470647.5</v>
      </c>
      <c r="AH244" s="166">
        <f>451960+AVERAGE(37833,35164)</f>
        <v>488458.5</v>
      </c>
      <c r="AI244" s="166">
        <f>464944+AVERAGE(41787,37833)</f>
        <v>504754</v>
      </c>
      <c r="AJ244" s="166">
        <f>464866+AVERAGE(43929,41787)</f>
        <v>507724</v>
      </c>
      <c r="AK244" s="166">
        <f>459561+AVERAGE(46082,43929)</f>
        <v>504566.5</v>
      </c>
      <c r="AL244" s="166">
        <f>463055+AVERAGE(48081,46082)</f>
        <v>510136.5</v>
      </c>
      <c r="AM244" s="166">
        <f>462197+AVERAGE(49274,48081)</f>
        <v>510874.5</v>
      </c>
      <c r="AN244" s="166">
        <f>471024+AVERAGE(56261,49274)</f>
        <v>523791.5</v>
      </c>
      <c r="AO244" s="166">
        <f>487177+AVERAGE(69143,56261)</f>
        <v>549879</v>
      </c>
      <c r="AP244" s="166">
        <f>509698+AVERAGE(84025,69143)</f>
        <v>586282</v>
      </c>
      <c r="AQ244" s="166">
        <f>511708+AVERAGE(103510,84025)</f>
        <v>605475.5</v>
      </c>
      <c r="AR244" s="166">
        <f>514796+AVERAGE(122694,103510)</f>
        <v>627898</v>
      </c>
      <c r="AS244" s="166">
        <f>522540+AVERAGE(131828,122694)</f>
        <v>649801</v>
      </c>
      <c r="AT244" s="166">
        <f>562460+AVERAGE(131828,120719)</f>
        <v>688733.5</v>
      </c>
      <c r="AU244" s="166">
        <f>581825+AVERAGE(120719,110045)</f>
        <v>697207</v>
      </c>
      <c r="AV244" s="166">
        <f>588147+AVERAGE(110045,102403)</f>
        <v>694371</v>
      </c>
      <c r="AW244" s="166">
        <f>597343+AVERAGE(101891,110045)</f>
        <v>703311</v>
      </c>
      <c r="AX244" s="166">
        <f>598451+AVERAGE(100962,100723)</f>
        <v>699293.5</v>
      </c>
      <c r="AY244" s="166">
        <f>612314+AVERAGE(104810,100962)</f>
        <v>715200</v>
      </c>
      <c r="AZ244" s="167">
        <f>646817+AVERAGE(104810,109282)</f>
        <v>753863</v>
      </c>
      <c r="BA244" s="82">
        <f t="shared" ref="BA244:BE244" si="1719">AZ244*AVERAGE(AZ186:BA186)/AVERAGE(AY186:AZ186)</f>
        <v>784633.43803230661</v>
      </c>
      <c r="BB244" s="82">
        <f t="shared" si="1719"/>
        <v>806181.8686580708</v>
      </c>
      <c r="BC244" s="82">
        <f t="shared" si="1719"/>
        <v>826336.41537452245</v>
      </c>
      <c r="BD244" s="82">
        <f t="shared" si="1719"/>
        <v>846994.82575888548</v>
      </c>
      <c r="BE244" s="82">
        <f t="shared" si="1719"/>
        <v>868169.69640285755</v>
      </c>
      <c r="BF244" s="82">
        <f t="shared" ref="BF244:BM244" si="1720">BE244*AVERAGE(BE186:BF186)/AVERAGE(BD186:BE186)</f>
        <v>889873.93881292874</v>
      </c>
      <c r="BG244" s="82">
        <f t="shared" si="1720"/>
        <v>912120.78728325188</v>
      </c>
      <c r="BH244" s="82">
        <f t="shared" si="1720"/>
        <v>934923.80696533306</v>
      </c>
      <c r="BI244" s="82">
        <f t="shared" si="1720"/>
        <v>955905.48518996453</v>
      </c>
      <c r="BJ244" s="82">
        <f t="shared" si="1720"/>
        <v>974973.30775159085</v>
      </c>
      <c r="BK244" s="82">
        <f t="shared" si="1720"/>
        <v>994422.9311228568</v>
      </c>
      <c r="BL244" s="82">
        <f t="shared" si="1720"/>
        <v>1014262.0148392369</v>
      </c>
      <c r="BM244" s="82">
        <f t="shared" si="1720"/>
        <v>1034498.3722458939</v>
      </c>
      <c r="BN244" s="82">
        <f t="shared" ref="BN244" si="1721">BM244*AVERAGE(BM186:BN186)/AVERAGE(BL186:BM186)</f>
        <v>1055139.9735877817</v>
      </c>
      <c r="BO244" s="82">
        <f t="shared" ref="BO244" si="1722">BN244*AVERAGE(BN186:BO186)/AVERAGE(BM186:BN186)</f>
        <v>1076194.9491618404</v>
      </c>
      <c r="BP244" s="82">
        <f t="shared" ref="BP244" si="1723">BO244*AVERAGE(BO186:BP186)/AVERAGE(BN186:BO186)</f>
        <v>1097671.5925325397</v>
      </c>
      <c r="BQ244" s="82">
        <f t="shared" ref="BQ244" si="1724">BP244*AVERAGE(BP186:BQ186)/AVERAGE(BO186:BP186)</f>
        <v>1119578.3638120377</v>
      </c>
      <c r="BR244" s="82"/>
      <c r="BS244" s="81">
        <f>20438.7+20862.1+3802.7+3631.5</f>
        <v>48735</v>
      </c>
      <c r="BT244" s="81">
        <f>20761.2+22101.9+6393.5+3774.8</f>
        <v>53031.400000000009</v>
      </c>
      <c r="BU244" s="81">
        <f>19163.3+23264.2+8919.1+3677.3</f>
        <v>55023.9</v>
      </c>
      <c r="BV244" s="81">
        <f>17626+23042+10339+3775</f>
        <v>54782</v>
      </c>
      <c r="BW244" s="81">
        <f>21180+20346+12301+3604</f>
        <v>57431</v>
      </c>
      <c r="BX244" s="81">
        <f>26600+21106+13344+3566</f>
        <v>64616</v>
      </c>
      <c r="BY244" s="81">
        <f>26055+22970+15865+3738</f>
        <v>68628</v>
      </c>
      <c r="BZ244" s="81">
        <f>31119+24378+17247+3952</f>
        <v>76696</v>
      </c>
      <c r="CA244" s="81">
        <f>38176+25248+17662+4698</f>
        <v>85784</v>
      </c>
      <c r="CB244" s="81">
        <f>42226+27835+23813+6034</f>
        <v>99908</v>
      </c>
      <c r="CC244" s="82">
        <f>SUMPRODUCT(D244:E244,D$5:E$5)/SUM(D$5:E$5)</f>
        <v>108324.08493150685</v>
      </c>
      <c r="CD244" s="82">
        <f>SUMPRODUCT(F244:G244,F$5:G$5)/SUM(F$5:G$5)</f>
        <v>117298.1506849315</v>
      </c>
      <c r="CE244" s="82">
        <f>SUMPRODUCT(H244:I244,H$5:I$5)/SUM(H$5:I$5)</f>
        <v>132878.36065573772</v>
      </c>
      <c r="CF244" s="82">
        <f>SUMPRODUCT(J244:K244,J$5:K$5)/SUM(J$5:K$5)</f>
        <v>140132.31232876712</v>
      </c>
      <c r="CG244" s="166">
        <f>137101+AVERAGE(5872,5823)</f>
        <v>142948.5</v>
      </c>
      <c r="CH244" s="166">
        <f>170517+AVERAGE(6662,5872)</f>
        <v>176784</v>
      </c>
      <c r="CI244" s="166">
        <f>210294+AVERAGE(6142,6662)</f>
        <v>216696</v>
      </c>
      <c r="CJ244" s="166">
        <f>296989+AVERAGE(6142,7135)</f>
        <v>303627.5</v>
      </c>
      <c r="CK244" s="166">
        <f>324095+AVERAGE(7135,7236)</f>
        <v>331280.5</v>
      </c>
      <c r="CL244" s="166">
        <f>343927+AVERAGE(7630,7236)</f>
        <v>351360</v>
      </c>
      <c r="CM244" s="166">
        <f>371365+AVERAGE(7530,7630)</f>
        <v>378945</v>
      </c>
      <c r="CN244" s="166">
        <f>394619+AVERAGE(7530,8891)</f>
        <v>402829.5</v>
      </c>
      <c r="CO244" s="166">
        <f>418749+AVERAGE(9971,8891)</f>
        <v>428180</v>
      </c>
      <c r="CP244" s="166">
        <f>449585+AVERAGE(9971,12568)</f>
        <v>460854.5</v>
      </c>
      <c r="CQ244" s="166">
        <f>448435+AVERAGE(35164,12568)</f>
        <v>472301</v>
      </c>
      <c r="CR244" s="166">
        <f>458399+AVERAGE(41787,35164)</f>
        <v>496874.5</v>
      </c>
      <c r="CS244" s="166">
        <f>462235+AVERAGE(46082,41787)</f>
        <v>506169.5</v>
      </c>
      <c r="CT244" s="166">
        <f>462629+AVERAGE(49274,46082)</f>
        <v>510307</v>
      </c>
      <c r="CU244" s="166">
        <f>479057+AVERAGE(69143,49274)</f>
        <v>538265.5</v>
      </c>
      <c r="CV244" s="166">
        <f>510696+AVERAGE(69143,103510)</f>
        <v>597022.5</v>
      </c>
      <c r="CW244" s="166">
        <f>518636+AVERAGE(131828,103510)</f>
        <v>636305</v>
      </c>
      <c r="CX244" s="166">
        <f>562228+AVERAGE(131828,110045)</f>
        <v>683164.5</v>
      </c>
      <c r="CY244" s="166">
        <f>592720+AVERAGE(101891,102403)</f>
        <v>694867</v>
      </c>
      <c r="CZ244" s="83">
        <f>SUMPRODUCT(AX244:AY244,AX$5:AY$5)/SUM(AX$5:AY$5)</f>
        <v>707312.11917808221</v>
      </c>
      <c r="DA244" s="82">
        <f>SUMPRODUCT(AZ244:BA244,AZ$5:BA$5)/SUM(AZ$5:BA$5)</f>
        <v>769374.67287108058</v>
      </c>
      <c r="DB244" s="82">
        <f>SUMPRODUCT(BB244:BC244,BB$5:BC$5)/SUM(BB$5:BC$5)</f>
        <v>816341.96892061073</v>
      </c>
      <c r="DC244" s="82">
        <f>SUMPRODUCT(BD244:BE244,BD$5:BE$5)/SUM(BD$5:BE$5)</f>
        <v>857640.11591869663</v>
      </c>
      <c r="DD244" s="82">
        <f>SUMPRODUCT(BF244:BG244,BF$5:BG$5)/SUM(BF$5:BG$5)</f>
        <v>901088.78845276288</v>
      </c>
      <c r="DE244" s="82">
        <f>SUMPRODUCT(BH244:BI244,BH$5:BI$5)/SUM(BH$5:BI$5)</f>
        <v>945500.87215254444</v>
      </c>
      <c r="DF244" s="82">
        <f>SUMPRODUCT(BJ244:BK244,BJ$5:BK$5)/SUM(BJ$5:BK$5)</f>
        <v>984778.04939628381</v>
      </c>
      <c r="DG244" s="82">
        <f>SUMPRODUCT(BL244:BM244,BL$5:BM$5)/SUM(BL$5:BM$5)</f>
        <v>1024435.4841365727</v>
      </c>
      <c r="DH244" s="82">
        <f>SUMPRODUCT(BN244:BO244,BN$5:BO$5)/SUM(BN$5:BO$5)</f>
        <v>1065753.9886716907</v>
      </c>
      <c r="DI244" s="82">
        <f>SUMPRODUCT(BP244:BQ244,BP$5:BQ$5)/SUM(BP$5:BQ$5)</f>
        <v>1108715.0059994648</v>
      </c>
    </row>
    <row r="245" spans="1:113" outlineLevel="1">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c r="AR245" s="55"/>
      <c r="AS245" s="55"/>
      <c r="AT245" s="55"/>
      <c r="AU245" s="55"/>
      <c r="AV245" s="55"/>
      <c r="AW245" s="55"/>
      <c r="AX245" s="55"/>
      <c r="AY245" s="55"/>
      <c r="AZ245" s="56"/>
      <c r="BA245" s="55"/>
      <c r="BB245" s="55"/>
      <c r="BC245" s="55"/>
      <c r="BD245" s="55"/>
      <c r="BE245" s="55"/>
      <c r="BF245" s="55"/>
      <c r="BG245" s="55"/>
      <c r="BH245" s="55"/>
      <c r="BI245" s="55"/>
      <c r="BJ245" s="55"/>
      <c r="BK245" s="55"/>
      <c r="BL245" s="55"/>
      <c r="BM245" s="55"/>
      <c r="BN245" s="55"/>
      <c r="BO245" s="55"/>
      <c r="BP245" s="55"/>
      <c r="BQ245" s="55"/>
      <c r="BR245" s="55"/>
      <c r="BS245" s="55"/>
      <c r="BT245" s="55"/>
      <c r="BU245" s="55"/>
      <c r="BV245" s="55"/>
      <c r="BW245" s="55"/>
      <c r="BX245" s="55"/>
      <c r="BY245" s="55"/>
      <c r="BZ245" s="55"/>
      <c r="CA245" s="55"/>
      <c r="CB245" s="55"/>
      <c r="CC245" s="55"/>
      <c r="CD245" s="55"/>
      <c r="CE245" s="55"/>
      <c r="CF245" s="55"/>
      <c r="CG245" s="55"/>
      <c r="CH245" s="55"/>
      <c r="CI245" s="55"/>
      <c r="CJ245" s="55"/>
      <c r="CK245" s="55"/>
      <c r="CL245" s="55"/>
      <c r="CM245" s="55"/>
      <c r="CN245" s="55"/>
      <c r="CO245" s="55"/>
      <c r="CP245" s="55"/>
      <c r="CQ245" s="55"/>
      <c r="CR245" s="55"/>
      <c r="CS245" s="55"/>
      <c r="CT245" s="55"/>
      <c r="CU245" s="55"/>
      <c r="CV245" s="55"/>
      <c r="CW245" s="55"/>
      <c r="CX245" s="55"/>
      <c r="CY245" s="55"/>
      <c r="CZ245" s="56"/>
      <c r="DA245" s="55"/>
      <c r="DB245" s="55"/>
      <c r="DC245" s="55"/>
      <c r="DD245" s="55"/>
      <c r="DE245" s="55"/>
      <c r="DF245" s="55"/>
      <c r="DG245" s="55"/>
      <c r="DH245" s="55"/>
      <c r="DI245" s="55"/>
    </row>
    <row r="246" spans="1:113" s="24" customFormat="1" outlineLevel="1">
      <c r="A246" s="19"/>
      <c r="B246" s="24" t="s">
        <v>591</v>
      </c>
      <c r="C246" s="82"/>
      <c r="D246" s="82"/>
      <c r="E246" s="82"/>
      <c r="F246" s="8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c r="AV246" s="82"/>
      <c r="AW246" s="82"/>
      <c r="AX246" s="82"/>
      <c r="AY246" s="82"/>
      <c r="AZ246" s="83"/>
      <c r="BA246" s="82"/>
      <c r="BB246" s="82"/>
      <c r="BC246" s="82"/>
      <c r="BD246" s="82"/>
      <c r="BE246" s="82"/>
      <c r="BF246" s="82"/>
      <c r="BG246" s="82"/>
      <c r="BH246" s="82"/>
      <c r="BI246" s="82"/>
      <c r="BJ246" s="82"/>
      <c r="BK246" s="82"/>
      <c r="BL246" s="82"/>
      <c r="BM246" s="82"/>
      <c r="BN246" s="82"/>
      <c r="BO246" s="82"/>
      <c r="BP246" s="82"/>
      <c r="BQ246" s="82"/>
      <c r="BR246" s="82"/>
      <c r="BS246" s="82"/>
      <c r="BT246" s="82"/>
      <c r="BU246" s="82"/>
      <c r="BV246" s="82"/>
      <c r="BW246" s="82"/>
      <c r="BX246" s="82"/>
      <c r="BY246" s="82"/>
      <c r="BZ246" s="82"/>
      <c r="CA246" s="82"/>
      <c r="CB246" s="82"/>
      <c r="CC246" s="82"/>
      <c r="CD246" s="82"/>
      <c r="CE246" s="82"/>
      <c r="CF246" s="82"/>
      <c r="CG246" s="82"/>
      <c r="CH246" s="82"/>
      <c r="CI246" s="82"/>
      <c r="CJ246" s="82"/>
      <c r="CK246" s="82"/>
      <c r="CL246" s="82"/>
      <c r="CM246" s="82"/>
      <c r="CN246" s="82"/>
      <c r="CO246" s="82"/>
      <c r="CP246" s="82"/>
      <c r="CQ246" s="82"/>
      <c r="CR246" s="82"/>
      <c r="CS246" s="82"/>
      <c r="CT246" s="82"/>
      <c r="CU246" s="82"/>
      <c r="CV246" s="82"/>
      <c r="CW246" s="82"/>
      <c r="CX246" s="82"/>
      <c r="CY246" s="82"/>
      <c r="CZ246" s="83"/>
      <c r="DA246" s="82"/>
      <c r="DB246" s="82"/>
      <c r="DC246" s="82"/>
      <c r="DD246" s="82"/>
      <c r="DE246" s="82"/>
      <c r="DF246" s="82"/>
      <c r="DG246" s="82"/>
      <c r="DH246" s="82"/>
      <c r="DI246" s="82"/>
    </row>
    <row r="247" spans="1:113" outlineLevel="1">
      <c r="A247" s="1" t="s">
        <v>254</v>
      </c>
      <c r="B247" s="19" t="s">
        <v>589</v>
      </c>
      <c r="C247" s="55">
        <f t="shared" ref="C247:L248" si="1725">C$249*AVERAGE(B190:C190)/AVERAGE(B$192:C$192)</f>
        <v>4890.293801985511</v>
      </c>
      <c r="D247" s="55">
        <f t="shared" si="1725"/>
        <v>5103.3787582611931</v>
      </c>
      <c r="E247" s="55">
        <f t="shared" si="1725"/>
        <v>6441.4524779656122</v>
      </c>
      <c r="F247" s="55">
        <f t="shared" si="1725"/>
        <v>6997.0650196752922</v>
      </c>
      <c r="G247" s="55">
        <f t="shared" si="1725"/>
        <v>6781.5864694577567</v>
      </c>
      <c r="H247" s="55">
        <f t="shared" si="1725"/>
        <v>7779.9274678617758</v>
      </c>
      <c r="I247" s="55">
        <f t="shared" si="1725"/>
        <v>7967.9701917413786</v>
      </c>
      <c r="J247" s="55">
        <f t="shared" si="1725"/>
        <v>8848.9683191671065</v>
      </c>
      <c r="K247" s="55">
        <f t="shared" si="1725"/>
        <v>9758.4934318869437</v>
      </c>
      <c r="L247" s="55">
        <f t="shared" si="1725"/>
        <v>8623.8912505283497</v>
      </c>
      <c r="M247" s="55">
        <f t="shared" ref="M247:W247" si="1726">M$249*AVERAGE(L190:M190)/AVERAGE(L$192:M$192)</f>
        <v>8777.0595114345106</v>
      </c>
      <c r="N247" s="55">
        <f t="shared" si="1726"/>
        <v>9869.0073373391242</v>
      </c>
      <c r="O247" s="55">
        <f t="shared" si="1726"/>
        <v>11048.31113662457</v>
      </c>
      <c r="P247" s="55">
        <f t="shared" si="1726"/>
        <v>11316.734539423838</v>
      </c>
      <c r="Q247" s="55">
        <f t="shared" si="1726"/>
        <v>11601.378792120953</v>
      </c>
      <c r="R247" s="55">
        <f t="shared" si="1726"/>
        <v>13400.284368140703</v>
      </c>
      <c r="S247" s="55">
        <f t="shared" si="1726"/>
        <v>12494.688084112149</v>
      </c>
      <c r="T247" s="55">
        <f t="shared" si="1726"/>
        <v>7848.9597465901034</v>
      </c>
      <c r="U247" s="55">
        <f t="shared" si="1726"/>
        <v>10039.549531329003</v>
      </c>
      <c r="V247" s="55">
        <f t="shared" si="1726"/>
        <v>9540.9685209177169</v>
      </c>
      <c r="W247" s="55">
        <f t="shared" si="1726"/>
        <v>9513.4001571709232</v>
      </c>
      <c r="X247" s="55">
        <f t="shared" ref="X247:Z248" si="1727">X$249*AVERAGE(W190:X190)/AVERAGE(W$192:X$192)</f>
        <v>11461.820429307592</v>
      </c>
      <c r="Y247" s="55">
        <f t="shared" si="1727"/>
        <v>12689.136242986258</v>
      </c>
      <c r="Z247" s="55">
        <f t="shared" si="1727"/>
        <v>13035.378175706252</v>
      </c>
      <c r="AA247" s="55">
        <f t="shared" ref="AA247:AG248" si="1728">AA$249*AVERAGE(Z190:AA190)/AVERAGE(Z$192:AA$192)</f>
        <v>14673.598816657817</v>
      </c>
      <c r="AB247" s="55">
        <f t="shared" si="1728"/>
        <v>17834.26892209582</v>
      </c>
      <c r="AC247" s="55">
        <f t="shared" si="1728"/>
        <v>20424.231199224865</v>
      </c>
      <c r="AD247" s="55">
        <f t="shared" si="1728"/>
        <v>20920.29870409362</v>
      </c>
      <c r="AE247" s="55">
        <f t="shared" si="1728"/>
        <v>23395.673292485728</v>
      </c>
      <c r="AF247" s="55">
        <f t="shared" si="1728"/>
        <v>24638.171705766737</v>
      </c>
      <c r="AG247" s="55">
        <f t="shared" si="1728"/>
        <v>26150.312229756288</v>
      </c>
      <c r="AH247" s="55">
        <f t="shared" ref="AH247:AM247" si="1729">AH249-AH248</f>
        <v>23620.848298966263</v>
      </c>
      <c r="AI247" s="55">
        <f t="shared" si="1729"/>
        <v>24264.737780107695</v>
      </c>
      <c r="AJ247" s="55">
        <f t="shared" si="1729"/>
        <v>24429.683460344939</v>
      </c>
      <c r="AK247" s="55">
        <f t="shared" si="1729"/>
        <v>25328.398794796205</v>
      </c>
      <c r="AL247" s="55">
        <f t="shared" si="1729"/>
        <v>23802.864901130728</v>
      </c>
      <c r="AM247" s="55">
        <f t="shared" si="1729"/>
        <v>24734.945084786028</v>
      </c>
      <c r="AN247" s="55">
        <f t="shared" ref="AN247:AS247" si="1730">AN249-AN248</f>
        <v>25901.246630221554</v>
      </c>
      <c r="AO247" s="55">
        <f t="shared" si="1730"/>
        <v>27605.408382035188</v>
      </c>
      <c r="AP247" s="55">
        <f t="shared" si="1730"/>
        <v>39864.533611929495</v>
      </c>
      <c r="AQ247" s="55">
        <f t="shared" si="1730"/>
        <v>40646.317866071899</v>
      </c>
      <c r="AR247" s="55">
        <f t="shared" si="1730"/>
        <v>43043.810683566851</v>
      </c>
      <c r="AS247" s="55">
        <f t="shared" si="1730"/>
        <v>43540.600997889662</v>
      </c>
      <c r="AT247" s="55">
        <f t="shared" ref="AT247:AU247" si="1731">AT249-AT248</f>
        <v>33383.582561104755</v>
      </c>
      <c r="AU247" s="55">
        <f t="shared" si="1731"/>
        <v>34687.023262570117</v>
      </c>
      <c r="AV247" s="55">
        <f t="shared" ref="AV247:AW247" si="1732">AV249-AV248</f>
        <v>35645.491291713573</v>
      </c>
      <c r="AW247" s="55">
        <f t="shared" si="1732"/>
        <v>36001.415477442519</v>
      </c>
      <c r="AX247" s="55">
        <f t="shared" ref="AX247:AY247" si="1733">AX249-AX248</f>
        <v>35942.445789866128</v>
      </c>
      <c r="AY247" s="55">
        <f t="shared" si="1733"/>
        <v>36289.313916431558</v>
      </c>
      <c r="AZ247" s="56">
        <f t="shared" ref="AZ247" si="1734">AZ249-AZ248</f>
        <v>35669.921590852362</v>
      </c>
      <c r="BA247" s="55">
        <f t="shared" ref="BA247:BE247" si="1735">AZ247/AZ$249*BA$249</f>
        <v>35171.269295326463</v>
      </c>
      <c r="BB247" s="55">
        <f t="shared" si="1735"/>
        <v>35980.939411093445</v>
      </c>
      <c r="BC247" s="55">
        <f t="shared" si="1735"/>
        <v>36880.46289637078</v>
      </c>
      <c r="BD247" s="55">
        <f t="shared" si="1735"/>
        <v>37802.474468780048</v>
      </c>
      <c r="BE247" s="55">
        <f t="shared" si="1735"/>
        <v>38747.536330499541</v>
      </c>
      <c r="BF247" s="55">
        <f t="shared" ref="BF247:BM248" si="1736">BE247/BE$249*BF$249</f>
        <v>39716.22473876203</v>
      </c>
      <c r="BG247" s="55">
        <f t="shared" si="1736"/>
        <v>40709.130357231072</v>
      </c>
      <c r="BH247" s="55">
        <f t="shared" si="1736"/>
        <v>41726.858616161844</v>
      </c>
      <c r="BI247" s="55">
        <f t="shared" si="1736"/>
        <v>42407.156842930686</v>
      </c>
      <c r="BJ247" s="55">
        <f t="shared" si="1736"/>
        <v>42749.421880313377</v>
      </c>
      <c r="BK247" s="55">
        <f t="shared" si="1736"/>
        <v>43300.775791446031</v>
      </c>
      <c r="BL247" s="55">
        <f t="shared" si="1736"/>
        <v>44056.137138352802</v>
      </c>
      <c r="BM247" s="55">
        <f t="shared" si="1736"/>
        <v>44825.389458926678</v>
      </c>
      <c r="BN247" s="55">
        <f t="shared" ref="BN247:BN248" si="1737">BM247/BM$249*BN$249</f>
        <v>45608.797449142789</v>
      </c>
      <c r="BO247" s="55">
        <f t="shared" ref="BO247:BO248" si="1738">BN247/BN$249*BO$249</f>
        <v>46406.630962323739</v>
      </c>
      <c r="BP247" s="55">
        <f t="shared" ref="BP247:BP248" si="1739">BO247/BO$249*BP$249</f>
        <v>47219.165110970607</v>
      </c>
      <c r="BQ247" s="55">
        <f t="shared" ref="BQ247:BQ248" si="1740">BP247/BP$249*BQ$249</f>
        <v>48046.680370620175</v>
      </c>
      <c r="BR247" s="55"/>
      <c r="BS247" s="55"/>
      <c r="BT247" s="55"/>
      <c r="BU247" s="55"/>
      <c r="BV247" s="55"/>
      <c r="BW247" s="55"/>
      <c r="BX247" s="55"/>
      <c r="BY247" s="55"/>
      <c r="BZ247" s="55"/>
      <c r="CA247" s="55"/>
      <c r="CB247" s="55"/>
      <c r="CC247" s="55">
        <f>SUMPRODUCT(D247:E247,D$5:E$5)/SUM(D$5:E$5)</f>
        <v>5777.9145512080786</v>
      </c>
      <c r="CD247" s="55">
        <f>SUMPRODUCT(F247:G247,F$5:G$5)/SUM(F$5:G$5)</f>
        <v>6888.4402162779597</v>
      </c>
      <c r="CE247" s="55">
        <f>SUMPRODUCT(H247:I247,H$5:I$5)/SUM(H$5:I$5)</f>
        <v>7874.4626077356752</v>
      </c>
      <c r="CF247" s="55">
        <f>SUMPRODUCT(J247:K247,J$5:K$5)/SUM(J$5:K$5)</f>
        <v>9307.4686499628588</v>
      </c>
      <c r="CG247" s="55">
        <f t="shared" ref="CG247:CL248" si="1741">CG$249*AVERAGE(CF190:CG190)/AVERAGE(CF$192:CG$192)</f>
        <v>8791.4348352957804</v>
      </c>
      <c r="CH247" s="55">
        <f t="shared" si="1741"/>
        <v>10566.370243360676</v>
      </c>
      <c r="CI247" s="55">
        <f t="shared" si="1741"/>
        <v>11589.734149918055</v>
      </c>
      <c r="CJ247" s="55">
        <f t="shared" si="1741"/>
        <v>12114.889658274607</v>
      </c>
      <c r="CK247" s="55">
        <f t="shared" si="1741"/>
        <v>7596.9339653762854</v>
      </c>
      <c r="CL247" s="55">
        <f t="shared" si="1741"/>
        <v>9480.4712104878145</v>
      </c>
      <c r="CM247" s="55">
        <f t="shared" ref="CM247:CQ248" si="1742">CM$249*AVERAGE(CL190:CM190)/AVERAGE(CL$192:CM$192)</f>
        <v>11571.720746003552</v>
      </c>
      <c r="CN247" s="55">
        <f t="shared" si="1742"/>
        <v>13832.289191234382</v>
      </c>
      <c r="CO247" s="55">
        <f t="shared" si="1742"/>
        <v>18634.500318809776</v>
      </c>
      <c r="CP247" s="55">
        <f t="shared" si="1742"/>
        <v>22131.396692499307</v>
      </c>
      <c r="CQ247" s="55">
        <f t="shared" si="1742"/>
        <v>25017.985991776113</v>
      </c>
      <c r="CR247" s="55">
        <f>CR249-CR248</f>
        <v>23996.972891566264</v>
      </c>
      <c r="CS247" s="55">
        <f>CS249-CS248</f>
        <v>24851.01857647171</v>
      </c>
      <c r="CT247" s="55">
        <f>CT249-CT248</f>
        <v>24351.332514476228</v>
      </c>
      <c r="CU247" s="55">
        <f>CU249-CU248</f>
        <v>26772.039081443443</v>
      </c>
      <c r="CV247" s="55">
        <f>SUMPRODUCT(AP247:AQ247,AP$5:AQ$5)/SUM(AP$5:AQ$5)</f>
        <v>40258.63855100402</v>
      </c>
      <c r="CW247" s="55">
        <f>SUMPRODUCT(AR247:AS247,AR$5:AS$5)/SUM(AR$5:AS$5)</f>
        <v>43294.24744475972</v>
      </c>
      <c r="CX247" s="55">
        <f>SUMPRODUCT(AT247:AU247,AT$5:AU$5)/SUM(AT$5:AU$5)</f>
        <v>34040.659517459892</v>
      </c>
      <c r="CY247" s="55">
        <f>SUMPRODUCT(AV247:AW247,AV$5:AW$5)/SUM(AV$5:AW$5)</f>
        <v>35824.425855030866</v>
      </c>
      <c r="CZ247" s="56">
        <f>SUMPRODUCT(AX247:AY247,AX$5:AY$5)/SUM(AX$5:AY$5)</f>
        <v>36117.305338600483</v>
      </c>
      <c r="DA247" s="55">
        <f>SUMPRODUCT(AZ247:BA247,AZ$5:BA$5)/SUM(AZ$5:BA$5)</f>
        <v>35418.546187080407</v>
      </c>
      <c r="DB247" s="55">
        <f>SUMPRODUCT(BB247:BC247,BB$5:BC$5)/SUM(BB$5:BC$5)</f>
        <v>36434.397825589411</v>
      </c>
      <c r="DC247" s="55">
        <f>SUMPRODUCT(BD247:BE247,BD$5:BE$5)/SUM(BD$5:BE$5)</f>
        <v>38277.587535874001</v>
      </c>
      <c r="DD247" s="55">
        <f>SUMPRODUCT(BF247:BG247,BF$5:BG$5)/SUM(BF$5:BG$5)</f>
        <v>40216.757982045048</v>
      </c>
      <c r="DE247" s="55">
        <f>SUMPRODUCT(BH247:BI247,BH$5:BI$5)/SUM(BH$5:BI$5)</f>
        <v>42069.803475683671</v>
      </c>
      <c r="DF247" s="55">
        <f>SUMPRODUCT(BJ247:BK247,BJ$5:BK$5)/SUM(BJ$5:BK$5)</f>
        <v>43027.364673870652</v>
      </c>
      <c r="DG247" s="55">
        <f>SUMPRODUCT(BL247:BM247,BL$5:BM$5)/SUM(BL$5:BM$5)</f>
        <v>44442.865080936397</v>
      </c>
      <c r="DH247" s="55">
        <f>SUMPRODUCT(BN247:BO247,BN$5:BO$5)/SUM(BN$5:BO$5)</f>
        <v>46010.992973595654</v>
      </c>
      <c r="DI247" s="55">
        <f>SUMPRODUCT(BP247:BQ247,BP$5:BQ$5)/SUM(BP$5:BQ$5)</f>
        <v>47636.323488437789</v>
      </c>
    </row>
    <row r="248" spans="1:113" outlineLevel="1">
      <c r="A248" s="1" t="s">
        <v>255</v>
      </c>
      <c r="B248" s="19" t="s">
        <v>471</v>
      </c>
      <c r="C248" s="55">
        <f t="shared" si="1725"/>
        <v>10409.706198014488</v>
      </c>
      <c r="D248" s="55">
        <f t="shared" si="1725"/>
        <v>11218.621241738807</v>
      </c>
      <c r="E248" s="55">
        <f t="shared" si="1725"/>
        <v>13279.547522034389</v>
      </c>
      <c r="F248" s="55">
        <f t="shared" si="1725"/>
        <v>14064.934980324708</v>
      </c>
      <c r="G248" s="55">
        <f t="shared" si="1725"/>
        <v>13793.413530542244</v>
      </c>
      <c r="H248" s="55">
        <f t="shared" si="1725"/>
        <v>15495.072532138223</v>
      </c>
      <c r="I248" s="55">
        <f t="shared" si="1725"/>
        <v>15743.529808258621</v>
      </c>
      <c r="J248" s="55">
        <f t="shared" si="1725"/>
        <v>17045.031680832893</v>
      </c>
      <c r="K248" s="55">
        <f t="shared" si="1725"/>
        <v>17687.006568113055</v>
      </c>
      <c r="L248" s="55">
        <f t="shared" si="1725"/>
        <v>15134.60874947165</v>
      </c>
      <c r="M248" s="55">
        <f t="shared" ref="M248:W248" si="1743">M$249*AVERAGE(L191:M191)/AVERAGE(L$192:M$192)</f>
        <v>15785.940488565489</v>
      </c>
      <c r="N248" s="55">
        <f t="shared" si="1743"/>
        <v>17359.992662660876</v>
      </c>
      <c r="O248" s="55">
        <f t="shared" si="1743"/>
        <v>18245.688863375432</v>
      </c>
      <c r="P248" s="55">
        <f t="shared" si="1743"/>
        <v>19333.765460576164</v>
      </c>
      <c r="Q248" s="55">
        <f t="shared" si="1743"/>
        <v>22351.121207879049</v>
      </c>
      <c r="R248" s="55">
        <f t="shared" si="1743"/>
        <v>28042.215631859297</v>
      </c>
      <c r="S248" s="55">
        <f t="shared" si="1743"/>
        <v>31071.311915887851</v>
      </c>
      <c r="T248" s="55">
        <f t="shared" si="1743"/>
        <v>17096.040253409898</v>
      </c>
      <c r="U248" s="55">
        <f t="shared" si="1743"/>
        <v>15274.450468670997</v>
      </c>
      <c r="V248" s="55">
        <f t="shared" si="1743"/>
        <v>15574.365733225928</v>
      </c>
      <c r="W248" s="55">
        <f t="shared" si="1743"/>
        <v>15804.599842829077</v>
      </c>
      <c r="X248" s="55">
        <f t="shared" si="1727"/>
        <v>17210.679570692409</v>
      </c>
      <c r="Y248" s="55">
        <f t="shared" si="1727"/>
        <v>17797.363757013743</v>
      </c>
      <c r="Z248" s="55">
        <f t="shared" si="1727"/>
        <v>18118.62182429375</v>
      </c>
      <c r="AA248" s="55">
        <f t="shared" si="1728"/>
        <v>18848.401183342183</v>
      </c>
      <c r="AB248" s="55">
        <f t="shared" si="1728"/>
        <v>19780.73107790418</v>
      </c>
      <c r="AC248" s="55">
        <f t="shared" si="1728"/>
        <v>20390.768800775135</v>
      </c>
      <c r="AD248" s="55">
        <f t="shared" si="1728"/>
        <v>21073.20129590638</v>
      </c>
      <c r="AE248" s="55">
        <f t="shared" si="1728"/>
        <v>24132.326707514272</v>
      </c>
      <c r="AF248" s="55">
        <f t="shared" si="1728"/>
        <v>24061.828294233263</v>
      </c>
      <c r="AG248" s="55">
        <f t="shared" si="1728"/>
        <v>24042.187770243712</v>
      </c>
      <c r="AH248" s="55">
        <f>AH249*$CR248/$CR249</f>
        <v>29131.651701033737</v>
      </c>
      <c r="AI248" s="55">
        <f>AI249*$CR248/$CR249</f>
        <v>29925.762219892305</v>
      </c>
      <c r="AJ248" s="55">
        <f>AJ249*$CS248/$CS249</f>
        <v>30710.816539655061</v>
      </c>
      <c r="AK248" s="55">
        <f>AK249*$CS248/$CS249</f>
        <v>31840.601205203795</v>
      </c>
      <c r="AL248" s="55">
        <f>AL249*$CT248/$CT249</f>
        <v>36695.135098869272</v>
      </c>
      <c r="AM248" s="55">
        <f>AM249*$CT248/$CT249</f>
        <v>38132.054915213972</v>
      </c>
      <c r="AN248" s="55">
        <f>AN249*$CU248/$CU249</f>
        <v>38465.753369778446</v>
      </c>
      <c r="AO248" s="55">
        <f>AO249*$CU248/$CU249</f>
        <v>40996.591617964812</v>
      </c>
      <c r="AP248" s="55">
        <f>AP249*$CV248/$CV249</f>
        <v>31064.966388070505</v>
      </c>
      <c r="AQ248" s="55">
        <f>AQ249*$CV248/$CV249</f>
        <v>31674.182133928098</v>
      </c>
      <c r="AR248" s="55">
        <f>AR249*$CW248/$CW249</f>
        <v>34069.189316433149</v>
      </c>
      <c r="AS248" s="55">
        <f>AS249*$CW248/$CW249</f>
        <v>34462.399002110338</v>
      </c>
      <c r="AT248" s="55">
        <f t="shared" ref="AT248:AZ248" si="1744">AT249*$CX248/$CX249</f>
        <v>45872.417438895245</v>
      </c>
      <c r="AU248" s="55">
        <f t="shared" si="1744"/>
        <v>47663.476737429883</v>
      </c>
      <c r="AV248" s="55">
        <f t="shared" si="1744"/>
        <v>48980.508708286427</v>
      </c>
      <c r="AW248" s="55">
        <f t="shared" si="1744"/>
        <v>49469.584522557481</v>
      </c>
      <c r="AX248" s="55">
        <f t="shared" si="1744"/>
        <v>49388.554210133872</v>
      </c>
      <c r="AY248" s="55">
        <f t="shared" si="1744"/>
        <v>49865.186083568442</v>
      </c>
      <c r="AZ248" s="56">
        <f t="shared" si="1744"/>
        <v>49014.078409147638</v>
      </c>
      <c r="BA248" s="55">
        <f t="shared" ref="BA248:BE248" si="1745">AZ248/AZ$249*BA$249</f>
        <v>48328.879742546822</v>
      </c>
      <c r="BB248" s="55">
        <f t="shared" si="1745"/>
        <v>49441.44833731278</v>
      </c>
      <c r="BC248" s="55">
        <f t="shared" si="1745"/>
        <v>50677.484545745596</v>
      </c>
      <c r="BD248" s="55">
        <f t="shared" si="1745"/>
        <v>51944.421659389242</v>
      </c>
      <c r="BE248" s="55">
        <f t="shared" si="1745"/>
        <v>53243.03220087396</v>
      </c>
      <c r="BF248" s="55">
        <f t="shared" si="1736"/>
        <v>54574.108005895803</v>
      </c>
      <c r="BG248" s="55">
        <f t="shared" si="1736"/>
        <v>55938.460706043188</v>
      </c>
      <c r="BH248" s="55">
        <f t="shared" si="1736"/>
        <v>57336.922223694259</v>
      </c>
      <c r="BI248" s="55">
        <f t="shared" si="1736"/>
        <v>58271.720763789832</v>
      </c>
      <c r="BJ248" s="55">
        <f t="shared" si="1736"/>
        <v>58742.027527326056</v>
      </c>
      <c r="BK248" s="55">
        <f t="shared" si="1736"/>
        <v>59499.643541777186</v>
      </c>
      <c r="BL248" s="55">
        <f t="shared" si="1736"/>
        <v>60537.586397643245</v>
      </c>
      <c r="BM248" s="55">
        <f t="shared" si="1736"/>
        <v>61594.616855671957</v>
      </c>
      <c r="BN248" s="55">
        <f t="shared" si="1737"/>
        <v>62671.098634893264</v>
      </c>
      <c r="BO248" s="55">
        <f t="shared" si="1738"/>
        <v>63767.40254105394</v>
      </c>
      <c r="BP248" s="55">
        <f t="shared" si="1739"/>
        <v>64883.906606543693</v>
      </c>
      <c r="BQ248" s="55">
        <f t="shared" si="1740"/>
        <v>66020.99623310547</v>
      </c>
      <c r="BR248" s="55"/>
      <c r="BS248" s="55"/>
      <c r="BT248" s="55"/>
      <c r="BU248" s="55"/>
      <c r="BV248" s="55"/>
      <c r="BW248" s="55"/>
      <c r="BX248" s="55"/>
      <c r="BY248" s="55"/>
      <c r="BZ248" s="55"/>
      <c r="CA248" s="55"/>
      <c r="CB248" s="55"/>
      <c r="CC248" s="55">
        <f>SUMPRODUCT(D248:E248,D$5:E$5)/SUM(D$5:E$5)</f>
        <v>12257.553941942608</v>
      </c>
      <c r="CD248" s="55">
        <f>SUMPRODUCT(F248:G248,F$5:G$5)/SUM(F$5:G$5)</f>
        <v>13928.058413859027</v>
      </c>
      <c r="CE248" s="55">
        <f>SUMPRODUCT(H248:I248,H$5:I$5)/SUM(H$5:I$5)</f>
        <v>15619.980015215146</v>
      </c>
      <c r="CF248" s="55">
        <f>SUMPRODUCT(J248:K248,J$5:K$5)/SUM(J$5:K$5)</f>
        <v>17368.6573774344</v>
      </c>
      <c r="CG248" s="55">
        <f t="shared" si="1741"/>
        <v>15335.06516470422</v>
      </c>
      <c r="CH248" s="55">
        <f t="shared" si="1741"/>
        <v>17597.629756639322</v>
      </c>
      <c r="CI248" s="55">
        <f t="shared" si="1741"/>
        <v>20677.265850081945</v>
      </c>
      <c r="CJ248" s="55">
        <f t="shared" si="1741"/>
        <v>30087.610341725394</v>
      </c>
      <c r="CK248" s="55">
        <f t="shared" si="1741"/>
        <v>17479.566034623713</v>
      </c>
      <c r="CL248" s="55">
        <f t="shared" si="1741"/>
        <v>15737.028789512186</v>
      </c>
      <c r="CM248" s="55">
        <f t="shared" si="1742"/>
        <v>17986.279253996447</v>
      </c>
      <c r="CN248" s="55">
        <f t="shared" si="1742"/>
        <v>18445.710808765616</v>
      </c>
      <c r="CO248" s="55">
        <f t="shared" si="1742"/>
        <v>20436.499681190224</v>
      </c>
      <c r="CP248" s="55">
        <f t="shared" si="1742"/>
        <v>22477.103307500693</v>
      </c>
      <c r="CQ248" s="55">
        <f t="shared" si="1742"/>
        <v>24324.514008223887</v>
      </c>
      <c r="CR248" s="164">
        <f>48461*CR191/(CR191+CR197)</f>
        <v>29595.527108433736</v>
      </c>
      <c r="CS248" s="164">
        <f>51291*CS191/(CS191+CS197)</f>
        <v>31240.48142352829</v>
      </c>
      <c r="CT248" s="164">
        <f>53836*CT191/(CT191+CT197)</f>
        <v>37540.667485523772</v>
      </c>
      <c r="CU248" s="164">
        <f>56599*CU191/(CU191+CU197)</f>
        <v>39758.960918556557</v>
      </c>
      <c r="CV248" s="164">
        <f>48903*CV191/(CV191+CV197)</f>
        <v>31239.059313288617</v>
      </c>
      <c r="CW248" s="164">
        <f>59344*CW191/(CW191+CW197)</f>
        <v>33887.164158569096</v>
      </c>
      <c r="CX248" s="164">
        <f>67262*CX191/(CX191+CX197)</f>
        <v>46610.082675923004</v>
      </c>
      <c r="CY248" s="164">
        <f>64700*CY191/(CY191+CY197)</f>
        <v>43994.397013526184</v>
      </c>
      <c r="CZ248" s="56">
        <f>SUMPRODUCT(AX248:AY248,AX$5:AY$5)/SUM(AX$5:AY$5)</f>
        <v>49628.828907974857</v>
      </c>
      <c r="DA248" s="55">
        <f>SUMPRODUCT(AZ248:BA248,AZ$5:BA$5)/SUM(AZ$5:BA$5)</f>
        <v>48668.663190915999</v>
      </c>
      <c r="DB248" s="55">
        <f>SUMPRODUCT(BB248:BC248,BB$5:BC$5)/SUM(BB$5:BC$5)</f>
        <v>50064.546042385758</v>
      </c>
      <c r="DC248" s="55">
        <f>SUMPRODUCT(BD248:BE248,BD$5:BE$5)/SUM(BD$5:BE$5)</f>
        <v>52597.275046365161</v>
      </c>
      <c r="DD248" s="55">
        <f>SUMPRODUCT(BF248:BG248,BF$5:BG$5)/SUM(BF$5:BG$5)</f>
        <v>55261.891284874211</v>
      </c>
      <c r="DE248" s="55">
        <f>SUMPRODUCT(BH248:BI248,BH$5:BI$5)/SUM(BH$5:BI$5)</f>
        <v>57808.163131578054</v>
      </c>
      <c r="DF248" s="55">
        <f>SUMPRODUCT(BJ248:BK248,BJ$5:BK$5)/SUM(BJ$5:BK$5)</f>
        <v>59123.949025021968</v>
      </c>
      <c r="DG248" s="55">
        <f>SUMPRODUCT(BL248:BM248,BL$5:BM$5)/SUM(BL$5:BM$5)</f>
        <v>61068.989688018337</v>
      </c>
      <c r="DH248" s="55">
        <f>SUMPRODUCT(BN248:BO248,BN$5:BO$5)/SUM(BN$5:BO$5)</f>
        <v>63223.755946492071</v>
      </c>
      <c r="DI248" s="55">
        <f>SUMPRODUCT(BP248:BQ248,BP$5:BQ$5)/SUM(BP$5:BQ$5)</f>
        <v>65457.124390892648</v>
      </c>
    </row>
    <row r="249" spans="1:113" s="24" customFormat="1" outlineLevel="1">
      <c r="A249" s="1" t="s">
        <v>256</v>
      </c>
      <c r="B249" s="24" t="s">
        <v>168</v>
      </c>
      <c r="C249" s="166">
        <f>10447+2173+2046+634</f>
        <v>15300</v>
      </c>
      <c r="D249" s="166">
        <f>11017+2353+2287+665</f>
        <v>16322</v>
      </c>
      <c r="E249" s="166">
        <f>13955+2535+2486+745</f>
        <v>19721</v>
      </c>
      <c r="F249" s="166">
        <f>14722+2693+2817+830</f>
        <v>21062</v>
      </c>
      <c r="G249" s="166">
        <f>13781+2885+2996+913</f>
        <v>20575</v>
      </c>
      <c r="H249" s="166">
        <f>22262+AVERAGE(913,1113)</f>
        <v>23275</v>
      </c>
      <c r="I249" s="166">
        <f>22568+AVERAGE(1113,1174)</f>
        <v>23711.5</v>
      </c>
      <c r="J249" s="166">
        <f>24728+AVERAGE(1174,1158)</f>
        <v>25894</v>
      </c>
      <c r="K249" s="166">
        <f>26289+AVERAGE(1158,1155)</f>
        <v>27445.5</v>
      </c>
      <c r="L249" s="166">
        <f>22570+AVERAGE(1155,1222)</f>
        <v>23758.5</v>
      </c>
      <c r="M249" s="166">
        <f>23369+AVERAGE(1222,1166)</f>
        <v>24563</v>
      </c>
      <c r="N249" s="166">
        <f>25810+AVERAGE(1166,1672)</f>
        <v>27229</v>
      </c>
      <c r="O249" s="166">
        <f>27549+AVERAGE(1672,1818)</f>
        <v>29294</v>
      </c>
      <c r="P249" s="166">
        <f>28895+AVERAGE(1818,1693)</f>
        <v>30650.5</v>
      </c>
      <c r="Q249" s="166">
        <f>32372+AVERAGE(1693,1468)</f>
        <v>33952.5</v>
      </c>
      <c r="R249" s="166">
        <f>39678+AVERAGE(2061,1468)</f>
        <v>41442.5</v>
      </c>
      <c r="S249" s="166">
        <f>41795+AVERAGE(2061,1481)</f>
        <v>43566</v>
      </c>
      <c r="T249" s="166">
        <f>23394+AVERAGE(1621,1481)</f>
        <v>24945</v>
      </c>
      <c r="U249" s="166">
        <f>23728+AVERAGE(1554,1618)</f>
        <v>25314</v>
      </c>
      <c r="V249" s="81">
        <f>((23658+AVERAGE(1565,1554))*(V$5+W$5)-W249*W$5)/V$5</f>
        <v>25115.334254143647</v>
      </c>
      <c r="W249" s="81">
        <f>23758+AVERAGE(1565,1555)</f>
        <v>25318</v>
      </c>
      <c r="X249" s="166">
        <f>27066+AVERAGE(1565,1648)</f>
        <v>28672.5</v>
      </c>
      <c r="Y249" s="166">
        <f>28832+AVERAGE(1661,1648)</f>
        <v>30486.5</v>
      </c>
      <c r="Z249" s="166">
        <f>29363+AVERAGE(1921,1661)</f>
        <v>31154</v>
      </c>
      <c r="AA249" s="166">
        <f>31573+AVERAGE(1921,1977)</f>
        <v>33522</v>
      </c>
      <c r="AB249" s="166">
        <f>35394+AVERAGE(2465,1977)</f>
        <v>37615</v>
      </c>
      <c r="AC249" s="166">
        <f>38369+AVERAGE(2465,2427)</f>
        <v>40815</v>
      </c>
      <c r="AD249" s="166">
        <f>39396+AVERAGE(2768,2427)</f>
        <v>41993.5</v>
      </c>
      <c r="AE249" s="166">
        <f>44848+AVERAGE(2768,2592)</f>
        <v>47528</v>
      </c>
      <c r="AF249" s="166">
        <f>45819+AVERAGE(3170,2592)</f>
        <v>48700</v>
      </c>
      <c r="AG249" s="166">
        <f>46935+AVERAGE(3170,3345)</f>
        <v>50192.5</v>
      </c>
      <c r="AH249" s="166">
        <f>49188+AVERAGE(3784,3345)</f>
        <v>52752.5</v>
      </c>
      <c r="AI249" s="166">
        <f>50375+AVERAGE(3847,3784)</f>
        <v>54190.5</v>
      </c>
      <c r="AJ249" s="166">
        <f>51095+AVERAGE(4244,3847)</f>
        <v>55140.5</v>
      </c>
      <c r="AK249" s="166">
        <f>52838+AVERAGE(4418,4244)</f>
        <v>57169</v>
      </c>
      <c r="AL249" s="166">
        <f>55732+AVERAGE(5114,4418)</f>
        <v>60498</v>
      </c>
      <c r="AM249" s="166">
        <f>57667+AVERAGE(5286,5114)</f>
        <v>62867</v>
      </c>
      <c r="AN249" s="166">
        <f>58561+AVERAGE(6326,5286)</f>
        <v>64367</v>
      </c>
      <c r="AO249" s="166">
        <f>61645+AVERAGE(7588,6326)</f>
        <v>68602</v>
      </c>
      <c r="AP249" s="166">
        <f>62228+AVERAGE(9815,7588)</f>
        <v>70929.5</v>
      </c>
      <c r="AQ249" s="166">
        <f>61989+AVERAGE(10848,9815)</f>
        <v>72320.5</v>
      </c>
      <c r="AR249" s="166">
        <f>65147+AVERAGE(13084,10848)</f>
        <v>77113</v>
      </c>
      <c r="AS249" s="166">
        <f>65512+AVERAGE(11898,13084)</f>
        <v>78003</v>
      </c>
      <c r="AT249" s="166">
        <f>67668+AVERAGE(11898,11278)</f>
        <v>79256</v>
      </c>
      <c r="AU249" s="166">
        <f>71894+AVERAGE(9635,11278)</f>
        <v>82350.5</v>
      </c>
      <c r="AV249" s="166">
        <f>74979+AVERAGE(9635,9659)</f>
        <v>84626</v>
      </c>
      <c r="AW249" s="166">
        <f>76236+AVERAGE(8811,9659)</f>
        <v>85471</v>
      </c>
      <c r="AX249" s="166">
        <f>76292+AVERAGE(9368,8710)</f>
        <v>85331</v>
      </c>
      <c r="AY249" s="166">
        <f>76606+AVERAGE(9729,9368)</f>
        <v>86154.5</v>
      </c>
      <c r="AZ249" s="167">
        <f>74636+AVERAGE(9729,10367)</f>
        <v>84684</v>
      </c>
      <c r="BA249" s="82">
        <f t="shared" ref="BA249:BE249" si="1746">AZ249*AVERAGE(AZ192:BA192)/AVERAGE(AY192:AZ192)</f>
        <v>83500.149037873285</v>
      </c>
      <c r="BB249" s="82">
        <f t="shared" si="1746"/>
        <v>85422.387748406225</v>
      </c>
      <c r="BC249" s="82">
        <f t="shared" si="1746"/>
        <v>87557.947442116376</v>
      </c>
      <c r="BD249" s="82">
        <f t="shared" si="1746"/>
        <v>89746.89612816929</v>
      </c>
      <c r="BE249" s="82">
        <f t="shared" si="1746"/>
        <v>91990.568531373501</v>
      </c>
      <c r="BF249" s="82">
        <f t="shared" ref="BF249:BM249" si="1747">BE249*AVERAGE(BE192:BF192)/AVERAGE(BD192:BE192)</f>
        <v>94290.332744657833</v>
      </c>
      <c r="BG249" s="82">
        <f t="shared" si="1747"/>
        <v>96647.59106327426</v>
      </c>
      <c r="BH249" s="82">
        <f t="shared" si="1747"/>
        <v>99063.780839856103</v>
      </c>
      <c r="BI249" s="82">
        <f t="shared" si="1747"/>
        <v>100678.87760672052</v>
      </c>
      <c r="BJ249" s="82">
        <f t="shared" si="1747"/>
        <v>101491.44940763943</v>
      </c>
      <c r="BK249" s="82">
        <f t="shared" si="1747"/>
        <v>102800.41933322321</v>
      </c>
      <c r="BL249" s="82">
        <f t="shared" si="1747"/>
        <v>104593.72353599603</v>
      </c>
      <c r="BM249" s="82">
        <f t="shared" si="1747"/>
        <v>106420.00631459862</v>
      </c>
      <c r="BN249" s="82">
        <f t="shared" ref="BN249" si="1748">BM249*AVERAGE(BM192:BN192)/AVERAGE(BL192:BM192)</f>
        <v>108279.89608403604</v>
      </c>
      <c r="BO249" s="82">
        <f t="shared" ref="BO249" si="1749">BN249*AVERAGE(BN192:BO192)/AVERAGE(BM192:BN192)</f>
        <v>110174.03350337766</v>
      </c>
      <c r="BP249" s="82">
        <f t="shared" ref="BP249" si="1750">BO249*AVERAGE(BO192:BP192)/AVERAGE(BN192:BO192)</f>
        <v>112103.07171751428</v>
      </c>
      <c r="BQ249" s="82">
        <f t="shared" ref="BQ249" si="1751">BP249*AVERAGE(BP192:BQ192)/AVERAGE(BO192:BP192)</f>
        <v>114067.67660372563</v>
      </c>
      <c r="BR249" s="82"/>
      <c r="BS249" s="81">
        <f>3243.3+733.1+579.7</f>
        <v>4556.1000000000004</v>
      </c>
      <c r="BT249" s="81">
        <f>4113.4+876.5+683.6+34.8</f>
        <v>5708.3</v>
      </c>
      <c r="BU249" s="81">
        <f>4344.6+1056.3+672.3+51.7</f>
        <v>6124.9000000000005</v>
      </c>
      <c r="BV249" s="81">
        <f>5243+1412+808+62</f>
        <v>7525</v>
      </c>
      <c r="BW249" s="81">
        <f>5939+1483+752+42</f>
        <v>8216</v>
      </c>
      <c r="BX249" s="81">
        <f>6487+1696+1321+53</f>
        <v>9557</v>
      </c>
      <c r="BY249" s="81">
        <f>8300+1680+1375+58</f>
        <v>11413</v>
      </c>
      <c r="BZ249" s="81">
        <f>9201+2120+1682+76</f>
        <v>13079</v>
      </c>
      <c r="CA249" s="81">
        <f>8665+2017+1954+72</f>
        <v>12708</v>
      </c>
      <c r="CB249" s="81">
        <f>9882+2027+1911+608</f>
        <v>14428</v>
      </c>
      <c r="CC249" s="82">
        <f>SUMPRODUCT(D249:E249,D$5:E$5)/SUM(D$5:E$5)</f>
        <v>18035.468493150689</v>
      </c>
      <c r="CD249" s="82">
        <f>SUMPRODUCT(F249:G249,F$5:G$5)/SUM(F$5:G$5)</f>
        <v>20816.498630136986</v>
      </c>
      <c r="CE249" s="82">
        <f>SUMPRODUCT(H249:I249,H$5:I$5)/SUM(H$5:I$5)</f>
        <v>23494.442622950821</v>
      </c>
      <c r="CF249" s="82">
        <f>SUMPRODUCT(J249:K249,J$5:K$5)/SUM(J$5:K$5)</f>
        <v>26676.126027397258</v>
      </c>
      <c r="CG249" s="166">
        <f>22966+AVERAGE(1166,1155)</f>
        <v>24126.5</v>
      </c>
      <c r="CH249" s="166">
        <f>26672+AVERAGE(1818,1166)</f>
        <v>28164</v>
      </c>
      <c r="CI249" s="166">
        <f>30624+AVERAGE(1468,1818)</f>
        <v>32267</v>
      </c>
      <c r="CJ249" s="166">
        <f>40728+AVERAGE(1468,1481)</f>
        <v>42202.5</v>
      </c>
      <c r="CK249" s="166">
        <f>23559+AVERAGE(1481,1554)</f>
        <v>25076.5</v>
      </c>
      <c r="CL249" s="166">
        <f>23658+AVERAGE(1565,1554)</f>
        <v>25217.5</v>
      </c>
      <c r="CM249" s="166">
        <f>27945+AVERAGE(1661,1565)</f>
        <v>29558</v>
      </c>
      <c r="CN249" s="166">
        <f>30459+AVERAGE(1661,1977)</f>
        <v>32278</v>
      </c>
      <c r="CO249" s="166">
        <f>36869+AVERAGE(2427,1977)</f>
        <v>39071</v>
      </c>
      <c r="CP249" s="166">
        <f>42099+AVERAGE(2427,2592)</f>
        <v>44608.5</v>
      </c>
      <c r="CQ249" s="166">
        <f>46374+AVERAGE(3345,2592)</f>
        <v>49342.5</v>
      </c>
      <c r="CR249" s="166">
        <f>49777+AVERAGE(3847,3784)</f>
        <v>53592.5</v>
      </c>
      <c r="CS249" s="166">
        <f>51959+AVERAGE(4418,3847)</f>
        <v>56091.5</v>
      </c>
      <c r="CT249" s="166">
        <f>56692+AVERAGE(5286,5114)</f>
        <v>61892</v>
      </c>
      <c r="CU249" s="166">
        <f>60094+AVERAGE(7588,5286)</f>
        <v>66531</v>
      </c>
      <c r="CV249" s="166">
        <f>62109+AVERAGE(7588,10848)</f>
        <v>71327</v>
      </c>
      <c r="CW249" s="166">
        <f>65328+AVERAGE(11898,10848)</f>
        <v>76701</v>
      </c>
      <c r="CX249" s="166">
        <f>69764+AVERAGE(11898,9635)</f>
        <v>80530.5</v>
      </c>
      <c r="CY249" s="166">
        <f>75604+AVERAGE(8811,9659)</f>
        <v>84839</v>
      </c>
      <c r="CZ249" s="83">
        <f>SUMPRODUCT(AX249:AY249,AX$5:AY$5)/SUM(AX$5:AY$5)</f>
        <v>85746.134246575341</v>
      </c>
      <c r="DA249" s="82">
        <f>SUMPRODUCT(AZ249:BA249,AZ$5:BA$5)/SUM(AZ$5:BA$5)</f>
        <v>84087.209377996391</v>
      </c>
      <c r="DB249" s="82">
        <f>SUMPRODUCT(BB249:BC249,BB$5:BC$5)/SUM(BB$5:BC$5)</f>
        <v>86498.943867975191</v>
      </c>
      <c r="DC249" s="82">
        <f>SUMPRODUCT(BD249:BE249,BD$5:BE$5)/SUM(BD$5:BE$5)</f>
        <v>90874.862582239177</v>
      </c>
      <c r="DD249" s="82">
        <f>SUMPRODUCT(BF249:BG249,BF$5:BG$5)/SUM(BF$5:BG$5)</f>
        <v>95478.649266919267</v>
      </c>
      <c r="DE249" s="82">
        <f>SUMPRODUCT(BH249:BI249,BH$5:BI$5)/SUM(BH$5:BI$5)</f>
        <v>99877.96660726174</v>
      </c>
      <c r="DF249" s="82">
        <f>SUMPRODUCT(BJ249:BK249,BJ$5:BK$5)/SUM(BJ$5:BK$5)</f>
        <v>102151.31369889261</v>
      </c>
      <c r="DG249" s="82">
        <f>SUMPRODUCT(BL249:BM249,BL$5:BM$5)/SUM(BL$5:BM$5)</f>
        <v>105511.85476895471</v>
      </c>
      <c r="DH249" s="82">
        <f>SUMPRODUCT(BN249:BO249,BN$5:BO$5)/SUM(BN$5:BO$5)</f>
        <v>109234.74892008772</v>
      </c>
      <c r="DI249" s="82">
        <f>SUMPRODUCT(BP249:BQ249,BP$5:BQ$5)/SUM(BP$5:BQ$5)</f>
        <v>113093.44787933042</v>
      </c>
    </row>
    <row r="250" spans="1:113" outlineLevel="1">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c r="AR250" s="55"/>
      <c r="AS250" s="55"/>
      <c r="AT250" s="55"/>
      <c r="AU250" s="55"/>
      <c r="AV250" s="55"/>
      <c r="AW250" s="55"/>
      <c r="AX250" s="55"/>
      <c r="AY250" s="55"/>
      <c r="AZ250" s="56"/>
      <c r="BA250" s="55"/>
      <c r="BB250" s="55"/>
      <c r="BC250" s="55"/>
      <c r="BD250" s="55"/>
      <c r="BE250" s="55"/>
      <c r="BF250" s="55"/>
      <c r="BG250" s="55"/>
      <c r="BH250" s="55"/>
      <c r="BI250" s="55"/>
      <c r="BJ250" s="55"/>
      <c r="BK250" s="55"/>
      <c r="BL250" s="55"/>
      <c r="BM250" s="55"/>
      <c r="BN250" s="55"/>
      <c r="BO250" s="55"/>
      <c r="BP250" s="55"/>
      <c r="BQ250" s="55"/>
      <c r="BR250" s="55"/>
      <c r="BS250" s="55"/>
      <c r="BT250" s="55"/>
      <c r="BU250" s="55"/>
      <c r="BV250" s="55"/>
      <c r="BW250" s="55"/>
      <c r="BX250" s="55"/>
      <c r="BY250" s="55"/>
      <c r="BZ250" s="55"/>
      <c r="CA250" s="55"/>
      <c r="CB250" s="55"/>
      <c r="CC250" s="55"/>
      <c r="CD250" s="55"/>
      <c r="CE250" s="55"/>
      <c r="CF250" s="55"/>
      <c r="CG250" s="55"/>
      <c r="CH250" s="55"/>
      <c r="CI250" s="55"/>
      <c r="CJ250" s="55"/>
      <c r="CK250" s="55"/>
      <c r="CL250" s="55"/>
      <c r="CM250" s="55"/>
      <c r="CN250" s="55"/>
      <c r="CO250" s="55"/>
      <c r="CP250" s="55"/>
      <c r="CQ250" s="55"/>
      <c r="CR250" s="55"/>
      <c r="CS250" s="55"/>
      <c r="CT250" s="55"/>
      <c r="CU250" s="55"/>
      <c r="CV250" s="55"/>
      <c r="CW250" s="55"/>
      <c r="CX250" s="55"/>
      <c r="CY250" s="55"/>
      <c r="CZ250" s="56"/>
      <c r="DA250" s="55"/>
      <c r="DB250" s="55"/>
      <c r="DC250" s="55"/>
      <c r="DD250" s="55"/>
      <c r="DE250" s="55"/>
      <c r="DF250" s="55"/>
      <c r="DG250" s="55"/>
      <c r="DH250" s="55"/>
      <c r="DI250" s="55"/>
    </row>
    <row r="251" spans="1:113" s="24" customFormat="1" outlineLevel="1">
      <c r="A251" s="1"/>
      <c r="B251" s="24" t="s">
        <v>491</v>
      </c>
      <c r="C251" s="82"/>
      <c r="D251" s="82"/>
      <c r="E251" s="82"/>
      <c r="F251" s="8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c r="AV251" s="82"/>
      <c r="AW251" s="82"/>
      <c r="AX251" s="82"/>
      <c r="AY251" s="82"/>
      <c r="AZ251" s="83"/>
      <c r="BA251" s="82"/>
      <c r="BB251" s="82"/>
      <c r="BC251" s="82"/>
      <c r="BD251" s="82"/>
      <c r="BE251" s="82"/>
      <c r="BF251" s="82"/>
      <c r="BG251" s="82"/>
      <c r="BH251" s="82"/>
      <c r="BI251" s="82"/>
      <c r="BJ251" s="82"/>
      <c r="BK251" s="82"/>
      <c r="BL251" s="82"/>
      <c r="BM251" s="82"/>
      <c r="BN251" s="82"/>
      <c r="BO251" s="82"/>
      <c r="BP251" s="82"/>
      <c r="BQ251" s="82"/>
      <c r="BR251" s="82"/>
      <c r="BS251" s="82"/>
      <c r="BT251" s="82"/>
      <c r="BU251" s="82"/>
      <c r="BV251" s="82"/>
      <c r="BW251" s="82"/>
      <c r="BX251" s="82"/>
      <c r="BY251" s="82"/>
      <c r="BZ251" s="82"/>
      <c r="CA251" s="82"/>
      <c r="CB251" s="82"/>
      <c r="CC251" s="82"/>
      <c r="CD251" s="82"/>
      <c r="CE251" s="82"/>
      <c r="CF251" s="82"/>
      <c r="CG251" s="82"/>
      <c r="CH251" s="82"/>
      <c r="CI251" s="82"/>
      <c r="CJ251" s="82"/>
      <c r="CK251" s="82"/>
      <c r="CL251" s="82"/>
      <c r="CM251" s="82"/>
      <c r="CN251" s="82"/>
      <c r="CO251" s="82"/>
      <c r="CP251" s="82"/>
      <c r="CQ251" s="82"/>
      <c r="CR251" s="82"/>
      <c r="CS251" s="82"/>
      <c r="CT251" s="82"/>
      <c r="CU251" s="82"/>
      <c r="CV251" s="82"/>
      <c r="CW251" s="82"/>
      <c r="CX251" s="82"/>
      <c r="CY251" s="82"/>
      <c r="CZ251" s="83"/>
      <c r="DA251" s="82"/>
      <c r="DB251" s="82"/>
      <c r="DC251" s="82"/>
      <c r="DD251" s="82"/>
      <c r="DE251" s="82"/>
      <c r="DF251" s="82"/>
      <c r="DG251" s="82"/>
      <c r="DH251" s="82"/>
      <c r="DI251" s="82"/>
    </row>
    <row r="252" spans="1:113" outlineLevel="1">
      <c r="A252" s="1" t="s">
        <v>257</v>
      </c>
      <c r="B252" s="19" t="s">
        <v>589</v>
      </c>
      <c r="C252" s="55">
        <v>0</v>
      </c>
      <c r="D252" s="55">
        <v>0</v>
      </c>
      <c r="E252" s="55">
        <v>0</v>
      </c>
      <c r="F252" s="55">
        <v>0</v>
      </c>
      <c r="G252" s="55">
        <v>0</v>
      </c>
      <c r="H252" s="55">
        <v>0</v>
      </c>
      <c r="I252" s="55">
        <v>0</v>
      </c>
      <c r="J252" s="55">
        <v>0</v>
      </c>
      <c r="K252" s="55">
        <v>0</v>
      </c>
      <c r="L252" s="55">
        <v>0</v>
      </c>
      <c r="M252" s="55">
        <v>0</v>
      </c>
      <c r="N252" s="55">
        <v>0</v>
      </c>
      <c r="O252" s="55">
        <v>0</v>
      </c>
      <c r="P252" s="55">
        <v>0</v>
      </c>
      <c r="Q252" s="55">
        <v>0</v>
      </c>
      <c r="R252" s="55">
        <v>0</v>
      </c>
      <c r="S252" s="55">
        <v>0</v>
      </c>
      <c r="T252" s="55">
        <f t="shared" ref="T252:W253" si="1752">T$254*AVERAGE(S196:T196)/AVERAGE(S$198:T$198)</f>
        <v>1196.2835070508891</v>
      </c>
      <c r="U252" s="55">
        <f t="shared" si="1752"/>
        <v>1239.764721836119</v>
      </c>
      <c r="V252" s="55">
        <f t="shared" si="1752"/>
        <v>1328.1548216402211</v>
      </c>
      <c r="W252" s="55">
        <f t="shared" si="1752"/>
        <v>1054.9458537257876</v>
      </c>
      <c r="X252" s="55">
        <f t="shared" ref="X252:Z253" si="1753">X$254*AVERAGE(W196:X196)/AVERAGE(W$198:X$198)</f>
        <v>1164.5039424301897</v>
      </c>
      <c r="Y252" s="55">
        <f t="shared" si="1753"/>
        <v>1048.8543680069693</v>
      </c>
      <c r="Z252" s="55">
        <f t="shared" si="1753"/>
        <v>1097.492756834612</v>
      </c>
      <c r="AA252" s="55">
        <f t="shared" ref="AA252:AG253" si="1754">AA$254*AVERAGE(Z196:AA196)/AVERAGE(Z$198:AA$198)</f>
        <v>1162.2747225339817</v>
      </c>
      <c r="AB252" s="55">
        <f t="shared" si="1754"/>
        <v>1255.1156703605432</v>
      </c>
      <c r="AC252" s="55">
        <f t="shared" si="1754"/>
        <v>1235.6637288135594</v>
      </c>
      <c r="AD252" s="55">
        <f t="shared" si="1754"/>
        <v>1561.7918692064209</v>
      </c>
      <c r="AE252" s="55">
        <f t="shared" si="1754"/>
        <v>2051.7954744206386</v>
      </c>
      <c r="AF252" s="55">
        <f t="shared" si="1754"/>
        <v>2303.6645880270357</v>
      </c>
      <c r="AG252" s="55">
        <f t="shared" si="1754"/>
        <v>3137.600257546866</v>
      </c>
      <c r="AH252" s="55">
        <f t="shared" ref="AH252:AM252" si="1755">AH254-AH253</f>
        <v>4138.9849511373504</v>
      </c>
      <c r="AI252" s="55">
        <f t="shared" si="1755"/>
        <v>4193.0585971902656</v>
      </c>
      <c r="AJ252" s="55">
        <f t="shared" si="1755"/>
        <v>1803.8958946808052</v>
      </c>
      <c r="AK252" s="55">
        <f t="shared" si="1755"/>
        <v>1966.8711060066889</v>
      </c>
      <c r="AL252" s="55">
        <f t="shared" si="1755"/>
        <v>4212.5916084581077</v>
      </c>
      <c r="AM252" s="55">
        <f t="shared" si="1755"/>
        <v>3778.6064179683362</v>
      </c>
      <c r="AN252" s="55">
        <f t="shared" ref="AN252:AS252" si="1756">AN254-AN253</f>
        <v>5118.3981358786441</v>
      </c>
      <c r="AO252" s="55">
        <f t="shared" si="1756"/>
        <v>5575.1846748418648</v>
      </c>
      <c r="AP252" s="55">
        <f t="shared" si="1756"/>
        <v>1768.7310241381783</v>
      </c>
      <c r="AQ252" s="55">
        <f t="shared" si="1756"/>
        <v>1794.1021658778664</v>
      </c>
      <c r="AR252" s="55">
        <f t="shared" si="1756"/>
        <v>4842.939275544617</v>
      </c>
      <c r="AS252" s="55">
        <f t="shared" si="1756"/>
        <v>6365.6471373199565</v>
      </c>
      <c r="AT252" s="55">
        <f t="shared" ref="AT252:AU252" si="1757">AT254-AT253</f>
        <v>-317.55472664233457</v>
      </c>
      <c r="AU252" s="55">
        <f t="shared" si="1757"/>
        <v>-331.41557750745778</v>
      </c>
      <c r="AV252" s="55">
        <f t="shared" ref="AV252:AW252" si="1758">AV254-AV253</f>
        <v>-325.9175197952718</v>
      </c>
      <c r="AW252" s="55">
        <f t="shared" si="1758"/>
        <v>-331.15224528031467</v>
      </c>
      <c r="AX252" s="55">
        <f t="shared" ref="AX252:AY252" si="1759">AX254-AX253</f>
        <v>-406.45728247905208</v>
      </c>
      <c r="AY252" s="55">
        <f t="shared" si="1759"/>
        <v>-481.03616111202427</v>
      </c>
      <c r="AZ252" s="56">
        <f t="shared" ref="AZ252" si="1760">AZ254-AZ253</f>
        <v>-512.65198789822898</v>
      </c>
      <c r="BA252" s="55">
        <f t="shared" ref="BA252:BE252" si="1761">AZ252/AZ$254*BA$254</f>
        <v>-562.43047121991322</v>
      </c>
      <c r="BB252" s="55">
        <f t="shared" si="1761"/>
        <v>-575.37806037058442</v>
      </c>
      <c r="BC252" s="55">
        <f t="shared" si="1761"/>
        <v>-589.76251187984883</v>
      </c>
      <c r="BD252" s="55">
        <f t="shared" si="1761"/>
        <v>-604.50657467684516</v>
      </c>
      <c r="BE252" s="55">
        <f t="shared" si="1761"/>
        <v>-619.61923904376624</v>
      </c>
      <c r="BF252" s="55">
        <f t="shared" ref="BF252:BM253" si="1762">BE252/BE$254*BF$254</f>
        <v>-635.10972001986022</v>
      </c>
      <c r="BG252" s="55">
        <f t="shared" si="1762"/>
        <v>-650.9874630203567</v>
      </c>
      <c r="BH252" s="55">
        <f t="shared" si="1762"/>
        <v>-667.26214959586559</v>
      </c>
      <c r="BI252" s="55">
        <f t="shared" si="1762"/>
        <v>-670.26678930370508</v>
      </c>
      <c r="BJ252" s="55">
        <f t="shared" si="1762"/>
        <v>-660.19019668034218</v>
      </c>
      <c r="BK252" s="55">
        <f t="shared" si="1762"/>
        <v>-660.48389447042291</v>
      </c>
      <c r="BL252" s="55">
        <f t="shared" si="1762"/>
        <v>-670.83869876025881</v>
      </c>
      <c r="BM252" s="55">
        <f t="shared" si="1762"/>
        <v>-681.355871815407</v>
      </c>
      <c r="BN252" s="55">
        <f t="shared" ref="BN252:BN253" si="1763">BM252/BM$254*BN$254</f>
        <v>-692.03796027102851</v>
      </c>
      <c r="BO252" s="55">
        <f t="shared" ref="BO252:BO253" si="1764">BN252/BN$254*BO$254</f>
        <v>-702.88755071659705</v>
      </c>
      <c r="BP252" s="55">
        <f t="shared" ref="BP252:BP253" si="1765">BO252/BO$254*BP$254</f>
        <v>-713.90727032298844</v>
      </c>
      <c r="BQ252" s="55">
        <f t="shared" ref="BQ252:BQ253" si="1766">BP252/BP$254*BQ$254</f>
        <v>-725.09978747941921</v>
      </c>
      <c r="BR252" s="55"/>
      <c r="BS252" s="55"/>
      <c r="BT252" s="55"/>
      <c r="BU252" s="55"/>
      <c r="BV252" s="55"/>
      <c r="BW252" s="55"/>
      <c r="BX252" s="55"/>
      <c r="BY252" s="55"/>
      <c r="BZ252" s="55"/>
      <c r="CA252" s="55"/>
      <c r="CB252" s="55"/>
      <c r="CC252" s="55">
        <f>SUMPRODUCT(D252:E252,D$5:E$5)/SUM(D$5:E$5)</f>
        <v>0</v>
      </c>
      <c r="CD252" s="55">
        <f>SUMPRODUCT(F252:G252,F$5:G$5)/SUM(F$5:G$5)</f>
        <v>0</v>
      </c>
      <c r="CE252" s="55">
        <f>SUMPRODUCT(H252:I252,H$5:I$5)/SUM(H$5:I$5)</f>
        <v>0</v>
      </c>
      <c r="CF252" s="55">
        <f>SUMPRODUCT(J252:K252,J$5:K$5)/SUM(J$5:K$5)</f>
        <v>0</v>
      </c>
      <c r="CG252" s="55">
        <f>SUMPRODUCT(L252:M252,L$5:M$5)/SUM(L$5:M$5)</f>
        <v>0</v>
      </c>
      <c r="CH252" s="55">
        <f>SUMPRODUCT(N252:O252,N$5:O$5)/SUM(N$5:O$5)</f>
        <v>0</v>
      </c>
      <c r="CI252" s="55">
        <f>SUMPRODUCT(P252:Q252,P$5:Q$5)/SUM(P$5:Q$5)</f>
        <v>0</v>
      </c>
      <c r="CJ252" s="55">
        <f>SUMPRODUCT(R252:S252,R$5:S$5)/SUM(R$5:S$5)</f>
        <v>0</v>
      </c>
      <c r="CK252" s="55">
        <f t="shared" ref="CK252:CQ253" si="1767">CK$254*AVERAGE(CJ196:CK196)/AVERAGE(CJ$198:CK$198)</f>
        <v>1923.1813149313718</v>
      </c>
      <c r="CL252" s="55">
        <f t="shared" si="1767"/>
        <v>1640.6891853705797</v>
      </c>
      <c r="CM252" s="55">
        <f t="shared" si="1767"/>
        <v>1129.0677900194426</v>
      </c>
      <c r="CN252" s="55">
        <f t="shared" si="1767"/>
        <v>1131.93221910031</v>
      </c>
      <c r="CO252" s="55">
        <f t="shared" si="1767"/>
        <v>1244.0905017631264</v>
      </c>
      <c r="CP252" s="55">
        <f t="shared" si="1767"/>
        <v>1801.9102323722875</v>
      </c>
      <c r="CQ252" s="55">
        <f t="shared" si="1767"/>
        <v>3126.7117049865633</v>
      </c>
      <c r="CR252" s="55">
        <f>CR254-CR253</f>
        <v>4165.0271084337364</v>
      </c>
      <c r="CS252" s="55">
        <f>CS254-CS253</f>
        <v>1884.4814235282902</v>
      </c>
      <c r="CT252" s="55">
        <f>CT254-CT253</f>
        <v>3997.6674855237725</v>
      </c>
      <c r="CU252" s="55">
        <f>CU254-CU253</f>
        <v>5355.9609185565569</v>
      </c>
      <c r="CV252" s="55">
        <f>SUMPRODUCT(AP252:AQ252,AP$5:AQ$5)/SUM(AP$5:AQ$5)</f>
        <v>1781.5208599740758</v>
      </c>
      <c r="CW252" s="55">
        <f>SUMPRODUCT(AR252:AS252,AR$5:AS$5)/SUM(AR$5:AS$5)</f>
        <v>5610.5509099738301</v>
      </c>
      <c r="CX252" s="55">
        <f>SUMPRODUCT(AT252:AU252,AT$5:AU$5)/SUM(AT$5:AU$5)</f>
        <v>-324.54211447571174</v>
      </c>
      <c r="CY252" s="55">
        <f>SUMPRODUCT(AV252:AW252,AV$5:AW$5)/SUM(AV$5:AW$5)</f>
        <v>-328.54918506644094</v>
      </c>
      <c r="CZ252" s="56">
        <f>SUMPRODUCT(AX252:AY252,AX$5:AY$5)/SUM(AX$5:AY$5)</f>
        <v>-444.05321033786549</v>
      </c>
      <c r="DA252" s="55">
        <f>SUMPRODUCT(AZ252:BA252,AZ$5:BA$5)/SUM(AZ$5:BA$5)</f>
        <v>-537.74579866861234</v>
      </c>
      <c r="DB252" s="55">
        <f>SUMPRODUCT(BB252:BC252,BB$5:BC$5)/SUM(BB$5:BC$5)</f>
        <v>-582.62940030950119</v>
      </c>
      <c r="DC252" s="55">
        <f>SUMPRODUCT(BD252:BE252,BD$5:BE$5)/SUM(BD$5:BE$5)</f>
        <v>-612.10419829300224</v>
      </c>
      <c r="DD252" s="55">
        <f>SUMPRODUCT(BF252:BG252,BF$5:BG$5)/SUM(BF$5:BG$5)</f>
        <v>-643.11384251874063</v>
      </c>
      <c r="DE252" s="55">
        <f>SUMPRODUCT(BH252:BI252,BH$5:BI$5)/SUM(BH$5:BI$5)</f>
        <v>-668.77681728420112</v>
      </c>
      <c r="DF252" s="55">
        <f>SUMPRODUCT(BJ252:BK252,BJ$5:BK$5)/SUM(BJ$5:BK$5)</f>
        <v>-660.33825255260206</v>
      </c>
      <c r="DG252" s="55">
        <f>SUMPRODUCT(BL252:BM252,BL$5:BM$5)/SUM(BL$5:BM$5)</f>
        <v>-676.12602073333881</v>
      </c>
      <c r="DH252" s="55">
        <f>SUMPRODUCT(BN252:BO252,BN$5:BO$5)/SUM(BN$5:BO$5)</f>
        <v>-697.50734285180829</v>
      </c>
      <c r="DI252" s="55">
        <f>SUMPRODUCT(BP252:BQ252,BP$5:BQ$5)/SUM(BP$5:BQ$5)</f>
        <v>-719.5495255470521</v>
      </c>
    </row>
    <row r="253" spans="1:113" outlineLevel="1">
      <c r="A253" s="1" t="s">
        <v>158</v>
      </c>
      <c r="B253" s="19" t="s">
        <v>471</v>
      </c>
      <c r="C253" s="55">
        <v>0</v>
      </c>
      <c r="D253" s="55">
        <v>0</v>
      </c>
      <c r="E253" s="55">
        <v>0</v>
      </c>
      <c r="F253" s="55">
        <v>0</v>
      </c>
      <c r="G253" s="55">
        <v>0</v>
      </c>
      <c r="H253" s="55">
        <v>0</v>
      </c>
      <c r="I253" s="55">
        <v>0</v>
      </c>
      <c r="J253" s="55">
        <v>0</v>
      </c>
      <c r="K253" s="55">
        <v>0</v>
      </c>
      <c r="L253" s="55">
        <v>0</v>
      </c>
      <c r="M253" s="55">
        <v>0</v>
      </c>
      <c r="N253" s="55">
        <v>0</v>
      </c>
      <c r="O253" s="55">
        <v>0</v>
      </c>
      <c r="P253" s="55">
        <v>0</v>
      </c>
      <c r="Q253" s="55">
        <v>0</v>
      </c>
      <c r="R253" s="55">
        <v>0</v>
      </c>
      <c r="S253" s="55">
        <v>0</v>
      </c>
      <c r="T253" s="55">
        <f t="shared" si="1752"/>
        <v>20315.716492949112</v>
      </c>
      <c r="U253" s="55">
        <f t="shared" si="1752"/>
        <v>15027.735278163882</v>
      </c>
      <c r="V253" s="55">
        <f t="shared" si="1752"/>
        <v>17401.825841343201</v>
      </c>
      <c r="W253" s="55">
        <f t="shared" si="1752"/>
        <v>16886.554146274211</v>
      </c>
      <c r="X253" s="55">
        <f t="shared" si="1753"/>
        <v>16748.99605756981</v>
      </c>
      <c r="Y253" s="55">
        <f t="shared" si="1753"/>
        <v>18033.645631993029</v>
      </c>
      <c r="Z253" s="55">
        <f t="shared" si="1753"/>
        <v>18081.007243165386</v>
      </c>
      <c r="AA253" s="55">
        <f t="shared" si="1754"/>
        <v>15570.725277466017</v>
      </c>
      <c r="AB253" s="55">
        <f t="shared" si="1754"/>
        <v>15876.384329639457</v>
      </c>
      <c r="AC253" s="55">
        <f t="shared" si="1754"/>
        <v>17090.336271186439</v>
      </c>
      <c r="AD253" s="55">
        <f t="shared" si="1754"/>
        <v>16316.708130793579</v>
      </c>
      <c r="AE253" s="55">
        <f t="shared" si="1754"/>
        <v>14873.204525579362</v>
      </c>
      <c r="AF253" s="55">
        <f t="shared" si="1754"/>
        <v>15445.835411972965</v>
      </c>
      <c r="AG253" s="55">
        <f t="shared" si="1754"/>
        <v>17551.399742453134</v>
      </c>
      <c r="AH253" s="55">
        <f>AH254*$CR253/$CR254</f>
        <v>18747.51504886265</v>
      </c>
      <c r="AI253" s="55">
        <f>AI254*$CR253/$CR254</f>
        <v>18992.441402809734</v>
      </c>
      <c r="AJ253" s="55">
        <f>AJ254*$CS253/$CS254</f>
        <v>19193.104105319195</v>
      </c>
      <c r="AK253" s="55">
        <f>AK254*$CS253/$CS254</f>
        <v>20927.128893993311</v>
      </c>
      <c r="AL253" s="55">
        <f>AL254*$CT253/$CT254</f>
        <v>17171.408391541892</v>
      </c>
      <c r="AM253" s="55">
        <f>AM254*$CT253/$CT254</f>
        <v>15402.393582031664</v>
      </c>
      <c r="AN253" s="55">
        <f>AN254*$CU253/$CU254</f>
        <v>16093.101864121356</v>
      </c>
      <c r="AO253" s="55">
        <f>AO254*$CU253/$CU254</f>
        <v>17529.315325158135</v>
      </c>
      <c r="AP253" s="55">
        <f>AP254*$CV253/$CV254</f>
        <v>17507.268975861822</v>
      </c>
      <c r="AQ253" s="55">
        <f>AQ254*$CV253/$CV254</f>
        <v>17758.397834122134</v>
      </c>
      <c r="AR253" s="55">
        <f>AR254*$CW253/$CW254</f>
        <v>22022.560724455383</v>
      </c>
      <c r="AS253" s="55">
        <f>AS254*$CW253/$CW254</f>
        <v>28946.852862680043</v>
      </c>
      <c r="AT253" s="55">
        <f t="shared" ref="AT253:AZ253" si="1768">AT254*$CX253/$CX254</f>
        <v>20215.054726642335</v>
      </c>
      <c r="AU253" s="55">
        <f t="shared" si="1768"/>
        <v>21097.415577507458</v>
      </c>
      <c r="AV253" s="55">
        <f t="shared" si="1768"/>
        <v>20747.417519795272</v>
      </c>
      <c r="AW253" s="55">
        <f t="shared" si="1768"/>
        <v>21080.652245280315</v>
      </c>
      <c r="AX253" s="55">
        <f t="shared" si="1768"/>
        <v>25874.457282479052</v>
      </c>
      <c r="AY253" s="55">
        <f t="shared" si="1768"/>
        <v>30622.036161112024</v>
      </c>
      <c r="AZ253" s="56">
        <f t="shared" si="1768"/>
        <v>32634.651987898229</v>
      </c>
      <c r="BA253" s="55">
        <f t="shared" ref="BA253:BE253" si="1769">AZ253/AZ$254*BA$254</f>
        <v>35803.47512335256</v>
      </c>
      <c r="BB253" s="55">
        <f t="shared" si="1769"/>
        <v>36627.699111533642</v>
      </c>
      <c r="BC253" s="55">
        <f t="shared" si="1769"/>
        <v>37543.391589321982</v>
      </c>
      <c r="BD253" s="55">
        <f t="shared" si="1769"/>
        <v>38481.976379055028</v>
      </c>
      <c r="BE253" s="55">
        <f t="shared" si="1769"/>
        <v>39444.025788531399</v>
      </c>
      <c r="BF253" s="55">
        <f t="shared" si="1762"/>
        <v>40430.126433244681</v>
      </c>
      <c r="BG253" s="55">
        <f t="shared" si="1762"/>
        <v>41440.879594075792</v>
      </c>
      <c r="BH253" s="55">
        <f t="shared" si="1762"/>
        <v>42476.901583927684</v>
      </c>
      <c r="BI253" s="55">
        <f t="shared" si="1762"/>
        <v>42668.172413904118</v>
      </c>
      <c r="BJ253" s="55">
        <f t="shared" si="1762"/>
        <v>42026.711732486547</v>
      </c>
      <c r="BK253" s="55">
        <f t="shared" si="1762"/>
        <v>42045.408090630393</v>
      </c>
      <c r="BL253" s="55">
        <f t="shared" si="1762"/>
        <v>42704.579306930587</v>
      </c>
      <c r="BM253" s="55">
        <f t="shared" si="1762"/>
        <v>43374.086673825652</v>
      </c>
      <c r="BN253" s="55">
        <f t="shared" si="1763"/>
        <v>44054.092306267201</v>
      </c>
      <c r="BO253" s="55">
        <f t="shared" si="1764"/>
        <v>44744.760862638126</v>
      </c>
      <c r="BP253" s="55">
        <f t="shared" si="1765"/>
        <v>45446.259584672138</v>
      </c>
      <c r="BQ253" s="55">
        <f t="shared" si="1766"/>
        <v>46158.758338000305</v>
      </c>
      <c r="BR253" s="55"/>
      <c r="BS253" s="55"/>
      <c r="BT253" s="55"/>
      <c r="BU253" s="55"/>
      <c r="BV253" s="55"/>
      <c r="BW253" s="55"/>
      <c r="BX253" s="55"/>
      <c r="BY253" s="55"/>
      <c r="BZ253" s="55"/>
      <c r="CA253" s="55"/>
      <c r="CB253" s="55"/>
      <c r="CC253" s="55">
        <f>SUMPRODUCT(D253:E253,D$5:E$5)/SUM(D$5:E$5)</f>
        <v>0</v>
      </c>
      <c r="CD253" s="55">
        <f>SUMPRODUCT(F253:G253,F$5:G$5)/SUM(F$5:G$5)</f>
        <v>0</v>
      </c>
      <c r="CE253" s="55">
        <f>SUMPRODUCT(H253:I253,H$5:I$5)/SUM(H$5:I$5)</f>
        <v>0</v>
      </c>
      <c r="CF253" s="55">
        <f>SUMPRODUCT(J253:K253,J$5:K$5)/SUM(J$5:K$5)</f>
        <v>0</v>
      </c>
      <c r="CG253" s="55">
        <f>SUMPRODUCT(L253:M253,L$5:M$5)/SUM(L$5:M$5)</f>
        <v>0</v>
      </c>
      <c r="CH253" s="55">
        <f>SUMPRODUCT(N253:O253,N$5:O$5)/SUM(N$5:O$5)</f>
        <v>0</v>
      </c>
      <c r="CI253" s="55">
        <f>SUMPRODUCT(P253:Q253,P$5:Q$5)/SUM(P$5:Q$5)</f>
        <v>0</v>
      </c>
      <c r="CJ253" s="55">
        <f>SUMPRODUCT(R253:S253,R$5:S$5)/SUM(R$5:S$5)</f>
        <v>0</v>
      </c>
      <c r="CK253" s="55">
        <f t="shared" si="1767"/>
        <v>16988.818685068629</v>
      </c>
      <c r="CL253" s="55">
        <f t="shared" si="1767"/>
        <v>16691.810814629422</v>
      </c>
      <c r="CM253" s="55">
        <f t="shared" si="1767"/>
        <v>17374.932209980558</v>
      </c>
      <c r="CN253" s="55">
        <f t="shared" si="1767"/>
        <v>16826.567780899692</v>
      </c>
      <c r="CO253" s="55">
        <f t="shared" si="1767"/>
        <v>16404.409498236873</v>
      </c>
      <c r="CP253" s="55">
        <f t="shared" si="1767"/>
        <v>15619.589767627713</v>
      </c>
      <c r="CQ253" s="55">
        <f t="shared" si="1767"/>
        <v>16086.788295013437</v>
      </c>
      <c r="CR253" s="164">
        <f>48461-CR248</f>
        <v>18865.472891566264</v>
      </c>
      <c r="CS253" s="164">
        <f>51291-CS248</f>
        <v>20050.51857647171</v>
      </c>
      <c r="CT253" s="164">
        <f>53836-CT248</f>
        <v>16295.332514476228</v>
      </c>
      <c r="CU253" s="164">
        <f>56599-CU248</f>
        <v>16840.039081443443</v>
      </c>
      <c r="CV253" s="164">
        <f>48903-CV248</f>
        <v>17663.940686711383</v>
      </c>
      <c r="CW253" s="164">
        <f>59344-CW248</f>
        <v>25456.835841430904</v>
      </c>
      <c r="CX253" s="164">
        <f>67262-CX248</f>
        <v>20651.917324076996</v>
      </c>
      <c r="CY253" s="164">
        <f>64700-CY248</f>
        <v>20705.602986473816</v>
      </c>
      <c r="CZ253" s="56">
        <f>SUMPRODUCT(AX253:AY253,AX$5:AY$5)/SUM(AX$5:AY$5)</f>
        <v>28267.757319926903</v>
      </c>
      <c r="DA253" s="55">
        <f>SUMPRODUCT(AZ253:BA253,AZ$5:BA$5)/SUM(AZ$5:BA$5)</f>
        <v>34232.086116456027</v>
      </c>
      <c r="DB253" s="55">
        <f>SUMPRODUCT(BB253:BC253,BB$5:BC$5)/SUM(BB$5:BC$5)</f>
        <v>37089.308470199554</v>
      </c>
      <c r="DC253" s="55">
        <f>SUMPRODUCT(BD253:BE253,BD$5:BE$5)/SUM(BD$5:BE$5)</f>
        <v>38965.629634092329</v>
      </c>
      <c r="DD253" s="55">
        <f>SUMPRODUCT(BF253:BG253,BF$5:BG$5)/SUM(BF$5:BG$5)</f>
        <v>40939.65679377324</v>
      </c>
      <c r="DE253" s="55">
        <f>SUMPRODUCT(BH253:BI253,BH$5:BI$5)/SUM(BH$5:BI$5)</f>
        <v>42573.32304342265</v>
      </c>
      <c r="DF253" s="55">
        <f>SUMPRODUCT(BJ253:BK253,BJ$5:BK$5)/SUM(BJ$5:BK$5)</f>
        <v>42036.13674590701</v>
      </c>
      <c r="DG253" s="55">
        <f>SUMPRODUCT(BL253:BM253,BL$5:BM$5)/SUM(BL$5:BM$5)</f>
        <v>43041.162245478925</v>
      </c>
      <c r="DH253" s="55">
        <f>SUMPRODUCT(BN253:BO253,BN$5:BO$5)/SUM(BN$5:BO$5)</f>
        <v>44402.264948382959</v>
      </c>
      <c r="DI253" s="55">
        <f>SUMPRODUCT(BP253:BQ253,BP$5:BQ$5)/SUM(BP$5:BQ$5)</f>
        <v>45805.437038404692</v>
      </c>
    </row>
    <row r="254" spans="1:113" s="24" customFormat="1" outlineLevel="1">
      <c r="A254" s="1" t="s">
        <v>159</v>
      </c>
      <c r="B254" s="24" t="s">
        <v>168</v>
      </c>
      <c r="C254" s="166">
        <v>0</v>
      </c>
      <c r="D254" s="166">
        <v>0</v>
      </c>
      <c r="E254" s="166">
        <v>0</v>
      </c>
      <c r="F254" s="166">
        <v>0</v>
      </c>
      <c r="G254" s="166">
        <v>0</v>
      </c>
      <c r="H254" s="166">
        <v>0</v>
      </c>
      <c r="I254" s="166">
        <v>0</v>
      </c>
      <c r="J254" s="166">
        <v>0</v>
      </c>
      <c r="K254" s="166">
        <v>0</v>
      </c>
      <c r="L254" s="166">
        <v>0</v>
      </c>
      <c r="M254" s="166">
        <v>0</v>
      </c>
      <c r="N254" s="166">
        <v>0</v>
      </c>
      <c r="O254" s="166">
        <v>0</v>
      </c>
      <c r="P254" s="166">
        <v>0</v>
      </c>
      <c r="Q254" s="166">
        <v>0</v>
      </c>
      <c r="R254" s="166">
        <v>0</v>
      </c>
      <c r="S254" s="166">
        <v>0</v>
      </c>
      <c r="T254" s="166">
        <f>21512+AVERAGE(0,0)</f>
        <v>21512</v>
      </c>
      <c r="U254" s="166">
        <f>16264+AVERAGE(4,3)</f>
        <v>16267.5</v>
      </c>
      <c r="V254" s="81">
        <f>((18284+AVERAGE(93,4))*(V$5+W$5)-W254*W$5)/V$5</f>
        <v>18729.980662983424</v>
      </c>
      <c r="W254" s="81">
        <f>17893+AVERAGE(93,4)</f>
        <v>17941.5</v>
      </c>
      <c r="X254" s="166">
        <f>17830+AVERAGE(93,74)</f>
        <v>17913.5</v>
      </c>
      <c r="Y254" s="166">
        <f>19000+AVERAGE(91,74)</f>
        <v>19082.5</v>
      </c>
      <c r="Z254" s="166">
        <f>19082+AVERAGE(91,102)</f>
        <v>19178.5</v>
      </c>
      <c r="AA254" s="166">
        <f>16640+AVERAGE(84,102)</f>
        <v>16733</v>
      </c>
      <c r="AB254" s="166">
        <f>16974+AVERAGE(84,231)</f>
        <v>17131.5</v>
      </c>
      <c r="AC254" s="166">
        <f>18172+AVERAGE(77,231)</f>
        <v>18326</v>
      </c>
      <c r="AD254" s="166">
        <f>17817+AVERAGE(77,46)</f>
        <v>17878.5</v>
      </c>
      <c r="AE254" s="166">
        <f>16864+AVERAGE(76,46)</f>
        <v>16925</v>
      </c>
      <c r="AF254" s="166">
        <f>17678+AVERAGE(76,67)</f>
        <v>17749.5</v>
      </c>
      <c r="AG254" s="166">
        <f>20623+AVERAGE(65,67)</f>
        <v>20689</v>
      </c>
      <c r="AH254" s="166">
        <f>22822+AVERAGE(64,65)</f>
        <v>22886.5</v>
      </c>
      <c r="AI254" s="166">
        <f>23129+AVERAGE(49,64)</f>
        <v>23185.5</v>
      </c>
      <c r="AJ254" s="166">
        <f>20943+AVERAGE(59,49)</f>
        <v>20997</v>
      </c>
      <c r="AK254" s="166">
        <f>22836+AVERAGE(57,59)</f>
        <v>22894</v>
      </c>
      <c r="AL254" s="166">
        <f>21338+AVERAGE(35,57)</f>
        <v>21384</v>
      </c>
      <c r="AM254" s="166">
        <f>19132+AVERAGE(63,35)</f>
        <v>19181</v>
      </c>
      <c r="AN254" s="166">
        <f>21160+AVERAGE(40,63)</f>
        <v>21211.5</v>
      </c>
      <c r="AO254" s="166">
        <f>22990+AVERAGE(189,40)</f>
        <v>23104.5</v>
      </c>
      <c r="AP254" s="166">
        <f>19156+AVERAGE(51,189)</f>
        <v>19276</v>
      </c>
      <c r="AQ254" s="166">
        <f>19498+AVERAGE(58,51)</f>
        <v>19552.5</v>
      </c>
      <c r="AR254" s="166">
        <f>26815+AVERAGE(43,58)</f>
        <v>26865.5</v>
      </c>
      <c r="AS254" s="166">
        <f>35276+AVERAGE(30,43)</f>
        <v>35312.5</v>
      </c>
      <c r="AT254" s="166">
        <f>19870+AVERAGE(30,25)</f>
        <v>19897.5</v>
      </c>
      <c r="AU254" s="166">
        <f>20743+AVERAGE(21,25)</f>
        <v>20766</v>
      </c>
      <c r="AV254" s="166">
        <f>20398+AVERAGE(21,26)</f>
        <v>20421.5</v>
      </c>
      <c r="AW254" s="166">
        <f>20720+AVERAGE(33,26)</f>
        <v>20749.5</v>
      </c>
      <c r="AX254" s="166">
        <f>25468+AVERAGE(0,0)</f>
        <v>25468</v>
      </c>
      <c r="AY254" s="166">
        <f>30141+AVERAGE(0,0)</f>
        <v>30141</v>
      </c>
      <c r="AZ254" s="167">
        <f>32122+AVERAGE(0,0)</f>
        <v>32122</v>
      </c>
      <c r="BA254" s="82">
        <f t="shared" ref="BA254:BE254" si="1770">AZ254*AVERAGE(AZ198:BA198)/AVERAGE(AY198:AZ198)</f>
        <v>35241.044652132645</v>
      </c>
      <c r="BB254" s="82">
        <f t="shared" si="1770"/>
        <v>36052.32105116306</v>
      </c>
      <c r="BC254" s="82">
        <f t="shared" si="1770"/>
        <v>36953.629077442129</v>
      </c>
      <c r="BD254" s="82">
        <f t="shared" si="1770"/>
        <v>37877.469804378183</v>
      </c>
      <c r="BE254" s="82">
        <f t="shared" si="1770"/>
        <v>38824.406549487634</v>
      </c>
      <c r="BF254" s="82">
        <f t="shared" ref="BF254:BM254" si="1771">BE254*AVERAGE(BE198:BF198)/AVERAGE(BD198:BE198)</f>
        <v>39795.016713224817</v>
      </c>
      <c r="BG254" s="82">
        <f t="shared" si="1771"/>
        <v>40789.892131055436</v>
      </c>
      <c r="BH254" s="82">
        <f t="shared" si="1771"/>
        <v>41809.639434331817</v>
      </c>
      <c r="BI254" s="82">
        <f t="shared" si="1771"/>
        <v>41997.905624600411</v>
      </c>
      <c r="BJ254" s="82">
        <f t="shared" si="1771"/>
        <v>41366.521535806205</v>
      </c>
      <c r="BK254" s="82">
        <f t="shared" si="1771"/>
        <v>41384.924196159969</v>
      </c>
      <c r="BL254" s="82">
        <f t="shared" si="1771"/>
        <v>42033.74060817033</v>
      </c>
      <c r="BM254" s="82">
        <f t="shared" si="1771"/>
        <v>42692.730802010243</v>
      </c>
      <c r="BN254" s="82">
        <f t="shared" ref="BN254" si="1772">BM254*AVERAGE(BM198:BN198)/AVERAGE(BL198:BM198)</f>
        <v>43362.05434599617</v>
      </c>
      <c r="BO254" s="82">
        <f t="shared" ref="BO254" si="1773">BN254*AVERAGE(BN198:BO198)/AVERAGE(BM198:BN198)</f>
        <v>44041.873311921525</v>
      </c>
      <c r="BP254" s="82">
        <f t="shared" ref="BP254" si="1774">BO254*AVERAGE(BO198:BP198)/AVERAGE(BN198:BO198)</f>
        <v>44732.352314349147</v>
      </c>
      <c r="BQ254" s="82">
        <f t="shared" ref="BQ254" si="1775">BP254*AVERAGE(BP198:BQ198)/AVERAGE(BO198:BP198)</f>
        <v>45433.658550520886</v>
      </c>
      <c r="BR254" s="82"/>
      <c r="BS254" s="81">
        <v>0</v>
      </c>
      <c r="BT254" s="81">
        <v>0</v>
      </c>
      <c r="BU254" s="81">
        <v>0</v>
      </c>
      <c r="BV254" s="81">
        <v>0</v>
      </c>
      <c r="BW254" s="81">
        <v>0</v>
      </c>
      <c r="BX254" s="81">
        <v>0</v>
      </c>
      <c r="BY254" s="81">
        <v>0</v>
      </c>
      <c r="BZ254" s="81">
        <v>0</v>
      </c>
      <c r="CA254" s="81">
        <v>0</v>
      </c>
      <c r="CB254" s="81">
        <v>0</v>
      </c>
      <c r="CC254" s="82">
        <f>SUMPRODUCT(D254:E254,D$5:E$5)/SUM(D$5:E$5)</f>
        <v>0</v>
      </c>
      <c r="CD254" s="82">
        <f>SUMPRODUCT(F254:G254,F$5:G$5)/SUM(F$5:G$5)</f>
        <v>0</v>
      </c>
      <c r="CE254" s="82">
        <f>SUMPRODUCT(H254:I254,H$5:I$5)/SUM(H$5:I$5)</f>
        <v>0</v>
      </c>
      <c r="CF254" s="82">
        <f>SUMPRODUCT(J254:K254,J$5:K$5)/SUM(J$5:K$5)</f>
        <v>0</v>
      </c>
      <c r="CG254" s="82">
        <f>SUMPRODUCT(L254:M254,L$5:M$5)/SUM(L$5:M$5)</f>
        <v>0</v>
      </c>
      <c r="CH254" s="82">
        <f>SUMPRODUCT(N254:O254,N$5:O$5)/SUM(N$5:O$5)</f>
        <v>0</v>
      </c>
      <c r="CI254" s="82">
        <f>SUMPRODUCT(P254:Q254,P$5:Q$5)/SUM(P$5:Q$5)</f>
        <v>0</v>
      </c>
      <c r="CJ254" s="82">
        <f>SUMPRODUCT(R254:S254,R$5:S$5)/SUM(R$5:S$5)</f>
        <v>0</v>
      </c>
      <c r="CK254" s="166">
        <f>18910+AVERAGE(0,4)</f>
        <v>18912</v>
      </c>
      <c r="CL254" s="166">
        <f>18284+AVERAGE(93,4)</f>
        <v>18332.5</v>
      </c>
      <c r="CM254" s="166">
        <f>18412+AVERAGE(91,93)</f>
        <v>18504</v>
      </c>
      <c r="CN254" s="166">
        <f>17871+AVERAGE(91,84)</f>
        <v>17958.5</v>
      </c>
      <c r="CO254" s="166">
        <f>17568+AVERAGE(77,84)</f>
        <v>17648.5</v>
      </c>
      <c r="CP254" s="166">
        <f>17345+AVERAGE(77,76)</f>
        <v>17421.5</v>
      </c>
      <c r="CQ254" s="166">
        <f>19143+AVERAGE(65,76)</f>
        <v>19213.5</v>
      </c>
      <c r="CR254" s="166">
        <f>22974+AVERAGE(49,64)</f>
        <v>23030.5</v>
      </c>
      <c r="CS254" s="166">
        <f>21882+AVERAGE(57,49)</f>
        <v>21935</v>
      </c>
      <c r="CT254" s="166">
        <f>20244+AVERAGE(63,35)</f>
        <v>20293</v>
      </c>
      <c r="CU254" s="166">
        <f>22070+AVERAGE(189,63)</f>
        <v>22196</v>
      </c>
      <c r="CV254" s="166">
        <f>19325+AVERAGE(189,58)</f>
        <v>19448.5</v>
      </c>
      <c r="CW254" s="166">
        <f>31011+AVERAGE(30,58)</f>
        <v>31055</v>
      </c>
      <c r="CX254" s="166">
        <f>20302+AVERAGE(21,30)</f>
        <v>20327.5</v>
      </c>
      <c r="CY254" s="166">
        <f>20558+AVERAGE(33,26)</f>
        <v>20587.5</v>
      </c>
      <c r="CZ254" s="83">
        <f>SUMPRODUCT(AX254:AY254,AX$5:AY$5)/SUM(AX$5:AY$5)</f>
        <v>27823.704109589042</v>
      </c>
      <c r="DA254" s="82">
        <f>SUMPRODUCT(AZ254:BA254,AZ$5:BA$5)/SUM(AZ$5:BA$5)</f>
        <v>33694.340317787421</v>
      </c>
      <c r="DB254" s="82">
        <f>SUMPRODUCT(BB254:BC254,BB$5:BC$5)/SUM(BB$5:BC$5)</f>
        <v>36506.679069890044</v>
      </c>
      <c r="DC254" s="82">
        <f>SUMPRODUCT(BD254:BE254,BD$5:BE$5)/SUM(BD$5:BE$5)</f>
        <v>38353.525435799333</v>
      </c>
      <c r="DD254" s="82">
        <f>SUMPRODUCT(BF254:BG254,BF$5:BG$5)/SUM(BF$5:BG$5)</f>
        <v>40296.542951254502</v>
      </c>
      <c r="DE254" s="82">
        <f>SUMPRODUCT(BH254:BI254,BH$5:BI$5)/SUM(BH$5:BI$5)</f>
        <v>41904.546226138453</v>
      </c>
      <c r="DF254" s="82">
        <f>SUMPRODUCT(BJ254:BK254,BJ$5:BK$5)/SUM(BJ$5:BK$5)</f>
        <v>41375.798493354399</v>
      </c>
      <c r="DG254" s="82">
        <f>SUMPRODUCT(BL254:BM254,BL$5:BM$5)/SUM(BL$5:BM$5)</f>
        <v>42365.036224745585</v>
      </c>
      <c r="DH254" s="82">
        <f>SUMPRODUCT(BN254:BO254,BN$5:BO$5)/SUM(BN$5:BO$5)</f>
        <v>43704.757605531137</v>
      </c>
      <c r="DI254" s="82">
        <f>SUMPRODUCT(BP254:BQ254,BP$5:BQ$5)/SUM(BP$5:BQ$5)</f>
        <v>45085.887512857633</v>
      </c>
    </row>
    <row r="255" spans="1:113" outlineLevel="1">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c r="AR255" s="55"/>
      <c r="AS255" s="55"/>
      <c r="AT255" s="55"/>
      <c r="AU255" s="55"/>
      <c r="AV255" s="55"/>
      <c r="AW255" s="55"/>
      <c r="AX255" s="55"/>
      <c r="AY255" s="55"/>
      <c r="AZ255" s="56"/>
      <c r="BA255" s="55"/>
      <c r="BB255" s="55"/>
      <c r="BC255" s="55"/>
      <c r="BD255" s="55"/>
      <c r="BE255" s="55"/>
      <c r="BF255" s="55"/>
      <c r="BG255" s="55"/>
      <c r="BH255" s="55"/>
      <c r="BI255" s="55"/>
      <c r="BJ255" s="55"/>
      <c r="BK255" s="55"/>
      <c r="BL255" s="55"/>
      <c r="BM255" s="55"/>
      <c r="BN255" s="55"/>
      <c r="BO255" s="55"/>
      <c r="BP255" s="55"/>
      <c r="BQ255" s="55"/>
      <c r="BR255" s="55"/>
      <c r="BS255" s="55"/>
      <c r="BT255" s="55"/>
      <c r="BU255" s="55"/>
      <c r="BV255" s="55"/>
      <c r="BW255" s="55"/>
      <c r="BX255" s="55"/>
      <c r="BY255" s="55"/>
      <c r="BZ255" s="55"/>
      <c r="CA255" s="55"/>
      <c r="CB255" s="55"/>
      <c r="CC255" s="55"/>
      <c r="CD255" s="55"/>
      <c r="CE255" s="55"/>
      <c r="CF255" s="55"/>
      <c r="CG255" s="55"/>
      <c r="CH255" s="55"/>
      <c r="CI255" s="55"/>
      <c r="CJ255" s="55"/>
      <c r="CK255" s="55"/>
      <c r="CL255" s="55"/>
      <c r="CM255" s="55"/>
      <c r="CN255" s="55"/>
      <c r="CO255" s="55"/>
      <c r="CP255" s="55"/>
      <c r="CQ255" s="55"/>
      <c r="CR255" s="55"/>
      <c r="CS255" s="55"/>
      <c r="CT255" s="55"/>
      <c r="CU255" s="55"/>
      <c r="CV255" s="55"/>
      <c r="CW255" s="55"/>
      <c r="CX255" s="55"/>
      <c r="CY255" s="55"/>
      <c r="CZ255" s="56"/>
      <c r="DA255" s="55"/>
      <c r="DB255" s="55"/>
      <c r="DC255" s="55"/>
      <c r="DD255" s="55"/>
      <c r="DE255" s="55"/>
      <c r="DF255" s="55"/>
      <c r="DG255" s="55"/>
      <c r="DH255" s="55"/>
      <c r="DI255" s="55"/>
    </row>
    <row r="256" spans="1:113" s="24" customFormat="1" outlineLevel="1">
      <c r="A256" s="19"/>
      <c r="B256" s="24" t="s">
        <v>496</v>
      </c>
      <c r="C256" s="82"/>
      <c r="D256" s="82"/>
      <c r="E256" s="82"/>
      <c r="F256" s="8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c r="AV256" s="82"/>
      <c r="AW256" s="82"/>
      <c r="AX256" s="82"/>
      <c r="AY256" s="82"/>
      <c r="AZ256" s="83"/>
      <c r="BA256" s="82"/>
      <c r="BB256" s="82"/>
      <c r="BC256" s="82"/>
      <c r="BD256" s="82"/>
      <c r="BE256" s="82"/>
      <c r="BF256" s="82"/>
      <c r="BG256" s="82"/>
      <c r="BH256" s="82"/>
      <c r="BI256" s="82"/>
      <c r="BJ256" s="82"/>
      <c r="BK256" s="82"/>
      <c r="BL256" s="82"/>
      <c r="BM256" s="82"/>
      <c r="BN256" s="82"/>
      <c r="BO256" s="82"/>
      <c r="BP256" s="82"/>
      <c r="BQ256" s="82"/>
      <c r="BR256" s="82"/>
      <c r="BS256" s="82"/>
      <c r="BT256" s="82"/>
      <c r="BU256" s="82"/>
      <c r="BV256" s="82"/>
      <c r="BW256" s="82"/>
      <c r="BX256" s="82"/>
      <c r="BY256" s="82"/>
      <c r="BZ256" s="82"/>
      <c r="CA256" s="82"/>
      <c r="CB256" s="82"/>
      <c r="CC256" s="82"/>
      <c r="CD256" s="82"/>
      <c r="CE256" s="82"/>
      <c r="CF256" s="82"/>
      <c r="CG256" s="82"/>
      <c r="CH256" s="82"/>
      <c r="CI256" s="82"/>
      <c r="CJ256" s="82"/>
      <c r="CK256" s="82"/>
      <c r="CL256" s="82"/>
      <c r="CM256" s="82"/>
      <c r="CN256" s="82"/>
      <c r="CO256" s="82"/>
      <c r="CP256" s="82"/>
      <c r="CQ256" s="82"/>
      <c r="CR256" s="82"/>
      <c r="CS256" s="82"/>
      <c r="CT256" s="82"/>
      <c r="CU256" s="82"/>
      <c r="CV256" s="82"/>
      <c r="CW256" s="82"/>
      <c r="CX256" s="82"/>
      <c r="CY256" s="82"/>
      <c r="CZ256" s="83"/>
      <c r="DA256" s="82"/>
      <c r="DB256" s="82"/>
      <c r="DC256" s="82"/>
      <c r="DD256" s="82"/>
      <c r="DE256" s="82"/>
      <c r="DF256" s="82"/>
      <c r="DG256" s="82"/>
      <c r="DH256" s="82"/>
      <c r="DI256" s="82"/>
    </row>
    <row r="257" spans="1:113" outlineLevel="1">
      <c r="A257" s="1" t="s">
        <v>289</v>
      </c>
      <c r="B257" s="19" t="str">
        <f>B$184</f>
        <v>Core deposits</v>
      </c>
      <c r="C257" s="55">
        <f t="shared" ref="C257:L258" si="1776">C242+C247+C252</f>
        <v>65085.831319145742</v>
      </c>
      <c r="D257" s="55">
        <f t="shared" si="1776"/>
        <v>70567.40158813227</v>
      </c>
      <c r="E257" s="55">
        <f t="shared" si="1776"/>
        <v>73324.076678514568</v>
      </c>
      <c r="F257" s="55">
        <f t="shared" si="1776"/>
        <v>78213.204060224292</v>
      </c>
      <c r="G257" s="55">
        <f t="shared" si="1776"/>
        <v>80361.504765839491</v>
      </c>
      <c r="H257" s="55">
        <f t="shared" si="1776"/>
        <v>84169.663005782422</v>
      </c>
      <c r="I257" s="55">
        <f t="shared" si="1776"/>
        <v>87725.969929872153</v>
      </c>
      <c r="J257" s="55">
        <f t="shared" si="1776"/>
        <v>87704.183444455834</v>
      </c>
      <c r="K257" s="55">
        <f t="shared" si="1776"/>
        <v>91350.307338341794</v>
      </c>
      <c r="L257" s="55">
        <f t="shared" si="1776"/>
        <v>90442.112235366672</v>
      </c>
      <c r="M257" s="55">
        <f t="shared" ref="M257:AB258" si="1777">M242+M247+M252</f>
        <v>94196.228352570339</v>
      </c>
      <c r="N257" s="55">
        <f t="shared" si="1777"/>
        <v>100204.72613486671</v>
      </c>
      <c r="O257" s="55">
        <f t="shared" si="1777"/>
        <v>122327.56803171751</v>
      </c>
      <c r="P257" s="55">
        <f t="shared" si="1777"/>
        <v>133353.95552626642</v>
      </c>
      <c r="Q257" s="55">
        <f t="shared" si="1777"/>
        <v>135825.32935954715</v>
      </c>
      <c r="R257" s="55">
        <f t="shared" si="1777"/>
        <v>160956.86797280764</v>
      </c>
      <c r="S257" s="55">
        <f t="shared" si="1777"/>
        <v>177726.50971656799</v>
      </c>
      <c r="T257" s="55">
        <f t="shared" si="1777"/>
        <v>174425.46466327668</v>
      </c>
      <c r="U257" s="55">
        <f t="shared" si="1777"/>
        <v>177504.89615581167</v>
      </c>
      <c r="V257" s="55">
        <f t="shared" si="1777"/>
        <v>179477.5919077275</v>
      </c>
      <c r="W257" s="55">
        <f t="shared" si="1777"/>
        <v>184683.61316906798</v>
      </c>
      <c r="X257" s="55">
        <f t="shared" si="1777"/>
        <v>195438.48124972338</v>
      </c>
      <c r="Y257" s="55">
        <f>Y242+Y247+Y252</f>
        <v>197448.67226514703</v>
      </c>
      <c r="Z257" s="55">
        <f>Z242+Z247+Z252</f>
        <v>207427.68794921882</v>
      </c>
      <c r="AA257" s="55">
        <f t="shared" si="1777"/>
        <v>217621.5223546706</v>
      </c>
      <c r="AB257" s="55">
        <f t="shared" si="1777"/>
        <v>236695.5205815642</v>
      </c>
      <c r="AC257" s="55">
        <f t="shared" ref="AC257:AE258" si="1778">AC242+AC247+AC252</f>
        <v>258409.04352237814</v>
      </c>
      <c r="AD257" s="55">
        <f t="shared" si="1778"/>
        <v>274778.14194291417</v>
      </c>
      <c r="AE257" s="55">
        <f t="shared" si="1778"/>
        <v>299189.75800611131</v>
      </c>
      <c r="AF257" s="55">
        <f t="shared" ref="AF257:AK257" si="1779">AF242+AF247+AF252</f>
        <v>309993.44222553133</v>
      </c>
      <c r="AG257" s="55">
        <f t="shared" si="1779"/>
        <v>325892.83814513526</v>
      </c>
      <c r="AH257" s="55">
        <f t="shared" si="1779"/>
        <v>312231.96001400473</v>
      </c>
      <c r="AI257" s="55">
        <f t="shared" si="1779"/>
        <v>322420.21871734562</v>
      </c>
      <c r="AJ257" s="55">
        <f t="shared" si="1779"/>
        <v>329638.0135653051</v>
      </c>
      <c r="AK257" s="55">
        <f t="shared" si="1779"/>
        <v>328812.85318219382</v>
      </c>
      <c r="AL257" s="55">
        <f t="shared" ref="AL257:AN258" si="1780">AL242+AL247+AL252</f>
        <v>334470.03195241047</v>
      </c>
      <c r="AM257" s="55">
        <f t="shared" si="1780"/>
        <v>335411.46608456498</v>
      </c>
      <c r="AN257" s="55">
        <f t="shared" si="1780"/>
        <v>367324.00185614219</v>
      </c>
      <c r="AO257" s="55">
        <f t="shared" ref="AO257:AQ258" si="1781">AO242+AO247+AO252</f>
        <v>386234.62996338512</v>
      </c>
      <c r="AP257" s="55">
        <f t="shared" si="1781"/>
        <v>464100.30270079721</v>
      </c>
      <c r="AQ257" s="55">
        <f t="shared" si="1781"/>
        <v>478738.03978790535</v>
      </c>
      <c r="AR257" s="55">
        <f t="shared" ref="AR257" si="1782">AR242+AR247+AR252</f>
        <v>519962.07799833792</v>
      </c>
      <c r="AS257" s="55">
        <f t="shared" ref="AS257:AT257" si="1783">AS242+AS247+AS252</f>
        <v>538449.00545441965</v>
      </c>
      <c r="AT257" s="55">
        <f t="shared" si="1783"/>
        <v>530451.31370228785</v>
      </c>
      <c r="AU257" s="55">
        <f t="shared" ref="AU257:AV257" si="1784">AU242+AU247+AU252</f>
        <v>537860.23321010091</v>
      </c>
      <c r="AV257" s="55">
        <f t="shared" si="1784"/>
        <v>536776.11441256932</v>
      </c>
      <c r="AW257" s="55">
        <f t="shared" ref="AW257:AX257" si="1785">AW242+AW247+AW252</f>
        <v>543583.03760568425</v>
      </c>
      <c r="AX257" s="55">
        <f t="shared" si="1785"/>
        <v>540547.42965699313</v>
      </c>
      <c r="AY257" s="55">
        <f t="shared" ref="AY257:BE257" si="1786">AY242+AY247+AY252</f>
        <v>552306.97638500528</v>
      </c>
      <c r="AZ257" s="56">
        <f t="shared" ref="AZ257" si="1787">AZ242+AZ247+AZ252</f>
        <v>579577.37369281822</v>
      </c>
      <c r="BA257" s="55">
        <f t="shared" si="1786"/>
        <v>601250.54694074881</v>
      </c>
      <c r="BB257" s="55">
        <f t="shared" si="1786"/>
        <v>617608.98140209576</v>
      </c>
      <c r="BC257" s="55">
        <f t="shared" si="1786"/>
        <v>633049.20593714796</v>
      </c>
      <c r="BD257" s="55">
        <f t="shared" si="1786"/>
        <v>648875.43608557666</v>
      </c>
      <c r="BE257" s="55">
        <f t="shared" si="1786"/>
        <v>665097.32198771602</v>
      </c>
      <c r="BF257" s="55">
        <f t="shared" ref="BF257:BI258" si="1788">BF242+BF247+BF252</f>
        <v>681724.75503740867</v>
      </c>
      <c r="BG257" s="55">
        <f t="shared" si="1788"/>
        <v>698767.87391334388</v>
      </c>
      <c r="BH257" s="55">
        <f t="shared" si="1788"/>
        <v>716237.07076117734</v>
      </c>
      <c r="BI257" s="55">
        <f t="shared" si="1788"/>
        <v>732066.78255026427</v>
      </c>
      <c r="BJ257" s="55">
        <f t="shared" ref="BJ257:BM258" si="1789">BJ242+BJ247+BJ252</f>
        <v>746189.40597386903</v>
      </c>
      <c r="BK257" s="55">
        <f t="shared" si="1789"/>
        <v>760786.47452067968</v>
      </c>
      <c r="BL257" s="55">
        <f t="shared" si="1789"/>
        <v>775858.74745244056</v>
      </c>
      <c r="BM257" s="55">
        <f t="shared" si="1789"/>
        <v>791231.6496379117</v>
      </c>
      <c r="BN257" s="55">
        <f t="shared" ref="BN257:BO257" si="1790">BN242+BN247+BN252</f>
        <v>806911.19912848342</v>
      </c>
      <c r="BO257" s="55">
        <f t="shared" si="1790"/>
        <v>822903.53467828967</v>
      </c>
      <c r="BP257" s="55">
        <f t="shared" ref="BP257:BQ257" si="1791">BP242+BP247+BP252</f>
        <v>839214.91816759319</v>
      </c>
      <c r="BQ257" s="55">
        <f t="shared" si="1791"/>
        <v>855851.73707485001</v>
      </c>
      <c r="BR257" s="55"/>
      <c r="BS257" s="55"/>
      <c r="BT257" s="55"/>
      <c r="BU257" s="55"/>
      <c r="BV257" s="55"/>
      <c r="BW257" s="55"/>
      <c r="BX257" s="55"/>
      <c r="BY257" s="55"/>
      <c r="BZ257" s="55"/>
      <c r="CA257" s="55"/>
      <c r="CB257" s="55"/>
      <c r="CC257" s="55">
        <f t="shared" ref="CC257:CC262" si="1792">SUMPRODUCT(D257:E257,D$5:E$5)/SUM(D$5:E$5)</f>
        <v>71957.067935064726</v>
      </c>
      <c r="CD257" s="55">
        <f t="shared" ref="CD257:CD262" si="1793">SUMPRODUCT(F257:G257,F$5:G$5)/SUM(F$5:G$5)</f>
        <v>79296.183046068661</v>
      </c>
      <c r="CE257" s="55">
        <f t="shared" ref="CE257:CE262" si="1794">SUMPRODUCT(H257:I257,H$5:I$5)/SUM(H$5:I$5)</f>
        <v>85957.533153412238</v>
      </c>
      <c r="CF257" s="55">
        <f t="shared" ref="CF257:CF262" si="1795">SUMPRODUCT(J257:K257,J$5:K$5)/SUM(J$5:K$5)</f>
        <v>89542.229462195595</v>
      </c>
      <c r="CG257" s="55">
        <f t="shared" ref="CG257:CL259" si="1796">CG242+CG247+CG252</f>
        <v>92597.090598730574</v>
      </c>
      <c r="CH257" s="55">
        <f t="shared" si="1796"/>
        <v>117707.12085979272</v>
      </c>
      <c r="CI257" s="55">
        <f t="shared" si="1796"/>
        <v>135556.40077530179</v>
      </c>
      <c r="CJ257" s="55">
        <f t="shared" si="1796"/>
        <v>169416.21686026547</v>
      </c>
      <c r="CK257" s="55">
        <f t="shared" si="1796"/>
        <v>176983.5457236158</v>
      </c>
      <c r="CL257" s="55">
        <f t="shared" si="1796"/>
        <v>185932.27884163213</v>
      </c>
      <c r="CM257" s="55">
        <f t="shared" ref="CM257:CS259" si="1797">CM242+CM247+CM252</f>
        <v>197093.52431264106</v>
      </c>
      <c r="CN257" s="55">
        <f t="shared" si="1797"/>
        <v>213721.64832881279</v>
      </c>
      <c r="CO257" s="55">
        <f t="shared" si="1797"/>
        <v>245955.53308647106</v>
      </c>
      <c r="CP257" s="55">
        <f t="shared" si="1797"/>
        <v>288186.27291664388</v>
      </c>
      <c r="CQ257" s="55">
        <f t="shared" si="1797"/>
        <v>318882.27778641967</v>
      </c>
      <c r="CR257" s="55">
        <f t="shared" si="1797"/>
        <v>317535.5</v>
      </c>
      <c r="CS257" s="55">
        <f t="shared" si="1797"/>
        <v>329211</v>
      </c>
      <c r="CT257" s="55">
        <f t="shared" ref="CT257:CU259" si="1798">CT242+CT247+CT252</f>
        <v>334906</v>
      </c>
      <c r="CU257" s="55">
        <f t="shared" si="1798"/>
        <v>377725.5</v>
      </c>
      <c r="CV257" s="55">
        <f t="shared" ref="CV257:CV262" si="1799">SUMPRODUCT(AP257:AQ257,AP$5:AQ$5)/SUM(AP$5:AQ$5)</f>
        <v>471479.32632827089</v>
      </c>
      <c r="CW257" s="55">
        <f t="shared" ref="CW257:CW262" si="1800">SUMPRODUCT(AR257:AS257,AR$5:AS$5)/SUM(AR$5:AS$5)</f>
        <v>529281.5154008558</v>
      </c>
      <c r="CX257" s="55">
        <f t="shared" ref="CX257:CX262" si="1801">SUMPRODUCT(AT257:AU257,AT$5:AU$5)/SUM(AT$5:AU$5)</f>
        <v>534186.22107060999</v>
      </c>
      <c r="CY257" s="55">
        <f t="shared" ref="CY257:CY262" si="1802">SUMPRODUCT(AV257:AW257,AV$5:AW$5)/SUM(AV$5:AW$5)</f>
        <v>540198.17415992764</v>
      </c>
      <c r="CZ257" s="56">
        <f t="shared" ref="CZ257:CZ262" si="1803">SUMPRODUCT(AX257:AY257,AX$5:AY$5)/SUM(AX$5:AY$5)</f>
        <v>546475.52992536093</v>
      </c>
      <c r="DA257" s="55">
        <f t="shared" ref="DA257:DA262" si="1804">SUMPRODUCT(AZ257:BA257,AZ$5:BA$5)/SUM(AZ$5:BA$5)</f>
        <v>590503.02815204894</v>
      </c>
      <c r="DB257" s="55">
        <f t="shared" ref="DB257:DB262" si="1805">SUMPRODUCT(BB257:BC257,BB$5:BC$5)/SUM(BB$5:BC$5)</f>
        <v>625392.54664716322</v>
      </c>
      <c r="DC257" s="55">
        <f t="shared" ref="DC257:DC262" si="1806">SUMPRODUCT(BD257:BE257,BD$5:BE$5)/SUM(BD$5:BE$5)</f>
        <v>657030.70112927514</v>
      </c>
      <c r="DD257" s="55">
        <f t="shared" ref="DD257:DD262" si="1807">SUMPRODUCT(BF257:BG257,BF$5:BG$5)/SUM(BF$5:BG$5)</f>
        <v>690316.35468993487</v>
      </c>
      <c r="DE257" s="55">
        <f t="shared" ref="DE257:DE262" si="1808">SUMPRODUCT(BH257:BI257,BH$5:BI$5)/SUM(BH$5:BI$5)</f>
        <v>724216.98026581295</v>
      </c>
      <c r="DF257" s="55">
        <f t="shared" ref="DF257:DF262" si="1809">SUMPRODUCT(BJ257:BK257,BJ$5:BK$5)/SUM(BJ$5:BK$5)</f>
        <v>753547.92820020649</v>
      </c>
      <c r="DG257" s="55">
        <f t="shared" ref="DG257:DG262" si="1810">SUMPRODUCT(BL257:BM257,BL$5:BM$5)/SUM(BL$5:BM$5)</f>
        <v>783587.20101016387</v>
      </c>
      <c r="DH257" s="55">
        <f t="shared" ref="DH257:DH262" si="1811">SUMPRODUCT(BN257:BO257,BN$5:BO$5)/SUM(BN$5:BO$5)</f>
        <v>814973.08883030352</v>
      </c>
      <c r="DI257" s="55">
        <f t="shared" ref="DI257:DI262" si="1812">SUMPRODUCT(BP257:BQ257,BP$5:BQ$5)/SUM(BP$5:BQ$5)</f>
        <v>847601.69810988149</v>
      </c>
    </row>
    <row r="258" spans="1:113" outlineLevel="1">
      <c r="A258" s="1" t="s">
        <v>290</v>
      </c>
      <c r="B258" s="19" t="str">
        <f>B$185</f>
        <v>Time deposits (includes CDs)</v>
      </c>
      <c r="C258" s="55">
        <f t="shared" si="1776"/>
        <v>50930.168680854258</v>
      </c>
      <c r="D258" s="55">
        <f t="shared" si="1776"/>
        <v>53393.598411867737</v>
      </c>
      <c r="E258" s="55">
        <f t="shared" si="1776"/>
        <v>55394.923321485418</v>
      </c>
      <c r="F258" s="55">
        <f t="shared" si="1776"/>
        <v>59085.795939775715</v>
      </c>
      <c r="G258" s="55">
        <f t="shared" si="1776"/>
        <v>58555.495234160509</v>
      </c>
      <c r="H258" s="55">
        <f t="shared" si="1776"/>
        <v>65661.336994217578</v>
      </c>
      <c r="I258" s="55">
        <f t="shared" si="1776"/>
        <v>75117.530070127847</v>
      </c>
      <c r="J258" s="55">
        <f t="shared" si="1776"/>
        <v>77179.816555544152</v>
      </c>
      <c r="K258" s="55">
        <f t="shared" si="1776"/>
        <v>77351.19266165822</v>
      </c>
      <c r="L258" s="55">
        <f t="shared" si="1776"/>
        <v>73514.387764633328</v>
      </c>
      <c r="M258" s="55">
        <f t="shared" si="1777"/>
        <v>76414.271647429647</v>
      </c>
      <c r="N258" s="55">
        <f t="shared" si="1777"/>
        <v>81690.773865133291</v>
      </c>
      <c r="O258" s="55">
        <f t="shared" si="1777"/>
        <v>91656.931968282486</v>
      </c>
      <c r="P258" s="55">
        <f t="shared" si="1777"/>
        <v>104030.54447373358</v>
      </c>
      <c r="Q258" s="55">
        <f t="shared" si="1777"/>
        <v>124821.17064045285</v>
      </c>
      <c r="R258" s="55">
        <f t="shared" si="1777"/>
        <v>164103.63202719236</v>
      </c>
      <c r="S258" s="55">
        <f t="shared" si="1777"/>
        <v>190555.99028343201</v>
      </c>
      <c r="T258" s="55">
        <f t="shared" si="1777"/>
        <v>201764.53533672332</v>
      </c>
      <c r="U258" s="55">
        <f t="shared" si="1777"/>
        <v>196579.10384418833</v>
      </c>
      <c r="V258" s="55">
        <f t="shared" si="1777"/>
        <v>208021.57936299077</v>
      </c>
      <c r="W258" s="55">
        <f t="shared" si="1777"/>
        <v>217516.386830932</v>
      </c>
      <c r="X258" s="55">
        <f t="shared" si="1777"/>
        <v>227366.01875027662</v>
      </c>
      <c r="Y258" s="55">
        <f>Y243+Y248+Y253</f>
        <v>234000.82773485297</v>
      </c>
      <c r="Z258" s="55">
        <f>Z243+Z248+Z253</f>
        <v>241898.31205078118</v>
      </c>
      <c r="AA258" s="55">
        <f t="shared" si="1777"/>
        <v>239565.4776453294</v>
      </c>
      <c r="AB258" s="55">
        <f t="shared" si="1777"/>
        <v>237288.9794184358</v>
      </c>
      <c r="AC258" s="55">
        <f t="shared" si="1778"/>
        <v>237761.95647762186</v>
      </c>
      <c r="AD258" s="55">
        <f t="shared" si="1778"/>
        <v>236762.35805708586</v>
      </c>
      <c r="AE258" s="55">
        <f t="shared" si="1778"/>
        <v>236263.24199388869</v>
      </c>
      <c r="AF258" s="55">
        <f t="shared" ref="AF258:AK258" si="1813">AF243+AF248+AF253</f>
        <v>220221.55777446876</v>
      </c>
      <c r="AG258" s="55">
        <f t="shared" si="1813"/>
        <v>215636.16185486471</v>
      </c>
      <c r="AH258" s="55">
        <f t="shared" si="1813"/>
        <v>251865.53998599522</v>
      </c>
      <c r="AI258" s="55">
        <f t="shared" si="1813"/>
        <v>259709.78128265441</v>
      </c>
      <c r="AJ258" s="55">
        <f t="shared" si="1813"/>
        <v>254223.48643469487</v>
      </c>
      <c r="AK258" s="55">
        <f t="shared" si="1813"/>
        <v>255816.64681780618</v>
      </c>
      <c r="AL258" s="55">
        <f t="shared" si="1780"/>
        <v>257548.4680475895</v>
      </c>
      <c r="AM258" s="55">
        <f t="shared" si="1780"/>
        <v>257511.03391543508</v>
      </c>
      <c r="AN258" s="55">
        <f t="shared" si="1780"/>
        <v>242045.99814385781</v>
      </c>
      <c r="AO258" s="55">
        <f t="shared" si="1781"/>
        <v>255350.87003661491</v>
      </c>
      <c r="AP258" s="55">
        <f t="shared" si="1781"/>
        <v>212387.19729920279</v>
      </c>
      <c r="AQ258" s="55">
        <f t="shared" si="1781"/>
        <v>218610.46021209462</v>
      </c>
      <c r="AR258" s="55">
        <f t="shared" ref="AR258" si="1814">AR243+AR248+AR253</f>
        <v>211914.42200166208</v>
      </c>
      <c r="AS258" s="55">
        <f t="shared" ref="AS258:AT258" si="1815">AS243+AS248+AS253</f>
        <v>224667.49454558024</v>
      </c>
      <c r="AT258" s="55">
        <f t="shared" si="1815"/>
        <v>257435.68629771218</v>
      </c>
      <c r="AU258" s="55">
        <f t="shared" ref="AU258:AV258" si="1816">AU243+AU248+AU253</f>
        <v>262463.26678989909</v>
      </c>
      <c r="AV258" s="55">
        <f t="shared" si="1816"/>
        <v>262642.38558743073</v>
      </c>
      <c r="AW258" s="55">
        <f t="shared" ref="AW258:AX258" si="1817">AW243+AW248+AW253</f>
        <v>265948.46239431575</v>
      </c>
      <c r="AX258" s="55">
        <f t="shared" si="1817"/>
        <v>269545.07034300693</v>
      </c>
      <c r="AY258" s="55">
        <f t="shared" ref="AY258:BE258" si="1818">AY243+AY248+AY253</f>
        <v>279188.52361499466</v>
      </c>
      <c r="AZ258" s="56">
        <f t="shared" ref="AZ258" si="1819">AZ243+AZ248+AZ253</f>
        <v>291091.62630718172</v>
      </c>
      <c r="BA258" s="55">
        <f t="shared" si="1818"/>
        <v>302124.08478156367</v>
      </c>
      <c r="BB258" s="55">
        <f t="shared" si="1818"/>
        <v>310047.59605554439</v>
      </c>
      <c r="BC258" s="55">
        <f t="shared" si="1818"/>
        <v>317798.78595693293</v>
      </c>
      <c r="BD258" s="55">
        <f t="shared" si="1818"/>
        <v>325743.75560585625</v>
      </c>
      <c r="BE258" s="55">
        <f t="shared" si="1818"/>
        <v>333887.34949600266</v>
      </c>
      <c r="BF258" s="55">
        <f t="shared" si="1788"/>
        <v>342234.53323340265</v>
      </c>
      <c r="BG258" s="55">
        <f t="shared" si="1788"/>
        <v>350790.39656423766</v>
      </c>
      <c r="BH258" s="55">
        <f t="shared" si="1788"/>
        <v>359560.15647834359</v>
      </c>
      <c r="BI258" s="55">
        <f t="shared" si="1788"/>
        <v>366515.48587102105</v>
      </c>
      <c r="BJ258" s="55">
        <f t="shared" ref="BJ258:BK258" si="1820">BJ243+BJ248+BJ253</f>
        <v>371641.8727211674</v>
      </c>
      <c r="BK258" s="55">
        <f t="shared" si="1820"/>
        <v>377821.80013156025</v>
      </c>
      <c r="BL258" s="55">
        <f t="shared" si="1789"/>
        <v>385030.73153096269</v>
      </c>
      <c r="BM258" s="55">
        <f t="shared" si="1789"/>
        <v>392379.45972459106</v>
      </c>
      <c r="BN258" s="55">
        <f t="shared" ref="BN258:BO258" si="1821">BN243+BN248+BN253</f>
        <v>399870.72488933039</v>
      </c>
      <c r="BO258" s="55">
        <f t="shared" si="1821"/>
        <v>407507.32129884983</v>
      </c>
      <c r="BP258" s="55">
        <f t="shared" ref="BP258:BQ258" si="1822">BP243+BP248+BP253</f>
        <v>415292.09839680989</v>
      </c>
      <c r="BQ258" s="55">
        <f t="shared" si="1822"/>
        <v>423227.96189143439</v>
      </c>
      <c r="BR258" s="55"/>
      <c r="BS258" s="55"/>
      <c r="BT258" s="55"/>
      <c r="BU258" s="55"/>
      <c r="BV258" s="55"/>
      <c r="BW258" s="55"/>
      <c r="BX258" s="55"/>
      <c r="BY258" s="55"/>
      <c r="BZ258" s="55"/>
      <c r="CA258" s="55"/>
      <c r="CB258" s="55"/>
      <c r="CC258" s="55">
        <f t="shared" si="1792"/>
        <v>54402.485489592807</v>
      </c>
      <c r="CD258" s="55">
        <f t="shared" si="1793"/>
        <v>58818.466268999829</v>
      </c>
      <c r="CE258" s="55">
        <f t="shared" si="1794"/>
        <v>70415.270125276293</v>
      </c>
      <c r="CF258" s="55">
        <f t="shared" si="1795"/>
        <v>77266.208893968782</v>
      </c>
      <c r="CG258" s="55">
        <f t="shared" si="1796"/>
        <v>74477.909401269411</v>
      </c>
      <c r="CH258" s="55">
        <f t="shared" si="1796"/>
        <v>87240.879140207282</v>
      </c>
      <c r="CI258" s="55">
        <f t="shared" si="1796"/>
        <v>113406.59922469821</v>
      </c>
      <c r="CJ258" s="55">
        <f t="shared" si="1796"/>
        <v>176413.78313973453</v>
      </c>
      <c r="CK258" s="55">
        <f t="shared" si="1796"/>
        <v>198285.4542763842</v>
      </c>
      <c r="CL258" s="55">
        <f t="shared" si="1796"/>
        <v>208977.72115836787</v>
      </c>
      <c r="CM258" s="55">
        <f t="shared" si="1797"/>
        <v>229913.47568735894</v>
      </c>
      <c r="CN258" s="55">
        <f t="shared" si="1797"/>
        <v>239344.35167118721</v>
      </c>
      <c r="CO258" s="55">
        <f t="shared" si="1797"/>
        <v>238943.96691352894</v>
      </c>
      <c r="CP258" s="55">
        <f t="shared" si="1797"/>
        <v>234698.22708335609</v>
      </c>
      <c r="CQ258" s="55">
        <f t="shared" si="1797"/>
        <v>221974.72221358039</v>
      </c>
      <c r="CR258" s="55">
        <f t="shared" si="1797"/>
        <v>255962</v>
      </c>
      <c r="CS258" s="55">
        <f t="shared" si="1797"/>
        <v>254985</v>
      </c>
      <c r="CT258" s="55">
        <f t="shared" si="1798"/>
        <v>257586</v>
      </c>
      <c r="CU258" s="55">
        <f t="shared" si="1798"/>
        <v>249267</v>
      </c>
      <c r="CV258" s="55">
        <f t="shared" si="1799"/>
        <v>215524.40380871537</v>
      </c>
      <c r="CW258" s="55">
        <f t="shared" si="1800"/>
        <v>218343.36816078794</v>
      </c>
      <c r="CX258" s="55">
        <f t="shared" si="1801"/>
        <v>259970.13783349958</v>
      </c>
      <c r="CY258" s="55">
        <f t="shared" si="1802"/>
        <v>264304.45698761335</v>
      </c>
      <c r="CZ258" s="56">
        <f t="shared" si="1803"/>
        <v>274406.42760888569</v>
      </c>
      <c r="DA258" s="55">
        <f t="shared" si="1804"/>
        <v>296653.19441481534</v>
      </c>
      <c r="DB258" s="55">
        <f t="shared" si="1805"/>
        <v>313955.04521131283</v>
      </c>
      <c r="DC258" s="55">
        <f t="shared" si="1806"/>
        <v>329837.80280745996</v>
      </c>
      <c r="DD258" s="55">
        <f t="shared" si="1807"/>
        <v>346547.62598100165</v>
      </c>
      <c r="DE258" s="55">
        <f t="shared" si="1808"/>
        <v>363066.40472013172</v>
      </c>
      <c r="DF258" s="55">
        <f t="shared" si="1809"/>
        <v>374757.23338832433</v>
      </c>
      <c r="DG258" s="55">
        <f t="shared" si="1810"/>
        <v>388725.17412010918</v>
      </c>
      <c r="DH258" s="55">
        <f t="shared" si="1811"/>
        <v>403720.40636700595</v>
      </c>
      <c r="DI258" s="55">
        <f t="shared" si="1812"/>
        <v>419292.64328177122</v>
      </c>
    </row>
    <row r="259" spans="1:113" s="24" customFormat="1" outlineLevel="1">
      <c r="A259" s="1" t="s">
        <v>291</v>
      </c>
      <c r="B259" s="24" t="s">
        <v>168</v>
      </c>
      <c r="C259" s="82">
        <f t="shared" ref="C259:L259" si="1823">C257+C258</f>
        <v>116016</v>
      </c>
      <c r="D259" s="82">
        <f t="shared" si="1823"/>
        <v>123961</v>
      </c>
      <c r="E259" s="82">
        <f t="shared" si="1823"/>
        <v>128718.99999999999</v>
      </c>
      <c r="F259" s="82">
        <f t="shared" si="1823"/>
        <v>137299</v>
      </c>
      <c r="G259" s="82">
        <f t="shared" si="1823"/>
        <v>138917</v>
      </c>
      <c r="H259" s="82">
        <f t="shared" si="1823"/>
        <v>149831</v>
      </c>
      <c r="I259" s="82">
        <f t="shared" si="1823"/>
        <v>162843.5</v>
      </c>
      <c r="J259" s="82">
        <f t="shared" si="1823"/>
        <v>164884</v>
      </c>
      <c r="K259" s="82">
        <f t="shared" si="1823"/>
        <v>168701.5</v>
      </c>
      <c r="L259" s="82">
        <f t="shared" si="1823"/>
        <v>163956.5</v>
      </c>
      <c r="M259" s="82">
        <f t="shared" ref="M259:AB259" si="1824">M257+M258</f>
        <v>170610.5</v>
      </c>
      <c r="N259" s="82">
        <f t="shared" si="1824"/>
        <v>181895.5</v>
      </c>
      <c r="O259" s="82">
        <f t="shared" si="1824"/>
        <v>213984.5</v>
      </c>
      <c r="P259" s="82">
        <f t="shared" si="1824"/>
        <v>237384.5</v>
      </c>
      <c r="Q259" s="82">
        <f t="shared" si="1824"/>
        <v>260646.5</v>
      </c>
      <c r="R259" s="82">
        <f t="shared" si="1824"/>
        <v>325060.5</v>
      </c>
      <c r="S259" s="82">
        <f t="shared" si="1824"/>
        <v>368282.5</v>
      </c>
      <c r="T259" s="82">
        <f t="shared" si="1824"/>
        <v>376190</v>
      </c>
      <c r="U259" s="82">
        <f t="shared" si="1824"/>
        <v>374084</v>
      </c>
      <c r="V259" s="82">
        <f t="shared" si="1824"/>
        <v>387499.17127071827</v>
      </c>
      <c r="W259" s="82">
        <f t="shared" si="1824"/>
        <v>402200</v>
      </c>
      <c r="X259" s="82">
        <f t="shared" si="1824"/>
        <v>422804.5</v>
      </c>
      <c r="Y259" s="82">
        <f>Y257+Y258</f>
        <v>431449.5</v>
      </c>
      <c r="Z259" s="82">
        <f>Z257+Z258</f>
        <v>449326</v>
      </c>
      <c r="AA259" s="82">
        <f t="shared" si="1824"/>
        <v>457187</v>
      </c>
      <c r="AB259" s="82">
        <f t="shared" si="1824"/>
        <v>473984.5</v>
      </c>
      <c r="AC259" s="82">
        <f t="shared" ref="AC259:AK259" si="1825">AC257+AC258</f>
        <v>496171</v>
      </c>
      <c r="AD259" s="82">
        <f t="shared" si="1825"/>
        <v>511540.5</v>
      </c>
      <c r="AE259" s="82">
        <f t="shared" si="1825"/>
        <v>535453</v>
      </c>
      <c r="AF259" s="82">
        <f t="shared" si="1825"/>
        <v>530215.00000000012</v>
      </c>
      <c r="AG259" s="82">
        <f t="shared" si="1825"/>
        <v>541529</v>
      </c>
      <c r="AH259" s="82">
        <f t="shared" si="1825"/>
        <v>564097.5</v>
      </c>
      <c r="AI259" s="82">
        <f t="shared" si="1825"/>
        <v>582130</v>
      </c>
      <c r="AJ259" s="82">
        <f t="shared" si="1825"/>
        <v>583861.5</v>
      </c>
      <c r="AK259" s="82">
        <f t="shared" si="1825"/>
        <v>584629.5</v>
      </c>
      <c r="AL259" s="82">
        <f t="shared" ref="AL259:AQ259" si="1826">AL257+AL258</f>
        <v>592018.5</v>
      </c>
      <c r="AM259" s="82">
        <f t="shared" si="1826"/>
        <v>592922.5</v>
      </c>
      <c r="AN259" s="82">
        <f t="shared" si="1826"/>
        <v>609370</v>
      </c>
      <c r="AO259" s="82">
        <f t="shared" si="1826"/>
        <v>641585.5</v>
      </c>
      <c r="AP259" s="82">
        <f t="shared" si="1826"/>
        <v>676487.5</v>
      </c>
      <c r="AQ259" s="82">
        <f t="shared" si="1826"/>
        <v>697348.5</v>
      </c>
      <c r="AR259" s="82">
        <f t="shared" ref="AR259" si="1827">AR257+AR258</f>
        <v>731876.5</v>
      </c>
      <c r="AS259" s="82">
        <f t="shared" ref="AS259:AT259" si="1828">AS257+AS258</f>
        <v>763116.49999999988</v>
      </c>
      <c r="AT259" s="82">
        <f t="shared" si="1828"/>
        <v>787887</v>
      </c>
      <c r="AU259" s="82">
        <f t="shared" ref="AU259:AV259" si="1829">AU257+AU258</f>
        <v>800323.5</v>
      </c>
      <c r="AV259" s="82">
        <f t="shared" si="1829"/>
        <v>799418.5</v>
      </c>
      <c r="AW259" s="82">
        <f t="shared" ref="AW259:AX259" si="1830">AW257+AW258</f>
        <v>809531.5</v>
      </c>
      <c r="AX259" s="82">
        <f t="shared" si="1830"/>
        <v>810092.5</v>
      </c>
      <c r="AY259" s="82">
        <f t="shared" ref="AY259:BE259" si="1831">AY257+AY258</f>
        <v>831495.5</v>
      </c>
      <c r="AZ259" s="83">
        <f t="shared" ref="AZ259" si="1832">AZ257+AZ258</f>
        <v>870669</v>
      </c>
      <c r="BA259" s="82">
        <f t="shared" si="1831"/>
        <v>903374.63172231242</v>
      </c>
      <c r="BB259" s="82">
        <f t="shared" si="1831"/>
        <v>927656.57745764009</v>
      </c>
      <c r="BC259" s="82">
        <f t="shared" si="1831"/>
        <v>950847.99189408089</v>
      </c>
      <c r="BD259" s="82">
        <f t="shared" si="1831"/>
        <v>974619.19169143285</v>
      </c>
      <c r="BE259" s="82">
        <f t="shared" si="1831"/>
        <v>998984.67148371867</v>
      </c>
      <c r="BF259" s="82">
        <f t="shared" ref="BF259:BM259" si="1833">BF257+BF258</f>
        <v>1023959.2882708113</v>
      </c>
      <c r="BG259" s="82">
        <f t="shared" si="1833"/>
        <v>1049558.2704775815</v>
      </c>
      <c r="BH259" s="82">
        <f t="shared" si="1833"/>
        <v>1075797.227239521</v>
      </c>
      <c r="BI259" s="82">
        <f t="shared" si="1833"/>
        <v>1098582.2684212853</v>
      </c>
      <c r="BJ259" s="82">
        <f t="shared" si="1833"/>
        <v>1117831.2786950364</v>
      </c>
      <c r="BK259" s="82">
        <f t="shared" si="1833"/>
        <v>1138608.2746522399</v>
      </c>
      <c r="BL259" s="82">
        <f t="shared" si="1833"/>
        <v>1160889.4789834032</v>
      </c>
      <c r="BM259" s="82">
        <f t="shared" si="1833"/>
        <v>1183611.1093625028</v>
      </c>
      <c r="BN259" s="82">
        <f t="shared" ref="BN259:BO259" si="1834">BN257+BN258</f>
        <v>1206781.9240178138</v>
      </c>
      <c r="BO259" s="82">
        <f t="shared" si="1834"/>
        <v>1230410.8559771394</v>
      </c>
      <c r="BP259" s="82">
        <f t="shared" ref="BP259:BQ259" si="1835">BP257+BP258</f>
        <v>1254507.0165644032</v>
      </c>
      <c r="BQ259" s="82">
        <f t="shared" si="1835"/>
        <v>1279079.6989662843</v>
      </c>
      <c r="BR259" s="82"/>
      <c r="BS259" s="82">
        <f t="shared" ref="BS259:CB259" si="1836">BS244+BS249+BS254</f>
        <v>53291.1</v>
      </c>
      <c r="BT259" s="82">
        <f t="shared" si="1836"/>
        <v>58739.700000000012</v>
      </c>
      <c r="BU259" s="82">
        <f t="shared" si="1836"/>
        <v>61148.800000000003</v>
      </c>
      <c r="BV259" s="82">
        <f t="shared" si="1836"/>
        <v>62307</v>
      </c>
      <c r="BW259" s="82">
        <f t="shared" si="1836"/>
        <v>65647</v>
      </c>
      <c r="BX259" s="82">
        <f t="shared" si="1836"/>
        <v>74173</v>
      </c>
      <c r="BY259" s="82">
        <f t="shared" si="1836"/>
        <v>80041</v>
      </c>
      <c r="BZ259" s="82">
        <f t="shared" si="1836"/>
        <v>89775</v>
      </c>
      <c r="CA259" s="82">
        <f t="shared" si="1836"/>
        <v>98492</v>
      </c>
      <c r="CB259" s="82">
        <f t="shared" si="1836"/>
        <v>114336</v>
      </c>
      <c r="CC259" s="82">
        <f t="shared" si="1792"/>
        <v>126359.55342465751</v>
      </c>
      <c r="CD259" s="82">
        <f t="shared" si="1793"/>
        <v>138114.6493150685</v>
      </c>
      <c r="CE259" s="82">
        <f t="shared" si="1794"/>
        <v>156372.80327868855</v>
      </c>
      <c r="CF259" s="82">
        <f t="shared" si="1795"/>
        <v>166808.43835616438</v>
      </c>
      <c r="CG259" s="82">
        <f t="shared" si="1796"/>
        <v>167075</v>
      </c>
      <c r="CH259" s="82">
        <f t="shared" si="1796"/>
        <v>204948</v>
      </c>
      <c r="CI259" s="82">
        <f t="shared" si="1796"/>
        <v>248963</v>
      </c>
      <c r="CJ259" s="82">
        <f t="shared" si="1796"/>
        <v>345830</v>
      </c>
      <c r="CK259" s="82">
        <f t="shared" si="1796"/>
        <v>375269</v>
      </c>
      <c r="CL259" s="82">
        <f t="shared" si="1796"/>
        <v>394910</v>
      </c>
      <c r="CM259" s="82">
        <f t="shared" si="1797"/>
        <v>427007</v>
      </c>
      <c r="CN259" s="82">
        <f t="shared" si="1797"/>
        <v>453066</v>
      </c>
      <c r="CO259" s="82">
        <f t="shared" si="1797"/>
        <v>484899.5</v>
      </c>
      <c r="CP259" s="82">
        <f t="shared" si="1797"/>
        <v>522884.5</v>
      </c>
      <c r="CQ259" s="82">
        <f t="shared" si="1797"/>
        <v>540857</v>
      </c>
      <c r="CR259" s="82">
        <f t="shared" si="1797"/>
        <v>573497.5</v>
      </c>
      <c r="CS259" s="82">
        <f t="shared" si="1797"/>
        <v>584196</v>
      </c>
      <c r="CT259" s="82">
        <f t="shared" si="1798"/>
        <v>592492</v>
      </c>
      <c r="CU259" s="82">
        <f t="shared" si="1798"/>
        <v>626992.5</v>
      </c>
      <c r="CV259" s="82">
        <f t="shared" si="1799"/>
        <v>687003.73013698636</v>
      </c>
      <c r="CW259" s="82">
        <f t="shared" si="1800"/>
        <v>747624.88356164377</v>
      </c>
      <c r="CX259" s="82">
        <f t="shared" si="1801"/>
        <v>794156.35890410957</v>
      </c>
      <c r="CY259" s="82">
        <f t="shared" si="1802"/>
        <v>804502.63114754111</v>
      </c>
      <c r="CZ259" s="83">
        <f t="shared" si="1803"/>
        <v>820881.95753424661</v>
      </c>
      <c r="DA259" s="82">
        <f t="shared" si="1804"/>
        <v>887156.22256686434</v>
      </c>
      <c r="DB259" s="82">
        <f t="shared" si="1805"/>
        <v>939347.59185847605</v>
      </c>
      <c r="DC259" s="82">
        <f t="shared" si="1806"/>
        <v>986868.5039367351</v>
      </c>
      <c r="DD259" s="82">
        <f t="shared" si="1807"/>
        <v>1036863.9806709365</v>
      </c>
      <c r="DE259" s="82">
        <f t="shared" si="1808"/>
        <v>1087283.3849859447</v>
      </c>
      <c r="DF259" s="82">
        <f t="shared" si="1809"/>
        <v>1128305.1615885308</v>
      </c>
      <c r="DG259" s="82">
        <f t="shared" si="1810"/>
        <v>1172312.3751302732</v>
      </c>
      <c r="DH259" s="82">
        <f t="shared" si="1811"/>
        <v>1218693.4951973094</v>
      </c>
      <c r="DI259" s="82">
        <f t="shared" si="1812"/>
        <v>1266894.3413916528</v>
      </c>
    </row>
    <row r="260" spans="1:113" outlineLevel="1">
      <c r="A260" s="1" t="s">
        <v>921</v>
      </c>
      <c r="B260" s="19" t="s">
        <v>277</v>
      </c>
      <c r="C260" s="53">
        <f>213116-64584-C259+6308+634</f>
        <v>39458</v>
      </c>
      <c r="D260" s="53">
        <f>218312-63698-D259+5813+665</f>
        <v>37131</v>
      </c>
      <c r="E260" s="53">
        <f>220641-61005-E259+5029+745</f>
        <v>36691.000000000015</v>
      </c>
      <c r="F260" s="53">
        <f>231636-60176-F259+4720+830</f>
        <v>39711</v>
      </c>
      <c r="G260" s="53">
        <f>241264-63915-G259+4849+913</f>
        <v>44194</v>
      </c>
      <c r="H260" s="53">
        <f>251503-62815-H259+AVERAGE(4849,5659)+AVERAGE(913,1113)</f>
        <v>45124</v>
      </c>
      <c r="I260" s="53">
        <f>277285-70812-I259+AVERAGE(5659,5407)+AVERAGE(1113,1174)</f>
        <v>50306</v>
      </c>
      <c r="J260" s="53">
        <f>295161-65524-J259+AVERAGE(5407,5823)+AVERAGE(1174,1158)</f>
        <v>71534</v>
      </c>
      <c r="K260" s="53">
        <f>308085-66609-K259+AVERAGE(5885,5823)+AVERAGE(1158,1155)</f>
        <v>79785</v>
      </c>
      <c r="L260" s="53">
        <f>323521-65161-L259+AVERAGE(5823,6149)+AVERAGE(1155,1222)</f>
        <v>101578</v>
      </c>
      <c r="M260" s="53">
        <f>339452-64393-M259+AVERAGE(6149,5872)+AVERAGE(1222,1166)</f>
        <v>111653</v>
      </c>
      <c r="N260" s="53">
        <f>363944-65594-N259+AVERAGE(5872,6617)+AVERAGE(1166,1672)</f>
        <v>124118</v>
      </c>
      <c r="O260" s="53">
        <f>401955-64596-O259+AVERAGE(6617,6662)+AVERAGE(1672,1818)</f>
        <v>131759</v>
      </c>
      <c r="P260" s="53">
        <f>435988-72189-P259+AVERAGE(6662,6328)+AVERAGE(1818,1693)</f>
        <v>134665</v>
      </c>
      <c r="Q260" s="53">
        <f>464833-75988-Q259+AVERAGE(6328,6142)+AVERAGE(1693,1468)</f>
        <v>136014</v>
      </c>
      <c r="R260" s="53">
        <f>572024-88296-R259+AVERAGE(7384,6142)+AVERAGE(2061,1468)</f>
        <v>167195</v>
      </c>
      <c r="S260" s="53">
        <f>607530-96281+AVERAGE(7384,7135)+AVERAGE(2061,1481)-S259</f>
        <v>151997</v>
      </c>
      <c r="T260" s="53">
        <f>599695+AVERAGE(6839,7135)+AVERAGE(1621,1481)+AVERAGE(0,0)-75645-T259</f>
        <v>156398</v>
      </c>
      <c r="U260" s="53">
        <f>614190-75590+AVERAGE(6839,7236)+AVERAGE(1554,1618)+AVERAGE(4,3)-U259</f>
        <v>173143</v>
      </c>
      <c r="V260" s="53">
        <f>((624036-64941+AVERAGE(7630,7236)+AVERAGE(1565,1554)+AVERAGE(93,4)-((V259*V$5+W259*W$5)/(V$5+W$5)))*(V$5+W$5)-W260*W$5)/V$5</f>
        <v>178067.94475138126</v>
      </c>
      <c r="W260" s="53">
        <f>632254-70868+AVERAGE(7707,7630)+AVERAGE(1565,1555)+AVERAGE(93,4)-W259</f>
        <v>168463</v>
      </c>
      <c r="X260" s="53">
        <f>661430-75938+AVERAGE(7757,7630)+AVERAGE(1565,1648)+AVERAGE(93,74)-X259</f>
        <v>172071</v>
      </c>
      <c r="Y260" s="53">
        <f>673631-77758+AVERAGE(7530,7757)+AVERAGE(1661,1648)+AVERAGE(91,74)-Y259</f>
        <v>173804</v>
      </c>
      <c r="Z260" s="53">
        <f>678930-73522+AVERAGE(8415,7530)+AVERAGE(1921,1661)+AVERAGE(91,102)-Z259</f>
        <v>165942</v>
      </c>
      <c r="AA260" s="164">
        <f>690539-76760+AVERAGE(8415,8891)+AVERAGE(1921,1977)+AVERAGE(84,102)-AA259</f>
        <v>167287</v>
      </c>
      <c r="AB260" s="164">
        <f>718334-70390+AVERAGE(9197,8891)+AVERAGE(2465,1977)+AVERAGE(84,231)-AB259</f>
        <v>185382</v>
      </c>
      <c r="AC260" s="164">
        <f>748587-72838+AVERAGE(9197,9971)+AVERAGE(2465,2427)+AVERAGE(77,231)-AC259</f>
        <v>191762</v>
      </c>
      <c r="AD260" s="164">
        <f>766069-71697+AVERAGE(12078,9971)+AVERAGE(2768,2427)+AVERAGE(77,46)-AD259</f>
        <v>196515</v>
      </c>
      <c r="AE260" s="164">
        <f>818787-86677+AVERAGE(12568,12078)+AVERAGE(2768,2592)+AVERAGE(76,46)-AE259</f>
        <v>211721</v>
      </c>
      <c r="AF260" s="164">
        <f>853043-115817+AVERAGE(13699,12568)+AVERAGE(3170,2592)+AVERAGE(76,67)-AF259</f>
        <v>223096.99999999988</v>
      </c>
      <c r="AG260" s="164">
        <f>864303-134057+AVERAGE(13699,35164)+AVERAGE(3170,3345)+AVERAGE(65,67)-AG259</f>
        <v>216472</v>
      </c>
      <c r="AH260" s="164">
        <f>895992-148756+AVERAGE(37833,35164)+AVERAGE(3784,3345)+AVERAGE(64,65)-AH259</f>
        <v>223266</v>
      </c>
      <c r="AI260" s="164">
        <f>924964-160838+AVERAGE(41787,37833)+AVERAGE(3847,3784)+AVERAGE(49,64)-AI259</f>
        <v>225678</v>
      </c>
      <c r="AJ260" s="164">
        <f>906318-134326+AVERAGE(43929, 41787)+AVERAGE(4244,3847)+AVERAGE(59,49)-AJ259</f>
        <v>235088</v>
      </c>
      <c r="AK260" s="164">
        <f>914583-137929+AVERAGE(46082,43929)+AVERAGE(4418,4244)+AVERAGE(57,59)-AK259</f>
        <v>241419</v>
      </c>
      <c r="AL260" s="164">
        <f>764654+AVERAGE(46082,48081)+AVERAGE(5114,4418)+AVERAGE(35,57)-AL259</f>
        <v>224529</v>
      </c>
      <c r="AM260" s="164">
        <f>757518+AVERAGE(49274,46082)+AVERAGE(5286,5114)+AVERAGE(63,35)-AM259</f>
        <v>217522.5</v>
      </c>
      <c r="AN260" s="164">
        <f>763025+AVERAGE(56261,49274)+AVERAGE(6326,5286)+AVERAGE(40,63)-AN259</f>
        <v>212280</v>
      </c>
      <c r="AO260" s="164">
        <f>781037+AVERAGE(69143,56261)+AVERAGE(7588,6326)+AVERAGE(189,40)-AO259</f>
        <v>209225</v>
      </c>
      <c r="AP260" s="164">
        <f>776387+AVERAGE(84025,69143)+AVERAGE(9815,7588)+AVERAGE(51,189)-AP259</f>
        <v>185305</v>
      </c>
      <c r="AQ260" s="164">
        <f>776967+AVERAGE(103510,84025)+AVERAGE(10848,9815)+AVERAGE(58,51)-AQ259</f>
        <v>183772</v>
      </c>
      <c r="AR260" s="164">
        <f>827648+AVERAGE(122694,103510)+AVERAGE(13084,10848)+AVERAGE(43,58)-AR259</f>
        <v>220890</v>
      </c>
      <c r="AS260" s="164">
        <f>855976+AVERAGE(131828,122694)+AVERAGE(11898,13084)+AVERAGE(30,43)-AS259</f>
        <v>232648.00000000012</v>
      </c>
      <c r="AT260" s="164">
        <f>902053+AVERAGE(131828,120719)+AVERAGE(11898,11278)+AVERAGE(30,25)-AT259</f>
        <v>252055</v>
      </c>
      <c r="AU260" s="164">
        <f>935554+AVERAGE(110045,120719)+AVERAGE(9635,11278)+AVERAGE(21,25)-AU259</f>
        <v>261092</v>
      </c>
      <c r="AV260" s="164">
        <f>964706+AVERAGE(110045,102403)+AVERAGE(9635,9659)+AVERAGE(21,26)-AV259</f>
        <v>281182</v>
      </c>
      <c r="AW260" s="164">
        <f>978301+AVERAGE(101891,102403)+AVERAGE(8811,9659)+AVERAGE(33,26)-AW259</f>
        <v>280181</v>
      </c>
      <c r="AX260" s="164">
        <f>963596+AVERAGE(100962,100723)+AVERAGE(9368,8710)+AVERAGE(0,0)-AX259</f>
        <v>263385</v>
      </c>
      <c r="AY260" s="164">
        <f>1001160+AVERAGE(104810,100962)+AVERAGE(9729,9368)+AVERAGE(0,0)-AY259</f>
        <v>282099</v>
      </c>
      <c r="AZ260" s="171">
        <f>1053407+AVERAGE(104810,109282)+AVERAGE(9729,10367)+AVERAGE(0,0)-AZ259</f>
        <v>299832</v>
      </c>
      <c r="BA260" s="55">
        <f t="shared" ref="BA260:BE260" si="1837">BA262-BA261-BA259</f>
        <v>311508.65966908704</v>
      </c>
      <c r="BB260" s="55">
        <f t="shared" si="1837"/>
        <v>317550.62051088363</v>
      </c>
      <c r="BC260" s="55">
        <f t="shared" si="1837"/>
        <v>327083.07178029593</v>
      </c>
      <c r="BD260" s="55">
        <f t="shared" si="1837"/>
        <v>334930.70122105163</v>
      </c>
      <c r="BE260" s="55">
        <f t="shared" si="1837"/>
        <v>341410.26296691305</v>
      </c>
      <c r="BF260" s="55">
        <f t="shared" ref="BF260:BM260" si="1838">BF262-BF261-BF259</f>
        <v>348602.02876007208</v>
      </c>
      <c r="BG260" s="55">
        <f t="shared" si="1838"/>
        <v>350669.27529681032</v>
      </c>
      <c r="BH260" s="55">
        <f t="shared" si="1838"/>
        <v>353382.67861702968</v>
      </c>
      <c r="BI260" s="55">
        <f t="shared" si="1838"/>
        <v>355094.67519707</v>
      </c>
      <c r="BJ260" s="55">
        <f t="shared" si="1838"/>
        <v>361499.32773603895</v>
      </c>
      <c r="BK260" s="55">
        <f t="shared" si="1838"/>
        <v>368402.29489060189</v>
      </c>
      <c r="BL260" s="55">
        <f t="shared" si="1838"/>
        <v>375048.82187158428</v>
      </c>
      <c r="BM260" s="55">
        <f t="shared" si="1838"/>
        <v>381245.5085183077</v>
      </c>
      <c r="BN260" s="55">
        <f t="shared" ref="BN260:BO260" si="1839">BN262-BN261-BN259</f>
        <v>388159.86021889444</v>
      </c>
      <c r="BO260" s="55">
        <f t="shared" si="1839"/>
        <v>394545.51626696903</v>
      </c>
      <c r="BP260" s="55">
        <f t="shared" ref="BP260:BQ260" si="1840">BP262-BP261-BP259</f>
        <v>401654.94418598968</v>
      </c>
      <c r="BQ260" s="55">
        <f t="shared" si="1840"/>
        <v>408215.90693209274</v>
      </c>
      <c r="BR260" s="55"/>
      <c r="BS260" s="53">
        <f>63592.5+3631.5+24.9-BS259</f>
        <v>13957.799999999996</v>
      </c>
      <c r="BT260" s="53">
        <f>64744+3774.8+34.8-BT259</f>
        <v>9813.8999999999942</v>
      </c>
      <c r="BU260" s="53">
        <f>66672.8+3677.3+51.7-BU259</f>
        <v>9253</v>
      </c>
      <c r="BV260" s="53">
        <f>69300+3775+62-BV259</f>
        <v>10830</v>
      </c>
      <c r="BW260" s="53">
        <f>74879+3604+76-BW259</f>
        <v>12912</v>
      </c>
      <c r="BX260" s="53">
        <f>85296+3566+53-BX259</f>
        <v>14742</v>
      </c>
      <c r="BY260" s="53">
        <f>91650+3738+58-BY259</f>
        <v>15405</v>
      </c>
      <c r="BZ260" s="53">
        <f>103130+3952+76-BZ259</f>
        <v>17383</v>
      </c>
      <c r="CA260" s="53">
        <f>117075+4698+72-CA259</f>
        <v>23353</v>
      </c>
      <c r="CB260" s="53">
        <f>145978+6034+608-CB259</f>
        <v>38284</v>
      </c>
      <c r="CC260" s="55">
        <f t="shared" si="1792"/>
        <v>36909.19178082193</v>
      </c>
      <c r="CD260" s="55">
        <f t="shared" si="1793"/>
        <v>41970.923287671234</v>
      </c>
      <c r="CE260" s="55">
        <f t="shared" si="1794"/>
        <v>47729.15846994536</v>
      </c>
      <c r="CF260" s="55">
        <f t="shared" si="1795"/>
        <v>75693.408219178091</v>
      </c>
      <c r="CG260" s="164">
        <f>331421-64780+AVERAGE(5872,5823)+AVERAGE(1166,1155)-CG259</f>
        <v>106574</v>
      </c>
      <c r="CH260" s="164">
        <f>389527-64430+AVERAGE(6662,5872)+AVERAGE(1818,1166)-CH259</f>
        <v>127908</v>
      </c>
      <c r="CI260" s="164">
        <f>450332-74078+AVERAGE(6142,6662)+AVERAGE(1468,1818)-CI259</f>
        <v>135336</v>
      </c>
      <c r="CJ260" s="164">
        <f>589631-92256+AVERAGE(6142,7135)+AVERAGE(1468,1481)-CJ259</f>
        <v>159658</v>
      </c>
      <c r="CK260" s="164">
        <f>606883-75618+AVERAGE(7135,7236)+AVERAGE(1481,1554)+AVERAGE(0,4)-CK259</f>
        <v>164701</v>
      </c>
      <c r="CL260" s="164">
        <f>624036-64941+AVERAGE(7630,7236)+AVERAGE(1565,1554)+AVERAGE(93,4)-CL259</f>
        <v>173226</v>
      </c>
      <c r="CM260" s="164">
        <f>667497-76843+AVERAGE(7530,7630)+AVERAGE(1661,1565)+AVERAGE(91,93)-CM259</f>
        <v>172932</v>
      </c>
      <c r="CN260" s="164">
        <f>684686-75129+AVERAGE(7530,8891)+AVERAGE(1661,1977)+AVERAGE(91,84)-CN259</f>
        <v>166608</v>
      </c>
      <c r="CO260" s="164">
        <f>733337-71604+AVERAGE(9971,8891)+AVERAGE(2427,1977)+AVERAGE(77,84)-CO259</f>
        <v>188547</v>
      </c>
      <c r="CP260" s="164">
        <f>792209-79125+AVERAGE(9971,11339)+AVERAGE(2427,2592)+AVERAGE(77,76)-CP259</f>
        <v>203440.5</v>
      </c>
      <c r="CQ260" s="164">
        <f>858641-124887+AVERAGE(35164,12568)+AVERAGE(3345,2592)+AVERAGE(65,76)-CQ259</f>
        <v>219802</v>
      </c>
      <c r="CR260" s="164">
        <f>910358-154746+AVERAGE(41787,35164)+AVERAGE(3847,3784)+AVERAGE(49,64)-CR259</f>
        <v>224462</v>
      </c>
      <c r="CS260" s="164">
        <f>910417-136113+AVERAGE(46082,41787)+AVERAGE(4418,3847)+AVERAGE(57,49)-CS259</f>
        <v>238228</v>
      </c>
      <c r="CT260" s="164">
        <f>761115+AVERAGE(49274,46082)+AVERAGE(5286,4418)+AVERAGE(63,57)-CT259</f>
        <v>221213</v>
      </c>
      <c r="CU260" s="164">
        <f>771982+AVERAGE(49274,69143)+AVERAGE(5286,7588)+AVERAGE(63,189)-CU259</f>
        <v>210761</v>
      </c>
      <c r="CV260" s="164">
        <f>776967+AVERAGE(69143,103510)+AVERAGE(7588,10848)+AVERAGE(189,58)-CV259</f>
        <v>185631.26986301364</v>
      </c>
      <c r="CW260" s="164">
        <f>841695+AVERAGE(131828,103510)+AVERAGE(11898,10848)+AVERAGE(30,58)-CW259</f>
        <v>223156.11643835623</v>
      </c>
      <c r="CX260" s="164">
        <f>918666+AVERAGE(131828,110045)+AVERAGE(11898,9635)+AVERAGE(30,21)-CX259</f>
        <v>256238.14109589043</v>
      </c>
      <c r="CY260" s="164">
        <f>971466+AVERAGE(101891,102403)+AVERAGE(8811,9659)+AVERAGE(33,26)-CY259</f>
        <v>278374.86885245889</v>
      </c>
      <c r="CZ260" s="56">
        <f t="shared" si="1803"/>
        <v>272818.9068493151</v>
      </c>
      <c r="DA260" s="55">
        <f t="shared" si="1804"/>
        <v>305718.31610715622</v>
      </c>
      <c r="DB260" s="55">
        <f t="shared" si="1805"/>
        <v>322356.02060286136</v>
      </c>
      <c r="DC260" s="55">
        <f t="shared" si="1806"/>
        <v>338188.18581459951</v>
      </c>
      <c r="DD260" s="55">
        <f t="shared" si="1807"/>
        <v>349644.14756215381</v>
      </c>
      <c r="DE260" s="55">
        <f t="shared" si="1808"/>
        <v>354245.71250943356</v>
      </c>
      <c r="DF260" s="55">
        <f t="shared" si="1809"/>
        <v>364979.17967148987</v>
      </c>
      <c r="DG260" s="55">
        <f t="shared" si="1810"/>
        <v>378164.09603277862</v>
      </c>
      <c r="DH260" s="55">
        <f t="shared" si="1811"/>
        <v>391378.93066504708</v>
      </c>
      <c r="DI260" s="55">
        <f t="shared" si="1812"/>
        <v>404962.38841964159</v>
      </c>
    </row>
    <row r="261" spans="1:113" outlineLevel="1">
      <c r="A261" s="1" t="s">
        <v>922</v>
      </c>
      <c r="B261" s="19" t="s">
        <v>278</v>
      </c>
      <c r="C261" s="55">
        <f t="shared" ref="C261:L261" si="1841">C262-C259-C260</f>
        <v>7889</v>
      </c>
      <c r="D261" s="55">
        <f t="shared" si="1841"/>
        <v>7130</v>
      </c>
      <c r="E261" s="55">
        <f t="shared" si="1841"/>
        <v>7674</v>
      </c>
      <c r="F261" s="55">
        <f t="shared" si="1841"/>
        <v>6665</v>
      </c>
      <c r="G261" s="55">
        <f t="shared" si="1841"/>
        <v>9831</v>
      </c>
      <c r="H261" s="55">
        <f t="shared" si="1841"/>
        <v>9368</v>
      </c>
      <c r="I261" s="55">
        <f t="shared" si="1841"/>
        <v>11010.5</v>
      </c>
      <c r="J261" s="55">
        <f t="shared" si="1841"/>
        <v>9959</v>
      </c>
      <c r="K261" s="55">
        <f t="shared" si="1841"/>
        <v>11802.5</v>
      </c>
      <c r="L261" s="55">
        <f t="shared" si="1841"/>
        <v>11647.5</v>
      </c>
      <c r="M261" s="55">
        <f t="shared" ref="M261:X261" si="1842">M262-M259-M260</f>
        <v>12064.5</v>
      </c>
      <c r="N261" s="55">
        <f t="shared" si="1842"/>
        <v>12501.5</v>
      </c>
      <c r="O261" s="55">
        <f t="shared" si="1842"/>
        <v>12939.5</v>
      </c>
      <c r="P261" s="55">
        <f t="shared" si="1842"/>
        <v>13174.5</v>
      </c>
      <c r="Q261" s="55">
        <f t="shared" si="1842"/>
        <v>16455.5</v>
      </c>
      <c r="R261" s="55">
        <f t="shared" si="1842"/>
        <v>20281.5</v>
      </c>
      <c r="S261" s="55">
        <f t="shared" si="1842"/>
        <v>19999.5</v>
      </c>
      <c r="T261" s="55">
        <f t="shared" si="1842"/>
        <v>26571</v>
      </c>
      <c r="U261" s="55">
        <f t="shared" si="1842"/>
        <v>23111</v>
      </c>
      <c r="V261" s="55">
        <f t="shared" si="1842"/>
        <v>28589.911602209875</v>
      </c>
      <c r="W261" s="55">
        <f t="shared" si="1842"/>
        <v>29939</v>
      </c>
      <c r="X261" s="55">
        <f t="shared" si="1842"/>
        <v>28022.5</v>
      </c>
      <c r="Y261" s="55">
        <f t="shared" ref="Y261:AK261" si="1843">Y262-Y259-Y260</f>
        <v>31293.5</v>
      </c>
      <c r="Z261" s="55">
        <f t="shared" si="1843"/>
        <v>34126</v>
      </c>
      <c r="AA261" s="55">
        <f t="shared" si="1843"/>
        <v>33477</v>
      </c>
      <c r="AB261" s="55">
        <f t="shared" si="1843"/>
        <v>30739.5</v>
      </c>
      <c r="AC261" s="55">
        <f t="shared" si="1843"/>
        <v>32956</v>
      </c>
      <c r="AD261" s="55">
        <f t="shared" si="1843"/>
        <v>31216.5</v>
      </c>
      <c r="AE261" s="55">
        <f t="shared" si="1843"/>
        <v>25573</v>
      </c>
      <c r="AF261" s="55">
        <f t="shared" si="1843"/>
        <v>27609</v>
      </c>
      <c r="AG261" s="55">
        <f t="shared" si="1843"/>
        <v>42378</v>
      </c>
      <c r="AH261" s="55">
        <f t="shared" si="1843"/>
        <v>35694.5</v>
      </c>
      <c r="AI261" s="55">
        <f t="shared" si="1843"/>
        <v>38811</v>
      </c>
      <c r="AJ261" s="55">
        <f t="shared" si="1843"/>
        <v>32572.5</v>
      </c>
      <c r="AK261" s="55">
        <f t="shared" si="1843"/>
        <v>31001.5</v>
      </c>
      <c r="AL261" s="55">
        <f t="shared" ref="AL261:AQ261" si="1844">AL262-AL259-AL260</f>
        <v>54356.224888737663</v>
      </c>
      <c r="AM261" s="55">
        <f t="shared" si="1844"/>
        <v>61495.342171831173</v>
      </c>
      <c r="AN261" s="55">
        <f t="shared" si="1844"/>
        <v>60200</v>
      </c>
      <c r="AO261" s="55">
        <f t="shared" si="1844"/>
        <v>62328.5</v>
      </c>
      <c r="AP261" s="55">
        <f t="shared" si="1844"/>
        <v>61131.5</v>
      </c>
      <c r="AQ261" s="55">
        <f t="shared" si="1844"/>
        <v>55762.5</v>
      </c>
      <c r="AR261" s="55">
        <f t="shared" ref="AR261" si="1845">AR262-AR259-AR260</f>
        <v>55303.5</v>
      </c>
      <c r="AS261" s="55">
        <f t="shared" ref="AS261:AT261" si="1846">AS262-AS259-AS260</f>
        <v>50297.5</v>
      </c>
      <c r="AT261" s="55">
        <f t="shared" si="1846"/>
        <v>60085</v>
      </c>
      <c r="AU261" s="55">
        <f t="shared" ref="AU261:AV261" si="1847">AU262-AU259-AU260</f>
        <v>61251.5</v>
      </c>
      <c r="AV261" s="55">
        <f t="shared" si="1847"/>
        <v>60092.5</v>
      </c>
      <c r="AW261" s="55">
        <f t="shared" ref="AW261:AX261" si="1848">AW262-AW259-AW260</f>
        <v>58349.5</v>
      </c>
      <c r="AX261" s="55">
        <f t="shared" si="1848"/>
        <v>62381.5</v>
      </c>
      <c r="AY261" s="55">
        <f t="shared" ref="AY261:BE261" si="1849">AX261+AX515-AY635+SUM(AY621,AY623,AY626:AY628)</f>
        <v>62370.5</v>
      </c>
      <c r="AZ261" s="56">
        <f t="shared" si="1849"/>
        <v>64670.5</v>
      </c>
      <c r="BA261" s="55">
        <f t="shared" si="1849"/>
        <v>66548.297978017537</v>
      </c>
      <c r="BB261" s="55">
        <f t="shared" si="1849"/>
        <v>66091.33415804265</v>
      </c>
      <c r="BC261" s="55">
        <f t="shared" si="1849"/>
        <v>66406.857529557688</v>
      </c>
      <c r="BD261" s="55">
        <f t="shared" si="1849"/>
        <v>66262.656183499785</v>
      </c>
      <c r="BE261" s="55">
        <f t="shared" si="1849"/>
        <v>66535.192553038854</v>
      </c>
      <c r="BF261" s="55">
        <f t="shared" ref="BF261:BM261" si="1850">BE261+BE515-BF635+SUM(BF621,BF623,BF626:BF628)</f>
        <v>66421.392815776024</v>
      </c>
      <c r="BG261" s="55">
        <f t="shared" si="1850"/>
        <v>68105.266113302539</v>
      </c>
      <c r="BH261" s="55">
        <f t="shared" si="1850"/>
        <v>69334.652920775392</v>
      </c>
      <c r="BI261" s="55">
        <f t="shared" si="1850"/>
        <v>71061.23897204666</v>
      </c>
      <c r="BJ261" s="55">
        <f t="shared" si="1850"/>
        <v>72262.272881646073</v>
      </c>
      <c r="BK261" s="55">
        <f t="shared" si="1850"/>
        <v>74110.153052928392</v>
      </c>
      <c r="BL261" s="55">
        <f t="shared" si="1850"/>
        <v>75284.892060528669</v>
      </c>
      <c r="BM261" s="55">
        <f t="shared" si="1850"/>
        <v>77055.005045151192</v>
      </c>
      <c r="BN261" s="55">
        <f t="shared" ref="BN261" si="1851">BM261+BM515-BN635+SUM(BN621,BN623,BN626:BN628)</f>
        <v>78255.786293111873</v>
      </c>
      <c r="BO261" s="55">
        <f t="shared" ref="BO261" si="1852">BN261+BN515-BO635+SUM(BO621,BO623,BO626:BO628)</f>
        <v>80136.451131758658</v>
      </c>
      <c r="BP261" s="55">
        <f t="shared" ref="BP261" si="1853">BO261+BO515-BP635+SUM(BP621,BP623,BP626:BP628)</f>
        <v>81447.442695927253</v>
      </c>
      <c r="BQ261" s="55">
        <f t="shared" ref="BQ261" si="1854">BP261+BP515-BQ635+SUM(BQ621,BQ623,BQ626:BQ628)</f>
        <v>83463.96583767164</v>
      </c>
      <c r="BR261" s="55"/>
      <c r="BS261" s="55">
        <f t="shared" ref="BS261:CB261" si="1855">BS262-BS259-BS260</f>
        <v>4620.5</v>
      </c>
      <c r="BT261" s="55">
        <f t="shared" si="1855"/>
        <v>3789.5</v>
      </c>
      <c r="BU261" s="55">
        <f t="shared" si="1855"/>
        <v>4331.5</v>
      </c>
      <c r="BV261" s="55">
        <f t="shared" si="1855"/>
        <v>5324</v>
      </c>
      <c r="BW261" s="55">
        <f t="shared" si="1855"/>
        <v>7236</v>
      </c>
      <c r="BX261" s="55">
        <f t="shared" si="1855"/>
        <v>7248</v>
      </c>
      <c r="BY261" s="55">
        <f t="shared" si="1855"/>
        <v>6719</v>
      </c>
      <c r="BZ261" s="55">
        <f t="shared" si="1855"/>
        <v>7113</v>
      </c>
      <c r="CA261" s="55">
        <f t="shared" si="1855"/>
        <v>7318</v>
      </c>
      <c r="CB261" s="55">
        <f t="shared" si="1855"/>
        <v>7987</v>
      </c>
      <c r="CC261" s="55">
        <f t="shared" si="1792"/>
        <v>7404.2356164383564</v>
      </c>
      <c r="CD261" s="55">
        <f t="shared" si="1793"/>
        <v>8261.0109589041094</v>
      </c>
      <c r="CE261" s="55">
        <f t="shared" si="1794"/>
        <v>10193.737704918034</v>
      </c>
      <c r="CF261" s="55">
        <f t="shared" si="1795"/>
        <v>10888.326027397259</v>
      </c>
      <c r="CG261" s="55">
        <f t="shared" ref="CG261:CL261" si="1856">CG262-CG259-CG260</f>
        <v>12036</v>
      </c>
      <c r="CH261" s="55">
        <f t="shared" si="1856"/>
        <v>12980</v>
      </c>
      <c r="CI261" s="55">
        <f t="shared" si="1856"/>
        <v>14795</v>
      </c>
      <c r="CJ261" s="55">
        <f t="shared" si="1856"/>
        <v>20806</v>
      </c>
      <c r="CK261" s="55">
        <f t="shared" si="1856"/>
        <v>24732</v>
      </c>
      <c r="CL261" s="55">
        <f t="shared" si="1856"/>
        <v>29270</v>
      </c>
      <c r="CM261" s="55">
        <f t="shared" ref="CM261:CS261" si="1857">CM262-CM259-CM260</f>
        <v>29746</v>
      </c>
      <c r="CN261" s="55">
        <f t="shared" si="1857"/>
        <v>33963</v>
      </c>
      <c r="CO261" s="55">
        <f t="shared" si="1857"/>
        <v>31924.5</v>
      </c>
      <c r="CP261" s="55">
        <f t="shared" si="1857"/>
        <v>29547</v>
      </c>
      <c r="CQ261" s="55">
        <f t="shared" si="1857"/>
        <v>29937</v>
      </c>
      <c r="CR261" s="55">
        <f t="shared" si="1857"/>
        <v>36781.5</v>
      </c>
      <c r="CS261" s="55">
        <f t="shared" si="1857"/>
        <v>31840</v>
      </c>
      <c r="CT261" s="55">
        <f>CT262-CT259-CT260</f>
        <v>57713</v>
      </c>
      <c r="CU261" s="55">
        <f>CU262-CU259-CU260</f>
        <v>59655.5</v>
      </c>
      <c r="CV261" s="55">
        <f t="shared" si="1799"/>
        <v>58424.935616438357</v>
      </c>
      <c r="CW261" s="55">
        <f t="shared" si="1800"/>
        <v>52779.927397260275</v>
      </c>
      <c r="CX261" s="55">
        <f t="shared" si="1801"/>
        <v>60673.043835616438</v>
      </c>
      <c r="CY261" s="55">
        <f t="shared" si="1802"/>
        <v>59216.237704918036</v>
      </c>
      <c r="CZ261" s="56">
        <f t="shared" si="1803"/>
        <v>62375.954794520549</v>
      </c>
      <c r="DA261" s="55">
        <f t="shared" si="1804"/>
        <v>65617.115967000631</v>
      </c>
      <c r="DB261" s="55">
        <f t="shared" si="1805"/>
        <v>66250.39251518996</v>
      </c>
      <c r="DC261" s="55">
        <f t="shared" si="1806"/>
        <v>66399.669003158779</v>
      </c>
      <c r="DD261" s="55">
        <f t="shared" si="1807"/>
        <v>67270.249491789393</v>
      </c>
      <c r="DE261" s="55">
        <f t="shared" si="1808"/>
        <v>70205.041505525835</v>
      </c>
      <c r="DF261" s="55">
        <f t="shared" si="1809"/>
        <v>73193.806995388397</v>
      </c>
      <c r="DG261" s="55">
        <f t="shared" si="1810"/>
        <v>76174.784927114859</v>
      </c>
      <c r="DH261" s="55">
        <f t="shared" si="1811"/>
        <v>79203.847472046138</v>
      </c>
      <c r="DI261" s="55">
        <f t="shared" si="1812"/>
        <v>82463.991348203883</v>
      </c>
    </row>
    <row r="262" spans="1:113" s="24" customFormat="1" outlineLevel="1">
      <c r="A262" s="1" t="s">
        <v>923</v>
      </c>
      <c r="B262" s="24" t="s">
        <v>579</v>
      </c>
      <c r="C262" s="82">
        <f t="shared" ref="C262:L262" si="1858">C239</f>
        <v>163363</v>
      </c>
      <c r="D262" s="82">
        <f t="shared" si="1858"/>
        <v>168222</v>
      </c>
      <c r="E262" s="82">
        <f t="shared" si="1858"/>
        <v>173084</v>
      </c>
      <c r="F262" s="82">
        <f t="shared" si="1858"/>
        <v>183675</v>
      </c>
      <c r="G262" s="82">
        <f t="shared" si="1858"/>
        <v>192942</v>
      </c>
      <c r="H262" s="82">
        <f t="shared" si="1858"/>
        <v>204323</v>
      </c>
      <c r="I262" s="82">
        <f t="shared" si="1858"/>
        <v>224160</v>
      </c>
      <c r="J262" s="82">
        <f t="shared" si="1858"/>
        <v>246377</v>
      </c>
      <c r="K262" s="82">
        <f t="shared" si="1858"/>
        <v>260289</v>
      </c>
      <c r="L262" s="82">
        <f t="shared" si="1858"/>
        <v>277182</v>
      </c>
      <c r="M262" s="82">
        <f t="shared" ref="M262:AB262" si="1859">M239</f>
        <v>294328</v>
      </c>
      <c r="N262" s="82">
        <f t="shared" si="1859"/>
        <v>318515</v>
      </c>
      <c r="O262" s="82">
        <f t="shared" si="1859"/>
        <v>358683</v>
      </c>
      <c r="P262" s="82">
        <f t="shared" si="1859"/>
        <v>385224</v>
      </c>
      <c r="Q262" s="82">
        <f t="shared" si="1859"/>
        <v>413116</v>
      </c>
      <c r="R262" s="82">
        <f t="shared" si="1859"/>
        <v>512537</v>
      </c>
      <c r="S262" s="82">
        <f t="shared" si="1859"/>
        <v>540279</v>
      </c>
      <c r="T262" s="82">
        <f t="shared" si="1859"/>
        <v>559159</v>
      </c>
      <c r="U262" s="82">
        <f t="shared" si="1859"/>
        <v>570338</v>
      </c>
      <c r="V262" s="82">
        <f t="shared" si="1859"/>
        <v>594157.02762430941</v>
      </c>
      <c r="W262" s="82">
        <f t="shared" si="1859"/>
        <v>600602</v>
      </c>
      <c r="X262" s="82">
        <f t="shared" si="1859"/>
        <v>622898</v>
      </c>
      <c r="Y262" s="82">
        <f>Y239</f>
        <v>636547</v>
      </c>
      <c r="Z262" s="82">
        <f>Z239</f>
        <v>649394</v>
      </c>
      <c r="AA262" s="82">
        <f t="shared" si="1859"/>
        <v>657951</v>
      </c>
      <c r="AB262" s="82">
        <f t="shared" si="1859"/>
        <v>690106</v>
      </c>
      <c r="AC262" s="82">
        <f t="shared" ref="AC262:AK262" si="1860">AC239</f>
        <v>720889</v>
      </c>
      <c r="AD262" s="82">
        <f t="shared" si="1860"/>
        <v>739272</v>
      </c>
      <c r="AE262" s="82">
        <f t="shared" si="1860"/>
        <v>772747</v>
      </c>
      <c r="AF262" s="82">
        <f t="shared" si="1860"/>
        <v>780921</v>
      </c>
      <c r="AG262" s="82">
        <f t="shared" si="1860"/>
        <v>800379</v>
      </c>
      <c r="AH262" s="82">
        <f t="shared" si="1860"/>
        <v>823058</v>
      </c>
      <c r="AI262" s="82">
        <f t="shared" si="1860"/>
        <v>846619</v>
      </c>
      <c r="AJ262" s="82">
        <f t="shared" si="1860"/>
        <v>851522</v>
      </c>
      <c r="AK262" s="82">
        <f t="shared" si="1860"/>
        <v>857050</v>
      </c>
      <c r="AL262" s="82">
        <f t="shared" ref="AL262:AQ262" si="1861">AL239</f>
        <v>870903.72488873766</v>
      </c>
      <c r="AM262" s="82">
        <f t="shared" si="1861"/>
        <v>871940.34217183117</v>
      </c>
      <c r="AN262" s="82">
        <f t="shared" si="1861"/>
        <v>881850</v>
      </c>
      <c r="AO262" s="82">
        <f t="shared" si="1861"/>
        <v>913139</v>
      </c>
      <c r="AP262" s="82">
        <f t="shared" si="1861"/>
        <v>922924</v>
      </c>
      <c r="AQ262" s="82">
        <f t="shared" si="1861"/>
        <v>936883</v>
      </c>
      <c r="AR262" s="82">
        <f t="shared" ref="AR262" si="1862">AR239</f>
        <v>1008070</v>
      </c>
      <c r="AS262" s="82">
        <f t="shared" ref="AS262:AT262" si="1863">AS239</f>
        <v>1046062</v>
      </c>
      <c r="AT262" s="82">
        <f t="shared" si="1863"/>
        <v>1100027</v>
      </c>
      <c r="AU262" s="82">
        <f t="shared" ref="AU262:AV262" si="1864">AU239</f>
        <v>1122667</v>
      </c>
      <c r="AV262" s="82">
        <f t="shared" si="1864"/>
        <v>1140693</v>
      </c>
      <c r="AW262" s="82">
        <f t="shared" ref="AW262:AX262" si="1865">AW239</f>
        <v>1148062</v>
      </c>
      <c r="AX262" s="82">
        <f t="shared" si="1865"/>
        <v>1135859</v>
      </c>
      <c r="AY262" s="82">
        <f t="shared" ref="AY262:BE262" si="1866">AY239</f>
        <v>1171804</v>
      </c>
      <c r="AZ262" s="83">
        <f t="shared" ref="AZ262" si="1867">AZ239</f>
        <v>1232326</v>
      </c>
      <c r="BA262" s="82">
        <f t="shared" si="1866"/>
        <v>1281431.5893694169</v>
      </c>
      <c r="BB262" s="82">
        <f t="shared" si="1866"/>
        <v>1311298.5321265664</v>
      </c>
      <c r="BC262" s="82">
        <f t="shared" si="1866"/>
        <v>1344337.9212039346</v>
      </c>
      <c r="BD262" s="82">
        <f t="shared" si="1866"/>
        <v>1375812.5490959843</v>
      </c>
      <c r="BE262" s="82">
        <f t="shared" si="1866"/>
        <v>1406930.1270036707</v>
      </c>
      <c r="BF262" s="82">
        <f t="shared" ref="BF262:BM262" si="1868">BF239</f>
        <v>1438982.7098466593</v>
      </c>
      <c r="BG262" s="82">
        <f t="shared" si="1868"/>
        <v>1468332.8118876943</v>
      </c>
      <c r="BH262" s="82">
        <f t="shared" si="1868"/>
        <v>1498514.558777326</v>
      </c>
      <c r="BI262" s="82">
        <f t="shared" si="1868"/>
        <v>1524738.182590402</v>
      </c>
      <c r="BJ262" s="82">
        <f t="shared" si="1868"/>
        <v>1551592.8793127215</v>
      </c>
      <c r="BK262" s="82">
        <f t="shared" si="1868"/>
        <v>1581120.7225957701</v>
      </c>
      <c r="BL262" s="82">
        <f t="shared" si="1868"/>
        <v>1611223.1929155162</v>
      </c>
      <c r="BM262" s="82">
        <f t="shared" si="1868"/>
        <v>1641911.6229259616</v>
      </c>
      <c r="BN262" s="82">
        <f t="shared" ref="BN262:BO262" si="1869">BN239</f>
        <v>1673197.5705298202</v>
      </c>
      <c r="BO262" s="82">
        <f t="shared" si="1869"/>
        <v>1705092.8233758672</v>
      </c>
      <c r="BP262" s="82">
        <f t="shared" ref="BP262:BQ262" si="1870">BP239</f>
        <v>1737609.4034463202</v>
      </c>
      <c r="BQ262" s="82">
        <f t="shared" si="1870"/>
        <v>1770759.5717360487</v>
      </c>
      <c r="BR262" s="82"/>
      <c r="BS262" s="82">
        <f t="shared" ref="BS262:CB262" si="1871">BS239</f>
        <v>71869.399999999994</v>
      </c>
      <c r="BT262" s="82">
        <f t="shared" si="1871"/>
        <v>72343.100000000006</v>
      </c>
      <c r="BU262" s="82">
        <f t="shared" si="1871"/>
        <v>74733.3</v>
      </c>
      <c r="BV262" s="82">
        <f t="shared" si="1871"/>
        <v>78461</v>
      </c>
      <c r="BW262" s="82">
        <f t="shared" si="1871"/>
        <v>85795</v>
      </c>
      <c r="BX262" s="82">
        <f t="shared" si="1871"/>
        <v>96163</v>
      </c>
      <c r="BY262" s="82">
        <f t="shared" si="1871"/>
        <v>102165</v>
      </c>
      <c r="BZ262" s="82">
        <f t="shared" si="1871"/>
        <v>114271</v>
      </c>
      <c r="CA262" s="82">
        <f t="shared" si="1871"/>
        <v>129163</v>
      </c>
      <c r="CB262" s="82">
        <f t="shared" si="1871"/>
        <v>160607</v>
      </c>
      <c r="CC262" s="82">
        <f t="shared" si="1792"/>
        <v>170672.98082191779</v>
      </c>
      <c r="CD262" s="82">
        <f t="shared" si="1793"/>
        <v>188346.58356164381</v>
      </c>
      <c r="CE262" s="82">
        <f t="shared" si="1794"/>
        <v>214295.69945355193</v>
      </c>
      <c r="CF262" s="82">
        <f t="shared" si="1795"/>
        <v>253390.17260273971</v>
      </c>
      <c r="CG262" s="82">
        <f t="shared" ref="CG262:CL262" si="1872">CG239</f>
        <v>285685</v>
      </c>
      <c r="CH262" s="82">
        <f t="shared" si="1872"/>
        <v>345836</v>
      </c>
      <c r="CI262" s="82">
        <f t="shared" si="1872"/>
        <v>399094</v>
      </c>
      <c r="CJ262" s="82">
        <f t="shared" si="1872"/>
        <v>526294</v>
      </c>
      <c r="CK262" s="82">
        <f t="shared" si="1872"/>
        <v>564702</v>
      </c>
      <c r="CL262" s="82">
        <f t="shared" si="1872"/>
        <v>597406</v>
      </c>
      <c r="CM262" s="82">
        <f t="shared" ref="CM262:CS262" si="1873">CM239</f>
        <v>629685</v>
      </c>
      <c r="CN262" s="82">
        <f t="shared" si="1873"/>
        <v>653637</v>
      </c>
      <c r="CO262" s="82">
        <f t="shared" si="1873"/>
        <v>705371</v>
      </c>
      <c r="CP262" s="82">
        <f t="shared" si="1873"/>
        <v>755872</v>
      </c>
      <c r="CQ262" s="82">
        <f t="shared" si="1873"/>
        <v>790596</v>
      </c>
      <c r="CR262" s="82">
        <f t="shared" si="1873"/>
        <v>834741</v>
      </c>
      <c r="CS262" s="82">
        <f t="shared" si="1873"/>
        <v>854264</v>
      </c>
      <c r="CT262" s="82">
        <f>CT239</f>
        <v>871418</v>
      </c>
      <c r="CU262" s="82">
        <f>CU239</f>
        <v>897409</v>
      </c>
      <c r="CV262" s="82">
        <f t="shared" si="1799"/>
        <v>929960.8657534247</v>
      </c>
      <c r="CW262" s="82">
        <f t="shared" si="1800"/>
        <v>1027222.1315068492</v>
      </c>
      <c r="CX262" s="82">
        <f t="shared" si="1801"/>
        <v>1111440.0410958906</v>
      </c>
      <c r="CY262" s="82">
        <f t="shared" si="1802"/>
        <v>1144397.6338797815</v>
      </c>
      <c r="CZ262" s="83">
        <f t="shared" si="1803"/>
        <v>1153979.2191780822</v>
      </c>
      <c r="DA262" s="82">
        <f t="shared" si="1804"/>
        <v>1257080.5984766376</v>
      </c>
      <c r="DB262" s="82">
        <f t="shared" si="1805"/>
        <v>1327954.0049765273</v>
      </c>
      <c r="DC262" s="82">
        <f t="shared" si="1806"/>
        <v>1391456.3587544933</v>
      </c>
      <c r="DD262" s="82">
        <f t="shared" si="1807"/>
        <v>1453778.3777248797</v>
      </c>
      <c r="DE262" s="82">
        <f t="shared" si="1808"/>
        <v>1511734.139000904</v>
      </c>
      <c r="DF262" s="82">
        <f t="shared" si="1809"/>
        <v>1566478.1482554092</v>
      </c>
      <c r="DG262" s="82">
        <f t="shared" si="1810"/>
        <v>1626651.2560901663</v>
      </c>
      <c r="DH262" s="82">
        <f t="shared" si="1811"/>
        <v>1689276.2733344028</v>
      </c>
      <c r="DI262" s="82">
        <f t="shared" si="1812"/>
        <v>1754320.7211594982</v>
      </c>
    </row>
    <row r="263" spans="1:113" outlineLevel="1">
      <c r="C263" s="55"/>
      <c r="D263" s="55"/>
      <c r="E263" s="55"/>
      <c r="F263" s="55"/>
      <c r="G263" s="55"/>
      <c r="H263" s="55"/>
      <c r="I263" s="55"/>
      <c r="J263" s="55"/>
      <c r="K263" s="55"/>
      <c r="L263" s="55"/>
      <c r="M263" s="55"/>
      <c r="N263" s="55"/>
      <c r="O263" s="55"/>
      <c r="P263" s="55"/>
      <c r="Q263" s="55"/>
      <c r="R263" s="55"/>
      <c r="S263" s="55"/>
      <c r="T263" s="55"/>
      <c r="U263" s="55"/>
      <c r="V263" s="55"/>
      <c r="W263" s="55"/>
      <c r="X263" s="55"/>
      <c r="Y263" s="55"/>
      <c r="Z263" s="55"/>
      <c r="AA263" s="55"/>
      <c r="AB263" s="55"/>
      <c r="AC263" s="55"/>
      <c r="AD263" s="55"/>
      <c r="AE263" s="55"/>
      <c r="AF263" s="55"/>
      <c r="AG263" s="55"/>
      <c r="AH263" s="55"/>
      <c r="AI263" s="55"/>
      <c r="AJ263" s="55"/>
      <c r="AK263" s="55"/>
      <c r="AL263" s="55"/>
      <c r="AM263" s="55"/>
      <c r="AN263" s="55"/>
      <c r="AO263" s="55"/>
      <c r="AP263" s="55"/>
      <c r="AQ263" s="55"/>
      <c r="AR263" s="55"/>
      <c r="AS263" s="55"/>
      <c r="AT263" s="55"/>
      <c r="AU263" s="55"/>
      <c r="AV263" s="55"/>
      <c r="AW263" s="55"/>
      <c r="AX263" s="55"/>
      <c r="AY263" s="55"/>
      <c r="AZ263" s="56"/>
      <c r="BA263" s="55"/>
      <c r="BB263" s="55"/>
      <c r="BC263" s="55"/>
      <c r="BD263" s="55"/>
      <c r="BE263" s="55"/>
      <c r="BF263" s="55"/>
      <c r="BG263" s="55"/>
      <c r="BH263" s="55"/>
      <c r="BI263" s="55"/>
      <c r="BJ263" s="55"/>
      <c r="BK263" s="55"/>
      <c r="BL263" s="55"/>
      <c r="BM263" s="55"/>
      <c r="BN263" s="55"/>
      <c r="BO263" s="55"/>
      <c r="BP263" s="55"/>
      <c r="BQ263" s="55"/>
      <c r="BR263" s="55"/>
      <c r="BS263" s="55"/>
      <c r="BT263" s="55"/>
      <c r="BU263" s="55"/>
      <c r="BV263" s="55"/>
      <c r="BW263" s="55"/>
      <c r="BX263" s="55"/>
      <c r="BY263" s="55"/>
      <c r="BZ263" s="55"/>
      <c r="CA263" s="55"/>
      <c r="CB263" s="55"/>
      <c r="CC263" s="55"/>
      <c r="CD263" s="55"/>
      <c r="CE263" s="55"/>
      <c r="CF263" s="55"/>
      <c r="CG263" s="55"/>
      <c r="CH263" s="55"/>
      <c r="CI263" s="55"/>
      <c r="CJ263" s="55"/>
      <c r="CK263" s="55"/>
      <c r="CL263" s="55"/>
      <c r="CM263" s="55"/>
      <c r="CN263" s="55"/>
      <c r="CO263" s="55"/>
      <c r="CP263" s="55"/>
      <c r="CQ263" s="55"/>
      <c r="CR263" s="55"/>
      <c r="CS263" s="55"/>
      <c r="CT263" s="55"/>
      <c r="CU263" s="55"/>
      <c r="CV263" s="55"/>
      <c r="CW263" s="55"/>
      <c r="CX263" s="55"/>
      <c r="CY263" s="55"/>
      <c r="CZ263" s="56"/>
      <c r="DA263" s="55"/>
      <c r="DB263" s="55"/>
      <c r="DC263" s="55"/>
      <c r="DD263" s="55"/>
      <c r="DE263" s="55"/>
      <c r="DF263" s="55"/>
      <c r="DG263" s="55"/>
      <c r="DH263" s="55"/>
      <c r="DI263" s="55"/>
    </row>
    <row r="264" spans="1:113" s="24" customFormat="1" outlineLevel="1">
      <c r="A264" s="19"/>
      <c r="B264" s="24" t="s">
        <v>497</v>
      </c>
      <c r="C264" s="82"/>
      <c r="D264" s="82"/>
      <c r="E264" s="82"/>
      <c r="F264" s="82"/>
      <c r="G264" s="82"/>
      <c r="H264" s="82"/>
      <c r="I264" s="82"/>
      <c r="J264" s="82"/>
      <c r="K264" s="82"/>
      <c r="L264" s="82"/>
      <c r="M264" s="82"/>
      <c r="N264" s="82"/>
      <c r="O264" s="82"/>
      <c r="P264" s="82"/>
      <c r="Q264" s="82"/>
      <c r="R264" s="82"/>
      <c r="S264" s="82"/>
      <c r="T264" s="82"/>
      <c r="U264" s="82"/>
      <c r="V264" s="82"/>
      <c r="W264" s="82"/>
      <c r="X264" s="82"/>
      <c r="Y264" s="82"/>
      <c r="Z264" s="82"/>
      <c r="AA264" s="494"/>
      <c r="AB264" s="494"/>
      <c r="AC264" s="494"/>
      <c r="AD264" s="494"/>
      <c r="AE264" s="494"/>
      <c r="AF264" s="494"/>
      <c r="AG264" s="494"/>
      <c r="AH264" s="494"/>
      <c r="AI264" s="494"/>
      <c r="AJ264" s="494"/>
      <c r="AK264" s="494"/>
      <c r="AL264" s="494"/>
      <c r="AM264" s="494"/>
      <c r="AN264" s="494"/>
      <c r="AO264" s="494"/>
      <c r="AP264" s="494"/>
      <c r="AQ264" s="494"/>
      <c r="AR264" s="494"/>
      <c r="AS264" s="494"/>
      <c r="AT264" s="494"/>
      <c r="AU264" s="494"/>
      <c r="AV264" s="494"/>
      <c r="AW264" s="494"/>
      <c r="AX264" s="494"/>
      <c r="AY264" s="494"/>
      <c r="AZ264" s="389"/>
      <c r="BA264" s="384"/>
      <c r="BB264" s="384"/>
      <c r="BC264" s="384"/>
      <c r="BD264" s="384"/>
      <c r="BE264" s="384"/>
      <c r="BF264" s="384"/>
      <c r="BG264" s="384"/>
      <c r="BH264" s="384"/>
      <c r="BI264" s="384"/>
      <c r="BJ264" s="384"/>
      <c r="BK264" s="384"/>
      <c r="BL264" s="795"/>
      <c r="BM264" s="795"/>
      <c r="BN264" s="795"/>
      <c r="BO264" s="795"/>
      <c r="BP264" s="795"/>
      <c r="BQ264" s="795"/>
      <c r="BR264" s="82"/>
      <c r="BS264" s="82"/>
      <c r="BT264" s="82"/>
      <c r="BU264" s="82"/>
      <c r="BV264" s="82"/>
      <c r="BW264" s="82"/>
      <c r="BX264" s="82"/>
      <c r="BY264" s="82"/>
      <c r="BZ264" s="82"/>
      <c r="CA264" s="82"/>
      <c r="CB264" s="82"/>
      <c r="CC264" s="82"/>
      <c r="CD264" s="82"/>
      <c r="CE264" s="82"/>
      <c r="CF264" s="82"/>
      <c r="CG264" s="82"/>
      <c r="CH264" s="82"/>
      <c r="CI264" s="82"/>
      <c r="CJ264" s="82"/>
      <c r="CK264" s="82"/>
      <c r="CL264" s="82"/>
      <c r="CM264" s="82"/>
      <c r="CN264" s="82"/>
      <c r="CO264" s="82"/>
      <c r="CP264" s="82"/>
      <c r="CQ264" s="82"/>
      <c r="CR264" s="82"/>
      <c r="CS264" s="82"/>
      <c r="CT264" s="82"/>
      <c r="CU264" s="82"/>
      <c r="CV264" s="82"/>
      <c r="CW264" s="82"/>
      <c r="CX264" s="82"/>
      <c r="CY264" s="82"/>
      <c r="CZ264" s="83"/>
      <c r="DA264" s="82"/>
      <c r="DB264" s="82"/>
      <c r="DC264" s="82"/>
      <c r="DD264" s="82"/>
      <c r="DE264" s="82"/>
      <c r="DF264" s="82"/>
      <c r="DG264" s="82"/>
      <c r="DH264" s="82"/>
      <c r="DI264" s="82"/>
    </row>
    <row r="265" spans="1:113" outlineLevel="1">
      <c r="A265" s="1" t="s">
        <v>292</v>
      </c>
      <c r="B265" s="19" t="s">
        <v>433</v>
      </c>
      <c r="C265" s="55">
        <f t="shared" ref="C265:L267" si="1874">AVERAGE(B208:C208)</f>
        <v>21378</v>
      </c>
      <c r="D265" s="55">
        <f t="shared" si="1874"/>
        <v>25098.5</v>
      </c>
      <c r="E265" s="55">
        <f t="shared" si="1874"/>
        <v>30180</v>
      </c>
      <c r="F265" s="55">
        <f t="shared" si="1874"/>
        <v>27735</v>
      </c>
      <c r="G265" s="55">
        <f t="shared" si="1874"/>
        <v>23393.5</v>
      </c>
      <c r="H265" s="55">
        <f t="shared" si="1874"/>
        <v>25073</v>
      </c>
      <c r="I265" s="55">
        <f t="shared" si="1874"/>
        <v>25390</v>
      </c>
      <c r="J265" s="55">
        <f t="shared" si="1874"/>
        <v>23356.5</v>
      </c>
      <c r="K265" s="55">
        <f t="shared" si="1874"/>
        <v>23090</v>
      </c>
      <c r="L265" s="55">
        <f t="shared" si="1874"/>
        <v>22088</v>
      </c>
      <c r="M265" s="55">
        <f t="shared" ref="M265:T267" si="1875">AVERAGE(L208:M208)</f>
        <v>21004.5</v>
      </c>
      <c r="N265" s="55">
        <f t="shared" si="1875"/>
        <v>21760.5</v>
      </c>
      <c r="O265" s="55">
        <f t="shared" si="1875"/>
        <v>22171</v>
      </c>
      <c r="P265" s="55">
        <f t="shared" si="1875"/>
        <v>21142</v>
      </c>
      <c r="Q265" s="55">
        <f t="shared" si="1875"/>
        <v>19583</v>
      </c>
      <c r="R265" s="55">
        <f t="shared" si="1875"/>
        <v>17696</v>
      </c>
      <c r="S265" s="55">
        <f t="shared" si="1875"/>
        <v>16476.5</v>
      </c>
      <c r="T265" s="55">
        <f t="shared" si="1875"/>
        <v>16164</v>
      </c>
      <c r="U265" s="55">
        <f t="shared" ref="U265:X266" si="1876">AVERAGE(T208:U208)</f>
        <v>15432</v>
      </c>
      <c r="V265" s="55">
        <f t="shared" si="1876"/>
        <v>14345.5</v>
      </c>
      <c r="W265" s="55">
        <f t="shared" si="1876"/>
        <v>13875.5</v>
      </c>
      <c r="X265" s="55">
        <f t="shared" si="1876"/>
        <v>13266.5</v>
      </c>
      <c r="Y265" s="55">
        <f>AVERAGE(X208:Y208)</f>
        <v>12937.5</v>
      </c>
      <c r="Z265" s="55">
        <f>AVERAGE(Y208:Z208)</f>
        <v>13013</v>
      </c>
      <c r="AA265" s="55">
        <f t="shared" ref="AA265:AK266" si="1877">AVERAGE(Z208:AA208)</f>
        <v>13018</v>
      </c>
      <c r="AB265" s="55">
        <f t="shared" si="1877"/>
        <v>13072</v>
      </c>
      <c r="AC265" s="55">
        <f t="shared" si="1877"/>
        <v>13153</v>
      </c>
      <c r="AD265" s="55">
        <f t="shared" si="1877"/>
        <v>13171.5</v>
      </c>
      <c r="AE265" s="55">
        <f t="shared" si="1877"/>
        <v>13044</v>
      </c>
      <c r="AF265" s="55">
        <f t="shared" si="1877"/>
        <v>12761</v>
      </c>
      <c r="AG265" s="55">
        <f t="shared" si="1877"/>
        <v>12623.5</v>
      </c>
      <c r="AH265" s="55">
        <f t="shared" si="1877"/>
        <v>12512</v>
      </c>
      <c r="AI265" s="55">
        <f t="shared" si="1877"/>
        <v>12203</v>
      </c>
      <c r="AJ265" s="55">
        <f t="shared" si="1877"/>
        <v>6249.5</v>
      </c>
      <c r="AK265" s="55">
        <f t="shared" si="1877"/>
        <v>466</v>
      </c>
      <c r="AL265" s="164">
        <v>0</v>
      </c>
      <c r="AM265" s="164">
        <v>0</v>
      </c>
      <c r="AN265" s="164">
        <v>0</v>
      </c>
      <c r="AO265" s="164">
        <v>0</v>
      </c>
      <c r="AP265" s="164">
        <v>0</v>
      </c>
      <c r="AQ265" s="164">
        <v>0</v>
      </c>
      <c r="AR265" s="164">
        <v>0</v>
      </c>
      <c r="AS265" s="164">
        <v>0</v>
      </c>
      <c r="AT265" s="164">
        <v>0</v>
      </c>
      <c r="AU265" s="164">
        <v>0</v>
      </c>
      <c r="AV265" s="164">
        <v>0</v>
      </c>
      <c r="AW265" s="164">
        <v>0</v>
      </c>
      <c r="AX265" s="164">
        <v>0</v>
      </c>
      <c r="AY265" s="164">
        <v>0</v>
      </c>
      <c r="AZ265" s="171">
        <v>0</v>
      </c>
      <c r="BA265" s="55">
        <f t="shared" ref="BA265:BE265" si="1878">AVERAGE(AZ208:BA208)</f>
        <v>0</v>
      </c>
      <c r="BB265" s="55">
        <f t="shared" si="1878"/>
        <v>0</v>
      </c>
      <c r="BC265" s="55">
        <f t="shared" si="1878"/>
        <v>0</v>
      </c>
      <c r="BD265" s="55">
        <f t="shared" si="1878"/>
        <v>0</v>
      </c>
      <c r="BE265" s="55">
        <f t="shared" si="1878"/>
        <v>0</v>
      </c>
      <c r="BF265" s="55">
        <f t="shared" ref="BF265:BM266" si="1879">AVERAGE(BE208:BF208)</f>
        <v>0</v>
      </c>
      <c r="BG265" s="55">
        <f t="shared" si="1879"/>
        <v>0</v>
      </c>
      <c r="BH265" s="55">
        <f t="shared" si="1879"/>
        <v>0</v>
      </c>
      <c r="BI265" s="55">
        <f t="shared" si="1879"/>
        <v>0</v>
      </c>
      <c r="BJ265" s="55">
        <f t="shared" si="1879"/>
        <v>0</v>
      </c>
      <c r="BK265" s="55">
        <f t="shared" si="1879"/>
        <v>0</v>
      </c>
      <c r="BL265" s="55">
        <f t="shared" si="1879"/>
        <v>0</v>
      </c>
      <c r="BM265" s="55">
        <f t="shared" si="1879"/>
        <v>0</v>
      </c>
      <c r="BN265" s="55">
        <f t="shared" ref="BN265:BN266" si="1880">AVERAGE(BM208:BN208)</f>
        <v>0</v>
      </c>
      <c r="BO265" s="55">
        <f t="shared" ref="BO265:BO266" si="1881">AVERAGE(BN208:BO208)</f>
        <v>0</v>
      </c>
      <c r="BP265" s="55">
        <f t="shared" ref="BP265:BP266" si="1882">AVERAGE(BO208:BP208)</f>
        <v>0</v>
      </c>
      <c r="BQ265" s="55">
        <f t="shared" ref="BQ265:BQ266" si="1883">AVERAGE(BP208:BQ208)</f>
        <v>0</v>
      </c>
      <c r="BR265" s="55"/>
      <c r="BS265" s="55">
        <f t="shared" ref="BS265:CB267" si="1884">AVERAGE(BR208:BS208)</f>
        <v>0</v>
      </c>
      <c r="BT265" s="55">
        <f t="shared" si="1884"/>
        <v>0</v>
      </c>
      <c r="BU265" s="55">
        <f t="shared" si="1884"/>
        <v>0</v>
      </c>
      <c r="BV265" s="55">
        <f t="shared" si="1884"/>
        <v>0</v>
      </c>
      <c r="BW265" s="55">
        <f t="shared" si="1884"/>
        <v>0</v>
      </c>
      <c r="BX265" s="55">
        <f t="shared" si="1884"/>
        <v>0</v>
      </c>
      <c r="BY265" s="55">
        <f t="shared" si="1884"/>
        <v>0</v>
      </c>
      <c r="BZ265" s="55">
        <f t="shared" si="1884"/>
        <v>0</v>
      </c>
      <c r="CA265" s="55">
        <f t="shared" si="1884"/>
        <v>12641</v>
      </c>
      <c r="CB265" s="55">
        <f t="shared" si="1884"/>
        <v>26155.5</v>
      </c>
      <c r="CC265" s="55">
        <f>SUMPRODUCT(D265:E265,D$5:E$5)/SUM(D$5:E$5)</f>
        <v>27660.13287671233</v>
      </c>
      <c r="CD265" s="55">
        <f>SUMPRODUCT(F265:G265,F$5:G$5)/SUM(F$5:G$5)</f>
        <v>25546.40821917808</v>
      </c>
      <c r="CE265" s="55">
        <f>SUMPRODUCT(H265:I265,H$5:I$5)/SUM(H$5:I$5)</f>
        <v>25232.366120218579</v>
      </c>
      <c r="CF265" s="55">
        <f>SUMPRODUCT(J265:K265,J$5:K$5)/SUM(J$5:K$5)</f>
        <v>23222.154794520549</v>
      </c>
      <c r="CG265" s="55">
        <f>SUMPRODUCT(L265:M265,L$5:M$5)/SUM(L$5:M$5)</f>
        <v>21541.797260273972</v>
      </c>
      <c r="CH265" s="55">
        <f>SUMPRODUCT(N265:O265,N$5:O$5)/SUM(N$5:O$5)</f>
        <v>21967.436986301367</v>
      </c>
      <c r="CI265" s="55">
        <f>SUMPRODUCT(P265:Q265,P$5:Q$5)/SUM(P$5:Q$5)</f>
        <v>20358.240437158471</v>
      </c>
      <c r="CJ265" s="55">
        <f>SUMPRODUCT(R265:S265,R$5:S$5)/SUM(R$5:S$5)</f>
        <v>17081.238356164384</v>
      </c>
      <c r="CK265" s="55">
        <f>SUMPRODUCT(T265:U265,T$5:U$5)/SUM(T$5:U$5)</f>
        <v>15794.991780821918</v>
      </c>
      <c r="CL265" s="55">
        <f>SUMPRODUCT(V265:W265,V$5:W$5)/SUM(V$5:W$5)</f>
        <v>14108.568493150686</v>
      </c>
      <c r="CM265" s="55">
        <f>SUMPRODUCT(X265:Y265,X$5:Y$5)/SUM(X$5:Y$5)</f>
        <v>13101.101092896175</v>
      </c>
      <c r="CN265" s="55">
        <f>SUMPRODUCT(Z265:AA265,Z$5:AA$5)/SUM(Z$5:AA$5)</f>
        <v>13015.520547945205</v>
      </c>
      <c r="CO265" s="55">
        <f>SUMPRODUCT(AB265:AC265,AB$5:AC$5)/SUM(AB$5:AC$5)</f>
        <v>13112.832876712329</v>
      </c>
      <c r="CP265" s="55">
        <f t="shared" ref="CP265:CS267" si="1885">SUMPRODUCT(AD265:AE265,AD$5:AE$5)/SUM(AD$5:AE$5)</f>
        <v>13107.226027397259</v>
      </c>
      <c r="CQ265" s="55">
        <f t="shared" si="1885"/>
        <v>12903.469454147489</v>
      </c>
      <c r="CR265" s="55">
        <f t="shared" si="1885"/>
        <v>12691.874316939891</v>
      </c>
      <c r="CS265" s="55">
        <f t="shared" si="1885"/>
        <v>12568.130907351204</v>
      </c>
      <c r="CT265" s="164">
        <v>0</v>
      </c>
      <c r="CU265" s="164">
        <v>0</v>
      </c>
      <c r="CV265" s="55">
        <f>SUMPRODUCT(AP265:AQ265,AP$5:AQ$5)/SUM(AP$5:AQ$5)</f>
        <v>0</v>
      </c>
      <c r="CW265" s="55">
        <f>SUMPRODUCT(AR265:AS265,AR$5:AS$5)/SUM(AR$5:AS$5)</f>
        <v>0</v>
      </c>
      <c r="CX265" s="55">
        <f>SUMPRODUCT(AT265:AU265,AT$5:AU$5)/SUM(AT$5:AU$5)</f>
        <v>0</v>
      </c>
      <c r="CY265" s="55">
        <f>SUMPRODUCT(AV265:AW265,AV$5:AW$5)/SUM(AV$5:AW$5)</f>
        <v>0</v>
      </c>
      <c r="CZ265" s="56">
        <f>SUMPRODUCT(AX265:AY265,AX$5:AY$5)/SUM(AX$5:AY$5)</f>
        <v>0</v>
      </c>
      <c r="DA265" s="55">
        <f>SUMPRODUCT(AZ265:BA265,AZ$5:BA$5)/SUM(AZ$5:BA$5)</f>
        <v>0</v>
      </c>
      <c r="DB265" s="55">
        <f>SUMPRODUCT(BB265:BC265,BB$5:BC$5)/SUM(BB$5:BC$5)</f>
        <v>0</v>
      </c>
      <c r="DC265" s="55">
        <f>SUMPRODUCT(BD265:BE265,BD$5:BE$5)/SUM(BD$5:BE$5)</f>
        <v>0</v>
      </c>
      <c r="DD265" s="55">
        <f>SUMPRODUCT(BF265:BG265,BF$5:BG$5)/SUM(BF$5:BG$5)</f>
        <v>0</v>
      </c>
      <c r="DE265" s="55">
        <f>SUMPRODUCT(BH265:BI265,BH$5:BI$5)/SUM(BH$5:BI$5)</f>
        <v>0</v>
      </c>
      <c r="DF265" s="55">
        <f>SUMPRODUCT(BJ265:BK265,BJ$5:BK$5)/SUM(BJ$5:BK$5)</f>
        <v>0</v>
      </c>
      <c r="DG265" s="55">
        <f>SUMPRODUCT(BL265:BM265,BL$5:BM$5)/SUM(BL$5:BM$5)</f>
        <v>0</v>
      </c>
      <c r="DH265" s="55">
        <f>SUMPRODUCT(BN265:BO265,BN$5:BO$5)/SUM(BN$5:BO$5)</f>
        <v>0</v>
      </c>
      <c r="DI265" s="55">
        <f>SUMPRODUCT(BP265:BQ265,BP$5:BQ$5)/SUM(BP$5:BQ$5)</f>
        <v>0</v>
      </c>
    </row>
    <row r="266" spans="1:113" outlineLevel="1">
      <c r="A266" s="1" t="s">
        <v>293</v>
      </c>
      <c r="B266" s="19" t="s">
        <v>434</v>
      </c>
      <c r="C266" s="55">
        <f>AVERAGE(C209:D209)</f>
        <v>78528.5</v>
      </c>
      <c r="D266" s="55">
        <f>AVERAGE(D209:E209)</f>
        <v>78793</v>
      </c>
      <c r="E266" s="55">
        <f>AVERAGE(E209:F209)</f>
        <v>74390</v>
      </c>
      <c r="F266" s="55">
        <f>AVERAGE(F209:F209)</f>
        <v>71297</v>
      </c>
      <c r="G266" s="55">
        <f>AVERAGE(G209:G209)</f>
        <v>76422</v>
      </c>
      <c r="H266" s="55">
        <f t="shared" si="1874"/>
        <v>77330</v>
      </c>
      <c r="I266" s="55">
        <f t="shared" si="1874"/>
        <v>82314.5</v>
      </c>
      <c r="J266" s="55">
        <f t="shared" si="1874"/>
        <v>90305</v>
      </c>
      <c r="K266" s="55">
        <f t="shared" si="1874"/>
        <v>97162</v>
      </c>
      <c r="L266" s="55">
        <f t="shared" si="1874"/>
        <v>107931</v>
      </c>
      <c r="M266" s="55">
        <f t="shared" ref="M266:T266" si="1886">AVERAGE(L209:M209)</f>
        <v>123239</v>
      </c>
      <c r="N266" s="55">
        <f t="shared" si="1886"/>
        <v>134368</v>
      </c>
      <c r="O266" s="55">
        <f t="shared" si="1886"/>
        <v>142606</v>
      </c>
      <c r="P266" s="55">
        <f t="shared" si="1886"/>
        <v>163180</v>
      </c>
      <c r="Q266" s="55">
        <f t="shared" si="1886"/>
        <v>172819</v>
      </c>
      <c r="R266" s="55">
        <f t="shared" si="1886"/>
        <v>154172.5</v>
      </c>
      <c r="S266" s="55">
        <f t="shared" si="1886"/>
        <v>147512</v>
      </c>
      <c r="T266" s="55">
        <f t="shared" si="1886"/>
        <v>161290.5</v>
      </c>
      <c r="U266" s="55">
        <f t="shared" si="1876"/>
        <v>167224.5</v>
      </c>
      <c r="V266" s="55">
        <f t="shared" si="1876"/>
        <v>171188.5</v>
      </c>
      <c r="W266" s="55">
        <f t="shared" si="1876"/>
        <v>176107</v>
      </c>
      <c r="X266" s="55">
        <f t="shared" si="1876"/>
        <v>173011.5</v>
      </c>
      <c r="Y266" s="55">
        <f>AVERAGE(X209:Y209)</f>
        <v>177184.5</v>
      </c>
      <c r="Z266" s="55">
        <f>AVERAGE(Y209:Z209)</f>
        <v>167169.5</v>
      </c>
      <c r="AA266" s="55">
        <f t="shared" si="1877"/>
        <v>189241</v>
      </c>
      <c r="AB266" s="55">
        <f t="shared" ref="AB266:AK266" si="1887">AVERAGE(AA209:AB209)</f>
        <v>237314</v>
      </c>
      <c r="AC266" s="55">
        <f t="shared" si="1887"/>
        <v>243798.5</v>
      </c>
      <c r="AD266" s="55">
        <f t="shared" si="1887"/>
        <v>177624.5</v>
      </c>
      <c r="AE266" s="55">
        <f t="shared" si="1887"/>
        <v>116962</v>
      </c>
      <c r="AF266" s="55">
        <f t="shared" si="1887"/>
        <v>120928.5</v>
      </c>
      <c r="AG266" s="55">
        <f t="shared" si="1887"/>
        <v>123015</v>
      </c>
      <c r="AH266" s="55">
        <f t="shared" si="1887"/>
        <v>125798.5</v>
      </c>
      <c r="AI266" s="55">
        <f t="shared" si="1887"/>
        <v>131596</v>
      </c>
      <c r="AJ266" s="55">
        <f t="shared" si="1887"/>
        <v>138973.5</v>
      </c>
      <c r="AK266" s="55">
        <f t="shared" si="1887"/>
        <v>145367.5</v>
      </c>
      <c r="AL266" s="55">
        <f t="shared" ref="AL266:AQ266" si="1888">+AL267-AL265</f>
        <v>14202.978632747992</v>
      </c>
      <c r="AM266" s="55">
        <f t="shared" si="1888"/>
        <v>14463.901143368588</v>
      </c>
      <c r="AN266" s="55">
        <f t="shared" si="1888"/>
        <v>15332</v>
      </c>
      <c r="AO266" s="55">
        <f t="shared" si="1888"/>
        <v>0</v>
      </c>
      <c r="AP266" s="55">
        <f t="shared" si="1888"/>
        <v>0</v>
      </c>
      <c r="AQ266" s="55">
        <f t="shared" si="1888"/>
        <v>0</v>
      </c>
      <c r="AR266" s="55">
        <f t="shared" ref="AR266" si="1889">+AR267-AR265</f>
        <v>0</v>
      </c>
      <c r="AS266" s="55">
        <f t="shared" ref="AS266:AT266" si="1890">+AS267-AS265</f>
        <v>0</v>
      </c>
      <c r="AT266" s="55">
        <f t="shared" si="1890"/>
        <v>0</v>
      </c>
      <c r="AU266" s="55">
        <f t="shared" ref="AU266:AV266" si="1891">+AU267-AU265</f>
        <v>0</v>
      </c>
      <c r="AV266" s="55">
        <f t="shared" si="1891"/>
        <v>0</v>
      </c>
      <c r="AW266" s="55">
        <f t="shared" ref="AW266:AX266" si="1892">+AW267-AW265</f>
        <v>0</v>
      </c>
      <c r="AX266" s="55">
        <f t="shared" si="1892"/>
        <v>0</v>
      </c>
      <c r="AY266" s="55">
        <f t="shared" ref="AY266:AZ266" si="1893">+AY267-AY265</f>
        <v>0</v>
      </c>
      <c r="AZ266" s="56">
        <f t="shared" si="1893"/>
        <v>0</v>
      </c>
      <c r="BA266" s="55">
        <f t="shared" ref="BA266:BE266" si="1894">AVERAGE(AZ209:BA209)</f>
        <v>0</v>
      </c>
      <c r="BB266" s="55">
        <f t="shared" si="1894"/>
        <v>0</v>
      </c>
      <c r="BC266" s="55">
        <f t="shared" si="1894"/>
        <v>0</v>
      </c>
      <c r="BD266" s="55">
        <f t="shared" si="1894"/>
        <v>0</v>
      </c>
      <c r="BE266" s="55">
        <f t="shared" si="1894"/>
        <v>0</v>
      </c>
      <c r="BF266" s="55">
        <f t="shared" si="1879"/>
        <v>0</v>
      </c>
      <c r="BG266" s="55">
        <f t="shared" si="1879"/>
        <v>0</v>
      </c>
      <c r="BH266" s="55">
        <f t="shared" si="1879"/>
        <v>0</v>
      </c>
      <c r="BI266" s="55">
        <f t="shared" si="1879"/>
        <v>0</v>
      </c>
      <c r="BJ266" s="55">
        <f t="shared" si="1879"/>
        <v>0</v>
      </c>
      <c r="BK266" s="55">
        <f t="shared" si="1879"/>
        <v>0</v>
      </c>
      <c r="BL266" s="55">
        <f t="shared" si="1879"/>
        <v>0</v>
      </c>
      <c r="BM266" s="55">
        <f t="shared" si="1879"/>
        <v>0</v>
      </c>
      <c r="BN266" s="55">
        <f t="shared" si="1880"/>
        <v>0</v>
      </c>
      <c r="BO266" s="55">
        <f t="shared" si="1881"/>
        <v>0</v>
      </c>
      <c r="BP266" s="55">
        <f t="shared" si="1882"/>
        <v>0</v>
      </c>
      <c r="BQ266" s="55">
        <f t="shared" si="1883"/>
        <v>0</v>
      </c>
      <c r="BR266" s="55"/>
      <c r="BS266" s="55">
        <f t="shared" si="1884"/>
        <v>11900</v>
      </c>
      <c r="BT266" s="55">
        <f t="shared" si="1884"/>
        <v>12400</v>
      </c>
      <c r="BU266" s="55">
        <f t="shared" si="1884"/>
        <v>13600</v>
      </c>
      <c r="BV266" s="55">
        <f t="shared" si="1884"/>
        <v>14250</v>
      </c>
      <c r="BW266" s="55">
        <f t="shared" si="1884"/>
        <v>14271.5</v>
      </c>
      <c r="BX266" s="55">
        <f t="shared" si="1884"/>
        <v>18171.5</v>
      </c>
      <c r="BY266" s="55">
        <f t="shared" si="1884"/>
        <v>24600</v>
      </c>
      <c r="BZ266" s="55">
        <f t="shared" si="1884"/>
        <v>27365.5</v>
      </c>
      <c r="CA266" s="55">
        <f t="shared" si="1884"/>
        <v>45215.5</v>
      </c>
      <c r="CB266" s="55">
        <f t="shared" si="1884"/>
        <v>68676</v>
      </c>
      <c r="CC266" s="55">
        <f>SUMPRODUCT(D266:E266,D$5:E$5)/SUM(D$5:E$5)</f>
        <v>76573.405479452049</v>
      </c>
      <c r="CD266" s="55">
        <f>SUMPRODUCT(F266:G266,F$5:G$5)/SUM(F$5:G$5)</f>
        <v>73880.561643835608</v>
      </c>
      <c r="CE266" s="55">
        <f>SUMPRODUCT(H266:I266,H$5:I$5)/SUM(H$5:I$5)</f>
        <v>79835.868852459025</v>
      </c>
      <c r="CF266" s="55">
        <f>SUMPRODUCT(J266:K266,J$5:K$5)/SUM(J$5:K$5)</f>
        <v>93761.679452054799</v>
      </c>
      <c r="CG266" s="55">
        <f>SUMPRODUCT(L266:M266,L$5:M$5)/SUM(L$5:M$5)</f>
        <v>115647.9095890411</v>
      </c>
      <c r="CH266" s="55">
        <f>SUMPRODUCT(N266:O266,N$5:O$5)/SUM(N$5:O$5)</f>
        <v>138520.85479452054</v>
      </c>
      <c r="CI266" s="55">
        <f>SUMPRODUCT(P266:Q266,P$5:Q$5)/SUM(P$5:Q$5)</f>
        <v>168025.83606557376</v>
      </c>
      <c r="CJ266" s="55">
        <f>SUMPRODUCT(R266:S266,R$5:S$5)/SUM(R$5:S$5)</f>
        <v>150814.87808219178</v>
      </c>
      <c r="CK266" s="55">
        <f>SUMPRODUCT(T266:U266,T$5:U$5)/SUM(T$5:U$5)</f>
        <v>164281.88630136987</v>
      </c>
      <c r="CL266" s="55">
        <f>SUMPRODUCT(V266:W266,V$5:W$5)/SUM(V$5:W$5)</f>
        <v>173667.96301369864</v>
      </c>
      <c r="CM266" s="55">
        <f>SUMPRODUCT(X266:Y266,X$5:Y$5)/SUM(X$5:Y$5)</f>
        <v>175109.40163934429</v>
      </c>
      <c r="CN266" s="55">
        <f>SUMPRODUCT(Z266:AA266,Z$5:AA$5)/SUM(Z$5:AA$5)</f>
        <v>178295.95479452054</v>
      </c>
      <c r="CO266" s="55">
        <f>SUMPRODUCT(AB266:AC266,AB$5:AC$5)/SUM(AB$5:AC$5)</f>
        <v>240582.89863013697</v>
      </c>
      <c r="CP266" s="55">
        <f t="shared" si="1885"/>
        <v>147043.9520547945</v>
      </c>
      <c r="CQ266" s="55">
        <f t="shared" si="1885"/>
        <v>118931.66222658652</v>
      </c>
      <c r="CR266" s="55">
        <f t="shared" si="1885"/>
        <v>121977.45081967214</v>
      </c>
      <c r="CS266" s="55">
        <f t="shared" si="1885"/>
        <v>124397.24098105759</v>
      </c>
      <c r="CT266" s="55">
        <f>+CT267-CT265</f>
        <v>14205</v>
      </c>
      <c r="CU266" s="55">
        <f>+CU267-CU265</f>
        <v>15332</v>
      </c>
      <c r="CV266" s="55">
        <f>SUMPRODUCT(AP266:AQ266,AP$5:AQ$5)/SUM(AP$5:AQ$5)</f>
        <v>0</v>
      </c>
      <c r="CW266" s="55">
        <f>SUMPRODUCT(AR266:AS266,AR$5:AS$5)/SUM(AR$5:AS$5)</f>
        <v>0</v>
      </c>
      <c r="CX266" s="55">
        <f>SUMPRODUCT(AT266:AU266,AT$5:AU$5)/SUM(AT$5:AU$5)</f>
        <v>0</v>
      </c>
      <c r="CY266" s="55">
        <f>SUMPRODUCT(AV266:AW266,AV$5:AW$5)/SUM(AV$5:AW$5)</f>
        <v>0</v>
      </c>
      <c r="CZ266" s="56">
        <f>SUMPRODUCT(AX266:AY266,AX$5:AY$5)/SUM(AX$5:AY$5)</f>
        <v>0</v>
      </c>
      <c r="DA266" s="55">
        <f>SUMPRODUCT(AZ266:BA266,AZ$5:BA$5)/SUM(AZ$5:BA$5)</f>
        <v>0</v>
      </c>
      <c r="DB266" s="55">
        <f>SUMPRODUCT(BB266:BC266,BB$5:BC$5)/SUM(BB$5:BC$5)</f>
        <v>0</v>
      </c>
      <c r="DC266" s="55">
        <f>SUMPRODUCT(BD266:BE266,BD$5:BE$5)/SUM(BD$5:BE$5)</f>
        <v>0</v>
      </c>
      <c r="DD266" s="55">
        <f>SUMPRODUCT(BF266:BG266,BF$5:BG$5)/SUM(BF$5:BG$5)</f>
        <v>0</v>
      </c>
      <c r="DE266" s="55">
        <f>SUMPRODUCT(BH266:BI266,BH$5:BI$5)/SUM(BH$5:BI$5)</f>
        <v>0</v>
      </c>
      <c r="DF266" s="55">
        <f>SUMPRODUCT(BJ266:BK266,BJ$5:BK$5)/SUM(BJ$5:BK$5)</f>
        <v>0</v>
      </c>
      <c r="DG266" s="55">
        <f>SUMPRODUCT(BL266:BM266,BL$5:BM$5)/SUM(BL$5:BM$5)</f>
        <v>0</v>
      </c>
      <c r="DH266" s="55">
        <f>SUMPRODUCT(BN266:BO266,BN$5:BO$5)/SUM(BN$5:BO$5)</f>
        <v>0</v>
      </c>
      <c r="DI266" s="55">
        <f>SUMPRODUCT(BP266:BQ266,BP$5:BQ$5)/SUM(BP$5:BQ$5)</f>
        <v>0</v>
      </c>
    </row>
    <row r="267" spans="1:113" s="24" customFormat="1" outlineLevel="1">
      <c r="A267" s="1" t="s">
        <v>294</v>
      </c>
      <c r="B267" s="24" t="s">
        <v>386</v>
      </c>
      <c r="C267" s="82">
        <f>AVERAGE(B210:C210)</f>
        <v>101481</v>
      </c>
      <c r="D267" s="82">
        <f>AVERAGE(C210:D210)</f>
        <v>103891.5</v>
      </c>
      <c r="E267" s="82">
        <f>AVERAGE(D210:E210)</f>
        <v>104570</v>
      </c>
      <c r="F267" s="82">
        <f t="shared" si="1874"/>
        <v>99032</v>
      </c>
      <c r="G267" s="82">
        <f t="shared" si="1874"/>
        <v>97253</v>
      </c>
      <c r="H267" s="82">
        <f t="shared" si="1874"/>
        <v>102403</v>
      </c>
      <c r="I267" s="82">
        <f t="shared" si="1874"/>
        <v>107704.5</v>
      </c>
      <c r="J267" s="82">
        <f t="shared" si="1874"/>
        <v>113661.5</v>
      </c>
      <c r="K267" s="82">
        <f t="shared" si="1874"/>
        <v>120252</v>
      </c>
      <c r="L267" s="82">
        <f t="shared" si="1874"/>
        <v>130019</v>
      </c>
      <c r="M267" s="82">
        <f t="shared" si="1875"/>
        <v>144243.5</v>
      </c>
      <c r="N267" s="82">
        <f t="shared" si="1875"/>
        <v>156128.5</v>
      </c>
      <c r="O267" s="82">
        <f t="shared" si="1875"/>
        <v>164777</v>
      </c>
      <c r="P267" s="82">
        <f t="shared" si="1875"/>
        <v>184322</v>
      </c>
      <c r="Q267" s="82">
        <f t="shared" si="1875"/>
        <v>192402</v>
      </c>
      <c r="R267" s="82">
        <f t="shared" si="1875"/>
        <v>171868.5</v>
      </c>
      <c r="S267" s="82">
        <f t="shared" si="1875"/>
        <v>163988.5</v>
      </c>
      <c r="T267" s="82">
        <f t="shared" ref="T267:AB267" si="1895">SUM(T265:T266)</f>
        <v>177454.5</v>
      </c>
      <c r="U267" s="82">
        <f t="shared" si="1895"/>
        <v>182656.5</v>
      </c>
      <c r="V267" s="82">
        <f t="shared" si="1895"/>
        <v>185534</v>
      </c>
      <c r="W267" s="82">
        <f t="shared" si="1895"/>
        <v>189982.5</v>
      </c>
      <c r="X267" s="82">
        <f t="shared" si="1895"/>
        <v>186278</v>
      </c>
      <c r="Y267" s="82">
        <f>SUM(Y265:Y266)</f>
        <v>190122</v>
      </c>
      <c r="Z267" s="82">
        <f>SUM(Z265:Z266)</f>
        <v>180182.5</v>
      </c>
      <c r="AA267" s="82">
        <f t="shared" si="1895"/>
        <v>202259</v>
      </c>
      <c r="AB267" s="82">
        <f t="shared" si="1895"/>
        <v>250386</v>
      </c>
      <c r="AC267" s="82">
        <f t="shared" ref="AC267:AK267" si="1896">SUM(AC265:AC266)</f>
        <v>256951.5</v>
      </c>
      <c r="AD267" s="82">
        <f t="shared" si="1896"/>
        <v>190796</v>
      </c>
      <c r="AE267" s="82">
        <f t="shared" si="1896"/>
        <v>130006</v>
      </c>
      <c r="AF267" s="82">
        <f t="shared" si="1896"/>
        <v>133689.5</v>
      </c>
      <c r="AG267" s="82">
        <f t="shared" si="1896"/>
        <v>135638.5</v>
      </c>
      <c r="AH267" s="82">
        <f t="shared" si="1896"/>
        <v>138310.5</v>
      </c>
      <c r="AI267" s="82">
        <f t="shared" si="1896"/>
        <v>143799</v>
      </c>
      <c r="AJ267" s="82">
        <f t="shared" si="1896"/>
        <v>145223</v>
      </c>
      <c r="AK267" s="82">
        <f t="shared" si="1896"/>
        <v>145833.5</v>
      </c>
      <c r="AL267" s="166">
        <f>146971*AN267/158654</f>
        <v>14202.978632747992</v>
      </c>
      <c r="AM267" s="166">
        <f>149671*AN267/158654</f>
        <v>14463.901143368588</v>
      </c>
      <c r="AN267" s="166">
        <v>15332</v>
      </c>
      <c r="AO267" s="166">
        <v>0</v>
      </c>
      <c r="AP267" s="166">
        <v>0</v>
      </c>
      <c r="AQ267" s="166">
        <v>0</v>
      </c>
      <c r="AR267" s="166">
        <v>0</v>
      </c>
      <c r="AS267" s="166">
        <v>0</v>
      </c>
      <c r="AT267" s="166">
        <v>0</v>
      </c>
      <c r="AU267" s="166">
        <v>0</v>
      </c>
      <c r="AV267" s="166">
        <v>0</v>
      </c>
      <c r="AW267" s="166">
        <v>0</v>
      </c>
      <c r="AX267" s="166">
        <v>0</v>
      </c>
      <c r="AY267" s="166">
        <v>0</v>
      </c>
      <c r="AZ267" s="167">
        <v>0</v>
      </c>
      <c r="BA267" s="82">
        <f t="shared" ref="BA267:BE267" si="1897">SUM(BA265:BA266)</f>
        <v>0</v>
      </c>
      <c r="BB267" s="82">
        <f t="shared" si="1897"/>
        <v>0</v>
      </c>
      <c r="BC267" s="82">
        <f t="shared" si="1897"/>
        <v>0</v>
      </c>
      <c r="BD267" s="82">
        <f t="shared" si="1897"/>
        <v>0</v>
      </c>
      <c r="BE267" s="82">
        <f t="shared" si="1897"/>
        <v>0</v>
      </c>
      <c r="BF267" s="82">
        <f t="shared" ref="BF267:BM267" si="1898">SUM(BF265:BF266)</f>
        <v>0</v>
      </c>
      <c r="BG267" s="82">
        <f t="shared" si="1898"/>
        <v>0</v>
      </c>
      <c r="BH267" s="82">
        <f t="shared" si="1898"/>
        <v>0</v>
      </c>
      <c r="BI267" s="82">
        <f t="shared" si="1898"/>
        <v>0</v>
      </c>
      <c r="BJ267" s="82">
        <f t="shared" si="1898"/>
        <v>0</v>
      </c>
      <c r="BK267" s="82">
        <f t="shared" si="1898"/>
        <v>0</v>
      </c>
      <c r="BL267" s="82">
        <f t="shared" si="1898"/>
        <v>0</v>
      </c>
      <c r="BM267" s="82">
        <f t="shared" si="1898"/>
        <v>0</v>
      </c>
      <c r="BN267" s="82">
        <f t="shared" ref="BN267:BO267" si="1899">SUM(BN265:BN266)</f>
        <v>0</v>
      </c>
      <c r="BO267" s="82">
        <f t="shared" si="1899"/>
        <v>0</v>
      </c>
      <c r="BP267" s="82">
        <f t="shared" ref="BP267:BQ267" si="1900">SUM(BP265:BP266)</f>
        <v>0</v>
      </c>
      <c r="BQ267" s="82">
        <f t="shared" si="1900"/>
        <v>0</v>
      </c>
      <c r="BR267" s="82"/>
      <c r="BS267" s="82">
        <f t="shared" si="1884"/>
        <v>11900</v>
      </c>
      <c r="BT267" s="82">
        <f t="shared" si="1884"/>
        <v>12400</v>
      </c>
      <c r="BU267" s="82">
        <f t="shared" si="1884"/>
        <v>13600</v>
      </c>
      <c r="BV267" s="82">
        <f t="shared" si="1884"/>
        <v>14250</v>
      </c>
      <c r="BW267" s="82">
        <f t="shared" si="1884"/>
        <v>14271.5</v>
      </c>
      <c r="BX267" s="82">
        <f t="shared" si="1884"/>
        <v>18171.5</v>
      </c>
      <c r="BY267" s="82">
        <f t="shared" si="1884"/>
        <v>24600</v>
      </c>
      <c r="BZ267" s="82">
        <f t="shared" si="1884"/>
        <v>27365.5</v>
      </c>
      <c r="CA267" s="82">
        <f t="shared" si="1884"/>
        <v>57856.5</v>
      </c>
      <c r="CB267" s="82">
        <f t="shared" si="1884"/>
        <v>94831.5</v>
      </c>
      <c r="CC267" s="82">
        <f>SUMPRODUCT(D267:E267,D$5:E$5)/SUM(D$5:E$5)</f>
        <v>104233.53835616438</v>
      </c>
      <c r="CD267" s="82">
        <f>SUMPRODUCT(F267:G267,F$5:G$5)/SUM(F$5:G$5)</f>
        <v>98135.189041095902</v>
      </c>
      <c r="CE267" s="82">
        <f>SUMPRODUCT(H267:I267,H$5:I$5)/SUM(H$5:I$5)</f>
        <v>105068.2349726776</v>
      </c>
      <c r="CF267" s="82">
        <f>SUMPRODUCT(J267:K267,J$5:K$5)/SUM(J$5:K$5)</f>
        <v>116983.83424657534</v>
      </c>
      <c r="CG267" s="82">
        <f>SUMPRODUCT(L267:M267,L$5:M$5)/SUM(L$5:M$5)</f>
        <v>137189.70684931506</v>
      </c>
      <c r="CH267" s="82">
        <f>SUMPRODUCT(N267:O267,N$5:O$5)/SUM(N$5:O$5)</f>
        <v>160488.29178082195</v>
      </c>
      <c r="CI267" s="82">
        <f>SUMPRODUCT(P267:Q267,P$5:Q$5)/SUM(P$5:Q$5)</f>
        <v>188384.07650273226</v>
      </c>
      <c r="CJ267" s="82">
        <f>SUMPRODUCT(R267:S267,R$5:S$5)/SUM(R$5:S$5)</f>
        <v>167896.11643835617</v>
      </c>
      <c r="CK267" s="82">
        <f>SUMPRODUCT(T267:U267,T$5:U$5)/SUM(T$5:U$5)</f>
        <v>180076.8780821918</v>
      </c>
      <c r="CL267" s="82">
        <f>SUMPRODUCT(V267:W267,V$5:W$5)/SUM(V$5:W$5)</f>
        <v>187776.53150684934</v>
      </c>
      <c r="CM267" s="82">
        <f>SUMPRODUCT(X267:Y267,X$5:Y$5)/SUM(X$5:Y$5)</f>
        <v>188210.50273224045</v>
      </c>
      <c r="CN267" s="82">
        <f>SUMPRODUCT(Z267:AA267,Z$5:AA$5)/SUM(Z$5:AA$5)</f>
        <v>191311.47534246574</v>
      </c>
      <c r="CO267" s="82">
        <f>SUMPRODUCT(AB267:AC267,AB$5:AC$5)/SUM(AB$5:AC$5)</f>
        <v>253695.73150684932</v>
      </c>
      <c r="CP267" s="82">
        <f t="shared" si="1885"/>
        <v>160151.17808219179</v>
      </c>
      <c r="CQ267" s="82">
        <f t="shared" si="1885"/>
        <v>131835.13168073402</v>
      </c>
      <c r="CR267" s="82">
        <f t="shared" si="1885"/>
        <v>134669.32513661202</v>
      </c>
      <c r="CS267" s="82">
        <f t="shared" si="1885"/>
        <v>136965.37188840882</v>
      </c>
      <c r="CT267" s="166">
        <v>14205</v>
      </c>
      <c r="CU267" s="166">
        <v>15332</v>
      </c>
      <c r="CV267" s="166">
        <v>0</v>
      </c>
      <c r="CW267" s="166">
        <v>0</v>
      </c>
      <c r="CX267" s="166">
        <v>0</v>
      </c>
      <c r="CY267" s="166">
        <v>0</v>
      </c>
      <c r="CZ267" s="83">
        <f>SUMPRODUCT(AX267:AY267,AX$5:AY$5)/SUM(AX$5:AY$5)</f>
        <v>0</v>
      </c>
      <c r="DA267" s="82">
        <f>SUMPRODUCT(AZ267:BA267,AZ$5:BA$5)/SUM(AZ$5:BA$5)</f>
        <v>0</v>
      </c>
      <c r="DB267" s="82">
        <f>SUMPRODUCT(BB267:BC267,BB$5:BC$5)/SUM(BB$5:BC$5)</f>
        <v>0</v>
      </c>
      <c r="DC267" s="82">
        <f>SUMPRODUCT(BD267:BE267,BD$5:BE$5)/SUM(BD$5:BE$5)</f>
        <v>0</v>
      </c>
      <c r="DD267" s="82">
        <f>SUMPRODUCT(BF267:BG267,BF$5:BG$5)/SUM(BF$5:BG$5)</f>
        <v>0</v>
      </c>
      <c r="DE267" s="82">
        <f>SUMPRODUCT(BH267:BI267,BH$5:BI$5)/SUM(BH$5:BI$5)</f>
        <v>0</v>
      </c>
      <c r="DF267" s="82">
        <f>SUMPRODUCT(BJ267:BK267,BJ$5:BK$5)/SUM(BJ$5:BK$5)</f>
        <v>0</v>
      </c>
      <c r="DG267" s="82">
        <f>SUMPRODUCT(BL267:BM267,BL$5:BM$5)/SUM(BL$5:BM$5)</f>
        <v>0</v>
      </c>
      <c r="DH267" s="82">
        <f>SUMPRODUCT(BN267:BO267,BN$5:BO$5)/SUM(BN$5:BO$5)</f>
        <v>0</v>
      </c>
      <c r="DI267" s="82">
        <f>SUMPRODUCT(BP267:BQ267,BP$5:BQ$5)/SUM(BP$5:BQ$5)</f>
        <v>0</v>
      </c>
    </row>
    <row r="268" spans="1:113">
      <c r="CZ268" s="22"/>
    </row>
    <row r="269" spans="1:113" s="36" customFormat="1" collapsed="1">
      <c r="A269" s="1" t="s">
        <v>924</v>
      </c>
      <c r="B269" s="2" t="s">
        <v>580</v>
      </c>
      <c r="C269" s="560">
        <f t="shared" ref="C269:L269" si="1901">C323</f>
        <v>2.7811331460835462E-2</v>
      </c>
      <c r="D269" s="560">
        <f t="shared" si="1901"/>
        <v>2.769971280187207E-2</v>
      </c>
      <c r="E269" s="560">
        <f t="shared" si="1901"/>
        <v>2.750764135728942E-2</v>
      </c>
      <c r="F269" s="560">
        <f t="shared" si="1901"/>
        <v>2.6503275516182284E-2</v>
      </c>
      <c r="G269" s="560">
        <f t="shared" si="1901"/>
        <v>2.6881808182013987E-2</v>
      </c>
      <c r="H269" s="560">
        <f t="shared" si="1901"/>
        <v>2.6002786721535741E-2</v>
      </c>
      <c r="I269" s="560">
        <f t="shared" si="1901"/>
        <v>2.4572175682989382E-2</v>
      </c>
      <c r="J269" s="560">
        <f t="shared" si="1901"/>
        <v>2.3816231787587447E-2</v>
      </c>
      <c r="K269" s="560">
        <f>K323</f>
        <v>2.3769159775208638E-2</v>
      </c>
      <c r="L269" s="560">
        <f t="shared" si="1901"/>
        <v>2.3294908572079318E-2</v>
      </c>
      <c r="M269" s="89">
        <f t="shared" ref="M269:AG269" si="1902">M323</f>
        <v>2.2328886733799153E-2</v>
      </c>
      <c r="N269" s="89">
        <f t="shared" si="1902"/>
        <v>2.1704407477908687E-2</v>
      </c>
      <c r="O269" s="89">
        <f t="shared" si="1902"/>
        <v>1.9964303726664377E-2</v>
      </c>
      <c r="P269" s="89">
        <f t="shared" si="1902"/>
        <v>2.0132752801532067E-2</v>
      </c>
      <c r="Q269" s="89">
        <f t="shared" si="1902"/>
        <v>1.9510365021069037E-2</v>
      </c>
      <c r="R269" s="89">
        <f t="shared" si="1902"/>
        <v>1.9634266489011058E-2</v>
      </c>
      <c r="S269" s="89">
        <f t="shared" si="1902"/>
        <v>2.1062322220075799E-2</v>
      </c>
      <c r="T269" s="90">
        <f t="shared" si="1902"/>
        <v>2.1505802541814154E-2</v>
      </c>
      <c r="U269" s="89">
        <f t="shared" si="1902"/>
        <v>2.0528584881594585E-2</v>
      </c>
      <c r="V269" s="89">
        <f>V323</f>
        <v>2.0622979235762097E-2</v>
      </c>
      <c r="W269" s="89">
        <f>W323</f>
        <v>2.1716884758774542E-2</v>
      </c>
      <c r="X269" s="89">
        <f>X323</f>
        <v>2.1216607869499735E-2</v>
      </c>
      <c r="Y269" s="90">
        <f>Y323</f>
        <v>2.0575969140647007E-2</v>
      </c>
      <c r="Z269" s="90">
        <f t="shared" si="1902"/>
        <v>2.0961264756399645E-2</v>
      </c>
      <c r="AA269" s="90">
        <f t="shared" si="1902"/>
        <v>2.170584316380645E-2</v>
      </c>
      <c r="AB269" s="90">
        <f t="shared" si="1902"/>
        <v>2.1397626501990435E-2</v>
      </c>
      <c r="AC269" s="90">
        <f t="shared" si="1902"/>
        <v>2.1391290276802099E-2</v>
      </c>
      <c r="AD269" s="90">
        <f t="shared" si="1902"/>
        <v>2.1200829123551396E-2</v>
      </c>
      <c r="AE269" s="90">
        <f t="shared" si="1902"/>
        <v>2.0683833344866894E-2</v>
      </c>
      <c r="AF269" s="90">
        <f>AF323</f>
        <v>2.1464914087229111E-2</v>
      </c>
      <c r="AG269" s="90">
        <f t="shared" si="1902"/>
        <v>2.1376740900866345E-2</v>
      </c>
      <c r="AH269" s="90">
        <f t="shared" ref="AH269:AM269" si="1903">AH323</f>
        <v>2.0992432040554593E-2</v>
      </c>
      <c r="AI269" s="90">
        <f t="shared" si="1903"/>
        <v>2.1018018900646467E-2</v>
      </c>
      <c r="AJ269" s="90">
        <f t="shared" si="1903"/>
        <v>2.1564998499362213E-2</v>
      </c>
      <c r="AK269" s="90">
        <f t="shared" si="1903"/>
        <v>2.1376325897552353E-2</v>
      </c>
      <c r="AL269" s="90">
        <f t="shared" si="1903"/>
        <v>2.0924322934170993E-2</v>
      </c>
      <c r="AM269" s="90">
        <f t="shared" si="1903"/>
        <v>2.090159582687582E-2</v>
      </c>
      <c r="AN269" s="90">
        <f t="shared" ref="AN269:AS269" si="1904">AN323</f>
        <v>2.1090173572849563E-2</v>
      </c>
      <c r="AO269" s="90">
        <f t="shared" si="1904"/>
        <v>2.0393125517318002E-2</v>
      </c>
      <c r="AP269" s="90">
        <f t="shared" si="1904"/>
        <v>2.0633853124276284E-2</v>
      </c>
      <c r="AQ269" s="90">
        <f t="shared" si="1904"/>
        <v>2.0882870785182625E-2</v>
      </c>
      <c r="AR269" s="90">
        <f t="shared" si="1904"/>
        <v>1.9182264344134139E-2</v>
      </c>
      <c r="AS269" s="90">
        <f t="shared" si="1904"/>
        <v>1.8747634313552995E-2</v>
      </c>
      <c r="AT269" s="90">
        <f t="shared" ref="AT269:AU269" si="1905">AT323</f>
        <v>2.0985181549496353E-2</v>
      </c>
      <c r="AU269" s="90">
        <f t="shared" si="1905"/>
        <v>2.0511215875562538E-2</v>
      </c>
      <c r="AV269" s="90">
        <f t="shared" ref="AV269:AW269" si="1906">AV323</f>
        <v>1.9886195039560049E-2</v>
      </c>
      <c r="AW269" s="90">
        <f t="shared" si="1906"/>
        <v>2.000370581509928E-2</v>
      </c>
      <c r="AX269" s="90">
        <f t="shared" ref="AX269:BI269" si="1907">AX323</f>
        <v>2.0841868500441934E-2</v>
      </c>
      <c r="AY269" s="90">
        <f t="shared" si="1907"/>
        <v>2.0804136328042792E-2</v>
      </c>
      <c r="AZ269" s="91">
        <f t="shared" si="1907"/>
        <v>2.043535258068711E-2</v>
      </c>
      <c r="BA269" s="90">
        <f t="shared" si="1907"/>
        <v>2.0359979598231919E-2</v>
      </c>
      <c r="BB269" s="90">
        <f t="shared" si="1907"/>
        <v>2.0456794373185858E-2</v>
      </c>
      <c r="BC269" s="90">
        <f t="shared" si="1907"/>
        <v>2.0317345597955949E-2</v>
      </c>
      <c r="BD269" s="90">
        <f t="shared" si="1907"/>
        <v>2.0226099071897582E-2</v>
      </c>
      <c r="BE269" s="90">
        <f t="shared" si="1907"/>
        <v>2.0199727217929356E-2</v>
      </c>
      <c r="BF269" s="90">
        <f t="shared" si="1907"/>
        <v>2.016415892062659E-2</v>
      </c>
      <c r="BG269" s="90">
        <f t="shared" si="1907"/>
        <v>2.0116271785994056E-2</v>
      </c>
      <c r="BH269" s="90">
        <f t="shared" si="1907"/>
        <v>1.9938239805234344E-2</v>
      </c>
      <c r="BI269" s="90">
        <f t="shared" si="1907"/>
        <v>1.9877553368743538E-2</v>
      </c>
      <c r="BJ269" s="89">
        <f t="shared" ref="BJ269:BM269" si="1908">BJ323</f>
        <v>1.9777553368743539E-2</v>
      </c>
      <c r="BK269" s="89">
        <f t="shared" si="1908"/>
        <v>1.967755336874354E-2</v>
      </c>
      <c r="BL269" s="560">
        <f t="shared" si="1908"/>
        <v>1.957755336874354E-2</v>
      </c>
      <c r="BM269" s="560">
        <f t="shared" si="1908"/>
        <v>1.9477553368743541E-2</v>
      </c>
      <c r="BN269" s="560">
        <f t="shared" ref="BN269:BO269" si="1909">BN323</f>
        <v>1.9377553368743541E-2</v>
      </c>
      <c r="BO269" s="560">
        <f t="shared" si="1909"/>
        <v>1.9277553368743542E-2</v>
      </c>
      <c r="BP269" s="560">
        <f t="shared" ref="BP269:BQ269" si="1910">BP323</f>
        <v>1.9177553368743543E-2</v>
      </c>
      <c r="BQ269" s="560">
        <f t="shared" si="1910"/>
        <v>1.9077553368743543E-2</v>
      </c>
      <c r="BR269" s="89"/>
      <c r="BS269" s="560">
        <f t="shared" ref="BS269:CB269" si="1911">BS323</f>
        <v>4.5207000475863166E-2</v>
      </c>
      <c r="BT269" s="560">
        <f t="shared" si="1911"/>
        <v>4.1206417750967256E-2</v>
      </c>
      <c r="BU269" s="560">
        <f t="shared" si="1911"/>
        <v>3.8055324734756792E-2</v>
      </c>
      <c r="BV269" s="560">
        <f t="shared" si="1911"/>
        <v>4.0325766941537833E-2</v>
      </c>
      <c r="BW269" s="560">
        <f t="shared" si="1911"/>
        <v>3.9594381956990499E-2</v>
      </c>
      <c r="BX269" s="560">
        <f t="shared" si="1911"/>
        <v>3.5273441968324611E-2</v>
      </c>
      <c r="BY269" s="560">
        <f t="shared" si="1911"/>
        <v>3.3250134586208582E-2</v>
      </c>
      <c r="BZ269" s="560">
        <f t="shared" si="1911"/>
        <v>3.0865223897576809E-2</v>
      </c>
      <c r="CA269" s="560">
        <f t="shared" si="1911"/>
        <v>2.8793075416334392E-2</v>
      </c>
      <c r="CB269" s="560">
        <f t="shared" si="1911"/>
        <v>2.7856818195969045E-2</v>
      </c>
      <c r="CC269" s="89">
        <f t="shared" ref="CC269:CO269" si="1912">CC323</f>
        <v>2.7596635257190881E-2</v>
      </c>
      <c r="CD269" s="89">
        <f t="shared" si="1912"/>
        <v>2.6684848246026419E-2</v>
      </c>
      <c r="CE269" s="89">
        <f t="shared" si="1912"/>
        <v>2.5245490291197388E-2</v>
      </c>
      <c r="CF269" s="89">
        <f t="shared" si="1912"/>
        <v>2.3781506354816087E-2</v>
      </c>
      <c r="CG269" s="89">
        <f t="shared" si="1912"/>
        <v>2.2801337137056552E-2</v>
      </c>
      <c r="CH269" s="89">
        <f t="shared" si="1912"/>
        <v>2.0344903364600556E-2</v>
      </c>
      <c r="CI269" s="89">
        <f t="shared" si="1912"/>
        <v>1.9812375029441692E-2</v>
      </c>
      <c r="CJ269" s="89">
        <f t="shared" si="1912"/>
        <v>2.036124295545836E-2</v>
      </c>
      <c r="CK269" s="89">
        <f t="shared" si="1912"/>
        <v>2.1016394487712101E-2</v>
      </c>
      <c r="CL269" s="89">
        <f t="shared" si="1912"/>
        <v>2.116650987770461E-2</v>
      </c>
      <c r="CM269" s="90">
        <f t="shared" si="1912"/>
        <v>2.0894574271262616E-2</v>
      </c>
      <c r="CN269" s="90">
        <f t="shared" si="1912"/>
        <v>2.1332941678638147E-2</v>
      </c>
      <c r="CO269" s="90">
        <f t="shared" si="1912"/>
        <v>2.1394415137565907E-2</v>
      </c>
      <c r="CP269" s="90">
        <f t="shared" ref="CP269:CX269" si="1913">CP323</f>
        <v>2.0938730367046274E-2</v>
      </c>
      <c r="CQ269" s="90">
        <f t="shared" si="1913"/>
        <v>2.1420548548183899E-2</v>
      </c>
      <c r="CR269" s="90">
        <f t="shared" si="1913"/>
        <v>2.1005317817143286E-2</v>
      </c>
      <c r="CS269" s="90">
        <f t="shared" si="1913"/>
        <v>2.1471114315949169E-2</v>
      </c>
      <c r="CT269" s="90">
        <f t="shared" si="1913"/>
        <v>2.0913040584426765E-2</v>
      </c>
      <c r="CU269" s="90">
        <f t="shared" si="1913"/>
        <v>2.0577225681397797E-2</v>
      </c>
      <c r="CV269" s="90">
        <f t="shared" si="1913"/>
        <v>2.0749673078869164E-2</v>
      </c>
      <c r="CW269" s="90">
        <f t="shared" si="1913"/>
        <v>1.8959833155804982E-2</v>
      </c>
      <c r="CX269" s="90">
        <f t="shared" si="1913"/>
        <v>2.0745995625128785E-2</v>
      </c>
      <c r="CY269" s="90">
        <f t="shared" ref="CY269:DD269" si="1914">CY323</f>
        <v>1.994446762541207E-2</v>
      </c>
      <c r="CZ269" s="91">
        <f t="shared" si="1914"/>
        <v>2.0820197749844758E-2</v>
      </c>
      <c r="DA269" s="89">
        <f>DA323</f>
        <v>2.039396460737081E-2</v>
      </c>
      <c r="DB269" s="89">
        <f t="shared" si="1914"/>
        <v>2.0384690890932745E-2</v>
      </c>
      <c r="DC269" s="89">
        <f t="shared" si="1914"/>
        <v>2.0211602625635289E-2</v>
      </c>
      <c r="DD269" s="89">
        <f t="shared" si="1914"/>
        <v>2.0138499304353807E-2</v>
      </c>
      <c r="DE269" s="89">
        <f>DE323</f>
        <v>1.9906463494078049E-2</v>
      </c>
      <c r="DF269" s="89">
        <f>DF323</f>
        <v>1.9727553368743538E-2</v>
      </c>
      <c r="DG269" s="560">
        <f>DG323</f>
        <v>1.9527553368743539E-2</v>
      </c>
      <c r="DH269" s="560">
        <f>DH323</f>
        <v>1.932755336874354E-2</v>
      </c>
      <c r="DI269" s="560">
        <f>DI323</f>
        <v>1.9127553368743541E-2</v>
      </c>
    </row>
    <row r="270" spans="1:113" outlineLevel="1">
      <c r="AI270" s="234"/>
      <c r="CV270" s="234"/>
      <c r="CW270" s="234"/>
      <c r="CX270" s="234"/>
      <c r="CZ270" s="22"/>
    </row>
    <row r="271" spans="1:113" s="24" customFormat="1" hidden="1" outlineLevel="2">
      <c r="A271" s="1"/>
      <c r="B271" s="24" t="s">
        <v>440</v>
      </c>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c r="AD271" s="13"/>
      <c r="AE271" s="13"/>
      <c r="AF271" s="13"/>
      <c r="AG271" s="13"/>
      <c r="AH271" s="13"/>
      <c r="AI271" s="13"/>
      <c r="AJ271" s="13"/>
      <c r="AK271" s="13"/>
      <c r="AL271" s="13"/>
      <c r="AM271" s="13"/>
      <c r="AN271" s="13"/>
      <c r="AO271" s="13"/>
      <c r="AP271" s="13"/>
      <c r="AQ271" s="13"/>
      <c r="AR271" s="13"/>
      <c r="AS271" s="13"/>
      <c r="AT271" s="13"/>
      <c r="AU271" s="13"/>
      <c r="AV271" s="13"/>
      <c r="AW271" s="13"/>
      <c r="AX271" s="13"/>
      <c r="AY271" s="13"/>
      <c r="AZ271" s="23"/>
      <c r="BA271" s="13"/>
      <c r="BB271" s="13"/>
      <c r="BC271" s="13"/>
      <c r="BD271" s="13"/>
      <c r="BE271" s="13"/>
      <c r="BF271" s="13"/>
      <c r="BG271" s="13"/>
      <c r="BH271" s="13"/>
      <c r="BI271" s="13"/>
      <c r="BJ271" s="13"/>
      <c r="BK271" s="13"/>
      <c r="BL271" s="13"/>
      <c r="BM271" s="13"/>
      <c r="BN271" s="13"/>
      <c r="BO271" s="13"/>
      <c r="BP271" s="13"/>
      <c r="BQ271" s="13"/>
      <c r="BR271" s="13"/>
      <c r="BS271" s="13"/>
      <c r="BT271" s="13"/>
      <c r="BU271" s="13"/>
      <c r="BV271" s="13"/>
      <c r="BW271" s="13"/>
      <c r="BX271" s="13"/>
      <c r="BY271" s="13"/>
      <c r="BZ271" s="13"/>
      <c r="CA271" s="13"/>
      <c r="CB271" s="13"/>
      <c r="CC271" s="13"/>
      <c r="CD271" s="13"/>
      <c r="CE271" s="13"/>
      <c r="CF271" s="13"/>
      <c r="CG271" s="13"/>
      <c r="CH271" s="13"/>
      <c r="CI271" s="13"/>
      <c r="CJ271" s="13"/>
      <c r="CK271" s="13"/>
      <c r="CL271" s="13"/>
      <c r="CM271" s="13"/>
      <c r="CN271" s="13"/>
      <c r="CO271" s="13"/>
      <c r="CP271" s="13"/>
      <c r="CQ271" s="13"/>
      <c r="CR271" s="13"/>
      <c r="CS271" s="13"/>
      <c r="CT271" s="13"/>
      <c r="CU271" s="13"/>
      <c r="CV271" s="13"/>
      <c r="CW271" s="13"/>
      <c r="CX271" s="13"/>
      <c r="CY271" s="13"/>
      <c r="CZ271" s="23"/>
      <c r="DA271" s="13"/>
      <c r="DB271" s="13"/>
    </row>
    <row r="272" spans="1:113" hidden="1" outlineLevel="2">
      <c r="A272" s="1" t="s">
        <v>175</v>
      </c>
      <c r="B272" s="19" t="s">
        <v>164</v>
      </c>
      <c r="C272" s="235">
        <f t="shared" ref="C272:L275" si="1915">C67</f>
        <v>1.6435933333333326E-2</v>
      </c>
      <c r="D272" s="235">
        <f t="shared" si="1915"/>
        <v>1.5919752777777671E-2</v>
      </c>
      <c r="E272" s="235">
        <f t="shared" si="1915"/>
        <v>1.2329127777777829E-2</v>
      </c>
      <c r="F272" s="235">
        <f t="shared" si="1915"/>
        <v>1.339829444444442E-2</v>
      </c>
      <c r="G272" s="235">
        <f t="shared" si="1915"/>
        <v>1.4326245833333247E-2</v>
      </c>
      <c r="H272" s="235">
        <f t="shared" si="1915"/>
        <v>1.2691176388888933E-2</v>
      </c>
      <c r="I272" s="235">
        <f t="shared" si="1915"/>
        <v>2.9787097222221982E-3</v>
      </c>
      <c r="J272" s="235">
        <f t="shared" si="1915"/>
        <v>9.817905555555546E-3</v>
      </c>
      <c r="K272" s="235">
        <f t="shared" si="1915"/>
        <v>8.4945652777777235E-3</v>
      </c>
      <c r="L272" s="235">
        <f t="shared" si="1915"/>
        <v>8.8003430555555311E-3</v>
      </c>
      <c r="M272" s="48">
        <f t="shared" ref="M272:AB275" si="1916">M67</f>
        <v>8.1543013888888613E-3</v>
      </c>
      <c r="N272" s="48">
        <f t="shared" si="1916"/>
        <v>7.6080930555555218E-3</v>
      </c>
      <c r="O272" s="48">
        <f t="shared" si="1916"/>
        <v>8.3322527777777416E-3</v>
      </c>
      <c r="P272" s="48">
        <f t="shared" si="1916"/>
        <v>5.800669444444408E-3</v>
      </c>
      <c r="Q272" s="48">
        <f t="shared" si="1916"/>
        <v>6.5584333333332905E-3</v>
      </c>
      <c r="R272" s="48">
        <f t="shared" si="1916"/>
        <v>1.5186329166666658E-2</v>
      </c>
      <c r="S272" s="48">
        <f t="shared" si="1916"/>
        <v>1.7912606944444413E-2</v>
      </c>
      <c r="T272" s="50">
        <f t="shared" si="1916"/>
        <v>1.5119099999999958E-2</v>
      </c>
      <c r="U272" s="48">
        <f t="shared" si="1916"/>
        <v>1.6638620833333319E-2</v>
      </c>
      <c r="V272" s="48">
        <f t="shared" si="1916"/>
        <v>1.8763197222222194E-2</v>
      </c>
      <c r="W272" s="48">
        <f t="shared" si="1916"/>
        <v>2.0380273611111093E-2</v>
      </c>
      <c r="X272" s="48">
        <f t="shared" si="1916"/>
        <v>2.0964238888888844E-2</v>
      </c>
      <c r="Y272" s="50">
        <f>Y67</f>
        <v>2.3648926388888832E-2</v>
      </c>
      <c r="Z272" s="50">
        <f>Z67</f>
        <v>2.4509891666666665E-2</v>
      </c>
      <c r="AA272" s="50">
        <f t="shared" si="1916"/>
        <v>2.3896943749999969E-2</v>
      </c>
      <c r="AB272" s="50">
        <f t="shared" si="1916"/>
        <v>2.3450377777777733E-2</v>
      </c>
      <c r="AC272" s="50">
        <f t="shared" ref="AC272:AK272" si="1917">AC67</f>
        <v>2.2563849999999955E-2</v>
      </c>
      <c r="AD272" s="50">
        <f t="shared" si="1917"/>
        <v>2.2263086111111042E-2</v>
      </c>
      <c r="AE272" s="50">
        <f t="shared" si="1917"/>
        <v>2.3435030555555517E-2</v>
      </c>
      <c r="AF272" s="50">
        <f t="shared" si="1917"/>
        <v>2.3350794444444423E-2</v>
      </c>
      <c r="AG272" s="50">
        <f t="shared" si="1917"/>
        <v>2.3983711111111066E-2</v>
      </c>
      <c r="AH272" s="50">
        <f t="shared" si="1917"/>
        <v>2.491537777777773E-2</v>
      </c>
      <c r="AI272" s="50">
        <f t="shared" si="1917"/>
        <v>2.5169683333333182E-2</v>
      </c>
      <c r="AJ272" s="50">
        <f t="shared" si="1917"/>
        <v>2.4891072222222196E-2</v>
      </c>
      <c r="AK272" s="50">
        <f t="shared" si="1917"/>
        <v>2.3145447222222105E-2</v>
      </c>
      <c r="AL272" s="50">
        <f t="shared" ref="AL272:AN273" si="1918">AL67</f>
        <v>2.3711488888888865E-2</v>
      </c>
      <c r="AM272" s="50">
        <f t="shared" si="1918"/>
        <v>2.677534444444445E-2</v>
      </c>
      <c r="AN272" s="50">
        <f t="shared" si="1918"/>
        <v>2.8250269273151052E-2</v>
      </c>
      <c r="AO272" s="50">
        <f t="shared" ref="AO272:AQ273" si="1919">AO67</f>
        <v>2.9505419585783208E-2</v>
      </c>
      <c r="AP272" s="50">
        <f t="shared" si="1919"/>
        <v>2.9879089617949012E-2</v>
      </c>
      <c r="AQ272" s="50">
        <f t="shared" si="1919"/>
        <v>2.8448043234391363E-2</v>
      </c>
      <c r="AR272" s="50"/>
      <c r="AS272" s="50"/>
      <c r="AT272" s="50"/>
      <c r="AU272" s="50"/>
      <c r="AV272" s="50"/>
      <c r="AW272" s="50"/>
      <c r="AX272" s="50"/>
      <c r="AY272" s="50"/>
      <c r="AZ272" s="49"/>
      <c r="BA272" s="48"/>
      <c r="BB272" s="48"/>
      <c r="BC272" s="48"/>
      <c r="BD272" s="48"/>
      <c r="BE272" s="48"/>
      <c r="BF272" s="48"/>
      <c r="BG272" s="48"/>
      <c r="BH272" s="48"/>
      <c r="BI272" s="48"/>
      <c r="BJ272" s="48"/>
      <c r="BK272" s="48"/>
      <c r="BL272" s="235"/>
      <c r="BM272" s="235"/>
      <c r="BN272" s="235"/>
      <c r="BO272" s="235"/>
      <c r="BP272" s="235"/>
      <c r="BQ272" s="235"/>
      <c r="BR272" s="48"/>
      <c r="BS272" s="235"/>
      <c r="BT272" s="235"/>
      <c r="BU272" s="235"/>
      <c r="BV272" s="235"/>
      <c r="BW272" s="235"/>
      <c r="BX272" s="235"/>
      <c r="BY272" s="235"/>
      <c r="BZ272" s="235"/>
      <c r="CA272" s="235"/>
      <c r="CB272" s="235"/>
      <c r="CC272" s="48">
        <f t="shared" ref="CC272:CR272" si="1920">CC330/CC215*CC$5</f>
        <v>1.4074962313884821E-2</v>
      </c>
      <c r="CD272" s="48">
        <f t="shared" si="1920"/>
        <v>1.3866449344575675E-2</v>
      </c>
      <c r="CE272" s="48">
        <f t="shared" si="1920"/>
        <v>7.5480622955385011E-3</v>
      </c>
      <c r="CF272" s="48">
        <f t="shared" si="1920"/>
        <v>9.1412632334729651E-3</v>
      </c>
      <c r="CG272" s="48">
        <f t="shared" si="1920"/>
        <v>8.4463162032808528E-3</v>
      </c>
      <c r="CH272" s="48">
        <f t="shared" si="1920"/>
        <v>7.8385618789786303E-3</v>
      </c>
      <c r="CI272" s="48">
        <f t="shared" si="1920"/>
        <v>6.1171608341674946E-3</v>
      </c>
      <c r="CJ272" s="48">
        <f t="shared" si="1920"/>
        <v>1.634107108585571E-2</v>
      </c>
      <c r="CK272" s="48">
        <f t="shared" si="1920"/>
        <v>1.5904370327032222E-2</v>
      </c>
      <c r="CL272" s="48">
        <f t="shared" si="1920"/>
        <v>1.9142415527415486E-2</v>
      </c>
      <c r="CM272" s="50">
        <f t="shared" si="1920"/>
        <v>2.1855388667174874E-2</v>
      </c>
      <c r="CN272" s="50">
        <f t="shared" si="1920"/>
        <v>2.3808315541300352E-2</v>
      </c>
      <c r="CO272" s="50">
        <f t="shared" si="1920"/>
        <v>2.2751899350804804E-2</v>
      </c>
      <c r="CP272" s="50">
        <f t="shared" si="1920"/>
        <v>2.2725622779412057E-2</v>
      </c>
      <c r="CQ272" s="50">
        <f t="shared" si="1920"/>
        <v>2.3524896160076653E-2</v>
      </c>
      <c r="CR272" s="50">
        <f t="shared" si="1920"/>
        <v>2.5043043033720278E-2</v>
      </c>
      <c r="CS272" s="50">
        <f t="shared" ref="CS272:CT276" si="1921">CS330/CS215*CS$5</f>
        <v>2.3995932381176917E-2</v>
      </c>
      <c r="CT272" s="50">
        <f t="shared" si="1921"/>
        <v>2.5191381282101761E-2</v>
      </c>
      <c r="CU272" s="50"/>
      <c r="CV272" s="50"/>
      <c r="CW272" s="50"/>
      <c r="CX272" s="50"/>
      <c r="CY272" s="50"/>
      <c r="CZ272" s="49"/>
      <c r="DA272" s="48"/>
      <c r="DB272" s="48"/>
      <c r="DC272" s="48"/>
      <c r="DD272" s="48"/>
      <c r="DE272" s="48"/>
      <c r="DF272" s="48"/>
      <c r="DG272" s="235"/>
      <c r="DH272" s="235"/>
      <c r="DI272" s="235"/>
    </row>
    <row r="273" spans="1:113" hidden="1" outlineLevel="2">
      <c r="A273" s="1" t="s">
        <v>228</v>
      </c>
      <c r="B273" s="19" t="s">
        <v>165</v>
      </c>
      <c r="C273" s="235">
        <f t="shared" si="1915"/>
        <v>2.6515636183866487E-2</v>
      </c>
      <c r="D273" s="235">
        <f t="shared" si="1915"/>
        <v>2.6298422710389069E-2</v>
      </c>
      <c r="E273" s="235">
        <f t="shared" si="1915"/>
        <v>2.2058940843833752E-2</v>
      </c>
      <c r="F273" s="235">
        <f t="shared" si="1915"/>
        <v>2.254133001474401E-2</v>
      </c>
      <c r="G273" s="235">
        <f t="shared" si="1915"/>
        <v>2.2587906391744017E-2</v>
      </c>
      <c r="H273" s="235">
        <f t="shared" si="1915"/>
        <v>1.9929990342290704E-2</v>
      </c>
      <c r="I273" s="235">
        <f t="shared" si="1915"/>
        <v>1.9661709918541215E-2</v>
      </c>
      <c r="J273" s="235">
        <f t="shared" si="1915"/>
        <v>1.9244571097848051E-2</v>
      </c>
      <c r="K273" s="235">
        <f t="shared" si="1915"/>
        <v>1.6857532300595168E-2</v>
      </c>
      <c r="L273" s="235">
        <f t="shared" si="1915"/>
        <v>1.7149227409423817E-2</v>
      </c>
      <c r="M273" s="48">
        <f t="shared" si="1916"/>
        <v>1.5897354058396207E-2</v>
      </c>
      <c r="N273" s="48">
        <f t="shared" si="1916"/>
        <v>1.4866969304818678E-2</v>
      </c>
      <c r="O273" s="48">
        <f t="shared" si="1916"/>
        <v>1.4207438097186831E-2</v>
      </c>
      <c r="P273" s="48">
        <f t="shared" si="1916"/>
        <v>1.2143238194871731E-2</v>
      </c>
      <c r="Q273" s="48">
        <f t="shared" si="1916"/>
        <v>1.1687509333655033E-2</v>
      </c>
      <c r="R273" s="48">
        <f t="shared" si="1916"/>
        <v>2.1997480030668592E-2</v>
      </c>
      <c r="S273" s="48">
        <f t="shared" si="1916"/>
        <v>2.7080497684543237E-2</v>
      </c>
      <c r="T273" s="50">
        <f t="shared" si="1916"/>
        <v>2.6171740771211427E-2</v>
      </c>
      <c r="U273" s="48">
        <f t="shared" si="1916"/>
        <v>2.6545840605477822E-2</v>
      </c>
      <c r="V273" s="48">
        <f t="shared" si="1916"/>
        <v>2.8502241144599427E-2</v>
      </c>
      <c r="W273" s="48">
        <f t="shared" si="1916"/>
        <v>3.0917115179291077E-2</v>
      </c>
      <c r="X273" s="48">
        <f t="shared" si="1916"/>
        <v>3.23548112542974E-2</v>
      </c>
      <c r="Y273" s="50">
        <f>Y68</f>
        <v>3.4073607247926296E-2</v>
      </c>
      <c r="Z273" s="50">
        <f>Z68</f>
        <v>3.530143649481654E-2</v>
      </c>
      <c r="AA273" s="50">
        <f t="shared" si="1916"/>
        <v>3.5320725378313433E-2</v>
      </c>
      <c r="AB273" s="50">
        <f t="shared" si="1916"/>
        <v>3.5629129458359943E-2</v>
      </c>
      <c r="AC273" s="50">
        <f t="shared" ref="AC273:AK273" si="1922">AC68</f>
        <v>3.5403413111693149E-2</v>
      </c>
      <c r="AD273" s="50">
        <f t="shared" si="1922"/>
        <v>3.4256548680391408E-2</v>
      </c>
      <c r="AE273" s="50">
        <f t="shared" si="1922"/>
        <v>3.494003822147751E-2</v>
      </c>
      <c r="AF273" s="50">
        <f t="shared" si="1922"/>
        <v>3.2946400854567903E-2</v>
      </c>
      <c r="AG273" s="50">
        <f t="shared" si="1922"/>
        <v>3.3033057755038397E-2</v>
      </c>
      <c r="AH273" s="50">
        <f t="shared" si="1922"/>
        <v>3.3172997416979877E-2</v>
      </c>
      <c r="AI273" s="50">
        <f t="shared" si="1922"/>
        <v>3.2888242512773447E-2</v>
      </c>
      <c r="AJ273" s="50">
        <f t="shared" si="1922"/>
        <v>3.2556594473240219E-2</v>
      </c>
      <c r="AK273" s="50">
        <f t="shared" si="1922"/>
        <v>3.0373643242260773E-2</v>
      </c>
      <c r="AL273" s="50">
        <f t="shared" si="1918"/>
        <v>3.0589779429510022E-2</v>
      </c>
      <c r="AM273" s="50">
        <f t="shared" si="1918"/>
        <v>3.3323039406147892E-2</v>
      </c>
      <c r="AN273" s="50">
        <f t="shared" si="1918"/>
        <v>3.3672120612451943E-2</v>
      </c>
      <c r="AO273" s="50">
        <f t="shared" si="1919"/>
        <v>3.4699984042093325E-2</v>
      </c>
      <c r="AP273" s="50">
        <f t="shared" si="1919"/>
        <v>3.4129720277799501E-2</v>
      </c>
      <c r="AQ273" s="50">
        <f t="shared" si="1919"/>
        <v>3.2712703587712798E-2</v>
      </c>
      <c r="AR273" s="50"/>
      <c r="AS273" s="50"/>
      <c r="AT273" s="50"/>
      <c r="AU273" s="50"/>
      <c r="AV273" s="50"/>
      <c r="AW273" s="50"/>
      <c r="AX273" s="50"/>
      <c r="AY273" s="50"/>
      <c r="AZ273" s="49"/>
      <c r="BA273" s="48"/>
      <c r="BB273" s="48"/>
      <c r="BC273" s="48"/>
      <c r="BD273" s="48"/>
      <c r="BE273" s="48"/>
      <c r="BF273" s="48"/>
      <c r="BG273" s="48"/>
      <c r="BH273" s="48"/>
      <c r="BI273" s="48"/>
      <c r="BJ273" s="48"/>
      <c r="BK273" s="48"/>
      <c r="BL273" s="235"/>
      <c r="BM273" s="235"/>
      <c r="BN273" s="235"/>
      <c r="BO273" s="235"/>
      <c r="BP273" s="235"/>
      <c r="BQ273" s="235"/>
      <c r="BR273" s="48"/>
      <c r="BS273" s="235"/>
      <c r="BT273" s="235"/>
      <c r="BU273" s="235"/>
      <c r="BV273" s="235"/>
      <c r="BW273" s="235"/>
      <c r="BX273" s="235"/>
      <c r="BY273" s="235"/>
      <c r="BZ273" s="235"/>
      <c r="CA273" s="235"/>
      <c r="CB273" s="235"/>
      <c r="CC273" s="48">
        <f t="shared" ref="CC273:CR273" si="1923">CC331/CC216*CC$5</f>
        <v>2.4301516779997711E-2</v>
      </c>
      <c r="CD273" s="48">
        <f t="shared" si="1923"/>
        <v>2.2570013298941836E-2</v>
      </c>
      <c r="CE273" s="48">
        <f t="shared" si="1923"/>
        <v>1.9787547740808924E-2</v>
      </c>
      <c r="CF273" s="48">
        <f t="shared" si="1923"/>
        <v>1.8033269760517084E-2</v>
      </c>
      <c r="CG273" s="48">
        <f t="shared" si="1923"/>
        <v>1.6797533239915185E-2</v>
      </c>
      <c r="CH273" s="48">
        <f t="shared" si="1923"/>
        <v>1.447205090755764E-2</v>
      </c>
      <c r="CI273" s="48">
        <f t="shared" si="1923"/>
        <v>1.2159901366238872E-2</v>
      </c>
      <c r="CJ273" s="48">
        <f t="shared" si="1923"/>
        <v>2.3832654669759971E-2</v>
      </c>
      <c r="CK273" s="48">
        <f t="shared" si="1923"/>
        <v>2.6410199245496761E-2</v>
      </c>
      <c r="CL273" s="48">
        <f t="shared" si="1923"/>
        <v>3.3234834374285531E-2</v>
      </c>
      <c r="CM273" s="50">
        <f t="shared" si="1923"/>
        <v>3.7164031945437249E-2</v>
      </c>
      <c r="CN273" s="50">
        <f t="shared" si="1923"/>
        <v>3.8696739857080671E-2</v>
      </c>
      <c r="CO273" s="50">
        <f t="shared" si="1923"/>
        <v>3.750254844191394E-2</v>
      </c>
      <c r="CP273" s="50">
        <f t="shared" si="1923"/>
        <v>3.5944002323838424E-2</v>
      </c>
      <c r="CQ273" s="50">
        <f t="shared" si="1923"/>
        <v>3.3334906245108029E-2</v>
      </c>
      <c r="CR273" s="50">
        <f t="shared" si="1923"/>
        <v>3.3549659178630141E-2</v>
      </c>
      <c r="CS273" s="50">
        <f t="shared" si="1921"/>
        <v>3.1577574528835139E-2</v>
      </c>
      <c r="CT273" s="50">
        <f t="shared" si="1921"/>
        <v>3.1754818663066418E-2</v>
      </c>
      <c r="CU273" s="50"/>
      <c r="CV273" s="50"/>
      <c r="CW273" s="50"/>
      <c r="CX273" s="50"/>
      <c r="CY273" s="50"/>
      <c r="CZ273" s="49"/>
      <c r="DA273" s="48"/>
      <c r="DB273" s="48"/>
      <c r="DC273" s="48"/>
      <c r="DD273" s="48"/>
      <c r="DE273" s="48"/>
      <c r="DF273" s="48"/>
      <c r="DG273" s="235"/>
      <c r="DH273" s="235"/>
      <c r="DI273" s="235"/>
    </row>
    <row r="274" spans="1:113" hidden="1" outlineLevel="2">
      <c r="A274" s="1" t="s">
        <v>229</v>
      </c>
      <c r="B274" s="19" t="s">
        <v>166</v>
      </c>
      <c r="C274" s="235">
        <f t="shared" ref="C274:L274" si="1924">C332/C217*C$5</f>
        <v>3.39303757320931E-2</v>
      </c>
      <c r="D274" s="235">
        <f t="shared" si="1924"/>
        <v>3.4516506905834354E-2</v>
      </c>
      <c r="E274" s="235">
        <f t="shared" si="1924"/>
        <v>2.6900528243176597E-2</v>
      </c>
      <c r="F274" s="235">
        <f t="shared" si="1924"/>
        <v>1.5755539273944456E-2</v>
      </c>
      <c r="G274" s="235">
        <f t="shared" si="1924"/>
        <v>1.8086284576542277E-2</v>
      </c>
      <c r="H274" s="235">
        <f t="shared" si="1924"/>
        <v>7.8925199510965684E-3</v>
      </c>
      <c r="I274" s="235">
        <f t="shared" si="1924"/>
        <v>7.5737037341146868E-2</v>
      </c>
      <c r="J274" s="235">
        <f t="shared" si="1924"/>
        <v>4.0563592001387906E-2</v>
      </c>
      <c r="K274" s="235">
        <f t="shared" si="1924"/>
        <v>3.3310747314499671E-2</v>
      </c>
      <c r="L274" s="235">
        <f t="shared" si="1924"/>
        <v>4.3510499168092964E-2</v>
      </c>
      <c r="M274" s="48">
        <f t="shared" ref="M274:X274" si="1925">M332/M217*M$5</f>
        <v>-4.334733219168891E-2</v>
      </c>
      <c r="N274" s="48">
        <f t="shared" si="1925"/>
        <v>1.9556631900052229E-2</v>
      </c>
      <c r="O274" s="48">
        <f t="shared" si="1925"/>
        <v>-3.2499122202661754E-2</v>
      </c>
      <c r="P274" s="48">
        <f t="shared" si="1925"/>
        <v>-8.5928376789993988E-2</v>
      </c>
      <c r="Q274" s="48">
        <f t="shared" si="1925"/>
        <v>-5.0903381544537052E-2</v>
      </c>
      <c r="R274" s="48">
        <f t="shared" si="1925"/>
        <v>-6.6411564745017691E-3</v>
      </c>
      <c r="S274" s="48">
        <f t="shared" si="1925"/>
        <v>5.3403734112461083E-2</v>
      </c>
      <c r="T274" s="50">
        <f t="shared" si="1925"/>
        <v>3.6842291989933267E-2</v>
      </c>
      <c r="U274" s="48">
        <f t="shared" si="1925"/>
        <v>1.8303066874104455E-2</v>
      </c>
      <c r="V274" s="48">
        <f t="shared" si="1925"/>
        <v>-2.8398278928327956E-3</v>
      </c>
      <c r="W274" s="48">
        <f t="shared" si="1925"/>
        <v>-6.1260881856963836E-3</v>
      </c>
      <c r="X274" s="48">
        <f t="shared" si="1925"/>
        <v>-4.9145407770998725E-3</v>
      </c>
      <c r="Y274" s="50">
        <f t="shared" ref="Y274:AK274" si="1926">Y332/Y217*Y$5</f>
        <v>6.1232575115524731E-3</v>
      </c>
      <c r="Z274" s="50">
        <f t="shared" si="1926"/>
        <v>1.475368095745784E-2</v>
      </c>
      <c r="AA274" s="385">
        <f t="shared" si="1926"/>
        <v>2.9739813538248928E-2</v>
      </c>
      <c r="AB274" s="50">
        <f t="shared" si="1926"/>
        <v>3.0152302011222976E-2</v>
      </c>
      <c r="AC274" s="50">
        <f t="shared" si="1926"/>
        <v>2.0419040171043821E-2</v>
      </c>
      <c r="AD274" s="50">
        <f t="shared" si="1926"/>
        <v>1.2059590866059355E-2</v>
      </c>
      <c r="AE274" s="50">
        <f t="shared" si="1926"/>
        <v>1.4972778201126E-2</v>
      </c>
      <c r="AF274" s="50">
        <f t="shared" si="1926"/>
        <v>2.2820349503912624E-2</v>
      </c>
      <c r="AG274" s="50">
        <f t="shared" si="1926"/>
        <v>1.8977478715678321E-2</v>
      </c>
      <c r="AH274" s="50">
        <f t="shared" si="1926"/>
        <v>2.5509682113281983E-2</v>
      </c>
      <c r="AI274" s="50">
        <f t="shared" si="1926"/>
        <v>2.1745718730295825E-2</v>
      </c>
      <c r="AJ274" s="50">
        <f t="shared" si="1926"/>
        <v>2.9166737544287318E-2</v>
      </c>
      <c r="AK274" s="50">
        <f t="shared" si="1926"/>
        <v>2.2555129804926174E-2</v>
      </c>
      <c r="AL274" s="50">
        <f t="shared" ref="AL274:AQ274" si="1927">AL332/AL217*AL$5</f>
        <v>1.2649176557063624E-2</v>
      </c>
      <c r="AM274" s="50">
        <f t="shared" si="1927"/>
        <v>4.5764364183766681E-3</v>
      </c>
      <c r="AN274" s="50">
        <f t="shared" si="1927"/>
        <v>3.3989028213481778E-2</v>
      </c>
      <c r="AO274" s="50">
        <f t="shared" si="1927"/>
        <v>3.4142954372679599E-2</v>
      </c>
      <c r="AP274" s="50">
        <f t="shared" si="1927"/>
        <v>4.0165330951836366E-2</v>
      </c>
      <c r="AQ274" s="50">
        <f t="shared" si="1927"/>
        <v>4.4845762030612253E-2</v>
      </c>
      <c r="AR274" s="50"/>
      <c r="AS274" s="50"/>
      <c r="AT274" s="50"/>
      <c r="AU274" s="50"/>
      <c r="AV274" s="50"/>
      <c r="AW274" s="50"/>
      <c r="AX274" s="50"/>
      <c r="AY274" s="50"/>
      <c r="AZ274" s="49"/>
      <c r="BA274" s="48"/>
      <c r="BB274" s="48"/>
      <c r="BC274" s="48"/>
      <c r="BD274" s="48"/>
      <c r="BE274" s="48"/>
      <c r="BF274" s="48"/>
      <c r="BG274" s="48"/>
      <c r="BH274" s="48"/>
      <c r="BI274" s="48"/>
      <c r="BJ274" s="48"/>
      <c r="BK274" s="48"/>
      <c r="BL274" s="235"/>
      <c r="BM274" s="235"/>
      <c r="BN274" s="235"/>
      <c r="BO274" s="235"/>
      <c r="BP274" s="235"/>
      <c r="BQ274" s="235"/>
      <c r="BR274" s="48"/>
      <c r="BS274" s="235"/>
      <c r="BT274" s="235"/>
      <c r="BU274" s="235"/>
      <c r="BV274" s="235"/>
      <c r="BW274" s="235"/>
      <c r="BX274" s="235"/>
      <c r="BY274" s="235"/>
      <c r="BZ274" s="235"/>
      <c r="CA274" s="235"/>
      <c r="CB274" s="235"/>
      <c r="CC274" s="48">
        <f t="shared" ref="CC274:CR274" si="1928">CC332/CC217*CC$5</f>
        <v>3.0920422752985285E-2</v>
      </c>
      <c r="CD274" s="48">
        <f t="shared" si="1928"/>
        <v>1.6897074609634424E-2</v>
      </c>
      <c r="CE274" s="48">
        <f t="shared" si="1928"/>
        <v>3.7672399354334189E-2</v>
      </c>
      <c r="CF274" s="48">
        <f t="shared" si="1928"/>
        <v>3.6353828912106763E-2</v>
      </c>
      <c r="CG274" s="48">
        <f t="shared" si="1928"/>
        <v>2.6839349056500427E-4</v>
      </c>
      <c r="CH274" s="48">
        <f t="shared" si="1928"/>
        <v>-9.4554977375214608E-3</v>
      </c>
      <c r="CI274" s="48">
        <f t="shared" si="1928"/>
        <v>-6.8630608734859197E-2</v>
      </c>
      <c r="CJ274" s="48">
        <f t="shared" si="1928"/>
        <v>2.7416861946438116E-2</v>
      </c>
      <c r="CK274" s="48">
        <f t="shared" si="1928"/>
        <v>2.7661664076745043E-2</v>
      </c>
      <c r="CL274" s="48">
        <f t="shared" si="1928"/>
        <v>-4.3629660879621699E-3</v>
      </c>
      <c r="CM274" s="50">
        <f t="shared" si="1928"/>
        <v>6.2382460485631091E-4</v>
      </c>
      <c r="CN274" s="50">
        <f t="shared" si="1928"/>
        <v>2.1751124701873865E-2</v>
      </c>
      <c r="CO274" s="50">
        <f t="shared" si="1928"/>
        <v>2.5173198110084033E-2</v>
      </c>
      <c r="CP274" s="50">
        <f t="shared" si="1928"/>
        <v>1.3355105832699865E-2</v>
      </c>
      <c r="CQ274" s="50">
        <f t="shared" si="1928"/>
        <v>2.1225482533960369E-2</v>
      </c>
      <c r="CR274" s="50">
        <f t="shared" si="1928"/>
        <v>2.3281397353095184E-2</v>
      </c>
      <c r="CS274" s="50">
        <f t="shared" si="1921"/>
        <v>2.6006386182471485E-2</v>
      </c>
      <c r="CT274" s="50">
        <f t="shared" si="1921"/>
        <v>8.9227928057660812E-3</v>
      </c>
      <c r="CU274" s="50"/>
      <c r="CV274" s="50"/>
      <c r="CW274" s="50"/>
      <c r="CX274" s="50"/>
      <c r="CY274" s="50"/>
      <c r="CZ274" s="49"/>
      <c r="DA274" s="48"/>
      <c r="DB274" s="48"/>
      <c r="DC274" s="48"/>
      <c r="DD274" s="48"/>
      <c r="DE274" s="48"/>
      <c r="DF274" s="48"/>
      <c r="DG274" s="235"/>
      <c r="DH274" s="235"/>
      <c r="DI274" s="235"/>
    </row>
    <row r="275" spans="1:113" hidden="1" outlineLevel="2">
      <c r="A275" s="1" t="s">
        <v>230</v>
      </c>
      <c r="B275" s="19" t="s">
        <v>167</v>
      </c>
      <c r="C275" s="235">
        <f>C70</f>
        <v>1.8635766098308963E-2</v>
      </c>
      <c r="D275" s="235">
        <f t="shared" si="1915"/>
        <v>2.095898584894347E-2</v>
      </c>
      <c r="E275" s="235">
        <f t="shared" si="1915"/>
        <v>1.9173711396496998E-2</v>
      </c>
      <c r="F275" s="235">
        <f t="shared" si="1915"/>
        <v>2.0128833264515748E-2</v>
      </c>
      <c r="G275" s="235">
        <f t="shared" si="1915"/>
        <v>2.247326063061994E-2</v>
      </c>
      <c r="H275" s="235">
        <f t="shared" si="1915"/>
        <v>1.7603788034111403E-2</v>
      </c>
      <c r="I275" s="235">
        <f t="shared" si="1915"/>
        <v>1.5193249894360321E-2</v>
      </c>
      <c r="J275" s="235">
        <f t="shared" si="1915"/>
        <v>1.5666062258918416E-2</v>
      </c>
      <c r="K275" s="235">
        <f t="shared" si="1915"/>
        <v>1.4007067780205176E-2</v>
      </c>
      <c r="L275" s="235">
        <f t="shared" si="1915"/>
        <v>1.4801320878503013E-2</v>
      </c>
      <c r="M275" s="48">
        <f t="shared" si="1916"/>
        <v>1.3926433757629177E-2</v>
      </c>
      <c r="N275" s="48">
        <f t="shared" si="1916"/>
        <v>1.1254514139820294E-2</v>
      </c>
      <c r="O275" s="48">
        <f t="shared" si="1916"/>
        <v>9.7096577564007164E-3</v>
      </c>
      <c r="P275" s="48">
        <f t="shared" si="1916"/>
        <v>8.0553150180827232E-3</v>
      </c>
      <c r="Q275" s="48">
        <f t="shared" si="1916"/>
        <v>1.0201520200173654E-2</v>
      </c>
      <c r="R275" s="48">
        <f t="shared" si="1916"/>
        <v>3.017232629464317E-2</v>
      </c>
      <c r="S275" s="48">
        <f t="shared" si="1916"/>
        <v>5.0699940408169525E-2</v>
      </c>
      <c r="T275" s="50">
        <f t="shared" si="1916"/>
        <v>4.6205490430322627E-2</v>
      </c>
      <c r="U275" s="48">
        <f t="shared" si="1916"/>
        <v>4.5607568128101406E-2</v>
      </c>
      <c r="V275" s="48">
        <f t="shared" si="1916"/>
        <v>4.5919721677392111E-2</v>
      </c>
      <c r="W275" s="48">
        <f t="shared" si="1916"/>
        <v>4.5852977655322924E-2</v>
      </c>
      <c r="X275" s="48">
        <f t="shared" si="1916"/>
        <v>4.7479169678848201E-2</v>
      </c>
      <c r="Y275" s="50">
        <f>Y70</f>
        <v>5.2863213445058982E-2</v>
      </c>
      <c r="Z275" s="50">
        <f>Z70</f>
        <v>5.719106706515209E-2</v>
      </c>
      <c r="AA275" s="50">
        <f t="shared" si="1916"/>
        <v>6.0971445207642042E-2</v>
      </c>
      <c r="AB275" s="50">
        <f t="shared" si="1916"/>
        <v>6.3403021973661502E-2</v>
      </c>
      <c r="AC275" s="50">
        <f t="shared" ref="AC275:AK275" si="1929">AC70</f>
        <v>6.2475750323156554E-2</v>
      </c>
      <c r="AD275" s="50">
        <f t="shared" si="1929"/>
        <v>6.0691182513120445E-2</v>
      </c>
      <c r="AE275" s="50">
        <f t="shared" si="1929"/>
        <v>6.3061193138813046E-2</v>
      </c>
      <c r="AF275" s="50">
        <f t="shared" si="1929"/>
        <v>6.2745247817979966E-2</v>
      </c>
      <c r="AG275" s="50">
        <f t="shared" si="1929"/>
        <v>6.2559540615919979E-2</v>
      </c>
      <c r="AH275" s="50">
        <f t="shared" si="1929"/>
        <v>6.5622224154752523E-2</v>
      </c>
      <c r="AI275" s="50">
        <f t="shared" si="1929"/>
        <v>6.6534907280107497E-2</v>
      </c>
      <c r="AJ275" s="50">
        <f t="shared" si="1929"/>
        <v>6.3516017403794756E-2</v>
      </c>
      <c r="AK275" s="50">
        <f t="shared" si="1929"/>
        <v>6.0883479145981717E-2</v>
      </c>
      <c r="AL275" s="50">
        <f t="shared" ref="AL275:AQ275" si="1930">AL70</f>
        <v>5.991977299858231E-2</v>
      </c>
      <c r="AM275" s="50">
        <f t="shared" si="1930"/>
        <v>6.3927599172305755E-2</v>
      </c>
      <c r="AN275" s="50">
        <f t="shared" si="1930"/>
        <v>6.5064945839474642E-2</v>
      </c>
      <c r="AO275" s="50">
        <f t="shared" si="1930"/>
        <v>6.7192655931039E-2</v>
      </c>
      <c r="AP275" s="50">
        <f t="shared" si="1930"/>
        <v>6.543315368452092E-2</v>
      </c>
      <c r="AQ275" s="50">
        <f t="shared" si="1930"/>
        <v>6.4049455243246622E-2</v>
      </c>
      <c r="AR275" s="50"/>
      <c r="AS275" s="50"/>
      <c r="AT275" s="50"/>
      <c r="AU275" s="50"/>
      <c r="AV275" s="50"/>
      <c r="AW275" s="50"/>
      <c r="AX275" s="50"/>
      <c r="AY275" s="50"/>
      <c r="AZ275" s="49"/>
      <c r="BA275" s="48"/>
      <c r="BB275" s="48"/>
      <c r="BC275" s="48"/>
      <c r="BD275" s="48"/>
      <c r="BE275" s="48"/>
      <c r="BF275" s="48"/>
      <c r="BG275" s="48"/>
      <c r="BH275" s="48"/>
      <c r="BI275" s="48"/>
      <c r="BJ275" s="48"/>
      <c r="BK275" s="48"/>
      <c r="BL275" s="235"/>
      <c r="BM275" s="235"/>
      <c r="BN275" s="235"/>
      <c r="BO275" s="235"/>
      <c r="BP275" s="235"/>
      <c r="BQ275" s="235"/>
      <c r="BR275" s="48"/>
      <c r="BS275" s="235"/>
      <c r="BT275" s="235"/>
      <c r="BU275" s="235"/>
      <c r="BV275" s="235"/>
      <c r="BW275" s="235"/>
      <c r="BX275" s="235"/>
      <c r="BY275" s="235"/>
      <c r="BZ275" s="235"/>
      <c r="CA275" s="235"/>
      <c r="CB275" s="235"/>
      <c r="CC275" s="48">
        <f t="shared" ref="CC275:CR275" si="1931">CC333/CC218*CC$5</f>
        <v>1.995827627913033E-2</v>
      </c>
      <c r="CD275" s="48">
        <f t="shared" si="1931"/>
        <v>2.1302365969382318E-2</v>
      </c>
      <c r="CE275" s="48">
        <f t="shared" si="1931"/>
        <v>1.6382673408656657E-2</v>
      </c>
      <c r="CF275" s="48">
        <f t="shared" si="1931"/>
        <v>1.4809410005749906E-2</v>
      </c>
      <c r="CG275" s="48">
        <f t="shared" si="1931"/>
        <v>1.4144184573191134E-2</v>
      </c>
      <c r="CH275" s="48">
        <f t="shared" si="1931"/>
        <v>1.0245083470186126E-2</v>
      </c>
      <c r="CI275" s="48">
        <f t="shared" si="1931"/>
        <v>9.2149452393053537E-3</v>
      </c>
      <c r="CJ275" s="48">
        <f t="shared" si="1931"/>
        <v>3.7993444694164567E-2</v>
      </c>
      <c r="CK275" s="48">
        <f t="shared" si="1931"/>
        <v>4.6443924860762292E-2</v>
      </c>
      <c r="CL275" s="48">
        <f t="shared" si="1931"/>
        <v>4.4820527194177673E-2</v>
      </c>
      <c r="CM275" s="50">
        <f t="shared" si="1931"/>
        <v>4.8865304327015704E-2</v>
      </c>
      <c r="CN275" s="50">
        <f t="shared" si="1931"/>
        <v>5.8263999564937531E-2</v>
      </c>
      <c r="CO275" s="50">
        <f t="shared" si="1931"/>
        <v>6.2364408025522157E-2</v>
      </c>
      <c r="CP275" s="50">
        <f t="shared" si="1931"/>
        <v>6.2148780105447464E-2</v>
      </c>
      <c r="CQ275" s="50">
        <f t="shared" si="1931"/>
        <v>6.2901967018166555E-2</v>
      </c>
      <c r="CR275" s="50">
        <f t="shared" si="1931"/>
        <v>6.6225148034933165E-2</v>
      </c>
      <c r="CS275" s="50">
        <f t="shared" si="1921"/>
        <v>6.2311916401998346E-2</v>
      </c>
      <c r="CT275" s="50">
        <f t="shared" si="1921"/>
        <v>6.1770727588934794E-2</v>
      </c>
      <c r="CU275" s="50"/>
      <c r="CV275" s="50"/>
      <c r="CW275" s="50"/>
      <c r="CX275" s="50"/>
      <c r="CY275" s="50"/>
      <c r="CZ275" s="49"/>
      <c r="DA275" s="48"/>
      <c r="DB275" s="48"/>
      <c r="DC275" s="48"/>
      <c r="DD275" s="48"/>
      <c r="DE275" s="48"/>
      <c r="DF275" s="48"/>
      <c r="DG275" s="235"/>
      <c r="DH275" s="235"/>
      <c r="DI275" s="235"/>
    </row>
    <row r="276" spans="1:113" s="24" customFormat="1" hidden="1" outlineLevel="2">
      <c r="A276" s="1" t="s">
        <v>231</v>
      </c>
      <c r="B276" s="24" t="s">
        <v>168</v>
      </c>
      <c r="C276" s="561">
        <f>(4384*C$5/C219)-C$318</f>
        <v>2.1713995351030857E-2</v>
      </c>
      <c r="D276" s="561">
        <f>(4075*D$5/D219)-D$318</f>
        <v>2.1296937069433731E-2</v>
      </c>
      <c r="E276" s="561">
        <f>(3909*E$5/E219)-E$318</f>
        <v>1.6778969528356738E-2</v>
      </c>
      <c r="F276" s="561">
        <f>(4242*F$5/F219)-F$318</f>
        <v>1.600025536534478E-2</v>
      </c>
      <c r="G276" s="561">
        <f>(4296*G$5/G219)-G$318</f>
        <v>1.6923982335277095E-2</v>
      </c>
      <c r="H276" s="561">
        <f>(4681*H$5/H219)-H$318</f>
        <v>1.3805720284544888E-2</v>
      </c>
      <c r="I276" s="561">
        <f>(5246*I$5/I219)-I$318</f>
        <v>1.254343861800148E-2</v>
      </c>
      <c r="J276" s="561">
        <f>((5742+254)*J$5/J219)-J$318</f>
        <v>1.4094983826307673E-2</v>
      </c>
      <c r="K276" s="561">
        <f>((6080+343)*K$5/K219)-K$318</f>
        <v>1.2549610928635047E-2</v>
      </c>
      <c r="L276" s="561">
        <f>((6717+352)*L$5/L219)-L$318</f>
        <v>1.3755354687392911E-2</v>
      </c>
      <c r="M276" s="174">
        <f>((6810+413)*M$5/M219)-M$318</f>
        <v>5.5027114061053511E-3</v>
      </c>
      <c r="N276" s="174">
        <f>((7799+439)*N$5/N219)-N$318</f>
        <v>1.0182176061664619E-2</v>
      </c>
      <c r="O276" s="174">
        <f>((8217+570)*O$5/O219)-O$318</f>
        <v>5.1735172541449714E-3</v>
      </c>
      <c r="P276" s="174">
        <f>((9281+557)*P$5/P219)-P$318</f>
        <v>-5.3761601357767697E-3</v>
      </c>
      <c r="Q276" s="174">
        <f>((10766+531)*Q$5/Q219)-Q$318</f>
        <v>-6.1213092914026712E-4</v>
      </c>
      <c r="R276" s="174">
        <f>((13706+614)*R$5/R219)-R$318</f>
        <v>1.3382150900831211E-2</v>
      </c>
      <c r="S276" s="174">
        <f>((11508+320)*S$5/S219)-S$318</f>
        <v>2.7243552728129554E-2</v>
      </c>
      <c r="T276" s="174">
        <f>((12132+267)*T$5/T219)-T$318</f>
        <v>2.1705132384092975E-2</v>
      </c>
      <c r="U276" s="174">
        <f>((13740+267)*U$5/U219)-U$318</f>
        <v>1.9705978978310716E-2</v>
      </c>
      <c r="V276" s="174">
        <f>((31295-15838)*V$5/V219)-V$318</f>
        <v>1.8644565413285963E-2</v>
      </c>
      <c r="W276" s="174">
        <f>(15838*W$5/W219)-W$318</f>
        <v>1.982361392197643E-2</v>
      </c>
      <c r="X276" s="93">
        <f>(16131*X$5/X219)-X$318</f>
        <v>2.0770567694524913E-2</v>
      </c>
      <c r="Y276" s="174">
        <f>(15589*Y$5/Y219)-Y$318</f>
        <v>2.4402879959798604E-2</v>
      </c>
      <c r="Z276" s="174">
        <f>(14809*Z$5/Z219)-Z$318</f>
        <v>2.6441608387995724E-2</v>
      </c>
      <c r="AA276" s="175">
        <f>(14046*AA$5/AA219)-AA$318</f>
        <v>2.8042978981607406E-2</v>
      </c>
      <c r="AB276" s="175">
        <f>(13792*AB$5/AB219)-AB$318</f>
        <v>2.7886880811439949E-2</v>
      </c>
      <c r="AC276" s="175">
        <f>(13567*AC$5/AC219)-AC$318</f>
        <v>2.5883582964142917E-2</v>
      </c>
      <c r="AD276" s="175">
        <f>(13795*AD$5/AD219)-AD$318</f>
        <v>2.4300378659717584E-2</v>
      </c>
      <c r="AE276" s="495">
        <f>(13307*AE$5/AE219)-AE$318</f>
        <v>2.5603258901372192E-2</v>
      </c>
      <c r="AF276" s="495">
        <f>(13251*AF$5/AF219)-AF$318</f>
        <v>2.6203627781987645E-2</v>
      </c>
      <c r="AG276" s="175">
        <f>(13369*AG$5/AG219)-AG$318</f>
        <v>2.6004390810127464E-2</v>
      </c>
      <c r="AH276" s="175">
        <f>(13218*AH$5/AH219)-AH$318</f>
        <v>2.7678113423808284E-2</v>
      </c>
      <c r="AI276" s="175">
        <f>(13049*AI$5/AI219)-AI$318</f>
        <v>2.7277309156361999E-2</v>
      </c>
      <c r="AJ276" s="175">
        <f>(13560*AJ$5/AJ219)-AJ$318</f>
        <v>2.7898986533115962E-2</v>
      </c>
      <c r="AK276" s="175">
        <f>(13261*AK$5/AK219)-AK$318</f>
        <v>2.5401363061844626E-2</v>
      </c>
      <c r="AL276" s="175">
        <f>(13421*AL$5/AL219)-AL$318</f>
        <v>2.454390329884024E-2</v>
      </c>
      <c r="AM276" s="175">
        <f>(13103*AM$5/AM219)-AM$318</f>
        <v>2.6326755058919269E-2</v>
      </c>
      <c r="AN276" s="175">
        <f>(12387*AN$5/AN219)-AN$318</f>
        <v>3.078650865384313E-2</v>
      </c>
      <c r="AO276" s="175">
        <f>(11176*AO$5/AO219)-AO$318</f>
        <v>3.1798493494955893E-2</v>
      </c>
      <c r="AP276" s="175">
        <f>(10410*AP$5/AP219)-AP$318</f>
        <v>3.2507161434874594E-2</v>
      </c>
      <c r="AQ276" s="175">
        <f>(10031*AQ$5/AQ219)-AQ$318</f>
        <v>3.158606076674686E-2</v>
      </c>
      <c r="AR276" s="175"/>
      <c r="AS276" s="175"/>
      <c r="AT276" s="175"/>
      <c r="AU276" s="175"/>
      <c r="AV276" s="175"/>
      <c r="AW276" s="175"/>
      <c r="AX276" s="175"/>
      <c r="AY276" s="170"/>
      <c r="AZ276" s="94"/>
      <c r="BA276" s="92"/>
      <c r="BB276" s="92"/>
      <c r="BC276" s="92"/>
      <c r="BD276" s="92"/>
      <c r="BE276" s="92"/>
      <c r="BF276" s="92"/>
      <c r="BG276" s="92"/>
      <c r="BH276" s="92"/>
      <c r="BI276" s="92"/>
      <c r="BJ276" s="92"/>
      <c r="BK276" s="92"/>
      <c r="BL276" s="562"/>
      <c r="BM276" s="562"/>
      <c r="BN276" s="562"/>
      <c r="BO276" s="562"/>
      <c r="BP276" s="562"/>
      <c r="BQ276" s="562"/>
      <c r="BR276" s="92"/>
      <c r="BS276" s="572">
        <f>(6432.5*BS$5/BS219)-BS$318</f>
        <v>4.044525936967551E-2</v>
      </c>
      <c r="BT276" s="572">
        <f>(5149.9*BT$5/BT219)-BT$318</f>
        <v>4.4032516299751745E-2</v>
      </c>
      <c r="BU276" s="572">
        <f>(4580*BU$5/BU219)-BU$318</f>
        <v>3.9206542281361494E-2</v>
      </c>
      <c r="BV276" s="572">
        <f>(4893*BV$5/BV219)-BV$318</f>
        <v>1.9663899173087751E-2</v>
      </c>
      <c r="BW276" s="572">
        <f>(5741*BW$5/BW219)-BW$318</f>
        <v>2.3211657519209658E-2</v>
      </c>
      <c r="BX276" s="572">
        <f>(5959*BX$5/BX219)-BX$318</f>
        <v>2.6446526768907637E-2</v>
      </c>
      <c r="BY276" s="572">
        <f>(5542*BY$5/BY219)-BY$318</f>
        <v>2.5307653708822854E-2</v>
      </c>
      <c r="BZ276" s="572">
        <f>(5899*BZ$5/BZ219)-BZ$318</f>
        <v>2.142809523095382E-2</v>
      </c>
      <c r="CA276" s="572">
        <f>(6701*CA$5/CA219)-CA$318</f>
        <v>1.4512948595833443E-2</v>
      </c>
      <c r="CB276" s="572">
        <f>(8983*CB$5/CB219)-CB$318</f>
        <v>1.7397005655528347E-2</v>
      </c>
      <c r="CC276" s="92">
        <f t="shared" ref="CC276:CR276" si="1932">CC334/CC219*CC$5</f>
        <v>1.9027896411931592E-2</v>
      </c>
      <c r="CD276" s="92">
        <f t="shared" si="1932"/>
        <v>1.6461598046161884E-2</v>
      </c>
      <c r="CE276" s="92">
        <f t="shared" si="1932"/>
        <v>1.3149973625517583E-2</v>
      </c>
      <c r="CF276" s="92">
        <f t="shared" si="1932"/>
        <v>1.3294142625369779E-2</v>
      </c>
      <c r="CG276" s="92">
        <f t="shared" si="1932"/>
        <v>9.5406540008162437E-3</v>
      </c>
      <c r="CH276" s="92">
        <f t="shared" si="1932"/>
        <v>7.31201630070145E-3</v>
      </c>
      <c r="CI276" s="92">
        <f t="shared" si="1932"/>
        <v>-2.9150803956545504E-3</v>
      </c>
      <c r="CJ276" s="92">
        <f t="shared" si="1932"/>
        <v>2.0485286415933866E-2</v>
      </c>
      <c r="CK276" s="92">
        <f t="shared" si="1932"/>
        <v>2.0699956032398405E-2</v>
      </c>
      <c r="CL276" s="92">
        <f t="shared" si="1932"/>
        <v>1.9230981744231511E-2</v>
      </c>
      <c r="CM276" s="170">
        <f t="shared" si="1932"/>
        <v>2.259456750240298E-2</v>
      </c>
      <c r="CN276" s="170">
        <f t="shared" si="1932"/>
        <v>2.7238961613632966E-2</v>
      </c>
      <c r="CO276" s="170">
        <f t="shared" si="1932"/>
        <v>2.6879881436211756E-2</v>
      </c>
      <c r="CP276" s="170">
        <f t="shared" si="1932"/>
        <v>2.495620124146819E-2</v>
      </c>
      <c r="CQ276" s="170">
        <f t="shared" si="1932"/>
        <v>2.6103392454318142E-2</v>
      </c>
      <c r="CR276" s="170">
        <f t="shared" si="1932"/>
        <v>2.7477621588968326E-2</v>
      </c>
      <c r="CS276" s="170">
        <f t="shared" si="1921"/>
        <v>2.6658814668508866E-2</v>
      </c>
      <c r="CT276" s="170">
        <f t="shared" si="1921"/>
        <v>2.5430151114707495E-2</v>
      </c>
      <c r="CU276" s="170"/>
      <c r="CV276" s="170"/>
      <c r="CW276" s="170"/>
      <c r="CX276" s="170"/>
      <c r="CY276" s="170"/>
      <c r="CZ276" s="94"/>
      <c r="DA276" s="92"/>
      <c r="DB276" s="92"/>
      <c r="DC276" s="92"/>
      <c r="DD276" s="92"/>
      <c r="DE276" s="92"/>
      <c r="DF276" s="92"/>
      <c r="DG276" s="562"/>
      <c r="DH276" s="562"/>
      <c r="DI276" s="562"/>
    </row>
    <row r="277" spans="1:113" hidden="1" outlineLevel="2">
      <c r="C277" s="235"/>
      <c r="D277" s="235"/>
      <c r="E277" s="235"/>
      <c r="F277" s="235"/>
      <c r="G277" s="235"/>
      <c r="H277" s="235"/>
      <c r="I277" s="235"/>
      <c r="J277" s="235"/>
      <c r="K277" s="235"/>
      <c r="L277" s="235"/>
      <c r="M277" s="48"/>
      <c r="N277" s="48"/>
      <c r="O277" s="48"/>
      <c r="P277" s="48"/>
      <c r="Q277" s="48"/>
      <c r="R277" s="48"/>
      <c r="S277" s="48"/>
      <c r="T277" s="48"/>
      <c r="U277" s="48"/>
      <c r="V277" s="48"/>
      <c r="W277" s="48"/>
      <c r="X277" s="48"/>
      <c r="Y277" s="50"/>
      <c r="Z277" s="50"/>
      <c r="AA277" s="50"/>
      <c r="AB277" s="50"/>
      <c r="AC277" s="50"/>
      <c r="AD277" s="50"/>
      <c r="AE277" s="385"/>
      <c r="AF277" s="385"/>
      <c r="AG277" s="50"/>
      <c r="AH277" s="50"/>
      <c r="AI277" s="50"/>
      <c r="AJ277" s="50"/>
      <c r="AK277" s="50"/>
      <c r="AL277" s="50"/>
      <c r="AM277" s="50"/>
      <c r="AN277" s="50"/>
      <c r="AO277" s="50"/>
      <c r="AP277" s="175"/>
      <c r="AQ277" s="175"/>
      <c r="AR277" s="175"/>
      <c r="AS277" s="175"/>
      <c r="AT277" s="175"/>
      <c r="AU277" s="175"/>
      <c r="AV277" s="175"/>
      <c r="AW277" s="175"/>
      <c r="AX277" s="175"/>
      <c r="AY277" s="50"/>
      <c r="AZ277" s="49"/>
      <c r="BA277" s="48"/>
      <c r="BB277" s="48"/>
      <c r="BC277" s="48"/>
      <c r="BD277" s="48"/>
      <c r="BE277" s="48"/>
      <c r="BF277" s="48"/>
      <c r="BG277" s="48"/>
      <c r="BH277" s="48"/>
      <c r="BI277" s="48"/>
      <c r="BJ277" s="48"/>
      <c r="BK277" s="48"/>
      <c r="BL277" s="235"/>
      <c r="BM277" s="235"/>
      <c r="BN277" s="235"/>
      <c r="BO277" s="235"/>
      <c r="BP277" s="235"/>
      <c r="BQ277" s="235"/>
      <c r="BR277" s="48"/>
      <c r="BS277" s="235"/>
      <c r="BT277" s="235"/>
      <c r="BU277" s="235"/>
      <c r="BV277" s="235"/>
      <c r="BW277" s="235"/>
      <c r="BX277" s="235"/>
      <c r="BY277" s="235"/>
      <c r="BZ277" s="235"/>
      <c r="CA277" s="235"/>
      <c r="CB277" s="235"/>
      <c r="CC277" s="48"/>
      <c r="CD277" s="48"/>
      <c r="CE277" s="48"/>
      <c r="CF277" s="48"/>
      <c r="CG277" s="48"/>
      <c r="CH277" s="48"/>
      <c r="CI277" s="48"/>
      <c r="CJ277" s="48"/>
      <c r="CK277" s="48"/>
      <c r="CL277" s="48"/>
      <c r="CM277" s="50"/>
      <c r="CN277" s="50"/>
      <c r="CO277" s="50"/>
      <c r="CP277" s="50"/>
      <c r="CQ277" s="50"/>
      <c r="CR277" s="50"/>
      <c r="CS277" s="50"/>
      <c r="CT277" s="50"/>
      <c r="CU277" s="50"/>
      <c r="CV277" s="50"/>
      <c r="CW277" s="50"/>
      <c r="CX277" s="50"/>
      <c r="CY277" s="50"/>
      <c r="CZ277" s="49"/>
      <c r="DA277" s="48"/>
      <c r="DB277" s="48"/>
    </row>
    <row r="278" spans="1:113" s="24" customFormat="1" hidden="1" outlineLevel="2">
      <c r="A278" s="1"/>
      <c r="B278" s="24" t="s">
        <v>406</v>
      </c>
      <c r="C278" s="562"/>
      <c r="D278" s="562"/>
      <c r="E278" s="562"/>
      <c r="F278" s="562"/>
      <c r="G278" s="562"/>
      <c r="H278" s="562"/>
      <c r="I278" s="562"/>
      <c r="J278" s="562"/>
      <c r="K278" s="562"/>
      <c r="L278" s="562"/>
      <c r="M278" s="92"/>
      <c r="N278" s="92"/>
      <c r="O278" s="92"/>
      <c r="P278" s="92"/>
      <c r="Q278" s="92"/>
      <c r="R278" s="92"/>
      <c r="S278" s="92"/>
      <c r="T278" s="92"/>
      <c r="U278" s="92"/>
      <c r="V278" s="92"/>
      <c r="W278" s="92"/>
      <c r="X278" s="92"/>
      <c r="Y278" s="170"/>
      <c r="Z278" s="170"/>
      <c r="AA278" s="170"/>
      <c r="AB278" s="170"/>
      <c r="AC278" s="170"/>
      <c r="AD278" s="170"/>
      <c r="AE278" s="496"/>
      <c r="AF278" s="496"/>
      <c r="AG278" s="170"/>
      <c r="AH278" s="170"/>
      <c r="AI278" s="170"/>
      <c r="AJ278" s="170"/>
      <c r="AK278" s="170"/>
      <c r="AL278" s="170"/>
      <c r="AM278" s="170"/>
      <c r="AN278" s="170"/>
      <c r="AO278" s="170"/>
      <c r="AP278" s="170"/>
      <c r="AQ278" s="170"/>
      <c r="AR278" s="170"/>
      <c r="AS278" s="170"/>
      <c r="AT278" s="170"/>
      <c r="AU278" s="170"/>
      <c r="AV278" s="170"/>
      <c r="AW278" s="170"/>
      <c r="AX278" s="170"/>
      <c r="AY278" s="170"/>
      <c r="AZ278" s="94"/>
      <c r="BA278" s="92"/>
      <c r="BB278" s="92"/>
      <c r="BC278" s="92"/>
      <c r="BD278" s="92"/>
      <c r="BE278" s="92"/>
      <c r="BF278" s="92"/>
      <c r="BG278" s="92"/>
      <c r="BH278" s="92"/>
      <c r="BI278" s="92"/>
      <c r="BJ278" s="92"/>
      <c r="BK278" s="92"/>
      <c r="BL278" s="562"/>
      <c r="BM278" s="562"/>
      <c r="BN278" s="562"/>
      <c r="BO278" s="562"/>
      <c r="BP278" s="562"/>
      <c r="BQ278" s="562"/>
      <c r="BR278" s="92"/>
      <c r="BS278" s="562"/>
      <c r="BT278" s="562"/>
      <c r="BU278" s="562"/>
      <c r="BV278" s="562"/>
      <c r="BW278" s="562"/>
      <c r="BX278" s="562"/>
      <c r="BY278" s="562"/>
      <c r="BZ278" s="562"/>
      <c r="CA278" s="562"/>
      <c r="CB278" s="562"/>
      <c r="CC278" s="92"/>
      <c r="CD278" s="92"/>
      <c r="CE278" s="92"/>
      <c r="CF278" s="92"/>
      <c r="CG278" s="92"/>
      <c r="CH278" s="92"/>
      <c r="CI278" s="92"/>
      <c r="CJ278" s="92"/>
      <c r="CK278" s="92"/>
      <c r="CL278" s="92"/>
      <c r="CM278" s="170"/>
      <c r="CN278" s="170"/>
      <c r="CO278" s="170"/>
      <c r="CP278" s="170"/>
      <c r="CQ278" s="170"/>
      <c r="CR278" s="170"/>
      <c r="CS278" s="170"/>
      <c r="CT278" s="170"/>
      <c r="CU278" s="170"/>
      <c r="CV278" s="170"/>
      <c r="CW278" s="170"/>
      <c r="CX278" s="170"/>
      <c r="CY278" s="170"/>
      <c r="CZ278" s="94"/>
      <c r="DA278" s="92"/>
      <c r="DB278" s="92"/>
    </row>
    <row r="279" spans="1:113" hidden="1" outlineLevel="2">
      <c r="A279" s="1" t="s">
        <v>144</v>
      </c>
      <c r="B279" s="19" t="s">
        <v>164</v>
      </c>
      <c r="C279" s="235"/>
      <c r="D279" s="235"/>
      <c r="E279" s="235"/>
      <c r="F279" s="235"/>
      <c r="G279" s="235"/>
      <c r="H279" s="235"/>
      <c r="I279" s="235"/>
      <c r="J279" s="235"/>
      <c r="K279" s="235"/>
      <c r="L279" s="235"/>
      <c r="M279" s="48"/>
      <c r="N279" s="48"/>
      <c r="O279" s="48"/>
      <c r="P279" s="48"/>
      <c r="Q279" s="48"/>
      <c r="R279" s="48"/>
      <c r="S279" s="48"/>
      <c r="T279" s="48"/>
      <c r="U279" s="48"/>
      <c r="V279" s="48"/>
      <c r="W279" s="48"/>
      <c r="X279" s="48"/>
      <c r="Y279" s="50"/>
      <c r="Z279" s="50"/>
      <c r="AA279" s="50"/>
      <c r="AB279" s="50"/>
      <c r="AC279" s="50"/>
      <c r="AD279" s="50"/>
      <c r="AE279" s="385"/>
      <c r="AF279" s="385"/>
      <c r="AG279" s="50"/>
      <c r="AH279" s="50"/>
      <c r="AI279" s="50"/>
      <c r="AJ279" s="50"/>
      <c r="AK279" s="50"/>
      <c r="AL279" s="50"/>
      <c r="AM279" s="50"/>
      <c r="AN279" s="50"/>
      <c r="AO279" s="50"/>
      <c r="AP279" s="50"/>
      <c r="AQ279" s="50"/>
      <c r="AR279" s="50"/>
      <c r="AS279" s="50"/>
      <c r="AT279" s="50"/>
      <c r="AU279" s="50"/>
      <c r="AV279" s="50"/>
      <c r="AW279" s="50"/>
      <c r="AX279" s="50"/>
      <c r="AY279" s="50"/>
      <c r="AZ279" s="49"/>
      <c r="BA279" s="48"/>
      <c r="BB279" s="48"/>
      <c r="BC279" s="48"/>
      <c r="BD279" s="48"/>
      <c r="BE279" s="48"/>
      <c r="BF279" s="48"/>
      <c r="BG279" s="48"/>
      <c r="BH279" s="48"/>
      <c r="BI279" s="48"/>
      <c r="BJ279" s="48"/>
      <c r="BK279" s="48"/>
      <c r="BL279" s="235"/>
      <c r="BM279" s="235"/>
      <c r="BN279" s="235"/>
      <c r="BO279" s="235"/>
      <c r="BP279" s="235"/>
      <c r="BQ279" s="235"/>
      <c r="BR279" s="48"/>
      <c r="BS279" s="235"/>
      <c r="BT279" s="235"/>
      <c r="BU279" s="235"/>
      <c r="BV279" s="235"/>
      <c r="BW279" s="235"/>
      <c r="BX279" s="235"/>
      <c r="BY279" s="235"/>
      <c r="BZ279" s="235"/>
      <c r="CA279" s="235"/>
      <c r="CB279" s="235"/>
      <c r="CC279" s="48"/>
      <c r="CD279" s="48"/>
      <c r="CE279" s="48"/>
      <c r="CF279" s="48"/>
      <c r="CG279" s="48"/>
      <c r="CH279" s="48"/>
      <c r="CI279" s="48"/>
      <c r="CJ279" s="48"/>
      <c r="CK279" s="48"/>
      <c r="CL279" s="48"/>
      <c r="CM279" s="50"/>
      <c r="CN279" s="50"/>
      <c r="CO279" s="50"/>
      <c r="CP279" s="50"/>
      <c r="CQ279" s="50"/>
      <c r="CR279" s="50"/>
      <c r="CS279" s="50"/>
      <c r="CT279" s="50"/>
      <c r="CU279" s="50"/>
      <c r="CV279" s="50"/>
      <c r="CW279" s="50"/>
      <c r="CX279" s="50"/>
      <c r="CY279" s="50"/>
      <c r="CZ279" s="49"/>
      <c r="DA279" s="48"/>
      <c r="DB279" s="48"/>
    </row>
    <row r="280" spans="1:113" hidden="1" outlineLevel="2">
      <c r="A280" s="1" t="s">
        <v>145</v>
      </c>
      <c r="B280" s="19" t="s">
        <v>343</v>
      </c>
      <c r="C280" s="235"/>
      <c r="D280" s="235"/>
      <c r="E280" s="235"/>
      <c r="F280" s="235"/>
      <c r="G280" s="235"/>
      <c r="H280" s="235"/>
      <c r="I280" s="235"/>
      <c r="J280" s="235"/>
      <c r="K280" s="235"/>
      <c r="L280" s="235"/>
      <c r="M280" s="48"/>
      <c r="N280" s="48"/>
      <c r="O280" s="48"/>
      <c r="P280" s="48"/>
      <c r="Q280" s="48"/>
      <c r="R280" s="48"/>
      <c r="S280" s="48"/>
      <c r="T280" s="48"/>
      <c r="U280" s="48"/>
      <c r="V280" s="48"/>
      <c r="W280" s="48"/>
      <c r="X280" s="48"/>
      <c r="Y280" s="50"/>
      <c r="Z280" s="50"/>
      <c r="AA280" s="50"/>
      <c r="AB280" s="50"/>
      <c r="AC280" s="50"/>
      <c r="AD280" s="50"/>
      <c r="AE280" s="385"/>
      <c r="AF280" s="385"/>
      <c r="AG280" s="50"/>
      <c r="AH280" s="50"/>
      <c r="AI280" s="50"/>
      <c r="AJ280" s="50"/>
      <c r="AK280" s="50"/>
      <c r="AL280" s="50"/>
      <c r="AM280" s="50"/>
      <c r="AN280" s="50"/>
      <c r="AO280" s="50"/>
      <c r="AP280" s="50"/>
      <c r="AQ280" s="50"/>
      <c r="AR280" s="50"/>
      <c r="AS280" s="50"/>
      <c r="AT280" s="50"/>
      <c r="AU280" s="50"/>
      <c r="AV280" s="50"/>
      <c r="AW280" s="50"/>
      <c r="AX280" s="50"/>
      <c r="AY280" s="50"/>
      <c r="AZ280" s="49"/>
      <c r="BA280" s="48"/>
      <c r="BB280" s="48"/>
      <c r="BC280" s="48"/>
      <c r="BD280" s="48"/>
      <c r="BE280" s="48"/>
      <c r="BF280" s="48"/>
      <c r="BG280" s="48"/>
      <c r="BH280" s="48"/>
      <c r="BI280" s="48"/>
      <c r="BJ280" s="48"/>
      <c r="BK280" s="48"/>
      <c r="BL280" s="235"/>
      <c r="BM280" s="235"/>
      <c r="BN280" s="235"/>
      <c r="BO280" s="235"/>
      <c r="BP280" s="235"/>
      <c r="BQ280" s="235"/>
      <c r="BR280" s="48"/>
      <c r="BS280" s="235"/>
      <c r="BT280" s="235"/>
      <c r="BU280" s="235"/>
      <c r="BV280" s="235"/>
      <c r="BW280" s="235"/>
      <c r="BX280" s="235"/>
      <c r="BY280" s="235"/>
      <c r="BZ280" s="235"/>
      <c r="CA280" s="235"/>
      <c r="CB280" s="235"/>
      <c r="CC280" s="48"/>
      <c r="CD280" s="48"/>
      <c r="CE280" s="48"/>
      <c r="CF280" s="48"/>
      <c r="CG280" s="48"/>
      <c r="CH280" s="48"/>
      <c r="CI280" s="48"/>
      <c r="CJ280" s="48"/>
      <c r="CK280" s="48"/>
      <c r="CL280" s="48"/>
      <c r="CM280" s="50"/>
      <c r="CN280" s="50"/>
      <c r="CO280" s="50"/>
      <c r="CP280" s="50"/>
      <c r="CQ280" s="50"/>
      <c r="CR280" s="50"/>
      <c r="CS280" s="50"/>
      <c r="CT280" s="50"/>
      <c r="CU280" s="50"/>
      <c r="CV280" s="50"/>
      <c r="CW280" s="50"/>
      <c r="CX280" s="50"/>
      <c r="CY280" s="50"/>
      <c r="CZ280" s="49"/>
      <c r="DA280" s="48"/>
      <c r="DB280" s="48"/>
    </row>
    <row r="281" spans="1:113" s="24" customFormat="1" hidden="1" outlineLevel="2">
      <c r="A281" s="1" t="s">
        <v>146</v>
      </c>
      <c r="B281" s="24" t="s">
        <v>168</v>
      </c>
      <c r="C281" s="561">
        <f>(678*C$5/C224)-C$318</f>
        <v>2.3797615125272037E-2</v>
      </c>
      <c r="D281" s="561">
        <f>(650*D$5/D224)-D$318</f>
        <v>2.3241906024979768E-2</v>
      </c>
      <c r="E281" s="561">
        <f>(635*E$5/E224)-E$318</f>
        <v>1.7522124712341838E-2</v>
      </c>
      <c r="F281" s="561">
        <f>(753*F$5/F224)-F$318</f>
        <v>1.7274127079151234E-2</v>
      </c>
      <c r="G281" s="561">
        <f>(876*G$5/G224)-G$318</f>
        <v>2.6779151535019106E-2</v>
      </c>
      <c r="H281" s="561">
        <f>(832*H$5/H224)-H$318</f>
        <v>1.5693341078215205E-2</v>
      </c>
      <c r="I281" s="561">
        <f>(940*I$5/I224)-I$318</f>
        <v>1.1135351900718606E-2</v>
      </c>
      <c r="J281" s="561">
        <f>(1147*J$5/J224)-J$318</f>
        <v>1.4783421929546188E-2</v>
      </c>
      <c r="K281" s="561">
        <f>(1280*K$5/K224)-K$318</f>
        <v>1.5654913191766914E-2</v>
      </c>
      <c r="L281" s="561">
        <f>(1406*L$5/L224)-L$318</f>
        <v>1.4574892771928007E-2</v>
      </c>
      <c r="M281" s="174">
        <f>(1606*M$5/M224)-M$318</f>
        <v>1.2266433175541755E-2</v>
      </c>
      <c r="N281" s="174">
        <f>(1739*N$5/N224)-N$318</f>
        <v>1.1448750451322126E-2</v>
      </c>
      <c r="O281" s="174">
        <f>(1947*O$5/O224)-O$318</f>
        <v>1.2328280198178207E-2</v>
      </c>
      <c r="P281" s="174">
        <f>(2129*P$5/P224)-P$318</f>
        <v>2.6543188784551308E-3</v>
      </c>
      <c r="Q281" s="174">
        <f>(2334*Q$5/Q224)-Q$318</f>
        <v>7.1221325883485537E-3</v>
      </c>
      <c r="R281" s="174">
        <f>(2564*R$5/R224)-R$318</f>
        <v>1.945647083090872E-2</v>
      </c>
      <c r="S281" s="174">
        <f>(2020*S$5/S224)-S$318</f>
        <v>3.3885726634702948E-2</v>
      </c>
      <c r="T281" s="174">
        <f>(1587*T$5/T224)-T$318</f>
        <v>2.9852522247041845E-2</v>
      </c>
      <c r="U281" s="174">
        <f>(1523*U$5/U224)-U$318</f>
        <v>2.1362061909004658E-2</v>
      </c>
      <c r="V281" s="174">
        <f>((2823-1343)*V$5/V224)-V$318</f>
        <v>1.5964650472483466E-2</v>
      </c>
      <c r="W281" s="174">
        <f>(1343*W$5/W224)-W$318</f>
        <v>1.3352990002729534E-2</v>
      </c>
      <c r="X281" s="93">
        <f>(1350*X$5/X224)-X$318</f>
        <v>1.3380172067130533E-2</v>
      </c>
      <c r="Y281" s="174">
        <f>(1341*Y$5/Y224)-Y$318</f>
        <v>1.960118569852054E-2</v>
      </c>
      <c r="Z281" s="174">
        <f>(1346*Z$5/Z224)-Z$318</f>
        <v>2.463733523260752E-2</v>
      </c>
      <c r="AA281" s="175">
        <f>(1432*AA$5/AA224)-AA$318</f>
        <v>2.8955623080771781E-2</v>
      </c>
      <c r="AB281" s="175">
        <f>(1580*AB$5/AB224)-AB$318</f>
        <v>3.0770656929626907E-2</v>
      </c>
      <c r="AC281" s="175">
        <f>(1688*AC$5/AC224)-AC$318</f>
        <v>3.1014545908667781E-2</v>
      </c>
      <c r="AD281" s="175">
        <f>(1821*AD$5/AD224)-AD$318</f>
        <v>3.3819018482334304E-2</v>
      </c>
      <c r="AE281" s="495">
        <f>(1909*AE$5/AE224)-AE$318</f>
        <v>3.6983173565968905E-2</v>
      </c>
      <c r="AF281" s="495">
        <f>(1874*AF$5/AF224)-AF$318</f>
        <v>3.5856910246642573E-2</v>
      </c>
      <c r="AG281" s="175">
        <f>(1787*AG$5/AG224)-AG$318</f>
        <v>3.0651607503354158E-2</v>
      </c>
      <c r="AH281" s="175">
        <f>(1889*AH$5/AH224)-AH$318</f>
        <v>3.2717245522180353E-2</v>
      </c>
      <c r="AI281" s="175">
        <f>(1858*AI$5/AI224)-AI$318</f>
        <v>3.2017820423252664E-2</v>
      </c>
      <c r="AJ281" s="175">
        <f>(1862*AJ$5/AJ224)-AJ$318</f>
        <v>3.1760016256136094E-2</v>
      </c>
      <c r="AK281" s="175">
        <f>(1901*AK$5/AK224)-AK$318</f>
        <v>2.9512978424004816E-2</v>
      </c>
      <c r="AL281" s="175">
        <f>(1971*AL$5/AL224)-AL$318</f>
        <v>2.8960385948264045E-2</v>
      </c>
      <c r="AM281" s="175">
        <f>(2013*AM$5/AM224)-AM$318</f>
        <v>3.0219642145350018E-2</v>
      </c>
      <c r="AN281" s="175">
        <f>(1967*AN$5/AN224)-AN$318</f>
        <v>3.5532057704812006E-2</v>
      </c>
      <c r="AO281" s="175">
        <f>(1846*AO$5/AO224)-AO$318</f>
        <v>3.71964953582231E-2</v>
      </c>
      <c r="AP281" s="175">
        <f>(1692*AP$5/AP224)-AP$318</f>
        <v>3.6813617788668672E-2</v>
      </c>
      <c r="AQ281" s="175">
        <f>(1581*AQ$5/AQ224)-AQ$318</f>
        <v>3.3787169785559998E-2</v>
      </c>
      <c r="AR281" s="175"/>
      <c r="AS281" s="175"/>
      <c r="AT281" s="175"/>
      <c r="AU281" s="175"/>
      <c r="AV281" s="175"/>
      <c r="AW281" s="175"/>
      <c r="AX281" s="175"/>
      <c r="AY281" s="170"/>
      <c r="AZ281" s="94"/>
      <c r="BA281" s="92"/>
      <c r="BB281" s="92"/>
      <c r="BC281" s="92"/>
      <c r="BD281" s="92"/>
      <c r="BE281" s="92"/>
      <c r="BF281" s="92"/>
      <c r="BG281" s="92"/>
      <c r="BH281" s="92"/>
      <c r="BI281" s="92"/>
      <c r="BJ281" s="92"/>
      <c r="BK281" s="92"/>
      <c r="BL281" s="562"/>
      <c r="BM281" s="562"/>
      <c r="BN281" s="562"/>
      <c r="BO281" s="562"/>
      <c r="BP281" s="562"/>
      <c r="BQ281" s="562"/>
      <c r="BR281" s="92"/>
      <c r="BS281" s="572">
        <f>(564.6*BS$5/BS224)-BS$318</f>
        <v>6.1702344448703039E-3</v>
      </c>
      <c r="BT281" s="572">
        <f>(508.1*BT$5/BT224)-BT$318</f>
        <v>1.460145856014293E-2</v>
      </c>
      <c r="BU281" s="572">
        <f>(447.1*BU$5/BU224)-BU$318</f>
        <v>2.1634840620532871E-2</v>
      </c>
      <c r="BV281" s="572">
        <f>(586*BV$5/BV224)-BV$318</f>
        <v>1.0675077516635975E-2</v>
      </c>
      <c r="BW281" s="572">
        <f>(770*BW$5/BW224)-BW$318</f>
        <v>1.880803444905936E-2</v>
      </c>
      <c r="BX281" s="572">
        <f>(882*BX$5/BX224)-BX$318</f>
        <v>2.8521019934237564E-2</v>
      </c>
      <c r="BY281" s="572">
        <f>(1105*BY$5/BY224)-BY$318</f>
        <v>4.270158895538629E-2</v>
      </c>
      <c r="BZ281" s="572">
        <f>(949*BZ$5/BZ224)-BZ$318</f>
        <v>2.1975458477378626E-2</v>
      </c>
      <c r="CA281" s="572">
        <f>(986*CA$5/CA224)-CA$318</f>
        <v>1.3840528395863826E-2</v>
      </c>
      <c r="CB281" s="572">
        <f>(1317*CB$5/CB224)-CB$318</f>
        <v>1.9363985223815758E-2</v>
      </c>
      <c r="CC281" s="92">
        <f t="shared" ref="CC281:CR281" si="1933">CC339/CC224*CC$5</f>
        <v>2.0313393331320793E-2</v>
      </c>
      <c r="CD281" s="92">
        <f t="shared" si="1933"/>
        <v>2.2098225117859013E-2</v>
      </c>
      <c r="CE281" s="92">
        <f t="shared" si="1933"/>
        <v>1.3269148673418774E-2</v>
      </c>
      <c r="CF281" s="92">
        <f t="shared" si="1933"/>
        <v>1.5222715920027894E-2</v>
      </c>
      <c r="CG281" s="92">
        <f t="shared" si="1933"/>
        <v>1.3378532329045689E-2</v>
      </c>
      <c r="CH281" s="92">
        <f t="shared" si="1933"/>
        <v>1.1905949608138783E-2</v>
      </c>
      <c r="CI281" s="92">
        <f t="shared" si="1933"/>
        <v>4.9224315845349661E-3</v>
      </c>
      <c r="CJ281" s="92">
        <f t="shared" si="1933"/>
        <v>2.6577250054202542E-2</v>
      </c>
      <c r="CK281" s="92">
        <f t="shared" si="1933"/>
        <v>2.5703912434449267E-2</v>
      </c>
      <c r="CL281" s="92">
        <f t="shared" si="1933"/>
        <v>1.4709255307934904E-2</v>
      </c>
      <c r="CM281" s="170">
        <f t="shared" si="1933"/>
        <v>1.6487349612457933E-2</v>
      </c>
      <c r="CN281" s="170">
        <f t="shared" si="1933"/>
        <v>2.6861461574898073E-2</v>
      </c>
      <c r="CO281" s="170">
        <f t="shared" si="1933"/>
        <v>3.0896025704402211E-2</v>
      </c>
      <c r="CP281" s="170">
        <f t="shared" si="1933"/>
        <v>3.5446603508108611E-2</v>
      </c>
      <c r="CQ281" s="170">
        <f t="shared" si="1933"/>
        <v>3.3192537640398215E-2</v>
      </c>
      <c r="CR281" s="170">
        <f t="shared" si="1933"/>
        <v>3.236718576901907E-2</v>
      </c>
      <c r="CS281" s="170">
        <f t="shared" ref="CS281:CT281" si="1934">CS339/CS224*CS$5</f>
        <v>3.0623345318520769E-2</v>
      </c>
      <c r="CT281" s="170">
        <f t="shared" si="1934"/>
        <v>2.9603705729278767E-2</v>
      </c>
      <c r="CU281" s="170"/>
      <c r="CV281" s="170"/>
      <c r="CW281" s="170"/>
      <c r="CX281" s="170"/>
      <c r="CY281" s="170"/>
      <c r="CZ281" s="94"/>
      <c r="DA281" s="92"/>
      <c r="DB281" s="92"/>
      <c r="DC281" s="92"/>
      <c r="DD281" s="92"/>
      <c r="DE281" s="92"/>
      <c r="DF281" s="92"/>
      <c r="DG281" s="562"/>
      <c r="DH281" s="562"/>
      <c r="DI281" s="562"/>
    </row>
    <row r="282" spans="1:113" hidden="1" outlineLevel="2">
      <c r="C282" s="235"/>
      <c r="D282" s="235"/>
      <c r="E282" s="235"/>
      <c r="F282" s="235"/>
      <c r="G282" s="235"/>
      <c r="H282" s="235"/>
      <c r="I282" s="235"/>
      <c r="J282" s="235"/>
      <c r="K282" s="235"/>
      <c r="L282" s="235"/>
      <c r="M282" s="48"/>
      <c r="N282" s="48"/>
      <c r="O282" s="48"/>
      <c r="P282" s="48"/>
      <c r="Q282" s="48"/>
      <c r="R282" s="48"/>
      <c r="S282" s="48"/>
      <c r="T282" s="48"/>
      <c r="U282" s="48"/>
      <c r="V282" s="48"/>
      <c r="W282" s="48"/>
      <c r="X282" s="48"/>
      <c r="Y282" s="50"/>
      <c r="Z282" s="50"/>
      <c r="AA282" s="50"/>
      <c r="AB282" s="50"/>
      <c r="AC282" s="50"/>
      <c r="AD282" s="50"/>
      <c r="AE282" s="385"/>
      <c r="AF282" s="385"/>
      <c r="AG282" s="50"/>
      <c r="AH282" s="50"/>
      <c r="AI282" s="50"/>
      <c r="AJ282" s="50"/>
      <c r="AK282" s="175"/>
      <c r="AL282" s="175"/>
      <c r="AM282" s="175"/>
      <c r="AN282" s="175"/>
      <c r="AO282" s="175"/>
      <c r="AP282" s="175"/>
      <c r="AQ282" s="175"/>
      <c r="AR282" s="175"/>
      <c r="AS282" s="175"/>
      <c r="AT282" s="175"/>
      <c r="AU282" s="175"/>
      <c r="AV282" s="175"/>
      <c r="AW282" s="175"/>
      <c r="AX282" s="175"/>
      <c r="AY282" s="50"/>
      <c r="AZ282" s="49"/>
      <c r="BA282" s="48"/>
      <c r="BB282" s="48"/>
      <c r="BC282" s="48"/>
      <c r="BD282" s="48"/>
      <c r="BE282" s="48"/>
      <c r="BF282" s="48"/>
      <c r="BG282" s="48"/>
      <c r="BH282" s="48"/>
      <c r="BI282" s="48"/>
      <c r="BJ282" s="48"/>
      <c r="BK282" s="48"/>
      <c r="BL282" s="235"/>
      <c r="BM282" s="235"/>
      <c r="BN282" s="235"/>
      <c r="BO282" s="235"/>
      <c r="BP282" s="235"/>
      <c r="BQ282" s="235"/>
      <c r="BR282" s="48"/>
      <c r="BS282" s="235"/>
      <c r="BT282" s="235"/>
      <c r="BU282" s="235"/>
      <c r="BV282" s="235"/>
      <c r="BW282" s="235"/>
      <c r="BX282" s="235"/>
      <c r="BY282" s="235"/>
      <c r="BZ282" s="235"/>
      <c r="CA282" s="235"/>
      <c r="CB282" s="235"/>
      <c r="CC282" s="48"/>
      <c r="CD282" s="48"/>
      <c r="CE282" s="48"/>
      <c r="CF282" s="48"/>
      <c r="CG282" s="48"/>
      <c r="CH282" s="48"/>
      <c r="CI282" s="48"/>
      <c r="CJ282" s="48"/>
      <c r="CK282" s="48"/>
      <c r="CL282" s="48"/>
      <c r="CM282" s="50"/>
      <c r="CN282" s="50"/>
      <c r="CO282" s="50"/>
      <c r="CP282" s="50"/>
      <c r="CQ282" s="50"/>
      <c r="CR282" s="50"/>
      <c r="CS282" s="50"/>
      <c r="CT282" s="50"/>
      <c r="CU282" s="50"/>
      <c r="CV282" s="50"/>
      <c r="CW282" s="50"/>
      <c r="CX282" s="50"/>
      <c r="CY282" s="50"/>
      <c r="CZ282" s="49"/>
      <c r="DA282" s="48"/>
      <c r="DB282" s="48"/>
      <c r="DC282" s="48"/>
      <c r="DD282" s="48"/>
      <c r="DE282" s="48"/>
      <c r="DF282" s="48"/>
      <c r="DG282" s="235"/>
      <c r="DH282" s="235"/>
      <c r="DI282" s="235"/>
    </row>
    <row r="283" spans="1:113" s="24" customFormat="1" hidden="1" outlineLevel="2">
      <c r="A283" s="1"/>
      <c r="B283" s="24" t="s">
        <v>341</v>
      </c>
      <c r="C283" s="562"/>
      <c r="D283" s="562"/>
      <c r="E283" s="562"/>
      <c r="F283" s="562"/>
      <c r="G283" s="562"/>
      <c r="H283" s="562"/>
      <c r="I283" s="562"/>
      <c r="J283" s="562"/>
      <c r="K283" s="562"/>
      <c r="L283" s="562"/>
      <c r="M283" s="92"/>
      <c r="N283" s="92"/>
      <c r="O283" s="92"/>
      <c r="P283" s="92"/>
      <c r="Q283" s="92"/>
      <c r="R283" s="92"/>
      <c r="S283" s="92"/>
      <c r="T283" s="92"/>
      <c r="U283" s="92"/>
      <c r="V283" s="92"/>
      <c r="W283" s="92"/>
      <c r="X283" s="92"/>
      <c r="Y283" s="170"/>
      <c r="Z283" s="170"/>
      <c r="AA283" s="170"/>
      <c r="AB283" s="170"/>
      <c r="AC283" s="170"/>
      <c r="AD283" s="170"/>
      <c r="AE283" s="170"/>
      <c r="AF283" s="170"/>
      <c r="AG283" s="170"/>
      <c r="AH283" s="170"/>
      <c r="AI283" s="170"/>
      <c r="AJ283" s="170"/>
      <c r="AK283" s="170"/>
      <c r="AL283" s="170"/>
      <c r="AM283" s="170"/>
      <c r="AN283" s="170"/>
      <c r="AO283" s="170"/>
      <c r="AP283" s="170"/>
      <c r="AQ283" s="170"/>
      <c r="AR283" s="170"/>
      <c r="AS283" s="170"/>
      <c r="AT283" s="170"/>
      <c r="AU283" s="170"/>
      <c r="AV283" s="170"/>
      <c r="AW283" s="170"/>
      <c r="AX283" s="170"/>
      <c r="AY283" s="170"/>
      <c r="AZ283" s="94"/>
      <c r="BA283" s="92"/>
      <c r="BB283" s="92"/>
      <c r="BC283" s="92"/>
      <c r="BD283" s="92"/>
      <c r="BE283" s="92"/>
      <c r="BF283" s="92"/>
      <c r="BG283" s="92"/>
      <c r="BH283" s="92"/>
      <c r="BI283" s="92"/>
      <c r="BJ283" s="92"/>
      <c r="BK283" s="92"/>
      <c r="BL283" s="562"/>
      <c r="BM283" s="562"/>
      <c r="BN283" s="562"/>
      <c r="BO283" s="562"/>
      <c r="BP283" s="562"/>
      <c r="BQ283" s="562"/>
      <c r="BR283" s="92"/>
      <c r="BS283" s="562"/>
      <c r="BT283" s="562"/>
      <c r="BU283" s="562"/>
      <c r="BV283" s="562"/>
      <c r="BW283" s="562"/>
      <c r="BX283" s="562"/>
      <c r="BY283" s="562"/>
      <c r="BZ283" s="562"/>
      <c r="CA283" s="562"/>
      <c r="CB283" s="562"/>
      <c r="CC283" s="92"/>
      <c r="CD283" s="92"/>
      <c r="CE283" s="92"/>
      <c r="CF283" s="92"/>
      <c r="CG283" s="92"/>
      <c r="CH283" s="92"/>
      <c r="CI283" s="92"/>
      <c r="CJ283" s="92"/>
      <c r="CK283" s="92"/>
      <c r="CL283" s="92"/>
      <c r="CM283" s="170"/>
      <c r="CN283" s="170"/>
      <c r="CO283" s="170"/>
      <c r="CP283" s="170"/>
      <c r="CQ283" s="170"/>
      <c r="CR283" s="170"/>
      <c r="CS283" s="170"/>
      <c r="CT283" s="170"/>
      <c r="CU283" s="170"/>
      <c r="CV283" s="170"/>
      <c r="CW283" s="170"/>
      <c r="CX283" s="170"/>
      <c r="CY283" s="170"/>
      <c r="CZ283" s="94"/>
      <c r="DA283" s="92"/>
      <c r="DB283" s="92"/>
      <c r="DC283" s="92"/>
      <c r="DD283" s="92"/>
      <c r="DE283" s="92"/>
      <c r="DF283" s="92"/>
      <c r="DG283" s="562"/>
      <c r="DH283" s="562"/>
      <c r="DI283" s="562"/>
    </row>
    <row r="284" spans="1:113" hidden="1" outlineLevel="2">
      <c r="A284" s="1" t="s">
        <v>147</v>
      </c>
      <c r="B284" s="19" t="s">
        <v>164</v>
      </c>
      <c r="C284" s="235"/>
      <c r="D284" s="235"/>
      <c r="E284" s="235"/>
      <c r="F284" s="235"/>
      <c r="G284" s="235"/>
      <c r="H284" s="235"/>
      <c r="I284" s="235"/>
      <c r="J284" s="235"/>
      <c r="K284" s="235"/>
      <c r="L284" s="235"/>
      <c r="M284" s="48"/>
      <c r="N284" s="48"/>
      <c r="O284" s="48"/>
      <c r="P284" s="48"/>
      <c r="Q284" s="48"/>
      <c r="R284" s="48"/>
      <c r="S284" s="48"/>
      <c r="T284" s="48"/>
      <c r="U284" s="48"/>
      <c r="V284" s="48"/>
      <c r="W284" s="48"/>
      <c r="X284" s="48"/>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49"/>
      <c r="BA284" s="48"/>
      <c r="BB284" s="48"/>
      <c r="BC284" s="48"/>
      <c r="BD284" s="48"/>
      <c r="BE284" s="48"/>
      <c r="BF284" s="48"/>
      <c r="BG284" s="48"/>
      <c r="BH284" s="48"/>
      <c r="BI284" s="48"/>
      <c r="BJ284" s="48"/>
      <c r="BK284" s="48"/>
      <c r="BL284" s="235"/>
      <c r="BM284" s="235"/>
      <c r="BN284" s="235"/>
      <c r="BO284" s="235"/>
      <c r="BP284" s="235"/>
      <c r="BQ284" s="235"/>
      <c r="BR284" s="48"/>
      <c r="BS284" s="235"/>
      <c r="BT284" s="235"/>
      <c r="BU284" s="235"/>
      <c r="BV284" s="235"/>
      <c r="BW284" s="235"/>
      <c r="BX284" s="235"/>
      <c r="BY284" s="235"/>
      <c r="BZ284" s="235"/>
      <c r="CA284" s="235"/>
      <c r="CB284" s="235"/>
      <c r="CC284" s="48"/>
      <c r="CD284" s="48"/>
      <c r="CE284" s="48"/>
      <c r="CF284" s="48"/>
      <c r="CG284" s="48"/>
      <c r="CH284" s="48"/>
      <c r="CI284" s="48"/>
      <c r="CJ284" s="48"/>
      <c r="CK284" s="48"/>
      <c r="CL284" s="48"/>
      <c r="CM284" s="50"/>
      <c r="CN284" s="50"/>
      <c r="CO284" s="50"/>
      <c r="CP284" s="50"/>
      <c r="CQ284" s="50"/>
      <c r="CR284" s="50"/>
      <c r="CS284" s="50"/>
      <c r="CT284" s="50"/>
      <c r="CU284" s="50"/>
      <c r="CV284" s="50"/>
      <c r="CW284" s="50"/>
      <c r="CX284" s="50"/>
      <c r="CY284" s="50"/>
      <c r="CZ284" s="49"/>
      <c r="DA284" s="48"/>
      <c r="DB284" s="48"/>
      <c r="DC284" s="48"/>
      <c r="DD284" s="48"/>
      <c r="DE284" s="48"/>
      <c r="DF284" s="48"/>
      <c r="DG284" s="235"/>
      <c r="DH284" s="235"/>
      <c r="DI284" s="235"/>
    </row>
    <row r="285" spans="1:113" hidden="1" outlineLevel="2">
      <c r="A285" s="1" t="s">
        <v>148</v>
      </c>
      <c r="B285" s="19" t="s">
        <v>343</v>
      </c>
      <c r="C285" s="235"/>
      <c r="D285" s="235"/>
      <c r="E285" s="235"/>
      <c r="F285" s="235"/>
      <c r="G285" s="235"/>
      <c r="H285" s="235"/>
      <c r="I285" s="235"/>
      <c r="J285" s="235"/>
      <c r="K285" s="235"/>
      <c r="L285" s="235"/>
      <c r="M285" s="48"/>
      <c r="N285" s="48"/>
      <c r="O285" s="48"/>
      <c r="P285" s="48"/>
      <c r="Q285" s="48"/>
      <c r="R285" s="48"/>
      <c r="S285" s="48"/>
      <c r="T285" s="48"/>
      <c r="U285" s="48"/>
      <c r="V285" s="48"/>
      <c r="W285" s="48"/>
      <c r="X285" s="48"/>
      <c r="Y285" s="50"/>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49"/>
      <c r="BA285" s="48"/>
      <c r="BB285" s="48"/>
      <c r="BC285" s="48"/>
      <c r="BD285" s="48"/>
      <c r="BE285" s="48"/>
      <c r="BF285" s="48"/>
      <c r="BG285" s="48"/>
      <c r="BH285" s="48"/>
      <c r="BI285" s="48"/>
      <c r="BJ285" s="48"/>
      <c r="BK285" s="48"/>
      <c r="BL285" s="235"/>
      <c r="BM285" s="235"/>
      <c r="BN285" s="235"/>
      <c r="BO285" s="235"/>
      <c r="BP285" s="235"/>
      <c r="BQ285" s="235"/>
      <c r="BR285" s="48"/>
      <c r="BS285" s="235"/>
      <c r="BT285" s="235"/>
      <c r="BU285" s="235"/>
      <c r="BV285" s="235"/>
      <c r="BW285" s="235"/>
      <c r="BX285" s="235"/>
      <c r="BY285" s="235"/>
      <c r="BZ285" s="235"/>
      <c r="CA285" s="235"/>
      <c r="CB285" s="235"/>
      <c r="CC285" s="48"/>
      <c r="CD285" s="48"/>
      <c r="CE285" s="48"/>
      <c r="CF285" s="48"/>
      <c r="CG285" s="48"/>
      <c r="CH285" s="48"/>
      <c r="CI285" s="48"/>
      <c r="CJ285" s="48"/>
      <c r="CK285" s="48"/>
      <c r="CL285" s="48"/>
      <c r="CM285" s="50"/>
      <c r="CN285" s="50"/>
      <c r="CO285" s="50"/>
      <c r="CP285" s="50"/>
      <c r="CQ285" s="50"/>
      <c r="CR285" s="50"/>
      <c r="CS285" s="50"/>
      <c r="CT285" s="50"/>
      <c r="CU285" s="50"/>
      <c r="CV285" s="50"/>
      <c r="CW285" s="50"/>
      <c r="CX285" s="50"/>
      <c r="CY285" s="50"/>
      <c r="CZ285" s="49"/>
      <c r="DA285" s="48"/>
      <c r="DB285" s="48"/>
      <c r="DC285" s="48"/>
      <c r="DD285" s="48"/>
      <c r="DE285" s="48"/>
      <c r="DF285" s="48"/>
      <c r="DG285" s="235"/>
      <c r="DH285" s="235"/>
      <c r="DI285" s="235"/>
    </row>
    <row r="286" spans="1:113" s="24" customFormat="1" hidden="1" outlineLevel="2">
      <c r="A286" s="1" t="s">
        <v>149</v>
      </c>
      <c r="B286" s="24" t="s">
        <v>168</v>
      </c>
      <c r="C286" s="561">
        <v>0</v>
      </c>
      <c r="D286" s="561">
        <v>0</v>
      </c>
      <c r="E286" s="561">
        <v>0</v>
      </c>
      <c r="F286" s="561">
        <v>0</v>
      </c>
      <c r="G286" s="561">
        <v>0</v>
      </c>
      <c r="H286" s="561">
        <v>0</v>
      </c>
      <c r="I286" s="561">
        <v>0</v>
      </c>
      <c r="J286" s="561">
        <v>0</v>
      </c>
      <c r="K286" s="561">
        <v>0</v>
      </c>
      <c r="L286" s="561">
        <v>0</v>
      </c>
      <c r="M286" s="174">
        <v>0</v>
      </c>
      <c r="N286" s="174">
        <v>0</v>
      </c>
      <c r="O286" s="174">
        <v>0</v>
      </c>
      <c r="P286" s="174">
        <v>0</v>
      </c>
      <c r="Q286" s="174">
        <v>0</v>
      </c>
      <c r="R286" s="174">
        <v>0</v>
      </c>
      <c r="S286" s="174">
        <v>0</v>
      </c>
      <c r="T286" s="174">
        <f>(204*T$5/T229)-T$318</f>
        <v>-1.0225373968301005E-3</v>
      </c>
      <c r="U286" s="174">
        <f>(156*U$5/U229)-U$318</f>
        <v>-9.7194511327892349E-3</v>
      </c>
      <c r="V286" s="174">
        <f>((281-136)*V$5/V229)-V$318</f>
        <v>-1.2464327349977773E-2</v>
      </c>
      <c r="W286" s="174">
        <f>(136*W$5/W229)-W$318</f>
        <v>-1.5350843251930507E-2</v>
      </c>
      <c r="X286" s="93">
        <f>(156*X$5/X229)-X$318</f>
        <v>-1.2343957859265592E-2</v>
      </c>
      <c r="Y286" s="174">
        <f>(177*Y$5/Y229)-Y$318</f>
        <v>-5.2922981825866133E-3</v>
      </c>
      <c r="Z286" s="174">
        <f>(197*Z$5/Z229)-Z$318</f>
        <v>3.9405753728972703E-3</v>
      </c>
      <c r="AA286" s="175">
        <f>(205*AA$5/AA229)-AA$318</f>
        <v>5.0464526715430259E-3</v>
      </c>
      <c r="AB286" s="175">
        <f>(245*AB$5/AB229)-AB$318</f>
        <v>6.9037973633395248E-3</v>
      </c>
      <c r="AC286" s="175">
        <f>(270*AC$5/AC229)-AC$318</f>
        <v>4.5122876483294251E-3</v>
      </c>
      <c r="AD286" s="175">
        <f>(296*AD$5/AD229)-AD$318</f>
        <v>3.5112051510984149E-3</v>
      </c>
      <c r="AE286" s="175">
        <f>(332*AE$5/AE229)-AE$318</f>
        <v>7.724965051408253E-3</v>
      </c>
      <c r="AF286" s="175">
        <f>(334*AF$5/AF229)-AF$318</f>
        <v>5.7553647090446032E-3</v>
      </c>
      <c r="AG286" s="175">
        <f>(351*AG$5/AG229)-AG$318</f>
        <v>7.1750828558111573E-3</v>
      </c>
      <c r="AH286" s="175">
        <f>(339*AH$5/AH229)-AH$318</f>
        <v>1.0026812741194029E-2</v>
      </c>
      <c r="AI286" s="175">
        <f>(376*AI$5/AI229)-AI$318</f>
        <v>1.3478974253563612E-2</v>
      </c>
      <c r="AJ286" s="175">
        <f>(414*AJ$5/AJ229)-AJ$318</f>
        <v>1.4989766301055224E-2</v>
      </c>
      <c r="AK286" s="175">
        <f>(427*AK$5/AK229)-AK$318</f>
        <v>1.4252646465837456E-2</v>
      </c>
      <c r="AL286" s="175">
        <f>(482*AL$5/AL229)-AL$318</f>
        <v>1.9076465317901688E-2</v>
      </c>
      <c r="AM286" s="175">
        <f>(459*AM$5/AM229)-AM$318</f>
        <v>2.4840955587617137E-2</v>
      </c>
      <c r="AN286" s="175">
        <f>(414*AN$5/AN229)-AN$318</f>
        <v>3.1297055359511931E-2</v>
      </c>
      <c r="AO286" s="175">
        <f>(354*AO$5/AO229)-AO$318</f>
        <v>3.0927720800756744E-2</v>
      </c>
      <c r="AP286" s="175">
        <f>(239*AP$5/AP229)-AP$318</f>
        <v>2.7809752751080448E-2</v>
      </c>
      <c r="AQ286" s="175">
        <f>(200*AQ$5/AQ229)-AQ$318</f>
        <v>2.5135321483264493E-2</v>
      </c>
      <c r="AR286" s="175"/>
      <c r="AS286" s="175"/>
      <c r="AT286" s="175"/>
      <c r="AU286" s="175"/>
      <c r="AV286" s="175"/>
      <c r="AW286" s="175"/>
      <c r="AX286" s="175"/>
      <c r="AY286" s="170"/>
      <c r="AZ286" s="94"/>
      <c r="BA286" s="92"/>
      <c r="BB286" s="92"/>
      <c r="BC286" s="92"/>
      <c r="BD286" s="92"/>
      <c r="BE286" s="92"/>
      <c r="BF286" s="92"/>
      <c r="BG286" s="92"/>
      <c r="BH286" s="92"/>
      <c r="BI286" s="92"/>
      <c r="BJ286" s="92"/>
      <c r="BK286" s="92"/>
      <c r="BL286" s="562"/>
      <c r="BM286" s="562"/>
      <c r="BN286" s="562"/>
      <c r="BO286" s="562"/>
      <c r="BP286" s="562"/>
      <c r="BQ286" s="562"/>
      <c r="BR286" s="92"/>
      <c r="BS286" s="572">
        <v>0</v>
      </c>
      <c r="BT286" s="572">
        <v>0</v>
      </c>
      <c r="BU286" s="572">
        <v>0</v>
      </c>
      <c r="BV286" s="572">
        <v>0</v>
      </c>
      <c r="BW286" s="572">
        <v>0</v>
      </c>
      <c r="BX286" s="572">
        <v>0</v>
      </c>
      <c r="BY286" s="572">
        <v>0</v>
      </c>
      <c r="BZ286" s="572">
        <v>0</v>
      </c>
      <c r="CA286" s="572">
        <v>0</v>
      </c>
      <c r="CB286" s="572">
        <v>0</v>
      </c>
      <c r="CC286" s="92" t="e">
        <f t="shared" ref="CC286:CO286" si="1935">CC344/CC229*CC$5</f>
        <v>#DIV/0!</v>
      </c>
      <c r="CD286" s="92" t="e">
        <f t="shared" si="1935"/>
        <v>#DIV/0!</v>
      </c>
      <c r="CE286" s="92" t="e">
        <f t="shared" si="1935"/>
        <v>#DIV/0!</v>
      </c>
      <c r="CF286" s="92" t="e">
        <f t="shared" si="1935"/>
        <v>#DIV/0!</v>
      </c>
      <c r="CG286" s="92">
        <v>0</v>
      </c>
      <c r="CH286" s="92">
        <v>0</v>
      </c>
      <c r="CI286" s="92">
        <v>0</v>
      </c>
      <c r="CJ286" s="92">
        <v>0</v>
      </c>
      <c r="CK286" s="92">
        <f t="shared" si="1935"/>
        <v>-4.7863653974962511E-3</v>
      </c>
      <c r="CL286" s="92">
        <f>CL344/CL229*CL$5</f>
        <v>-1.3903852479570138E-2</v>
      </c>
      <c r="CM286" s="170">
        <f t="shared" si="1935"/>
        <v>-8.624000011702845E-3</v>
      </c>
      <c r="CN286" s="170">
        <f t="shared" si="1935"/>
        <v>4.5283664830598029E-3</v>
      </c>
      <c r="CO286" s="170">
        <f t="shared" si="1935"/>
        <v>5.6162057844715034E-3</v>
      </c>
      <c r="CP286" s="170">
        <f t="shared" ref="CP286:CT286" si="1936">CP344/CP229*CP$5</f>
        <v>5.7238065527449649E-3</v>
      </c>
      <c r="CQ286" s="170">
        <f t="shared" si="1936"/>
        <v>6.4654152992971812E-3</v>
      </c>
      <c r="CR286" s="170">
        <f t="shared" si="1936"/>
        <v>1.1747727886861689E-2</v>
      </c>
      <c r="CS286" s="170">
        <f t="shared" si="1936"/>
        <v>1.4622936884719931E-2</v>
      </c>
      <c r="CT286" s="170">
        <f t="shared" si="1936"/>
        <v>2.1766356863276062E-2</v>
      </c>
      <c r="CU286" s="170"/>
      <c r="CV286" s="170"/>
      <c r="CW286" s="170"/>
      <c r="CX286" s="170"/>
      <c r="CY286" s="170"/>
      <c r="CZ286" s="94"/>
      <c r="DA286" s="92"/>
      <c r="DB286" s="92"/>
      <c r="DC286" s="92"/>
      <c r="DD286" s="92"/>
      <c r="DE286" s="92"/>
      <c r="DF286" s="92"/>
      <c r="DG286" s="562"/>
      <c r="DH286" s="562"/>
      <c r="DI286" s="562"/>
    </row>
    <row r="287" spans="1:113" hidden="1" outlineLevel="2">
      <c r="C287" s="235"/>
      <c r="D287" s="235"/>
      <c r="E287" s="235"/>
      <c r="F287" s="235"/>
      <c r="G287" s="235"/>
      <c r="H287" s="235"/>
      <c r="I287" s="235"/>
      <c r="J287" s="235"/>
      <c r="K287" s="235"/>
      <c r="L287" s="235"/>
      <c r="M287" s="48"/>
      <c r="N287" s="48"/>
      <c r="O287" s="48"/>
      <c r="P287" s="48"/>
      <c r="Q287" s="48"/>
      <c r="R287" s="48"/>
      <c r="S287" s="48"/>
      <c r="T287" s="48"/>
      <c r="U287" s="48"/>
      <c r="V287" s="48"/>
      <c r="W287" s="48"/>
      <c r="X287" s="48"/>
      <c r="Y287" s="50"/>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49"/>
      <c r="BA287" s="48"/>
      <c r="BB287" s="48"/>
      <c r="BC287" s="48"/>
      <c r="BD287" s="48"/>
      <c r="BE287" s="48"/>
      <c r="BF287" s="48"/>
      <c r="BG287" s="48"/>
      <c r="BH287" s="48"/>
      <c r="BI287" s="48"/>
      <c r="BJ287" s="48"/>
      <c r="BK287" s="48"/>
      <c r="BL287" s="235"/>
      <c r="BM287" s="235"/>
      <c r="BN287" s="235"/>
      <c r="BO287" s="235"/>
      <c r="BP287" s="235"/>
      <c r="BQ287" s="235"/>
      <c r="BR287" s="48"/>
      <c r="BS287" s="235"/>
      <c r="BT287" s="235"/>
      <c r="BU287" s="235"/>
      <c r="BV287" s="235"/>
      <c r="BW287" s="235"/>
      <c r="BX287" s="235"/>
      <c r="BY287" s="235"/>
      <c r="BZ287" s="235"/>
      <c r="CA287" s="235"/>
      <c r="CB287" s="235"/>
      <c r="CC287" s="48"/>
      <c r="CD287" s="48"/>
      <c r="CE287" s="48"/>
      <c r="CF287" s="48"/>
      <c r="CG287" s="48"/>
      <c r="CH287" s="48"/>
      <c r="CI287" s="48"/>
      <c r="CJ287" s="48"/>
      <c r="CK287" s="48"/>
      <c r="CL287" s="48"/>
      <c r="CM287" s="50"/>
      <c r="CN287" s="50"/>
      <c r="CO287" s="50"/>
      <c r="CP287" s="50"/>
      <c r="CQ287" s="50"/>
      <c r="CR287" s="50"/>
      <c r="CS287" s="50"/>
      <c r="CT287" s="50"/>
      <c r="CU287" s="50"/>
      <c r="CV287" s="50"/>
      <c r="CW287" s="50"/>
      <c r="CX287" s="50"/>
      <c r="CY287" s="50"/>
      <c r="CZ287" s="49"/>
      <c r="DA287" s="48"/>
      <c r="DB287" s="48"/>
    </row>
    <row r="288" spans="1:113" s="24" customFormat="1" hidden="1" outlineLevel="2">
      <c r="A288" s="1"/>
      <c r="B288" s="24" t="s">
        <v>342</v>
      </c>
      <c r="C288" s="562"/>
      <c r="D288" s="562"/>
      <c r="E288" s="562"/>
      <c r="F288" s="562"/>
      <c r="G288" s="562"/>
      <c r="H288" s="562"/>
      <c r="I288" s="562"/>
      <c r="J288" s="562"/>
      <c r="K288" s="562"/>
      <c r="L288" s="562"/>
      <c r="M288" s="92"/>
      <c r="N288" s="92"/>
      <c r="O288" s="92"/>
      <c r="P288" s="92"/>
      <c r="Q288" s="92"/>
      <c r="R288" s="92"/>
      <c r="S288" s="92"/>
      <c r="T288" s="92"/>
      <c r="U288" s="92"/>
      <c r="V288" s="92"/>
      <c r="W288" s="92"/>
      <c r="X288" s="92"/>
      <c r="Y288" s="170"/>
      <c r="Z288" s="170"/>
      <c r="AA288" s="170"/>
      <c r="AB288" s="170"/>
      <c r="AC288" s="170"/>
      <c r="AD288" s="170"/>
      <c r="AE288" s="170"/>
      <c r="AF288" s="170"/>
      <c r="AG288" s="170"/>
      <c r="AH288" s="170"/>
      <c r="AI288" s="170"/>
      <c r="AJ288" s="170"/>
      <c r="AK288" s="170"/>
      <c r="AL288" s="170"/>
      <c r="AM288" s="170"/>
      <c r="AN288" s="170"/>
      <c r="AO288" s="170"/>
      <c r="AP288" s="170"/>
      <c r="AQ288" s="170"/>
      <c r="AR288" s="170"/>
      <c r="AS288" s="170"/>
      <c r="AT288" s="170"/>
      <c r="AU288" s="170"/>
      <c r="AV288" s="170"/>
      <c r="AW288" s="170"/>
      <c r="AX288" s="170"/>
      <c r="AY288" s="170"/>
      <c r="AZ288" s="94"/>
      <c r="BA288" s="92"/>
      <c r="BB288" s="92"/>
      <c r="BC288" s="92"/>
      <c r="BD288" s="92"/>
      <c r="BE288" s="92"/>
      <c r="BF288" s="92"/>
      <c r="BG288" s="92"/>
      <c r="BH288" s="92"/>
      <c r="BI288" s="92"/>
      <c r="BJ288" s="92"/>
      <c r="BK288" s="92"/>
      <c r="BL288" s="562"/>
      <c r="BM288" s="562"/>
      <c r="BN288" s="562"/>
      <c r="BO288" s="562"/>
      <c r="BP288" s="562"/>
      <c r="BQ288" s="562"/>
      <c r="BR288" s="92"/>
      <c r="BS288" s="562"/>
      <c r="BT288" s="562"/>
      <c r="BU288" s="562"/>
      <c r="BV288" s="562"/>
      <c r="BW288" s="562"/>
      <c r="BX288" s="562"/>
      <c r="BY288" s="562"/>
      <c r="BZ288" s="562"/>
      <c r="CA288" s="562"/>
      <c r="CB288" s="562"/>
      <c r="CC288" s="92"/>
      <c r="CD288" s="92"/>
      <c r="CE288" s="92"/>
      <c r="CF288" s="92"/>
      <c r="CG288" s="92"/>
      <c r="CH288" s="92"/>
      <c r="CI288" s="92"/>
      <c r="CJ288" s="92"/>
      <c r="CK288" s="92"/>
      <c r="CL288" s="92"/>
      <c r="CM288" s="170"/>
      <c r="CN288" s="170"/>
      <c r="CO288" s="170"/>
      <c r="CP288" s="170"/>
      <c r="CQ288" s="170"/>
      <c r="CR288" s="170"/>
      <c r="CS288" s="170"/>
      <c r="CT288" s="170"/>
      <c r="CU288" s="170"/>
      <c r="CV288" s="170"/>
      <c r="CW288" s="170"/>
      <c r="CX288" s="170"/>
      <c r="CY288" s="170"/>
      <c r="CZ288" s="94"/>
      <c r="DA288" s="92"/>
      <c r="DB288" s="92"/>
    </row>
    <row r="289" spans="1:113" hidden="1" outlineLevel="2">
      <c r="A289" s="1" t="s">
        <v>150</v>
      </c>
      <c r="B289" s="19" t="s">
        <v>164</v>
      </c>
      <c r="C289" s="235"/>
      <c r="D289" s="235"/>
      <c r="E289" s="235"/>
      <c r="F289" s="235"/>
      <c r="G289" s="235"/>
      <c r="H289" s="235"/>
      <c r="I289" s="235"/>
      <c r="J289" s="235"/>
      <c r="K289" s="235"/>
      <c r="L289" s="235"/>
      <c r="M289" s="48"/>
      <c r="N289" s="48"/>
      <c r="O289" s="48"/>
      <c r="P289" s="48"/>
      <c r="Q289" s="48"/>
      <c r="R289" s="48"/>
      <c r="S289" s="48"/>
      <c r="T289" s="48"/>
      <c r="U289" s="48"/>
      <c r="V289" s="48"/>
      <c r="W289" s="48"/>
      <c r="X289" s="48"/>
      <c r="Y289" s="50"/>
      <c r="Z289" s="50"/>
      <c r="AA289" s="50"/>
      <c r="AB289" s="50"/>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49"/>
      <c r="BA289" s="48"/>
      <c r="BB289" s="48"/>
      <c r="BC289" s="48"/>
      <c r="BD289" s="48"/>
      <c r="BE289" s="48"/>
      <c r="BF289" s="48"/>
      <c r="BG289" s="48"/>
      <c r="BH289" s="48"/>
      <c r="BI289" s="48"/>
      <c r="BJ289" s="48"/>
      <c r="BK289" s="48"/>
      <c r="BL289" s="235"/>
      <c r="BM289" s="235"/>
      <c r="BN289" s="235"/>
      <c r="BO289" s="235"/>
      <c r="BP289" s="235"/>
      <c r="BQ289" s="235"/>
      <c r="BR289" s="48"/>
      <c r="BS289" s="235"/>
      <c r="BT289" s="235"/>
      <c r="BU289" s="235"/>
      <c r="BV289" s="235"/>
      <c r="BW289" s="235"/>
      <c r="BX289" s="235"/>
      <c r="BY289" s="235"/>
      <c r="BZ289" s="235"/>
      <c r="CA289" s="235"/>
      <c r="CB289" s="235"/>
      <c r="CC289" s="48"/>
      <c r="CD289" s="48"/>
      <c r="CE289" s="48"/>
      <c r="CF289" s="48"/>
      <c r="CG289" s="48"/>
      <c r="CH289" s="48"/>
      <c r="CI289" s="48"/>
      <c r="CJ289" s="48"/>
      <c r="CK289" s="48"/>
      <c r="CL289" s="48"/>
      <c r="CM289" s="50"/>
      <c r="CN289" s="50"/>
      <c r="CO289" s="50"/>
      <c r="CP289" s="50"/>
      <c r="CQ289" s="50"/>
      <c r="CR289" s="50"/>
      <c r="CS289" s="50"/>
      <c r="CT289" s="50"/>
      <c r="CU289" s="50"/>
      <c r="CV289" s="50"/>
      <c r="CW289" s="50"/>
      <c r="CX289" s="50"/>
      <c r="CY289" s="50"/>
      <c r="CZ289" s="49"/>
      <c r="DA289" s="48"/>
      <c r="DB289" s="48"/>
    </row>
    <row r="290" spans="1:113" hidden="1" outlineLevel="2">
      <c r="A290" s="1" t="s">
        <v>151</v>
      </c>
      <c r="B290" s="19" t="s">
        <v>343</v>
      </c>
      <c r="C290" s="235"/>
      <c r="D290" s="235"/>
      <c r="E290" s="235"/>
      <c r="F290" s="235"/>
      <c r="G290" s="235"/>
      <c r="H290" s="235"/>
      <c r="I290" s="235"/>
      <c r="J290" s="235"/>
      <c r="K290" s="235"/>
      <c r="L290" s="235"/>
      <c r="M290" s="48"/>
      <c r="N290" s="48"/>
      <c r="O290" s="48"/>
      <c r="P290" s="48"/>
      <c r="Q290" s="48"/>
      <c r="R290" s="48"/>
      <c r="S290" s="48"/>
      <c r="T290" s="48"/>
      <c r="U290" s="48"/>
      <c r="V290" s="48"/>
      <c r="W290" s="48"/>
      <c r="X290" s="48"/>
      <c r="Y290" s="50"/>
      <c r="Z290" s="50"/>
      <c r="AA290" s="50"/>
      <c r="AB290" s="50"/>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49"/>
      <c r="BA290" s="48"/>
      <c r="BB290" s="48"/>
      <c r="BC290" s="48"/>
      <c r="BD290" s="48"/>
      <c r="BE290" s="48"/>
      <c r="BF290" s="48"/>
      <c r="BG290" s="48"/>
      <c r="BH290" s="48"/>
      <c r="BI290" s="48"/>
      <c r="BJ290" s="48"/>
      <c r="BK290" s="48"/>
      <c r="BL290" s="235"/>
      <c r="BM290" s="235"/>
      <c r="BN290" s="235"/>
      <c r="BO290" s="235"/>
      <c r="BP290" s="235"/>
      <c r="BQ290" s="235"/>
      <c r="BR290" s="48"/>
      <c r="BS290" s="235"/>
      <c r="BT290" s="235"/>
      <c r="BU290" s="235"/>
      <c r="BV290" s="235"/>
      <c r="BW290" s="235"/>
      <c r="BX290" s="235"/>
      <c r="BY290" s="235"/>
      <c r="BZ290" s="235"/>
      <c r="CA290" s="235"/>
      <c r="CB290" s="235"/>
      <c r="CC290" s="48"/>
      <c r="CD290" s="48"/>
      <c r="CE290" s="48"/>
      <c r="CF290" s="48"/>
      <c r="CG290" s="48"/>
      <c r="CH290" s="48"/>
      <c r="CI290" s="48"/>
      <c r="CJ290" s="48"/>
      <c r="CK290" s="48"/>
      <c r="CL290" s="48"/>
      <c r="CM290" s="50"/>
      <c r="CN290" s="50"/>
      <c r="CO290" s="50"/>
      <c r="CP290" s="50"/>
      <c r="CQ290" s="50"/>
      <c r="CR290" s="50"/>
      <c r="CS290" s="50"/>
      <c r="CT290" s="50"/>
      <c r="CU290" s="50"/>
      <c r="CV290" s="50"/>
      <c r="CW290" s="50"/>
      <c r="CX290" s="50"/>
      <c r="CY290" s="50"/>
      <c r="CZ290" s="49"/>
      <c r="DA290" s="48"/>
      <c r="DB290" s="48"/>
    </row>
    <row r="291" spans="1:113" s="24" customFormat="1" hidden="1" outlineLevel="2">
      <c r="A291" s="1" t="s">
        <v>69</v>
      </c>
      <c r="B291" s="24" t="s">
        <v>581</v>
      </c>
      <c r="C291" s="562">
        <f t="shared" ref="C291:L291" si="1937">SUM(C276*C219,C281*C224,C286*C229)/C234</f>
        <v>2.1986416454189722E-2</v>
      </c>
      <c r="D291" s="562">
        <f t="shared" si="1937"/>
        <v>2.1557909479508884E-2</v>
      </c>
      <c r="E291" s="562">
        <f t="shared" si="1937"/>
        <v>1.6881784087696819E-2</v>
      </c>
      <c r="F291" s="562">
        <f t="shared" si="1937"/>
        <v>1.6189147447362433E-2</v>
      </c>
      <c r="G291" s="562">
        <f t="shared" si="1937"/>
        <v>1.8405562890093954E-2</v>
      </c>
      <c r="H291" s="562">
        <f t="shared" si="1937"/>
        <v>1.408369727177064E-2</v>
      </c>
      <c r="I291" s="562">
        <f t="shared" si="1937"/>
        <v>1.2325652142004527E-2</v>
      </c>
      <c r="J291" s="562">
        <f t="shared" si="1937"/>
        <v>1.4204606347771201E-2</v>
      </c>
      <c r="K291" s="562">
        <f t="shared" si="1937"/>
        <v>1.304710490644239E-2</v>
      </c>
      <c r="L291" s="562">
        <f t="shared" si="1937"/>
        <v>1.3890022512028515E-2</v>
      </c>
      <c r="M291" s="92">
        <f t="shared" ref="M291:Y291" si="1938">SUM(M276*M219,M281*M224,M286*M229)/M234</f>
        <v>6.6425221342348599E-3</v>
      </c>
      <c r="N291" s="92">
        <f t="shared" si="1938"/>
        <v>1.0399811854036184E-2</v>
      </c>
      <c r="O291" s="92">
        <f t="shared" si="1938"/>
        <v>6.370225608650232E-3</v>
      </c>
      <c r="P291" s="92">
        <f t="shared" si="1938"/>
        <v>-4.0689965619751653E-3</v>
      </c>
      <c r="Q291" s="92">
        <f t="shared" si="1938"/>
        <v>6.0957174605736849E-4</v>
      </c>
      <c r="R291" s="92">
        <f t="shared" si="1938"/>
        <v>1.4246154829275158E-2</v>
      </c>
      <c r="S291" s="92">
        <f t="shared" si="1938"/>
        <v>2.8128561406577674E-2</v>
      </c>
      <c r="T291" s="92">
        <f t="shared" si="1938"/>
        <v>2.1967318258438635E-2</v>
      </c>
      <c r="U291" s="92">
        <f t="shared" si="1938"/>
        <v>1.9328145349174233E-2</v>
      </c>
      <c r="V291" s="92">
        <f t="shared" si="1938"/>
        <v>1.7920054457232437E-2</v>
      </c>
      <c r="W291" s="92">
        <f t="shared" si="1938"/>
        <v>1.8726719983389904E-2</v>
      </c>
      <c r="X291" s="92">
        <f t="shared" si="1938"/>
        <v>1.958770561415835E-2</v>
      </c>
      <c r="Y291" s="170">
        <f t="shared" si="1938"/>
        <v>2.3447640831007803E-2</v>
      </c>
      <c r="Z291" s="170">
        <f t="shared" ref="Z291:AK291" si="1939">SUM(Z276*Z219,Z281*Z224,Z286*Z229)/Z234</f>
        <v>2.5860649059988174E-2</v>
      </c>
      <c r="AA291" s="170">
        <f t="shared" si="1939"/>
        <v>2.7626720877417146E-2</v>
      </c>
      <c r="AB291" s="170">
        <f t="shared" si="1939"/>
        <v>2.7627155132598981E-2</v>
      </c>
      <c r="AC291" s="170">
        <f t="shared" si="1939"/>
        <v>2.5766338415169562E-2</v>
      </c>
      <c r="AD291" s="170">
        <f t="shared" si="1939"/>
        <v>2.4569668139333863E-2</v>
      </c>
      <c r="AE291" s="170">
        <f t="shared" si="1939"/>
        <v>2.6139187781494475E-2</v>
      </c>
      <c r="AF291" s="170">
        <f t="shared" si="1939"/>
        <v>2.6411283900569661E-2</v>
      </c>
      <c r="AG291" s="170">
        <f t="shared" si="1939"/>
        <v>2.5791507668756441E-2</v>
      </c>
      <c r="AH291" s="170">
        <f t="shared" si="1939"/>
        <v>2.7600244634047755E-2</v>
      </c>
      <c r="AI291" s="170">
        <f t="shared" si="1939"/>
        <v>2.7308493684216568E-2</v>
      </c>
      <c r="AJ291" s="170">
        <f t="shared" si="1939"/>
        <v>2.7844352181989933E-2</v>
      </c>
      <c r="AK291" s="170">
        <f t="shared" si="1939"/>
        <v>2.5453770416779112E-2</v>
      </c>
      <c r="AL291" s="170">
        <f t="shared" ref="AL291:AQ291" si="1940">SUM(AL276*AL219,AL281*AL224,AL286*AL229)/AL234</f>
        <v>2.4855236915713508E-2</v>
      </c>
      <c r="AM291" s="170">
        <f t="shared" si="1940"/>
        <v>2.6747408156256876E-2</v>
      </c>
      <c r="AN291" s="170">
        <f t="shared" si="1940"/>
        <v>3.1374673368989095E-2</v>
      </c>
      <c r="AO291" s="170">
        <f t="shared" si="1940"/>
        <v>3.2434299891261696E-2</v>
      </c>
      <c r="AP291" s="170">
        <f t="shared" si="1940"/>
        <v>3.2929096799321392E-2</v>
      </c>
      <c r="AQ291" s="170">
        <f t="shared" si="1940"/>
        <v>3.1725434193333638E-2</v>
      </c>
      <c r="AR291" s="170"/>
      <c r="AS291" s="170"/>
      <c r="AT291" s="170"/>
      <c r="AU291" s="170"/>
      <c r="AV291" s="170"/>
      <c r="AW291" s="170"/>
      <c r="AX291" s="170"/>
      <c r="AY291" s="170"/>
      <c r="AZ291" s="94"/>
      <c r="BA291" s="92"/>
      <c r="BB291" s="92"/>
      <c r="BC291" s="92"/>
      <c r="BD291" s="92"/>
      <c r="BE291" s="92"/>
      <c r="BF291" s="92"/>
      <c r="BG291" s="92"/>
      <c r="BH291" s="92"/>
      <c r="BI291" s="92"/>
      <c r="BJ291" s="92"/>
      <c r="BK291" s="92"/>
      <c r="BL291" s="562"/>
      <c r="BM291" s="562"/>
      <c r="BN291" s="562"/>
      <c r="BO291" s="562"/>
      <c r="BP291" s="562"/>
      <c r="BQ291" s="562"/>
      <c r="BR291" s="92"/>
      <c r="BS291" s="562">
        <f t="shared" ref="BS291:CB291" si="1941">SUM(BS276*BS219,BS281*BS224,BS286*BS229)/BS234</f>
        <v>3.6704026776938417E-2</v>
      </c>
      <c r="BT291" s="562">
        <f t="shared" si="1941"/>
        <v>4.0427080383828841E-2</v>
      </c>
      <c r="BU291" s="562">
        <f t="shared" si="1941"/>
        <v>3.7297780950236337E-2</v>
      </c>
      <c r="BV291" s="562">
        <f t="shared" si="1941"/>
        <v>1.861055775388647E-2</v>
      </c>
      <c r="BW291" s="562">
        <f t="shared" si="1941"/>
        <v>2.2669499924800718E-2</v>
      </c>
      <c r="BX291" s="562">
        <f t="shared" si="1941"/>
        <v>2.6708639454369194E-2</v>
      </c>
      <c r="BY291" s="562">
        <f t="shared" si="1941"/>
        <v>2.7731209227467808E-2</v>
      </c>
      <c r="BZ291" s="562">
        <f t="shared" si="1941"/>
        <v>2.1503447152789283E-2</v>
      </c>
      <c r="CA291" s="562">
        <f t="shared" si="1941"/>
        <v>1.4425976172181479E-2</v>
      </c>
      <c r="CB291" s="562">
        <f t="shared" si="1941"/>
        <v>1.7642926947159805E-2</v>
      </c>
      <c r="CC291" s="92" t="e">
        <f t="shared" ref="CC291:CR291" si="1942">SUM(CC276*CC219,CC281*CC224,CC286*CC229)/CC234</f>
        <v>#DIV/0!</v>
      </c>
      <c r="CD291" s="92" t="e">
        <f t="shared" si="1942"/>
        <v>#DIV/0!</v>
      </c>
      <c r="CE291" s="92" t="e">
        <f t="shared" si="1942"/>
        <v>#DIV/0!</v>
      </c>
      <c r="CF291" s="92" t="e">
        <f t="shared" si="1942"/>
        <v>#DIV/0!</v>
      </c>
      <c r="CG291" s="92">
        <f t="shared" si="1942"/>
        <v>1.0179543877172193E-2</v>
      </c>
      <c r="CH291" s="92">
        <f t="shared" si="1942"/>
        <v>8.0708993861535877E-3</v>
      </c>
      <c r="CI291" s="92">
        <f t="shared" si="1942"/>
        <v>-1.6587661679625613E-3</v>
      </c>
      <c r="CJ291" s="92">
        <f t="shared" si="1942"/>
        <v>2.1323853386200728E-2</v>
      </c>
      <c r="CK291" s="92">
        <f t="shared" si="1942"/>
        <v>2.0647816981799363E-2</v>
      </c>
      <c r="CL291" s="92">
        <f t="shared" si="1942"/>
        <v>1.8320438338246866E-2</v>
      </c>
      <c r="CM291" s="170">
        <f t="shared" si="1942"/>
        <v>2.1526906844539895E-2</v>
      </c>
      <c r="CN291" s="170">
        <f t="shared" si="1942"/>
        <v>2.6743835690080587E-2</v>
      </c>
      <c r="CO291" s="170">
        <f t="shared" si="1942"/>
        <v>2.6688112951497468E-2</v>
      </c>
      <c r="CP291" s="170">
        <f t="shared" si="1942"/>
        <v>2.5362527285983386E-2</v>
      </c>
      <c r="CQ291" s="170">
        <f t="shared" si="1942"/>
        <v>2.6098884011372545E-2</v>
      </c>
      <c r="CR291" s="170">
        <f t="shared" si="1942"/>
        <v>2.7454329347030109E-2</v>
      </c>
      <c r="CS291" s="170">
        <f t="shared" ref="CS291:CT291" si="1943">SUM(CS276*CS219,CS281*CS224,CS286*CS229)/CS234</f>
        <v>2.6654802145790326E-2</v>
      </c>
      <c r="CT291" s="170">
        <f t="shared" si="1943"/>
        <v>2.5796978934130299E-2</v>
      </c>
      <c r="CU291" s="170"/>
      <c r="CV291" s="170"/>
      <c r="CW291" s="170"/>
      <c r="CX291" s="170"/>
      <c r="CY291" s="170"/>
      <c r="CZ291" s="94"/>
      <c r="DA291" s="92"/>
      <c r="DB291" s="92"/>
      <c r="DC291" s="92"/>
      <c r="DD291" s="92"/>
      <c r="DE291" s="92"/>
      <c r="DF291" s="92"/>
      <c r="DG291" s="562"/>
      <c r="DH291" s="562"/>
      <c r="DI291" s="562"/>
    </row>
    <row r="292" spans="1:113" hidden="1" outlineLevel="2">
      <c r="A292" s="1" t="s">
        <v>70</v>
      </c>
      <c r="B292" s="19" t="s">
        <v>344</v>
      </c>
      <c r="C292" s="553">
        <v>0</v>
      </c>
      <c r="D292" s="553">
        <v>0</v>
      </c>
      <c r="E292" s="553">
        <v>0</v>
      </c>
      <c r="F292" s="553">
        <v>0</v>
      </c>
      <c r="G292" s="553">
        <v>0</v>
      </c>
      <c r="H292" s="553">
        <v>0</v>
      </c>
      <c r="I292" s="553">
        <v>0</v>
      </c>
      <c r="J292" s="553">
        <v>0</v>
      </c>
      <c r="K292" s="553">
        <v>0</v>
      </c>
      <c r="L292" s="553">
        <v>0</v>
      </c>
      <c r="M292" s="51">
        <v>0</v>
      </c>
      <c r="N292" s="51">
        <v>0</v>
      </c>
      <c r="O292" s="51">
        <v>0</v>
      </c>
      <c r="P292" s="51">
        <v>0</v>
      </c>
      <c r="Q292" s="51">
        <v>0</v>
      </c>
      <c r="R292" s="51">
        <v>0</v>
      </c>
      <c r="S292" s="51">
        <v>0</v>
      </c>
      <c r="T292" s="51">
        <v>0</v>
      </c>
      <c r="U292" s="51">
        <v>0</v>
      </c>
      <c r="V292" s="51">
        <v>0</v>
      </c>
      <c r="W292" s="51">
        <v>0</v>
      </c>
      <c r="X292" s="51">
        <v>0</v>
      </c>
      <c r="Y292" s="95">
        <v>0</v>
      </c>
      <c r="Z292" s="95">
        <v>0</v>
      </c>
      <c r="AA292" s="178">
        <v>0</v>
      </c>
      <c r="AB292" s="178">
        <v>0</v>
      </c>
      <c r="AC292" s="178">
        <v>0</v>
      </c>
      <c r="AD292" s="178">
        <v>0</v>
      </c>
      <c r="AE292" s="178">
        <v>0</v>
      </c>
      <c r="AF292" s="178">
        <v>0</v>
      </c>
      <c r="AG292" s="178">
        <v>0</v>
      </c>
      <c r="AH292" s="178">
        <v>0</v>
      </c>
      <c r="AI292" s="178">
        <v>0</v>
      </c>
      <c r="AJ292" s="178">
        <v>0</v>
      </c>
      <c r="AK292" s="178">
        <v>0</v>
      </c>
      <c r="AL292" s="178">
        <v>0</v>
      </c>
      <c r="AM292" s="178">
        <v>0</v>
      </c>
      <c r="AN292" s="178">
        <v>0</v>
      </c>
      <c r="AO292" s="178">
        <v>0</v>
      </c>
      <c r="AP292" s="178">
        <v>0</v>
      </c>
      <c r="AQ292" s="178">
        <v>0</v>
      </c>
      <c r="AR292" s="178"/>
      <c r="AS292" s="178"/>
      <c r="AT292" s="178"/>
      <c r="AU292" s="178"/>
      <c r="AV292" s="178"/>
      <c r="AW292" s="178"/>
      <c r="AX292" s="178"/>
      <c r="AY292" s="50"/>
      <c r="AZ292" s="49"/>
      <c r="BA292" s="48"/>
      <c r="BB292" s="48"/>
      <c r="BC292" s="48"/>
      <c r="BD292" s="48"/>
      <c r="BE292" s="48"/>
      <c r="BF292" s="48"/>
      <c r="BG292" s="48"/>
      <c r="BH292" s="48"/>
      <c r="BI292" s="48"/>
      <c r="BJ292" s="48"/>
      <c r="BK292" s="48"/>
      <c r="BL292" s="235"/>
      <c r="BM292" s="235"/>
      <c r="BN292" s="235"/>
      <c r="BO292" s="235"/>
      <c r="BP292" s="235"/>
      <c r="BQ292" s="235"/>
      <c r="BR292" s="48"/>
      <c r="BS292" s="553">
        <v>0</v>
      </c>
      <c r="BT292" s="553">
        <v>0</v>
      </c>
      <c r="BU292" s="553">
        <v>0</v>
      </c>
      <c r="BV292" s="553">
        <v>0</v>
      </c>
      <c r="BW292" s="553">
        <v>0</v>
      </c>
      <c r="BX292" s="553">
        <v>0</v>
      </c>
      <c r="BY292" s="553">
        <v>0</v>
      </c>
      <c r="BZ292" s="553">
        <v>0</v>
      </c>
      <c r="CA292" s="553">
        <v>0</v>
      </c>
      <c r="CB292" s="553">
        <v>0</v>
      </c>
      <c r="CC292" s="48">
        <v>0</v>
      </c>
      <c r="CD292" s="48">
        <v>0</v>
      </c>
      <c r="CE292" s="48">
        <v>0</v>
      </c>
      <c r="CF292" s="48">
        <v>0</v>
      </c>
      <c r="CG292" s="48">
        <v>0</v>
      </c>
      <c r="CH292" s="48">
        <v>0</v>
      </c>
      <c r="CI292" s="48">
        <v>0</v>
      </c>
      <c r="CJ292" s="48">
        <v>0</v>
      </c>
      <c r="CK292" s="48">
        <v>0</v>
      </c>
      <c r="CL292" s="48">
        <v>0</v>
      </c>
      <c r="CM292" s="50">
        <v>0</v>
      </c>
      <c r="CN292" s="50">
        <v>0</v>
      </c>
      <c r="CO292" s="50">
        <v>0</v>
      </c>
      <c r="CP292" s="50">
        <v>0</v>
      </c>
      <c r="CQ292" s="50">
        <v>0</v>
      </c>
      <c r="CR292" s="50">
        <v>0</v>
      </c>
      <c r="CS292" s="50">
        <v>0</v>
      </c>
      <c r="CT292" s="50">
        <v>0</v>
      </c>
      <c r="CU292" s="50"/>
      <c r="CV292" s="50"/>
      <c r="CW292" s="50"/>
      <c r="CX292" s="50"/>
      <c r="CY292" s="50"/>
      <c r="CZ292" s="49"/>
      <c r="DA292" s="48"/>
      <c r="DB292" s="48"/>
      <c r="DC292" s="48"/>
      <c r="DD292" s="48"/>
      <c r="DE292" s="48"/>
      <c r="DF292" s="48"/>
      <c r="DG292" s="235"/>
      <c r="DH292" s="235"/>
      <c r="DI292" s="235"/>
    </row>
    <row r="293" spans="1:113" hidden="1" outlineLevel="2">
      <c r="A293" s="1" t="s">
        <v>71</v>
      </c>
      <c r="B293" s="19" t="s">
        <v>586</v>
      </c>
      <c r="C293" s="553">
        <v>0</v>
      </c>
      <c r="D293" s="553">
        <v>0</v>
      </c>
      <c r="E293" s="553">
        <v>0</v>
      </c>
      <c r="F293" s="553">
        <v>0</v>
      </c>
      <c r="G293" s="553">
        <v>0</v>
      </c>
      <c r="H293" s="553">
        <v>0</v>
      </c>
      <c r="I293" s="553">
        <v>0</v>
      </c>
      <c r="J293" s="553">
        <v>0</v>
      </c>
      <c r="K293" s="553">
        <v>0</v>
      </c>
      <c r="L293" s="553">
        <v>0</v>
      </c>
      <c r="M293" s="51">
        <v>0</v>
      </c>
      <c r="N293" s="51">
        <v>0</v>
      </c>
      <c r="O293" s="51">
        <v>0</v>
      </c>
      <c r="P293" s="51">
        <v>0</v>
      </c>
      <c r="Q293" s="51">
        <v>0</v>
      </c>
      <c r="R293" s="51">
        <v>0</v>
      </c>
      <c r="S293" s="51">
        <v>0</v>
      </c>
      <c r="T293" s="51">
        <v>0</v>
      </c>
      <c r="U293" s="51">
        <v>0</v>
      </c>
      <c r="V293" s="51">
        <v>0</v>
      </c>
      <c r="W293" s="51">
        <v>0</v>
      </c>
      <c r="X293" s="51">
        <v>0</v>
      </c>
      <c r="Y293" s="95">
        <v>0</v>
      </c>
      <c r="Z293" s="95">
        <v>0</v>
      </c>
      <c r="AA293" s="178">
        <v>0</v>
      </c>
      <c r="AB293" s="178">
        <v>0</v>
      </c>
      <c r="AC293" s="178">
        <v>0</v>
      </c>
      <c r="AD293" s="178">
        <v>0</v>
      </c>
      <c r="AE293" s="178">
        <v>0</v>
      </c>
      <c r="AF293" s="178">
        <v>0</v>
      </c>
      <c r="AG293" s="178">
        <v>0</v>
      </c>
      <c r="AH293" s="178">
        <v>0</v>
      </c>
      <c r="AI293" s="178">
        <v>0</v>
      </c>
      <c r="AJ293" s="178">
        <v>0</v>
      </c>
      <c r="AK293" s="178">
        <v>0</v>
      </c>
      <c r="AL293" s="178">
        <v>0</v>
      </c>
      <c r="AM293" s="178">
        <v>0</v>
      </c>
      <c r="AN293" s="178">
        <v>0</v>
      </c>
      <c r="AO293" s="178">
        <v>0</v>
      </c>
      <c r="AP293" s="178">
        <v>0</v>
      </c>
      <c r="AQ293" s="178">
        <v>0</v>
      </c>
      <c r="AR293" s="178"/>
      <c r="AS293" s="178"/>
      <c r="AT293" s="178"/>
      <c r="AU293" s="178"/>
      <c r="AV293" s="178"/>
      <c r="AW293" s="178"/>
      <c r="AX293" s="178"/>
      <c r="AY293" s="50"/>
      <c r="AZ293" s="49"/>
      <c r="BA293" s="48"/>
      <c r="BB293" s="48"/>
      <c r="BC293" s="48"/>
      <c r="BD293" s="48"/>
      <c r="BE293" s="48"/>
      <c r="BF293" s="48"/>
      <c r="BG293" s="48"/>
      <c r="BH293" s="48"/>
      <c r="BI293" s="48"/>
      <c r="BJ293" s="48"/>
      <c r="BK293" s="48"/>
      <c r="BL293" s="235"/>
      <c r="BM293" s="235"/>
      <c r="BN293" s="235"/>
      <c r="BO293" s="235"/>
      <c r="BP293" s="235"/>
      <c r="BQ293" s="235"/>
      <c r="BR293" s="48"/>
      <c r="BS293" s="553">
        <v>0</v>
      </c>
      <c r="BT293" s="553">
        <v>0</v>
      </c>
      <c r="BU293" s="553">
        <v>0</v>
      </c>
      <c r="BV293" s="553">
        <v>0</v>
      </c>
      <c r="BW293" s="553">
        <v>0</v>
      </c>
      <c r="BX293" s="553">
        <v>0</v>
      </c>
      <c r="BY293" s="553">
        <v>0</v>
      </c>
      <c r="BZ293" s="553">
        <v>0</v>
      </c>
      <c r="CA293" s="553">
        <v>0</v>
      </c>
      <c r="CB293" s="553">
        <v>0</v>
      </c>
      <c r="CC293" s="48">
        <v>0</v>
      </c>
      <c r="CD293" s="48">
        <v>0</v>
      </c>
      <c r="CE293" s="48">
        <v>0</v>
      </c>
      <c r="CF293" s="48">
        <v>0</v>
      </c>
      <c r="CG293" s="48">
        <v>0</v>
      </c>
      <c r="CH293" s="48">
        <v>0</v>
      </c>
      <c r="CI293" s="48">
        <v>0</v>
      </c>
      <c r="CJ293" s="48">
        <v>0</v>
      </c>
      <c r="CK293" s="48">
        <v>0</v>
      </c>
      <c r="CL293" s="48">
        <v>0</v>
      </c>
      <c r="CM293" s="50">
        <v>0</v>
      </c>
      <c r="CN293" s="50">
        <v>0</v>
      </c>
      <c r="CO293" s="50">
        <v>0</v>
      </c>
      <c r="CP293" s="50">
        <v>0</v>
      </c>
      <c r="CQ293" s="50">
        <v>0</v>
      </c>
      <c r="CR293" s="50">
        <v>0</v>
      </c>
      <c r="CS293" s="50">
        <v>0</v>
      </c>
      <c r="CT293" s="50">
        <v>0</v>
      </c>
      <c r="CU293" s="50"/>
      <c r="CV293" s="50"/>
      <c r="CW293" s="50"/>
      <c r="CX293" s="50"/>
      <c r="CY293" s="50"/>
      <c r="CZ293" s="49"/>
      <c r="DA293" s="48"/>
      <c r="DB293" s="48"/>
      <c r="DC293" s="48"/>
      <c r="DD293" s="48"/>
      <c r="DE293" s="48"/>
      <c r="DF293" s="48"/>
      <c r="DG293" s="235"/>
      <c r="DH293" s="235"/>
      <c r="DI293" s="235"/>
    </row>
    <row r="294" spans="1:113" s="24" customFormat="1" hidden="1" outlineLevel="2">
      <c r="A294" s="1" t="s">
        <v>72</v>
      </c>
      <c r="B294" s="24" t="s">
        <v>587</v>
      </c>
      <c r="C294" s="562">
        <f t="shared" ref="C294:L294" si="1944">SUM(C291*C234,C292*C235,C293*C236)/C237</f>
        <v>2.1986416454189722E-2</v>
      </c>
      <c r="D294" s="562">
        <f t="shared" si="1944"/>
        <v>2.1557909479508884E-2</v>
      </c>
      <c r="E294" s="562">
        <f t="shared" si="1944"/>
        <v>1.6881784087696819E-2</v>
      </c>
      <c r="F294" s="562">
        <f t="shared" si="1944"/>
        <v>1.6189147447362433E-2</v>
      </c>
      <c r="G294" s="562">
        <f t="shared" si="1944"/>
        <v>1.8405562890093954E-2</v>
      </c>
      <c r="H294" s="562">
        <f t="shared" si="1944"/>
        <v>1.408369727177064E-2</v>
      </c>
      <c r="I294" s="562">
        <f t="shared" si="1944"/>
        <v>1.2325652142004527E-2</v>
      </c>
      <c r="J294" s="562">
        <f t="shared" si="1944"/>
        <v>1.4204606347771201E-2</v>
      </c>
      <c r="K294" s="562">
        <f t="shared" si="1944"/>
        <v>1.304710490644239E-2</v>
      </c>
      <c r="L294" s="562">
        <f t="shared" si="1944"/>
        <v>1.3890022512028515E-2</v>
      </c>
      <c r="M294" s="92">
        <f t="shared" ref="M294:Y294" si="1945">SUM(M291*M234,M292*M235,M293*M236)/M237</f>
        <v>6.6425221342348599E-3</v>
      </c>
      <c r="N294" s="92">
        <f t="shared" si="1945"/>
        <v>1.0399811854036184E-2</v>
      </c>
      <c r="O294" s="92">
        <f t="shared" si="1945"/>
        <v>6.370225608650232E-3</v>
      </c>
      <c r="P294" s="92">
        <f t="shared" si="1945"/>
        <v>-4.0689965619751653E-3</v>
      </c>
      <c r="Q294" s="92">
        <f t="shared" si="1945"/>
        <v>6.0957174605736849E-4</v>
      </c>
      <c r="R294" s="92">
        <f t="shared" si="1945"/>
        <v>1.4246154829275158E-2</v>
      </c>
      <c r="S294" s="92">
        <f t="shared" si="1945"/>
        <v>2.8128561406577674E-2</v>
      </c>
      <c r="T294" s="92">
        <f t="shared" si="1945"/>
        <v>2.1967318258438635E-2</v>
      </c>
      <c r="U294" s="92">
        <f t="shared" si="1945"/>
        <v>1.9328145349174233E-2</v>
      </c>
      <c r="V294" s="92">
        <f t="shared" si="1945"/>
        <v>1.7920054457232437E-2</v>
      </c>
      <c r="W294" s="92">
        <f t="shared" si="1945"/>
        <v>1.8726719983389904E-2</v>
      </c>
      <c r="X294" s="92">
        <f t="shared" si="1945"/>
        <v>1.958770561415835E-2</v>
      </c>
      <c r="Y294" s="170">
        <f t="shared" si="1945"/>
        <v>2.3447640831007803E-2</v>
      </c>
      <c r="Z294" s="170">
        <f t="shared" ref="Z294:AK294" si="1946">SUM(Z291*Z234,Z292*Z235,Z293*Z236)/Z237</f>
        <v>2.5860649059988174E-2</v>
      </c>
      <c r="AA294" s="170">
        <f t="shared" si="1946"/>
        <v>2.7626720877417146E-2</v>
      </c>
      <c r="AB294" s="170">
        <f t="shared" si="1946"/>
        <v>2.7627155132598981E-2</v>
      </c>
      <c r="AC294" s="170">
        <f t="shared" si="1946"/>
        <v>2.5766338415169562E-2</v>
      </c>
      <c r="AD294" s="170">
        <f t="shared" si="1946"/>
        <v>2.4569668139333863E-2</v>
      </c>
      <c r="AE294" s="170">
        <f t="shared" si="1946"/>
        <v>2.6139187781494475E-2</v>
      </c>
      <c r="AF294" s="170">
        <f t="shared" si="1946"/>
        <v>2.6411283900569661E-2</v>
      </c>
      <c r="AG294" s="170">
        <f t="shared" si="1946"/>
        <v>2.5791507668756441E-2</v>
      </c>
      <c r="AH294" s="170">
        <f t="shared" si="1946"/>
        <v>2.7600244634047755E-2</v>
      </c>
      <c r="AI294" s="170">
        <f t="shared" si="1946"/>
        <v>2.7308493684216568E-2</v>
      </c>
      <c r="AJ294" s="170">
        <f t="shared" si="1946"/>
        <v>2.7844352181989933E-2</v>
      </c>
      <c r="AK294" s="170">
        <f t="shared" si="1946"/>
        <v>2.5453770416779112E-2</v>
      </c>
      <c r="AL294" s="170">
        <f t="shared" ref="AL294:AQ294" si="1947">SUM(AL291*AL234,AL292*AL235,AL293*AL236)/AL237</f>
        <v>2.4855236915713508E-2</v>
      </c>
      <c r="AM294" s="170">
        <f t="shared" si="1947"/>
        <v>2.6747408156256876E-2</v>
      </c>
      <c r="AN294" s="170">
        <f t="shared" si="1947"/>
        <v>3.1374673368989095E-2</v>
      </c>
      <c r="AO294" s="170">
        <f t="shared" si="1947"/>
        <v>3.2434299891261696E-2</v>
      </c>
      <c r="AP294" s="170">
        <f t="shared" si="1947"/>
        <v>3.2929096799321392E-2</v>
      </c>
      <c r="AQ294" s="170">
        <f t="shared" si="1947"/>
        <v>3.1725434193333638E-2</v>
      </c>
      <c r="AR294" s="170"/>
      <c r="AS294" s="170"/>
      <c r="AT294" s="170"/>
      <c r="AU294" s="170"/>
      <c r="AV294" s="170"/>
      <c r="AW294" s="170"/>
      <c r="AX294" s="170"/>
      <c r="AY294" s="170"/>
      <c r="AZ294" s="94"/>
      <c r="BA294" s="92"/>
      <c r="BB294" s="92"/>
      <c r="BC294" s="92"/>
      <c r="BD294" s="92"/>
      <c r="BE294" s="92"/>
      <c r="BF294" s="92"/>
      <c r="BG294" s="92"/>
      <c r="BH294" s="92"/>
      <c r="BI294" s="92"/>
      <c r="BJ294" s="92"/>
      <c r="BK294" s="92"/>
      <c r="BL294" s="562"/>
      <c r="BM294" s="562"/>
      <c r="BN294" s="562"/>
      <c r="BO294" s="562"/>
      <c r="BP294" s="562"/>
      <c r="BQ294" s="562"/>
      <c r="BR294" s="92"/>
      <c r="BS294" s="562">
        <f t="shared" ref="BS294:CB294" si="1948">SUM(BS291*BS234,BS292*BS235,BS293*BS236)/BS237</f>
        <v>3.6704026776938417E-2</v>
      </c>
      <c r="BT294" s="562">
        <f t="shared" si="1948"/>
        <v>4.0427080383828841E-2</v>
      </c>
      <c r="BU294" s="562">
        <f t="shared" si="1948"/>
        <v>3.7297780950236337E-2</v>
      </c>
      <c r="BV294" s="562">
        <f t="shared" si="1948"/>
        <v>1.861055775388647E-2</v>
      </c>
      <c r="BW294" s="562">
        <f t="shared" si="1948"/>
        <v>2.2669499924800718E-2</v>
      </c>
      <c r="BX294" s="562">
        <f t="shared" si="1948"/>
        <v>2.6708639454369194E-2</v>
      </c>
      <c r="BY294" s="562">
        <f t="shared" si="1948"/>
        <v>2.7731209227467808E-2</v>
      </c>
      <c r="BZ294" s="562">
        <f t="shared" si="1948"/>
        <v>2.1503447152789283E-2</v>
      </c>
      <c r="CA294" s="562">
        <f t="shared" si="1948"/>
        <v>1.4425976172181479E-2</v>
      </c>
      <c r="CB294" s="562">
        <f t="shared" si="1948"/>
        <v>1.7642926947159805E-2</v>
      </c>
      <c r="CC294" s="92" t="e">
        <f t="shared" ref="CC294:CR294" si="1949">SUM(CC291*CC234,CC292*CC235,CC293*CC236)/CC237</f>
        <v>#DIV/0!</v>
      </c>
      <c r="CD294" s="92" t="e">
        <f t="shared" si="1949"/>
        <v>#DIV/0!</v>
      </c>
      <c r="CE294" s="92" t="e">
        <f t="shared" si="1949"/>
        <v>#DIV/0!</v>
      </c>
      <c r="CF294" s="92" t="e">
        <f t="shared" si="1949"/>
        <v>#DIV/0!</v>
      </c>
      <c r="CG294" s="92">
        <f t="shared" si="1949"/>
        <v>1.0179543877172193E-2</v>
      </c>
      <c r="CH294" s="92">
        <f t="shared" si="1949"/>
        <v>8.0708993861535877E-3</v>
      </c>
      <c r="CI294" s="92">
        <f t="shared" si="1949"/>
        <v>-1.6587661679625613E-3</v>
      </c>
      <c r="CJ294" s="92">
        <f t="shared" si="1949"/>
        <v>2.1323853386200728E-2</v>
      </c>
      <c r="CK294" s="92">
        <f t="shared" si="1949"/>
        <v>2.0647816981799363E-2</v>
      </c>
      <c r="CL294" s="92">
        <f t="shared" si="1949"/>
        <v>1.8320438338246866E-2</v>
      </c>
      <c r="CM294" s="170">
        <f t="shared" si="1949"/>
        <v>2.1526906844539895E-2</v>
      </c>
      <c r="CN294" s="170">
        <f t="shared" si="1949"/>
        <v>2.6743835690080587E-2</v>
      </c>
      <c r="CO294" s="170">
        <f t="shared" si="1949"/>
        <v>2.6688112951497468E-2</v>
      </c>
      <c r="CP294" s="170">
        <f t="shared" si="1949"/>
        <v>2.5362527285983386E-2</v>
      </c>
      <c r="CQ294" s="170">
        <f t="shared" si="1949"/>
        <v>2.6098884011372545E-2</v>
      </c>
      <c r="CR294" s="170">
        <f t="shared" si="1949"/>
        <v>2.7454329347030109E-2</v>
      </c>
      <c r="CS294" s="170">
        <f t="shared" ref="CS294:CT294" si="1950">SUM(CS291*CS234,CS292*CS235,CS293*CS236)/CS237</f>
        <v>2.6654802145790326E-2</v>
      </c>
      <c r="CT294" s="170">
        <f t="shared" si="1950"/>
        <v>2.5796978934130299E-2</v>
      </c>
      <c r="CU294" s="170"/>
      <c r="CV294" s="170"/>
      <c r="CW294" s="170"/>
      <c r="CX294" s="170"/>
      <c r="CY294" s="170"/>
      <c r="CZ294" s="94"/>
      <c r="DA294" s="92"/>
      <c r="DB294" s="92"/>
      <c r="DC294" s="92"/>
      <c r="DD294" s="92"/>
      <c r="DE294" s="92"/>
      <c r="DF294" s="92"/>
      <c r="DG294" s="562"/>
      <c r="DH294" s="562"/>
      <c r="DI294" s="562"/>
    </row>
    <row r="295" spans="1:113" hidden="1" outlineLevel="2">
      <c r="A295" s="1" t="s">
        <v>73</v>
      </c>
      <c r="B295" s="19" t="s">
        <v>388</v>
      </c>
      <c r="C295" s="235">
        <f t="shared" ref="C295:L295" si="1951">(C296*C239-C294*C237)/C238</f>
        <v>1.1900226818036447E-2</v>
      </c>
      <c r="D295" s="235">
        <f t="shared" si="1951"/>
        <v>1.0081213653603128E-3</v>
      </c>
      <c r="E295" s="235">
        <f t="shared" si="1951"/>
        <v>-8.4788572661845408E-3</v>
      </c>
      <c r="F295" s="235">
        <f t="shared" si="1951"/>
        <v>-6.0013677501856598E-3</v>
      </c>
      <c r="G295" s="235">
        <f t="shared" si="1951"/>
        <v>-8.3107556544783894E-3</v>
      </c>
      <c r="H295" s="235">
        <f t="shared" si="1951"/>
        <v>-9.8241869162424677E-3</v>
      </c>
      <c r="I295" s="235">
        <f t="shared" si="1951"/>
        <v>-1.3248597264197453E-2</v>
      </c>
      <c r="J295" s="235">
        <f t="shared" si="1951"/>
        <v>-7.3705353249969565E-3</v>
      </c>
      <c r="K295" s="235">
        <f t="shared" si="1951"/>
        <v>-5.4403177793292063E-3</v>
      </c>
      <c r="L295" s="235">
        <f t="shared" si="1951"/>
        <v>-1.7477625637732572E-3</v>
      </c>
      <c r="M295" s="48">
        <f t="shared" ref="M295:Y295" si="1952">(M296*M239-M294*M237)/M238</f>
        <v>-3.5274652198051572E-3</v>
      </c>
      <c r="N295" s="48">
        <f t="shared" si="1952"/>
        <v>4.1530774509847147E-3</v>
      </c>
      <c r="O295" s="48">
        <f t="shared" si="1952"/>
        <v>-3.3954871040442047E-3</v>
      </c>
      <c r="P295" s="48">
        <f t="shared" si="1952"/>
        <v>-1.210264363865503E-2</v>
      </c>
      <c r="Q295" s="48">
        <f t="shared" si="1952"/>
        <v>-1.5432734665817458E-2</v>
      </c>
      <c r="R295" s="48">
        <f t="shared" si="1952"/>
        <v>-9.0456331381284488E-3</v>
      </c>
      <c r="S295" s="48">
        <f t="shared" si="1952"/>
        <v>-2.6929471947475993E-3</v>
      </c>
      <c r="T295" s="48">
        <f t="shared" si="1952"/>
        <v>-6.8765147233319718E-3</v>
      </c>
      <c r="U295" s="48">
        <f t="shared" si="1952"/>
        <v>-1.2786205770314491E-2</v>
      </c>
      <c r="V295" s="48">
        <f t="shared" si="1952"/>
        <v>-1.4102706451045338E-2</v>
      </c>
      <c r="W295" s="48">
        <f t="shared" si="1952"/>
        <v>-1.2870976784987253E-2</v>
      </c>
      <c r="X295" s="48">
        <f t="shared" si="1952"/>
        <v>-1.0373411457824241E-2</v>
      </c>
      <c r="Y295" s="50">
        <f t="shared" si="1952"/>
        <v>-7.4417805842040431E-3</v>
      </c>
      <c r="Z295" s="50">
        <f t="shared" ref="Z295:AK295" si="1953">(Z296*Z239-Z294*Z237)/Z238</f>
        <v>-6.0941083306722439E-3</v>
      </c>
      <c r="AA295" s="50">
        <f t="shared" si="1953"/>
        <v>-4.4607111516225748E-3</v>
      </c>
      <c r="AB295" s="50">
        <f t="shared" si="1953"/>
        <v>-5.1570597005421211E-3</v>
      </c>
      <c r="AC295" s="50">
        <f t="shared" si="1953"/>
        <v>-6.033961334831469E-3</v>
      </c>
      <c r="AD295" s="50">
        <f t="shared" si="1953"/>
        <v>-5.2060885689595455E-3</v>
      </c>
      <c r="AE295" s="50">
        <f t="shared" si="1953"/>
        <v>-4.1797945265952697E-3</v>
      </c>
      <c r="AF295" s="50">
        <f t="shared" si="1953"/>
        <v>-2.9597440680351615E-3</v>
      </c>
      <c r="AG295" s="50">
        <f t="shared" si="1953"/>
        <v>-1.8045449236145535E-3</v>
      </c>
      <c r="AH295" s="50">
        <f t="shared" si="1953"/>
        <v>-1.4221382765164674E-3</v>
      </c>
      <c r="AI295" s="50">
        <f t="shared" si="1953"/>
        <v>-8.161065081374382E-4</v>
      </c>
      <c r="AJ295" s="50">
        <f t="shared" si="1953"/>
        <v>1.395696987411968E-4</v>
      </c>
      <c r="AK295" s="50">
        <f t="shared" si="1953"/>
        <v>2.9429714586097667E-5</v>
      </c>
      <c r="AL295" s="50">
        <f t="shared" ref="AL295:AQ295" si="1954">(AL296*AL239-AL294*AL237)/AL238</f>
        <v>1.7218627864923016E-4</v>
      </c>
      <c r="AM295" s="50">
        <f t="shared" si="1954"/>
        <v>2.2782776536301335E-3</v>
      </c>
      <c r="AN295" s="50">
        <f t="shared" si="1954"/>
        <v>4.6584001029175079E-3</v>
      </c>
      <c r="AO295" s="50">
        <f t="shared" si="1954"/>
        <v>4.6903201198519057E-3</v>
      </c>
      <c r="AP295" s="50">
        <f t="shared" si="1954"/>
        <v>3.8625954399476438E-3</v>
      </c>
      <c r="AQ295" s="50">
        <f t="shared" si="1954"/>
        <v>2.683464292150778E-3</v>
      </c>
      <c r="AR295" s="50"/>
      <c r="AS295" s="50"/>
      <c r="AT295" s="50"/>
      <c r="AU295" s="50"/>
      <c r="AV295" s="50"/>
      <c r="AW295" s="50"/>
      <c r="AX295" s="50"/>
      <c r="AY295" s="942"/>
      <c r="AZ295" s="846"/>
      <c r="BA295" s="47"/>
      <c r="BB295" s="47"/>
      <c r="BC295" s="47"/>
      <c r="BD295" s="47"/>
      <c r="BE295" s="47"/>
      <c r="BF295" s="47"/>
      <c r="BG295" s="47"/>
      <c r="BH295" s="47"/>
      <c r="BI295" s="47"/>
      <c r="BJ295" s="47"/>
      <c r="BK295" s="47"/>
      <c r="BL295" s="510"/>
      <c r="BM295" s="510"/>
      <c r="BN295" s="510"/>
      <c r="BO295" s="510"/>
      <c r="BP295" s="510"/>
      <c r="BQ295" s="510"/>
      <c r="BR295" s="48"/>
      <c r="BS295" s="235">
        <f t="shared" ref="BS295:CB295" si="1955">(BS296*BS239-BS294*BS237)/BS238</f>
        <v>4.5183547961036409E-3</v>
      </c>
      <c r="BT295" s="235">
        <f t="shared" si="1955"/>
        <v>5.4640198335100809E-3</v>
      </c>
      <c r="BU295" s="235">
        <f t="shared" si="1955"/>
        <v>5.5363920929202689E-3</v>
      </c>
      <c r="BV295" s="235">
        <f t="shared" si="1955"/>
        <v>-1.2307894765779624E-2</v>
      </c>
      <c r="BW295" s="235">
        <f t="shared" si="1955"/>
        <v>-1.2835937580937545E-2</v>
      </c>
      <c r="BX295" s="235">
        <f t="shared" si="1955"/>
        <v>-2.1255981068324628E-3</v>
      </c>
      <c r="BY295" s="235">
        <f t="shared" si="1955"/>
        <v>8.5496805767005489E-3</v>
      </c>
      <c r="BZ295" s="235">
        <f t="shared" si="1955"/>
        <v>1.5767592250922936E-3</v>
      </c>
      <c r="CA295" s="235">
        <f t="shared" si="1955"/>
        <v>1.2315496372625253E-3</v>
      </c>
      <c r="CB295" s="235">
        <f t="shared" si="1955"/>
        <v>6.6394965646549425E-3</v>
      </c>
      <c r="CC295" s="48" t="e">
        <f t="shared" ref="CC295:CR295" si="1956">(CC296*CC239-CC294*CC237)/CC238</f>
        <v>#DIV/0!</v>
      </c>
      <c r="CD295" s="48" t="e">
        <f t="shared" si="1956"/>
        <v>#DIV/0!</v>
      </c>
      <c r="CE295" s="48" t="e">
        <f t="shared" si="1956"/>
        <v>#DIV/0!</v>
      </c>
      <c r="CF295" s="48" t="e">
        <f t="shared" si="1956"/>
        <v>#DIV/0!</v>
      </c>
      <c r="CG295" s="48">
        <f t="shared" si="1956"/>
        <v>-2.6452296210884851E-3</v>
      </c>
      <c r="CH295" s="48">
        <f t="shared" si="1956"/>
        <v>2.3331252516650829E-4</v>
      </c>
      <c r="CI295" s="48">
        <f t="shared" si="1956"/>
        <v>-1.3808441282869214E-2</v>
      </c>
      <c r="CJ295" s="48">
        <f t="shared" si="1956"/>
        <v>-5.839239067058734E-3</v>
      </c>
      <c r="CK295" s="48">
        <f t="shared" si="1956"/>
        <v>-9.8685568894738562E-3</v>
      </c>
      <c r="CL295" s="48">
        <f t="shared" si="1956"/>
        <v>-1.3478512585192349E-2</v>
      </c>
      <c r="CM295" s="50">
        <f t="shared" si="1956"/>
        <v>-8.8949778032287215E-3</v>
      </c>
      <c r="CN295" s="50">
        <f t="shared" si="1956"/>
        <v>-5.2867628078452581E-3</v>
      </c>
      <c r="CO295" s="50">
        <f t="shared" si="1956"/>
        <v>-5.6107969134965687E-3</v>
      </c>
      <c r="CP295" s="50">
        <f t="shared" si="1956"/>
        <v>-4.6770542991387831E-3</v>
      </c>
      <c r="CQ295" s="50">
        <f t="shared" si="1956"/>
        <v>-2.3816934484151933E-3</v>
      </c>
      <c r="CR295" s="50">
        <f t="shared" si="1956"/>
        <v>-1.1099237641554679E-3</v>
      </c>
      <c r="CS295" s="50">
        <f t="shared" ref="CS295:CT295" si="1957">(CS296*CS239-CS294*CS237)/CS238</f>
        <v>8.4811740278654767E-5</v>
      </c>
      <c r="CT295" s="50">
        <f t="shared" si="1957"/>
        <v>1.2031663654808488E-3</v>
      </c>
      <c r="CU295" s="50"/>
      <c r="CV295" s="50"/>
      <c r="CW295" s="50"/>
      <c r="CX295" s="50"/>
      <c r="CY295" s="50"/>
      <c r="CZ295" s="49"/>
      <c r="DA295" s="48"/>
      <c r="DB295" s="48"/>
      <c r="DC295" s="48"/>
      <c r="DD295" s="48"/>
      <c r="DE295" s="48"/>
      <c r="DF295" s="48"/>
      <c r="DG295" s="235"/>
      <c r="DH295" s="235"/>
      <c r="DI295" s="235"/>
    </row>
    <row r="296" spans="1:113" s="24" customFormat="1" outlineLevel="1" collapsed="1">
      <c r="A296" s="1" t="s">
        <v>74</v>
      </c>
      <c r="B296" s="24" t="s">
        <v>470</v>
      </c>
      <c r="C296" s="561">
        <f>(5876*C$5/C239)-C$318</f>
        <v>2.0403625017252194E-2</v>
      </c>
      <c r="D296" s="561">
        <f>(5369*D$5/D239)-D$318</f>
        <v>1.8175944671456411E-2</v>
      </c>
      <c r="E296" s="561">
        <f>(5086*E$5/E239)-E$318</f>
        <v>1.2678356392703934E-2</v>
      </c>
      <c r="F296" s="561">
        <f>(5680*F$5/F239)-F$318</f>
        <v>1.2369008122214913E-2</v>
      </c>
      <c r="G296" s="561">
        <f>(5860*G$5/G239)-G$318</f>
        <v>1.3530376858450752E-2</v>
      </c>
      <c r="H296" s="561">
        <f>(6241*H$5/H239)-H$318</f>
        <v>9.9493743026723633E-3</v>
      </c>
      <c r="I296" s="561">
        <f>(7046*I$5/I239)-I$318</f>
        <v>7.6612266748241134E-3</v>
      </c>
      <c r="J296" s="561">
        <f>((7835+254)*J$5/J239)-J$318</f>
        <v>1.0711629117577733E-2</v>
      </c>
      <c r="K296" s="561">
        <f>((8349+343)*K$5/K239)-K$318</f>
        <v>1.0301787733413781E-2</v>
      </c>
      <c r="L296" s="561">
        <f>((9286+352)*L$5/L239)-L$318</f>
        <v>1.1552270059899596E-2</v>
      </c>
      <c r="M296" s="174">
        <f>((9707+413)*M$5/M239)-M$318</f>
        <v>5.1593241130742235E-3</v>
      </c>
      <c r="N296" s="174">
        <f>((11126+439)*N$5/N239)-N$318</f>
        <v>9.4736520642312999E-3</v>
      </c>
      <c r="O296" s="174">
        <f>((11727+570)*O$5/O239)-O$318</f>
        <v>4.9583638855424106E-3</v>
      </c>
      <c r="P296" s="174">
        <f>((13224+557)*P$5/P239)-P$318</f>
        <v>-5.2393501067783815E-3</v>
      </c>
      <c r="Q296" s="174">
        <f>((14922+531)*Q$5/Q239)-Q$318</f>
        <v>-1.7041821219572761E-3</v>
      </c>
      <c r="R296" s="174">
        <f>(18990*R$5/R239)-R$318</f>
        <v>1.0713329693556262E-2</v>
      </c>
      <c r="S296" s="174">
        <f>(15043*S$5/S239)-S$318</f>
        <v>2.3533964350703325E-2</v>
      </c>
      <c r="T296" s="174">
        <f>((15303)*T$5/T239)-T$318</f>
        <v>1.8084102745436592E-2</v>
      </c>
      <c r="U296" s="174">
        <f>((16939)*U$5/U239)-U$318</f>
        <v>1.4909182976850531E-2</v>
      </c>
      <c r="V296" s="174">
        <f>((37503-18924)*V$5/V239)-V$318</f>
        <v>1.3298133375034438E-2</v>
      </c>
      <c r="W296" s="174">
        <f>(18924*W$5/W239)-W$318</f>
        <v>1.4068468986952298E-2</v>
      </c>
      <c r="X296" s="93">
        <f>(19490*X$5/X239)-X$318</f>
        <v>1.4804012397488915E-2</v>
      </c>
      <c r="Y296" s="174">
        <f>(18811*Y$5/Y239)-Y$318</f>
        <v>1.8484152541795022E-2</v>
      </c>
      <c r="Z296" s="174">
        <f>(17794*Z$5/Z239)-Z$318</f>
        <v>2.0745183458491585E-2</v>
      </c>
      <c r="AA296" s="175">
        <f>(16960*AA$5/AA239)-AA$318</f>
        <v>2.2589350401938667E-2</v>
      </c>
      <c r="AB296" s="175">
        <f>(16829*AB$5/AB239)-AB$318</f>
        <v>2.219431497103996E-2</v>
      </c>
      <c r="AC296" s="175">
        <f>(16805*AC$5/AC239)-AC$318</f>
        <v>2.0267700810992457E-2</v>
      </c>
      <c r="AD296" s="175">
        <f>(17297*AD$5/AD239)-AD$318</f>
        <v>1.9477228821446702E-2</v>
      </c>
      <c r="AE296" s="175">
        <f>(16835*AE$5/AE239)-AE$318</f>
        <v>2.0773913565351233E-2</v>
      </c>
      <c r="AF296" s="175">
        <f>(16842*AF$5/AF239)-AF$318</f>
        <v>2.0959868319667768E-2</v>
      </c>
      <c r="AG296" s="175">
        <f>(16975*AG$5/AG239)-AG$318</f>
        <v>2.0731236648753006E-2</v>
      </c>
      <c r="AH296" s="175">
        <f>(16676*AH$5/AH239)-AH$318</f>
        <v>2.2357859905758261E-2</v>
      </c>
      <c r="AI296" s="175">
        <f>(16621*AI$5/AI239)-AI$318</f>
        <v>2.1973310986813793E-2</v>
      </c>
      <c r="AJ296" s="175">
        <f>(17181*AJ$5/AJ239)-AJ$318</f>
        <v>2.2835040466906931E-2</v>
      </c>
      <c r="AK296" s="175">
        <f>(17073*AK$5/AK239)-AK$318</f>
        <v>2.0863031257235942E-2</v>
      </c>
      <c r="AL296" s="175">
        <f>(17515*AL$5/AL239)-AL$318</f>
        <v>2.0209188332312372E-2</v>
      </c>
      <c r="AM296" s="175">
        <f>(17131*AM$5/AM239)-AM$318</f>
        <v>2.2262814906586059E-2</v>
      </c>
      <c r="AN296" s="175">
        <f>(15946*AN$5/AN239)-AN$318</f>
        <v>2.6388786929696172E-2</v>
      </c>
      <c r="AO296" s="175">
        <f>(14216*AO$5/AO239)-AO$318</f>
        <v>2.6833785849846352E-2</v>
      </c>
      <c r="AP296" s="175">
        <f>(12786*AP$5/AP239)-AP$318</f>
        <v>2.6804819190501535E-2</v>
      </c>
      <c r="AQ296" s="175">
        <f>(12106*AQ$5/AQ239)-AQ$318</f>
        <v>2.5693807598089237E-2</v>
      </c>
      <c r="AR296" s="175">
        <f>(11999*AR$5/AR239)-AR$80</f>
        <v>2.3165952107453945E-2</v>
      </c>
      <c r="AS296" s="175">
        <f>(12294*AS$5/AS239)-AS$80</f>
        <v>1.7995977936952904E-2</v>
      </c>
      <c r="AT296" s="175">
        <f>(19625*AT$5/AT239)-AT$80</f>
        <v>8.0452330681627035E-3</v>
      </c>
      <c r="AU296" s="175">
        <f>(24850*AU$5/AU239)-AU$80</f>
        <v>7.4176195915072601E-3</v>
      </c>
      <c r="AV296" s="175">
        <f>(29618*AV$5/AV239)-AV$80</f>
        <v>8.9908621135765879E-3</v>
      </c>
      <c r="AW296" s="175">
        <f>(31426*AW$5/AW239)-AW$80</f>
        <v>1.1371383081564261E-2</v>
      </c>
      <c r="AX296" s="175">
        <f>(32683*AX$5/AX239)-AX$80</f>
        <v>1.2778330752467225E-2</v>
      </c>
      <c r="AY296" s="175">
        <f>(32427*AY$5/AY239)-AY$80</f>
        <v>1.3665097006323401E-2</v>
      </c>
      <c r="AZ296" s="169">
        <f>(32366*AZ$5/AZ239)-AZ$80</f>
        <v>1.5999755018499595E-2</v>
      </c>
      <c r="BA296" s="829">
        <f>AZ296+[5]CBA!L$16</f>
        <v>1.5662163707117514E-2</v>
      </c>
      <c r="BB296" s="829">
        <f>BA296+[5]CBA!M$16</f>
        <v>1.5322848572568146E-2</v>
      </c>
      <c r="BC296" s="829">
        <f>BB296+[5]CBA!N$16</f>
        <v>1.5083063228676854E-2</v>
      </c>
      <c r="BD296" s="829">
        <f>BC296+[5]CBA!O$16</f>
        <v>1.4906064548708674E-2</v>
      </c>
      <c r="BE296" s="829">
        <f>BD296+[5]CBA!P$16</f>
        <v>1.4792247529385988E-2</v>
      </c>
      <c r="BF296" s="829">
        <f>BE296+[5]CBA!Q$16</f>
        <v>1.4677715154944702E-2</v>
      </c>
      <c r="BG296" s="829">
        <f>BF296+[5]CBA!R$16</f>
        <v>1.4562193490115087E-2</v>
      </c>
      <c r="BH296" s="829">
        <f>BG296+[5]CBA!S$16</f>
        <v>1.4446150999905221E-2</v>
      </c>
      <c r="BI296" s="829">
        <f>BH296+[5]CBA!T$16</f>
        <v>1.4329235310639826E-2</v>
      </c>
      <c r="BJ296" s="828">
        <f>BI296-0.01%</f>
        <v>1.4229235310639826E-2</v>
      </c>
      <c r="BK296" s="828">
        <f t="shared" ref="BK296:BQ296" si="1958">BJ296-0.01%</f>
        <v>1.4129235310639827E-2</v>
      </c>
      <c r="BL296" s="828">
        <f t="shared" si="1958"/>
        <v>1.4029235310639827E-2</v>
      </c>
      <c r="BM296" s="828">
        <f t="shared" si="1958"/>
        <v>1.3929235310639828E-2</v>
      </c>
      <c r="BN296" s="828">
        <f t="shared" si="1958"/>
        <v>1.3829235310639829E-2</v>
      </c>
      <c r="BO296" s="828">
        <f t="shared" si="1958"/>
        <v>1.3729235310639829E-2</v>
      </c>
      <c r="BP296" s="828">
        <f t="shared" si="1958"/>
        <v>1.362923531063983E-2</v>
      </c>
      <c r="BQ296" s="828">
        <f t="shared" si="1958"/>
        <v>1.352923531063983E-2</v>
      </c>
      <c r="BR296" s="92"/>
      <c r="BS296" s="572">
        <f>(8025.7*BS$5/BS239)-BS$318</f>
        <v>3.1278946974187427E-2</v>
      </c>
      <c r="BT296" s="572">
        <f>(6514.2*BT$5/BT239)-BT$318</f>
        <v>3.3729239577328943E-2</v>
      </c>
      <c r="BU296" s="572">
        <f>(5932.1*BU$5/BU239)-BU$318</f>
        <v>3.0260264366754851E-2</v>
      </c>
      <c r="BV296" s="572">
        <f>(6570*BV$5/BV239)-BV$318</f>
        <v>1.144336877557002E-2</v>
      </c>
      <c r="BW296" s="572">
        <f>(7716*BW$5/BW239)-BW$318</f>
        <v>1.4680310915554523E-2</v>
      </c>
      <c r="BX296" s="572">
        <f>(7989*BX$5/BX239)-BX$318</f>
        <v>2.0969857670483101E-2</v>
      </c>
      <c r="BY296" s="572">
        <f>(7605*BY$5/BY239)-BY$318</f>
        <v>2.4648158456907938E-2</v>
      </c>
      <c r="BZ296" s="572">
        <f>(7745*BZ$5/BZ239)-BZ$318</f>
        <v>1.8431726350080085E-2</v>
      </c>
      <c r="CA296" s="572">
        <f>(8842*CA$5/CA239)-CA$318</f>
        <v>1.2367587201047199E-2</v>
      </c>
      <c r="CB296" s="572">
        <f>(11900*CB$5/CB239)-CB$318</f>
        <v>1.5950829320113005E-2</v>
      </c>
      <c r="CC296" s="92">
        <f t="shared" ref="CC296:CO296" si="1959">CC354/CC239*CC$5</f>
        <v>1.5406975816305679E-2</v>
      </c>
      <c r="CD296" s="92">
        <f t="shared" si="1959"/>
        <v>1.2953969239715361E-2</v>
      </c>
      <c r="CE296" s="92">
        <f t="shared" si="1959"/>
        <v>8.7541441070238986E-3</v>
      </c>
      <c r="CF296" s="92">
        <f t="shared" si="1959"/>
        <v>1.0498025624477854E-2</v>
      </c>
      <c r="CG296" s="92">
        <f t="shared" si="1959"/>
        <v>8.2861407603575764E-3</v>
      </c>
      <c r="CH296" s="92">
        <f t="shared" si="1959"/>
        <v>6.948618481496637E-3</v>
      </c>
      <c r="CI296" s="92">
        <f t="shared" si="1959"/>
        <v>-3.4196583587658069E-3</v>
      </c>
      <c r="CJ296" s="92">
        <f t="shared" si="1959"/>
        <v>1.7239898069131725E-2</v>
      </c>
      <c r="CK296" s="92">
        <f t="shared" si="1959"/>
        <v>1.6493994976583715E-2</v>
      </c>
      <c r="CL296" s="92">
        <f t="shared" si="1959"/>
        <v>1.3680999896989354E-2</v>
      </c>
      <c r="CM296" s="170">
        <f t="shared" si="1959"/>
        <v>1.6653974935183252E-2</v>
      </c>
      <c r="CN296" s="170">
        <f t="shared" si="1959"/>
        <v>2.1665734495465591E-2</v>
      </c>
      <c r="CO296" s="170">
        <f t="shared" si="1959"/>
        <v>2.1217906961739193E-2</v>
      </c>
      <c r="CP296" s="170">
        <f t="shared" ref="CP296:CV296" si="1960">CP354/CP239*CP$5</f>
        <v>2.013459599819967E-2</v>
      </c>
      <c r="CQ296" s="170">
        <f t="shared" si="1960"/>
        <v>2.0844792488100755E-2</v>
      </c>
      <c r="CR296" s="170">
        <f t="shared" si="1960"/>
        <v>2.2164470342022752E-2</v>
      </c>
      <c r="CS296" s="170">
        <f t="shared" si="1960"/>
        <v>2.185393160806106E-2</v>
      </c>
      <c r="CT296" s="170">
        <f t="shared" si="1960"/>
        <v>2.1228167234276445E-2</v>
      </c>
      <c r="CU296" s="170">
        <f t="shared" si="1960"/>
        <v>2.6613949579347495E-2</v>
      </c>
      <c r="CV296" s="170">
        <f t="shared" si="1960"/>
        <v>2.6249713595582678E-2</v>
      </c>
      <c r="CW296" s="92">
        <f t="shared" ref="CW296:CY296" si="1961">AVERAGE(AU296:AV296)</f>
        <v>8.204240852541924E-3</v>
      </c>
      <c r="CX296" s="92">
        <f t="shared" si="1961"/>
        <v>1.0181122597570424E-2</v>
      </c>
      <c r="CY296" s="170">
        <f t="shared" si="1961"/>
        <v>1.2074856917015743E-2</v>
      </c>
      <c r="CZ296" s="94">
        <f>AVERAGE(AX296:AY296)</f>
        <v>1.3221713879395313E-2</v>
      </c>
      <c r="DA296" s="92">
        <f>AVERAGE(AZ296:BA296)</f>
        <v>1.5830959362808553E-2</v>
      </c>
      <c r="DB296" s="92">
        <f>AVERAGE(BB296:BC296)</f>
        <v>1.5202955900622501E-2</v>
      </c>
      <c r="DC296" s="92">
        <f>AVERAGE(BD296:BE296)</f>
        <v>1.484915603904733E-2</v>
      </c>
      <c r="DD296" s="92">
        <f>AVERAGE(BF296:BG296)</f>
        <v>1.4619954322529894E-2</v>
      </c>
      <c r="DE296" s="92">
        <f>AVERAGE(BH296:BI296)</f>
        <v>1.4387693155272524E-2</v>
      </c>
      <c r="DF296" s="820">
        <f>AVERAGE(BJ296:BK296)</f>
        <v>1.4179235310639826E-2</v>
      </c>
      <c r="DG296" s="820">
        <f>AVERAGE(BL296:BM296)</f>
        <v>1.3979235310639828E-2</v>
      </c>
      <c r="DH296" s="820">
        <f>AVERAGE(BN296:BO296)</f>
        <v>1.3779235310639829E-2</v>
      </c>
      <c r="DI296" s="820">
        <f>AVERAGE(BP296:BQ296)</f>
        <v>1.357923531063983E-2</v>
      </c>
    </row>
    <row r="297" spans="1:113" outlineLevel="1">
      <c r="C297" s="235"/>
      <c r="D297" s="235"/>
      <c r="E297" s="235"/>
      <c r="F297" s="235"/>
      <c r="G297" s="235"/>
      <c r="H297" s="235"/>
      <c r="I297" s="235"/>
      <c r="J297" s="235"/>
      <c r="K297" s="235"/>
      <c r="L297" s="235"/>
      <c r="M297" s="48"/>
      <c r="N297" s="48"/>
      <c r="O297" s="48"/>
      <c r="P297" s="48"/>
      <c r="Q297" s="48"/>
      <c r="R297" s="48"/>
      <c r="S297" s="48"/>
      <c r="T297" s="48"/>
      <c r="U297" s="177"/>
      <c r="V297" s="48"/>
      <c r="W297" s="48"/>
      <c r="X297" s="48"/>
      <c r="Y297" s="50"/>
      <c r="Z297" s="50"/>
      <c r="AA297" s="50"/>
      <c r="AB297" s="50"/>
      <c r="AC297" s="50"/>
      <c r="AD297" s="50"/>
      <c r="AE297" s="50"/>
      <c r="AF297" s="50"/>
      <c r="AG297" s="50"/>
      <c r="AH297" s="50"/>
      <c r="AI297" s="50"/>
      <c r="AJ297" s="50"/>
      <c r="AK297" s="50"/>
      <c r="AL297" s="385"/>
      <c r="AM297" s="50"/>
      <c r="AN297" s="50"/>
      <c r="AO297" s="50"/>
      <c r="AP297" s="50"/>
      <c r="AQ297" s="50"/>
      <c r="AR297" s="50"/>
      <c r="AS297" s="50"/>
      <c r="AT297" s="50"/>
      <c r="AU297" s="50"/>
      <c r="AV297" s="50"/>
      <c r="AW297" s="50"/>
      <c r="AX297" s="50"/>
      <c r="AY297" s="50"/>
      <c r="AZ297" s="49"/>
      <c r="BA297" s="48"/>
      <c r="BB297" s="48"/>
      <c r="BC297" s="48"/>
      <c r="BD297" s="48"/>
      <c r="BE297" s="48"/>
      <c r="BF297" s="48"/>
      <c r="BG297" s="48"/>
      <c r="BH297" s="48"/>
      <c r="BI297" s="48"/>
      <c r="BJ297" s="48"/>
      <c r="BK297" s="48"/>
      <c r="BL297" s="235"/>
      <c r="BM297" s="235"/>
      <c r="BN297" s="235"/>
      <c r="BO297" s="235"/>
      <c r="BP297" s="235"/>
      <c r="BQ297" s="235"/>
      <c r="BR297" s="48"/>
      <c r="BS297" s="235"/>
      <c r="BT297" s="235"/>
      <c r="BU297" s="235"/>
      <c r="BV297" s="235"/>
      <c r="BW297" s="235"/>
      <c r="BX297" s="235"/>
      <c r="BY297" s="235"/>
      <c r="BZ297" s="235"/>
      <c r="CA297" s="235"/>
      <c r="CB297" s="235"/>
      <c r="CC297" s="48"/>
      <c r="CD297" s="48"/>
      <c r="CE297" s="48"/>
      <c r="CF297" s="48"/>
      <c r="CG297" s="48"/>
      <c r="CH297" s="48"/>
      <c r="CI297" s="48"/>
      <c r="CJ297" s="48"/>
      <c r="CK297" s="48"/>
      <c r="CL297" s="48"/>
      <c r="CM297" s="50"/>
      <c r="CN297" s="50"/>
      <c r="CO297" s="50"/>
      <c r="CP297" s="50"/>
      <c r="CQ297" s="50"/>
      <c r="CR297" s="50"/>
      <c r="CS297" s="50"/>
      <c r="CT297" s="50"/>
      <c r="CU297" s="48"/>
      <c r="CV297" s="48"/>
      <c r="CW297" s="48"/>
      <c r="CX297" s="48"/>
      <c r="CY297" s="50"/>
      <c r="CZ297" s="49"/>
      <c r="DA297" s="48"/>
      <c r="DB297" s="48"/>
      <c r="DF297" s="821"/>
      <c r="DG297" s="821"/>
      <c r="DH297" s="821"/>
      <c r="DI297" s="821"/>
    </row>
    <row r="298" spans="1:113" s="24" customFormat="1" outlineLevel="2">
      <c r="A298" s="19"/>
      <c r="B298" s="24" t="s">
        <v>588</v>
      </c>
      <c r="C298" s="562"/>
      <c r="D298" s="562"/>
      <c r="E298" s="562"/>
      <c r="F298" s="562"/>
      <c r="G298" s="562"/>
      <c r="H298" s="562"/>
      <c r="I298" s="562"/>
      <c r="J298" s="562"/>
      <c r="K298" s="562"/>
      <c r="L298" s="562"/>
      <c r="M298" s="92"/>
      <c r="N298" s="92"/>
      <c r="O298" s="92"/>
      <c r="P298" s="92"/>
      <c r="Q298" s="92"/>
      <c r="R298" s="92"/>
      <c r="S298" s="92"/>
      <c r="T298" s="92"/>
      <c r="U298" s="92"/>
      <c r="V298" s="92"/>
      <c r="W298" s="92"/>
      <c r="X298" s="92"/>
      <c r="Y298" s="170"/>
      <c r="Z298" s="399"/>
      <c r="AA298" s="399"/>
      <c r="AB298" s="399"/>
      <c r="AC298" s="399"/>
      <c r="AD298" s="399"/>
      <c r="AE298" s="170"/>
      <c r="AF298" s="170"/>
      <c r="AG298" s="170"/>
      <c r="AH298" s="170"/>
      <c r="AI298" s="170"/>
      <c r="AJ298" s="170"/>
      <c r="AK298" s="170"/>
      <c r="AL298" s="496"/>
      <c r="AM298" s="170"/>
      <c r="AN298" s="170"/>
      <c r="AO298" s="170"/>
      <c r="AP298" s="170"/>
      <c r="AQ298" s="170"/>
      <c r="AR298" s="170"/>
      <c r="AS298" s="170"/>
      <c r="AT298" s="50"/>
      <c r="AU298" s="170"/>
      <c r="AV298" s="170"/>
      <c r="AW298" s="170"/>
      <c r="AX298" s="170"/>
      <c r="AY298" s="170"/>
      <c r="AZ298" s="94"/>
      <c r="BA298" s="92"/>
      <c r="BB298" s="92"/>
      <c r="BC298" s="92"/>
      <c r="BD298" s="92"/>
      <c r="BE298" s="92"/>
      <c r="BF298" s="92"/>
      <c r="BG298" s="92"/>
      <c r="BH298" s="92"/>
      <c r="BI298" s="92"/>
      <c r="BJ298" s="92"/>
      <c r="BK298" s="92"/>
      <c r="BL298" s="562"/>
      <c r="BM298" s="562"/>
      <c r="BN298" s="562"/>
      <c r="BO298" s="562"/>
      <c r="BP298" s="562"/>
      <c r="BQ298" s="562"/>
      <c r="BR298" s="92"/>
      <c r="BS298" s="562"/>
      <c r="BT298" s="562"/>
      <c r="BU298" s="562"/>
      <c r="BV298" s="562"/>
      <c r="BW298" s="562"/>
      <c r="BX298" s="562"/>
      <c r="BY298" s="562"/>
      <c r="BZ298" s="562"/>
      <c r="CA298" s="562"/>
      <c r="CB298" s="562"/>
      <c r="CC298" s="92"/>
      <c r="CD298" s="92"/>
      <c r="CE298" s="92"/>
      <c r="CF298" s="92"/>
      <c r="CG298" s="92"/>
      <c r="CH298" s="92"/>
      <c r="CI298" s="92"/>
      <c r="CJ298" s="92"/>
      <c r="CK298" s="92"/>
      <c r="CL298" s="92"/>
      <c r="CM298" s="170"/>
      <c r="CN298" s="170"/>
      <c r="CO298" s="170"/>
      <c r="CP298" s="170"/>
      <c r="CQ298" s="170"/>
      <c r="CR298" s="170"/>
      <c r="CS298" s="170"/>
      <c r="CT298" s="170"/>
      <c r="CU298" s="92"/>
      <c r="CV298" s="92"/>
      <c r="CW298" s="92"/>
      <c r="CX298" s="92"/>
      <c r="CY298" s="170"/>
      <c r="CZ298" s="94"/>
      <c r="DA298" s="92"/>
      <c r="DB298" s="92"/>
      <c r="DF298" s="822"/>
      <c r="DG298" s="822"/>
      <c r="DH298" s="822"/>
      <c r="DI298" s="822"/>
    </row>
    <row r="299" spans="1:113" outlineLevel="2">
      <c r="A299" s="1" t="s">
        <v>75</v>
      </c>
      <c r="B299" s="19" t="s">
        <v>589</v>
      </c>
      <c r="C299" s="563">
        <f>C$318-((C242/SUM(C242:D242)*(603+1064))/C242)</f>
        <v>3.8864497831949417E-2</v>
      </c>
      <c r="D299" s="563">
        <f>D$318-((D242/SUM(D242:E242)*(412+1037))/D242)</f>
        <v>3.4187479334667648E-2</v>
      </c>
      <c r="E299" s="563">
        <f>E$318-((E242/SUM(E242:F242)*(412+1037))/E242)</f>
        <v>3.6085342553598541E-2</v>
      </c>
      <c r="F299" s="563">
        <f>F$318-((F242/SUM(F242:G242)*(492+1230))/F242)</f>
        <v>3.708257765788571E-2</v>
      </c>
      <c r="G299" s="563">
        <f>G$318-((G242/SUM(G242:H242)*(492+1230))/G242)</f>
        <v>3.6234343703498442E-2</v>
      </c>
      <c r="H299" s="563">
        <f>H$318-((H242/SUM(H242:I242)*(514+1499))/H242)</f>
        <v>3.7916529164263933E-2</v>
      </c>
      <c r="I299" s="563">
        <f>I$318-((I242/SUM(I242:J242)*(514+1499))/I242)</f>
        <v>4.2858749767581611E-2</v>
      </c>
      <c r="J299" s="563">
        <f>J$318-((J242/SUM(J242:K242)*(586+1653))/J242)</f>
        <v>4.0461905313266808E-2</v>
      </c>
      <c r="K299" s="563">
        <f>K$318-((K242/SUM(K242:L242)*(586+1653))/K242)</f>
        <v>4.3337271085435662E-2</v>
      </c>
      <c r="L299" s="553">
        <f>L$318-((L242/SUM(L242:M242)*(603+1905))/L242)</f>
        <v>4.2426914206533516E-2</v>
      </c>
      <c r="M299" s="51">
        <f>M$318-((M242/SUM(L242:M242)*(603+1905))/M242)</f>
        <v>4.9180738215857556E-2</v>
      </c>
      <c r="N299" s="51">
        <f>N$318-((N242/SUM(N242:O242)*(1016+2314))/N242)</f>
        <v>4.603596520148065E-2</v>
      </c>
      <c r="O299" s="51">
        <f>O$318-((O242/SUM(N242:O242)*(1016+2314))/O242)</f>
        <v>4.7660754397017939E-2</v>
      </c>
      <c r="P299" s="51">
        <f>P$318-((P242/SUM(P242:Q242)*(1468+2947))/P242)</f>
        <v>5.8470364178324449E-2</v>
      </c>
      <c r="Q299" s="51">
        <f>Q$318-((Q242/SUM(P242:Q242)*(1468+2947))/Q242)</f>
        <v>5.8999033175993448E-2</v>
      </c>
      <c r="R299" s="51">
        <f>R$318-((R242/SUM(R242:S242)*(1574+2256))/R242)</f>
        <v>5.0539846047940207E-2</v>
      </c>
      <c r="S299" s="51">
        <f>S$318-((S242/SUM(R242:S242)*(1574+2256))/S242)</f>
        <v>2.0368866484867618E-2</v>
      </c>
      <c r="T299" s="51">
        <f>T$318-((T242/SUM(T242:U242)*(1797+1953))/T242)</f>
        <v>2.4896846666633658E-2</v>
      </c>
      <c r="U299" s="51">
        <f>U$318-((U242/SUM(T242:U242)*(1797+1953))/U242)</f>
        <v>3.367433785761325E-2</v>
      </c>
      <c r="V299" s="51">
        <f>V$318-((V242/SUM(V242:W242)*(2564+2395))/V242)</f>
        <v>3.4261680510358425E-2</v>
      </c>
      <c r="W299" s="51">
        <f>W$318-((W242/SUM(V242:W242)*(2564+2395))/W242)</f>
        <v>3.5001162539956734E-2</v>
      </c>
      <c r="X299" s="51">
        <f>X$318-((X242/SUM(X242:Y242)*(2734+2308))/X242)</f>
        <v>3.3678046025847411E-2</v>
      </c>
      <c r="Y299" s="95">
        <f>Y$318-((Y242/SUM(X242:Y242)*(2734+2308))/Y242)</f>
        <v>2.7187541034655354E-2</v>
      </c>
      <c r="Z299" s="400">
        <f>Z$318-((Z242/SUM(Z242:AA242)*(3130+960))/Z242)</f>
        <v>2.3257602165803436E-2</v>
      </c>
      <c r="AA299" s="180">
        <f>AA$318-((AA242/SUM(Z242:AA242)*(3130+960))/AA242)</f>
        <v>1.9039562222611512E-2</v>
      </c>
      <c r="AB299" s="180">
        <f>AB$318-((AB242/SUM(AB242:AC242)*(2905+980))/AB242)</f>
        <v>1.7629725691774269E-2</v>
      </c>
      <c r="AC299" s="180">
        <f>AC$318-((AC242/SUM(AB242:AC242)*(2905+980))/AC242)</f>
        <v>1.8191089328137934E-2</v>
      </c>
      <c r="AD299" s="180">
        <f>AD$318-((AD242/SUM(AD242:AE242)*(3076+1123))/AD242)</f>
        <v>1.8953669376424079E-2</v>
      </c>
      <c r="AE299" s="180">
        <f>AE$318-((AE242/SUM(AD242:AE242)*(3076+1123))/AE242)</f>
        <v>1.5176699855634778E-2</v>
      </c>
      <c r="AF299" s="529">
        <f>AF$318-((AF242/SUM(AF242:AG242)*(2844+1156))/AF242)</f>
        <v>1.5038755747616858E-2</v>
      </c>
      <c r="AG299" s="529">
        <f>AG$318-((AG242/SUM(AF242:AG242)*(2844+1156))/AG242)</f>
        <v>1.5018592577453756E-2</v>
      </c>
      <c r="AH299" s="180">
        <f>(($CR299*$CR242))*(AI242/SUM(AH242:AI242))/AH242*AH$5</f>
        <v>7.6052564078537398E-3</v>
      </c>
      <c r="AI299" s="385">
        <f>AI357/AI242*AI$5</f>
        <v>7.2401724943008802E-3</v>
      </c>
      <c r="AJ299" s="180">
        <f>(($CS299*$CS242))*(AK242/SUM(AJ242:AK242))/AJ242*AJ$5</f>
        <v>8.3729465337628213E-3</v>
      </c>
      <c r="AK299" s="385">
        <f>AK357/AK242*AK$5</f>
        <v>8.618588120354511E-3</v>
      </c>
      <c r="AL299" s="180">
        <f>(($CT299*$CT242))*(AM242/SUM(AL242:AM242))/AL242*AL$5</f>
        <v>9.514819069428658E-3</v>
      </c>
      <c r="AM299" s="385">
        <f>AM357/AM242*AM$5</f>
        <v>9.6445979357601807E-3</v>
      </c>
      <c r="AN299" s="180">
        <f>(($CU299*$CU242))*(AO242/SUM(AN242:AO242))/AN242*AN$5</f>
        <v>0</v>
      </c>
      <c r="AO299" s="385">
        <f>AO357/AO242*AO$5</f>
        <v>0</v>
      </c>
      <c r="AP299" s="180">
        <f>(($CV299*$CV242))*(AQ242/SUM(AP242:AQ242))/AP242*AP$5</f>
        <v>0</v>
      </c>
      <c r="AQ299" s="385">
        <f>AQ357/AQ242*AQ$5</f>
        <v>0</v>
      </c>
      <c r="AR299" s="180"/>
      <c r="AS299" s="385"/>
      <c r="AT299" s="180"/>
      <c r="AU299" s="385"/>
      <c r="AV299" s="180"/>
      <c r="AW299" s="180"/>
      <c r="AX299" s="180"/>
      <c r="AY299" s="50"/>
      <c r="AZ299" s="49"/>
      <c r="BA299" s="48"/>
      <c r="BB299" s="48"/>
      <c r="BC299" s="48"/>
      <c r="BD299" s="48"/>
      <c r="BE299" s="48"/>
      <c r="BF299" s="48"/>
      <c r="BG299" s="48"/>
      <c r="BH299" s="48"/>
      <c r="BI299" s="48"/>
      <c r="BJ299" s="48"/>
      <c r="BK299" s="48"/>
      <c r="BL299" s="235"/>
      <c r="BM299" s="235"/>
      <c r="BN299" s="235"/>
      <c r="BO299" s="235"/>
      <c r="BP299" s="235"/>
      <c r="BQ299" s="235"/>
      <c r="BR299" s="48"/>
      <c r="BS299" s="235"/>
      <c r="BT299" s="235"/>
      <c r="BU299" s="235"/>
      <c r="BV299" s="235"/>
      <c r="BW299" s="235"/>
      <c r="BX299" s="235"/>
      <c r="BY299" s="235"/>
      <c r="BZ299" s="235"/>
      <c r="CA299" s="235"/>
      <c r="CB299" s="235"/>
      <c r="CC299" s="48">
        <f>CC357/CC242*CC$5</f>
        <v>3.5132592246043912E-2</v>
      </c>
      <c r="CD299" s="48">
        <f t="shared" ref="CD299:CP301" si="1962">CD357/CD242*CD$5</f>
        <v>3.6645187237243887E-2</v>
      </c>
      <c r="CE299" s="48">
        <f t="shared" si="1962"/>
        <v>4.0417915569883403E-2</v>
      </c>
      <c r="CF299" s="48">
        <f t="shared" si="1962"/>
        <v>4.1900545182769748E-2</v>
      </c>
      <c r="CG299" s="48">
        <f t="shared" si="1962"/>
        <v>4.5738410839616037E-2</v>
      </c>
      <c r="CH299" s="48">
        <f t="shared" si="1962"/>
        <v>4.4114562591525214E-2</v>
      </c>
      <c r="CI299" s="48">
        <f t="shared" si="1962"/>
        <v>5.8336634257296113E-2</v>
      </c>
      <c r="CJ299" s="48">
        <f t="shared" si="1962"/>
        <v>3.4509257479997106E-2</v>
      </c>
      <c r="CK299" s="48">
        <f t="shared" si="1962"/>
        <v>2.8969958597848785E-2</v>
      </c>
      <c r="CL299" s="48">
        <f t="shared" si="1962"/>
        <v>3.3946459933291977E-2</v>
      </c>
      <c r="CM299" s="50">
        <f t="shared" si="1962"/>
        <v>3.0255390037649574E-2</v>
      </c>
      <c r="CN299" s="50">
        <f t="shared" si="1962"/>
        <v>2.098753510124118E-2</v>
      </c>
      <c r="CO299" s="50">
        <f t="shared" si="1962"/>
        <v>1.8000940540359882E-2</v>
      </c>
      <c r="CP299" s="50">
        <f t="shared" si="1962"/>
        <v>1.69186321919059E-2</v>
      </c>
      <c r="CQ299" s="50">
        <f>CQ357/CQ242*CQ$5</f>
        <v>1.4979576049212026E-2</v>
      </c>
      <c r="CR299" s="180">
        <f>CR$318-(((2005+1041))/CR242)</f>
        <v>7.4162129065869428E-3</v>
      </c>
      <c r="CS299" s="180">
        <f>CS$318-(((1767+1165))/CS242)</f>
        <v>8.4941855823954283E-3</v>
      </c>
      <c r="CT299" s="180">
        <f>CT$318-(((1588+1151))/CT242)</f>
        <v>9.582891273710677E-3</v>
      </c>
      <c r="CU299" s="48"/>
      <c r="CV299" s="48"/>
      <c r="CW299" s="48"/>
      <c r="CX299" s="48"/>
      <c r="CY299" s="50"/>
      <c r="CZ299" s="49"/>
      <c r="DA299" s="48"/>
      <c r="DB299" s="48"/>
      <c r="DC299" s="48"/>
      <c r="DD299" s="48"/>
      <c r="DE299" s="48"/>
      <c r="DF299" s="823"/>
      <c r="DG299" s="824"/>
      <c r="DH299" s="824"/>
      <c r="DI299" s="824"/>
    </row>
    <row r="300" spans="1:113" outlineLevel="2">
      <c r="A300" s="1" t="s">
        <v>38</v>
      </c>
      <c r="B300" s="19" t="s">
        <v>471</v>
      </c>
      <c r="C300" s="512">
        <f t="shared" ref="C300:L300" si="1963">C358/C243*C$5</f>
        <v>-2.7645945464916596E-2</v>
      </c>
      <c r="D300" s="512">
        <f t="shared" si="1963"/>
        <v>-2.0886291086632289E-2</v>
      </c>
      <c r="E300" s="512">
        <f t="shared" si="1963"/>
        <v>-1.2652444282183786E-2</v>
      </c>
      <c r="F300" s="512">
        <f t="shared" si="1963"/>
        <v>-1.4652010418995009E-2</v>
      </c>
      <c r="G300" s="512">
        <f t="shared" si="1963"/>
        <v>-1.4815766683819122E-2</v>
      </c>
      <c r="H300" s="512">
        <f t="shared" si="1963"/>
        <v>-1.1915960140955835E-2</v>
      </c>
      <c r="I300" s="512">
        <f t="shared" si="1963"/>
        <v>-1.6106810528206426E-2</v>
      </c>
      <c r="J300" s="512">
        <f t="shared" si="1963"/>
        <v>-1.522899530546906E-2</v>
      </c>
      <c r="K300" s="512">
        <f t="shared" si="1963"/>
        <v>-1.7372987037857907E-2</v>
      </c>
      <c r="L300" s="235">
        <f t="shared" si="1963"/>
        <v>-2.3326480395098031E-2</v>
      </c>
      <c r="M300" s="48">
        <f t="shared" ref="M300:W300" si="1964">M358/M243*M$5</f>
        <v>-1.6007654689998221E-2</v>
      </c>
      <c r="N300" s="48">
        <f t="shared" si="1964"/>
        <v>-2.3289765887986445E-2</v>
      </c>
      <c r="O300" s="48">
        <f t="shared" si="1964"/>
        <v>-1.7944901651276844E-2</v>
      </c>
      <c r="P300" s="48">
        <f t="shared" si="1964"/>
        <v>-5.6609189950600405E-3</v>
      </c>
      <c r="Q300" s="48">
        <f t="shared" si="1964"/>
        <v>-1.5282230986071399E-2</v>
      </c>
      <c r="R300" s="48">
        <f t="shared" si="1964"/>
        <v>-3.4623167405734449E-2</v>
      </c>
      <c r="S300" s="48">
        <f t="shared" si="1964"/>
        <v>-2.8088095270120652E-2</v>
      </c>
      <c r="T300" s="48">
        <f t="shared" si="1964"/>
        <v>-2.0850680151021577E-2</v>
      </c>
      <c r="U300" s="48">
        <f t="shared" si="1964"/>
        <v>-2.5611027173005774E-2</v>
      </c>
      <c r="V300" s="48">
        <f t="shared" si="1964"/>
        <v>-2.3243053532467348E-2</v>
      </c>
      <c r="W300" s="48">
        <f t="shared" si="1964"/>
        <v>-2.3802334586678964E-2</v>
      </c>
      <c r="X300" s="48">
        <f t="shared" ref="X300:AH300" si="1965">X358/X243*X$5</f>
        <v>-2.5193464280991687E-2</v>
      </c>
      <c r="Y300" s="50">
        <f t="shared" si="1965"/>
        <v>-2.5933394232035802E-2</v>
      </c>
      <c r="Z300" s="50">
        <f t="shared" si="1965"/>
        <v>-2.6578810697144368E-2</v>
      </c>
      <c r="AA300" s="385">
        <f t="shared" si="1965"/>
        <v>-2.4496879959506827E-2</v>
      </c>
      <c r="AB300" s="50">
        <f t="shared" si="1965"/>
        <v>-2.4693296211248644E-2</v>
      </c>
      <c r="AC300" s="50">
        <f t="shared" si="1965"/>
        <v>-2.1579679820687758E-2</v>
      </c>
      <c r="AD300" s="50">
        <f t="shared" si="1965"/>
        <v>-2.1526726134975607E-2</v>
      </c>
      <c r="AE300" s="50">
        <f t="shared" si="1965"/>
        <v>-2.0804507279577569E-2</v>
      </c>
      <c r="AF300" s="756">
        <f t="shared" si="1965"/>
        <v>-2.2485634036430658E-2</v>
      </c>
      <c r="AG300" s="756">
        <f t="shared" si="1965"/>
        <v>-2.2117710681280496E-2</v>
      </c>
      <c r="AH300" s="385">
        <f t="shared" si="1965"/>
        <v>-1.0865211281218879E-2</v>
      </c>
      <c r="AI300" s="385">
        <f>AI358/AI243*AI$5</f>
        <v>-7.6978056074296797E-3</v>
      </c>
      <c r="AJ300" s="385">
        <f>AJ358/AJ243*AJ$5</f>
        <v>-8.9804127887118754E-3</v>
      </c>
      <c r="AK300" s="385">
        <f>AK358/AK243*AK$5</f>
        <v>-4.0553290530742653E-3</v>
      </c>
      <c r="AL300" s="385">
        <f>AL358/AL243*AL$5</f>
        <v>-3.9297426244377393E-3</v>
      </c>
      <c r="AM300" s="385">
        <f>AM358/AM243*AM$5</f>
        <v>-9.9311800042400852E-3</v>
      </c>
      <c r="AN300" s="385">
        <f>AN358/AN243*AN$5</f>
        <v>-6.6674732871992697E-3</v>
      </c>
      <c r="AO300" s="385">
        <f>AO358/AO243*AO$5</f>
        <v>6.4209462096987474E-3</v>
      </c>
      <c r="AP300" s="385">
        <f t="shared" ref="AP300" si="1966">AP358/AP243*AP$5</f>
        <v>-1.7243058712004669E-2</v>
      </c>
      <c r="AQ300" s="385">
        <f>AQ358/AQ243*AQ$5</f>
        <v>1.6973192676857762E-2</v>
      </c>
      <c r="AR300" s="385"/>
      <c r="AS300" s="385"/>
      <c r="AT300" s="385"/>
      <c r="AU300" s="385"/>
      <c r="AV300" s="385"/>
      <c r="AW300" s="385"/>
      <c r="AX300" s="385"/>
      <c r="AY300" s="50"/>
      <c r="AZ300" s="49"/>
      <c r="BA300" s="48"/>
      <c r="BB300" s="48"/>
      <c r="BC300" s="48"/>
      <c r="BD300" s="48"/>
      <c r="BE300" s="48"/>
      <c r="BF300" s="48"/>
      <c r="BG300" s="48"/>
      <c r="BH300" s="48"/>
      <c r="BI300" s="48"/>
      <c r="BJ300" s="48"/>
      <c r="BK300" s="48"/>
      <c r="BL300" s="235"/>
      <c r="BM300" s="235"/>
      <c r="BN300" s="235"/>
      <c r="BO300" s="235"/>
      <c r="BP300" s="235"/>
      <c r="BQ300" s="235"/>
      <c r="BR300" s="48"/>
      <c r="BS300" s="235"/>
      <c r="BT300" s="235"/>
      <c r="BU300" s="235"/>
      <c r="BV300" s="235"/>
      <c r="BW300" s="235"/>
      <c r="BX300" s="235"/>
      <c r="BY300" s="235"/>
      <c r="BZ300" s="235"/>
      <c r="CA300" s="235"/>
      <c r="CB300" s="235"/>
      <c r="CC300" s="48">
        <f>CC358/CC243*CC$5</f>
        <v>-1.6806311604417944E-2</v>
      </c>
      <c r="CD300" s="48">
        <f t="shared" si="1962"/>
        <v>-1.4733677670009887E-2</v>
      </c>
      <c r="CE300" s="48">
        <f t="shared" si="1962"/>
        <v>-1.4163130684289116E-2</v>
      </c>
      <c r="CF300" s="48">
        <f t="shared" si="1962"/>
        <v>-1.6289021422511343E-2</v>
      </c>
      <c r="CG300" s="48">
        <f t="shared" si="1962"/>
        <v>-1.9744807414247431E-2</v>
      </c>
      <c r="CH300" s="48">
        <f t="shared" si="1962"/>
        <v>-2.0225170234893321E-2</v>
      </c>
      <c r="CI300" s="48">
        <f t="shared" si="1962"/>
        <v>-1.0997034519082188E-2</v>
      </c>
      <c r="CJ300" s="48">
        <f t="shared" si="1962"/>
        <v>-3.141064444875806E-2</v>
      </c>
      <c r="CK300" s="48">
        <f t="shared" si="1962"/>
        <v>-2.3436368329907389E-2</v>
      </c>
      <c r="CL300" s="48">
        <f t="shared" si="1962"/>
        <v>-2.3973936669860595E-2</v>
      </c>
      <c r="CM300" s="50">
        <f t="shared" si="1962"/>
        <v>-2.5726595397783585E-2</v>
      </c>
      <c r="CN300" s="50">
        <f t="shared" si="1962"/>
        <v>-2.5717146916460536E-2</v>
      </c>
      <c r="CO300" s="50">
        <f t="shared" si="1962"/>
        <v>-2.3023777462971122E-2</v>
      </c>
      <c r="CP300" s="50">
        <f t="shared" si="1962"/>
        <v>-2.1355964280435465E-2</v>
      </c>
      <c r="CQ300" s="50">
        <f>CQ358/CQ243*CQ$5</f>
        <v>-2.1794201253820158E-2</v>
      </c>
      <c r="CR300" s="50">
        <f>CR358/CR243*CR$5</f>
        <v>-9.2622867909073186E-3</v>
      </c>
      <c r="CS300" s="385">
        <f>CS358/CS243*CS$5</f>
        <v>-6.545645551802131E-3</v>
      </c>
      <c r="CT300" s="385">
        <f>CT358/CT243*CT$5</f>
        <v>-6.9106127136081275E-3</v>
      </c>
      <c r="CU300" s="48"/>
      <c r="CV300" s="48"/>
      <c r="CW300" s="48"/>
      <c r="CX300" s="48"/>
      <c r="CY300" s="50"/>
      <c r="CZ300" s="49"/>
      <c r="DA300" s="48"/>
      <c r="DB300" s="48"/>
      <c r="DC300" s="48"/>
      <c r="DD300" s="48"/>
      <c r="DE300" s="48"/>
      <c r="DF300" s="823"/>
      <c r="DG300" s="824"/>
      <c r="DH300" s="824"/>
      <c r="DI300" s="824"/>
    </row>
    <row r="301" spans="1:113" s="24" customFormat="1" outlineLevel="2">
      <c r="A301" s="1" t="s">
        <v>39</v>
      </c>
      <c r="B301" s="24" t="s">
        <v>168</v>
      </c>
      <c r="C301" s="564">
        <f>C$318-((1209+281+509)*C$5/C244)</f>
        <v>1.2105751234311492E-2</v>
      </c>
      <c r="D301" s="564">
        <f>D$318-((1014+227+524)*D$5/D244)</f>
        <v>1.2608544095662762E-2</v>
      </c>
      <c r="E301" s="564">
        <f>E$318-((887+185+513)*E$5/E244)</f>
        <v>1.7253710705101229E-2</v>
      </c>
      <c r="F301" s="564">
        <f>F$318-((1030+249+592)*F$5/F244)</f>
        <v>1.7044760985021487E-2</v>
      </c>
      <c r="G301" s="564">
        <f>G$318-((926+243+638)*G$5/G244)</f>
        <v>1.6924975836335135E-2</v>
      </c>
      <c r="H301" s="564">
        <f>H$318-(2077*H$5/H244)</f>
        <v>1.8163140646221355E-2</v>
      </c>
      <c r="I301" s="564">
        <f>I$318-(2619*I$5/I244)</f>
        <v>1.7695443034095537E-2</v>
      </c>
      <c r="J301" s="564">
        <f>J$318-(2666*J$5/J244)</f>
        <v>1.6366932090829178E-2</v>
      </c>
      <c r="K301" s="564">
        <f>K$318-(2756*K$5/K244)</f>
        <v>1.769426733015908E-2</v>
      </c>
      <c r="L301" s="565">
        <f>L$318-(2995*L$5/L244)</f>
        <v>1.5046576068043847E-2</v>
      </c>
      <c r="M301" s="168">
        <f>M$318-(3046*M$5/M244)</f>
        <v>2.2119244709906581E-2</v>
      </c>
      <c r="N301" s="168">
        <f>N$318-(3536*N$5/N244)</f>
        <v>1.7201159743169075E-2</v>
      </c>
      <c r="O301" s="168">
        <f>O$318-(3901*O$5/O244)</f>
        <v>2.1583653705762651E-2</v>
      </c>
      <c r="P301" s="168">
        <f>P$318-(4594*P$5/P244)</f>
        <v>3.2196441559082495E-2</v>
      </c>
      <c r="Q301" s="168">
        <f>Q$318-(5806*Q$5/Q244)</f>
        <v>2.5422472655640647E-2</v>
      </c>
      <c r="R301" s="168">
        <f>R$318-(7592*R$5/R244)</f>
        <v>9.6841872568839971E-3</v>
      </c>
      <c r="S301" s="168">
        <f>S$318-(5804*S$5/S244)</f>
        <v>-3.4307955592930359E-3</v>
      </c>
      <c r="T301" s="168">
        <f>T$318-(5670*T$5/T244)</f>
        <v>2.094357543255515E-3</v>
      </c>
      <c r="U301" s="168">
        <f>U$318-(6753*U$5/U244)</f>
        <v>4.0270787074777117E-3</v>
      </c>
      <c r="V301" s="168">
        <f>V$318-((15546-7965)*V$5/V244)</f>
        <v>4.9707580193287387E-3</v>
      </c>
      <c r="W301" s="168">
        <f>W$318-(7965*W$5/W244)</f>
        <v>4.7221328725209066E-3</v>
      </c>
      <c r="X301" s="168">
        <f>X$318-(8326*X$5/X244)</f>
        <v>3.4133899217065194E-3</v>
      </c>
      <c r="Y301" s="175">
        <f>Y$318-(7847*Y$5/Y244)</f>
        <v>-3.7858525920264618E-4</v>
      </c>
      <c r="Z301" s="175">
        <f>Z$318-(7250*Z$5/Z244)</f>
        <v>-2.4352587217083971E-3</v>
      </c>
      <c r="AA301" s="495">
        <f>AA$318-(6518*AA$5/AA244)</f>
        <v>-2.9084346348915886E-3</v>
      </c>
      <c r="AB301" s="175">
        <f>AB$318-(6109*AB$5/AB244)</f>
        <v>-2.7254658626180497E-3</v>
      </c>
      <c r="AC301" s="175">
        <f>AC$318-(5803*AC$5/AC244)</f>
        <v>-3.494436791216804E-5</v>
      </c>
      <c r="AD301" s="175">
        <f>AD$318-(5886*AD$5/AD244)</f>
        <v>1.0850874969389329E-3</v>
      </c>
      <c r="AE301" s="495">
        <f>AE$318-(5384*AE$5/AE244)</f>
        <v>1.0754794501487835E-4</v>
      </c>
      <c r="AF301" s="757">
        <f>AF$318-(5018*AF$5/AF244)</f>
        <v>4.1675691326942613E-4</v>
      </c>
      <c r="AG301" s="757">
        <f>AG$318-(4829*AG$5/AG244)</f>
        <v>1.2858141802423659E-3</v>
      </c>
      <c r="AH301" s="495">
        <f>AH$318-(4418*AH$5/AH244)</f>
        <v>-1.0824170072349162E-4</v>
      </c>
      <c r="AI301" s="496">
        <f>AI359/AI244*AI$5</f>
        <v>1.0018861783655832E-3</v>
      </c>
      <c r="AJ301" s="495">
        <f>AJ$318-((7970-3926)*AJ$5/AJ244)</f>
        <v>1.3895641414374028E-3</v>
      </c>
      <c r="AK301" s="496">
        <f>AK359/AK244*AK$5</f>
        <v>3.5183185768035848E-3</v>
      </c>
      <c r="AL301" s="495">
        <f>AL$318-(3996*AL$5/AL244)</f>
        <v>4.1468161905238443E-3</v>
      </c>
      <c r="AM301" s="496">
        <f>AM359/AM244*AM$5</f>
        <v>1.8285876610136963E-3</v>
      </c>
      <c r="AN301" s="495">
        <f>AN$318-(3151*AN$5/AN244)</f>
        <v>-2.3865708340922998E-3</v>
      </c>
      <c r="AO301" s="496">
        <f>AO359/AO244*AO$5</f>
        <v>2.2983283608743982E-3</v>
      </c>
      <c r="AP301" s="495">
        <f>AP$318-(1624*AP$5/AP244)</f>
        <v>-4.8179391599173747E-3</v>
      </c>
      <c r="AQ301" s="496">
        <f>AQ359/AQ244*AQ$5</f>
        <v>4.7425350126380581E-3</v>
      </c>
      <c r="AR301" s="495"/>
      <c r="AS301" s="496"/>
      <c r="AT301" s="495"/>
      <c r="AU301" s="496"/>
      <c r="AV301" s="495"/>
      <c r="AW301" s="495"/>
      <c r="AX301" s="495"/>
      <c r="AY301" s="170"/>
      <c r="AZ301" s="94"/>
      <c r="BA301" s="92"/>
      <c r="BB301" s="92"/>
      <c r="BC301" s="92"/>
      <c r="BD301" s="92"/>
      <c r="BE301" s="92"/>
      <c r="BF301" s="92"/>
      <c r="BG301" s="92"/>
      <c r="BH301" s="92"/>
      <c r="BI301" s="92"/>
      <c r="BJ301" s="92"/>
      <c r="BK301" s="92"/>
      <c r="BL301" s="562"/>
      <c r="BM301" s="562"/>
      <c r="BN301" s="562"/>
      <c r="BO301" s="562"/>
      <c r="BP301" s="562"/>
      <c r="BQ301" s="562"/>
      <c r="BR301" s="92"/>
      <c r="BS301" s="572">
        <f>BS$318-((1990.5+1049+316.8+0)*BS$5/BS244)</f>
        <v>1.1523296911870332E-2</v>
      </c>
      <c r="BT301" s="572">
        <f>BT$318-((1484.6+731+314.9+0)*BT$5/BT244)</f>
        <v>8.599653727162912E-3</v>
      </c>
      <c r="BU301" s="572">
        <f>BU$318-((1233.5+626.1+330.7+0)*BU$5/BU244)</f>
        <v>9.3103279665745289E-3</v>
      </c>
      <c r="BV301" s="572">
        <f>BV$318-((1200+639+494+0)*BV$5/BV244)</f>
        <v>2.9705518874812903E-2</v>
      </c>
      <c r="BW301" s="572">
        <f>BW$318-((1509+641+714+0)*BW$5/BW244)</f>
        <v>2.5386462102348906E-2</v>
      </c>
      <c r="BX301" s="572">
        <f>BX$318-((1768+538+696+0)*BX$5/BX244)</f>
        <v>1.5648751991250882E-2</v>
      </c>
      <c r="BY301" s="572">
        <f>BY$318-((1464+403+630+0)*BY$5/BY244)</f>
        <v>1.3405683933671392E-2</v>
      </c>
      <c r="BZ301" s="572">
        <f>BZ$318-((1597+418+626+0)*BZ$5/BZ244)</f>
        <v>1.4911098909982261E-2</v>
      </c>
      <c r="CA301" s="572">
        <f>CA$318-((2022+460+696+0)*CA$5/CA244)</f>
        <v>1.9042014133847943E-2</v>
      </c>
      <c r="CB301" s="572">
        <f>CB$318-((2519+603+1064+0)*CB$5/CB244)</f>
        <v>1.6244530260147001E-2</v>
      </c>
      <c r="CC301" s="92">
        <f>CC359/CC244*CC$5</f>
        <v>1.4925068233062146E-2</v>
      </c>
      <c r="CD301" s="92">
        <f t="shared" si="1962"/>
        <v>1.6982317981820125E-2</v>
      </c>
      <c r="CE301" s="92">
        <f t="shared" si="1962"/>
        <v>1.7910230727528991E-2</v>
      </c>
      <c r="CF301" s="92">
        <f t="shared" si="1962"/>
        <v>1.7028247669492163E-2</v>
      </c>
      <c r="CG301" s="92">
        <f t="shared" si="1962"/>
        <v>1.8645690193388551E-2</v>
      </c>
      <c r="CH301" s="92">
        <f t="shared" si="1962"/>
        <v>1.8768218700096127E-2</v>
      </c>
      <c r="CI301" s="92">
        <f t="shared" si="1962"/>
        <v>2.8667120809655153E-2</v>
      </c>
      <c r="CJ301" s="92">
        <f t="shared" si="1962"/>
        <v>2.7407023904388729E-3</v>
      </c>
      <c r="CK301" s="92">
        <f t="shared" si="1962"/>
        <v>3.0552099074339649E-3</v>
      </c>
      <c r="CL301" s="92">
        <f t="shared" si="1962"/>
        <v>4.843029720792565E-3</v>
      </c>
      <c r="CM301" s="170">
        <f t="shared" si="1962"/>
        <v>1.513957845157495E-3</v>
      </c>
      <c r="CN301" s="170">
        <f t="shared" si="1962"/>
        <v>-2.672900100167025E-3</v>
      </c>
      <c r="CO301" s="170">
        <f t="shared" si="1962"/>
        <v>-1.3629273449978047E-3</v>
      </c>
      <c r="CP301" s="170">
        <f t="shared" si="1962"/>
        <v>5.90605927633311E-4</v>
      </c>
      <c r="CQ301" s="170">
        <f>CQ359/CQ244*CQ$5</f>
        <v>8.4288616255103171E-4</v>
      </c>
      <c r="CR301" s="495">
        <f>CR$318-((8691)/CR244)</f>
        <v>4.510630232064175E-4</v>
      </c>
      <c r="CS301" s="495">
        <f>CS$318-((7970)/CS244)</f>
        <v>2.4418190074650195E-3</v>
      </c>
      <c r="CT301" s="495">
        <f>CT$318-((7920)/CT244)</f>
        <v>2.997538853665084E-3</v>
      </c>
      <c r="CU301" s="92"/>
      <c r="CV301" s="92"/>
      <c r="CW301" s="92"/>
      <c r="CX301" s="92"/>
      <c r="CY301" s="170"/>
      <c r="CZ301" s="94"/>
      <c r="DA301" s="92"/>
      <c r="DB301" s="92"/>
      <c r="DC301" s="92"/>
      <c r="DD301" s="92"/>
      <c r="DE301" s="92"/>
      <c r="DF301" s="820"/>
      <c r="DG301" s="825"/>
      <c r="DH301" s="825"/>
      <c r="DI301" s="825"/>
    </row>
    <row r="302" spans="1:113" outlineLevel="2">
      <c r="C302" s="512"/>
      <c r="D302" s="512"/>
      <c r="E302" s="512"/>
      <c r="F302" s="512"/>
      <c r="G302" s="512"/>
      <c r="H302" s="512"/>
      <c r="I302" s="512"/>
      <c r="J302" s="512"/>
      <c r="K302" s="512"/>
      <c r="L302" s="235"/>
      <c r="M302" s="48"/>
      <c r="N302" s="48"/>
      <c r="O302" s="48"/>
      <c r="P302" s="48"/>
      <c r="Q302" s="48"/>
      <c r="R302" s="48"/>
      <c r="S302" s="48"/>
      <c r="T302" s="48"/>
      <c r="U302" s="48"/>
      <c r="V302" s="48"/>
      <c r="W302" s="48"/>
      <c r="X302" s="50"/>
      <c r="Y302" s="50"/>
      <c r="Z302" s="50"/>
      <c r="AA302" s="385"/>
      <c r="AB302" s="50"/>
      <c r="AC302" s="50"/>
      <c r="AD302" s="50"/>
      <c r="AE302" s="50"/>
      <c r="AF302" s="756"/>
      <c r="AG302" s="756"/>
      <c r="AH302" s="385"/>
      <c r="AI302" s="385"/>
      <c r="AJ302" s="385"/>
      <c r="AK302" s="385"/>
      <c r="AL302" s="496"/>
      <c r="AM302" s="496"/>
      <c r="AN302" s="496"/>
      <c r="AO302" s="496"/>
      <c r="AP302" s="496"/>
      <c r="AQ302" s="496"/>
      <c r="AR302" s="496"/>
      <c r="AS302" s="496"/>
      <c r="AT302" s="496"/>
      <c r="AU302" s="496"/>
      <c r="AV302" s="496"/>
      <c r="AW302" s="496"/>
      <c r="AX302" s="496"/>
      <c r="AY302" s="50"/>
      <c r="AZ302" s="49"/>
      <c r="BA302" s="48"/>
      <c r="BB302" s="48"/>
      <c r="BC302" s="48"/>
      <c r="BD302" s="48"/>
      <c r="BE302" s="48"/>
      <c r="BF302" s="48"/>
      <c r="BG302" s="48"/>
      <c r="BH302" s="48"/>
      <c r="BI302" s="48"/>
      <c r="BJ302" s="48"/>
      <c r="BK302" s="48"/>
      <c r="BL302" s="235"/>
      <c r="BM302" s="235"/>
      <c r="BN302" s="235"/>
      <c r="BO302" s="235"/>
      <c r="BP302" s="235"/>
      <c r="BQ302" s="235"/>
      <c r="BR302" s="48"/>
      <c r="BS302" s="235"/>
      <c r="BT302" s="235"/>
      <c r="BU302" s="235"/>
      <c r="BV302" s="235"/>
      <c r="BW302" s="235"/>
      <c r="BX302" s="235"/>
      <c r="BY302" s="235"/>
      <c r="BZ302" s="235"/>
      <c r="CA302" s="235"/>
      <c r="CB302" s="235"/>
      <c r="CC302" s="48"/>
      <c r="CD302" s="48"/>
      <c r="CE302" s="48"/>
      <c r="CF302" s="48"/>
      <c r="CG302" s="48"/>
      <c r="CH302" s="48"/>
      <c r="CI302" s="48"/>
      <c r="CJ302" s="48"/>
      <c r="CK302" s="48"/>
      <c r="CL302" s="48"/>
      <c r="CM302" s="50"/>
      <c r="CN302" s="50"/>
      <c r="CO302" s="50"/>
      <c r="CP302" s="50"/>
      <c r="CQ302" s="50"/>
      <c r="CR302" s="385"/>
      <c r="CS302" s="761"/>
      <c r="CT302" s="761"/>
      <c r="CU302" s="48"/>
      <c r="CV302" s="48"/>
      <c r="CW302" s="48"/>
      <c r="CX302" s="48"/>
      <c r="CY302" s="50"/>
      <c r="CZ302" s="49"/>
      <c r="DA302" s="48"/>
      <c r="DB302" s="48"/>
      <c r="DC302" s="48"/>
      <c r="DD302" s="48"/>
      <c r="DE302" s="48"/>
      <c r="DF302" s="823"/>
      <c r="DG302" s="824"/>
      <c r="DH302" s="824"/>
      <c r="DI302" s="824"/>
    </row>
    <row r="303" spans="1:113" s="24" customFormat="1" outlineLevel="2">
      <c r="A303" s="19"/>
      <c r="B303" s="24" t="s">
        <v>591</v>
      </c>
      <c r="C303" s="566"/>
      <c r="D303" s="566"/>
      <c r="E303" s="566"/>
      <c r="F303" s="566"/>
      <c r="G303" s="566"/>
      <c r="H303" s="566"/>
      <c r="I303" s="566"/>
      <c r="J303" s="566"/>
      <c r="K303" s="566"/>
      <c r="L303" s="562"/>
      <c r="M303" s="92"/>
      <c r="N303" s="92"/>
      <c r="O303" s="92"/>
      <c r="P303" s="92"/>
      <c r="Q303" s="92"/>
      <c r="R303" s="92"/>
      <c r="S303" s="92"/>
      <c r="T303" s="92"/>
      <c r="U303" s="92"/>
      <c r="V303" s="92"/>
      <c r="W303" s="92"/>
      <c r="X303" s="170"/>
      <c r="Y303" s="170"/>
      <c r="Z303" s="170"/>
      <c r="AA303" s="496"/>
      <c r="AB303" s="170"/>
      <c r="AC303" s="170"/>
      <c r="AD303" s="170"/>
      <c r="AE303" s="170"/>
      <c r="AF303" s="758"/>
      <c r="AG303" s="758"/>
      <c r="AH303" s="496"/>
      <c r="AI303" s="496"/>
      <c r="AJ303" s="496"/>
      <c r="AK303" s="496"/>
      <c r="AL303" s="496"/>
      <c r="AM303" s="496"/>
      <c r="AN303" s="496"/>
      <c r="AO303" s="496"/>
      <c r="AP303" s="496"/>
      <c r="AQ303" s="496"/>
      <c r="AR303" s="496"/>
      <c r="AS303" s="496"/>
      <c r="AT303" s="496"/>
      <c r="AU303" s="496"/>
      <c r="AV303" s="496"/>
      <c r="AW303" s="496"/>
      <c r="AX303" s="496"/>
      <c r="AY303" s="170"/>
      <c r="AZ303" s="94"/>
      <c r="BA303" s="92"/>
      <c r="BB303" s="92"/>
      <c r="BC303" s="92"/>
      <c r="BD303" s="92"/>
      <c r="BE303" s="92"/>
      <c r="BF303" s="92"/>
      <c r="BG303" s="92"/>
      <c r="BH303" s="92"/>
      <c r="BI303" s="92"/>
      <c r="BJ303" s="92"/>
      <c r="BK303" s="92"/>
      <c r="BL303" s="562"/>
      <c r="BM303" s="562"/>
      <c r="BN303" s="562"/>
      <c r="BO303" s="562"/>
      <c r="BP303" s="562"/>
      <c r="BQ303" s="562"/>
      <c r="BR303" s="92"/>
      <c r="BS303" s="562"/>
      <c r="BT303" s="562"/>
      <c r="BU303" s="562"/>
      <c r="BV303" s="562"/>
      <c r="BW303" s="562"/>
      <c r="BX303" s="562"/>
      <c r="BY303" s="562"/>
      <c r="BZ303" s="562"/>
      <c r="CA303" s="562"/>
      <c r="CB303" s="562"/>
      <c r="CC303" s="92"/>
      <c r="CD303" s="92"/>
      <c r="CE303" s="92"/>
      <c r="CF303" s="92"/>
      <c r="CG303" s="92"/>
      <c r="CH303" s="92"/>
      <c r="CI303" s="92"/>
      <c r="CJ303" s="92"/>
      <c r="CK303" s="92"/>
      <c r="CL303" s="92"/>
      <c r="CM303" s="170"/>
      <c r="CN303" s="170"/>
      <c r="CO303" s="170"/>
      <c r="CP303" s="170"/>
      <c r="CQ303" s="170"/>
      <c r="CR303" s="170"/>
      <c r="CS303" s="385"/>
      <c r="CT303" s="385"/>
      <c r="CU303" s="92"/>
      <c r="CV303" s="92"/>
      <c r="CW303" s="92"/>
      <c r="CX303" s="92"/>
      <c r="CY303" s="170"/>
      <c r="CZ303" s="94"/>
      <c r="DA303" s="92"/>
      <c r="DB303" s="92"/>
      <c r="DC303" s="92"/>
      <c r="DD303" s="92"/>
      <c r="DE303" s="92"/>
      <c r="DF303" s="820"/>
      <c r="DG303" s="825"/>
      <c r="DH303" s="825"/>
      <c r="DI303" s="825"/>
    </row>
    <row r="304" spans="1:113" outlineLevel="2">
      <c r="A304" s="1" t="s">
        <v>78</v>
      </c>
      <c r="B304" s="19" t="s">
        <v>589</v>
      </c>
      <c r="C304" s="563">
        <f>C$318-((C247/SUM(C247:D247,C252:D252)*(83+62))/C247)</f>
        <v>3.762131940339053E-2</v>
      </c>
      <c r="D304" s="563">
        <f>D$318-((D247/SUM(D247:E247,D252:E252)*(82+63))/D247)</f>
        <v>3.2576266814381749E-2</v>
      </c>
      <c r="E304" s="563">
        <f>E$318-((E247/SUM(E247:F247,E252:F252)*(82+63))/E247)</f>
        <v>3.5787952676820875E-2</v>
      </c>
      <c r="F304" s="563">
        <f>F$318-((F247/SUM(F247:G247,F252:G252)*(100+78))/F247)</f>
        <v>3.6056631050871105E-2</v>
      </c>
      <c r="G304" s="563">
        <f>G$318-((G247/SUM(G247:H247,G252:H252)*(100+78))/G247)</f>
        <v>3.5492662983656345E-2</v>
      </c>
      <c r="H304" s="563">
        <f>H$318-((H247/SUM(H247:I247,H252:I252)*(105+86))/H247)</f>
        <v>3.8679563590336218E-2</v>
      </c>
      <c r="I304" s="563">
        <f>I$318-((I247/SUM(I247:J247,I252:J252)*(105+86))/I247)</f>
        <v>4.4192403617275167E-2</v>
      </c>
      <c r="J304" s="563">
        <f>J$318-((J247/SUM(J247:K247,J252:K252)*(180+105))/J247)</f>
        <v>3.9100230507185869E-2</v>
      </c>
      <c r="K304" s="563">
        <f>K$318-((K247/SUM(K247:L247,K252:L252)*(180+105))/K247)</f>
        <v>4.153502677107325E-2</v>
      </c>
      <c r="L304" s="553">
        <f>L$318-((L247/SUM(L247:M247,L252:M252)*(222+190))/L247)</f>
        <v>3.3746693425871763E-2</v>
      </c>
      <c r="M304" s="51">
        <f>M$318-((M247/SUM(L247:M247,L252:M252)*(222+190))/M247)</f>
        <v>4.0500517435195803E-2</v>
      </c>
      <c r="N304" s="51">
        <f>N$318-((N247/SUM(N247:O247,N252:O252)*(313+227))/N247)</f>
        <v>3.6736666830714283E-2</v>
      </c>
      <c r="O304" s="51">
        <f>O$318-((O247/SUM(N247:O247,N252:O252)*(313+227))/O247)</f>
        <v>3.8361456026251586E-2</v>
      </c>
      <c r="P304" s="51">
        <f>P$318-((P247/SUM(P247:Q247,P252:Q252)*(324+316))/P247)</f>
        <v>4.8472974980310155E-2</v>
      </c>
      <c r="Q304" s="51">
        <f>Q$318-((Q247/SUM(P247:Q247,P252:Q252)*(324+316))/Q247)</f>
        <v>4.9001643977979153E-2</v>
      </c>
      <c r="R304" s="51">
        <f>R$318-((R247/SUM(R247:S247,R252:S252)*(342+160))/R247)</f>
        <v>4.339854298145434E-2</v>
      </c>
      <c r="S304" s="51">
        <f>S$318-((S247/SUM(R247:S247,R252:S252)*(342+160))/S247)</f>
        <v>1.3227563418381754E-2</v>
      </c>
      <c r="T304" s="51">
        <f>T$318-((T247/SUM(T247:U247,T252:U252)*(204+86))/T247)</f>
        <v>2.1937001227202105E-2</v>
      </c>
      <c r="U304" s="51">
        <f>U$318-((U247/SUM(T247:U247,T252:U252)*(204+86))/U247)</f>
        <v>3.0714492418181701E-2</v>
      </c>
      <c r="V304" s="51">
        <f>V$318-((V247/SUM(V247:W247,V252:W252)*(242+42))/V247)</f>
        <v>3.5483228256192614E-2</v>
      </c>
      <c r="W304" s="51">
        <f>W$318-((W247/SUM(V247:W247,V252:W252)*(242+42))/W247)</f>
        <v>3.6222710285790924E-2</v>
      </c>
      <c r="X304" s="51">
        <f>X$318-((X247/SUM(X247:Y247,X252:Y252)*(272+63))/X247)</f>
        <v>3.4727781669615446E-2</v>
      </c>
      <c r="Y304" s="95">
        <f>Y$318-((Y247/SUM(X247:Y247,X252:Y252)*(272+63))/Y247)</f>
        <v>2.8237276678423393E-2</v>
      </c>
      <c r="Z304" s="400">
        <f>Z$318-((Z247/SUM(Z247:AA247,Z252:AA252)*(274+72))/Z247)</f>
        <v>2.2064561784636096E-2</v>
      </c>
      <c r="AA304" s="180">
        <f>AA$318-((AA247/SUM(Z247:AA247,Z252:AA252)*(274+72))/AA247)</f>
        <v>1.7846521841444168E-2</v>
      </c>
      <c r="AB304" s="180">
        <f>AB$318-((AB247/SUM(AB247:AC247,AB252:AC252)*(395+95))/AB247)</f>
        <v>1.4155550549622815E-2</v>
      </c>
      <c r="AC304" s="180">
        <f>AC$318-((AC247/SUM(AB247:AC247,AB252:AC252)*(395+95))/AC247)</f>
        <v>1.4716914185986481E-2</v>
      </c>
      <c r="AD304" s="180">
        <f>AD$318-((AD247/SUM(AD247:AE247,AD252:AE252)*(439+138))/AD247)</f>
        <v>1.4897477275169907E-2</v>
      </c>
      <c r="AE304" s="180">
        <f>AE$318-((AE247/SUM(AD247:AE247,AD252:AE252)*(439+138))/AE247)</f>
        <v>1.1120507754380605E-2</v>
      </c>
      <c r="AF304" s="529">
        <f>AF$318-((AF247/SUM(AF247:AG247,AF252:AG252)*(293+128))/AF247)</f>
        <v>1.4452253962315966E-2</v>
      </c>
      <c r="AG304" s="529">
        <f>AG$318-((AG247/SUM(AF247:AG247,AF252:AG252)*(293+128))/AG247)</f>
        <v>1.4432090792152866E-2</v>
      </c>
      <c r="AH304" s="180">
        <f>((CR304*CR247))*(AI247/SUM(AH247:AI247))/AH247*AH$5</f>
        <v>8.423277969782119E-3</v>
      </c>
      <c r="AI304" s="385">
        <f>AI362/AI247*AI$5</f>
        <v>8.114469961589748E-3</v>
      </c>
      <c r="AJ304" s="180">
        <f>((CS304*CS247))*(AK247/SUM(AJ247:AK247))/AJ247*AJ$5</f>
        <v>1.0191007698501533E-2</v>
      </c>
      <c r="AK304" s="385">
        <f>AK362/AK247*AK$5</f>
        <v>9.6377706307986134E-3</v>
      </c>
      <c r="AL304" s="180">
        <f>(($CT304*$CT247))*(AM247/SUM(AL247:AM247))/AL247*AL$5</f>
        <v>8.2429908969575676E-3</v>
      </c>
      <c r="AM304" s="385">
        <f>AM362/AM247*AM$5</f>
        <v>7.7599805141401442E-3</v>
      </c>
      <c r="AN304" s="180">
        <f>(($CU304*$CU247))*(AO247/SUM(AN247:AO247))/AN247*AN$5</f>
        <v>0</v>
      </c>
      <c r="AO304" s="385">
        <f>AO362/AO247*AO$5</f>
        <v>0</v>
      </c>
      <c r="AP304" s="180">
        <f>(($CV304*$CV247))*(AQ247/SUM(AP247:AQ247))/AP247*AP$5</f>
        <v>0</v>
      </c>
      <c r="AQ304" s="385">
        <f>AQ362/AQ247*AQ$5</f>
        <v>0</v>
      </c>
      <c r="AR304" s="180"/>
      <c r="AS304" s="385"/>
      <c r="AT304" s="180"/>
      <c r="AU304" s="385"/>
      <c r="AV304" s="180"/>
      <c r="AW304" s="180"/>
      <c r="AX304" s="180"/>
      <c r="AY304" s="50"/>
      <c r="AZ304" s="49"/>
      <c r="BA304" s="48"/>
      <c r="BB304" s="48"/>
      <c r="BC304" s="48"/>
      <c r="BD304" s="48"/>
      <c r="BE304" s="48"/>
      <c r="BF304" s="48"/>
      <c r="BG304" s="48"/>
      <c r="BH304" s="48"/>
      <c r="BI304" s="48"/>
      <c r="BJ304" s="48"/>
      <c r="BK304" s="48"/>
      <c r="BL304" s="235"/>
      <c r="BM304" s="235"/>
      <c r="BN304" s="235"/>
      <c r="BO304" s="235"/>
      <c r="BP304" s="235"/>
      <c r="BQ304" s="235"/>
      <c r="BR304" s="48"/>
      <c r="BS304" s="235"/>
      <c r="BT304" s="235"/>
      <c r="BU304" s="235"/>
      <c r="BV304" s="235"/>
      <c r="BW304" s="235"/>
      <c r="BX304" s="235"/>
      <c r="BY304" s="235"/>
      <c r="BZ304" s="235"/>
      <c r="CA304" s="235"/>
      <c r="CB304" s="235"/>
      <c r="CC304" s="48">
        <f>CC362/CC247*CC$5</f>
        <v>3.42898042093122E-2</v>
      </c>
      <c r="CD304" s="48">
        <f t="shared" ref="CD304:CP306" si="1967">CD362/CD247*CD$5</f>
        <v>3.5790573251297531E-2</v>
      </c>
      <c r="CE304" s="48">
        <f t="shared" si="1967"/>
        <v>4.144842686230648E-2</v>
      </c>
      <c r="CF304" s="48">
        <f t="shared" si="1967"/>
        <v>4.0334726460900971E-2</v>
      </c>
      <c r="CG304" s="48">
        <f t="shared" si="1967"/>
        <v>3.6738801540014722E-2</v>
      </c>
      <c r="CH304" s="48">
        <f t="shared" si="1967"/>
        <v>3.718779908270415E-2</v>
      </c>
      <c r="CI304" s="48">
        <f t="shared" si="1967"/>
        <v>4.8186330128668457E-2</v>
      </c>
      <c r="CJ304" s="48">
        <f t="shared" si="1967"/>
        <v>3.0963904118758389E-2</v>
      </c>
      <c r="CK304" s="48">
        <f t="shared" si="1967"/>
        <v>3.1553719335545023E-2</v>
      </c>
      <c r="CL304" s="48">
        <f t="shared" si="1967"/>
        <v>3.6026464543228533E-2</v>
      </c>
      <c r="CM304" s="50">
        <f t="shared" si="1967"/>
        <v>3.2690358102281339E-2</v>
      </c>
      <c r="CN304" s="50">
        <f t="shared" si="1967"/>
        <v>1.987032739788458E-2</v>
      </c>
      <c r="CO304" s="50">
        <f t="shared" si="1967"/>
        <v>1.4828408946024467E-2</v>
      </c>
      <c r="CP304" s="50">
        <f t="shared" si="1967"/>
        <v>1.2928570144944983E-2</v>
      </c>
      <c r="CQ304" s="50">
        <f>CQ362/CQ247*CQ$5</f>
        <v>1.465674048727687E-2</v>
      </c>
      <c r="CR304" s="180">
        <f>(CR$318-((CR247/SUM(CR247,CR252)*(172+101))/CR247))</f>
        <v>8.248487594737822E-3</v>
      </c>
      <c r="CS304" s="180">
        <f>(CS$318-((CS247/SUM(CS247,CS252)*(122+99))/CS247))</f>
        <v>9.9213696800265795E-3</v>
      </c>
      <c r="CT304" s="180">
        <f>(CT$318-((CT247/SUM(CT247,CT252)*(167+132))/CT247))</f>
        <v>7.9704988998115477E-3</v>
      </c>
      <c r="CU304" s="48"/>
      <c r="CV304" s="48"/>
      <c r="CW304" s="48"/>
      <c r="CX304" s="48"/>
      <c r="CY304" s="50"/>
      <c r="CZ304" s="49"/>
      <c r="DA304" s="48"/>
      <c r="DB304" s="48"/>
      <c r="DC304" s="48"/>
      <c r="DD304" s="48"/>
      <c r="DE304" s="48"/>
      <c r="DF304" s="823"/>
      <c r="DG304" s="824"/>
      <c r="DH304" s="824"/>
      <c r="DI304" s="824"/>
    </row>
    <row r="305" spans="1:113" outlineLevel="2">
      <c r="A305" s="1" t="s">
        <v>79</v>
      </c>
      <c r="B305" s="19" t="s">
        <v>471</v>
      </c>
      <c r="C305" s="235">
        <f t="shared" ref="C305:L305" si="1968">C363/C248*C$5</f>
        <v>-2.5709250956056372E-2</v>
      </c>
      <c r="D305" s="235">
        <f t="shared" si="1968"/>
        <v>-2.7128914697675314E-2</v>
      </c>
      <c r="E305" s="235">
        <f t="shared" si="1968"/>
        <v>-1.6675273237952919E-2</v>
      </c>
      <c r="F305" s="235">
        <f t="shared" si="1968"/>
        <v>-1.5258311080669544E-2</v>
      </c>
      <c r="G305" s="235">
        <f t="shared" si="1968"/>
        <v>-2.7121052480326015E-2</v>
      </c>
      <c r="H305" s="235">
        <f t="shared" si="1968"/>
        <v>-1.9226658491780044E-2</v>
      </c>
      <c r="I305" s="235">
        <f t="shared" si="1968"/>
        <v>-2.3006446545843752E-2</v>
      </c>
      <c r="J305" s="235">
        <f t="shared" si="1968"/>
        <v>-2.7360517183083993E-2</v>
      </c>
      <c r="K305" s="235">
        <f t="shared" si="1968"/>
        <v>-3.359954092022082E-2</v>
      </c>
      <c r="L305" s="235">
        <f t="shared" si="1968"/>
        <v>-1.1397124427269187E-2</v>
      </c>
      <c r="M305" s="48">
        <f t="shared" ref="M305:W305" si="1969">M363/M248*M$5</f>
        <v>-1.4506799940276816E-2</v>
      </c>
      <c r="N305" s="48">
        <f t="shared" si="1969"/>
        <v>-1.0643539656202678E-2</v>
      </c>
      <c r="O305" s="48">
        <f t="shared" si="1969"/>
        <v>-7.3932174326376806E-3</v>
      </c>
      <c r="P305" s="48">
        <f t="shared" si="1969"/>
        <v>-3.4520428520585259E-3</v>
      </c>
      <c r="Q305" s="48">
        <f t="shared" si="1969"/>
        <v>-3.769109169356888E-3</v>
      </c>
      <c r="R305" s="48">
        <f t="shared" si="1969"/>
        <v>-1.38295354027945E-2</v>
      </c>
      <c r="S305" s="48">
        <f t="shared" si="1969"/>
        <v>-1.8845817185570751E-2</v>
      </c>
      <c r="T305" s="48">
        <f t="shared" si="1969"/>
        <v>-3.4869476114054554E-2</v>
      </c>
      <c r="U305" s="48">
        <f t="shared" si="1969"/>
        <v>-3.4225972818037707E-2</v>
      </c>
      <c r="V305" s="48">
        <f t="shared" si="1969"/>
        <v>-2.4796926423289605E-2</v>
      </c>
      <c r="W305" s="48">
        <f t="shared" si="1969"/>
        <v>-1.7580438504809545E-2</v>
      </c>
      <c r="X305" s="48">
        <f t="shared" ref="X305:AK305" si="1970">X363/X248*X$5</f>
        <v>-1.7031487184631735E-2</v>
      </c>
      <c r="Y305" s="50">
        <f t="shared" si="1970"/>
        <v>-2.2651558101757903E-2</v>
      </c>
      <c r="Z305" s="50">
        <f t="shared" si="1970"/>
        <v>-2.0708542956192004E-2</v>
      </c>
      <c r="AA305" s="385">
        <f t="shared" si="1970"/>
        <v>-2.6562398809941799E-2</v>
      </c>
      <c r="AB305" s="50">
        <f t="shared" si="1970"/>
        <v>-2.7059834967095162E-2</v>
      </c>
      <c r="AC305" s="50">
        <f t="shared" si="1970"/>
        <v>-2.8166742164574259E-2</v>
      </c>
      <c r="AD305" s="50">
        <f t="shared" si="1970"/>
        <v>-3.0018644127217546E-2</v>
      </c>
      <c r="AE305" s="50">
        <f t="shared" si="1970"/>
        <v>-3.4778125037021698E-2</v>
      </c>
      <c r="AF305" s="756">
        <f t="shared" si="1970"/>
        <v>-3.8842793589147245E-2</v>
      </c>
      <c r="AG305" s="756">
        <f t="shared" si="1970"/>
        <v>-3.0160931475958958E-2</v>
      </c>
      <c r="AH305" s="385">
        <f>AH363/AH248*AH$5</f>
        <v>-2.3291191043005342E-2</v>
      </c>
      <c r="AI305" s="385">
        <f>AI363/AI248*AI$5</f>
        <v>-2.3269482152899652E-2</v>
      </c>
      <c r="AJ305" s="385">
        <f t="shared" si="1970"/>
        <v>-2.3168602921314233E-2</v>
      </c>
      <c r="AK305" s="385">
        <f t="shared" si="1970"/>
        <v>-1.7081198881963036E-2</v>
      </c>
      <c r="AL305" s="385">
        <f>AL363/AL248*AL$5</f>
        <v>-1.2679436915992307E-2</v>
      </c>
      <c r="AM305" s="385">
        <f>AM363/AM248*AM$5</f>
        <v>-1.4302552995796561E-2</v>
      </c>
      <c r="AN305" s="385">
        <f>AN363/AN248*AN$5</f>
        <v>-2.1357561729716642E-2</v>
      </c>
      <c r="AO305" s="385">
        <f>AO363/AO248*AO$5</f>
        <v>2.0259307497653086E-2</v>
      </c>
      <c r="AP305" s="385">
        <f t="shared" ref="AP305" si="1971">AP363/AP248*AP$5</f>
        <v>-3.2042917797956851E-2</v>
      </c>
      <c r="AQ305" s="385">
        <f>AQ363/AQ248*AQ$5</f>
        <v>3.194749289031E-2</v>
      </c>
      <c r="AR305" s="385"/>
      <c r="AS305" s="385"/>
      <c r="AT305" s="385"/>
      <c r="AU305" s="385"/>
      <c r="AV305" s="385"/>
      <c r="AW305" s="385"/>
      <c r="AX305" s="385"/>
      <c r="AY305" s="50"/>
      <c r="AZ305" s="49"/>
      <c r="BA305" s="48"/>
      <c r="BB305" s="48"/>
      <c r="BC305" s="48"/>
      <c r="BD305" s="48"/>
      <c r="BE305" s="48"/>
      <c r="BF305" s="48"/>
      <c r="BG305" s="48"/>
      <c r="BH305" s="48"/>
      <c r="BI305" s="48"/>
      <c r="BJ305" s="48"/>
      <c r="BK305" s="48"/>
      <c r="BL305" s="235"/>
      <c r="BM305" s="235"/>
      <c r="BN305" s="235"/>
      <c r="BO305" s="235"/>
      <c r="BP305" s="235"/>
      <c r="BQ305" s="235"/>
      <c r="BR305" s="48"/>
      <c r="BS305" s="235"/>
      <c r="BT305" s="235"/>
      <c r="BU305" s="235"/>
      <c r="BV305" s="235"/>
      <c r="BW305" s="235"/>
      <c r="BX305" s="235"/>
      <c r="BY305" s="235"/>
      <c r="BZ305" s="235"/>
      <c r="CA305" s="235"/>
      <c r="CB305" s="235"/>
      <c r="CC305" s="48">
        <f>CC363/CC248*CC$5</f>
        <v>-2.1475350950780785E-2</v>
      </c>
      <c r="CD305" s="48">
        <f t="shared" si="1967"/>
        <v>-2.1086507342913986E-2</v>
      </c>
      <c r="CE305" s="48">
        <f t="shared" si="1967"/>
        <v>-2.111942090782408E-2</v>
      </c>
      <c r="CF305" s="48">
        <f t="shared" si="1967"/>
        <v>-3.0502784663159793E-2</v>
      </c>
      <c r="CG305" s="48">
        <f t="shared" si="1967"/>
        <v>-1.3075588832544251E-2</v>
      </c>
      <c r="CH305" s="48">
        <f t="shared" si="1967"/>
        <v>-9.0942948334327301E-3</v>
      </c>
      <c r="CI305" s="48">
        <f t="shared" si="1967"/>
        <v>-3.6486728944511689E-3</v>
      </c>
      <c r="CJ305" s="48">
        <f t="shared" si="1967"/>
        <v>-1.6148668772222902E-2</v>
      </c>
      <c r="CK305" s="48">
        <f t="shared" si="1967"/>
        <v>-3.2023556648495641E-2</v>
      </c>
      <c r="CL305" s="48">
        <f t="shared" si="1967"/>
        <v>-2.1126564274209041E-2</v>
      </c>
      <c r="CM305" s="50">
        <f t="shared" si="1967"/>
        <v>-1.9338638790028131E-2</v>
      </c>
      <c r="CN305" s="50">
        <f t="shared" si="1967"/>
        <v>-2.3713857739092559E-2</v>
      </c>
      <c r="CO305" s="50">
        <f t="shared" si="1967"/>
        <v>-2.7139766407961521E-2</v>
      </c>
      <c r="CP305" s="50">
        <f t="shared" si="1967"/>
        <v>-3.2703662460512706E-2</v>
      </c>
      <c r="CQ305" s="50">
        <f>CQ363/CQ248*CQ$5</f>
        <v>-3.4140624192256011E-2</v>
      </c>
      <c r="CR305" s="50">
        <f>CR363/CR248*CR$5</f>
        <v>-2.3225151042940293E-2</v>
      </c>
      <c r="CS305" s="385">
        <f>CS363/CS248*CS$5</f>
        <v>-2.0114611751382978E-2</v>
      </c>
      <c r="CT305" s="385">
        <f>CT363/CT248*CT$5</f>
        <v>-1.3452090746180118E-2</v>
      </c>
      <c r="CU305" s="48"/>
      <c r="CV305" s="48"/>
      <c r="CW305" s="48"/>
      <c r="CX305" s="48"/>
      <c r="CY305" s="50"/>
      <c r="CZ305" s="49"/>
      <c r="DA305" s="48"/>
      <c r="DB305" s="48"/>
      <c r="DC305" s="48"/>
      <c r="DD305" s="48"/>
      <c r="DE305" s="48"/>
      <c r="DF305" s="823"/>
      <c r="DG305" s="824"/>
      <c r="DH305" s="824"/>
      <c r="DI305" s="824"/>
    </row>
    <row r="306" spans="1:113" s="24" customFormat="1" outlineLevel="2">
      <c r="A306" s="1" t="s">
        <v>80</v>
      </c>
      <c r="B306" s="24" t="s">
        <v>168</v>
      </c>
      <c r="C306" s="565">
        <f>C$318-((360+43+34)*C$5/C249)</f>
        <v>-5.4670878380818286E-3</v>
      </c>
      <c r="D306" s="565">
        <f>D$318-((367+42+32)*D$5/D249)</f>
        <v>-8.4609723446082349E-3</v>
      </c>
      <c r="E306" s="565">
        <f>E$318-((380+40+31)*E$5/E249)</f>
        <v>4.6074301734799761E-4</v>
      </c>
      <c r="F306" s="565">
        <f>F$318-((415+47+39)*F$5/F249)</f>
        <v>1.7891671538411841E-3</v>
      </c>
      <c r="G306" s="565">
        <f>G$318-((461+53+39)*G$5/G249)</f>
        <v>-6.4833695839459082E-3</v>
      </c>
      <c r="H306" s="565">
        <f>H$318-(593*H$5/H249)</f>
        <v>1.2913990722147883E-4</v>
      </c>
      <c r="I306" s="565">
        <f>I$318-(660*I$5/I249)</f>
        <v>-4.2506472609270957E-4</v>
      </c>
      <c r="J306" s="565">
        <f>J$318-(771*J$5/J249)</f>
        <v>-4.6483425179354443E-3</v>
      </c>
      <c r="K306" s="565">
        <f>K$318-(870*K$5/K249)</f>
        <v>-6.884772184976129E-3</v>
      </c>
      <c r="L306" s="565">
        <f>L$318-(628*L$5/L249)</f>
        <v>4.9892373295398612E-3</v>
      </c>
      <c r="M306" s="168">
        <f>M$318-(719*M$5/M249)</f>
        <v>5.1488812944619697E-3</v>
      </c>
      <c r="N306" s="168">
        <f>N$318-(769*N$5/N249)</f>
        <v>6.5291661157326208E-3</v>
      </c>
      <c r="O306" s="168">
        <f>O$318-(789*O$5/O249)</f>
        <v>9.8632811106977095E-3</v>
      </c>
      <c r="P306" s="168">
        <f>P$318-(935*P$5/P249)</f>
        <v>1.5719639266137439E-2</v>
      </c>
      <c r="Q306" s="168">
        <f>Q$318-(1058*Q$5/Q249)</f>
        <v>1.4262361161480441E-2</v>
      </c>
      <c r="R306" s="168">
        <f>R$318-(1214*R$5/R249)</f>
        <v>4.6749593596156006E-3</v>
      </c>
      <c r="S306" s="168">
        <f>S$318-(913*S$5/S249)</f>
        <v>-9.6472016034792329E-3</v>
      </c>
      <c r="T306" s="168">
        <f>T$318-(669*T$5/T249)</f>
        <v>-1.6995282728722569E-2</v>
      </c>
      <c r="U306" s="168">
        <f>U$318-(671*U$5/U249)</f>
        <v>-8.4705403566892809E-3</v>
      </c>
      <c r="V306" s="168">
        <f>V$318-((1229-588)*V$5/V249)</f>
        <v>-1.8973284162233511E-3</v>
      </c>
      <c r="W306" s="168">
        <f>W$318-(588*W$5/W249)</f>
        <v>2.6364381900632339E-3</v>
      </c>
      <c r="X306" s="168">
        <f>X$318-(631*X$5/X249)</f>
        <v>3.6592598782206331E-3</v>
      </c>
      <c r="Y306" s="175">
        <f>Y$318-(643*Y$5/Y249)</f>
        <v>-1.4705318188937486E-3</v>
      </c>
      <c r="Z306" s="175">
        <f>Z$318-(572*Z$5/Z249)</f>
        <v>-2.8115282535602984E-3</v>
      </c>
      <c r="AA306" s="495">
        <f>AA$318-(607*AA$5/AA249)</f>
        <v>-7.1232637488109589E-3</v>
      </c>
      <c r="AB306" s="175">
        <f>AB$318-(639*AB$5/AB249)</f>
        <v>-7.5185278015228764E-3</v>
      </c>
      <c r="AC306" s="175">
        <f>AC$318-(677*AC$5/AC249)</f>
        <v>-6.7073347905215776E-3</v>
      </c>
      <c r="AD306" s="175">
        <f>AD$318-(732*AD$5/AD249)</f>
        <v>-7.6423555023761303E-3</v>
      </c>
      <c r="AE306" s="175">
        <f>AE$318-(833*AE$5/AE249)</f>
        <v>-1.2184508277229143E-2</v>
      </c>
      <c r="AF306" s="757">
        <f>AF$318-(828*AF$5/AF249)</f>
        <v>-1.1879907908655379E-2</v>
      </c>
      <c r="AG306" s="757">
        <f>AG$318-(720*AG$5/AG249)</f>
        <v>-6.9279493455689789E-3</v>
      </c>
      <c r="AH306" s="495">
        <f>AH$318-(716*AH$5/AH249)</f>
        <v>-9.0904865942433126E-3</v>
      </c>
      <c r="AI306" s="496">
        <f>AI364/AI249*AI$5</f>
        <v>-9.2167723871373567E-3</v>
      </c>
      <c r="AJ306" s="495">
        <f>AJ$318-((1402-691)*AJ$5/AJ249)</f>
        <v>-8.3888180480820237E-3</v>
      </c>
      <c r="AK306" s="496">
        <f>AK364/AK249*AK$5</f>
        <v>-5.2435121075708182E-3</v>
      </c>
      <c r="AL306" s="495">
        <f>AL$318-(736*AL$5/AL249)</f>
        <v>-4.4475330078415261E-3</v>
      </c>
      <c r="AM306" s="496">
        <f>AM364/AM249*AM$5</f>
        <v>-5.6220758806242782E-3</v>
      </c>
      <c r="AN306" s="495">
        <f>AN$318-(723*AN$5/AN249)</f>
        <v>-1.2763290227524959E-2</v>
      </c>
      <c r="AO306" s="496">
        <f>AO364/AO249*AO$5</f>
        <v>1.2106972915426024E-2</v>
      </c>
      <c r="AP306" s="495">
        <f>AP$318-(526*AP$5/AP249)</f>
        <v>-1.4033824633886265E-2</v>
      </c>
      <c r="AQ306" s="496">
        <f>AQ364/AQ249*AQ$5</f>
        <v>1.399203142304121E-2</v>
      </c>
      <c r="AR306" s="495"/>
      <c r="AS306" s="496"/>
      <c r="AT306" s="495"/>
      <c r="AU306" s="496"/>
      <c r="AV306" s="495"/>
      <c r="AW306" s="495"/>
      <c r="AX306" s="495"/>
      <c r="AY306" s="170"/>
      <c r="AZ306" s="94"/>
      <c r="BA306" s="92"/>
      <c r="BB306" s="92"/>
      <c r="BC306" s="92"/>
      <c r="BD306" s="92"/>
      <c r="BE306" s="92"/>
      <c r="BF306" s="92"/>
      <c r="BG306" s="92"/>
      <c r="BH306" s="92"/>
      <c r="BI306" s="92"/>
      <c r="BJ306" s="92"/>
      <c r="BK306" s="92"/>
      <c r="BL306" s="562"/>
      <c r="BM306" s="562"/>
      <c r="BN306" s="562"/>
      <c r="BO306" s="562"/>
      <c r="BP306" s="562"/>
      <c r="BQ306" s="562"/>
      <c r="BR306" s="92"/>
      <c r="BS306" s="572">
        <f>BS$318-((267.7+36+28.4+0)*BS$5/BS249)</f>
        <v>7.5003780645727935E-3</v>
      </c>
      <c r="BT306" s="572">
        <f>BT$318-((253.7+35.6+21.9+0)*BT$5/BT249)</f>
        <v>1.7995599974306442E-3</v>
      </c>
      <c r="BU306" s="572">
        <f>BU$318-((230.5+36.1+14.6+0)*BU$5/BU249)</f>
        <v>3.2057130184438287E-3</v>
      </c>
      <c r="BV306" s="572">
        <f>BV$318-((350+68+14+0)*BV$5/BV249)</f>
        <v>1.4883862126245859E-2</v>
      </c>
      <c r="BW306" s="572">
        <f>BW$318-((477+95+23+0)*BW$5/BW249)</f>
        <v>2.8353310613437183E-3</v>
      </c>
      <c r="BX306" s="572">
        <f>BX$318-((529+103+26+0)*BX$5/BX249)</f>
        <v>-6.7422242161068666E-3</v>
      </c>
      <c r="BY306" s="572">
        <f>BY$318-((718+104+24+0)*BY$5/BY249)</f>
        <v>-2.4335746670463503E-2</v>
      </c>
      <c r="BZ306" s="572">
        <f>BZ$318-((591+81+40+0)*BZ$5/BZ249)</f>
        <v>-5.0926627226852289E-3</v>
      </c>
      <c r="CA306" s="572">
        <f>CA$318-((484+67+44+0)*CA$5/CA249)</f>
        <v>9.267649397986924E-3</v>
      </c>
      <c r="CB306" s="572">
        <f>CB$318-((711+83+62+0)*CB$5/CB249)</f>
        <v>-1.1860054168177578E-3</v>
      </c>
      <c r="CC306" s="92">
        <f>CC364/CC249*CC$5</f>
        <v>-3.6102036399559244E-3</v>
      </c>
      <c r="CD306" s="92">
        <f t="shared" si="1967"/>
        <v>-2.2651687349681273E-3</v>
      </c>
      <c r="CE306" s="92">
        <f t="shared" si="1967"/>
        <v>-1.490073670873103E-4</v>
      </c>
      <c r="CF306" s="92">
        <f t="shared" si="1967"/>
        <v>-5.7871301730194483E-3</v>
      </c>
      <c r="CG306" s="92">
        <f t="shared" si="1967"/>
        <v>5.07623454922839E-3</v>
      </c>
      <c r="CH306" s="92">
        <f t="shared" si="1967"/>
        <v>8.2694936893585244E-3</v>
      </c>
      <c r="CI306" s="92">
        <f t="shared" si="1967"/>
        <v>1.4969540905968927E-2</v>
      </c>
      <c r="CJ306" s="92">
        <f t="shared" si="1967"/>
        <v>-2.6242656659695328E-3</v>
      </c>
      <c r="CK306" s="92">
        <f t="shared" si="1967"/>
        <v>-1.2762799870266598E-2</v>
      </c>
      <c r="CL306" s="92">
        <f t="shared" si="1967"/>
        <v>3.6000831609123965E-4</v>
      </c>
      <c r="CM306" s="170">
        <f t="shared" si="1967"/>
        <v>1.0302976309912815E-3</v>
      </c>
      <c r="CN306" s="170">
        <f t="shared" si="1967"/>
        <v>-5.0364597287149947E-3</v>
      </c>
      <c r="CO306" s="170">
        <f t="shared" si="1967"/>
        <v>-7.1234889383877589E-3</v>
      </c>
      <c r="CP306" s="170">
        <f t="shared" si="1967"/>
        <v>-1.0064366322875589E-2</v>
      </c>
      <c r="CQ306" s="170">
        <f>CQ364/CQ249*CQ$5</f>
        <v>-9.3990365955970642E-3</v>
      </c>
      <c r="CR306" s="495">
        <f>CR$318-((1451)/CR249)</f>
        <v>-9.1322825783731569E-3</v>
      </c>
      <c r="CS306" s="495">
        <f>CS$318-((1402)/CS249)</f>
        <v>-6.8073417993489219E-3</v>
      </c>
      <c r="CT306" s="495">
        <f>CT$318-((1457)/CT249)</f>
        <v>-5.0233987699841859E-3</v>
      </c>
      <c r="CU306" s="92"/>
      <c r="CV306" s="92"/>
      <c r="CW306" s="92"/>
      <c r="CX306" s="92"/>
      <c r="CY306" s="170"/>
      <c r="CZ306" s="94"/>
      <c r="DA306" s="92"/>
      <c r="DB306" s="92"/>
      <c r="DC306" s="92"/>
      <c r="DD306" s="92"/>
      <c r="DE306" s="92"/>
      <c r="DF306" s="820"/>
      <c r="DG306" s="825"/>
      <c r="DH306" s="825"/>
      <c r="DI306" s="825"/>
    </row>
    <row r="307" spans="1:113" outlineLevel="2">
      <c r="C307" s="235"/>
      <c r="D307" s="235"/>
      <c r="E307" s="235"/>
      <c r="F307" s="235"/>
      <c r="G307" s="235"/>
      <c r="H307" s="235"/>
      <c r="I307" s="235"/>
      <c r="J307" s="235"/>
      <c r="K307" s="235"/>
      <c r="L307" s="235"/>
      <c r="M307" s="48"/>
      <c r="N307" s="48"/>
      <c r="O307" s="48"/>
      <c r="P307" s="48"/>
      <c r="Q307" s="48"/>
      <c r="R307" s="48"/>
      <c r="S307" s="48"/>
      <c r="T307" s="48"/>
      <c r="U307" s="48"/>
      <c r="V307" s="48"/>
      <c r="W307" s="48"/>
      <c r="X307" s="48"/>
      <c r="Y307" s="50"/>
      <c r="Z307" s="50"/>
      <c r="AA307" s="385"/>
      <c r="AB307" s="50"/>
      <c r="AC307" s="50"/>
      <c r="AD307" s="50"/>
      <c r="AE307" s="50"/>
      <c r="AF307" s="756"/>
      <c r="AG307" s="756"/>
      <c r="AH307" s="385"/>
      <c r="AI307" s="385"/>
      <c r="AJ307" s="385"/>
      <c r="AK307" s="385"/>
      <c r="AL307" s="385"/>
      <c r="AM307" s="385"/>
      <c r="AN307" s="385"/>
      <c r="AO307" s="385"/>
      <c r="AP307" s="385"/>
      <c r="AQ307" s="385"/>
      <c r="AR307" s="385"/>
      <c r="AS307" s="385"/>
      <c r="AT307" s="385"/>
      <c r="AU307" s="385"/>
      <c r="AV307" s="385"/>
      <c r="AW307" s="385"/>
      <c r="AX307" s="385"/>
      <c r="AY307" s="50"/>
      <c r="AZ307" s="49"/>
      <c r="BA307" s="48"/>
      <c r="BB307" s="48"/>
      <c r="BC307" s="48"/>
      <c r="BD307" s="48"/>
      <c r="BE307" s="48"/>
      <c r="BF307" s="48"/>
      <c r="BG307" s="48"/>
      <c r="BH307" s="48"/>
      <c r="BI307" s="48"/>
      <c r="BJ307" s="48"/>
      <c r="BK307" s="48"/>
      <c r="BL307" s="235"/>
      <c r="BM307" s="235"/>
      <c r="BN307" s="235"/>
      <c r="BO307" s="235"/>
      <c r="BP307" s="235"/>
      <c r="BQ307" s="235"/>
      <c r="BR307" s="48"/>
      <c r="BS307" s="235"/>
      <c r="BT307" s="235"/>
      <c r="BU307" s="235"/>
      <c r="BV307" s="235"/>
      <c r="BW307" s="235"/>
      <c r="BX307" s="235"/>
      <c r="BY307" s="235"/>
      <c r="BZ307" s="235"/>
      <c r="CA307" s="235"/>
      <c r="CB307" s="235"/>
      <c r="CC307" s="48"/>
      <c r="CD307" s="48"/>
      <c r="CE307" s="48"/>
      <c r="CF307" s="48"/>
      <c r="CG307" s="48"/>
      <c r="CH307" s="48"/>
      <c r="CI307" s="48"/>
      <c r="CJ307" s="48"/>
      <c r="CK307" s="48"/>
      <c r="CL307" s="48"/>
      <c r="CM307" s="50"/>
      <c r="CN307" s="50"/>
      <c r="CO307" s="50"/>
      <c r="CP307" s="50"/>
      <c r="CQ307" s="50"/>
      <c r="CR307" s="50"/>
      <c r="CS307" s="385"/>
      <c r="CT307" s="385"/>
      <c r="CU307" s="48"/>
      <c r="CV307" s="48"/>
      <c r="CW307" s="48"/>
      <c r="CX307" s="48"/>
      <c r="CY307" s="50"/>
      <c r="CZ307" s="49"/>
      <c r="DA307" s="48"/>
      <c r="DB307" s="48"/>
      <c r="DC307" s="48"/>
      <c r="DD307" s="48"/>
      <c r="DE307" s="48"/>
      <c r="DF307" s="823"/>
      <c r="DG307" s="824"/>
      <c r="DH307" s="824"/>
      <c r="DI307" s="824"/>
    </row>
    <row r="308" spans="1:113" s="24" customFormat="1" outlineLevel="2">
      <c r="A308" s="1"/>
      <c r="B308" s="24" t="s">
        <v>491</v>
      </c>
      <c r="C308" s="562"/>
      <c r="D308" s="562"/>
      <c r="E308" s="562"/>
      <c r="F308" s="562"/>
      <c r="G308" s="562"/>
      <c r="H308" s="562"/>
      <c r="I308" s="562"/>
      <c r="J308" s="562"/>
      <c r="K308" s="562"/>
      <c r="L308" s="562"/>
      <c r="M308" s="92"/>
      <c r="N308" s="92"/>
      <c r="O308" s="92"/>
      <c r="P308" s="92"/>
      <c r="Q308" s="92"/>
      <c r="R308" s="92"/>
      <c r="S308" s="92"/>
      <c r="T308" s="92"/>
      <c r="U308" s="92"/>
      <c r="V308" s="92"/>
      <c r="W308" s="92"/>
      <c r="X308" s="92"/>
      <c r="Y308" s="170"/>
      <c r="Z308" s="170"/>
      <c r="AA308" s="496"/>
      <c r="AB308" s="170"/>
      <c r="AC308" s="170"/>
      <c r="AD308" s="170"/>
      <c r="AE308" s="170"/>
      <c r="AF308" s="758"/>
      <c r="AG308" s="758"/>
      <c r="AH308" s="496"/>
      <c r="AI308" s="496"/>
      <c r="AJ308" s="496"/>
      <c r="AK308" s="496"/>
      <c r="AL308" s="496"/>
      <c r="AM308" s="496"/>
      <c r="AN308" s="496"/>
      <c r="AO308" s="496"/>
      <c r="AP308" s="496"/>
      <c r="AQ308" s="496"/>
      <c r="AR308" s="496"/>
      <c r="AS308" s="496"/>
      <c r="AT308" s="496"/>
      <c r="AU308" s="496"/>
      <c r="AV308" s="496"/>
      <c r="AW308" s="496"/>
      <c r="AX308" s="496"/>
      <c r="AY308" s="170"/>
      <c r="AZ308" s="94"/>
      <c r="BA308" s="92"/>
      <c r="BB308" s="92"/>
      <c r="BC308" s="92"/>
      <c r="BD308" s="92"/>
      <c r="BE308" s="92"/>
      <c r="BF308" s="92"/>
      <c r="BG308" s="92"/>
      <c r="BH308" s="92"/>
      <c r="BI308" s="92"/>
      <c r="BJ308" s="92"/>
      <c r="BK308" s="92"/>
      <c r="BL308" s="562"/>
      <c r="BM308" s="562"/>
      <c r="BN308" s="562"/>
      <c r="BO308" s="562"/>
      <c r="BP308" s="562"/>
      <c r="BQ308" s="562"/>
      <c r="BR308" s="92"/>
      <c r="BS308" s="562"/>
      <c r="BT308" s="562"/>
      <c r="BU308" s="562"/>
      <c r="BV308" s="562"/>
      <c r="BW308" s="562"/>
      <c r="BX308" s="562"/>
      <c r="BY308" s="562"/>
      <c r="BZ308" s="562"/>
      <c r="CA308" s="562"/>
      <c r="CB308" s="562"/>
      <c r="CC308" s="92"/>
      <c r="CD308" s="92"/>
      <c r="CE308" s="92"/>
      <c r="CF308" s="92"/>
      <c r="CG308" s="92"/>
      <c r="CH308" s="92"/>
      <c r="CI308" s="92"/>
      <c r="CJ308" s="92"/>
      <c r="CK308" s="92"/>
      <c r="CL308" s="92"/>
      <c r="CM308" s="170"/>
      <c r="CN308" s="170"/>
      <c r="CO308" s="170"/>
      <c r="CP308" s="170"/>
      <c r="CQ308" s="170"/>
      <c r="CR308" s="170"/>
      <c r="CS308" s="496"/>
      <c r="CT308" s="496"/>
      <c r="CU308" s="92"/>
      <c r="CV308" s="92"/>
      <c r="CW308" s="92"/>
      <c r="CX308" s="92"/>
      <c r="CY308" s="170"/>
      <c r="CZ308" s="94"/>
      <c r="DA308" s="92"/>
      <c r="DB308" s="92"/>
      <c r="DC308" s="92"/>
      <c r="DD308" s="92"/>
      <c r="DE308" s="92"/>
      <c r="DF308" s="820"/>
      <c r="DG308" s="825"/>
      <c r="DH308" s="825"/>
      <c r="DI308" s="825"/>
    </row>
    <row r="309" spans="1:113" outlineLevel="2">
      <c r="A309" s="1" t="s">
        <v>81</v>
      </c>
      <c r="B309" s="19" t="s">
        <v>589</v>
      </c>
      <c r="C309" s="567">
        <v>0</v>
      </c>
      <c r="D309" s="567">
        <v>0</v>
      </c>
      <c r="E309" s="567">
        <v>0</v>
      </c>
      <c r="F309" s="567">
        <v>0</v>
      </c>
      <c r="G309" s="567">
        <v>0</v>
      </c>
      <c r="H309" s="567">
        <v>0</v>
      </c>
      <c r="I309" s="567">
        <v>0</v>
      </c>
      <c r="J309" s="567">
        <v>0</v>
      </c>
      <c r="K309" s="567">
        <v>0</v>
      </c>
      <c r="L309" s="567">
        <v>0</v>
      </c>
      <c r="M309" s="95">
        <v>0</v>
      </c>
      <c r="N309" s="95">
        <v>0</v>
      </c>
      <c r="O309" s="95">
        <v>0</v>
      </c>
      <c r="P309" s="95">
        <v>0</v>
      </c>
      <c r="Q309" s="95">
        <v>0</v>
      </c>
      <c r="R309" s="95">
        <v>0</v>
      </c>
      <c r="S309" s="95">
        <v>0</v>
      </c>
      <c r="T309" s="51">
        <f>T$318-((T252/SUM(T252:U252,T247:U247)*(204+86))/T252)</f>
        <v>2.1937001227202109E-2</v>
      </c>
      <c r="U309" s="51">
        <f>U$318-((U252/SUM(T252:U252,T247:U247)*(204+86))/U252)</f>
        <v>3.0714492418181697E-2</v>
      </c>
      <c r="V309" s="51">
        <f>V$318-((V252/SUM(V252:W252,V247:W247)*(242+42))/V252)</f>
        <v>3.5483228256192614E-2</v>
      </c>
      <c r="W309" s="51">
        <f>W$318-((W252/SUM(V252:W252,V247:W247)*(242+42))/W252)</f>
        <v>3.6222710285790924E-2</v>
      </c>
      <c r="X309" s="51">
        <f>X$318-((X252/SUM(X252:Y252,X247:Y247)*(272+63))/X252)</f>
        <v>3.4727781669615446E-2</v>
      </c>
      <c r="Y309" s="95">
        <f>Y$318-((Y252/SUM(X252:Y252,X247:Y247)*(272+63))/Y252)</f>
        <v>2.8237276678423393E-2</v>
      </c>
      <c r="Z309" s="400">
        <f>Z$318-((Z252/SUM(Z252:AA252,Z247:AA247)*(274+72))/Z252)</f>
        <v>2.2064561784636096E-2</v>
      </c>
      <c r="AA309" s="180">
        <f>AA$318-((AA252/SUM(Z252:AA252,Z247:AA247)*(274+72))/AA252)</f>
        <v>1.7846521841444168E-2</v>
      </c>
      <c r="AB309" s="180">
        <f>AB$318-((AB252/SUM(AB252:AC252,AB247:AC247)*(395+95))/AB252)</f>
        <v>1.4155550549622817E-2</v>
      </c>
      <c r="AC309" s="180">
        <f>AC$318-((AC252/SUM(AB252:AC252,AB247:AC247)*(395+95))/AC252)</f>
        <v>1.4716914185986483E-2</v>
      </c>
      <c r="AD309" s="180">
        <f>AD$318-((AD252/SUM(AD252:AE252,AD247:AE247)*(439+138))/AD252)</f>
        <v>1.4897477275169909E-2</v>
      </c>
      <c r="AE309" s="180">
        <f>AE$318-((AE252/SUM(AD252:AE252,AD247:AE247)*(439+138))/AE252)</f>
        <v>1.1120507754380607E-2</v>
      </c>
      <c r="AF309" s="529">
        <f>AF$318-((AF252/SUM(AF252:AG252,AF247:AG247)*(293+128))/AF252)</f>
        <v>1.4452253962315968E-2</v>
      </c>
      <c r="AG309" s="529">
        <f>AG$318-((AG252/SUM(AF252:AG252,AF247:AG247)*(293+128))/AG252)</f>
        <v>1.4432090792152864E-2</v>
      </c>
      <c r="AH309" s="180">
        <f>((CR309*CR252))*(AI252/SUM(AH252:AI252))/AH252*AH$5</f>
        <v>8.2861492688102965E-3</v>
      </c>
      <c r="AI309" s="385">
        <f>AI367/AI252*AI$5</f>
        <v>8.20763117015221E-3</v>
      </c>
      <c r="AJ309" s="180">
        <f>((CS309*CS252))*(AK252/SUM(AJ252:AK252))/AJ252*AJ$5</f>
        <v>1.0724406490347884E-2</v>
      </c>
      <c r="AK309" s="385">
        <f>AK367/AK252*AK$5</f>
        <v>9.1703023419085049E-3</v>
      </c>
      <c r="AL309" s="180">
        <f>(($CT309*$CT252))*(AM252/SUM(AL252:AM252))/AL252*AL$5</f>
        <v>7.094758585885705E-3</v>
      </c>
      <c r="AM309" s="385">
        <f>AM367/AM252*AM$5</f>
        <v>8.964215144693987E-3</v>
      </c>
      <c r="AN309" s="180">
        <f>(($CU309*$CU252))*(AO252/SUM(AN252:AO252))/AN252*AN$5</f>
        <v>0</v>
      </c>
      <c r="AO309" s="385">
        <f>AO367/AO252*AO$5</f>
        <v>0</v>
      </c>
      <c r="AP309" s="180">
        <f>(($CV309*$CV252))*(AQ252/SUM(AP252:AQ252))/AP252*AP$5</f>
        <v>0</v>
      </c>
      <c r="AQ309" s="385">
        <f>AQ367/AQ252*AQ$5</f>
        <v>0</v>
      </c>
      <c r="AR309" s="180"/>
      <c r="AS309" s="385"/>
      <c r="AT309" s="180"/>
      <c r="AU309" s="385"/>
      <c r="AV309" s="180"/>
      <c r="AW309" s="180"/>
      <c r="AX309" s="180"/>
      <c r="AY309" s="50"/>
      <c r="AZ309" s="49"/>
      <c r="BA309" s="48"/>
      <c r="BB309" s="48"/>
      <c r="BC309" s="48"/>
      <c r="BD309" s="48"/>
      <c r="BE309" s="48"/>
      <c r="BF309" s="48"/>
      <c r="BG309" s="48"/>
      <c r="BH309" s="48"/>
      <c r="BI309" s="48"/>
      <c r="BJ309" s="48"/>
      <c r="BK309" s="48"/>
      <c r="BL309" s="235"/>
      <c r="BM309" s="235"/>
      <c r="BN309" s="235"/>
      <c r="BO309" s="235"/>
      <c r="BP309" s="235"/>
      <c r="BQ309" s="235"/>
      <c r="BR309" s="48"/>
      <c r="BS309" s="235"/>
      <c r="BT309" s="235"/>
      <c r="BU309" s="235"/>
      <c r="BV309" s="235"/>
      <c r="BW309" s="235"/>
      <c r="BX309" s="235"/>
      <c r="BY309" s="235"/>
      <c r="BZ309" s="235"/>
      <c r="CA309" s="235"/>
      <c r="CB309" s="235"/>
      <c r="CC309" s="48" t="e">
        <f>CC367/CC252*CC$5</f>
        <v>#DIV/0!</v>
      </c>
      <c r="CD309" s="48" t="e">
        <f t="shared" ref="CD309:CP311" si="1972">CD367/CD252*CD$5</f>
        <v>#DIV/0!</v>
      </c>
      <c r="CE309" s="48" t="e">
        <f t="shared" si="1972"/>
        <v>#DIV/0!</v>
      </c>
      <c r="CF309" s="48" t="e">
        <f t="shared" si="1972"/>
        <v>#DIV/0!</v>
      </c>
      <c r="CG309" s="48">
        <v>0</v>
      </c>
      <c r="CH309" s="48">
        <v>0</v>
      </c>
      <c r="CI309" s="48">
        <v>0</v>
      </c>
      <c r="CJ309" s="48">
        <v>0</v>
      </c>
      <c r="CK309" s="48">
        <f t="shared" si="1972"/>
        <v>1.6697420903090076E-2</v>
      </c>
      <c r="CL309" s="48">
        <f t="shared" si="1972"/>
        <v>2.6029758429479109E-2</v>
      </c>
      <c r="CM309" s="50">
        <f t="shared" si="1972"/>
        <v>3.1050649473554435E-2</v>
      </c>
      <c r="CN309" s="50">
        <f t="shared" si="1972"/>
        <v>1.9871686450416384E-2</v>
      </c>
      <c r="CO309" s="50">
        <f t="shared" si="1972"/>
        <v>1.4447731983003276E-2</v>
      </c>
      <c r="CP309" s="50">
        <f t="shared" si="1972"/>
        <v>1.2788501369984688E-2</v>
      </c>
      <c r="CQ309" s="50">
        <f>CQ367/CQ252*CQ$5</f>
        <v>1.2554685445737641E-2</v>
      </c>
      <c r="CR309" s="180">
        <f>CR$318-((CR252/SUM(CR252,CR247)*(172+101))/CR252)</f>
        <v>8.2484875947378238E-3</v>
      </c>
      <c r="CS309" s="180">
        <f>CS$318-((CS252/SUM(CS252,CS247)*(122+99))/CS252)</f>
        <v>9.9213696800265795E-3</v>
      </c>
      <c r="CT309" s="180">
        <f>CT$318-((CT252/SUM(CT252,CT247)*(167+132))/CT252)</f>
        <v>7.9704988998115477E-3</v>
      </c>
      <c r="CU309" s="48"/>
      <c r="CV309" s="48"/>
      <c r="CW309" s="48"/>
      <c r="CX309" s="48"/>
      <c r="CY309" s="50"/>
      <c r="CZ309" s="49"/>
      <c r="DA309" s="48"/>
      <c r="DB309" s="48"/>
      <c r="DC309" s="48"/>
      <c r="DD309" s="48"/>
      <c r="DE309" s="48"/>
      <c r="DF309" s="823"/>
      <c r="DG309" s="824"/>
      <c r="DH309" s="824"/>
      <c r="DI309" s="824"/>
    </row>
    <row r="310" spans="1:113" outlineLevel="2">
      <c r="A310" s="1" t="s">
        <v>82</v>
      </c>
      <c r="B310" s="19" t="s">
        <v>471</v>
      </c>
      <c r="C310" s="235">
        <v>0</v>
      </c>
      <c r="D310" s="235">
        <v>0</v>
      </c>
      <c r="E310" s="235">
        <v>0</v>
      </c>
      <c r="F310" s="235">
        <v>0</v>
      </c>
      <c r="G310" s="235">
        <v>0</v>
      </c>
      <c r="H310" s="235">
        <v>0</v>
      </c>
      <c r="I310" s="235">
        <v>0</v>
      </c>
      <c r="J310" s="235">
        <v>0</v>
      </c>
      <c r="K310" s="235">
        <v>0</v>
      </c>
      <c r="L310" s="235">
        <v>0</v>
      </c>
      <c r="M310" s="48">
        <v>0</v>
      </c>
      <c r="N310" s="48">
        <v>0</v>
      </c>
      <c r="O310" s="48">
        <v>0</v>
      </c>
      <c r="P310" s="48">
        <v>0</v>
      </c>
      <c r="Q310" s="48">
        <v>0</v>
      </c>
      <c r="R310" s="48">
        <v>0</v>
      </c>
      <c r="S310" s="48">
        <v>0</v>
      </c>
      <c r="T310" s="48">
        <f t="shared" ref="T310:Y310" si="1973">T368/T253*T$5</f>
        <v>2.5914299466349298E-2</v>
      </c>
      <c r="U310" s="48">
        <f t="shared" si="1973"/>
        <v>3.3814573808616626E-2</v>
      </c>
      <c r="V310" s="48">
        <f t="shared" si="1973"/>
        <v>3.8798791902031539E-2</v>
      </c>
      <c r="W310" s="48">
        <f t="shared" si="1973"/>
        <v>4.0028138508972501E-2</v>
      </c>
      <c r="X310" s="48">
        <f t="shared" si="1973"/>
        <v>3.7866814830552493E-2</v>
      </c>
      <c r="Y310" s="50">
        <f t="shared" si="1973"/>
        <v>3.075458182371775E-2</v>
      </c>
      <c r="Z310" s="50">
        <f t="shared" ref="Z310:AK310" si="1974">Z368/Z253*Z$5</f>
        <v>2.7179459653468976E-2</v>
      </c>
      <c r="AA310" s="385">
        <f t="shared" si="1974"/>
        <v>2.3001089923768033E-2</v>
      </c>
      <c r="AB310" s="50">
        <f t="shared" si="1974"/>
        <v>2.1633288299110542E-2</v>
      </c>
      <c r="AC310" s="50">
        <f t="shared" si="1974"/>
        <v>2.0413382803828938E-2</v>
      </c>
      <c r="AD310" s="50">
        <f t="shared" si="1974"/>
        <v>2.1644821884058075E-2</v>
      </c>
      <c r="AE310" s="50">
        <f t="shared" si="1974"/>
        <v>1.7091437618533968E-2</v>
      </c>
      <c r="AF310" s="236">
        <f t="shared" si="1974"/>
        <v>2.8374411371928244E-3</v>
      </c>
      <c r="AG310" s="236">
        <f t="shared" si="1974"/>
        <v>8.0189214080886445E-3</v>
      </c>
      <c r="AH310" s="50">
        <f>AH368/AH253*AH$5</f>
        <v>1.6364207204476416E-3</v>
      </c>
      <c r="AI310" s="385">
        <f>AI368/AI253*AI$5</f>
        <v>-1.3376471687046895E-3</v>
      </c>
      <c r="AJ310" s="50">
        <f t="shared" si="1974"/>
        <v>-5.0441084052506857E-3</v>
      </c>
      <c r="AK310" s="385">
        <f t="shared" si="1974"/>
        <v>-4.0422981071910466E-3</v>
      </c>
      <c r="AL310" s="385">
        <f>AL368/AL253*AL$5</f>
        <v>-1.1073960379503875E-2</v>
      </c>
      <c r="AM310" s="385">
        <f>AM368/AM253*AM$5</f>
        <v>-1.9406693865762548E-2</v>
      </c>
      <c r="AN310" s="385">
        <f>AN368/AN253*AN$5</f>
        <v>-2.2723697334820877E-2</v>
      </c>
      <c r="AO310" s="385">
        <f>AO368/AO253*AO$5</f>
        <v>2.1091148912104746E-2</v>
      </c>
      <c r="AP310" s="385">
        <f t="shared" ref="AP310" si="1975">AP368/AP253*AP$5</f>
        <v>-1.3191478234558001E-2</v>
      </c>
      <c r="AQ310" s="385">
        <f>AQ368/AQ253*AQ$5</f>
        <v>1.3220483438109628E-2</v>
      </c>
      <c r="AR310" s="385"/>
      <c r="AS310" s="385"/>
      <c r="AT310" s="385"/>
      <c r="AU310" s="385"/>
      <c r="AV310" s="385"/>
      <c r="AW310" s="385"/>
      <c r="AX310" s="385"/>
      <c r="AY310" s="50"/>
      <c r="AZ310" s="49"/>
      <c r="BA310" s="48"/>
      <c r="BB310" s="48"/>
      <c r="BC310" s="48"/>
      <c r="BD310" s="48"/>
      <c r="BE310" s="48"/>
      <c r="BF310" s="48"/>
      <c r="BG310" s="48"/>
      <c r="BH310" s="48"/>
      <c r="BI310" s="48"/>
      <c r="BJ310" s="48"/>
      <c r="BK310" s="48"/>
      <c r="BL310" s="235"/>
      <c r="BM310" s="235"/>
      <c r="BN310" s="235"/>
      <c r="BO310" s="235"/>
      <c r="BP310" s="235"/>
      <c r="BQ310" s="235"/>
      <c r="BR310" s="48"/>
      <c r="BS310" s="235"/>
      <c r="BT310" s="235"/>
      <c r="BU310" s="235"/>
      <c r="BV310" s="235"/>
      <c r="BW310" s="235"/>
      <c r="BX310" s="235"/>
      <c r="BY310" s="235"/>
      <c r="BZ310" s="235"/>
      <c r="CA310" s="235"/>
      <c r="CB310" s="235"/>
      <c r="CC310" s="48" t="e">
        <f>CC368/CC253*CC$5</f>
        <v>#DIV/0!</v>
      </c>
      <c r="CD310" s="48" t="e">
        <f t="shared" si="1972"/>
        <v>#DIV/0!</v>
      </c>
      <c r="CE310" s="48" t="e">
        <f t="shared" si="1972"/>
        <v>#DIV/0!</v>
      </c>
      <c r="CF310" s="48" t="e">
        <f t="shared" si="1972"/>
        <v>#DIV/0!</v>
      </c>
      <c r="CG310" s="48">
        <v>0</v>
      </c>
      <c r="CH310" s="48">
        <v>0</v>
      </c>
      <c r="CI310" s="48">
        <v>0</v>
      </c>
      <c r="CJ310" s="48">
        <v>0</v>
      </c>
      <c r="CK310" s="48">
        <f t="shared" si="1972"/>
        <v>3.0454575628936095E-2</v>
      </c>
      <c r="CL310" s="48">
        <f t="shared" si="1972"/>
        <v>4.0471967198566397E-2</v>
      </c>
      <c r="CM310" s="50">
        <f t="shared" si="1972"/>
        <v>3.4224116582196935E-2</v>
      </c>
      <c r="CN310" s="50">
        <f t="shared" si="1972"/>
        <v>2.5277620217746599E-2</v>
      </c>
      <c r="CO310" s="50">
        <f t="shared" si="1972"/>
        <v>2.1100591402192101E-2</v>
      </c>
      <c r="CP310" s="50">
        <f t="shared" si="1972"/>
        <v>1.9468825095032213E-2</v>
      </c>
      <c r="CQ310" s="50">
        <f>CQ368/CQ253*CQ$5</f>
        <v>5.7202326964680408E-3</v>
      </c>
      <c r="CR310" s="50">
        <f>CR368/CR253*CR$5</f>
        <v>1.5198667672418006E-4</v>
      </c>
      <c r="CS310" s="50">
        <f>CS368/CS253*CS$5</f>
        <v>-4.5262224965793348E-3</v>
      </c>
      <c r="CT310" s="50">
        <f>CT368/CT253*CT$5</f>
        <v>-1.4978864775298162E-2</v>
      </c>
      <c r="CU310" s="48"/>
      <c r="CV310" s="48"/>
      <c r="CW310" s="48"/>
      <c r="CX310" s="48"/>
      <c r="CY310" s="50"/>
      <c r="CZ310" s="49"/>
      <c r="DA310" s="48"/>
      <c r="DB310" s="48"/>
      <c r="DC310" s="48"/>
      <c r="DD310" s="48"/>
      <c r="DE310" s="48"/>
      <c r="DF310" s="823"/>
      <c r="DG310" s="824"/>
      <c r="DH310" s="824"/>
      <c r="DI310" s="824"/>
    </row>
    <row r="311" spans="1:113" s="24" customFormat="1" outlineLevel="2">
      <c r="A311" s="1" t="s">
        <v>83</v>
      </c>
      <c r="B311" s="24" t="s">
        <v>168</v>
      </c>
      <c r="C311" s="565">
        <v>0</v>
      </c>
      <c r="D311" s="565">
        <v>0</v>
      </c>
      <c r="E311" s="565">
        <v>0</v>
      </c>
      <c r="F311" s="565">
        <v>0</v>
      </c>
      <c r="G311" s="565">
        <v>0</v>
      </c>
      <c r="H311" s="565">
        <v>0</v>
      </c>
      <c r="I311" s="565">
        <v>0</v>
      </c>
      <c r="J311" s="565">
        <v>0</v>
      </c>
      <c r="K311" s="565">
        <v>0</v>
      </c>
      <c r="L311" s="565">
        <v>0</v>
      </c>
      <c r="M311" s="168">
        <v>0</v>
      </c>
      <c r="N311" s="168">
        <v>0</v>
      </c>
      <c r="O311" s="168">
        <v>0</v>
      </c>
      <c r="P311" s="168">
        <v>0</v>
      </c>
      <c r="Q311" s="168">
        <v>0</v>
      </c>
      <c r="R311" s="168">
        <v>0</v>
      </c>
      <c r="S311" s="168">
        <v>0</v>
      </c>
      <c r="T311" s="168">
        <f>T$318-(114*T$5/T254)</f>
        <v>2.5693121691799548E-2</v>
      </c>
      <c r="U311" s="168">
        <f>U$318-(92*U$5/U254)</f>
        <v>3.3578313071399357E-2</v>
      </c>
      <c r="V311" s="168">
        <f>V$318-((182-86)*V$5/V254)</f>
        <v>3.8563683178647806E-2</v>
      </c>
      <c r="W311" s="168">
        <f>W$318-(86*W$5/W254)</f>
        <v>3.9804382372323019E-2</v>
      </c>
      <c r="X311" s="168">
        <f>X$318-(88*X$5/X254)</f>
        <v>3.7662755518227696E-2</v>
      </c>
      <c r="Y311" s="175">
        <f>Y$318-(98*Y$5/Y254)</f>
        <v>3.061622015741363E-2</v>
      </c>
      <c r="Z311" s="175">
        <f>Z$318-(65*Z$5/Z254)</f>
        <v>2.6886758797667276E-2</v>
      </c>
      <c r="AA311" s="495">
        <f>AA$318-(56*AA$5/AA254)</f>
        <v>2.2643053457643277E-2</v>
      </c>
      <c r="AB311" s="175">
        <f>AB$318-(44*AB$5/AB254)</f>
        <v>2.1085442177741803E-2</v>
      </c>
      <c r="AC311" s="175">
        <f>AC$318-(61*AC$5/AC254)</f>
        <v>2.0029288093941746E-2</v>
      </c>
      <c r="AD311" s="175">
        <f>AD$318-(53*AD$5/AD254)</f>
        <v>2.1055401745405766E-2</v>
      </c>
      <c r="AE311" s="175">
        <f>AE$318-(57*AE$5/AE254)</f>
        <v>1.6367589649650488E-2</v>
      </c>
      <c r="AF311" s="759">
        <f>AF$318-(157*AF$5/AF254)</f>
        <v>4.3448995445732261E-3</v>
      </c>
      <c r="AG311" s="759">
        <f>AG$318-(133*AG$5/AG254)</f>
        <v>8.9915136992158896E-3</v>
      </c>
      <c r="AH311" s="495">
        <f>AH$318-(173*AH$5/AH254)</f>
        <v>2.839012920688895E-3</v>
      </c>
      <c r="AI311" s="496">
        <f>AI369/AI254*AI$5</f>
        <v>3.8860033086693683E-4</v>
      </c>
      <c r="AJ311" s="175">
        <f>AJ$318-((471-250)*AJ$5/AJ254)</f>
        <v>-3.6894025289167624E-3</v>
      </c>
      <c r="AK311" s="496">
        <f>AK369/AK254*AK$5</f>
        <v>-2.9071761512836072E-3</v>
      </c>
      <c r="AL311" s="495">
        <f>AL$318-(293*AL$5/AL254)</f>
        <v>-7.4947706558771525E-3</v>
      </c>
      <c r="AM311" s="496">
        <f>AM369/AM254*AM$5</f>
        <v>-1.3817699607355438E-2</v>
      </c>
      <c r="AN311" s="495">
        <f>AN$318-(286*AN$5/AN254)</f>
        <v>-1.7240401477440791E-2</v>
      </c>
      <c r="AO311" s="496">
        <f>AO369/AO254*AO$5</f>
        <v>1.6001791852243073E-2</v>
      </c>
      <c r="AP311" s="495">
        <f>AP$318-(123*AP$5/AP254)</f>
        <v>-1.1981051963147632E-2</v>
      </c>
      <c r="AQ311" s="496">
        <f>AQ369/AQ254*AQ$5</f>
        <v>1.2007395701489504E-2</v>
      </c>
      <c r="AR311" s="495"/>
      <c r="AS311" s="496"/>
      <c r="AT311" s="495"/>
      <c r="AU311" s="496"/>
      <c r="AV311" s="495"/>
      <c r="AW311" s="495"/>
      <c r="AX311" s="495"/>
      <c r="AY311" s="170"/>
      <c r="AZ311" s="94"/>
      <c r="BA311" s="92"/>
      <c r="BB311" s="92"/>
      <c r="BC311" s="92"/>
      <c r="BD311" s="92"/>
      <c r="BE311" s="92"/>
      <c r="BF311" s="92"/>
      <c r="BG311" s="92"/>
      <c r="BH311" s="92"/>
      <c r="BI311" s="92"/>
      <c r="BJ311" s="92"/>
      <c r="BK311" s="92"/>
      <c r="BL311" s="562"/>
      <c r="BM311" s="562"/>
      <c r="BN311" s="562"/>
      <c r="BO311" s="562"/>
      <c r="BP311" s="562"/>
      <c r="BQ311" s="562"/>
      <c r="BR311" s="92"/>
      <c r="BS311" s="572">
        <v>0</v>
      </c>
      <c r="BT311" s="572">
        <v>0</v>
      </c>
      <c r="BU311" s="572">
        <v>0</v>
      </c>
      <c r="BV311" s="572">
        <v>0</v>
      </c>
      <c r="BW311" s="572">
        <v>0</v>
      </c>
      <c r="BX311" s="572">
        <v>0</v>
      </c>
      <c r="BY311" s="572">
        <v>0</v>
      </c>
      <c r="BZ311" s="572">
        <v>0</v>
      </c>
      <c r="CA311" s="572">
        <v>0</v>
      </c>
      <c r="CB311" s="572">
        <v>0</v>
      </c>
      <c r="CC311" s="92" t="e">
        <f>CC369/CC254*CC$5</f>
        <v>#DIV/0!</v>
      </c>
      <c r="CD311" s="92" t="e">
        <f t="shared" si="1972"/>
        <v>#DIV/0!</v>
      </c>
      <c r="CE311" s="92" t="e">
        <f t="shared" si="1972"/>
        <v>#DIV/0!</v>
      </c>
      <c r="CF311" s="92" t="e">
        <f t="shared" si="1972"/>
        <v>#DIV/0!</v>
      </c>
      <c r="CG311" s="92">
        <v>0</v>
      </c>
      <c r="CH311" s="92">
        <v>0</v>
      </c>
      <c r="CI311" s="92">
        <v>0</v>
      </c>
      <c r="CJ311" s="92">
        <v>0</v>
      </c>
      <c r="CK311" s="92">
        <f t="shared" si="1972"/>
        <v>2.9055595990856206E-2</v>
      </c>
      <c r="CL311" s="92">
        <f t="shared" si="1972"/>
        <v>3.9179444316236892E-2</v>
      </c>
      <c r="CM311" s="170">
        <f t="shared" si="1972"/>
        <v>3.4030479558037056E-2</v>
      </c>
      <c r="CN311" s="170">
        <f t="shared" si="1972"/>
        <v>2.4936881815008988E-2</v>
      </c>
      <c r="CO311" s="170">
        <f t="shared" si="1972"/>
        <v>2.0631613346664537E-2</v>
      </c>
      <c r="CP311" s="170">
        <f t="shared" si="1972"/>
        <v>1.8777877491454879E-2</v>
      </c>
      <c r="CQ311" s="170">
        <f>CQ369/CQ254*CQ$5</f>
        <v>6.8324383543814276E-3</v>
      </c>
      <c r="CR311" s="175">
        <f>CR$318-((376)/CR254)</f>
        <v>1.6162252215662573E-3</v>
      </c>
      <c r="CS311" s="175">
        <f>CS$318-((471)/CS254)</f>
        <v>-3.2849998354657489E-3</v>
      </c>
      <c r="CT311" s="495">
        <f>CT$318-((588)/CT254)</f>
        <v>-1.045790065084902E-2</v>
      </c>
      <c r="CU311" s="92"/>
      <c r="CV311" s="92"/>
      <c r="CW311" s="92"/>
      <c r="CX311" s="92"/>
      <c r="CY311" s="170"/>
      <c r="CZ311" s="94"/>
      <c r="DA311" s="92"/>
      <c r="DB311" s="92"/>
      <c r="DC311" s="92"/>
      <c r="DD311" s="92"/>
      <c r="DE311" s="92"/>
      <c r="DF311" s="820"/>
      <c r="DG311" s="825"/>
      <c r="DH311" s="825"/>
      <c r="DI311" s="825"/>
    </row>
    <row r="312" spans="1:113" outlineLevel="2">
      <c r="C312" s="235"/>
      <c r="D312" s="235"/>
      <c r="E312" s="235"/>
      <c r="F312" s="235"/>
      <c r="G312" s="235"/>
      <c r="H312" s="235"/>
      <c r="I312" s="235"/>
      <c r="J312" s="235"/>
      <c r="K312" s="235"/>
      <c r="L312" s="235"/>
      <c r="M312" s="48"/>
      <c r="N312" s="48"/>
      <c r="O312" s="48"/>
      <c r="P312" s="48"/>
      <c r="Q312" s="48"/>
      <c r="R312" s="48"/>
      <c r="S312" s="48"/>
      <c r="T312" s="48"/>
      <c r="U312" s="48"/>
      <c r="V312" s="48"/>
      <c r="W312" s="48"/>
      <c r="X312" s="48"/>
      <c r="Y312" s="50"/>
      <c r="Z312" s="50"/>
      <c r="AA312" s="385"/>
      <c r="AB312" s="50"/>
      <c r="AC312" s="50"/>
      <c r="AD312" s="50"/>
      <c r="AE312" s="50"/>
      <c r="AF312" s="50"/>
      <c r="AG312" s="50"/>
      <c r="AH312" s="50"/>
      <c r="AI312" s="50"/>
      <c r="AJ312" s="50"/>
      <c r="AK312" s="50"/>
      <c r="AL312" s="50"/>
      <c r="AM312" s="50"/>
      <c r="AN312" s="50"/>
      <c r="AO312" s="50"/>
      <c r="AP312" s="50"/>
      <c r="AQ312" s="50"/>
      <c r="AR312" s="50"/>
      <c r="AS312" s="50"/>
      <c r="AT312" s="50"/>
      <c r="AU312" s="50"/>
      <c r="AV312" s="50"/>
      <c r="AW312" s="50"/>
      <c r="AX312" s="170"/>
      <c r="AY312" s="50"/>
      <c r="AZ312" s="49"/>
      <c r="BA312" s="48"/>
      <c r="BB312" s="48"/>
      <c r="BC312" s="48"/>
      <c r="BD312" s="48"/>
      <c r="BE312" s="48"/>
      <c r="BF312" s="48"/>
      <c r="BG312" s="48"/>
      <c r="BH312" s="48"/>
      <c r="BI312" s="48"/>
      <c r="BJ312" s="48"/>
      <c r="BK312" s="48"/>
      <c r="BL312" s="235"/>
      <c r="BM312" s="235"/>
      <c r="BN312" s="235"/>
      <c r="BO312" s="235"/>
      <c r="BP312" s="235"/>
      <c r="BQ312" s="235"/>
      <c r="BR312" s="48"/>
      <c r="BS312" s="235"/>
      <c r="BT312" s="235"/>
      <c r="BU312" s="235"/>
      <c r="BV312" s="235"/>
      <c r="BW312" s="235"/>
      <c r="BX312" s="235"/>
      <c r="BY312" s="235"/>
      <c r="BZ312" s="235"/>
      <c r="CA312" s="235"/>
      <c r="CB312" s="235"/>
      <c r="CC312" s="48"/>
      <c r="CD312" s="48"/>
      <c r="CE312" s="48"/>
      <c r="CF312" s="48"/>
      <c r="CG312" s="48"/>
      <c r="CH312" s="48"/>
      <c r="CI312" s="48"/>
      <c r="CJ312" s="48"/>
      <c r="CK312" s="48"/>
      <c r="CL312" s="48"/>
      <c r="CM312" s="50"/>
      <c r="CN312" s="50"/>
      <c r="CO312" s="50"/>
      <c r="CP312" s="50"/>
      <c r="CQ312" s="50"/>
      <c r="CR312" s="50"/>
      <c r="CS312" s="50"/>
      <c r="CT312" s="50"/>
      <c r="CU312" s="48"/>
      <c r="CV312" s="48"/>
      <c r="CW312" s="48"/>
      <c r="CX312" s="48"/>
      <c r="CY312" s="50"/>
      <c r="CZ312" s="49"/>
      <c r="DA312" s="48"/>
      <c r="DB312" s="48"/>
      <c r="DC312" s="48"/>
      <c r="DD312" s="48"/>
      <c r="DE312" s="48"/>
      <c r="DF312" s="823"/>
      <c r="DG312" s="824"/>
      <c r="DH312" s="824"/>
      <c r="DI312" s="824"/>
    </row>
    <row r="313" spans="1:113" s="24" customFormat="1" outlineLevel="2">
      <c r="A313" s="19"/>
      <c r="B313" s="24" t="s">
        <v>496</v>
      </c>
      <c r="C313" s="562"/>
      <c r="D313" s="562"/>
      <c r="E313" s="562"/>
      <c r="F313" s="562"/>
      <c r="G313" s="562"/>
      <c r="H313" s="562"/>
      <c r="I313" s="562"/>
      <c r="J313" s="562"/>
      <c r="K313" s="562"/>
      <c r="L313" s="562"/>
      <c r="M313" s="92"/>
      <c r="N313" s="92"/>
      <c r="O313" s="92"/>
      <c r="P313" s="92"/>
      <c r="Q313" s="92"/>
      <c r="R313" s="92"/>
      <c r="S313" s="92"/>
      <c r="T313" s="92"/>
      <c r="U313" s="92"/>
      <c r="V313" s="92"/>
      <c r="W313" s="92"/>
      <c r="X313" s="92"/>
      <c r="Y313" s="170"/>
      <c r="Z313" s="170"/>
      <c r="AA313" s="496"/>
      <c r="AB313" s="170"/>
      <c r="AC313" s="170"/>
      <c r="AD313" s="170"/>
      <c r="AE313" s="170"/>
      <c r="AF313" s="170"/>
      <c r="AG313" s="170"/>
      <c r="AH313" s="170"/>
      <c r="AI313" s="170"/>
      <c r="AJ313" s="170"/>
      <c r="AK313" s="170"/>
      <c r="AL313" s="170"/>
      <c r="AM313" s="170"/>
      <c r="AN313" s="170"/>
      <c r="AO313" s="170"/>
      <c r="AP313" s="170"/>
      <c r="AQ313" s="170"/>
      <c r="AR313" s="170"/>
      <c r="AS313" s="170"/>
      <c r="AT313" s="170"/>
      <c r="AU313" s="170"/>
      <c r="AV313" s="170"/>
      <c r="AW313" s="170"/>
      <c r="AX313" s="170"/>
      <c r="AY313" s="170"/>
      <c r="AZ313" s="94"/>
      <c r="BA313" s="92"/>
      <c r="BB313" s="92"/>
      <c r="BC313" s="92"/>
      <c r="BD313" s="92"/>
      <c r="BE313" s="92"/>
      <c r="BF313" s="92"/>
      <c r="BG313" s="92"/>
      <c r="BH313" s="92"/>
      <c r="BI313" s="92"/>
      <c r="BJ313" s="92"/>
      <c r="BK313" s="92"/>
      <c r="BL313" s="562"/>
      <c r="BM313" s="562"/>
      <c r="BN313" s="562"/>
      <c r="BO313" s="562"/>
      <c r="BP313" s="562"/>
      <c r="BQ313" s="562"/>
      <c r="BR313" s="92"/>
      <c r="BS313" s="562"/>
      <c r="BT313" s="562"/>
      <c r="BU313" s="562"/>
      <c r="BV313" s="562"/>
      <c r="BW313" s="562"/>
      <c r="BX313" s="562"/>
      <c r="BY313" s="562"/>
      <c r="BZ313" s="562"/>
      <c r="CA313" s="562"/>
      <c r="CB313" s="562"/>
      <c r="CC313" s="92"/>
      <c r="CD313" s="92"/>
      <c r="CE313" s="92"/>
      <c r="CF313" s="92"/>
      <c r="CG313" s="92"/>
      <c r="CH313" s="92"/>
      <c r="CI313" s="92"/>
      <c r="CJ313" s="92"/>
      <c r="CK313" s="92"/>
      <c r="CL313" s="92"/>
      <c r="CM313" s="170"/>
      <c r="CN313" s="170"/>
      <c r="CO313" s="170"/>
      <c r="CP313" s="170"/>
      <c r="CQ313" s="170"/>
      <c r="CR313" s="170"/>
      <c r="CS313" s="170"/>
      <c r="CT313" s="170"/>
      <c r="CU313" s="92"/>
      <c r="CV313" s="92"/>
      <c r="CW313" s="92"/>
      <c r="CX313" s="92"/>
      <c r="CY313" s="170"/>
      <c r="CZ313" s="94"/>
      <c r="DA313" s="92"/>
      <c r="DB313" s="92"/>
      <c r="DC313" s="92"/>
      <c r="DD313" s="92"/>
      <c r="DE313" s="92"/>
      <c r="DF313" s="820"/>
      <c r="DG313" s="825"/>
      <c r="DH313" s="825"/>
      <c r="DI313" s="825"/>
    </row>
    <row r="314" spans="1:113" outlineLevel="2">
      <c r="A314" s="1" t="s">
        <v>169</v>
      </c>
      <c r="B314" s="19" t="str">
        <f>B$184</f>
        <v>Core deposits</v>
      </c>
      <c r="C314" s="235">
        <f t="shared" ref="C314:L316" si="1976">SUM(C299*C242,C304*C247,C309*C252)/C257</f>
        <v>3.8771090286240532E-2</v>
      </c>
      <c r="D314" s="235">
        <f t="shared" si="1976"/>
        <v>3.4070957717518363E-2</v>
      </c>
      <c r="E314" s="235">
        <f t="shared" si="1976"/>
        <v>3.6059217127333849E-2</v>
      </c>
      <c r="F314" s="235">
        <f t="shared" si="1976"/>
        <v>3.6990795008111269E-2</v>
      </c>
      <c r="G314" s="235">
        <f t="shared" si="1976"/>
        <v>3.6171754383537411E-2</v>
      </c>
      <c r="H314" s="235">
        <f t="shared" si="1976"/>
        <v>3.7987057574124808E-2</v>
      </c>
      <c r="I314" s="235">
        <f t="shared" si="1976"/>
        <v>4.2979882815514327E-2</v>
      </c>
      <c r="J314" s="235">
        <f t="shared" si="1976"/>
        <v>4.0324518283973626E-2</v>
      </c>
      <c r="K314" s="235">
        <f t="shared" si="1976"/>
        <v>4.31447463986908E-2</v>
      </c>
      <c r="L314" s="235">
        <f t="shared" si="1976"/>
        <v>4.1599232519398718E-2</v>
      </c>
      <c r="M314" s="48">
        <f t="shared" ref="M314:X316" si="1977">SUM(M299*M242,M304*M247,M309*M252)/M257</f>
        <v>4.8371928609605631E-2</v>
      </c>
      <c r="N314" s="48">
        <f t="shared" si="1977"/>
        <v>4.5120091795173664E-2</v>
      </c>
      <c r="O314" s="48">
        <f t="shared" si="1977"/>
        <v>4.6820865699762931E-2</v>
      </c>
      <c r="P314" s="48">
        <f t="shared" si="1977"/>
        <v>5.7621961900381165E-2</v>
      </c>
      <c r="Q314" s="48">
        <f t="shared" si="1977"/>
        <v>5.8145116608551158E-2</v>
      </c>
      <c r="R314" s="48">
        <f t="shared" si="1977"/>
        <v>4.9945304832922574E-2</v>
      </c>
      <c r="S314" s="48">
        <f t="shared" si="1977"/>
        <v>1.9866812207921806E-2</v>
      </c>
      <c r="T314" s="48">
        <f t="shared" si="1977"/>
        <v>2.4743356910739801E-2</v>
      </c>
      <c r="U314" s="48">
        <f t="shared" si="1977"/>
        <v>3.3486258387270977E-2</v>
      </c>
      <c r="V314" s="48">
        <f t="shared" si="1977"/>
        <v>3.4335657172164323E-2</v>
      </c>
      <c r="W314" s="48">
        <f t="shared" si="1977"/>
        <v>3.5071064460464367E-2</v>
      </c>
      <c r="X314" s="48">
        <f t="shared" si="1977"/>
        <v>3.3745864311468726E-2</v>
      </c>
      <c r="Y314" s="50">
        <f t="shared" ref="Y314:AK314" si="1978">SUM(Y299*Y242,Y304*Y247,Y309*Y252)/Y257</f>
        <v>2.7260579046269554E-2</v>
      </c>
      <c r="Z314" s="50">
        <f t="shared" si="1978"/>
        <v>2.3176315593644008E-2</v>
      </c>
      <c r="AA314" s="385">
        <f t="shared" si="1978"/>
        <v>1.8952747111684549E-2</v>
      </c>
      <c r="AB314" s="50">
        <f t="shared" si="1978"/>
        <v>1.7349535068533359E-2</v>
      </c>
      <c r="AC314" s="50">
        <f t="shared" si="1978"/>
        <v>1.7899883310287842E-2</v>
      </c>
      <c r="AD314" s="50">
        <f t="shared" si="1978"/>
        <v>1.8621795532462914E-2</v>
      </c>
      <c r="AE314" s="50">
        <f t="shared" si="1978"/>
        <v>1.4831702010464127E-2</v>
      </c>
      <c r="AF314" s="50">
        <f t="shared" si="1978"/>
        <v>1.4987782298074986E-2</v>
      </c>
      <c r="AG314" s="50">
        <f t="shared" si="1978"/>
        <v>1.4965883800362158E-2</v>
      </c>
      <c r="AH314" s="50">
        <f t="shared" si="1978"/>
        <v>7.676167049171294E-3</v>
      </c>
      <c r="AI314" s="50">
        <f t="shared" si="1978"/>
        <v>7.3185522243448438E-3</v>
      </c>
      <c r="AJ314" s="50">
        <f t="shared" si="1978"/>
        <v>8.5205522276633645E-3</v>
      </c>
      <c r="AK314" s="50">
        <f t="shared" si="1978"/>
        <v>8.7003957856268063E-3</v>
      </c>
      <c r="AL314" s="50">
        <f t="shared" ref="AL314:AO316" si="1979">SUM(AL299*AL242,AL304*AL247,AL309*AL252)/AL257</f>
        <v>9.3938280185548589E-3</v>
      </c>
      <c r="AM314" s="50">
        <f t="shared" si="1979"/>
        <v>9.4979517647607679E-3</v>
      </c>
      <c r="AN314" s="50">
        <f t="shared" si="1979"/>
        <v>0</v>
      </c>
      <c r="AO314" s="50">
        <f t="shared" si="1979"/>
        <v>0</v>
      </c>
      <c r="AP314" s="50">
        <f t="shared" ref="AP314:AQ314" si="1980">SUM(AP299*AP242,AP304*AP247,AP309*AP252)/AP257</f>
        <v>0</v>
      </c>
      <c r="AQ314" s="50">
        <f t="shared" si="1980"/>
        <v>0</v>
      </c>
      <c r="AR314" s="50"/>
      <c r="AS314" s="50"/>
      <c r="AT314" s="50"/>
      <c r="AU314" s="50"/>
      <c r="AV314" s="50"/>
      <c r="AW314" s="50"/>
      <c r="AX314" s="50"/>
      <c r="AY314" s="50"/>
      <c r="AZ314" s="49"/>
      <c r="BA314" s="48"/>
      <c r="BB314" s="48"/>
      <c r="BC314" s="48"/>
      <c r="BD314" s="48"/>
      <c r="BE314" s="48"/>
      <c r="BF314" s="48"/>
      <c r="BG314" s="48"/>
      <c r="BH314" s="48"/>
      <c r="BI314" s="48"/>
      <c r="BJ314" s="48"/>
      <c r="BK314" s="48"/>
      <c r="BL314" s="235"/>
      <c r="BM314" s="235"/>
      <c r="BN314" s="235"/>
      <c r="BO314" s="235"/>
      <c r="BP314" s="235"/>
      <c r="BQ314" s="235"/>
      <c r="BR314" s="48"/>
      <c r="BS314" s="235"/>
      <c r="BT314" s="235"/>
      <c r="BU314" s="235"/>
      <c r="BV314" s="235"/>
      <c r="BW314" s="235"/>
      <c r="BX314" s="235"/>
      <c r="BY314" s="235"/>
      <c r="BZ314" s="235"/>
      <c r="CA314" s="235"/>
      <c r="CB314" s="235"/>
      <c r="CC314" s="48">
        <f t="shared" ref="CC314:CR319" si="1981">CC372/CC257*CC$5</f>
        <v>3.5064919154285772E-2</v>
      </c>
      <c r="CD314" s="48">
        <f t="shared" si="1981"/>
        <v>3.6570947127265753E-2</v>
      </c>
      <c r="CE314" s="48">
        <f t="shared" si="1981"/>
        <v>4.0512319426547733E-2</v>
      </c>
      <c r="CF314" s="48">
        <f t="shared" si="1981"/>
        <v>4.1737786127597119E-2</v>
      </c>
      <c r="CG314" s="48">
        <f t="shared" si="1981"/>
        <v>4.4883961977465164E-2</v>
      </c>
      <c r="CH314" s="48">
        <f t="shared" si="1981"/>
        <v>4.3492758682910498E-2</v>
      </c>
      <c r="CI314" s="48">
        <f t="shared" si="1981"/>
        <v>5.746880857205526E-2</v>
      </c>
      <c r="CJ314" s="48">
        <f t="shared" si="1981"/>
        <v>3.4255730600652227E-2</v>
      </c>
      <c r="CK314" s="48">
        <f t="shared" si="1981"/>
        <v>2.8947506479723939E-2</v>
      </c>
      <c r="CL314" s="48">
        <f t="shared" si="1981"/>
        <v>3.3982659012456735E-2</v>
      </c>
      <c r="CM314" s="50">
        <f t="shared" si="1981"/>
        <v>3.0402907173915424E-2</v>
      </c>
      <c r="CN314" s="50">
        <f t="shared" si="1981"/>
        <v>2.0909318387072415E-2</v>
      </c>
      <c r="CO314" s="50">
        <f t="shared" si="1981"/>
        <v>1.7742605006185377E-2</v>
      </c>
      <c r="CP314" s="50">
        <f t="shared" si="1981"/>
        <v>1.6586389542007973E-2</v>
      </c>
      <c r="CQ314" s="50">
        <f t="shared" si="1981"/>
        <v>1.4930471315301968E-2</v>
      </c>
      <c r="CR314" s="50">
        <f t="shared" si="1981"/>
        <v>7.4900267628886935E-3</v>
      </c>
      <c r="CS314" s="50">
        <f t="shared" ref="CS314:CV319" si="1982">CS372/CS257*CS$5</f>
        <v>8.6100883937906061E-3</v>
      </c>
      <c r="CT314" s="50">
        <f t="shared" si="1982"/>
        <v>9.4464060766474237E-3</v>
      </c>
      <c r="CU314" s="48"/>
      <c r="CV314" s="48"/>
      <c r="CW314" s="48"/>
      <c r="CX314" s="48"/>
      <c r="CY314" s="50"/>
      <c r="CZ314" s="49"/>
      <c r="DA314" s="48"/>
      <c r="DB314" s="48"/>
      <c r="DC314" s="48"/>
      <c r="DD314" s="48"/>
      <c r="DE314" s="48"/>
      <c r="DF314" s="823"/>
      <c r="DG314" s="824"/>
      <c r="DH314" s="824"/>
      <c r="DI314" s="824"/>
    </row>
    <row r="315" spans="1:113" outlineLevel="2">
      <c r="A315" s="1" t="s">
        <v>170</v>
      </c>
      <c r="B315" s="19" t="str">
        <f>B$185</f>
        <v>Time deposits (includes CDs)</v>
      </c>
      <c r="C315" s="235">
        <f t="shared" si="1976"/>
        <v>-2.725010108908358E-2</v>
      </c>
      <c r="D315" s="235">
        <f t="shared" si="1976"/>
        <v>-2.219793952258901E-2</v>
      </c>
      <c r="E315" s="235">
        <f t="shared" si="1976"/>
        <v>-1.3616816919385943E-2</v>
      </c>
      <c r="F315" s="235">
        <f t="shared" si="1976"/>
        <v>-1.4796335789405049E-2</v>
      </c>
      <c r="G315" s="235">
        <f t="shared" si="1976"/>
        <v>-1.771441684336398E-2</v>
      </c>
      <c r="H315" s="235">
        <f t="shared" si="1976"/>
        <v>-1.3641173278430944E-2</v>
      </c>
      <c r="I315" s="235">
        <f t="shared" si="1976"/>
        <v>-1.7552872788352613E-2</v>
      </c>
      <c r="J315" s="235">
        <f t="shared" si="1976"/>
        <v>-1.7908221351463204E-2</v>
      </c>
      <c r="K315" s="235">
        <f t="shared" si="1976"/>
        <v>-2.1083326274003313E-2</v>
      </c>
      <c r="L315" s="235">
        <f t="shared" si="1976"/>
        <v>-2.0870551145108111E-2</v>
      </c>
      <c r="M315" s="48">
        <f t="shared" si="1977"/>
        <v>-1.5697602611370841E-2</v>
      </c>
      <c r="N315" s="48">
        <f t="shared" si="1977"/>
        <v>-2.0602333951589797E-2</v>
      </c>
      <c r="O315" s="48">
        <f t="shared" si="1977"/>
        <v>-1.5844430436459174E-2</v>
      </c>
      <c r="P315" s="48">
        <f t="shared" si="1977"/>
        <v>-5.2504059722137926E-3</v>
      </c>
      <c r="Q315" s="48">
        <f t="shared" si="1977"/>
        <v>-1.3220632141211141E-2</v>
      </c>
      <c r="R315" s="48">
        <f t="shared" si="1977"/>
        <v>-3.106992787536652E-2</v>
      </c>
      <c r="S315" s="48">
        <f t="shared" si="1977"/>
        <v>-2.6581085678077446E-2</v>
      </c>
      <c r="T315" s="48">
        <f t="shared" si="1977"/>
        <v>-1.732975331206487E-2</v>
      </c>
      <c r="U315" s="48">
        <f t="shared" si="1977"/>
        <v>-2.1737555248157566E-2</v>
      </c>
      <c r="V315" s="48">
        <f t="shared" si="1977"/>
        <v>-1.816934527751576E-2</v>
      </c>
      <c r="W315" s="48">
        <f t="shared" si="1977"/>
        <v>-1.8394873865736325E-2</v>
      </c>
      <c r="X315" s="48">
        <f t="shared" si="1977"/>
        <v>-1.9930278756282175E-2</v>
      </c>
      <c r="Y315" s="50">
        <f t="shared" ref="Y315:AK315" si="1983">SUM(Y300*Y243,Y305*Y248,Y310*Y253)/Y258</f>
        <v>-2.1315039187538375E-2</v>
      </c>
      <c r="Z315" s="50">
        <f t="shared" si="1983"/>
        <v>-2.2120884440227077E-2</v>
      </c>
      <c r="AA315" s="385">
        <f t="shared" si="1983"/>
        <v>-2.1572226043459864E-2</v>
      </c>
      <c r="AB315" s="50">
        <f t="shared" si="1983"/>
        <v>-2.1790983616120849E-2</v>
      </c>
      <c r="AC315" s="50">
        <f t="shared" si="1983"/>
        <v>-1.9126132143751452E-2</v>
      </c>
      <c r="AD315" s="50">
        <f t="shared" si="1983"/>
        <v>-1.9307346096466386E-2</v>
      </c>
      <c r="AE315" s="50">
        <f t="shared" si="1983"/>
        <v>-1.9846176951760473E-2</v>
      </c>
      <c r="AF315" s="50">
        <f t="shared" si="1983"/>
        <v>-2.2496746087888139E-2</v>
      </c>
      <c r="AG315" s="50">
        <f t="shared" si="1983"/>
        <v>-2.0561554936427168E-2</v>
      </c>
      <c r="AH315" s="50">
        <f t="shared" si="1983"/>
        <v>-1.1371889488904486E-2</v>
      </c>
      <c r="AI315" s="50">
        <f t="shared" si="1983"/>
        <v>-9.0269790852242678E-3</v>
      </c>
      <c r="AJ315" s="50">
        <f t="shared" si="1983"/>
        <v>-1.0397201652012371E-2</v>
      </c>
      <c r="AK315" s="50">
        <f t="shared" si="1983"/>
        <v>-5.6755474065093665E-3</v>
      </c>
      <c r="AL315" s="50">
        <f t="shared" si="1979"/>
        <v>-5.6527095602408681E-3</v>
      </c>
      <c r="AM315" s="50">
        <f t="shared" si="1979"/>
        <v>-1.1145244598298402E-2</v>
      </c>
      <c r="AN315" s="50">
        <f t="shared" si="1979"/>
        <v>-1.0069552951710888E-2</v>
      </c>
      <c r="AO315" s="50">
        <f t="shared" si="1979"/>
        <v>9.6497750573167566E-3</v>
      </c>
      <c r="AP315" s="50">
        <f t="shared" ref="AP315" si="1984">SUM(AP300*AP243,AP305*AP248,AP310*AP253)/AP258</f>
        <v>-1.9073795313841891E-2</v>
      </c>
      <c r="AQ315" s="50">
        <f t="shared" ref="AQ315" si="1985">SUM(AQ300*AQ243,AQ305*AQ248,AQ310*AQ253)/AQ258</f>
        <v>1.8837955269992712E-2</v>
      </c>
      <c r="AR315" s="50"/>
      <c r="AS315" s="50"/>
      <c r="AT315" s="50"/>
      <c r="AU315" s="50"/>
      <c r="AV315" s="50"/>
      <c r="AW315" s="50"/>
      <c r="AX315" s="50"/>
      <c r="AY315" s="50"/>
      <c r="AZ315" s="49"/>
      <c r="BA315" s="48"/>
      <c r="BB315" s="48"/>
      <c r="BC315" s="48"/>
      <c r="BD315" s="48"/>
      <c r="BE315" s="48"/>
      <c r="BF315" s="48"/>
      <c r="BG315" s="48"/>
      <c r="BH315" s="48"/>
      <c r="BI315" s="48"/>
      <c r="BJ315" s="48"/>
      <c r="BK315" s="48"/>
      <c r="BL315" s="235"/>
      <c r="BM315" s="235"/>
      <c r="BN315" s="235"/>
      <c r="BO315" s="235"/>
      <c r="BP315" s="235"/>
      <c r="BQ315" s="235"/>
      <c r="BR315" s="48"/>
      <c r="BS315" s="235"/>
      <c r="BT315" s="235"/>
      <c r="BU315" s="235"/>
      <c r="BV315" s="235"/>
      <c r="BW315" s="235"/>
      <c r="BX315" s="235"/>
      <c r="BY315" s="235"/>
      <c r="BZ315" s="235"/>
      <c r="CA315" s="235"/>
      <c r="CB315" s="235"/>
      <c r="CC315" s="48">
        <f t="shared" si="1981"/>
        <v>-1.7858304011199495E-2</v>
      </c>
      <c r="CD315" s="48">
        <f t="shared" si="1981"/>
        <v>-1.623801106035774E-2</v>
      </c>
      <c r="CE315" s="48">
        <f t="shared" si="1981"/>
        <v>-1.5706220898646601E-2</v>
      </c>
      <c r="CF315" s="48">
        <f t="shared" si="1981"/>
        <v>-1.948413073749761E-2</v>
      </c>
      <c r="CG315" s="48">
        <f t="shared" si="1981"/>
        <v>-1.8371609611432478E-2</v>
      </c>
      <c r="CH315" s="48">
        <f t="shared" si="1981"/>
        <v>-1.7979926650548098E-2</v>
      </c>
      <c r="CI315" s="48">
        <f t="shared" si="1981"/>
        <v>-9.657218071769615E-3</v>
      </c>
      <c r="CJ315" s="48">
        <f t="shared" si="1981"/>
        <v>-2.8807693766402593E-2</v>
      </c>
      <c r="CK315" s="48">
        <f t="shared" si="1981"/>
        <v>-1.9576059195226512E-2</v>
      </c>
      <c r="CL315" s="48">
        <f t="shared" si="1981"/>
        <v>-1.8611987030907225E-2</v>
      </c>
      <c r="CM315" s="50">
        <f t="shared" si="1981"/>
        <v>-2.0696289433576369E-2</v>
      </c>
      <c r="CN315" s="50">
        <f t="shared" si="1981"/>
        <v>-2.1977685373968929E-2</v>
      </c>
      <c r="CO315" s="50">
        <f t="shared" si="1981"/>
        <v>-2.0346506229817041E-2</v>
      </c>
      <c r="CP315" s="50">
        <f t="shared" si="1981"/>
        <v>-1.97257726814048E-2</v>
      </c>
      <c r="CQ315" s="50">
        <f t="shared" si="1981"/>
        <v>-2.1153145664792049E-2</v>
      </c>
      <c r="CR315" s="50">
        <f t="shared" si="1981"/>
        <v>-1.0182867215286828E-2</v>
      </c>
      <c r="CS315" s="50">
        <f t="shared" si="1982"/>
        <v>-8.0493048141586955E-3</v>
      </c>
      <c r="CT315" s="50">
        <f t="shared" si="1982"/>
        <v>-8.3743813261899086E-3</v>
      </c>
      <c r="CU315" s="48"/>
      <c r="CV315" s="48"/>
      <c r="CW315" s="48"/>
      <c r="CX315" s="48"/>
      <c r="CY315" s="50"/>
      <c r="CZ315" s="49"/>
      <c r="DA315" s="48"/>
      <c r="DB315" s="48"/>
      <c r="DC315" s="48"/>
      <c r="DD315" s="48"/>
      <c r="DE315" s="48"/>
      <c r="DF315" s="823"/>
      <c r="DG315" s="824"/>
      <c r="DH315" s="824"/>
      <c r="DI315" s="824"/>
    </row>
    <row r="316" spans="1:113" s="24" customFormat="1" outlineLevel="2">
      <c r="A316" s="1" t="s">
        <v>171</v>
      </c>
      <c r="B316" s="24" t="s">
        <v>168</v>
      </c>
      <c r="C316" s="562">
        <f t="shared" si="1976"/>
        <v>9.7882740086907335E-3</v>
      </c>
      <c r="D316" s="562">
        <f t="shared" si="1976"/>
        <v>9.8343114955860983E-3</v>
      </c>
      <c r="E316" s="562">
        <f t="shared" si="1976"/>
        <v>1.4680865081920647E-2</v>
      </c>
      <c r="F316" s="562">
        <f t="shared" si="1976"/>
        <v>1.4704515846511231E-2</v>
      </c>
      <c r="G316" s="562">
        <f t="shared" si="1976"/>
        <v>1.3457965268713587E-2</v>
      </c>
      <c r="H316" s="562">
        <f t="shared" si="1976"/>
        <v>1.5361708584763966E-2</v>
      </c>
      <c r="I316" s="562">
        <f t="shared" si="1976"/>
        <v>1.5056931704164016E-2</v>
      </c>
      <c r="J316" s="562">
        <f t="shared" si="1976"/>
        <v>1.3066614772475966E-2</v>
      </c>
      <c r="K316" s="562">
        <f t="shared" si="1976"/>
        <v>1.3695583091947544E-2</v>
      </c>
      <c r="L316" s="562">
        <f t="shared" si="1976"/>
        <v>1.358919388180087E-2</v>
      </c>
      <c r="M316" s="92">
        <f t="shared" si="1977"/>
        <v>1.9676000967150033E-2</v>
      </c>
      <c r="N316" s="92">
        <f t="shared" si="1977"/>
        <v>1.5603606672964111E-2</v>
      </c>
      <c r="O316" s="92">
        <f t="shared" si="1977"/>
        <v>1.9979160881283157E-2</v>
      </c>
      <c r="P316" s="92">
        <f t="shared" si="1977"/>
        <v>3.0068997565561802E-2</v>
      </c>
      <c r="Q316" s="92">
        <f t="shared" si="1977"/>
        <v>2.3968727120958714E-2</v>
      </c>
      <c r="R316" s="92">
        <f t="shared" si="1977"/>
        <v>9.0455525192503997E-3</v>
      </c>
      <c r="S316" s="92">
        <f t="shared" si="1977"/>
        <v>-4.1661656779411272E-3</v>
      </c>
      <c r="T316" s="92">
        <f t="shared" si="1977"/>
        <v>2.178000217911901E-3</v>
      </c>
      <c r="U316" s="92">
        <f t="shared" si="1977"/>
        <v>4.4664452027696035E-3</v>
      </c>
      <c r="V316" s="92">
        <f t="shared" si="1977"/>
        <v>6.149342609933682E-3</v>
      </c>
      <c r="W316" s="92">
        <f t="shared" si="1977"/>
        <v>6.1558040844309917E-3</v>
      </c>
      <c r="X316" s="92">
        <f t="shared" si="1977"/>
        <v>4.8811503569465252E-3</v>
      </c>
      <c r="Y316" s="170">
        <f t="shared" ref="Y316:AK316" si="1986">SUM(Y301*Y244,Y306*Y249,Y311*Y254)/Y259</f>
        <v>9.1512059877275377E-4</v>
      </c>
      <c r="Z316" s="170">
        <f t="shared" si="1986"/>
        <v>-1.20980100949047E-3</v>
      </c>
      <c r="AA316" s="496">
        <f t="shared" si="1986"/>
        <v>-2.2822935838652456E-3</v>
      </c>
      <c r="AB316" s="170">
        <f t="shared" si="1986"/>
        <v>-2.2452274871827354E-3</v>
      </c>
      <c r="AC316" s="170">
        <f t="shared" si="1986"/>
        <v>1.5725450908211772E-4</v>
      </c>
      <c r="AD316" s="170">
        <f t="shared" si="1986"/>
        <v>1.0666009561850281E-3</v>
      </c>
      <c r="AE316" s="170">
        <f t="shared" si="1986"/>
        <v>-4.695627300207572E-4</v>
      </c>
      <c r="AF316" s="170">
        <f t="shared" si="1986"/>
        <v>-5.8118733424037858E-4</v>
      </c>
      <c r="AG316" s="170">
        <f t="shared" si="1986"/>
        <v>8.1890269734626487E-4</v>
      </c>
      <c r="AH316" s="170">
        <f t="shared" si="1986"/>
        <v>-8.2865533640251834E-4</v>
      </c>
      <c r="AI316" s="170">
        <f t="shared" si="1986"/>
        <v>2.6204533353185763E-5</v>
      </c>
      <c r="AJ316" s="170">
        <f t="shared" si="1986"/>
        <v>2.8343204281705819E-4</v>
      </c>
      <c r="AK316" s="170">
        <f t="shared" si="1986"/>
        <v>2.4099065402918649E-3</v>
      </c>
      <c r="AL316" s="170">
        <f t="shared" si="1979"/>
        <v>2.8480651701990626E-3</v>
      </c>
      <c r="AM316" s="170">
        <f t="shared" si="1979"/>
        <v>5.3244474019901479E-4</v>
      </c>
      <c r="AN316" s="170">
        <f t="shared" si="1979"/>
        <v>-3.9996963996575003E-3</v>
      </c>
      <c r="AO316" s="170">
        <f t="shared" si="1979"/>
        <v>3.8406080819212078E-3</v>
      </c>
      <c r="AP316" s="170">
        <f t="shared" ref="AP316:AQ316" si="1987">SUM(AP301*AP244,AP306*AP249,AP311*AP254)/AP259</f>
        <v>-5.9883293166031115E-3</v>
      </c>
      <c r="AQ316" s="170">
        <f t="shared" si="1987"/>
        <v>5.9054749110781192E-3</v>
      </c>
      <c r="AR316" s="170"/>
      <c r="AS316" s="170"/>
      <c r="AT316" s="170"/>
      <c r="AU316" s="170"/>
      <c r="AV316" s="170"/>
      <c r="AW316" s="170"/>
      <c r="AX316" s="170"/>
      <c r="AY316" s="170"/>
      <c r="AZ316" s="94"/>
      <c r="BA316" s="92"/>
      <c r="BB316" s="92"/>
      <c r="BC316" s="92"/>
      <c r="BD316" s="92"/>
      <c r="BE316" s="92"/>
      <c r="BF316" s="92"/>
      <c r="BG316" s="92"/>
      <c r="BH316" s="92"/>
      <c r="BI316" s="92"/>
      <c r="BJ316" s="92"/>
      <c r="BK316" s="92"/>
      <c r="BL316" s="562"/>
      <c r="BM316" s="562"/>
      <c r="BN316" s="562"/>
      <c r="BO316" s="562"/>
      <c r="BP316" s="562"/>
      <c r="BQ316" s="562"/>
      <c r="BR316" s="92"/>
      <c r="BS316" s="562">
        <f t="shared" ref="BS316:CB316" si="1988">SUM(BS301*BS244,BS306*BS249,BS311*BS254)/BS259</f>
        <v>1.1179359170668288E-2</v>
      </c>
      <c r="BT316" s="562">
        <f t="shared" si="1988"/>
        <v>7.9388234022305278E-3</v>
      </c>
      <c r="BU316" s="562">
        <f t="shared" si="1988"/>
        <v>8.6988661538193197E-3</v>
      </c>
      <c r="BV316" s="562">
        <f t="shared" si="1988"/>
        <v>2.7915463711942486E-2</v>
      </c>
      <c r="BW316" s="562">
        <f t="shared" si="1988"/>
        <v>2.2564092570871479E-2</v>
      </c>
      <c r="BX316" s="562">
        <f t="shared" si="1988"/>
        <v>1.2763732380156306E-2</v>
      </c>
      <c r="BY316" s="562">
        <f t="shared" si="1988"/>
        <v>8.0241551236241472E-3</v>
      </c>
      <c r="BZ316" s="562">
        <f t="shared" si="1988"/>
        <v>1.1996822124756328E-2</v>
      </c>
      <c r="CA316" s="562">
        <f t="shared" si="1988"/>
        <v>1.7780869806762273E-2</v>
      </c>
      <c r="CB316" s="562">
        <f t="shared" si="1988"/>
        <v>1.4044980085685348E-2</v>
      </c>
      <c r="CC316" s="92">
        <f t="shared" si="1981"/>
        <v>1.2279504025072739E-2</v>
      </c>
      <c r="CD316" s="92">
        <f t="shared" si="1981"/>
        <v>1.4081356477297887E-2</v>
      </c>
      <c r="CE316" s="92">
        <f t="shared" si="1981"/>
        <v>1.5196896155710933E-2</v>
      </c>
      <c r="CF316" s="92">
        <f t="shared" si="1981"/>
        <v>1.3379595954463176E-2</v>
      </c>
      <c r="CG316" s="92">
        <f t="shared" si="1981"/>
        <v>1.6686190138928997E-2</v>
      </c>
      <c r="CH316" s="92">
        <f t="shared" si="1981"/>
        <v>1.7325481560907584E-2</v>
      </c>
      <c r="CI316" s="92">
        <f t="shared" si="1981"/>
        <v>2.6891837692275284E-2</v>
      </c>
      <c r="CJ316" s="92">
        <f t="shared" si="1981"/>
        <v>2.0860019179507246E-3</v>
      </c>
      <c r="CK316" s="92">
        <f t="shared" si="1981"/>
        <v>3.3085188122973382E-3</v>
      </c>
      <c r="CL316" s="92">
        <f t="shared" si="1981"/>
        <v>6.1507244570563387E-3</v>
      </c>
      <c r="CM316" s="170">
        <f t="shared" si="1981"/>
        <v>2.8895551753295966E-3</v>
      </c>
      <c r="CN316" s="170">
        <f t="shared" si="1981"/>
        <v>-1.7468997142775142E-3</v>
      </c>
      <c r="CO316" s="170">
        <f t="shared" si="1981"/>
        <v>-1.026569503050218E-3</v>
      </c>
      <c r="CP316" s="170">
        <f t="shared" si="1981"/>
        <v>2.8757002183057864E-4</v>
      </c>
      <c r="CQ316" s="170">
        <f t="shared" si="1981"/>
        <v>1.2128726920918876E-4</v>
      </c>
      <c r="CR316" s="170">
        <f t="shared" si="1981"/>
        <v>-3.9769600563560381E-4</v>
      </c>
      <c r="CS316" s="170">
        <f t="shared" si="1982"/>
        <v>1.3387353254215092E-3</v>
      </c>
      <c r="CT316" s="170">
        <f t="shared" si="1982"/>
        <v>1.6988156552623962E-3</v>
      </c>
      <c r="CU316" s="92"/>
      <c r="CV316" s="92"/>
      <c r="CW316" s="92"/>
      <c r="CX316" s="92"/>
      <c r="CY316" s="170"/>
      <c r="CZ316" s="94"/>
      <c r="DA316" s="92"/>
      <c r="DB316" s="92"/>
      <c r="DC316" s="92"/>
      <c r="DD316" s="92"/>
      <c r="DE316" s="92"/>
      <c r="DF316" s="820"/>
      <c r="DG316" s="825"/>
      <c r="DH316" s="825"/>
      <c r="DI316" s="825"/>
    </row>
    <row r="317" spans="1:113" outlineLevel="2">
      <c r="A317" s="1" t="s">
        <v>172</v>
      </c>
      <c r="B317" s="19" t="s">
        <v>277</v>
      </c>
      <c r="C317" s="235">
        <f t="shared" ref="C317:L317" si="1989">(C319*C262-C316*C259-C318*C261)/C260</f>
        <v>-8.5333459412329782E-3</v>
      </c>
      <c r="D317" s="235">
        <f t="shared" si="1989"/>
        <v>1.6486643271238252E-3</v>
      </c>
      <c r="E317" s="235">
        <f t="shared" si="1989"/>
        <v>8.7096942937115469E-3</v>
      </c>
      <c r="F317" s="235">
        <f t="shared" si="1989"/>
        <v>6.3150451145394968E-3</v>
      </c>
      <c r="G317" s="235">
        <f t="shared" si="1989"/>
        <v>5.371976992285212E-3</v>
      </c>
      <c r="H317" s="235">
        <f t="shared" si="1989"/>
        <v>1.1134879916725435E-2</v>
      </c>
      <c r="I317" s="235">
        <f t="shared" si="1989"/>
        <v>1.4455563883101295E-2</v>
      </c>
      <c r="J317" s="235">
        <f t="shared" si="1989"/>
        <v>7.4406771402511099E-3</v>
      </c>
      <c r="K317" s="235">
        <f t="shared" si="1989"/>
        <v>6.5393318656458369E-3</v>
      </c>
      <c r="L317" s="235">
        <f t="shared" si="1989"/>
        <v>3.5240941861665372E-3</v>
      </c>
      <c r="M317" s="48">
        <f t="shared" ref="M317:X317" si="1990">(M319*M262-M316*M259-M318*M261)/M260</f>
        <v>8.2602581868330277E-3</v>
      </c>
      <c r="N317" s="48">
        <f t="shared" si="1990"/>
        <v>2.2192748140002919E-3</v>
      </c>
      <c r="O317" s="48">
        <f t="shared" si="1990"/>
        <v>2.1002094748855519E-3</v>
      </c>
      <c r="P317" s="48">
        <f t="shared" si="1990"/>
        <v>1.2100524854360936E-2</v>
      </c>
      <c r="Q317" s="48">
        <f t="shared" si="1990"/>
        <v>9.196327171394925E-3</v>
      </c>
      <c r="R317" s="48">
        <f t="shared" si="1990"/>
        <v>2.1447626963237948E-3</v>
      </c>
      <c r="S317" s="48">
        <f t="shared" si="1990"/>
        <v>-2.9823314832099798E-3</v>
      </c>
      <c r="T317" s="48">
        <f t="shared" si="1990"/>
        <v>8.4347115525217975E-4</v>
      </c>
      <c r="U317" s="48">
        <f t="shared" si="1990"/>
        <v>2.8562049716149124E-3</v>
      </c>
      <c r="V317" s="48">
        <f t="shared" si="1990"/>
        <v>3.2348706276258726E-3</v>
      </c>
      <c r="W317" s="48">
        <f t="shared" si="1990"/>
        <v>3.7794104976217129E-3</v>
      </c>
      <c r="X317" s="48">
        <f t="shared" si="1990"/>
        <v>3.4950192261866686E-3</v>
      </c>
      <c r="Y317" s="50">
        <f t="shared" ref="Y317:AK317" si="1991">(Y319*Y262-Y316*Y259-Y318*Y261)/Y260</f>
        <v>-1.9824917369344456E-3</v>
      </c>
      <c r="Z317" s="50">
        <f t="shared" si="1991"/>
        <v>-2.7904647900941926E-3</v>
      </c>
      <c r="AA317" s="385">
        <f t="shared" si="1991"/>
        <v>-3.1193195253385562E-3</v>
      </c>
      <c r="AB317" s="50">
        <f t="shared" si="1991"/>
        <v>-1.5663111290380161E-3</v>
      </c>
      <c r="AC317" s="50">
        <f t="shared" si="1991"/>
        <v>-7.7877894094973419E-4</v>
      </c>
      <c r="AD317" s="50">
        <f t="shared" si="1991"/>
        <v>-5.7118834910269752E-4</v>
      </c>
      <c r="AE317" s="50">
        <f t="shared" si="1991"/>
        <v>-1.9385217002617409E-3</v>
      </c>
      <c r="AF317" s="50">
        <f t="shared" si="1991"/>
        <v>4.340280729965354E-4</v>
      </c>
      <c r="AG317" s="50">
        <f t="shared" si="1991"/>
        <v>-3.9529577614077866E-3</v>
      </c>
      <c r="AH317" s="50">
        <f t="shared" si="1991"/>
        <v>-5.7910935705859125E-3</v>
      </c>
      <c r="AI317" s="50">
        <f t="shared" si="1991"/>
        <v>-6.6809208571495041E-3</v>
      </c>
      <c r="AJ317" s="50">
        <f t="shared" si="1991"/>
        <v>-7.6858983915394658E-3</v>
      </c>
      <c r="AK317" s="50">
        <f t="shared" si="1991"/>
        <v>-6.4931697778509408E-3</v>
      </c>
      <c r="AL317" s="50">
        <f t="shared" ref="AL317:AQ317" si="1992">(AL319*AL262-AL316*AL259-AL318*AL261)/AL260</f>
        <v>-9.5013256149037943E-3</v>
      </c>
      <c r="AM317" s="50">
        <f t="shared" si="1992"/>
        <v>-1.1814697588849173E-2</v>
      </c>
      <c r="AN317" s="50">
        <f t="shared" si="1992"/>
        <v>-1.3246541501976286E-2</v>
      </c>
      <c r="AO317" s="50">
        <f t="shared" si="1992"/>
        <v>-4.1219475263128524E-2</v>
      </c>
      <c r="AP317" s="50">
        <f t="shared" si="1992"/>
        <v>-9.0967987857607149E-3</v>
      </c>
      <c r="AQ317" s="50">
        <f t="shared" si="1992"/>
        <v>-4.7045952905650029E-2</v>
      </c>
      <c r="AR317" s="50"/>
      <c r="AS317" s="50"/>
      <c r="AT317" s="50"/>
      <c r="AU317" s="50"/>
      <c r="AV317" s="50"/>
      <c r="AW317" s="50"/>
      <c r="AX317" s="50"/>
      <c r="AY317" s="50"/>
      <c r="AZ317" s="49"/>
      <c r="BA317" s="48"/>
      <c r="BB317" s="48"/>
      <c r="BC317" s="48"/>
      <c r="BD317" s="48"/>
      <c r="BE317" s="48"/>
      <c r="BF317" s="48"/>
      <c r="BG317" s="48"/>
      <c r="BH317" s="48"/>
      <c r="BI317" s="48"/>
      <c r="BJ317" s="48"/>
      <c r="BK317" s="48"/>
      <c r="BL317" s="235"/>
      <c r="BM317" s="235"/>
      <c r="BN317" s="235"/>
      <c r="BO317" s="235"/>
      <c r="BP317" s="235"/>
      <c r="BQ317" s="235"/>
      <c r="BR317" s="48"/>
      <c r="BS317" s="235">
        <f t="shared" ref="BS317:CB317" si="1993">(BS319*BS262-BS316*BS259-BS318*BS261)/BS260</f>
        <v>2.420926292109079E-3</v>
      </c>
      <c r="BT317" s="235">
        <f t="shared" si="1993"/>
        <v>-1.4144617837964536E-2</v>
      </c>
      <c r="BU317" s="235">
        <f t="shared" si="1993"/>
        <v>-1.7521180518030258E-2</v>
      </c>
      <c r="BV317" s="235">
        <f t="shared" si="1993"/>
        <v>1.3105057710064641E-2</v>
      </c>
      <c r="BW317" s="235">
        <f t="shared" si="1993"/>
        <v>8.6502912019825965E-3</v>
      </c>
      <c r="BX317" s="235">
        <f t="shared" si="1993"/>
        <v>-1.4520635598969428E-3</v>
      </c>
      <c r="BY317" s="235">
        <f t="shared" si="1993"/>
        <v>-6.3603504543979323E-3</v>
      </c>
      <c r="BZ317" s="235">
        <f t="shared" si="1993"/>
        <v>-4.1551100212858954E-4</v>
      </c>
      <c r="CA317" s="235">
        <f t="shared" si="1993"/>
        <v>-1.7198690002723374E-3</v>
      </c>
      <c r="CB317" s="235">
        <f t="shared" si="1993"/>
        <v>-4.1283680669972865E-3</v>
      </c>
      <c r="CC317" s="48">
        <f t="shared" si="1981"/>
        <v>5.1296235252556704E-3</v>
      </c>
      <c r="CD317" s="48">
        <f t="shared" si="1981"/>
        <v>5.8170721563902319E-3</v>
      </c>
      <c r="CE317" s="48">
        <f t="shared" si="1981"/>
        <v>1.2868692937395503E-2</v>
      </c>
      <c r="CF317" s="48">
        <f t="shared" si="1981"/>
        <v>6.9628815020078153E-3</v>
      </c>
      <c r="CG317" s="48">
        <f t="shared" si="1981"/>
        <v>5.9846438360828926E-3</v>
      </c>
      <c r="CH317" s="48">
        <f t="shared" si="1981"/>
        <v>2.1584381622633277E-3</v>
      </c>
      <c r="CI317" s="48">
        <f t="shared" si="1981"/>
        <v>1.0649109462316635E-2</v>
      </c>
      <c r="CJ317" s="48">
        <f t="shared" si="1981"/>
        <v>-2.7571025776322751E-4</v>
      </c>
      <c r="CK317" s="48">
        <f t="shared" si="1981"/>
        <v>1.8927289584780664E-3</v>
      </c>
      <c r="CL317" s="48">
        <f t="shared" si="1981"/>
        <v>3.4989521956673595E-3</v>
      </c>
      <c r="CM317" s="50">
        <f t="shared" si="1981"/>
        <v>7.5751052534004791E-4</v>
      </c>
      <c r="CN317" s="50">
        <f t="shared" si="1981"/>
        <v>-2.9542215949140966E-3</v>
      </c>
      <c r="CO317" s="50">
        <f t="shared" si="1981"/>
        <v>-1.1691122430904197E-3</v>
      </c>
      <c r="CP317" s="50">
        <f t="shared" si="1981"/>
        <v>-1.2785606791646518E-3</v>
      </c>
      <c r="CQ317" s="50">
        <f t="shared" si="1981"/>
        <v>-1.7144275349026022E-3</v>
      </c>
      <c r="CR317" s="50">
        <f t="shared" si="1981"/>
        <v>-6.2347431151376651E-3</v>
      </c>
      <c r="CS317" s="50">
        <f t="shared" si="1982"/>
        <v>-7.0864965196152669E-3</v>
      </c>
      <c r="CT317" s="50">
        <f t="shared" si="1982"/>
        <v>-1.0622560333549193E-2</v>
      </c>
      <c r="CU317" s="48"/>
      <c r="CV317" s="48"/>
      <c r="CW317" s="48"/>
      <c r="CX317" s="48"/>
      <c r="CY317" s="50"/>
      <c r="CZ317" s="49"/>
      <c r="DA317" s="48"/>
      <c r="DB317" s="48"/>
      <c r="DC317" s="48"/>
      <c r="DD317" s="48"/>
      <c r="DE317" s="48"/>
      <c r="DF317" s="823"/>
      <c r="DG317" s="824"/>
      <c r="DH317" s="824"/>
      <c r="DI317" s="824"/>
    </row>
    <row r="318" spans="1:113" outlineLevel="2">
      <c r="A318" s="1" t="s">
        <v>173</v>
      </c>
      <c r="B318" s="19" t="s">
        <v>278</v>
      </c>
      <c r="C318" s="235">
        <f>C80</f>
        <v>5.2130499999999996E-2</v>
      </c>
      <c r="D318" s="235">
        <f>D80</f>
        <v>4.5136000000000003E-2</v>
      </c>
      <c r="E318" s="235">
        <f>E80</f>
        <v>4.6577833333333346E-2</v>
      </c>
      <c r="F318" s="235">
        <f t="shared" ref="F318:L318" si="1994">F80</f>
        <v>4.8975166666666674E-2</v>
      </c>
      <c r="G318" s="235">
        <f t="shared" si="1994"/>
        <v>4.7716666666666664E-2</v>
      </c>
      <c r="H318" s="235">
        <f t="shared" si="1994"/>
        <v>5.0808166666666675E-2</v>
      </c>
      <c r="I318" s="235">
        <f t="shared" si="1994"/>
        <v>5.5549999999999995E-2</v>
      </c>
      <c r="J318" s="235">
        <f t="shared" si="1994"/>
        <v>5.4416666666666662E-2</v>
      </c>
      <c r="K318" s="235">
        <f t="shared" si="1994"/>
        <v>5.7039000000000006E-2</v>
      </c>
      <c r="L318" s="235">
        <f t="shared" si="1994"/>
        <v>5.7423560606060582E-2</v>
      </c>
      <c r="M318" s="48">
        <f t="shared" ref="M318:T318" si="1995">M80</f>
        <v>6.4177384615384622E-2</v>
      </c>
      <c r="N318" s="48">
        <f t="shared" si="1995"/>
        <v>6.2552595419847326E-2</v>
      </c>
      <c r="O318" s="48">
        <f t="shared" si="1995"/>
        <v>6.4177384615384622E-2</v>
      </c>
      <c r="P318" s="48">
        <f t="shared" si="1995"/>
        <v>7.6398484848484841E-2</v>
      </c>
      <c r="Q318" s="48">
        <f t="shared" si="1995"/>
        <v>7.692715384615384E-2</v>
      </c>
      <c r="R318" s="48">
        <f t="shared" si="1995"/>
        <v>6.2784545454545454E-2</v>
      </c>
      <c r="S318" s="48">
        <f t="shared" si="1995"/>
        <v>3.2613565891472865E-2</v>
      </c>
      <c r="T318" s="48">
        <f t="shared" si="1995"/>
        <v>3.6205454545454534E-2</v>
      </c>
      <c r="U318" s="48">
        <f t="shared" ref="U318:AK318" si="1996">U80</f>
        <v>4.4982945736434125E-2</v>
      </c>
      <c r="V318" s="48">
        <f t="shared" si="1996"/>
        <v>4.8731060606060597E-2</v>
      </c>
      <c r="W318" s="48">
        <f t="shared" si="1996"/>
        <v>4.9470542635658907E-2</v>
      </c>
      <c r="X318" s="48">
        <f t="shared" si="1996"/>
        <v>4.7434351145038176E-2</v>
      </c>
      <c r="Y318" s="50">
        <f t="shared" si="1996"/>
        <v>4.0943846153846122E-2</v>
      </c>
      <c r="Z318" s="50">
        <f t="shared" si="1996"/>
        <v>3.3609923664122125E-2</v>
      </c>
      <c r="AA318" s="385">
        <f t="shared" si="1996"/>
        <v>2.9391883720930202E-2</v>
      </c>
      <c r="AB318" s="50">
        <f t="shared" si="1996"/>
        <v>2.6180303030303002E-2</v>
      </c>
      <c r="AC318" s="50">
        <f t="shared" si="1996"/>
        <v>2.6741666666666667E-2</v>
      </c>
      <c r="AD318" s="50">
        <f t="shared" si="1996"/>
        <v>2.6935977272727264E-2</v>
      </c>
      <c r="AE318" s="50">
        <f t="shared" si="1996"/>
        <v>2.3159007751937962E-2</v>
      </c>
      <c r="AF318" s="50">
        <f t="shared" si="1996"/>
        <v>2.1939393939393901E-2</v>
      </c>
      <c r="AG318" s="50">
        <f t="shared" si="1996"/>
        <v>2.1919230769230798E-2</v>
      </c>
      <c r="AH318" s="50">
        <f t="shared" si="1996"/>
        <v>1.7833850393700799E-2</v>
      </c>
      <c r="AI318" s="50">
        <f t="shared" si="1996"/>
        <v>1.76165E-2</v>
      </c>
      <c r="AJ318" s="50">
        <f t="shared" si="1996"/>
        <v>1.71896153846154E-2</v>
      </c>
      <c r="AK318" s="50">
        <f t="shared" si="1996"/>
        <v>1.93084615384615E-2</v>
      </c>
      <c r="AL318" s="50">
        <f t="shared" ref="AL318:AQ318" si="1997">AL80</f>
        <v>1.968549618320611E-2</v>
      </c>
      <c r="AM318" s="50">
        <f t="shared" si="1997"/>
        <v>1.7356798449612399E-2</v>
      </c>
      <c r="AN318" s="50">
        <f t="shared" si="1997"/>
        <v>9.57954545454545E-3</v>
      </c>
      <c r="AO318" s="50">
        <f t="shared" si="1997"/>
        <v>4.4738461538461598E-3</v>
      </c>
      <c r="AP318" s="50">
        <f t="shared" si="1997"/>
        <v>6.7689393939393842E-4</v>
      </c>
      <c r="AQ318" s="50">
        <f t="shared" si="1997"/>
        <v>3.6350364963503521E-4</v>
      </c>
      <c r="AR318" s="50"/>
      <c r="AS318" s="50"/>
      <c r="AT318" s="50"/>
      <c r="AU318" s="50"/>
      <c r="AV318" s="50"/>
      <c r="AW318" s="50"/>
      <c r="AX318" s="50"/>
      <c r="AY318" s="50"/>
      <c r="AZ318" s="49"/>
      <c r="BA318" s="48"/>
      <c r="BB318" s="48"/>
      <c r="BC318" s="48"/>
      <c r="BD318" s="48"/>
      <c r="BE318" s="48"/>
      <c r="BF318" s="48"/>
      <c r="BG318" s="48"/>
      <c r="BH318" s="48"/>
      <c r="BI318" s="48"/>
      <c r="BJ318" s="48"/>
      <c r="BK318" s="48"/>
      <c r="BL318" s="235"/>
      <c r="BM318" s="235"/>
      <c r="BN318" s="235"/>
      <c r="BO318" s="235"/>
      <c r="BP318" s="235"/>
      <c r="BQ318" s="235"/>
      <c r="BR318" s="48"/>
      <c r="BS318" s="235">
        <f t="shared" ref="BS318:CB318" si="1998">BS80</f>
        <v>8.0391666666666681E-2</v>
      </c>
      <c r="BT318" s="235">
        <f t="shared" si="1998"/>
        <v>5.6316666666666668E-2</v>
      </c>
      <c r="BU318" s="235">
        <f t="shared" si="1998"/>
        <v>4.9116666666666663E-2</v>
      </c>
      <c r="BV318" s="235">
        <f t="shared" si="1998"/>
        <v>7.229250000000001E-2</v>
      </c>
      <c r="BW318" s="235">
        <f t="shared" si="1998"/>
        <v>7.5255000000000002E-2</v>
      </c>
      <c r="BX318" s="235">
        <f t="shared" si="1998"/>
        <v>6.2107833333333341E-2</v>
      </c>
      <c r="BY318" s="235">
        <f t="shared" si="1998"/>
        <v>4.9790250000000001E-2</v>
      </c>
      <c r="BZ318" s="235">
        <f t="shared" si="1998"/>
        <v>4.9345749999999994E-2</v>
      </c>
      <c r="CA318" s="235">
        <f t="shared" si="1998"/>
        <v>5.608854961832057E-2</v>
      </c>
      <c r="CB318" s="235">
        <f t="shared" si="1998"/>
        <v>5.8143076923076895E-2</v>
      </c>
      <c r="CC318" s="48">
        <f t="shared" si="1981"/>
        <v>4.5849784667124999E-2</v>
      </c>
      <c r="CD318" s="48">
        <f t="shared" si="1981"/>
        <v>4.8078213566793988E-2</v>
      </c>
      <c r="CE318" s="48">
        <f t="shared" si="1981"/>
        <v>5.3310320873989195E-2</v>
      </c>
      <c r="CF318" s="48">
        <f t="shared" si="1981"/>
        <v>5.5750510646398806E-2</v>
      </c>
      <c r="CG318" s="48">
        <f t="shared" si="1981"/>
        <v>5.9913694518859036E-2</v>
      </c>
      <c r="CH318" s="48">
        <f t="shared" si="1981"/>
        <v>6.2096554347416254E-2</v>
      </c>
      <c r="CI318" s="48">
        <f t="shared" si="1981"/>
        <v>7.6747865323370384E-2</v>
      </c>
      <c r="CJ318" s="48">
        <f t="shared" si="1981"/>
        <v>4.6398269280661854E-2</v>
      </c>
      <c r="CK318" s="48">
        <f t="shared" si="1981"/>
        <v>4.0453224582359504E-2</v>
      </c>
      <c r="CL318" s="48">
        <f t="shared" si="1981"/>
        <v>4.908768319632343E-2</v>
      </c>
      <c r="CM318" s="50">
        <f t="shared" si="1981"/>
        <v>4.3884343979663246E-2</v>
      </c>
      <c r="CN318" s="50">
        <f t="shared" si="1981"/>
        <v>3.1390987810901959E-2</v>
      </c>
      <c r="CO318" s="50">
        <f t="shared" si="1981"/>
        <v>2.6397262081891113E-2</v>
      </c>
      <c r="CP318" s="50">
        <f t="shared" si="1981"/>
        <v>2.4285638826904401E-2</v>
      </c>
      <c r="CQ318" s="50">
        <f>CQ376/CQ261*CQ$5</f>
        <v>2.560129507103185E-2</v>
      </c>
      <c r="CR318" s="50">
        <f t="shared" si="1981"/>
        <v>1.7942401379270171E-2</v>
      </c>
      <c r="CS318" s="50">
        <f>CS376/CS261*CS$5</f>
        <v>1.8187532646868419E-2</v>
      </c>
      <c r="CT318" s="50">
        <f>CT376/CT261*CT$5</f>
        <v>1.8517608145287578E-2</v>
      </c>
      <c r="CU318" s="50">
        <f t="shared" ref="CU318:CV318" si="1999">CU376/CU261*CU$5</f>
        <v>7.1842856079397726E-3</v>
      </c>
      <c r="CV318" s="50">
        <f t="shared" si="1999"/>
        <v>5.2907990056118466E-4</v>
      </c>
      <c r="CW318" s="48"/>
      <c r="CX318" s="48"/>
      <c r="CY318" s="50"/>
      <c r="CZ318" s="49"/>
      <c r="DA318" s="48"/>
      <c r="DB318" s="48"/>
      <c r="DC318" s="48"/>
      <c r="DD318" s="48"/>
      <c r="DE318" s="48"/>
      <c r="DF318" s="823"/>
      <c r="DG318" s="824"/>
      <c r="DH318" s="824"/>
      <c r="DI318" s="824"/>
    </row>
    <row r="319" spans="1:113" s="24" customFormat="1" outlineLevel="1">
      <c r="A319" s="1" t="s">
        <v>174</v>
      </c>
      <c r="B319" s="24" t="s">
        <v>579</v>
      </c>
      <c r="C319" s="562">
        <f>C$318-((C379-C381)*C$5/C262)</f>
        <v>7.4077064435832674E-3</v>
      </c>
      <c r="D319" s="562">
        <f t="shared" ref="D319:L319" si="2000">D$318-((D379-D381)*D$5/D262)</f>
        <v>9.5237681304156593E-3</v>
      </c>
      <c r="E319" s="562">
        <f t="shared" si="2000"/>
        <v>1.4829284964585486E-2</v>
      </c>
      <c r="F319" s="562">
        <f t="shared" si="2000"/>
        <v>1.4134267393967372E-2</v>
      </c>
      <c r="G319" s="562">
        <f t="shared" si="2000"/>
        <v>1.3351431323563236E-2</v>
      </c>
      <c r="H319" s="562">
        <f t="shared" si="2000"/>
        <v>1.6053412418863378E-2</v>
      </c>
      <c r="I319" s="562">
        <f t="shared" si="2000"/>
        <v>1.6910949008165269E-2</v>
      </c>
      <c r="J319" s="562">
        <f t="shared" si="2000"/>
        <v>1.3104602670009714E-2</v>
      </c>
      <c r="K319" s="562">
        <f t="shared" si="2000"/>
        <v>1.3467372041794858E-2</v>
      </c>
      <c r="L319" s="562">
        <f t="shared" si="2000"/>
        <v>1.1742638512179722E-2</v>
      </c>
      <c r="M319" s="92">
        <f t="shared" ref="M319:X319" si="2001">M$318-((M379-M381)*M$5/M262)</f>
        <v>1.7169562620724929E-2</v>
      </c>
      <c r="N319" s="92">
        <f t="shared" si="2001"/>
        <v>1.2230755413677387E-2</v>
      </c>
      <c r="O319" s="92">
        <f t="shared" si="2001"/>
        <v>1.5005939841121967E-2</v>
      </c>
      <c r="P319" s="92">
        <f t="shared" si="2001"/>
        <v>2.5372102908310448E-2</v>
      </c>
      <c r="Q319" s="92">
        <f t="shared" si="2001"/>
        <v>2.1214547143026313E-2</v>
      </c>
      <c r="R319" s="92">
        <f t="shared" si="2001"/>
        <v>8.9209367954547966E-3</v>
      </c>
      <c r="S319" s="92">
        <f t="shared" si="2001"/>
        <v>-2.4716421306275257E-3</v>
      </c>
      <c r="T319" s="92">
        <f t="shared" si="2001"/>
        <v>3.4216997963775614E-3</v>
      </c>
      <c r="U319" s="92">
        <f t="shared" si="2001"/>
        <v>5.6194019047440535E-3</v>
      </c>
      <c r="V319" s="92">
        <f t="shared" si="2001"/>
        <v>7.3248458607276593E-3</v>
      </c>
      <c r="W319" s="92">
        <f t="shared" si="2001"/>
        <v>7.6484157718222437E-3</v>
      </c>
      <c r="X319" s="92">
        <f t="shared" si="2001"/>
        <v>6.4125954720108194E-3</v>
      </c>
      <c r="Y319" s="170">
        <f t="shared" ref="Y319:AK319" si="2002">Y$318-((Y379-Y381)*Y$5/Y262)</f>
        <v>2.0918165988519852E-3</v>
      </c>
      <c r="Z319" s="170">
        <f t="shared" si="2002"/>
        <v>2.1608129790805924E-4</v>
      </c>
      <c r="AA319" s="496">
        <f t="shared" si="2002"/>
        <v>-8.8350723813221746E-4</v>
      </c>
      <c r="AB319" s="170">
        <f t="shared" si="2002"/>
        <v>-7.9668846904952517E-4</v>
      </c>
      <c r="AC319" s="170">
        <f t="shared" si="2002"/>
        <v>1.1235894658096421E-3</v>
      </c>
      <c r="AD319" s="170">
        <f t="shared" si="2002"/>
        <v>1.7236003021046942E-3</v>
      </c>
      <c r="AE319" s="170">
        <f t="shared" si="2002"/>
        <v>-9.0080220484338447E-5</v>
      </c>
      <c r="AF319" s="170">
        <f t="shared" si="2002"/>
        <v>5.0504576756134345E-4</v>
      </c>
      <c r="AG319" s="170">
        <f t="shared" si="2002"/>
        <v>6.4550425211333876E-4</v>
      </c>
      <c r="AH319" s="170">
        <f t="shared" si="2002"/>
        <v>-1.365427865203668E-3</v>
      </c>
      <c r="AI319" s="170">
        <f t="shared" si="2002"/>
        <v>-9.5529208616732669E-4</v>
      </c>
      <c r="AJ319" s="170">
        <f t="shared" si="2002"/>
        <v>-1.2700419675447175E-3</v>
      </c>
      <c r="AK319" s="170">
        <f t="shared" si="2002"/>
        <v>5.1329464031641195E-4</v>
      </c>
      <c r="AL319" s="170">
        <f t="shared" ref="AL319:AQ319" si="2003">AL$318-((AL379-AL381)*AL$5/AL262)</f>
        <v>7.1513460185862118E-4</v>
      </c>
      <c r="AM319" s="170">
        <f t="shared" si="2003"/>
        <v>-1.3612190797102387E-3</v>
      </c>
      <c r="AN319" s="170">
        <f t="shared" si="2003"/>
        <v>-5.2986133568466084E-3</v>
      </c>
      <c r="AO319" s="170">
        <f t="shared" si="2003"/>
        <v>-6.4406603325283512E-3</v>
      </c>
      <c r="AP319" s="170">
        <f t="shared" si="2003"/>
        <v>-6.1709660662252535E-3</v>
      </c>
      <c r="AQ319" s="170">
        <f t="shared" si="2003"/>
        <v>-4.8109368129066092E-3</v>
      </c>
      <c r="AR319" s="92">
        <f t="shared" ref="AR319:AX319" si="2004">AR323-AR296</f>
        <v>-3.9836877633198063E-3</v>
      </c>
      <c r="AS319" s="92">
        <f t="shared" si="2004"/>
        <v>7.5165637660009124E-4</v>
      </c>
      <c r="AT319" s="92">
        <f t="shared" si="2004"/>
        <v>1.293994848133365E-2</v>
      </c>
      <c r="AU319" s="92">
        <f t="shared" si="2004"/>
        <v>1.3093596284055278E-2</v>
      </c>
      <c r="AV319" s="92">
        <f t="shared" si="2004"/>
        <v>1.0895332925983461E-2</v>
      </c>
      <c r="AW319" s="92">
        <f t="shared" si="2004"/>
        <v>8.6323227335350187E-3</v>
      </c>
      <c r="AX319" s="170">
        <f t="shared" si="2004"/>
        <v>8.063537747974709E-3</v>
      </c>
      <c r="AY319" s="170">
        <f>AY323-AY296</f>
        <v>7.1390393217193905E-3</v>
      </c>
      <c r="AZ319" s="94">
        <f t="shared" ref="AZ319:BQ319" si="2005">AZ323-AZ296</f>
        <v>4.4355975621875147E-3</v>
      </c>
      <c r="BA319" s="92">
        <f t="shared" si="2005"/>
        <v>4.6978158911144055E-3</v>
      </c>
      <c r="BB319" s="92">
        <f t="shared" si="2005"/>
        <v>5.1339458006177119E-3</v>
      </c>
      <c r="BC319" s="92">
        <f t="shared" si="2005"/>
        <v>5.234282369279095E-3</v>
      </c>
      <c r="BD319" s="92">
        <f t="shared" si="2005"/>
        <v>5.3200345231889084E-3</v>
      </c>
      <c r="BE319" s="92">
        <f t="shared" si="2005"/>
        <v>5.4074796885433679E-3</v>
      </c>
      <c r="BF319" s="92">
        <f t="shared" si="2005"/>
        <v>5.4864437656818883E-3</v>
      </c>
      <c r="BG319" s="92">
        <f t="shared" si="2005"/>
        <v>5.5540782958789694E-3</v>
      </c>
      <c r="BH319" s="92">
        <f t="shared" si="2005"/>
        <v>5.4920888053291237E-3</v>
      </c>
      <c r="BI319" s="92">
        <f t="shared" si="2005"/>
        <v>5.5483180581037128E-3</v>
      </c>
      <c r="BJ319" s="92">
        <f t="shared" si="2005"/>
        <v>5.5483180581037128E-3</v>
      </c>
      <c r="BK319" s="92">
        <f t="shared" si="2005"/>
        <v>5.5483180581037128E-3</v>
      </c>
      <c r="BL319" s="92">
        <f t="shared" si="2005"/>
        <v>5.5483180581037128E-3</v>
      </c>
      <c r="BM319" s="92">
        <f t="shared" si="2005"/>
        <v>5.5483180581037128E-3</v>
      </c>
      <c r="BN319" s="92">
        <f t="shared" si="2005"/>
        <v>5.5483180581037128E-3</v>
      </c>
      <c r="BO319" s="92">
        <f t="shared" si="2005"/>
        <v>5.5483180581037128E-3</v>
      </c>
      <c r="BP319" s="92">
        <f t="shared" si="2005"/>
        <v>5.5483180581037128E-3</v>
      </c>
      <c r="BQ319" s="92">
        <f t="shared" si="2005"/>
        <v>5.5483180581037128E-3</v>
      </c>
      <c r="BR319" s="92"/>
      <c r="BS319" s="562">
        <f t="shared" ref="BS319:CB319" si="2006">BS$318-((BS379-BS381)*BS$5/BS262)</f>
        <v>1.3928053501675738E-2</v>
      </c>
      <c r="BT319" s="562">
        <f t="shared" si="2006"/>
        <v>7.4771781736383131E-3</v>
      </c>
      <c r="BU319" s="562">
        <f t="shared" si="2006"/>
        <v>7.7950603680019409E-3</v>
      </c>
      <c r="BV319" s="562">
        <f t="shared" si="2006"/>
        <v>2.8882398165967813E-2</v>
      </c>
      <c r="BW319" s="562">
        <f t="shared" si="2006"/>
        <v>2.4914071041435976E-2</v>
      </c>
      <c r="BX319" s="562">
        <f t="shared" si="2006"/>
        <v>1.430358429784151E-2</v>
      </c>
      <c r="BY319" s="562">
        <f t="shared" si="2006"/>
        <v>8.6019761293006439E-3</v>
      </c>
      <c r="BZ319" s="562">
        <f t="shared" si="2006"/>
        <v>1.2433497547496723E-2</v>
      </c>
      <c r="CA319" s="562">
        <f t="shared" si="2006"/>
        <v>1.6425488215287193E-2</v>
      </c>
      <c r="CB319" s="562">
        <f t="shared" si="2006"/>
        <v>1.190598887585604E-2</v>
      </c>
      <c r="CC319" s="92">
        <f t="shared" si="1981"/>
        <v>1.2189659440885204E-2</v>
      </c>
      <c r="CD319" s="92">
        <f t="shared" si="1981"/>
        <v>1.3730879006311055E-2</v>
      </c>
      <c r="CE319" s="92">
        <f t="shared" si="1981"/>
        <v>1.6491346184173493E-2</v>
      </c>
      <c r="CF319" s="92">
        <f>CF377/CF262*CF$5</f>
        <v>1.3283480730338228E-2</v>
      </c>
      <c r="CG319" s="92">
        <f t="shared" si="1981"/>
        <v>1.4515196376698979E-2</v>
      </c>
      <c r="CH319" s="92">
        <f t="shared" si="1981"/>
        <v>1.3396284883103921E-2</v>
      </c>
      <c r="CI319" s="92">
        <f t="shared" si="1981"/>
        <v>2.3232033388207493E-2</v>
      </c>
      <c r="CJ319" s="92">
        <f t="shared" si="1981"/>
        <v>3.1213448863266322E-3</v>
      </c>
      <c r="CK319" s="92">
        <f>CK377/CK262*CK$5</f>
        <v>4.5223995111283843E-3</v>
      </c>
      <c r="CL319" s="92">
        <f t="shared" si="1981"/>
        <v>7.4855099807152594E-3</v>
      </c>
      <c r="CM319" s="170">
        <f t="shared" si="1981"/>
        <v>4.2405993360793617E-3</v>
      </c>
      <c r="CN319" s="170">
        <f t="shared" si="1981"/>
        <v>-3.327928168274453E-4</v>
      </c>
      <c r="CO319" s="170">
        <f t="shared" si="1981"/>
        <v>1.7650817582671281E-4</v>
      </c>
      <c r="CP319" s="170">
        <f t="shared" si="1981"/>
        <v>8.0413436884660264E-4</v>
      </c>
      <c r="CQ319" s="170">
        <f t="shared" si="1981"/>
        <v>5.7575606008314361E-4</v>
      </c>
      <c r="CR319" s="170">
        <f t="shared" si="1981"/>
        <v>-1.1591525248794649E-3</v>
      </c>
      <c r="CS319" s="170">
        <f t="shared" si="1982"/>
        <v>-3.8281729211188967E-4</v>
      </c>
      <c r="CT319" s="170">
        <f t="shared" si="1982"/>
        <v>-3.1512664984967986E-4</v>
      </c>
      <c r="CU319" s="170">
        <f t="shared" si="1982"/>
        <v>-5.8764709046294997E-3</v>
      </c>
      <c r="CV319" s="170">
        <f t="shared" si="1982"/>
        <v>-5.4907592093795228E-3</v>
      </c>
      <c r="CW319" s="92">
        <f t="shared" ref="CW319:CY319" si="2007">CW323-CW296</f>
        <v>1.0755592303263058E-2</v>
      </c>
      <c r="CX319" s="92">
        <f t="shared" si="2007"/>
        <v>1.0564873027558361E-2</v>
      </c>
      <c r="CY319" s="170">
        <f t="shared" si="2007"/>
        <v>7.8696107083963268E-3</v>
      </c>
      <c r="CZ319" s="94">
        <f>CZ323-CZ296</f>
        <v>7.5984838704494448E-3</v>
      </c>
      <c r="DA319" s="92">
        <f t="shared" ref="DA319:DI319" si="2008">DA323-DA296</f>
        <v>4.5630052445622578E-3</v>
      </c>
      <c r="DB319" s="92">
        <f t="shared" si="2008"/>
        <v>5.1817349903102439E-3</v>
      </c>
      <c r="DC319" s="92">
        <f t="shared" si="2008"/>
        <v>5.3624465865879586E-3</v>
      </c>
      <c r="DD319" s="92">
        <f t="shared" si="2008"/>
        <v>5.5185449818239123E-3</v>
      </c>
      <c r="DE319" s="92">
        <f t="shared" si="2008"/>
        <v>5.5187703388055245E-3</v>
      </c>
      <c r="DF319" s="820">
        <f t="shared" si="2008"/>
        <v>5.5483180581037111E-3</v>
      </c>
      <c r="DG319" s="820">
        <f t="shared" si="2008"/>
        <v>5.5483180581037111E-3</v>
      </c>
      <c r="DH319" s="820">
        <f t="shared" si="2008"/>
        <v>5.5483180581037111E-3</v>
      </c>
      <c r="DI319" s="820">
        <f t="shared" si="2008"/>
        <v>5.5483180581037111E-3</v>
      </c>
    </row>
    <row r="320" spans="1:113" outlineLevel="1">
      <c r="C320" s="235"/>
      <c r="D320" s="235"/>
      <c r="E320" s="235"/>
      <c r="F320" s="235"/>
      <c r="G320" s="235"/>
      <c r="H320" s="235"/>
      <c r="I320" s="235"/>
      <c r="J320" s="235"/>
      <c r="K320" s="235"/>
      <c r="L320" s="235"/>
      <c r="M320" s="48"/>
      <c r="N320" s="48"/>
      <c r="O320" s="48"/>
      <c r="P320" s="48"/>
      <c r="Q320" s="48"/>
      <c r="R320" s="48"/>
      <c r="S320" s="48"/>
      <c r="T320" s="48"/>
      <c r="U320" s="48"/>
      <c r="V320" s="48"/>
      <c r="W320" s="48"/>
      <c r="X320" s="48"/>
      <c r="Y320" s="50"/>
      <c r="Z320" s="50"/>
      <c r="AA320" s="385"/>
      <c r="AB320" s="50"/>
      <c r="AC320" s="50"/>
      <c r="AD320" s="50"/>
      <c r="AE320" s="50"/>
      <c r="AF320" s="50"/>
      <c r="AG320" s="50"/>
      <c r="AH320" s="50"/>
      <c r="AI320" s="50"/>
      <c r="AJ320" s="50"/>
      <c r="AK320" s="50"/>
      <c r="AL320" s="50"/>
      <c r="AM320" s="50"/>
      <c r="AN320" s="50"/>
      <c r="AO320" s="50"/>
      <c r="AP320" s="50"/>
      <c r="AQ320" s="50"/>
      <c r="AR320" s="50"/>
      <c r="AS320" s="50"/>
      <c r="AT320" s="50"/>
      <c r="AU320" s="50"/>
      <c r="AV320" s="50"/>
      <c r="AW320" s="50"/>
      <c r="AX320" s="50"/>
      <c r="AY320" s="50"/>
      <c r="AZ320" s="49"/>
      <c r="BA320" s="48"/>
      <c r="BB320" s="48"/>
      <c r="BC320" s="48"/>
      <c r="BD320" s="48"/>
      <c r="BE320" s="48"/>
      <c r="BF320" s="48"/>
      <c r="BG320" s="48"/>
      <c r="BH320" s="48"/>
      <c r="BI320" s="48"/>
      <c r="BJ320" s="48"/>
      <c r="BK320" s="48"/>
      <c r="BL320" s="235"/>
      <c r="BM320" s="235"/>
      <c r="BN320" s="235"/>
      <c r="BO320" s="235"/>
      <c r="BP320" s="235"/>
      <c r="BQ320" s="235"/>
      <c r="BR320" s="48"/>
      <c r="BS320" s="235"/>
      <c r="BT320" s="235"/>
      <c r="BU320" s="235"/>
      <c r="BV320" s="235"/>
      <c r="BW320" s="235"/>
      <c r="BX320" s="235"/>
      <c r="BY320" s="235"/>
      <c r="BZ320" s="235"/>
      <c r="CA320" s="235"/>
      <c r="CB320" s="235"/>
      <c r="CC320" s="48"/>
      <c r="CD320" s="48"/>
      <c r="CE320" s="48"/>
      <c r="CF320" s="48"/>
      <c r="CG320" s="48"/>
      <c r="CH320" s="48"/>
      <c r="CI320" s="48"/>
      <c r="CJ320" s="48"/>
      <c r="CK320" s="48"/>
      <c r="CL320" s="48"/>
      <c r="CM320" s="50"/>
      <c r="CN320" s="50"/>
      <c r="CO320" s="50"/>
      <c r="CP320" s="50"/>
      <c r="CQ320" s="50"/>
      <c r="CR320" s="50"/>
      <c r="CS320" s="50"/>
      <c r="CT320" s="50"/>
      <c r="CU320" s="48"/>
      <c r="CV320" s="48"/>
      <c r="CW320" s="48"/>
      <c r="CX320" s="48"/>
      <c r="CY320" s="50"/>
      <c r="CZ320" s="49"/>
      <c r="DA320" s="48"/>
      <c r="DB320" s="48"/>
      <c r="DC320" s="48"/>
      <c r="DD320" s="48"/>
      <c r="DE320" s="48"/>
      <c r="DF320" s="823"/>
      <c r="DG320" s="824"/>
      <c r="DH320" s="824"/>
      <c r="DI320" s="824"/>
    </row>
    <row r="321" spans="1:113" outlineLevel="1">
      <c r="A321" s="1" t="s">
        <v>925</v>
      </c>
      <c r="B321" s="19" t="s">
        <v>582</v>
      </c>
      <c r="C321" s="235">
        <f>(C296+C318)</f>
        <v>7.2534125017252191E-2</v>
      </c>
      <c r="D321" s="235">
        <f>(D296+D318)</f>
        <v>6.3311944671456413E-2</v>
      </c>
      <c r="E321" s="235">
        <f>(E296+E318)</f>
        <v>5.925618972603728E-2</v>
      </c>
      <c r="F321" s="235">
        <f t="shared" ref="F321:L321" si="2009">(F296+F318)</f>
        <v>6.1344174788881586E-2</v>
      </c>
      <c r="G321" s="235">
        <f t="shared" si="2009"/>
        <v>6.1247043525117416E-2</v>
      </c>
      <c r="H321" s="235">
        <f t="shared" si="2009"/>
        <v>6.0757540969339038E-2</v>
      </c>
      <c r="I321" s="235">
        <f t="shared" si="2009"/>
        <v>6.3211226674824109E-2</v>
      </c>
      <c r="J321" s="235">
        <f t="shared" si="2009"/>
        <v>6.5128295784244394E-2</v>
      </c>
      <c r="K321" s="235">
        <f t="shared" si="2009"/>
        <v>6.7340787733413787E-2</v>
      </c>
      <c r="L321" s="235">
        <f t="shared" si="2009"/>
        <v>6.8975830665960178E-2</v>
      </c>
      <c r="M321" s="48">
        <f t="shared" ref="M321:AB321" si="2010">(M296+M318)</f>
        <v>6.9336708728458846E-2</v>
      </c>
      <c r="N321" s="48">
        <f t="shared" si="2010"/>
        <v>7.2026247484078626E-2</v>
      </c>
      <c r="O321" s="48">
        <f t="shared" si="2010"/>
        <v>6.9135748500927033E-2</v>
      </c>
      <c r="P321" s="48">
        <f t="shared" si="2010"/>
        <v>7.1159134741706459E-2</v>
      </c>
      <c r="Q321" s="48">
        <f t="shared" si="2010"/>
        <v>7.5222971724196563E-2</v>
      </c>
      <c r="R321" s="48">
        <f t="shared" si="2010"/>
        <v>7.3497875148101716E-2</v>
      </c>
      <c r="S321" s="48">
        <f t="shared" si="2010"/>
        <v>5.614753024217619E-2</v>
      </c>
      <c r="T321" s="48">
        <f t="shared" si="2010"/>
        <v>5.4289557290891126E-2</v>
      </c>
      <c r="U321" s="48">
        <f t="shared" si="2010"/>
        <v>5.9892128713284656E-2</v>
      </c>
      <c r="V321" s="48">
        <f t="shared" si="2010"/>
        <v>6.2029193981095035E-2</v>
      </c>
      <c r="W321" s="48">
        <f t="shared" si="2010"/>
        <v>6.3539011622611205E-2</v>
      </c>
      <c r="X321" s="48">
        <f t="shared" si="2010"/>
        <v>6.2238363542527091E-2</v>
      </c>
      <c r="Y321" s="50">
        <f>(Y296+Y318)</f>
        <v>5.9427998695641145E-2</v>
      </c>
      <c r="Z321" s="50">
        <f>(Z296+Z318)</f>
        <v>5.4355107122613711E-2</v>
      </c>
      <c r="AA321" s="385">
        <f>(AA296+AA318)</f>
        <v>5.1981234122868869E-2</v>
      </c>
      <c r="AB321" s="50">
        <f t="shared" si="2010"/>
        <v>4.8374618001342962E-2</v>
      </c>
      <c r="AC321" s="50">
        <f t="shared" ref="AC321:AK321" si="2011">(AC296+AC318)</f>
        <v>4.7009367477659124E-2</v>
      </c>
      <c r="AD321" s="50">
        <f t="shared" si="2011"/>
        <v>4.6413206094173966E-2</v>
      </c>
      <c r="AE321" s="50">
        <f t="shared" si="2011"/>
        <v>4.3932921317289195E-2</v>
      </c>
      <c r="AF321" s="50">
        <f t="shared" si="2011"/>
        <v>4.2899262259061668E-2</v>
      </c>
      <c r="AG321" s="50">
        <f t="shared" si="2011"/>
        <v>4.2650467417983805E-2</v>
      </c>
      <c r="AH321" s="50">
        <f t="shared" si="2011"/>
        <v>4.019171029945906E-2</v>
      </c>
      <c r="AI321" s="50">
        <f t="shared" si="2011"/>
        <v>3.9589810986813793E-2</v>
      </c>
      <c r="AJ321" s="50">
        <f t="shared" si="2011"/>
        <v>4.0024655851522331E-2</v>
      </c>
      <c r="AK321" s="50">
        <f t="shared" si="2011"/>
        <v>4.0171492795697442E-2</v>
      </c>
      <c r="AL321" s="50">
        <f t="shared" ref="AL321:AQ321" si="2012">(AL296+AL318)</f>
        <v>3.9894684515518482E-2</v>
      </c>
      <c r="AM321" s="50">
        <f t="shared" si="2012"/>
        <v>3.9619613356198458E-2</v>
      </c>
      <c r="AN321" s="50">
        <f t="shared" si="2012"/>
        <v>3.5968332384241623E-2</v>
      </c>
      <c r="AO321" s="50">
        <f t="shared" si="2012"/>
        <v>3.1307632003692513E-2</v>
      </c>
      <c r="AP321" s="50">
        <f t="shared" si="2012"/>
        <v>2.7481713129895474E-2</v>
      </c>
      <c r="AQ321" s="50">
        <f t="shared" si="2012"/>
        <v>2.6057311247724271E-2</v>
      </c>
      <c r="AR321" s="48">
        <f t="shared" ref="AR321:AX321" si="2013">AQ321+(AR80-AQ80)+(AR296-AQ296)</f>
        <v>2.361181676910808E-2</v>
      </c>
      <c r="AS321" s="48">
        <f t="shared" si="2013"/>
        <v>2.3700094216022666E-2</v>
      </c>
      <c r="AT321" s="48">
        <f t="shared" si="2013"/>
        <v>3.5390065129231416E-2</v>
      </c>
      <c r="AU321" s="48">
        <f t="shared" si="2013"/>
        <v>4.4636458053045718E-2</v>
      </c>
      <c r="AV321" s="48">
        <f t="shared" si="2013"/>
        <v>5.164760826742279E-2</v>
      </c>
      <c r="AW321" s="48">
        <f t="shared" si="2013"/>
        <v>5.5046975389256556E-2</v>
      </c>
      <c r="AX321" s="50">
        <f t="shared" si="2013"/>
        <v>5.7078497419133886E-2</v>
      </c>
      <c r="AY321" s="50">
        <f>AX321+(AY80-AX80)+(AY296-AX296)</f>
        <v>5.5804097006323404E-2</v>
      </c>
      <c r="AZ321" s="49">
        <f t="shared" ref="AZ321:BI321" si="2014">AY321+(AZ80-AY80)+(AZ296-AY296)</f>
        <v>5.2100088351832934E-2</v>
      </c>
      <c r="BA321" s="48">
        <f t="shared" si="2014"/>
        <v>5.6662163707117505E-2</v>
      </c>
      <c r="BB321" s="48">
        <f t="shared" si="2014"/>
        <v>5.8572848572568142E-2</v>
      </c>
      <c r="BC321" s="48">
        <f t="shared" si="2014"/>
        <v>5.4833063228676863E-2</v>
      </c>
      <c r="BD321" s="48">
        <f t="shared" si="2014"/>
        <v>5.3406064548708679E-2</v>
      </c>
      <c r="BE321" s="48">
        <f t="shared" si="2014"/>
        <v>5.3292247529385994E-2</v>
      </c>
      <c r="BF321" s="48">
        <f t="shared" si="2014"/>
        <v>5.317771515494471E-2</v>
      </c>
      <c r="BG321" s="48">
        <f t="shared" si="2014"/>
        <v>5.3062193490115095E-2</v>
      </c>
      <c r="BH321" s="48">
        <f t="shared" si="2014"/>
        <v>5.2946150999905225E-2</v>
      </c>
      <c r="BI321" s="48">
        <f t="shared" si="2014"/>
        <v>5.2829235310639829E-2</v>
      </c>
      <c r="BJ321" s="48">
        <f t="shared" ref="BJ321" si="2015">BI321+(BJ80-BI80)</f>
        <v>5.2829235310639829E-2</v>
      </c>
      <c r="BK321" s="48">
        <f t="shared" ref="BK321" si="2016">BJ321+(BK80-BJ80)</f>
        <v>5.2829235310639829E-2</v>
      </c>
      <c r="BL321" s="48">
        <f t="shared" ref="BL321" si="2017">BK321+(BL80-BK80)</f>
        <v>5.2829235310639829E-2</v>
      </c>
      <c r="BM321" s="48">
        <f t="shared" ref="BM321" si="2018">BL321+(BM80-BL80)</f>
        <v>5.2829235310639829E-2</v>
      </c>
      <c r="BN321" s="48">
        <f t="shared" ref="BN321" si="2019">BM321+(BN80-BM80)</f>
        <v>5.2829235310639829E-2</v>
      </c>
      <c r="BO321" s="48">
        <f t="shared" ref="BO321" si="2020">BN321+(BO80-BN80)</f>
        <v>5.2829235310639829E-2</v>
      </c>
      <c r="BP321" s="48">
        <f t="shared" ref="BP321" si="2021">BO321+(BP80-BO80)</f>
        <v>5.2829235310639829E-2</v>
      </c>
      <c r="BQ321" s="48">
        <f t="shared" ref="BQ321" si="2022">BP321+(BQ80-BP80)</f>
        <v>5.2829235310639829E-2</v>
      </c>
      <c r="BR321" s="48"/>
      <c r="BS321" s="235">
        <f t="shared" ref="BS321:CB321" si="2023">(BS296+BS318)</f>
        <v>0.11167061364085411</v>
      </c>
      <c r="BT321" s="235">
        <f t="shared" si="2023"/>
        <v>9.004590624399561E-2</v>
      </c>
      <c r="BU321" s="235">
        <f t="shared" si="2023"/>
        <v>7.9376931033421513E-2</v>
      </c>
      <c r="BV321" s="235">
        <f t="shared" si="2023"/>
        <v>8.373586877557003E-2</v>
      </c>
      <c r="BW321" s="235">
        <f t="shared" si="2023"/>
        <v>8.9935310915554526E-2</v>
      </c>
      <c r="BX321" s="235">
        <f t="shared" si="2023"/>
        <v>8.3077691003816442E-2</v>
      </c>
      <c r="BY321" s="235">
        <f t="shared" si="2023"/>
        <v>7.443840845690794E-2</v>
      </c>
      <c r="BZ321" s="235">
        <f t="shared" si="2023"/>
        <v>6.7777476350080079E-2</v>
      </c>
      <c r="CA321" s="235">
        <f t="shared" si="2023"/>
        <v>6.8456136819367769E-2</v>
      </c>
      <c r="CB321" s="235">
        <f t="shared" si="2023"/>
        <v>7.40939062431899E-2</v>
      </c>
      <c r="CC321" s="48">
        <f t="shared" ref="CC321:CO321" si="2024">(CC296+CC318)</f>
        <v>6.1256760483430678E-2</v>
      </c>
      <c r="CD321" s="48">
        <f t="shared" si="2024"/>
        <v>6.103218280650935E-2</v>
      </c>
      <c r="CE321" s="48">
        <f t="shared" si="2024"/>
        <v>6.206446498101309E-2</v>
      </c>
      <c r="CF321" s="48">
        <f t="shared" si="2024"/>
        <v>6.6248536270876665E-2</v>
      </c>
      <c r="CG321" s="48">
        <f t="shared" si="2024"/>
        <v>6.8199835279216608E-2</v>
      </c>
      <c r="CH321" s="48">
        <f t="shared" si="2024"/>
        <v>6.9045172828912885E-2</v>
      </c>
      <c r="CI321" s="48">
        <f t="shared" si="2024"/>
        <v>7.3328206964604584E-2</v>
      </c>
      <c r="CJ321" s="48">
        <f t="shared" si="2024"/>
        <v>6.3638167349793578E-2</v>
      </c>
      <c r="CK321" s="48">
        <f t="shared" si="2024"/>
        <v>5.6947219558943218E-2</v>
      </c>
      <c r="CL321" s="48">
        <f t="shared" si="2024"/>
        <v>6.276868309331278E-2</v>
      </c>
      <c r="CM321" s="50">
        <f t="shared" si="2024"/>
        <v>6.0538318914846498E-2</v>
      </c>
      <c r="CN321" s="50">
        <f t="shared" si="2024"/>
        <v>5.305672230636755E-2</v>
      </c>
      <c r="CO321" s="50">
        <f t="shared" si="2024"/>
        <v>4.7615169043630307E-2</v>
      </c>
      <c r="CP321" s="50">
        <f t="shared" ref="CP321:CT321" si="2025">(CP296+CP318)</f>
        <v>4.4420234825104071E-2</v>
      </c>
      <c r="CQ321" s="50">
        <f t="shared" si="2025"/>
        <v>4.6446087559132605E-2</v>
      </c>
      <c r="CR321" s="50">
        <f t="shared" si="2025"/>
        <v>4.0106871721292923E-2</v>
      </c>
      <c r="CS321" s="50">
        <f t="shared" si="2025"/>
        <v>4.0041464254929479E-2</v>
      </c>
      <c r="CT321" s="50">
        <f t="shared" si="2025"/>
        <v>3.9745775379564023E-2</v>
      </c>
      <c r="CU321" s="48">
        <f>AVERAGE(AN321:AO321)</f>
        <v>3.3637982193967068E-2</v>
      </c>
      <c r="CV321" s="48">
        <f>AVERAGE(AP321:AQ321)</f>
        <v>2.6769512188809873E-2</v>
      </c>
      <c r="CW321" s="48">
        <f t="shared" ref="CW321:CY321" si="2026">AVERAGE(AU321:AV321)</f>
        <v>4.8142033160234257E-2</v>
      </c>
      <c r="CX321" s="48">
        <f t="shared" si="2026"/>
        <v>5.3347291828339673E-2</v>
      </c>
      <c r="CY321" s="50">
        <f t="shared" si="2026"/>
        <v>5.6062736404195221E-2</v>
      </c>
      <c r="CZ321" s="49">
        <f>AVERAGE(AX321:AY321)</f>
        <v>5.6441297212728642E-2</v>
      </c>
      <c r="DA321" s="48">
        <f>AVERAGE(AZ321:BA321)</f>
        <v>5.4381126029475216E-2</v>
      </c>
      <c r="DB321" s="48">
        <f>AVERAGE(BB321:BC321)</f>
        <v>5.6702955900622506E-2</v>
      </c>
      <c r="DC321" s="48">
        <f>AVERAGE(BD321:BE321)</f>
        <v>5.3349156039047337E-2</v>
      </c>
      <c r="DD321" s="48">
        <f>AVERAGE(BF321:BG321)</f>
        <v>5.3119954322529903E-2</v>
      </c>
      <c r="DE321" s="48">
        <f>AVERAGE(BH321:BI321)</f>
        <v>5.288769315527253E-2</v>
      </c>
      <c r="DF321" s="823">
        <f>AVERAGE(BJ321:BK321)</f>
        <v>5.2829235310639829E-2</v>
      </c>
      <c r="DG321" s="823">
        <f>AVERAGE(BL321:BM321)</f>
        <v>5.2829235310639829E-2</v>
      </c>
      <c r="DH321" s="823">
        <f>AVERAGE(BN321:BO321)</f>
        <v>5.2829235310639829E-2</v>
      </c>
      <c r="DI321" s="823">
        <f>AVERAGE(BP321:BQ321)</f>
        <v>5.2829235310639829E-2</v>
      </c>
    </row>
    <row r="322" spans="1:113" outlineLevel="1">
      <c r="A322" s="1" t="s">
        <v>926</v>
      </c>
      <c r="B322" s="19" t="s">
        <v>481</v>
      </c>
      <c r="C322" s="235">
        <f>-(C318-C319)</f>
        <v>-4.4722793556416729E-2</v>
      </c>
      <c r="D322" s="235">
        <f>-(D318-D319)</f>
        <v>-3.5612231869584343E-2</v>
      </c>
      <c r="E322" s="235">
        <f>-(E318-E319)</f>
        <v>-3.174854836874786E-2</v>
      </c>
      <c r="F322" s="235">
        <f t="shared" ref="F322:L322" si="2027">-(F318-F319)</f>
        <v>-3.4840899272699302E-2</v>
      </c>
      <c r="G322" s="235">
        <f t="shared" si="2027"/>
        <v>-3.4365235343103429E-2</v>
      </c>
      <c r="H322" s="235">
        <f t="shared" si="2027"/>
        <v>-3.4754754247803298E-2</v>
      </c>
      <c r="I322" s="235">
        <f t="shared" si="2027"/>
        <v>-3.8639050991834727E-2</v>
      </c>
      <c r="J322" s="235">
        <f t="shared" si="2027"/>
        <v>-4.1312063996656948E-2</v>
      </c>
      <c r="K322" s="235">
        <f t="shared" si="2027"/>
        <v>-4.3571627958205149E-2</v>
      </c>
      <c r="L322" s="235">
        <f t="shared" si="2027"/>
        <v>-4.568092209388086E-2</v>
      </c>
      <c r="M322" s="48">
        <f t="shared" ref="M322:AB322" si="2028">-(M318-M319)</f>
        <v>-4.7007821994659693E-2</v>
      </c>
      <c r="N322" s="48">
        <f t="shared" si="2028"/>
        <v>-5.0321840006169939E-2</v>
      </c>
      <c r="O322" s="48">
        <f t="shared" si="2028"/>
        <v>-4.9171444774262656E-2</v>
      </c>
      <c r="P322" s="48">
        <f t="shared" si="2028"/>
        <v>-5.1026381940174392E-2</v>
      </c>
      <c r="Q322" s="48">
        <f t="shared" si="2028"/>
        <v>-5.5712606703127526E-2</v>
      </c>
      <c r="R322" s="48">
        <f t="shared" si="2028"/>
        <v>-5.3863608659090657E-2</v>
      </c>
      <c r="S322" s="48">
        <f t="shared" si="2028"/>
        <v>-3.5085208022100391E-2</v>
      </c>
      <c r="T322" s="48">
        <f t="shared" si="2028"/>
        <v>-3.2783754749076972E-2</v>
      </c>
      <c r="U322" s="48">
        <f t="shared" si="2028"/>
        <v>-3.9363543831690072E-2</v>
      </c>
      <c r="V322" s="48">
        <f t="shared" si="2028"/>
        <v>-4.1406214745332938E-2</v>
      </c>
      <c r="W322" s="48">
        <f t="shared" si="2028"/>
        <v>-4.1822126863836663E-2</v>
      </c>
      <c r="X322" s="48">
        <f t="shared" si="2028"/>
        <v>-4.1021755673027356E-2</v>
      </c>
      <c r="Y322" s="50">
        <f>-(Y318-Y319)</f>
        <v>-3.8852029554994137E-2</v>
      </c>
      <c r="Z322" s="50">
        <f>-(Z318-Z319)</f>
        <v>-3.3393842366214066E-2</v>
      </c>
      <c r="AA322" s="385">
        <f>-(AA318-AA319)</f>
        <v>-3.0275390959062419E-2</v>
      </c>
      <c r="AB322" s="50">
        <f t="shared" si="2028"/>
        <v>-2.6976991499352527E-2</v>
      </c>
      <c r="AC322" s="50">
        <f t="shared" ref="AC322:AK322" si="2029">-(AC318-AC319)</f>
        <v>-2.5618077200857025E-2</v>
      </c>
      <c r="AD322" s="50">
        <f t="shared" si="2029"/>
        <v>-2.521237697062257E-2</v>
      </c>
      <c r="AE322" s="50">
        <f t="shared" si="2029"/>
        <v>-2.3249087972422301E-2</v>
      </c>
      <c r="AF322" s="50">
        <f t="shared" si="2029"/>
        <v>-2.1434348171832558E-2</v>
      </c>
      <c r="AG322" s="50">
        <f t="shared" si="2029"/>
        <v>-2.127372651711746E-2</v>
      </c>
      <c r="AH322" s="50">
        <f t="shared" si="2029"/>
        <v>-1.9199278258904467E-2</v>
      </c>
      <c r="AI322" s="50">
        <f t="shared" si="2029"/>
        <v>-1.8571792086167327E-2</v>
      </c>
      <c r="AJ322" s="50">
        <f t="shared" si="2029"/>
        <v>-1.8459657352160118E-2</v>
      </c>
      <c r="AK322" s="50">
        <f t="shared" si="2029"/>
        <v>-1.8795166898145088E-2</v>
      </c>
      <c r="AL322" s="50">
        <f t="shared" ref="AL322:AQ322" si="2030">-(AL318-AL319)</f>
        <v>-1.8970361581347489E-2</v>
      </c>
      <c r="AM322" s="50">
        <f t="shared" si="2030"/>
        <v>-1.8718017529322638E-2</v>
      </c>
      <c r="AN322" s="50">
        <f t="shared" si="2030"/>
        <v>-1.4878158811392058E-2</v>
      </c>
      <c r="AO322" s="50">
        <f t="shared" si="2030"/>
        <v>-1.0914506486374511E-2</v>
      </c>
      <c r="AP322" s="50">
        <f t="shared" si="2030"/>
        <v>-6.8478600056191916E-3</v>
      </c>
      <c r="AQ322" s="50">
        <f t="shared" si="2030"/>
        <v>-5.1744404625416445E-3</v>
      </c>
      <c r="AR322" s="48">
        <f t="shared" ref="AR322:AX322" si="2031">AR323-AR321</f>
        <v>-4.4295524249739412E-3</v>
      </c>
      <c r="AS322" s="48">
        <f t="shared" si="2031"/>
        <v>-4.9524599024696712E-3</v>
      </c>
      <c r="AT322" s="48">
        <f t="shared" si="2031"/>
        <v>-1.4404883579735062E-2</v>
      </c>
      <c r="AU322" s="48">
        <f t="shared" si="2031"/>
        <v>-2.4125242177483179E-2</v>
      </c>
      <c r="AV322" s="48">
        <f t="shared" si="2031"/>
        <v>-3.1761413227862745E-2</v>
      </c>
      <c r="AW322" s="48">
        <f t="shared" si="2031"/>
        <v>-3.5043269574157279E-2</v>
      </c>
      <c r="AX322" s="50">
        <f t="shared" si="2031"/>
        <v>-3.6236628918691949E-2</v>
      </c>
      <c r="AY322" s="50">
        <f>AY323-AY321</f>
        <v>-3.4999960678280609E-2</v>
      </c>
      <c r="AZ322" s="49">
        <f t="shared" ref="AZ322:BJ322" si="2032">AZ323-AZ321</f>
        <v>-3.1664735771145827E-2</v>
      </c>
      <c r="BA322" s="48">
        <f t="shared" si="2032"/>
        <v>-3.6302184108885582E-2</v>
      </c>
      <c r="BB322" s="48">
        <f t="shared" si="2032"/>
        <v>-3.8116054199382285E-2</v>
      </c>
      <c r="BC322" s="48">
        <f t="shared" si="2032"/>
        <v>-3.4515717630720914E-2</v>
      </c>
      <c r="BD322" s="48">
        <f t="shared" si="2032"/>
        <v>-3.3179965476811096E-2</v>
      </c>
      <c r="BE322" s="48">
        <f t="shared" si="2032"/>
        <v>-3.3092520311456639E-2</v>
      </c>
      <c r="BF322" s="48">
        <f t="shared" si="2032"/>
        <v>-3.301355623431812E-2</v>
      </c>
      <c r="BG322" s="48">
        <f t="shared" si="2032"/>
        <v>-3.2945921704121042E-2</v>
      </c>
      <c r="BH322" s="48">
        <f t="shared" si="2032"/>
        <v>-3.3007911194670878E-2</v>
      </c>
      <c r="BI322" s="48">
        <f t="shared" si="2032"/>
        <v>-3.2951681941896294E-2</v>
      </c>
      <c r="BJ322" s="48">
        <f t="shared" si="2032"/>
        <v>-3.305168194189629E-2</v>
      </c>
      <c r="BK322" s="48">
        <f t="shared" ref="BK322:BQ322" si="2033">BK323-BK321</f>
        <v>-3.3151681941896285E-2</v>
      </c>
      <c r="BL322" s="48">
        <f t="shared" si="2033"/>
        <v>-3.3251681941896288E-2</v>
      </c>
      <c r="BM322" s="48">
        <f t="shared" si="2033"/>
        <v>-3.3351681941896291E-2</v>
      </c>
      <c r="BN322" s="48">
        <f t="shared" si="2033"/>
        <v>-3.3451681941896287E-2</v>
      </c>
      <c r="BO322" s="48">
        <f t="shared" si="2033"/>
        <v>-3.3551681941896283E-2</v>
      </c>
      <c r="BP322" s="48">
        <f t="shared" si="2033"/>
        <v>-3.3651681941896286E-2</v>
      </c>
      <c r="BQ322" s="48">
        <f t="shared" si="2033"/>
        <v>-3.3751681941896289E-2</v>
      </c>
      <c r="BR322" s="48"/>
      <c r="BS322" s="235">
        <f t="shared" ref="BS322:CB322" si="2034">-(BS318-BS319)</f>
        <v>-6.6463613164990942E-2</v>
      </c>
      <c r="BT322" s="235">
        <f t="shared" si="2034"/>
        <v>-4.8839488493028355E-2</v>
      </c>
      <c r="BU322" s="235">
        <f t="shared" si="2034"/>
        <v>-4.1321606298664722E-2</v>
      </c>
      <c r="BV322" s="235">
        <f t="shared" si="2034"/>
        <v>-4.3410101834032197E-2</v>
      </c>
      <c r="BW322" s="235">
        <f t="shared" si="2034"/>
        <v>-5.0340928958564027E-2</v>
      </c>
      <c r="BX322" s="235">
        <f t="shared" si="2034"/>
        <v>-4.7804249035491832E-2</v>
      </c>
      <c r="BY322" s="235">
        <f t="shared" si="2034"/>
        <v>-4.1188273870699357E-2</v>
      </c>
      <c r="BZ322" s="235">
        <f t="shared" si="2034"/>
        <v>-3.6912252452503271E-2</v>
      </c>
      <c r="CA322" s="235">
        <f t="shared" si="2034"/>
        <v>-3.9663061403033377E-2</v>
      </c>
      <c r="CB322" s="235">
        <f t="shared" si="2034"/>
        <v>-4.6237088047220855E-2</v>
      </c>
      <c r="CC322" s="48">
        <f t="shared" ref="CC322:CO322" si="2035">-(CC318-CC319)</f>
        <v>-3.3660125226239797E-2</v>
      </c>
      <c r="CD322" s="48">
        <f t="shared" si="2035"/>
        <v>-3.4347334560482931E-2</v>
      </c>
      <c r="CE322" s="48">
        <f t="shared" si="2035"/>
        <v>-3.6818974689815702E-2</v>
      </c>
      <c r="CF322" s="48">
        <f>-(CF318-CF319)</f>
        <v>-4.2467029916060578E-2</v>
      </c>
      <c r="CG322" s="48">
        <f t="shared" si="2035"/>
        <v>-4.5398498142160057E-2</v>
      </c>
      <c r="CH322" s="48">
        <f t="shared" si="2035"/>
        <v>-4.8700269464312329E-2</v>
      </c>
      <c r="CI322" s="48">
        <f t="shared" si="2035"/>
        <v>-5.3515831935162891E-2</v>
      </c>
      <c r="CJ322" s="48">
        <f t="shared" si="2035"/>
        <v>-4.3276924394335219E-2</v>
      </c>
      <c r="CK322" s="48">
        <f>-(CK318-CK319)</f>
        <v>-3.5930825071231118E-2</v>
      </c>
      <c r="CL322" s="48">
        <f t="shared" si="2035"/>
        <v>-4.1602173215608169E-2</v>
      </c>
      <c r="CM322" s="50">
        <f t="shared" si="2035"/>
        <v>-3.9643744643583882E-2</v>
      </c>
      <c r="CN322" s="50">
        <f t="shared" si="2035"/>
        <v>-3.1723780627729403E-2</v>
      </c>
      <c r="CO322" s="50">
        <f t="shared" si="2035"/>
        <v>-2.62207539060644E-2</v>
      </c>
      <c r="CP322" s="50">
        <f t="shared" ref="CP322:CY322" si="2036">-(CP318-CP319)</f>
        <v>-2.3481504458057797E-2</v>
      </c>
      <c r="CQ322" s="50">
        <f t="shared" si="2036"/>
        <v>-2.5025539010948707E-2</v>
      </c>
      <c r="CR322" s="50">
        <f t="shared" si="2036"/>
        <v>-1.9101553904149637E-2</v>
      </c>
      <c r="CS322" s="50">
        <f t="shared" si="2036"/>
        <v>-1.857034993898031E-2</v>
      </c>
      <c r="CT322" s="50">
        <f t="shared" si="2036"/>
        <v>-1.8832734795137258E-2</v>
      </c>
      <c r="CU322" s="48">
        <f t="shared" si="2036"/>
        <v>-1.3060756512569272E-2</v>
      </c>
      <c r="CV322" s="48">
        <f t="shared" si="2036"/>
        <v>-6.0198391099407075E-3</v>
      </c>
      <c r="CW322" s="48">
        <f t="shared" si="2036"/>
        <v>1.0755592303263058E-2</v>
      </c>
      <c r="CX322" s="48">
        <f t="shared" si="2036"/>
        <v>1.0564873027558361E-2</v>
      </c>
      <c r="CY322" s="50">
        <f t="shared" si="2036"/>
        <v>7.8696107083963268E-3</v>
      </c>
      <c r="CZ322" s="49">
        <f>-(CZ80-CZ319)</f>
        <v>-3.5621099462883887E-2</v>
      </c>
      <c r="DA322" s="48">
        <f t="shared" ref="DA322:DD322" si="2037">-(DA318-DA319)</f>
        <v>4.5630052445622578E-3</v>
      </c>
      <c r="DB322" s="48">
        <f t="shared" si="2037"/>
        <v>5.1817349903102439E-3</v>
      </c>
      <c r="DC322" s="48">
        <f t="shared" si="2037"/>
        <v>5.3624465865879586E-3</v>
      </c>
      <c r="DD322" s="48">
        <f t="shared" si="2037"/>
        <v>5.5185449818239123E-3</v>
      </c>
      <c r="DE322" s="48">
        <f>-(DE318-DE319)</f>
        <v>5.5187703388055245E-3</v>
      </c>
      <c r="DF322" s="823">
        <f>-(DF318-DF319)</f>
        <v>5.5483180581037111E-3</v>
      </c>
      <c r="DG322" s="824">
        <f>-(DG318-DG319)</f>
        <v>5.5483180581037111E-3</v>
      </c>
      <c r="DH322" s="824">
        <f>-(DH318-DH319)</f>
        <v>5.5483180581037111E-3</v>
      </c>
      <c r="DI322" s="824">
        <f>-(DI318-DI319)</f>
        <v>5.5483180581037111E-3</v>
      </c>
    </row>
    <row r="323" spans="1:113" s="24" customFormat="1" outlineLevel="1">
      <c r="A323" s="1" t="s">
        <v>927</v>
      </c>
      <c r="B323" s="24" t="s">
        <v>482</v>
      </c>
      <c r="C323" s="562">
        <f t="shared" ref="C323:L323" si="2038">C321+C322</f>
        <v>2.7811331460835462E-2</v>
      </c>
      <c r="D323" s="562">
        <f t="shared" si="2038"/>
        <v>2.769971280187207E-2</v>
      </c>
      <c r="E323" s="562">
        <f t="shared" si="2038"/>
        <v>2.750764135728942E-2</v>
      </c>
      <c r="F323" s="562">
        <f t="shared" si="2038"/>
        <v>2.6503275516182284E-2</v>
      </c>
      <c r="G323" s="562">
        <f t="shared" si="2038"/>
        <v>2.6881808182013987E-2</v>
      </c>
      <c r="H323" s="562">
        <f t="shared" si="2038"/>
        <v>2.6002786721535741E-2</v>
      </c>
      <c r="I323" s="562">
        <f t="shared" si="2038"/>
        <v>2.4572175682989382E-2</v>
      </c>
      <c r="J323" s="562">
        <f t="shared" si="2038"/>
        <v>2.3816231787587447E-2</v>
      </c>
      <c r="K323" s="562">
        <f t="shared" si="2038"/>
        <v>2.3769159775208638E-2</v>
      </c>
      <c r="L323" s="562">
        <f t="shared" si="2038"/>
        <v>2.3294908572079318E-2</v>
      </c>
      <c r="M323" s="92">
        <f t="shared" ref="M323:AB323" si="2039">M321+M322</f>
        <v>2.2328886733799153E-2</v>
      </c>
      <c r="N323" s="92">
        <f t="shared" si="2039"/>
        <v>2.1704407477908687E-2</v>
      </c>
      <c r="O323" s="92">
        <f t="shared" si="2039"/>
        <v>1.9964303726664377E-2</v>
      </c>
      <c r="P323" s="92">
        <f t="shared" si="2039"/>
        <v>2.0132752801532067E-2</v>
      </c>
      <c r="Q323" s="92">
        <f t="shared" si="2039"/>
        <v>1.9510365021069037E-2</v>
      </c>
      <c r="R323" s="92">
        <f t="shared" si="2039"/>
        <v>1.9634266489011058E-2</v>
      </c>
      <c r="S323" s="92">
        <f t="shared" si="2039"/>
        <v>2.1062322220075799E-2</v>
      </c>
      <c r="T323" s="92">
        <f t="shared" si="2039"/>
        <v>2.1505802541814154E-2</v>
      </c>
      <c r="U323" s="92">
        <f t="shared" si="2039"/>
        <v>2.0528584881594585E-2</v>
      </c>
      <c r="V323" s="92">
        <f t="shared" si="2039"/>
        <v>2.0622979235762097E-2</v>
      </c>
      <c r="W323" s="92">
        <f t="shared" si="2039"/>
        <v>2.1716884758774542E-2</v>
      </c>
      <c r="X323" s="92">
        <f t="shared" si="2039"/>
        <v>2.1216607869499735E-2</v>
      </c>
      <c r="Y323" s="170">
        <f>Y321+Y322</f>
        <v>2.0575969140647007E-2</v>
      </c>
      <c r="Z323" s="170">
        <f>Z321+Z322</f>
        <v>2.0961264756399645E-2</v>
      </c>
      <c r="AA323" s="496">
        <f>AA321+AA322</f>
        <v>2.170584316380645E-2</v>
      </c>
      <c r="AB323" s="170">
        <f t="shared" si="2039"/>
        <v>2.1397626501990435E-2</v>
      </c>
      <c r="AC323" s="170">
        <f t="shared" ref="AC323:AK323" si="2040">AC321+AC322</f>
        <v>2.1391290276802099E-2</v>
      </c>
      <c r="AD323" s="170">
        <f t="shared" si="2040"/>
        <v>2.1200829123551396E-2</v>
      </c>
      <c r="AE323" s="170">
        <f t="shared" si="2040"/>
        <v>2.0683833344866894E-2</v>
      </c>
      <c r="AF323" s="170">
        <f t="shared" si="2040"/>
        <v>2.1464914087229111E-2</v>
      </c>
      <c r="AG323" s="170">
        <f t="shared" si="2040"/>
        <v>2.1376740900866345E-2</v>
      </c>
      <c r="AH323" s="170">
        <f t="shared" si="2040"/>
        <v>2.0992432040554593E-2</v>
      </c>
      <c r="AI323" s="170">
        <f t="shared" si="2040"/>
        <v>2.1018018900646467E-2</v>
      </c>
      <c r="AJ323" s="170">
        <f t="shared" si="2040"/>
        <v>2.1564998499362213E-2</v>
      </c>
      <c r="AK323" s="170">
        <f t="shared" si="2040"/>
        <v>2.1376325897552353E-2</v>
      </c>
      <c r="AL323" s="170">
        <f t="shared" ref="AL323:AQ323" si="2041">AL321+AL322</f>
        <v>2.0924322934170993E-2</v>
      </c>
      <c r="AM323" s="170">
        <f t="shared" si="2041"/>
        <v>2.090159582687582E-2</v>
      </c>
      <c r="AN323" s="170">
        <f t="shared" si="2041"/>
        <v>2.1090173572849563E-2</v>
      </c>
      <c r="AO323" s="170">
        <f t="shared" si="2041"/>
        <v>2.0393125517318002E-2</v>
      </c>
      <c r="AP323" s="170">
        <f t="shared" si="2041"/>
        <v>2.0633853124276284E-2</v>
      </c>
      <c r="AQ323" s="170">
        <f t="shared" si="2041"/>
        <v>2.0882870785182625E-2</v>
      </c>
      <c r="AR323" s="829">
        <f>[5]CBA!C$9</f>
        <v>1.9182264344134139E-2</v>
      </c>
      <c r="AS323" s="829">
        <f>[5]CBA!D$9</f>
        <v>1.8747634313552995E-2</v>
      </c>
      <c r="AT323" s="829">
        <f>[5]CBA!E$9</f>
        <v>2.0985181549496353E-2</v>
      </c>
      <c r="AU323" s="829">
        <f>[5]CBA!F$9</f>
        <v>2.0511215875562538E-2</v>
      </c>
      <c r="AV323" s="829">
        <f>[5]CBA!G$9</f>
        <v>1.9886195039560049E-2</v>
      </c>
      <c r="AW323" s="829">
        <f>[5]CBA!H$9</f>
        <v>2.000370581509928E-2</v>
      </c>
      <c r="AX323" s="839">
        <f>[5]CBA!I$9</f>
        <v>2.0841868500441934E-2</v>
      </c>
      <c r="AY323" s="839">
        <f>[5]CBA!J$9</f>
        <v>2.0804136328042792E-2</v>
      </c>
      <c r="AZ323" s="834">
        <f>[5]CBA!K$9</f>
        <v>2.043535258068711E-2</v>
      </c>
      <c r="BA323" s="829">
        <f>[5]CBA!L$9</f>
        <v>2.0359979598231919E-2</v>
      </c>
      <c r="BB323" s="829">
        <f>[5]CBA!M$9</f>
        <v>2.0456794373185858E-2</v>
      </c>
      <c r="BC323" s="829">
        <f>[5]CBA!N$9</f>
        <v>2.0317345597955949E-2</v>
      </c>
      <c r="BD323" s="829">
        <f>[5]CBA!O$9</f>
        <v>2.0226099071897582E-2</v>
      </c>
      <c r="BE323" s="829">
        <f>[5]CBA!P$9</f>
        <v>2.0199727217929356E-2</v>
      </c>
      <c r="BF323" s="829">
        <f>[5]CBA!Q$9</f>
        <v>2.016415892062659E-2</v>
      </c>
      <c r="BG323" s="829">
        <f>[5]CBA!R$9</f>
        <v>2.0116271785994056E-2</v>
      </c>
      <c r="BH323" s="829">
        <f>[5]CBA!S$9</f>
        <v>1.9938239805234344E-2</v>
      </c>
      <c r="BI323" s="829">
        <f>[5]CBA!T$9</f>
        <v>1.9877553368743538E-2</v>
      </c>
      <c r="BJ323" s="828">
        <f>BI323-0.01%</f>
        <v>1.9777553368743539E-2</v>
      </c>
      <c r="BK323" s="828">
        <f t="shared" ref="BK323" si="2042">BJ323-0.01%</f>
        <v>1.967755336874354E-2</v>
      </c>
      <c r="BL323" s="828">
        <f t="shared" ref="BL323" si="2043">BK323-0.01%</f>
        <v>1.957755336874354E-2</v>
      </c>
      <c r="BM323" s="828">
        <f t="shared" ref="BM323" si="2044">BL323-0.01%</f>
        <v>1.9477553368743541E-2</v>
      </c>
      <c r="BN323" s="828">
        <f t="shared" ref="BN323" si="2045">BM323-0.01%</f>
        <v>1.9377553368743541E-2</v>
      </c>
      <c r="BO323" s="828">
        <f t="shared" ref="BO323" si="2046">BN323-0.01%</f>
        <v>1.9277553368743542E-2</v>
      </c>
      <c r="BP323" s="828">
        <f t="shared" ref="BP323" si="2047">BO323-0.01%</f>
        <v>1.9177553368743543E-2</v>
      </c>
      <c r="BQ323" s="828">
        <f t="shared" ref="BQ323" si="2048">BP323-0.01%</f>
        <v>1.9077553368743543E-2</v>
      </c>
      <c r="BR323" s="92"/>
      <c r="BS323" s="562">
        <f t="shared" ref="BS323:CB323" si="2049">BS321+BS322</f>
        <v>4.5207000475863166E-2</v>
      </c>
      <c r="BT323" s="562">
        <f t="shared" si="2049"/>
        <v>4.1206417750967256E-2</v>
      </c>
      <c r="BU323" s="562">
        <f t="shared" si="2049"/>
        <v>3.8055324734756792E-2</v>
      </c>
      <c r="BV323" s="562">
        <f t="shared" si="2049"/>
        <v>4.0325766941537833E-2</v>
      </c>
      <c r="BW323" s="562">
        <f t="shared" si="2049"/>
        <v>3.9594381956990499E-2</v>
      </c>
      <c r="BX323" s="562">
        <f t="shared" si="2049"/>
        <v>3.5273441968324611E-2</v>
      </c>
      <c r="BY323" s="562">
        <f t="shared" si="2049"/>
        <v>3.3250134586208582E-2</v>
      </c>
      <c r="BZ323" s="562">
        <f t="shared" si="2049"/>
        <v>3.0865223897576809E-2</v>
      </c>
      <c r="CA323" s="562">
        <f t="shared" si="2049"/>
        <v>2.8793075416334392E-2</v>
      </c>
      <c r="CB323" s="562">
        <f t="shared" si="2049"/>
        <v>2.7856818195969045E-2</v>
      </c>
      <c r="CC323" s="92">
        <f t="shared" ref="CC323:CR323" si="2050">CC321+CC322</f>
        <v>2.7596635257190881E-2</v>
      </c>
      <c r="CD323" s="92">
        <f t="shared" si="2050"/>
        <v>2.6684848246026419E-2</v>
      </c>
      <c r="CE323" s="92">
        <f t="shared" si="2050"/>
        <v>2.5245490291197388E-2</v>
      </c>
      <c r="CF323" s="92">
        <f t="shared" si="2050"/>
        <v>2.3781506354816087E-2</v>
      </c>
      <c r="CG323" s="92">
        <f t="shared" si="2050"/>
        <v>2.2801337137056552E-2</v>
      </c>
      <c r="CH323" s="92">
        <f t="shared" si="2050"/>
        <v>2.0344903364600556E-2</v>
      </c>
      <c r="CI323" s="92">
        <f t="shared" si="2050"/>
        <v>1.9812375029441692E-2</v>
      </c>
      <c r="CJ323" s="92">
        <f t="shared" si="2050"/>
        <v>2.036124295545836E-2</v>
      </c>
      <c r="CK323" s="92">
        <f>CK321+CK322</f>
        <v>2.1016394487712101E-2</v>
      </c>
      <c r="CL323" s="92">
        <f t="shared" si="2050"/>
        <v>2.116650987770461E-2</v>
      </c>
      <c r="CM323" s="170">
        <f t="shared" si="2050"/>
        <v>2.0894574271262616E-2</v>
      </c>
      <c r="CN323" s="170">
        <f t="shared" si="2050"/>
        <v>2.1332941678638147E-2</v>
      </c>
      <c r="CO323" s="170">
        <f t="shared" si="2050"/>
        <v>2.1394415137565907E-2</v>
      </c>
      <c r="CP323" s="170">
        <f t="shared" si="2050"/>
        <v>2.0938730367046274E-2</v>
      </c>
      <c r="CQ323" s="170">
        <f t="shared" si="2050"/>
        <v>2.1420548548183899E-2</v>
      </c>
      <c r="CR323" s="170">
        <f t="shared" si="2050"/>
        <v>2.1005317817143286E-2</v>
      </c>
      <c r="CS323" s="170">
        <f t="shared" ref="CS323:CV323" si="2051">CS321+CS322</f>
        <v>2.1471114315949169E-2</v>
      </c>
      <c r="CT323" s="170">
        <f t="shared" si="2051"/>
        <v>2.0913040584426765E-2</v>
      </c>
      <c r="CU323" s="170">
        <f t="shared" si="2051"/>
        <v>2.0577225681397797E-2</v>
      </c>
      <c r="CV323" s="170">
        <f t="shared" si="2051"/>
        <v>2.0749673078869164E-2</v>
      </c>
      <c r="CW323" s="92">
        <f>[5]CBA!V$9</f>
        <v>1.8959833155804982E-2</v>
      </c>
      <c r="CX323" s="92">
        <f>[5]CBA!W$9</f>
        <v>2.0745995625128785E-2</v>
      </c>
      <c r="CY323" s="170">
        <f>[5]CBA!X$9</f>
        <v>1.994446762541207E-2</v>
      </c>
      <c r="CZ323" s="94">
        <f>[5]CBA!Y$9</f>
        <v>2.0820197749844758E-2</v>
      </c>
      <c r="DA323" s="92">
        <f>[5]CBA!Z$9</f>
        <v>2.039396460737081E-2</v>
      </c>
      <c r="DB323" s="92">
        <f>[5]CBA!AA$9</f>
        <v>2.0384690890932745E-2</v>
      </c>
      <c r="DC323" s="92">
        <f>[5]CBA!AB$9</f>
        <v>2.0211602625635289E-2</v>
      </c>
      <c r="DD323" s="92">
        <f>[5]CBA!AC$9</f>
        <v>2.0138499304353807E-2</v>
      </c>
      <c r="DE323" s="92">
        <f>[5]CBA!AD$9</f>
        <v>1.9906463494078049E-2</v>
      </c>
      <c r="DF323" s="820">
        <f>AVERAGE(BJ323:BK323)</f>
        <v>1.9727553368743538E-2</v>
      </c>
      <c r="DG323" s="820">
        <f>AVERAGE(BL323:BM323)</f>
        <v>1.9527553368743539E-2</v>
      </c>
      <c r="DH323" s="820">
        <f>AVERAGE(BN323:BO323)</f>
        <v>1.932755336874354E-2</v>
      </c>
      <c r="DI323" s="820">
        <f>AVERAGE(BP323:BQ323)</f>
        <v>1.9127553368743541E-2</v>
      </c>
    </row>
    <row r="324" spans="1:113" outlineLevel="1">
      <c r="CZ324" s="22"/>
      <c r="DC324" s="21"/>
      <c r="DD324" s="21"/>
      <c r="DE324" s="21"/>
      <c r="DF324" s="21"/>
      <c r="DG324" s="21"/>
      <c r="DH324" s="21"/>
      <c r="DI324" s="21"/>
    </row>
    <row r="325" spans="1:113" s="5" customFormat="1" ht="12.95" customHeight="1" outlineLevel="1">
      <c r="A325" s="96"/>
      <c r="B325" s="6" t="s">
        <v>483</v>
      </c>
      <c r="C325" s="568" t="str">
        <f t="shared" ref="C325:L325" si="2052">IF(ROUND(C323,5)=ROUND(C319+C296,5),"Ok","Error")</f>
        <v>Ok</v>
      </c>
      <c r="D325" s="568" t="str">
        <f t="shared" si="2052"/>
        <v>Ok</v>
      </c>
      <c r="E325" s="568" t="str">
        <f t="shared" si="2052"/>
        <v>Ok</v>
      </c>
      <c r="F325" s="568" t="str">
        <f t="shared" si="2052"/>
        <v>Ok</v>
      </c>
      <c r="G325" s="568" t="str">
        <f t="shared" si="2052"/>
        <v>Ok</v>
      </c>
      <c r="H325" s="568" t="str">
        <f t="shared" si="2052"/>
        <v>Ok</v>
      </c>
      <c r="I325" s="568" t="str">
        <f t="shared" si="2052"/>
        <v>Ok</v>
      </c>
      <c r="J325" s="568" t="str">
        <f t="shared" si="2052"/>
        <v>Ok</v>
      </c>
      <c r="K325" s="568" t="str">
        <f t="shared" si="2052"/>
        <v>Ok</v>
      </c>
      <c r="L325" s="568" t="str">
        <f t="shared" si="2052"/>
        <v>Ok</v>
      </c>
      <c r="M325" s="97" t="str">
        <f t="shared" ref="M325:AG325" si="2053">IF(ROUND(M323,5)=ROUND(M319+M296,5),"Ok","Error")</f>
        <v>Ok</v>
      </c>
      <c r="N325" s="97" t="str">
        <f t="shared" si="2053"/>
        <v>Ok</v>
      </c>
      <c r="O325" s="97" t="str">
        <f t="shared" si="2053"/>
        <v>Ok</v>
      </c>
      <c r="P325" s="97" t="str">
        <f t="shared" si="2053"/>
        <v>Ok</v>
      </c>
      <c r="Q325" s="97" t="str">
        <f t="shared" si="2053"/>
        <v>Ok</v>
      </c>
      <c r="R325" s="97" t="str">
        <f t="shared" si="2053"/>
        <v>Ok</v>
      </c>
      <c r="S325" s="97" t="str">
        <f t="shared" si="2053"/>
        <v>Ok</v>
      </c>
      <c r="T325" s="97" t="str">
        <f t="shared" si="2053"/>
        <v>Ok</v>
      </c>
      <c r="U325" s="97" t="str">
        <f t="shared" ref="U325:Z325" si="2054">IF(ROUND(U323,5)=ROUND(U319+U296,5),"Ok","Error")</f>
        <v>Ok</v>
      </c>
      <c r="V325" s="97" t="str">
        <f t="shared" si="2054"/>
        <v>Ok</v>
      </c>
      <c r="W325" s="97" t="str">
        <f t="shared" si="2054"/>
        <v>Ok</v>
      </c>
      <c r="X325" s="97" t="str">
        <f t="shared" si="2054"/>
        <v>Ok</v>
      </c>
      <c r="Y325" s="100" t="str">
        <f t="shared" si="2054"/>
        <v>Ok</v>
      </c>
      <c r="Z325" s="100" t="str">
        <f t="shared" si="2054"/>
        <v>Ok</v>
      </c>
      <c r="AA325" s="100" t="str">
        <f t="shared" si="2053"/>
        <v>Ok</v>
      </c>
      <c r="AB325" s="100" t="str">
        <f t="shared" si="2053"/>
        <v>Ok</v>
      </c>
      <c r="AC325" s="100" t="str">
        <f t="shared" si="2053"/>
        <v>Ok</v>
      </c>
      <c r="AD325" s="100" t="str">
        <f t="shared" si="2053"/>
        <v>Ok</v>
      </c>
      <c r="AE325" s="100" t="str">
        <f>IF(ROUND(AE323,5)=ROUND(AE319+AE296,5),"Ok","Error")</f>
        <v>Ok</v>
      </c>
      <c r="AF325" s="100" t="str">
        <f>IF(ROUND(AF323,5)=ROUND(AF319+AF296,5),"Ok","Error")</f>
        <v>Ok</v>
      </c>
      <c r="AG325" s="100" t="str">
        <f t="shared" si="2053"/>
        <v>Ok</v>
      </c>
      <c r="AH325" s="100" t="str">
        <f t="shared" ref="AH325:AM325" si="2055">IF(ROUND(AH323,5)=ROUND(AH319+AH296,5),"Ok","Error")</f>
        <v>Ok</v>
      </c>
      <c r="AI325" s="100" t="str">
        <f t="shared" si="2055"/>
        <v>Ok</v>
      </c>
      <c r="AJ325" s="100" t="str">
        <f t="shared" si="2055"/>
        <v>Ok</v>
      </c>
      <c r="AK325" s="100" t="str">
        <f t="shared" si="2055"/>
        <v>Ok</v>
      </c>
      <c r="AL325" s="100" t="str">
        <f t="shared" si="2055"/>
        <v>Ok</v>
      </c>
      <c r="AM325" s="100" t="str">
        <f t="shared" si="2055"/>
        <v>Ok</v>
      </c>
      <c r="AN325" s="100" t="str">
        <f t="shared" ref="AN325:AS325" si="2056">IF(ROUND(AN323,5)=ROUND(AN319+AN296,5),"Ok","Error")</f>
        <v>Ok</v>
      </c>
      <c r="AO325" s="100" t="str">
        <f t="shared" si="2056"/>
        <v>Ok</v>
      </c>
      <c r="AP325" s="100" t="str">
        <f t="shared" si="2056"/>
        <v>Ok</v>
      </c>
      <c r="AQ325" s="100" t="str">
        <f t="shared" si="2056"/>
        <v>Ok</v>
      </c>
      <c r="AR325" s="100" t="str">
        <f t="shared" si="2056"/>
        <v>Ok</v>
      </c>
      <c r="AS325" s="100" t="str">
        <f t="shared" si="2056"/>
        <v>Ok</v>
      </c>
      <c r="AT325" s="100" t="str">
        <f t="shared" ref="AT325:AU325" si="2057">IF(ROUND(AT323,5)=ROUND(AT319+AT296,5),"Ok","Error")</f>
        <v>Ok</v>
      </c>
      <c r="AU325" s="100" t="str">
        <f t="shared" si="2057"/>
        <v>Ok</v>
      </c>
      <c r="AV325" s="100" t="str">
        <f t="shared" ref="AV325:AW325" si="2058">IF(ROUND(AV323,5)=ROUND(AV319+AV296,5),"Ok","Error")</f>
        <v>Ok</v>
      </c>
      <c r="AW325" s="100" t="str">
        <f t="shared" si="2058"/>
        <v>Ok</v>
      </c>
      <c r="AX325" s="100" t="str">
        <f t="shared" ref="AX325" si="2059">IF(ROUND(AX323,5)=ROUND(AX319+AX296,5),"Ok","Error")</f>
        <v>Ok</v>
      </c>
      <c r="AY325" s="100" t="str">
        <f t="shared" ref="AY325:BE325" si="2060">IF(ROUND(AY323,5)=ROUND(AY319+AY296,5),"Ok","Error")</f>
        <v>Ok</v>
      </c>
      <c r="AZ325" s="98" t="str">
        <f t="shared" si="2060"/>
        <v>Ok</v>
      </c>
      <c r="BA325" s="97" t="str">
        <f t="shared" si="2060"/>
        <v>Ok</v>
      </c>
      <c r="BB325" s="97" t="str">
        <f t="shared" si="2060"/>
        <v>Ok</v>
      </c>
      <c r="BC325" s="97" t="str">
        <f t="shared" si="2060"/>
        <v>Ok</v>
      </c>
      <c r="BD325" s="97" t="str">
        <f t="shared" si="2060"/>
        <v>Ok</v>
      </c>
      <c r="BE325" s="97" t="str">
        <f t="shared" si="2060"/>
        <v>Ok</v>
      </c>
      <c r="BF325" s="97" t="str">
        <f t="shared" ref="BF325:BM325" si="2061">IF(ROUND(BF323,5)=ROUND(BF319+BF296,5),"Ok","Error")</f>
        <v>Ok</v>
      </c>
      <c r="BG325" s="97" t="str">
        <f t="shared" si="2061"/>
        <v>Ok</v>
      </c>
      <c r="BH325" s="97" t="str">
        <f t="shared" si="2061"/>
        <v>Ok</v>
      </c>
      <c r="BI325" s="97" t="str">
        <f t="shared" si="2061"/>
        <v>Ok</v>
      </c>
      <c r="BJ325" s="97" t="str">
        <f t="shared" si="2061"/>
        <v>Ok</v>
      </c>
      <c r="BK325" s="97" t="str">
        <f t="shared" si="2061"/>
        <v>Ok</v>
      </c>
      <c r="BL325" s="568" t="str">
        <f t="shared" si="2061"/>
        <v>Ok</v>
      </c>
      <c r="BM325" s="568" t="str">
        <f t="shared" si="2061"/>
        <v>Ok</v>
      </c>
      <c r="BN325" s="568" t="str">
        <f t="shared" ref="BN325:BO325" si="2062">IF(ROUND(BN323,5)=ROUND(BN319+BN296,5),"Ok","Error")</f>
        <v>Ok</v>
      </c>
      <c r="BO325" s="568" t="str">
        <f t="shared" si="2062"/>
        <v>Ok</v>
      </c>
      <c r="BP325" s="568" t="str">
        <f t="shared" ref="BP325:BQ325" si="2063">IF(ROUND(BP323,5)=ROUND(BP319+BP296,5),"Ok","Error")</f>
        <v>Ok</v>
      </c>
      <c r="BQ325" s="568" t="str">
        <f t="shared" si="2063"/>
        <v>Ok</v>
      </c>
      <c r="BR325" s="99"/>
      <c r="BS325" s="568" t="str">
        <f t="shared" ref="BS325:CB325" si="2064">IF(ROUND(BS323,5)=ROUND(BS319+BS296,5),"Ok","Error")</f>
        <v>Ok</v>
      </c>
      <c r="BT325" s="568" t="str">
        <f t="shared" si="2064"/>
        <v>Ok</v>
      </c>
      <c r="BU325" s="568" t="str">
        <f t="shared" si="2064"/>
        <v>Ok</v>
      </c>
      <c r="BV325" s="568" t="str">
        <f t="shared" si="2064"/>
        <v>Ok</v>
      </c>
      <c r="BW325" s="568" t="str">
        <f t="shared" si="2064"/>
        <v>Ok</v>
      </c>
      <c r="BX325" s="568" t="str">
        <f t="shared" si="2064"/>
        <v>Ok</v>
      </c>
      <c r="BY325" s="568" t="str">
        <f t="shared" si="2064"/>
        <v>Ok</v>
      </c>
      <c r="BZ325" s="568" t="str">
        <f t="shared" si="2064"/>
        <v>Ok</v>
      </c>
      <c r="CA325" s="568" t="str">
        <f t="shared" si="2064"/>
        <v>Ok</v>
      </c>
      <c r="CB325" s="568" t="str">
        <f t="shared" si="2064"/>
        <v>Ok</v>
      </c>
      <c r="CC325" s="97" t="str">
        <f>IF(ROUND(CC323,5)=ROUND(CC319+CC296,5),"Ok","Drror")</f>
        <v>Ok</v>
      </c>
      <c r="CD325" s="97" t="str">
        <f>IF(ROUND(CD323,5)=ROUND(CD319+CD296,5),"Ok","Error")</f>
        <v>Ok</v>
      </c>
      <c r="CE325" s="97" t="str">
        <f>IF(ROUND(CE323,5)=ROUND(CE319+CE296,5),"Ok","Error")</f>
        <v>Ok</v>
      </c>
      <c r="CF325" s="97" t="str">
        <f>IF(ROUND(CF323,5)=ROUND(CF319+CF296,5),"Ok","Error")</f>
        <v>Ok</v>
      </c>
      <c r="CG325" s="97" t="str">
        <f>IF(ROUND(CG323,5)=ROUND(CG319+CG296,5),"Ok","Error")</f>
        <v>Ok</v>
      </c>
      <c r="CH325" s="97" t="str">
        <f>IF(ROUND(CH323,5)=ROUND(CH319+CH296,5),"Ok","Error")</f>
        <v>Ok</v>
      </c>
      <c r="CI325" s="97" t="str">
        <f t="shared" ref="CI325:CO325" si="2065">IF(ROUND(CI323,5)=ROUND(CI319+CI296,5),"Ok","Error")</f>
        <v>Ok</v>
      </c>
      <c r="CJ325" s="97" t="str">
        <f t="shared" si="2065"/>
        <v>Ok</v>
      </c>
      <c r="CK325" s="97" t="str">
        <f t="shared" si="2065"/>
        <v>Ok</v>
      </c>
      <c r="CL325" s="97" t="str">
        <f t="shared" si="2065"/>
        <v>Ok</v>
      </c>
      <c r="CM325" s="100" t="str">
        <f t="shared" si="2065"/>
        <v>Ok</v>
      </c>
      <c r="CN325" s="100" t="str">
        <f t="shared" si="2065"/>
        <v>Ok</v>
      </c>
      <c r="CO325" s="100" t="str">
        <f t="shared" si="2065"/>
        <v>Ok</v>
      </c>
      <c r="CP325" s="100" t="str">
        <f t="shared" ref="CP325:CX325" si="2066">IF(ROUND(CP323,5)=ROUND(CP319+CP296,5),"Ok","Error")</f>
        <v>Ok</v>
      </c>
      <c r="CQ325" s="100" t="str">
        <f t="shared" si="2066"/>
        <v>Ok</v>
      </c>
      <c r="CR325" s="100" t="str">
        <f t="shared" si="2066"/>
        <v>Ok</v>
      </c>
      <c r="CS325" s="100" t="str">
        <f t="shared" si="2066"/>
        <v>Ok</v>
      </c>
      <c r="CT325" s="100" t="str">
        <f t="shared" si="2066"/>
        <v>Ok</v>
      </c>
      <c r="CU325" s="100" t="str">
        <f>IF(ROUND(CU323,1)=ROUND(CU319+CU296,1),"Ok","Error")</f>
        <v>Ok</v>
      </c>
      <c r="CV325" s="100" t="str">
        <f>IF(ROUND(CV323,1)=ROUND(CV319+CV296,1),"Ok","Error")</f>
        <v>Ok</v>
      </c>
      <c r="CW325" s="100" t="str">
        <f t="shared" si="2066"/>
        <v>Ok</v>
      </c>
      <c r="CX325" s="100" t="str">
        <f t="shared" si="2066"/>
        <v>Ok</v>
      </c>
      <c r="CY325" s="100" t="str">
        <f t="shared" ref="CY325:DD325" si="2067">IF(ROUND(CY323,5)=ROUND(CY319+CY296,5),"Ok","Error")</f>
        <v>Ok</v>
      </c>
      <c r="CZ325" s="98" t="str">
        <f t="shared" si="2067"/>
        <v>Ok</v>
      </c>
      <c r="DA325" s="97" t="str">
        <f t="shared" si="2067"/>
        <v>Ok</v>
      </c>
      <c r="DB325" s="97" t="str">
        <f t="shared" si="2067"/>
        <v>Ok</v>
      </c>
      <c r="DC325" s="97" t="str">
        <f t="shared" si="2067"/>
        <v>Ok</v>
      </c>
      <c r="DD325" s="97" t="str">
        <f t="shared" si="2067"/>
        <v>Ok</v>
      </c>
      <c r="DE325" s="97" t="str">
        <f>IF(ROUND(DE323,5)=ROUND(DE319+DE296,5),"Ok","Error")</f>
        <v>Ok</v>
      </c>
      <c r="DF325" s="97" t="str">
        <f>IF(ROUND(DF323,5)=ROUND(DF319+DF296,5),"Ok","Error")</f>
        <v>Ok</v>
      </c>
      <c r="DG325" s="568" t="str">
        <f>IF(ROUND(DG323,5)=ROUND(DG319+DG296,5),"Ok","Error")</f>
        <v>Ok</v>
      </c>
      <c r="DH325" s="568" t="str">
        <f>IF(ROUND(DH323,5)=ROUND(DH319+DH296,5),"Ok","Error")</f>
        <v>Ok</v>
      </c>
      <c r="DI325" s="568" t="str">
        <f>IF(ROUND(DI323,5)=ROUND(DI319+DI296,5),"Ok","Error")</f>
        <v>Ok</v>
      </c>
    </row>
    <row r="326" spans="1:113">
      <c r="CZ326" s="22"/>
    </row>
    <row r="327" spans="1:113" s="36" customFormat="1" collapsed="1">
      <c r="A327" s="1" t="s">
        <v>241</v>
      </c>
      <c r="B327" s="2" t="s">
        <v>484</v>
      </c>
      <c r="C327" s="79">
        <f>C381</f>
        <v>2253</v>
      </c>
      <c r="D327" s="79">
        <f>D381</f>
        <v>2349</v>
      </c>
      <c r="E327" s="79">
        <f>E381</f>
        <v>2361</v>
      </c>
      <c r="F327" s="79">
        <f t="shared" ref="F327:L327" si="2068">F381</f>
        <v>2454</v>
      </c>
      <c r="G327" s="79">
        <f t="shared" si="2068"/>
        <v>2572</v>
      </c>
      <c r="H327" s="79">
        <f t="shared" si="2068"/>
        <v>2671</v>
      </c>
      <c r="I327" s="79">
        <f t="shared" si="2068"/>
        <v>2739</v>
      </c>
      <c r="J327" s="79">
        <f t="shared" si="2068"/>
        <v>2958</v>
      </c>
      <c r="K327" s="79">
        <f t="shared" si="2068"/>
        <v>3068</v>
      </c>
      <c r="L327" s="79">
        <f t="shared" si="2068"/>
        <v>3255</v>
      </c>
      <c r="M327" s="79">
        <f t="shared" ref="M327:AG327" si="2069">M381</f>
        <v>3259</v>
      </c>
      <c r="N327" s="79">
        <f t="shared" si="2069"/>
        <v>3485</v>
      </c>
      <c r="O327" s="79">
        <f t="shared" si="2069"/>
        <v>3551</v>
      </c>
      <c r="P327" s="79">
        <f t="shared" si="2069"/>
        <v>3899</v>
      </c>
      <c r="Q327" s="79">
        <f t="shared" si="2069"/>
        <v>4008</v>
      </c>
      <c r="R327" s="79">
        <f t="shared" si="2069"/>
        <v>5073</v>
      </c>
      <c r="S327" s="79">
        <f t="shared" si="2069"/>
        <v>5643</v>
      </c>
      <c r="T327" s="79">
        <f t="shared" si="2069"/>
        <v>6062</v>
      </c>
      <c r="U327" s="79">
        <f t="shared" si="2069"/>
        <v>5806</v>
      </c>
      <c r="V327" s="79">
        <f t="shared" si="2069"/>
        <v>6177</v>
      </c>
      <c r="W327" s="79">
        <f t="shared" si="2069"/>
        <v>6468</v>
      </c>
      <c r="X327" s="79">
        <f t="shared" si="2069"/>
        <v>6644</v>
      </c>
      <c r="Y327" s="79">
        <f>Y381</f>
        <v>6513</v>
      </c>
      <c r="Z327" s="79">
        <f>Z381</f>
        <v>6862</v>
      </c>
      <c r="AA327" s="79">
        <f t="shared" si="2069"/>
        <v>7082</v>
      </c>
      <c r="AB327" s="79">
        <f t="shared" si="2069"/>
        <v>7444</v>
      </c>
      <c r="AC327" s="79">
        <f t="shared" si="2069"/>
        <v>7647</v>
      </c>
      <c r="AD327" s="79">
        <f t="shared" si="2069"/>
        <v>7901</v>
      </c>
      <c r="AE327" s="79">
        <f>AE381</f>
        <v>7926</v>
      </c>
      <c r="AF327" s="79">
        <f>AF381</f>
        <v>8427</v>
      </c>
      <c r="AG327" s="79">
        <f t="shared" si="2069"/>
        <v>8508</v>
      </c>
      <c r="AH327" s="79">
        <f t="shared" ref="AH327:AM327" si="2070">AH381</f>
        <v>8710</v>
      </c>
      <c r="AI327" s="79">
        <f t="shared" si="2070"/>
        <v>8824</v>
      </c>
      <c r="AJ327" s="79">
        <f t="shared" si="2070"/>
        <v>9257</v>
      </c>
      <c r="AK327" s="79">
        <f t="shared" si="2070"/>
        <v>9085</v>
      </c>
      <c r="AL327" s="79">
        <f t="shared" si="2070"/>
        <v>9186.4247240618115</v>
      </c>
      <c r="AM327" s="79">
        <f t="shared" si="2070"/>
        <v>9037.5752759381903</v>
      </c>
      <c r="AN327" s="79">
        <f t="shared" ref="AN327:AS327" si="2071">AN381</f>
        <v>9350</v>
      </c>
      <c r="AO327" s="79">
        <f t="shared" si="2071"/>
        <v>9260</v>
      </c>
      <c r="AP327" s="79">
        <f t="shared" si="2071"/>
        <v>9600</v>
      </c>
      <c r="AQ327" s="79">
        <f t="shared" si="2071"/>
        <v>9702</v>
      </c>
      <c r="AR327" s="79">
        <f t="shared" si="2071"/>
        <v>9748</v>
      </c>
      <c r="AS327" s="79">
        <f t="shared" si="2071"/>
        <v>9725</v>
      </c>
      <c r="AT327" s="79">
        <f t="shared" ref="AT327:AU327" si="2072">AT381</f>
        <v>11637</v>
      </c>
      <c r="AU327" s="79">
        <f t="shared" si="2072"/>
        <v>11419</v>
      </c>
      <c r="AV327" s="79">
        <f t="shared" ref="AV327:AW327" si="2073">AV381</f>
        <v>11404</v>
      </c>
      <c r="AW327" s="79">
        <f t="shared" si="2073"/>
        <v>11420</v>
      </c>
      <c r="AX327" s="79">
        <f t="shared" ref="AX327:BH327" si="2074">AX381</f>
        <v>11934</v>
      </c>
      <c r="AY327" s="79">
        <f t="shared" si="2074"/>
        <v>12088.999999999998</v>
      </c>
      <c r="AZ327" s="80">
        <f t="shared" si="2074"/>
        <v>12695</v>
      </c>
      <c r="BA327" s="79">
        <f t="shared" si="2074"/>
        <v>12937.741654554829</v>
      </c>
      <c r="BB327" s="79">
        <f t="shared" si="2074"/>
        <v>13522.721796650811</v>
      </c>
      <c r="BC327" s="79">
        <f t="shared" si="2074"/>
        <v>13544.442313266794</v>
      </c>
      <c r="BD327" s="79">
        <f t="shared" si="2074"/>
        <v>13989.691392669569</v>
      </c>
      <c r="BE327" s="79">
        <f t="shared" si="2074"/>
        <v>14132.153196692008</v>
      </c>
      <c r="BF327" s="79">
        <f t="shared" si="2074"/>
        <v>14627.181348904869</v>
      </c>
      <c r="BG327" s="79">
        <f t="shared" si="2074"/>
        <v>14647.304457087286</v>
      </c>
      <c r="BH327" s="79">
        <f t="shared" si="2074"/>
        <v>15061.656555931113</v>
      </c>
      <c r="BI327" s="79">
        <f t="shared" ref="BI327:BM327" si="2075">BI381</f>
        <v>15029.478608772921</v>
      </c>
      <c r="BJ327" s="79">
        <f t="shared" si="2075"/>
        <v>15469.465259723956</v>
      </c>
      <c r="BK327" s="79">
        <f t="shared" si="2075"/>
        <v>15428.433752427767</v>
      </c>
      <c r="BL327" s="79">
        <f t="shared" si="2075"/>
        <v>15858.089292021867</v>
      </c>
      <c r="BM327" s="79">
        <f t="shared" si="2075"/>
        <v>15902.832430980148</v>
      </c>
      <c r="BN327" s="79">
        <f t="shared" ref="BN327:BO327" si="2076">BN381</f>
        <v>16344.480658543636</v>
      </c>
      <c r="BO327" s="79">
        <f t="shared" si="2076"/>
        <v>16299.926685297176</v>
      </c>
      <c r="BP327" s="79">
        <f t="shared" ref="BP327:BQ327" si="2077">BP381</f>
        <v>16798.492768839806</v>
      </c>
      <c r="BQ327" s="79">
        <f t="shared" si="2077"/>
        <v>16752.050964861468</v>
      </c>
      <c r="BR327" s="79"/>
      <c r="BS327" s="79">
        <f t="shared" ref="BS327:CB327" si="2078">BS381</f>
        <v>3249</v>
      </c>
      <c r="BT327" s="79">
        <f t="shared" si="2078"/>
        <v>2981</v>
      </c>
      <c r="BU327" s="79">
        <f t="shared" si="2078"/>
        <v>2844</v>
      </c>
      <c r="BV327" s="79">
        <f t="shared" si="2078"/>
        <v>3164</v>
      </c>
      <c r="BW327" s="79">
        <f t="shared" si="2078"/>
        <v>3397</v>
      </c>
      <c r="BX327" s="79">
        <f t="shared" si="2078"/>
        <v>3392</v>
      </c>
      <c r="BY327" s="79">
        <f t="shared" si="2078"/>
        <v>3397</v>
      </c>
      <c r="BZ327" s="79">
        <f t="shared" si="2078"/>
        <v>3527</v>
      </c>
      <c r="CA327" s="79">
        <f t="shared" si="2078"/>
        <v>3719</v>
      </c>
      <c r="CB327" s="79">
        <f t="shared" si="2078"/>
        <v>4474</v>
      </c>
      <c r="CC327" s="79">
        <f t="shared" ref="CC327:CO327" si="2079">CC381</f>
        <v>4710</v>
      </c>
      <c r="CD327" s="79">
        <f t="shared" si="2079"/>
        <v>5026</v>
      </c>
      <c r="CE327" s="79">
        <f t="shared" si="2079"/>
        <v>5410</v>
      </c>
      <c r="CF327" s="79">
        <f t="shared" si="2079"/>
        <v>6026</v>
      </c>
      <c r="CG327" s="79">
        <f t="shared" si="2079"/>
        <v>6514</v>
      </c>
      <c r="CH327" s="79">
        <f t="shared" si="2079"/>
        <v>7036</v>
      </c>
      <c r="CI327" s="79">
        <f t="shared" si="2079"/>
        <v>7907</v>
      </c>
      <c r="CJ327" s="79">
        <f t="shared" si="2079"/>
        <v>10716</v>
      </c>
      <c r="CK327" s="79">
        <f t="shared" si="2079"/>
        <v>11868</v>
      </c>
      <c r="CL327" s="79">
        <f t="shared" si="2079"/>
        <v>12645</v>
      </c>
      <c r="CM327" s="79">
        <f t="shared" si="2079"/>
        <v>13157</v>
      </c>
      <c r="CN327" s="79">
        <f t="shared" si="2079"/>
        <v>13944</v>
      </c>
      <c r="CO327" s="79">
        <f t="shared" si="2079"/>
        <v>15091</v>
      </c>
      <c r="CP327" s="79">
        <f t="shared" ref="CP327:CX327" si="2080">CP381</f>
        <v>15827</v>
      </c>
      <c r="CQ327" s="79">
        <f t="shared" si="2080"/>
        <v>16935</v>
      </c>
      <c r="CR327" s="79">
        <f t="shared" si="2080"/>
        <v>17534</v>
      </c>
      <c r="CS327" s="79">
        <f t="shared" si="2080"/>
        <v>18342</v>
      </c>
      <c r="CT327" s="79">
        <f t="shared" si="2080"/>
        <v>18224</v>
      </c>
      <c r="CU327" s="79">
        <f t="shared" si="2080"/>
        <v>18610</v>
      </c>
      <c r="CV327" s="79">
        <f t="shared" si="2080"/>
        <v>19302</v>
      </c>
      <c r="CW327" s="79">
        <f t="shared" si="2080"/>
        <v>19473</v>
      </c>
      <c r="CX327" s="79">
        <f t="shared" si="2080"/>
        <v>23056</v>
      </c>
      <c r="CY327" s="79">
        <f t="shared" ref="CY327:DD327" si="2081">CY381</f>
        <v>22824</v>
      </c>
      <c r="CZ327" s="80">
        <f t="shared" si="2081"/>
        <v>24023</v>
      </c>
      <c r="DA327" s="79">
        <f t="shared" si="2081"/>
        <v>25632.741654554829</v>
      </c>
      <c r="DB327" s="79">
        <f t="shared" si="2081"/>
        <v>27067.164109917605</v>
      </c>
      <c r="DC327" s="79">
        <f t="shared" si="2081"/>
        <v>28121.844589361579</v>
      </c>
      <c r="DD327" s="79">
        <f t="shared" si="2081"/>
        <v>29274.485805992153</v>
      </c>
      <c r="DE327" s="79">
        <f>DE381</f>
        <v>30091.135164704036</v>
      </c>
      <c r="DF327" s="79">
        <f>DF381</f>
        <v>30897.899012151724</v>
      </c>
      <c r="DG327" s="79">
        <f>DG381</f>
        <v>31760.921723002015</v>
      </c>
      <c r="DH327" s="79">
        <f>DH381</f>
        <v>32644.407343840812</v>
      </c>
      <c r="DI327" s="79">
        <f>DI381</f>
        <v>33550.54373370127</v>
      </c>
    </row>
    <row r="328" spans="1:113" outlineLevel="1">
      <c r="CZ328" s="22"/>
    </row>
    <row r="329" spans="1:113" s="24" customFormat="1" hidden="1" outlineLevel="2">
      <c r="A329" s="1"/>
      <c r="B329" s="24" t="s">
        <v>440</v>
      </c>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c r="AD329" s="13"/>
      <c r="AE329" s="13"/>
      <c r="AF329" s="13"/>
      <c r="AG329" s="13"/>
      <c r="AH329" s="13"/>
      <c r="AI329" s="13"/>
      <c r="AJ329" s="13"/>
      <c r="AK329" s="13"/>
      <c r="AL329" s="13"/>
      <c r="AM329" s="13"/>
      <c r="AN329" s="13"/>
      <c r="AO329" s="13"/>
      <c r="AP329" s="13"/>
      <c r="AQ329" s="13"/>
      <c r="AR329" s="13"/>
      <c r="AS329" s="13"/>
      <c r="AT329" s="13"/>
      <c r="AU329" s="13"/>
      <c r="AV329" s="13"/>
      <c r="AW329" s="13"/>
      <c r="AX329" s="13"/>
      <c r="AY329" s="494"/>
      <c r="AZ329" s="23"/>
      <c r="BA329" s="13"/>
      <c r="BB329" s="13"/>
      <c r="BC329" s="13"/>
      <c r="BD329" s="13"/>
      <c r="BE329" s="13"/>
      <c r="BF329" s="13"/>
      <c r="BG329" s="13"/>
      <c r="BH329" s="13"/>
      <c r="BI329" s="13"/>
      <c r="BJ329" s="13"/>
      <c r="BK329" s="13"/>
      <c r="BL329" s="13"/>
      <c r="BM329" s="13"/>
      <c r="BN329" s="13"/>
      <c r="BO329" s="13"/>
      <c r="BP329" s="13"/>
      <c r="BQ329" s="13"/>
      <c r="BR329" s="13"/>
      <c r="BS329" s="13"/>
      <c r="BT329" s="13"/>
      <c r="BU329" s="13"/>
      <c r="BV329" s="13"/>
      <c r="BW329" s="13"/>
      <c r="BX329" s="13"/>
      <c r="BY329" s="13"/>
      <c r="BZ329" s="13"/>
      <c r="CA329" s="13"/>
      <c r="CB329" s="13"/>
      <c r="CC329" s="13"/>
      <c r="CD329" s="13"/>
      <c r="CE329" s="13"/>
      <c r="CF329" s="13"/>
      <c r="CG329" s="13"/>
      <c r="CH329" s="13"/>
      <c r="CI329" s="13"/>
      <c r="CJ329" s="13"/>
      <c r="CK329" s="13"/>
      <c r="CL329" s="13"/>
      <c r="CM329" s="13"/>
      <c r="CN329" s="13"/>
      <c r="CO329" s="13"/>
      <c r="CP329" s="13"/>
      <c r="CQ329" s="13"/>
      <c r="CR329" s="13"/>
      <c r="CS329" s="13"/>
      <c r="CT329" s="13"/>
      <c r="CU329" s="13"/>
      <c r="CV329" s="13"/>
      <c r="CW329" s="13"/>
      <c r="CX329" s="13"/>
      <c r="CY329" s="13"/>
      <c r="CZ329" s="23"/>
      <c r="DA329" s="13"/>
      <c r="DB329" s="13"/>
    </row>
    <row r="330" spans="1:113" hidden="1" outlineLevel="2">
      <c r="A330" s="1" t="s">
        <v>227</v>
      </c>
      <c r="B330" s="19" t="s">
        <v>164</v>
      </c>
      <c r="C330" s="55">
        <f t="shared" ref="C330:L331" si="2082">C215*C272/C$5</f>
        <v>529.87980569091917</v>
      </c>
      <c r="D330" s="55">
        <f t="shared" si="2082"/>
        <v>544.44358964927733</v>
      </c>
      <c r="E330" s="55">
        <f t="shared" si="2082"/>
        <v>441.91888360126245</v>
      </c>
      <c r="F330" s="55">
        <f t="shared" si="2082"/>
        <v>526.75359852046995</v>
      </c>
      <c r="G330" s="55">
        <f t="shared" si="2082"/>
        <v>592.88533440345054</v>
      </c>
      <c r="H330" s="55">
        <f t="shared" si="2082"/>
        <v>586.51779390082072</v>
      </c>
      <c r="I330" s="55">
        <f t="shared" si="2082"/>
        <v>154.61064375587452</v>
      </c>
      <c r="J330" s="55">
        <f t="shared" si="2082"/>
        <v>589.59058373941843</v>
      </c>
      <c r="K330" s="55">
        <f t="shared" si="2082"/>
        <v>527.6787043812169</v>
      </c>
      <c r="L330" s="55">
        <f t="shared" si="2082"/>
        <v>584.55834676414202</v>
      </c>
      <c r="M330" s="55">
        <f t="shared" ref="M330:AB330" si="2083">M215*M272/M$5</f>
        <v>561.34540000202492</v>
      </c>
      <c r="N330" s="55">
        <f t="shared" si="2083"/>
        <v>569.00553936117819</v>
      </c>
      <c r="O330" s="55">
        <f t="shared" si="2083"/>
        <v>673.93108526737512</v>
      </c>
      <c r="P330" s="55">
        <f t="shared" si="2083"/>
        <v>490.83520340162539</v>
      </c>
      <c r="Q330" s="55">
        <f t="shared" si="2083"/>
        <v>587.30910024531522</v>
      </c>
      <c r="R330" s="55">
        <f t="shared" si="2083"/>
        <v>1734.6437111644605</v>
      </c>
      <c r="S330" s="55">
        <f t="shared" si="2083"/>
        <v>2200.4293903134567</v>
      </c>
      <c r="T330" s="55">
        <f t="shared" si="2083"/>
        <v>2081.6924538734024</v>
      </c>
      <c r="U330" s="55">
        <f t="shared" si="2083"/>
        <v>2359.9125876298299</v>
      </c>
      <c r="V330" s="55">
        <f t="shared" si="2083"/>
        <v>2793.7056694249709</v>
      </c>
      <c r="W330" s="55">
        <f t="shared" si="2083"/>
        <v>3061.5094083872436</v>
      </c>
      <c r="X330" s="55">
        <f t="shared" si="2083"/>
        <v>3282.1120135148794</v>
      </c>
      <c r="Y330" s="55">
        <f>Y215*Y272/Y$5</f>
        <v>3751.6818296779666</v>
      </c>
      <c r="Z330" s="55">
        <f>Z215*Z272/Z$5</f>
        <v>4035.5063352091252</v>
      </c>
      <c r="AA330" s="55">
        <f t="shared" si="2083"/>
        <v>3925.1239949674291</v>
      </c>
      <c r="AB330" s="55">
        <f t="shared" si="2083"/>
        <v>4038.8356006156696</v>
      </c>
      <c r="AC330" s="55">
        <f t="shared" ref="AC330:AK330" si="2084">AC215*AC272/AC$5</f>
        <v>3944.6100651482238</v>
      </c>
      <c r="AD330" s="55">
        <f t="shared" si="2084"/>
        <v>4081.2333029745719</v>
      </c>
      <c r="AE330" s="55">
        <f t="shared" si="2084"/>
        <v>4362.5346187577052</v>
      </c>
      <c r="AF330" s="55">
        <f t="shared" si="2084"/>
        <v>4362.3614397540459</v>
      </c>
      <c r="AG330" s="55">
        <f t="shared" si="2084"/>
        <v>4525.845298054508</v>
      </c>
      <c r="AH330" s="55">
        <f t="shared" si="2084"/>
        <v>4931.2467556678175</v>
      </c>
      <c r="AI330" s="55">
        <f t="shared" si="2084"/>
        <v>5026.6349261715732</v>
      </c>
      <c r="AJ330" s="55">
        <f t="shared" si="2084"/>
        <v>5178.338663579897</v>
      </c>
      <c r="AK330" s="55">
        <f t="shared" si="2084"/>
        <v>4792.8032217791215</v>
      </c>
      <c r="AL330" s="55">
        <f t="shared" ref="AL330:AO331" si="2085">AL215*AL272/AL$5</f>
        <v>5066.883915726964</v>
      </c>
      <c r="AM330" s="55">
        <f t="shared" si="2085"/>
        <v>5717.5074727454585</v>
      </c>
      <c r="AN330" s="55">
        <f t="shared" si="2085"/>
        <v>6235.5540378810128</v>
      </c>
      <c r="AO330" s="55">
        <f t="shared" si="2085"/>
        <v>6558.4578621715236</v>
      </c>
      <c r="AP330" s="55">
        <f t="shared" ref="AP330" si="2086">AP215*AP272/AP$5</f>
        <v>6788.3367052267104</v>
      </c>
      <c r="AQ330" s="55">
        <f t="shared" ref="AQ330" si="2087">AQ215*AQ272/AQ$5</f>
        <v>6518.8715059869901</v>
      </c>
      <c r="AR330" s="55"/>
      <c r="AS330" s="55"/>
      <c r="AT330" s="55"/>
      <c r="AU330" s="55"/>
      <c r="AV330" s="55"/>
      <c r="AW330" s="55"/>
      <c r="AX330" s="55"/>
      <c r="AY330" s="55"/>
      <c r="AZ330" s="56"/>
      <c r="BA330" s="55"/>
      <c r="BB330" s="55"/>
      <c r="BC330" s="55"/>
      <c r="BD330" s="55"/>
      <c r="BE330" s="55"/>
      <c r="BF330" s="55"/>
      <c r="BG330" s="55"/>
      <c r="BH330" s="55"/>
      <c r="BI330" s="55"/>
      <c r="BJ330" s="55"/>
      <c r="BK330" s="55"/>
      <c r="BL330" s="55"/>
      <c r="BM330" s="55"/>
      <c r="BN330" s="55"/>
      <c r="BO330" s="55"/>
      <c r="BP330" s="55"/>
      <c r="BQ330" s="55"/>
      <c r="BR330" s="55"/>
      <c r="BS330" s="55"/>
      <c r="BT330" s="55"/>
      <c r="BU330" s="55"/>
      <c r="BV330" s="55"/>
      <c r="BW330" s="55"/>
      <c r="BX330" s="55"/>
      <c r="BY330" s="55"/>
      <c r="BZ330" s="55"/>
      <c r="CA330" s="55"/>
      <c r="CB330" s="55"/>
      <c r="CC330" s="55">
        <f>SUM(D330:E330)</f>
        <v>986.36247325053978</v>
      </c>
      <c r="CD330" s="55">
        <f>SUM(F330:G330)</f>
        <v>1119.6389329239205</v>
      </c>
      <c r="CE330" s="55">
        <f>SUM(H330:I330)</f>
        <v>741.12843765669527</v>
      </c>
      <c r="CF330" s="55">
        <f>SUM(J330:K330)</f>
        <v>1117.2692881206353</v>
      </c>
      <c r="CG330" s="55">
        <f>SUM(L330:M330)</f>
        <v>1145.9037467661669</v>
      </c>
      <c r="CH330" s="55">
        <f>SUM(N330:O330)</f>
        <v>1242.9366246285533</v>
      </c>
      <c r="CI330" s="55">
        <f>SUM(P330:Q330)</f>
        <v>1078.1443036469407</v>
      </c>
      <c r="CJ330" s="55">
        <f>SUM(R330:S330)</f>
        <v>3935.0731014779171</v>
      </c>
      <c r="CK330" s="55">
        <f>SUM(T330:U330)</f>
        <v>4441.6050415032323</v>
      </c>
      <c r="CL330" s="55">
        <f>SUM(V330:W330)</f>
        <v>5855.2150778122141</v>
      </c>
      <c r="CM330" s="55">
        <f>SUM(X330:Y330)</f>
        <v>7033.793843192846</v>
      </c>
      <c r="CN330" s="55">
        <f>SUM(Z330:AA330)</f>
        <v>7960.6303301765547</v>
      </c>
      <c r="CO330" s="55">
        <f>SUM(AB330:AC330)</f>
        <v>7983.445665763893</v>
      </c>
      <c r="CP330" s="55">
        <f>SUM(AD330:AE330)</f>
        <v>8443.7679217322766</v>
      </c>
      <c r="CQ330" s="55">
        <f>SUM(AF330:AG330)</f>
        <v>8888.206737808554</v>
      </c>
      <c r="CR330" s="55">
        <f>SUM(AH330:AI330)</f>
        <v>9957.8816818393898</v>
      </c>
      <c r="CS330" s="55">
        <f>SUM(AJ330:AK330)</f>
        <v>9971.1418853590185</v>
      </c>
      <c r="CT330" s="55">
        <f>SUM(AL330:AM330)</f>
        <v>10784.391388472422</v>
      </c>
      <c r="CU330" s="55">
        <f>SUM(AN330:AO330)</f>
        <v>12794.011900052537</v>
      </c>
      <c r="CV330" s="55">
        <f>SUM(AP330:AQ330)</f>
        <v>13307.2082112137</v>
      </c>
      <c r="CW330" s="55"/>
      <c r="CX330" s="55"/>
      <c r="CY330" s="55"/>
      <c r="CZ330" s="56"/>
      <c r="DA330" s="55"/>
      <c r="DB330" s="55"/>
      <c r="DC330" s="55"/>
      <c r="DD330" s="55"/>
      <c r="DE330" s="55"/>
      <c r="DF330" s="55"/>
      <c r="DG330" s="55"/>
      <c r="DH330" s="55"/>
      <c r="DI330" s="55"/>
    </row>
    <row r="331" spans="1:113" hidden="1" outlineLevel="2">
      <c r="A331" s="1" t="s">
        <v>192</v>
      </c>
      <c r="B331" s="19" t="s">
        <v>165</v>
      </c>
      <c r="C331" s="55">
        <f t="shared" si="2082"/>
        <v>379.53118395497091</v>
      </c>
      <c r="D331" s="55">
        <f t="shared" si="2082"/>
        <v>361.01780547775519</v>
      </c>
      <c r="E331" s="55">
        <f t="shared" si="2082"/>
        <v>273.94529129099766</v>
      </c>
      <c r="F331" s="55">
        <f t="shared" si="2082"/>
        <v>276.45543307552134</v>
      </c>
      <c r="G331" s="55">
        <f t="shared" si="2082"/>
        <v>263.8910930520089</v>
      </c>
      <c r="H331" s="55">
        <f t="shared" si="2082"/>
        <v>244.44368193652122</v>
      </c>
      <c r="I331" s="55">
        <f t="shared" si="2082"/>
        <v>251.1575212108545</v>
      </c>
      <c r="J331" s="55">
        <f t="shared" si="2082"/>
        <v>267.34816106019281</v>
      </c>
      <c r="K331" s="55">
        <f t="shared" si="2082"/>
        <v>239.06109162337239</v>
      </c>
      <c r="L331" s="55">
        <f t="shared" si="2082"/>
        <v>276.89888630144134</v>
      </c>
      <c r="M331" s="55">
        <f t="shared" ref="M331:AB331" si="2088">M216*M273/M$5</f>
        <v>284.92258165308147</v>
      </c>
      <c r="N331" s="55">
        <f t="shared" si="2088"/>
        <v>303.2012681700034</v>
      </c>
      <c r="O331" s="55">
        <f t="shared" si="2088"/>
        <v>324.40792078649679</v>
      </c>
      <c r="P331" s="55">
        <f t="shared" si="2088"/>
        <v>304.31101482611052</v>
      </c>
      <c r="Q331" s="55">
        <f t="shared" si="2088"/>
        <v>315.89400073061358</v>
      </c>
      <c r="R331" s="55">
        <f t="shared" si="2088"/>
        <v>681.96753251190864</v>
      </c>
      <c r="S331" s="55">
        <f t="shared" si="2088"/>
        <v>807.06792040647372</v>
      </c>
      <c r="T331" s="55">
        <f t="shared" si="2088"/>
        <v>838.84928380974623</v>
      </c>
      <c r="U331" s="55">
        <f t="shared" si="2088"/>
        <v>867.59060167709902</v>
      </c>
      <c r="V331" s="55">
        <f t="shared" si="2088"/>
        <v>1109.3188299338669</v>
      </c>
      <c r="W331" s="55">
        <f t="shared" si="2088"/>
        <v>1191.0352287207952</v>
      </c>
      <c r="X331" s="55">
        <f t="shared" si="2088"/>
        <v>1291.1322584608386</v>
      </c>
      <c r="Y331" s="55">
        <f>Y216*Y273/Y$5</f>
        <v>1350.311261021895</v>
      </c>
      <c r="Z331" s="55">
        <f>Z216*Z273/Z$5</f>
        <v>1430.4364193549122</v>
      </c>
      <c r="AA331" s="55">
        <f t="shared" si="2088"/>
        <v>1391.1926718871287</v>
      </c>
      <c r="AB331" s="55">
        <f t="shared" si="2088"/>
        <v>1406.7745651054795</v>
      </c>
      <c r="AC331" s="55">
        <f t="shared" ref="AC331:AK331" si="2089">AC216*AC273/AC$5</f>
        <v>1361.9013221128221</v>
      </c>
      <c r="AD331" s="55">
        <f t="shared" si="2089"/>
        <v>1350.3825346288779</v>
      </c>
      <c r="AE331" s="55">
        <f t="shared" si="2089"/>
        <v>1373.6016702907925</v>
      </c>
      <c r="AF331" s="55">
        <f t="shared" si="2089"/>
        <v>1276.7622235569265</v>
      </c>
      <c r="AG331" s="55">
        <f t="shared" si="2089"/>
        <v>1278.1087005148379</v>
      </c>
      <c r="AH331" s="55">
        <f t="shared" si="2089"/>
        <v>1342.9467691867221</v>
      </c>
      <c r="AI331" s="55">
        <f t="shared" si="2089"/>
        <v>1329.0228256409669</v>
      </c>
      <c r="AJ331" s="55">
        <f t="shared" si="2089"/>
        <v>1356.3258717206045</v>
      </c>
      <c r="AK331" s="55">
        <f t="shared" si="2089"/>
        <v>1258.0413704824557</v>
      </c>
      <c r="AL331" s="55">
        <f t="shared" si="2085"/>
        <v>1292.3097003416015</v>
      </c>
      <c r="AM331" s="55">
        <f t="shared" si="2085"/>
        <v>1393.162124854663</v>
      </c>
      <c r="AN331" s="55">
        <f t="shared" si="2085"/>
        <v>1437.066134809932</v>
      </c>
      <c r="AO331" s="55">
        <f t="shared" si="2085"/>
        <v>1467.7374225814929</v>
      </c>
      <c r="AP331" s="55">
        <f t="shared" ref="AP331:AQ331" si="2090">AP216*AP273/AP$5</f>
        <v>1484.3798572822823</v>
      </c>
      <c r="AQ331" s="55">
        <f t="shared" si="2090"/>
        <v>1474.1874849631208</v>
      </c>
      <c r="AR331" s="55"/>
      <c r="AS331" s="55"/>
      <c r="AT331" s="55"/>
      <c r="AU331" s="55"/>
      <c r="AV331" s="55"/>
      <c r="AW331" s="55"/>
      <c r="AX331" s="55"/>
      <c r="AY331" s="55"/>
      <c r="AZ331" s="56"/>
      <c r="BA331" s="55"/>
      <c r="BB331" s="55"/>
      <c r="BC331" s="55"/>
      <c r="BD331" s="55"/>
      <c r="BE331" s="55"/>
      <c r="BF331" s="55"/>
      <c r="BG331" s="55"/>
      <c r="BH331" s="55"/>
      <c r="BI331" s="55"/>
      <c r="BJ331" s="55"/>
      <c r="BK331" s="55"/>
      <c r="BL331" s="55"/>
      <c r="BM331" s="55"/>
      <c r="BN331" s="55"/>
      <c r="BO331" s="55"/>
      <c r="BP331" s="55"/>
      <c r="BQ331" s="55"/>
      <c r="BR331" s="55"/>
      <c r="BS331" s="55"/>
      <c r="BT331" s="55"/>
      <c r="BU331" s="55"/>
      <c r="BV331" s="55"/>
      <c r="BW331" s="55"/>
      <c r="BX331" s="55"/>
      <c r="BY331" s="55"/>
      <c r="BZ331" s="55"/>
      <c r="CA331" s="55"/>
      <c r="CB331" s="55"/>
      <c r="CC331" s="55">
        <f>SUM(D331:E331)</f>
        <v>634.96309676875285</v>
      </c>
      <c r="CD331" s="55">
        <f>SUM(F331:G331)</f>
        <v>540.3465261275303</v>
      </c>
      <c r="CE331" s="55">
        <f>SUM(H331:I331)</f>
        <v>495.60120314737571</v>
      </c>
      <c r="CF331" s="55">
        <f>SUM(J331:K331)</f>
        <v>506.40925268356523</v>
      </c>
      <c r="CG331" s="55">
        <f>SUM(L331:M331)</f>
        <v>561.82146795452286</v>
      </c>
      <c r="CH331" s="55">
        <f>SUM(N331:O331)</f>
        <v>627.60918895650025</v>
      </c>
      <c r="CI331" s="55">
        <f>SUM(P331:Q331)</f>
        <v>620.20501555672411</v>
      </c>
      <c r="CJ331" s="55">
        <f>SUM(R331:S331)</f>
        <v>1489.0354529183824</v>
      </c>
      <c r="CK331" s="55">
        <f>SUM(T331:U331)</f>
        <v>1706.4398854868452</v>
      </c>
      <c r="CL331" s="55">
        <f>SUM(V331:W331)</f>
        <v>2300.3540586546624</v>
      </c>
      <c r="CM331" s="55">
        <f>SUM(X331:Y331)</f>
        <v>2641.4435194827338</v>
      </c>
      <c r="CN331" s="55">
        <f>SUM(Z331:AA331)</f>
        <v>2821.6290912420409</v>
      </c>
      <c r="CO331" s="55">
        <f>SUM(AB331:AC331)</f>
        <v>2768.6758872183018</v>
      </c>
      <c r="CP331" s="55">
        <f>SUM(AD331:AE331)</f>
        <v>2723.9842049196704</v>
      </c>
      <c r="CQ331" s="55">
        <f>SUM(AF331:AG331)</f>
        <v>2554.8709240717644</v>
      </c>
      <c r="CR331" s="55">
        <f>SUM(AH331:AI331)</f>
        <v>2671.969594827689</v>
      </c>
      <c r="CS331" s="55">
        <f>SUM(AJ331:AK331)</f>
        <v>2614.3672422030604</v>
      </c>
      <c r="CT331" s="55">
        <f>SUM(AL331:AM331)</f>
        <v>2685.4718251962645</v>
      </c>
      <c r="CU331" s="55">
        <f>SUM(AN331:AO331)</f>
        <v>2904.8035573914249</v>
      </c>
      <c r="CV331" s="55">
        <f>SUM(AP331:AQ331)</f>
        <v>2958.5673422454029</v>
      </c>
      <c r="CW331" s="55"/>
      <c r="CX331" s="55"/>
      <c r="CY331" s="55"/>
      <c r="CZ331" s="56"/>
      <c r="DA331" s="55"/>
      <c r="DB331" s="55"/>
      <c r="DC331" s="55"/>
      <c r="DD331" s="55"/>
      <c r="DE331" s="55"/>
      <c r="DF331" s="55"/>
      <c r="DG331" s="55"/>
      <c r="DH331" s="55"/>
      <c r="DI331" s="55"/>
    </row>
    <row r="332" spans="1:113" hidden="1" outlineLevel="2">
      <c r="A332" s="1" t="s">
        <v>193</v>
      </c>
      <c r="B332" s="19" t="s">
        <v>166</v>
      </c>
      <c r="C332" s="55">
        <f>C334-SUM(C330:C331,C333)</f>
        <v>312.53690292197564</v>
      </c>
      <c r="D332" s="55">
        <f>D334-SUM(D330:D331,D333)</f>
        <v>304.92496322925786</v>
      </c>
      <c r="E332" s="55">
        <f t="shared" ref="E332:L332" si="2091">E334-SUM(E330:E331,E333)</f>
        <v>214.98453198876052</v>
      </c>
      <c r="F332" s="55">
        <f t="shared" si="2091"/>
        <v>124.35008494447811</v>
      </c>
      <c r="G332" s="55">
        <f t="shared" si="2091"/>
        <v>135.97696209339074</v>
      </c>
      <c r="H332" s="55">
        <f t="shared" si="2091"/>
        <v>62.295207734188239</v>
      </c>
      <c r="I332" s="55">
        <f t="shared" si="2091"/>
        <v>466.32052787668624</v>
      </c>
      <c r="J332" s="55">
        <f t="shared" si="2091"/>
        <v>267.16986188935061</v>
      </c>
      <c r="K332" s="55">
        <f t="shared" si="2091"/>
        <v>289.02075895692155</v>
      </c>
      <c r="L332" s="55">
        <f t="shared" si="2091"/>
        <v>390.92880720538255</v>
      </c>
      <c r="M332" s="55">
        <f t="shared" ref="M332:X332" si="2092">M334-SUM(M330:M331,M333)</f>
        <v>-386.09096584823556</v>
      </c>
      <c r="N332" s="55">
        <f t="shared" si="2092"/>
        <v>182.76474159983582</v>
      </c>
      <c r="O332" s="55">
        <f t="shared" si="2092"/>
        <v>-435.82728861624093</v>
      </c>
      <c r="P332" s="55">
        <f t="shared" si="2092"/>
        <v>-1620.2943801616102</v>
      </c>
      <c r="Q332" s="55">
        <f t="shared" si="2092"/>
        <v>-1095.1944047918573</v>
      </c>
      <c r="R332" s="55">
        <f t="shared" si="2092"/>
        <v>-214.94683020026105</v>
      </c>
      <c r="S332" s="55">
        <f t="shared" si="2092"/>
        <v>1906.4841391385517</v>
      </c>
      <c r="T332" s="55">
        <f t="shared" si="2092"/>
        <v>1272.4613136623407</v>
      </c>
      <c r="U332" s="55">
        <f t="shared" si="2092"/>
        <v>587.66590452845548</v>
      </c>
      <c r="V332" s="55">
        <f t="shared" si="2092"/>
        <v>-89.460703131611808</v>
      </c>
      <c r="W332" s="55">
        <f t="shared" si="2092"/>
        <v>-182.37723369778905</v>
      </c>
      <c r="X332" s="55">
        <f t="shared" si="2092"/>
        <v>-146.52861976963595</v>
      </c>
      <c r="Y332" s="55">
        <f t="shared" ref="Y332:AK332" si="2093">Y334-SUM(Y330:Y331,Y333)</f>
        <v>184.75312819938063</v>
      </c>
      <c r="Z332" s="55">
        <f t="shared" si="2093"/>
        <v>457.20179956211268</v>
      </c>
      <c r="AA332" s="55">
        <f t="shared" si="2093"/>
        <v>907.43013979773878</v>
      </c>
      <c r="AB332" s="55">
        <f t="shared" si="2093"/>
        <v>981.34714541603989</v>
      </c>
      <c r="AC332" s="55">
        <f t="shared" si="2093"/>
        <v>686.89851062346679</v>
      </c>
      <c r="AD332" s="55">
        <f t="shared" si="2093"/>
        <v>424.37201118747453</v>
      </c>
      <c r="AE332" s="55">
        <f t="shared" si="2093"/>
        <v>541.76020320913449</v>
      </c>
      <c r="AF332" s="55">
        <f t="shared" si="2093"/>
        <v>882.18072364967429</v>
      </c>
      <c r="AG332" s="55">
        <f t="shared" si="2093"/>
        <v>773.22118800113822</v>
      </c>
      <c r="AH332" s="55">
        <f t="shared" si="2093"/>
        <v>1049.1551825504166</v>
      </c>
      <c r="AI332" s="55">
        <f t="shared" si="2093"/>
        <v>869.0883435143578</v>
      </c>
      <c r="AJ332" s="55">
        <f t="shared" si="2093"/>
        <v>1177.0430640756776</v>
      </c>
      <c r="AK332" s="55">
        <f t="shared" si="2093"/>
        <v>850.8283755522134</v>
      </c>
      <c r="AL332" s="55">
        <f t="shared" ref="AL332:AQ332" si="2094">AL334-SUM(AL330:AL331,AL333)</f>
        <v>470.44579666278969</v>
      </c>
      <c r="AM332" s="55">
        <f t="shared" si="2094"/>
        <v>159.27475830490312</v>
      </c>
      <c r="AN332" s="55">
        <f t="shared" si="2094"/>
        <v>1151.9134899270903</v>
      </c>
      <c r="AO332" s="55">
        <f t="shared" si="2094"/>
        <v>1192.1099899720048</v>
      </c>
      <c r="AP332" s="55">
        <f t="shared" si="2094"/>
        <v>1414.6215584829897</v>
      </c>
      <c r="AQ332" s="55">
        <f t="shared" si="2094"/>
        <v>1452.7155789662647</v>
      </c>
      <c r="AR332" s="55"/>
      <c r="AS332" s="55"/>
      <c r="AT332" s="55"/>
      <c r="AU332" s="55"/>
      <c r="AV332" s="55"/>
      <c r="AW332" s="55"/>
      <c r="AX332" s="55"/>
      <c r="AY332" s="55"/>
      <c r="AZ332" s="56"/>
      <c r="BA332" s="55"/>
      <c r="BB332" s="55"/>
      <c r="BC332" s="55"/>
      <c r="BD332" s="55"/>
      <c r="BE332" s="55"/>
      <c r="BF332" s="55"/>
      <c r="BG332" s="55"/>
      <c r="BH332" s="55"/>
      <c r="BI332" s="55"/>
      <c r="BJ332" s="55"/>
      <c r="BK332" s="55"/>
      <c r="BL332" s="55"/>
      <c r="BM332" s="55"/>
      <c r="BN332" s="55"/>
      <c r="BO332" s="55"/>
      <c r="BP332" s="55"/>
      <c r="BQ332" s="55"/>
      <c r="BR332" s="55"/>
      <c r="BS332" s="55"/>
      <c r="BT332" s="55"/>
      <c r="BU332" s="55"/>
      <c r="BV332" s="55"/>
      <c r="BW332" s="55"/>
      <c r="BX332" s="55"/>
      <c r="BY332" s="55"/>
      <c r="BZ332" s="55"/>
      <c r="CA332" s="55"/>
      <c r="CB332" s="55"/>
      <c r="CC332" s="55">
        <f>SUM(D332:E332)</f>
        <v>519.90949521801838</v>
      </c>
      <c r="CD332" s="55">
        <f>SUM(F332:G332)</f>
        <v>260.32704703786885</v>
      </c>
      <c r="CE332" s="55">
        <f>SUM(H332:I332)</f>
        <v>528.61573561087448</v>
      </c>
      <c r="CF332" s="55">
        <f>SUM(J332:K332)</f>
        <v>556.19062084627217</v>
      </c>
      <c r="CG332" s="55">
        <f>SUM(L332:M332)</f>
        <v>4.8378413571469991</v>
      </c>
      <c r="CH332" s="55">
        <f>SUM(N332:O332)</f>
        <v>-253.06254701640512</v>
      </c>
      <c r="CI332" s="55">
        <f>SUM(P332:Q332)</f>
        <v>-2715.4887849534675</v>
      </c>
      <c r="CJ332" s="55">
        <f>SUM(R332:S332)</f>
        <v>1691.5373089382906</v>
      </c>
      <c r="CK332" s="55">
        <f>SUM(T332:U332)</f>
        <v>1860.1272181907962</v>
      </c>
      <c r="CL332" s="55">
        <f>SUM(V332:W332)</f>
        <v>-271.83793682940086</v>
      </c>
      <c r="CM332" s="55">
        <f>SUM(X332:Y332)</f>
        <v>38.224508429744674</v>
      </c>
      <c r="CN332" s="55">
        <f>SUM(Z332:AA332)</f>
        <v>1364.6319393598515</v>
      </c>
      <c r="CO332" s="55">
        <f>SUM(AB332:AC332)</f>
        <v>1668.2456560395067</v>
      </c>
      <c r="CP332" s="55">
        <f>SUM(AD332:AE332)</f>
        <v>966.13221439660902</v>
      </c>
      <c r="CQ332" s="55">
        <f>SUM(AF332:AG332)</f>
        <v>1655.4019116508125</v>
      </c>
      <c r="CR332" s="55">
        <f>SUM(AH332:AI332)</f>
        <v>1918.2435260647744</v>
      </c>
      <c r="CS332" s="55">
        <f>SUM(AJ332:AK332)</f>
        <v>2027.871439627891</v>
      </c>
      <c r="CT332" s="55">
        <f>SUM(AL332:AM332)</f>
        <v>629.72055496769281</v>
      </c>
      <c r="CU332" s="55">
        <f>SUM(AN332:AO332)</f>
        <v>2344.023479899095</v>
      </c>
      <c r="CV332" s="55">
        <f>SUM(AP332:AQ332)</f>
        <v>2867.3371374492544</v>
      </c>
      <c r="CW332" s="55"/>
      <c r="CX332" s="55"/>
      <c r="CY332" s="55"/>
      <c r="CZ332" s="56"/>
      <c r="DA332" s="55"/>
      <c r="DB332" s="55"/>
      <c r="DC332" s="55"/>
      <c r="DD332" s="55"/>
      <c r="DE332" s="55"/>
      <c r="DF332" s="55"/>
      <c r="DG332" s="55"/>
      <c r="DH332" s="55"/>
      <c r="DI332" s="55"/>
    </row>
    <row r="333" spans="1:113" hidden="1" outlineLevel="2">
      <c r="A333" s="1" t="s">
        <v>194</v>
      </c>
      <c r="B333" s="19" t="s">
        <v>167</v>
      </c>
      <c r="C333" s="55">
        <f t="shared" ref="C333:L334" si="2095">C218*C275/C$5</f>
        <v>67.168583432134142</v>
      </c>
      <c r="D333" s="55">
        <f t="shared" si="2095"/>
        <v>95.968928438230449</v>
      </c>
      <c r="E333" s="55">
        <f t="shared" si="2095"/>
        <v>104.38332699432098</v>
      </c>
      <c r="F333" s="55">
        <f t="shared" si="2095"/>
        <v>117.03714981934766</v>
      </c>
      <c r="G333" s="55">
        <f t="shared" si="2095"/>
        <v>132.00988611325124</v>
      </c>
      <c r="H333" s="55">
        <f t="shared" si="2095"/>
        <v>106.90875610788619</v>
      </c>
      <c r="I333" s="55">
        <f t="shared" si="2095"/>
        <v>94.272829287732208</v>
      </c>
      <c r="J333" s="55">
        <f t="shared" si="2095"/>
        <v>109.45564719231653</v>
      </c>
      <c r="K333" s="55">
        <f t="shared" si="2095"/>
        <v>102.56334199465405</v>
      </c>
      <c r="L333" s="55">
        <f t="shared" si="2095"/>
        <v>113.70112029192613</v>
      </c>
      <c r="M333" s="55">
        <f t="shared" ref="M333:X333" si="2096">M218*M275/M$5</f>
        <v>110.23098813791279</v>
      </c>
      <c r="N333" s="55">
        <f t="shared" si="2096"/>
        <v>98.270080524948938</v>
      </c>
      <c r="O333" s="55">
        <f t="shared" si="2096"/>
        <v>92.990877145717761</v>
      </c>
      <c r="P333" s="55">
        <f t="shared" si="2096"/>
        <v>80.443400019651676</v>
      </c>
      <c r="Q333" s="55">
        <f t="shared" si="2096"/>
        <v>101.37686327494404</v>
      </c>
      <c r="R333" s="55">
        <f t="shared" si="2096"/>
        <v>314.29610561729305</v>
      </c>
      <c r="S333" s="55">
        <f t="shared" si="2096"/>
        <v>469.45078175562219</v>
      </c>
      <c r="T333" s="55">
        <f t="shared" si="2096"/>
        <v>454.19447676410255</v>
      </c>
      <c r="U333" s="55">
        <f t="shared" si="2096"/>
        <v>451.73824411087901</v>
      </c>
      <c r="V333" s="55">
        <f t="shared" si="2096"/>
        <v>463.78492199335523</v>
      </c>
      <c r="W333" s="55">
        <f t="shared" si="2096"/>
        <v>460.75429177080832</v>
      </c>
      <c r="X333" s="55">
        <f t="shared" si="2096"/>
        <v>485.68704808173749</v>
      </c>
      <c r="Y333" s="55">
        <f t="shared" ref="Y333:AK333" si="2097">Y218*Y275/Y$5</f>
        <v>534.76188590951028</v>
      </c>
      <c r="Z333" s="55">
        <f t="shared" si="2097"/>
        <v>597.48473270016245</v>
      </c>
      <c r="AA333" s="55">
        <f t="shared" si="2097"/>
        <v>634.31229267335664</v>
      </c>
      <c r="AB333" s="55">
        <f t="shared" si="2097"/>
        <v>686.70818468681216</v>
      </c>
      <c r="AC333" s="55">
        <f t="shared" si="2097"/>
        <v>679.48139551731435</v>
      </c>
      <c r="AD333" s="55">
        <f t="shared" si="2097"/>
        <v>686.70468876573966</v>
      </c>
      <c r="AE333" s="55">
        <f t="shared" si="2097"/>
        <v>709.11599883278541</v>
      </c>
      <c r="AF333" s="55">
        <f t="shared" si="2097"/>
        <v>691.04455425479603</v>
      </c>
      <c r="AG333" s="55">
        <f t="shared" si="2097"/>
        <v>677.13259075191183</v>
      </c>
      <c r="AH333" s="55">
        <f t="shared" si="2097"/>
        <v>715.1816601893031</v>
      </c>
      <c r="AI333" s="55">
        <f t="shared" si="2097"/>
        <v>703.77709907721362</v>
      </c>
      <c r="AJ333" s="55">
        <f t="shared" si="2097"/>
        <v>678.66693650579521</v>
      </c>
      <c r="AK333" s="55">
        <f t="shared" si="2097"/>
        <v>632.40882683532652</v>
      </c>
      <c r="AL333" s="55">
        <f t="shared" ref="AL333:AO334" si="2098">AL218*AL275/AL$5</f>
        <v>617.97981862282199</v>
      </c>
      <c r="AM333" s="55">
        <f t="shared" si="2098"/>
        <v>626.83701444861367</v>
      </c>
      <c r="AN333" s="55">
        <f t="shared" si="2098"/>
        <v>622.82231800789702</v>
      </c>
      <c r="AO333" s="55">
        <f t="shared" si="2098"/>
        <v>579.24202276131609</v>
      </c>
      <c r="AP333" s="55">
        <f t="shared" ref="AP333:AQ333" si="2099">AP218*AP275/AP$5</f>
        <v>510.31694920312179</v>
      </c>
      <c r="AQ333" s="55">
        <f t="shared" si="2099"/>
        <v>471.09851861876956</v>
      </c>
      <c r="AR333" s="55"/>
      <c r="AS333" s="55"/>
      <c r="AT333" s="55"/>
      <c r="AU333" s="55"/>
      <c r="AV333" s="55"/>
      <c r="AW333" s="55"/>
      <c r="AX333" s="55"/>
      <c r="AY333" s="55"/>
      <c r="AZ333" s="56"/>
      <c r="BA333" s="55"/>
      <c r="BB333" s="55"/>
      <c r="BC333" s="55"/>
      <c r="BD333" s="55"/>
      <c r="BE333" s="55"/>
      <c r="BF333" s="55"/>
      <c r="BG333" s="55"/>
      <c r="BH333" s="55"/>
      <c r="BI333" s="55"/>
      <c r="BJ333" s="55"/>
      <c r="BK333" s="55"/>
      <c r="BL333" s="55"/>
      <c r="BM333" s="55"/>
      <c r="BN333" s="55"/>
      <c r="BO333" s="55"/>
      <c r="BP333" s="55"/>
      <c r="BQ333" s="55"/>
      <c r="BR333" s="55"/>
      <c r="BS333" s="55"/>
      <c r="BT333" s="55"/>
      <c r="BU333" s="55"/>
      <c r="BV333" s="55"/>
      <c r="BW333" s="55"/>
      <c r="BX333" s="55"/>
      <c r="BY333" s="55"/>
      <c r="BZ333" s="55"/>
      <c r="CA333" s="55"/>
      <c r="CB333" s="55"/>
      <c r="CC333" s="55">
        <f>SUM(D333:E333)</f>
        <v>200.35225543255143</v>
      </c>
      <c r="CD333" s="55">
        <f>SUM(F333:G333)</f>
        <v>249.0470359325989</v>
      </c>
      <c r="CE333" s="55">
        <f>SUM(H333:I333)</f>
        <v>201.18158539561841</v>
      </c>
      <c r="CF333" s="55">
        <f>SUM(J333:K333)</f>
        <v>212.0189891869706</v>
      </c>
      <c r="CG333" s="55">
        <f>SUM(L333:M333)</f>
        <v>223.93210842983893</v>
      </c>
      <c r="CH333" s="55">
        <f>SUM(N333:O333)</f>
        <v>191.2609576706667</v>
      </c>
      <c r="CI333" s="55">
        <f>SUM(P333:Q333)</f>
        <v>181.82026329459572</v>
      </c>
      <c r="CJ333" s="55">
        <f>SUM(R333:S333)</f>
        <v>783.74688737291524</v>
      </c>
      <c r="CK333" s="55">
        <f>SUM(T333:U333)</f>
        <v>905.93272087498156</v>
      </c>
      <c r="CL333" s="55">
        <f>SUM(V333:W333)</f>
        <v>924.53921376416361</v>
      </c>
      <c r="CM333" s="55">
        <f>SUM(X333:Y333)</f>
        <v>1020.4489339912477</v>
      </c>
      <c r="CN333" s="55">
        <f>SUM(Z333:AA333)</f>
        <v>1231.7970253735191</v>
      </c>
      <c r="CO333" s="55">
        <f>SUM(AB333:AC333)</f>
        <v>1366.1895802041265</v>
      </c>
      <c r="CP333" s="55">
        <f>SUM(AD333:AE333)</f>
        <v>1395.8206875985252</v>
      </c>
      <c r="CQ333" s="55">
        <f>SUM(AF333:AG333)</f>
        <v>1368.1771450067079</v>
      </c>
      <c r="CR333" s="55">
        <f>SUM(AH333:AI333)</f>
        <v>1418.9587592665166</v>
      </c>
      <c r="CS333" s="55">
        <f>SUM(AJ333:AK333)</f>
        <v>1311.0757633411217</v>
      </c>
      <c r="CT333" s="55">
        <f>SUM(AL333:AM333)</f>
        <v>1244.8168330714357</v>
      </c>
      <c r="CU333" s="55">
        <f>SUM(AN333:AO333)</f>
        <v>1202.0643407692132</v>
      </c>
      <c r="CV333" s="55">
        <f>SUM(AP333:AQ333)</f>
        <v>981.4154678218913</v>
      </c>
      <c r="CW333" s="55"/>
      <c r="CX333" s="55"/>
      <c r="CY333" s="55"/>
      <c r="CZ333" s="56"/>
      <c r="DA333" s="55"/>
      <c r="DB333" s="55"/>
      <c r="DC333" s="55"/>
      <c r="DD333" s="55"/>
      <c r="DE333" s="55"/>
      <c r="DF333" s="55"/>
      <c r="DG333" s="55"/>
      <c r="DH333" s="55"/>
      <c r="DI333" s="55"/>
    </row>
    <row r="334" spans="1:113" s="24" customFormat="1" hidden="1" outlineLevel="2">
      <c r="A334" s="1" t="s">
        <v>195</v>
      </c>
      <c r="B334" s="24" t="s">
        <v>168</v>
      </c>
      <c r="C334" s="82">
        <f t="shared" si="2095"/>
        <v>1289.1164759999999</v>
      </c>
      <c r="D334" s="82">
        <f t="shared" si="2095"/>
        <v>1306.3552867945209</v>
      </c>
      <c r="E334" s="82">
        <f t="shared" si="2095"/>
        <v>1035.2320338753416</v>
      </c>
      <c r="F334" s="82">
        <f t="shared" si="2095"/>
        <v>1044.596266359817</v>
      </c>
      <c r="G334" s="82">
        <f t="shared" si="2095"/>
        <v>1124.7632756621015</v>
      </c>
      <c r="H334" s="82">
        <f t="shared" si="2095"/>
        <v>1000.1654396794164</v>
      </c>
      <c r="I334" s="82">
        <f t="shared" si="2095"/>
        <v>966.36152213114747</v>
      </c>
      <c r="J334" s="82">
        <f t="shared" si="2095"/>
        <v>1233.5642538812783</v>
      </c>
      <c r="K334" s="82">
        <f t="shared" si="2095"/>
        <v>1158.3238969561648</v>
      </c>
      <c r="L334" s="82">
        <f t="shared" si="2095"/>
        <v>1366.087160562892</v>
      </c>
      <c r="M334" s="82">
        <f t="shared" ref="M334:X334" si="2100">M219*M276/M$5</f>
        <v>570.40800394478356</v>
      </c>
      <c r="N334" s="82">
        <f t="shared" si="2100"/>
        <v>1153.2416296559663</v>
      </c>
      <c r="O334" s="82">
        <f t="shared" si="2100"/>
        <v>655.5025945833487</v>
      </c>
      <c r="P334" s="82">
        <f t="shared" si="2100"/>
        <v>-744.70476191422244</v>
      </c>
      <c r="Q334" s="82">
        <f t="shared" si="2100"/>
        <v>-90.614440540984504</v>
      </c>
      <c r="R334" s="82">
        <f t="shared" si="2100"/>
        <v>2515.9605190934012</v>
      </c>
      <c r="S334" s="82">
        <f t="shared" si="2100"/>
        <v>5383.4322316141042</v>
      </c>
      <c r="T334" s="82">
        <f t="shared" si="2100"/>
        <v>4647.197528109592</v>
      </c>
      <c r="U334" s="82">
        <f t="shared" si="2100"/>
        <v>4266.9073379462634</v>
      </c>
      <c r="V334" s="82">
        <f t="shared" si="2100"/>
        <v>4277.3487182205808</v>
      </c>
      <c r="W334" s="82">
        <f t="shared" si="2100"/>
        <v>4530.9216951810577</v>
      </c>
      <c r="X334" s="82">
        <f t="shared" si="2100"/>
        <v>4912.4027002878202</v>
      </c>
      <c r="Y334" s="82">
        <f t="shared" ref="Y334:AK334" si="2101">Y219*Y276/Y$5</f>
        <v>5821.5081048087523</v>
      </c>
      <c r="Z334" s="82">
        <f t="shared" si="2101"/>
        <v>6520.6292868263126</v>
      </c>
      <c r="AA334" s="82">
        <f t="shared" si="2101"/>
        <v>6858.0590993256537</v>
      </c>
      <c r="AB334" s="82">
        <f t="shared" si="2101"/>
        <v>7113.6654958240015</v>
      </c>
      <c r="AC334" s="82">
        <f t="shared" si="2101"/>
        <v>6672.8912934018263</v>
      </c>
      <c r="AD334" s="82">
        <f t="shared" si="2101"/>
        <v>6542.6925375566643</v>
      </c>
      <c r="AE334" s="82">
        <f t="shared" si="2101"/>
        <v>6987.0124910904178</v>
      </c>
      <c r="AF334" s="82">
        <f t="shared" si="2101"/>
        <v>7212.3489412154431</v>
      </c>
      <c r="AG334" s="82">
        <f t="shared" si="2101"/>
        <v>7254.3077773223968</v>
      </c>
      <c r="AH334" s="82">
        <f t="shared" si="2101"/>
        <v>8038.5303675942596</v>
      </c>
      <c r="AI334" s="82">
        <f t="shared" si="2101"/>
        <v>7928.5231944041107</v>
      </c>
      <c r="AJ334" s="82">
        <f t="shared" si="2101"/>
        <v>8390.3745358819742</v>
      </c>
      <c r="AK334" s="82">
        <f t="shared" si="2101"/>
        <v>7534.081794649117</v>
      </c>
      <c r="AL334" s="82">
        <f t="shared" si="2098"/>
        <v>7447.6192313541769</v>
      </c>
      <c r="AM334" s="82">
        <f t="shared" si="2098"/>
        <v>7896.7813703536376</v>
      </c>
      <c r="AN334" s="82">
        <f t="shared" si="2098"/>
        <v>9447.3559806259327</v>
      </c>
      <c r="AO334" s="82">
        <f t="shared" si="2098"/>
        <v>9797.5472974863369</v>
      </c>
      <c r="AP334" s="82">
        <f t="shared" ref="AP334:AQ334" si="2102">AP219*AP276/AP$5</f>
        <v>10197.655070195104</v>
      </c>
      <c r="AQ334" s="82">
        <f t="shared" si="2102"/>
        <v>9916.8730885351451</v>
      </c>
      <c r="AR334" s="82"/>
      <c r="AS334" s="82"/>
      <c r="AT334" s="82"/>
      <c r="AU334" s="82"/>
      <c r="AV334" s="82"/>
      <c r="AW334" s="82"/>
      <c r="AX334" s="82"/>
      <c r="AY334" s="82"/>
      <c r="AZ334" s="83"/>
      <c r="BA334" s="82"/>
      <c r="BB334" s="82"/>
      <c r="BC334" s="82"/>
      <c r="BD334" s="82"/>
      <c r="BE334" s="82"/>
      <c r="BF334" s="82"/>
      <c r="BG334" s="82"/>
      <c r="BH334" s="82"/>
      <c r="BI334" s="82"/>
      <c r="BJ334" s="82"/>
      <c r="BK334" s="82"/>
      <c r="BL334" s="82"/>
      <c r="BM334" s="82"/>
      <c r="BN334" s="82"/>
      <c r="BO334" s="82"/>
      <c r="BP334" s="82"/>
      <c r="BQ334" s="82"/>
      <c r="BR334" s="82"/>
      <c r="BS334" s="82">
        <f t="shared" ref="BS334:CB334" si="2103">BS219*BS276/BS$5</f>
        <v>2153.0184474999996</v>
      </c>
      <c r="BT334" s="82">
        <f t="shared" si="2103"/>
        <v>2259.7399299999997</v>
      </c>
      <c r="BU334" s="82">
        <f t="shared" si="2103"/>
        <v>2033.0552500000003</v>
      </c>
      <c r="BV334" s="82">
        <f t="shared" si="2103"/>
        <v>1046.3160749999993</v>
      </c>
      <c r="BW334" s="82">
        <f t="shared" si="2103"/>
        <v>1353.3324799999998</v>
      </c>
      <c r="BX334" s="82">
        <f t="shared" si="2103"/>
        <v>1779.6396793333327</v>
      </c>
      <c r="BY334" s="82">
        <f t="shared" si="2103"/>
        <v>1867.6289207500001</v>
      </c>
      <c r="BZ334" s="82">
        <f t="shared" si="2103"/>
        <v>1786.0317375000009</v>
      </c>
      <c r="CA334" s="82">
        <f t="shared" si="2103"/>
        <v>1377.4674900763396</v>
      </c>
      <c r="CB334" s="82">
        <f t="shared" si="2103"/>
        <v>2068.7997215384644</v>
      </c>
      <c r="CC334" s="82">
        <f>SUM(D334:E334)</f>
        <v>2341.5873206698625</v>
      </c>
      <c r="CD334" s="82">
        <f>SUM(F334:G334)</f>
        <v>2169.3595420219185</v>
      </c>
      <c r="CE334" s="82">
        <f>SUM(H334:I334)</f>
        <v>1966.526961810564</v>
      </c>
      <c r="CF334" s="82">
        <f>SUM(J334:K334)</f>
        <v>2391.8881508374434</v>
      </c>
      <c r="CG334" s="82">
        <f>SUM(L334:M334)</f>
        <v>1936.4951645076756</v>
      </c>
      <c r="CH334" s="82">
        <f>SUM(N334:O334)</f>
        <v>1808.7442242393149</v>
      </c>
      <c r="CI334" s="82">
        <f>SUM(P334:Q334)</f>
        <v>-835.31920245520701</v>
      </c>
      <c r="CJ334" s="82">
        <f>SUM(R334:S334)</f>
        <v>7899.3927507075059</v>
      </c>
      <c r="CK334" s="82">
        <f>SUM(T334:U334)</f>
        <v>8914.1048660558554</v>
      </c>
      <c r="CL334" s="82">
        <f>SUM(V334:W334)</f>
        <v>8808.2704134016385</v>
      </c>
      <c r="CM334" s="82">
        <f>SUM(X334:Y334)</f>
        <v>10733.910805096573</v>
      </c>
      <c r="CN334" s="82">
        <f>SUM(Z334:AA334)</f>
        <v>13378.688386151967</v>
      </c>
      <c r="CO334" s="82">
        <f>SUM(AB334:AC334)</f>
        <v>13786.556789225828</v>
      </c>
      <c r="CP334" s="82">
        <f>SUM(AD334:AE334)</f>
        <v>13529.705028647082</v>
      </c>
      <c r="CQ334" s="82">
        <f>SUM(AF334:AG334)</f>
        <v>14466.656718537841</v>
      </c>
      <c r="CR334" s="82">
        <f>SUM(AH334:AI334)</f>
        <v>15967.053561998371</v>
      </c>
      <c r="CS334" s="82">
        <f>SUM(AJ334:AK334)</f>
        <v>15924.456330531091</v>
      </c>
      <c r="CT334" s="82">
        <f>SUM(AL334:AM334)</f>
        <v>15344.400601707814</v>
      </c>
      <c r="CU334" s="82">
        <f>SUM(AN334:AO334)</f>
        <v>19244.90327811227</v>
      </c>
      <c r="CV334" s="82">
        <f>SUM(AP334:AQ334)</f>
        <v>20114.528158730249</v>
      </c>
      <c r="CW334" s="82"/>
      <c r="CX334" s="82"/>
      <c r="CY334" s="82"/>
      <c r="CZ334" s="83"/>
      <c r="DA334" s="82"/>
      <c r="DB334" s="82"/>
      <c r="DC334" s="82"/>
      <c r="DD334" s="82"/>
      <c r="DE334" s="82"/>
      <c r="DF334" s="82"/>
      <c r="DG334" s="82"/>
      <c r="DH334" s="82"/>
      <c r="DI334" s="82"/>
    </row>
    <row r="335" spans="1:113" hidden="1" outlineLevel="2">
      <c r="C335" s="55"/>
      <c r="D335" s="55"/>
      <c r="E335" s="55"/>
      <c r="F335" s="55"/>
      <c r="G335" s="55"/>
      <c r="H335" s="55"/>
      <c r="I335" s="55"/>
      <c r="J335" s="55"/>
      <c r="K335" s="55"/>
      <c r="L335" s="55"/>
      <c r="M335" s="55"/>
      <c r="N335" s="55"/>
      <c r="O335" s="55"/>
      <c r="P335" s="55"/>
      <c r="Q335" s="55"/>
      <c r="R335" s="55"/>
      <c r="S335" s="55"/>
      <c r="T335" s="55"/>
      <c r="U335" s="55"/>
      <c r="V335" s="55"/>
      <c r="W335" s="55"/>
      <c r="X335" s="55"/>
      <c r="Y335" s="55"/>
      <c r="Z335" s="55"/>
      <c r="AA335" s="55"/>
      <c r="AB335" s="55"/>
      <c r="AC335" s="55"/>
      <c r="AD335" s="55"/>
      <c r="AE335" s="55"/>
      <c r="AF335" s="55"/>
      <c r="AG335" s="55"/>
      <c r="AH335" s="55"/>
      <c r="AI335" s="55"/>
      <c r="AJ335" s="55"/>
      <c r="AK335" s="55"/>
      <c r="AL335" s="55"/>
      <c r="AM335" s="55"/>
      <c r="AN335" s="55"/>
      <c r="AO335" s="55"/>
      <c r="AP335" s="55"/>
      <c r="AQ335" s="55"/>
      <c r="AR335" s="55"/>
      <c r="AS335" s="55"/>
      <c r="AT335" s="55"/>
      <c r="AU335" s="55"/>
      <c r="AV335" s="55"/>
      <c r="AW335" s="55"/>
      <c r="AX335" s="55"/>
      <c r="AY335" s="55"/>
      <c r="AZ335" s="56"/>
      <c r="BA335" s="55"/>
      <c r="BB335" s="55"/>
      <c r="BC335" s="55"/>
      <c r="BD335" s="55"/>
      <c r="BE335" s="55"/>
      <c r="BF335" s="55"/>
      <c r="BG335" s="55"/>
      <c r="BH335" s="55"/>
      <c r="BI335" s="55"/>
      <c r="BJ335" s="55"/>
      <c r="BK335" s="55"/>
      <c r="BL335" s="55"/>
      <c r="BM335" s="55"/>
      <c r="BN335" s="55"/>
      <c r="BO335" s="55"/>
      <c r="BP335" s="55"/>
      <c r="BQ335" s="55"/>
      <c r="BR335" s="55"/>
      <c r="BS335" s="55"/>
      <c r="BT335" s="55"/>
      <c r="BU335" s="55"/>
      <c r="BV335" s="55"/>
      <c r="BW335" s="55"/>
      <c r="BX335" s="55"/>
      <c r="BY335" s="55"/>
      <c r="BZ335" s="55"/>
      <c r="CA335" s="55"/>
      <c r="CB335" s="55"/>
      <c r="CC335" s="55"/>
      <c r="CD335" s="55"/>
      <c r="CE335" s="55"/>
      <c r="CF335" s="55"/>
      <c r="CG335" s="55"/>
      <c r="CH335" s="55"/>
      <c r="CI335" s="55"/>
      <c r="CJ335" s="55"/>
      <c r="CK335" s="55"/>
      <c r="CL335" s="55"/>
      <c r="CM335" s="55"/>
      <c r="CN335" s="55"/>
      <c r="CO335" s="55"/>
      <c r="CP335" s="55"/>
      <c r="CQ335" s="55"/>
      <c r="CR335" s="55"/>
      <c r="CS335" s="55"/>
      <c r="CT335" s="55"/>
      <c r="CU335" s="55"/>
      <c r="CV335" s="55"/>
      <c r="CW335" s="55"/>
      <c r="CX335" s="55"/>
      <c r="CY335" s="55"/>
      <c r="CZ335" s="56"/>
      <c r="DA335" s="55"/>
      <c r="DB335" s="55"/>
      <c r="DC335" s="55"/>
      <c r="DD335" s="55"/>
      <c r="DE335" s="55"/>
      <c r="DF335" s="55"/>
      <c r="DG335" s="55"/>
      <c r="DH335" s="55"/>
      <c r="DI335" s="55"/>
    </row>
    <row r="336" spans="1:113" s="24" customFormat="1" hidden="1" outlineLevel="2">
      <c r="A336" s="1"/>
      <c r="B336" s="24" t="s">
        <v>406</v>
      </c>
      <c r="C336" s="82"/>
      <c r="D336" s="82"/>
      <c r="E336" s="82"/>
      <c r="F336" s="82"/>
      <c r="G336" s="82"/>
      <c r="H336" s="82"/>
      <c r="I336" s="82"/>
      <c r="J336" s="82"/>
      <c r="K336" s="82"/>
      <c r="L336" s="82"/>
      <c r="M336" s="82"/>
      <c r="N336" s="82"/>
      <c r="O336" s="82"/>
      <c r="P336" s="82"/>
      <c r="Q336" s="82"/>
      <c r="R336" s="82"/>
      <c r="S336" s="82"/>
      <c r="T336" s="82"/>
      <c r="U336" s="82"/>
      <c r="V336" s="82"/>
      <c r="W336" s="82"/>
      <c r="X336" s="82"/>
      <c r="Y336" s="82"/>
      <c r="Z336" s="82"/>
      <c r="AA336" s="82"/>
      <c r="AB336" s="82"/>
      <c r="AC336" s="82"/>
      <c r="AD336" s="82"/>
      <c r="AE336" s="82"/>
      <c r="AF336" s="82"/>
      <c r="AG336" s="82"/>
      <c r="AH336" s="82"/>
      <c r="AI336" s="82"/>
      <c r="AJ336" s="82"/>
      <c r="AK336" s="82"/>
      <c r="AL336" s="82"/>
      <c r="AM336" s="82"/>
      <c r="AN336" s="82"/>
      <c r="AO336" s="82"/>
      <c r="AP336" s="82"/>
      <c r="AQ336" s="82"/>
      <c r="AR336" s="82"/>
      <c r="AS336" s="82"/>
      <c r="AT336" s="82"/>
      <c r="AU336" s="82"/>
      <c r="AV336" s="82"/>
      <c r="AW336" s="82"/>
      <c r="AX336" s="82"/>
      <c r="AY336" s="82"/>
      <c r="AZ336" s="83"/>
      <c r="BA336" s="82"/>
      <c r="BB336" s="82"/>
      <c r="BC336" s="82"/>
      <c r="BD336" s="82"/>
      <c r="BE336" s="82"/>
      <c r="BF336" s="82"/>
      <c r="BG336" s="82"/>
      <c r="BH336" s="82"/>
      <c r="BI336" s="82"/>
      <c r="BJ336" s="82"/>
      <c r="BK336" s="82"/>
      <c r="BL336" s="82"/>
      <c r="BM336" s="82"/>
      <c r="BN336" s="82"/>
      <c r="BO336" s="82"/>
      <c r="BP336" s="82"/>
      <c r="BQ336" s="82"/>
      <c r="BR336" s="82"/>
      <c r="BS336" s="82"/>
      <c r="BT336" s="82"/>
      <c r="BU336" s="82"/>
      <c r="BV336" s="82"/>
      <c r="BW336" s="82"/>
      <c r="BX336" s="82"/>
      <c r="BY336" s="82"/>
      <c r="BZ336" s="82"/>
      <c r="CA336" s="82"/>
      <c r="CB336" s="82"/>
      <c r="CC336" s="82"/>
      <c r="CD336" s="82"/>
      <c r="CE336" s="82"/>
      <c r="CF336" s="82"/>
      <c r="CG336" s="82"/>
      <c r="CH336" s="82"/>
      <c r="CI336" s="82"/>
      <c r="CJ336" s="82"/>
      <c r="CK336" s="82"/>
      <c r="CL336" s="82"/>
      <c r="CM336" s="82"/>
      <c r="CN336" s="82"/>
      <c r="CO336" s="82"/>
      <c r="CP336" s="82"/>
      <c r="CQ336" s="82"/>
      <c r="CR336" s="82"/>
      <c r="CS336" s="82"/>
      <c r="CT336" s="82"/>
      <c r="CU336" s="82"/>
      <c r="CV336" s="82"/>
      <c r="CW336" s="82"/>
      <c r="CX336" s="82"/>
      <c r="CY336" s="82"/>
      <c r="CZ336" s="83"/>
      <c r="DA336" s="82"/>
      <c r="DB336" s="82"/>
      <c r="DC336" s="82"/>
      <c r="DD336" s="82"/>
      <c r="DE336" s="82"/>
      <c r="DF336" s="82"/>
      <c r="DG336" s="82"/>
      <c r="DH336" s="82"/>
      <c r="DI336" s="82"/>
    </row>
    <row r="337" spans="1:113" hidden="1" outlineLevel="2">
      <c r="A337" s="1" t="s">
        <v>196</v>
      </c>
      <c r="B337" s="19" t="s">
        <v>164</v>
      </c>
      <c r="C337" s="55"/>
      <c r="D337" s="55"/>
      <c r="E337" s="55"/>
      <c r="F337" s="55"/>
      <c r="G337" s="55"/>
      <c r="H337" s="55"/>
      <c r="I337" s="55"/>
      <c r="J337" s="55"/>
      <c r="K337" s="55"/>
      <c r="L337" s="55"/>
      <c r="M337" s="55"/>
      <c r="N337" s="55"/>
      <c r="O337" s="55"/>
      <c r="P337" s="55"/>
      <c r="Q337" s="55"/>
      <c r="R337" s="55"/>
      <c r="S337" s="55"/>
      <c r="T337" s="55"/>
      <c r="U337" s="55"/>
      <c r="V337" s="55"/>
      <c r="W337" s="55"/>
      <c r="X337" s="55"/>
      <c r="Y337" s="55"/>
      <c r="Z337" s="55"/>
      <c r="AA337" s="55"/>
      <c r="AB337" s="55"/>
      <c r="AC337" s="55"/>
      <c r="AD337" s="55"/>
      <c r="AE337" s="55"/>
      <c r="AF337" s="55"/>
      <c r="AG337" s="55"/>
      <c r="AH337" s="55"/>
      <c r="AI337" s="55"/>
      <c r="AJ337" s="55"/>
      <c r="AK337" s="55"/>
      <c r="AL337" s="55"/>
      <c r="AM337" s="55"/>
      <c r="AN337" s="55"/>
      <c r="AO337" s="55"/>
      <c r="AP337" s="55"/>
      <c r="AQ337" s="55"/>
      <c r="AR337" s="55"/>
      <c r="AS337" s="55"/>
      <c r="AT337" s="55"/>
      <c r="AU337" s="55"/>
      <c r="AV337" s="55"/>
      <c r="AW337" s="55"/>
      <c r="AX337" s="55"/>
      <c r="AY337" s="55"/>
      <c r="AZ337" s="56"/>
      <c r="BA337" s="55"/>
      <c r="BB337" s="55"/>
      <c r="BC337" s="55"/>
      <c r="BD337" s="55"/>
      <c r="BE337" s="55"/>
      <c r="BF337" s="55"/>
      <c r="BG337" s="55"/>
      <c r="BH337" s="55"/>
      <c r="BI337" s="55"/>
      <c r="BJ337" s="55"/>
      <c r="BK337" s="55"/>
      <c r="BL337" s="55"/>
      <c r="BM337" s="55"/>
      <c r="BN337" s="55"/>
      <c r="BO337" s="55"/>
      <c r="BP337" s="55"/>
      <c r="BQ337" s="55"/>
      <c r="BR337" s="55"/>
      <c r="BS337" s="55"/>
      <c r="BT337" s="55"/>
      <c r="BU337" s="55"/>
      <c r="BV337" s="55"/>
      <c r="BW337" s="55"/>
      <c r="BX337" s="55"/>
      <c r="BY337" s="55"/>
      <c r="BZ337" s="55"/>
      <c r="CA337" s="55"/>
      <c r="CB337" s="55"/>
      <c r="CC337" s="55"/>
      <c r="CD337" s="55"/>
      <c r="CE337" s="55"/>
      <c r="CF337" s="55"/>
      <c r="CG337" s="55"/>
      <c r="CH337" s="55"/>
      <c r="CI337" s="55"/>
      <c r="CJ337" s="55"/>
      <c r="CK337" s="55"/>
      <c r="CL337" s="55"/>
      <c r="CM337" s="55"/>
      <c r="CN337" s="55"/>
      <c r="CO337" s="55"/>
      <c r="CP337" s="55"/>
      <c r="CQ337" s="55"/>
      <c r="CR337" s="55"/>
      <c r="CS337" s="55"/>
      <c r="CT337" s="55"/>
      <c r="CU337" s="55"/>
      <c r="CV337" s="55"/>
      <c r="CW337" s="55"/>
      <c r="CX337" s="55"/>
      <c r="CY337" s="55"/>
      <c r="CZ337" s="56"/>
      <c r="DA337" s="55"/>
      <c r="DB337" s="55"/>
      <c r="DC337" s="55"/>
      <c r="DD337" s="55"/>
      <c r="DE337" s="55"/>
      <c r="DF337" s="55"/>
      <c r="DG337" s="55"/>
      <c r="DH337" s="55"/>
      <c r="DI337" s="55"/>
    </row>
    <row r="338" spans="1:113" hidden="1" outlineLevel="2">
      <c r="A338" s="1" t="s">
        <v>197</v>
      </c>
      <c r="B338" s="19" t="s">
        <v>343</v>
      </c>
      <c r="C338" s="55"/>
      <c r="D338" s="55"/>
      <c r="E338" s="55"/>
      <c r="F338" s="55"/>
      <c r="G338" s="55"/>
      <c r="H338" s="55"/>
      <c r="I338" s="55"/>
      <c r="J338" s="55"/>
      <c r="K338" s="55"/>
      <c r="L338" s="55"/>
      <c r="M338" s="55"/>
      <c r="N338" s="55"/>
      <c r="O338" s="55"/>
      <c r="P338" s="55"/>
      <c r="Q338" s="55"/>
      <c r="R338" s="55"/>
      <c r="S338" s="55"/>
      <c r="T338" s="55"/>
      <c r="U338" s="55"/>
      <c r="V338" s="55"/>
      <c r="W338" s="55"/>
      <c r="X338" s="55"/>
      <c r="Y338" s="55"/>
      <c r="Z338" s="55"/>
      <c r="AA338" s="55"/>
      <c r="AB338" s="55"/>
      <c r="AC338" s="55"/>
      <c r="AD338" s="55"/>
      <c r="AE338" s="55"/>
      <c r="AF338" s="55"/>
      <c r="AG338" s="55"/>
      <c r="AH338" s="55"/>
      <c r="AI338" s="55"/>
      <c r="AJ338" s="55"/>
      <c r="AK338" s="55"/>
      <c r="AL338" s="55"/>
      <c r="AM338" s="55"/>
      <c r="AN338" s="55"/>
      <c r="AO338" s="55"/>
      <c r="AP338" s="55"/>
      <c r="AQ338" s="55"/>
      <c r="AR338" s="55"/>
      <c r="AS338" s="55"/>
      <c r="AT338" s="55"/>
      <c r="AU338" s="55"/>
      <c r="AV338" s="55"/>
      <c r="AW338" s="55"/>
      <c r="AX338" s="55"/>
      <c r="AY338" s="55"/>
      <c r="AZ338" s="56"/>
      <c r="BA338" s="55"/>
      <c r="BB338" s="55"/>
      <c r="BC338" s="55"/>
      <c r="BD338" s="55"/>
      <c r="BE338" s="55"/>
      <c r="BF338" s="55"/>
      <c r="BG338" s="55"/>
      <c r="BH338" s="55"/>
      <c r="BI338" s="55"/>
      <c r="BJ338" s="55"/>
      <c r="BK338" s="55"/>
      <c r="BL338" s="55"/>
      <c r="BM338" s="55"/>
      <c r="BN338" s="55"/>
      <c r="BO338" s="55"/>
      <c r="BP338" s="55"/>
      <c r="BQ338" s="55"/>
      <c r="BR338" s="55"/>
      <c r="BS338" s="55"/>
      <c r="BT338" s="55"/>
      <c r="BU338" s="55"/>
      <c r="BV338" s="55"/>
      <c r="BW338" s="55"/>
      <c r="BX338" s="55"/>
      <c r="BY338" s="55"/>
      <c r="BZ338" s="55"/>
      <c r="CA338" s="55"/>
      <c r="CB338" s="55"/>
      <c r="CC338" s="55"/>
      <c r="CD338" s="55"/>
      <c r="CE338" s="55"/>
      <c r="CF338" s="55"/>
      <c r="CG338" s="55"/>
      <c r="CH338" s="55"/>
      <c r="CI338" s="55"/>
      <c r="CJ338" s="55"/>
      <c r="CK338" s="55"/>
      <c r="CL338" s="55"/>
      <c r="CM338" s="55"/>
      <c r="CN338" s="55"/>
      <c r="CO338" s="55"/>
      <c r="CP338" s="55"/>
      <c r="CQ338" s="55"/>
      <c r="CR338" s="55"/>
      <c r="CS338" s="55"/>
      <c r="CT338" s="55"/>
      <c r="CU338" s="55"/>
      <c r="CV338" s="55"/>
      <c r="CW338" s="55"/>
      <c r="CX338" s="55"/>
      <c r="CY338" s="55"/>
      <c r="CZ338" s="56"/>
      <c r="DA338" s="55"/>
      <c r="DB338" s="55"/>
      <c r="DC338" s="55"/>
      <c r="DD338" s="55"/>
      <c r="DE338" s="55"/>
      <c r="DF338" s="55"/>
      <c r="DG338" s="55"/>
      <c r="DH338" s="55"/>
      <c r="DI338" s="55"/>
    </row>
    <row r="339" spans="1:113" s="24" customFormat="1" hidden="1" outlineLevel="2">
      <c r="A339" s="1" t="s">
        <v>198</v>
      </c>
      <c r="B339" s="24" t="s">
        <v>168</v>
      </c>
      <c r="C339" s="82">
        <f t="shared" ref="C339:L339" si="2104">C224*C281/C$5</f>
        <v>212.50077166164388</v>
      </c>
      <c r="D339" s="82">
        <f t="shared" si="2104"/>
        <v>220.93743132054794</v>
      </c>
      <c r="E339" s="82">
        <f t="shared" si="2104"/>
        <v>173.58122425616432</v>
      </c>
      <c r="F339" s="82">
        <f t="shared" si="2104"/>
        <v>196.34047331141537</v>
      </c>
      <c r="G339" s="82">
        <f t="shared" si="2104"/>
        <v>314.89736351598179</v>
      </c>
      <c r="H339" s="82">
        <f t="shared" si="2104"/>
        <v>196.33930447358827</v>
      </c>
      <c r="I339" s="82">
        <f t="shared" si="2104"/>
        <v>156.9644680327869</v>
      </c>
      <c r="J339" s="82">
        <f t="shared" si="2104"/>
        <v>245.03704109589063</v>
      </c>
      <c r="K339" s="82">
        <f t="shared" si="2104"/>
        <v>275.65291240547941</v>
      </c>
      <c r="L339" s="82">
        <f t="shared" si="2104"/>
        <v>284.62138109755142</v>
      </c>
      <c r="M339" s="82">
        <f t="shared" ref="M339:AB339" si="2105">M224*M281/M$5</f>
        <v>257.70418392497362</v>
      </c>
      <c r="N339" s="82">
        <f t="shared" si="2105"/>
        <v>269.04074244149348</v>
      </c>
      <c r="O339" s="82">
        <f t="shared" si="2105"/>
        <v>313.74358492729181</v>
      </c>
      <c r="P339" s="82">
        <f t="shared" si="2105"/>
        <v>71.484433515483076</v>
      </c>
      <c r="Q339" s="82">
        <f t="shared" si="2105"/>
        <v>197.77749659016411</v>
      </c>
      <c r="R339" s="82">
        <f t="shared" si="2105"/>
        <v>606.58772792029913</v>
      </c>
      <c r="S339" s="82">
        <f t="shared" si="2105"/>
        <v>1029.3217446660299</v>
      </c>
      <c r="T339" s="82">
        <f t="shared" si="2105"/>
        <v>717.18746329265275</v>
      </c>
      <c r="U339" s="82">
        <f t="shared" si="2105"/>
        <v>490.38234287777391</v>
      </c>
      <c r="V339" s="82">
        <f t="shared" si="2105"/>
        <v>365.21250489990371</v>
      </c>
      <c r="W339" s="82">
        <f t="shared" si="2105"/>
        <v>285.45140364659676</v>
      </c>
      <c r="X339" s="82">
        <f t="shared" si="2105"/>
        <v>297.02168719809754</v>
      </c>
      <c r="Y339" s="82">
        <f>Y224*Y281/Y$5</f>
        <v>434.1428060655744</v>
      </c>
      <c r="Z339" s="82">
        <f>Z224*Z281/Z$5</f>
        <v>569.32899249189609</v>
      </c>
      <c r="AA339" s="82">
        <f t="shared" si="2105"/>
        <v>710.64651301357208</v>
      </c>
      <c r="AB339" s="82">
        <f t="shared" si="2105"/>
        <v>853.67547769198916</v>
      </c>
      <c r="AC339" s="82">
        <f t="shared" ref="AC339:AK339" si="2106">AC224*AC281/AC$5</f>
        <v>906.44021066210041</v>
      </c>
      <c r="AD339" s="82">
        <f t="shared" si="2106"/>
        <v>1013.6521596448321</v>
      </c>
      <c r="AE339" s="82">
        <f t="shared" si="2106"/>
        <v>1173.8995292545828</v>
      </c>
      <c r="AF339" s="82">
        <f t="shared" si="2106"/>
        <v>1162.632295413149</v>
      </c>
      <c r="AG339" s="82">
        <f t="shared" si="2106"/>
        <v>1041.9164770491791</v>
      </c>
      <c r="AH339" s="82">
        <f t="shared" si="2106"/>
        <v>1222.5823332147124</v>
      </c>
      <c r="AI339" s="82">
        <f t="shared" si="2106"/>
        <v>1198.5478966794522</v>
      </c>
      <c r="AJ339" s="82">
        <f t="shared" si="2106"/>
        <v>1208.122477875658</v>
      </c>
      <c r="AK339" s="82">
        <f t="shared" si="2106"/>
        <v>1149.1707747081152</v>
      </c>
      <c r="AL339" s="82">
        <f t="shared" ref="AL339:AQ339" si="2107">AL224*AL281/AL$5</f>
        <v>1173.3967645968835</v>
      </c>
      <c r="AM339" s="82">
        <f t="shared" si="2107"/>
        <v>1278.6189735478181</v>
      </c>
      <c r="AN339" s="82">
        <f t="shared" si="2107"/>
        <v>1549.3033412816692</v>
      </c>
      <c r="AO339" s="82">
        <f t="shared" si="2107"/>
        <v>1647.8081997814206</v>
      </c>
      <c r="AP339" s="82">
        <f t="shared" si="2107"/>
        <v>1661.4508158821088</v>
      </c>
      <c r="AQ339" s="82">
        <f t="shared" si="2107"/>
        <v>1564.1716563023697</v>
      </c>
      <c r="AR339" s="82"/>
      <c r="AS339" s="82"/>
      <c r="AT339" s="82"/>
      <c r="AU339" s="82"/>
      <c r="AV339" s="82"/>
      <c r="AW339" s="82"/>
      <c r="AX339" s="82"/>
      <c r="AY339" s="82"/>
      <c r="AZ339" s="83"/>
      <c r="BA339" s="82"/>
      <c r="BB339" s="82"/>
      <c r="BC339" s="82"/>
      <c r="BD339" s="82"/>
      <c r="BE339" s="82"/>
      <c r="BF339" s="82"/>
      <c r="BG339" s="82"/>
      <c r="BH339" s="82"/>
      <c r="BI339" s="82"/>
      <c r="BJ339" s="82"/>
      <c r="BK339" s="82"/>
      <c r="BL339" s="82"/>
      <c r="BM339" s="82"/>
      <c r="BN339" s="82"/>
      <c r="BO339" s="82"/>
      <c r="BP339" s="82"/>
      <c r="BQ339" s="82"/>
      <c r="BR339" s="82"/>
      <c r="BS339" s="82">
        <f t="shared" ref="BS339:CB339" si="2108">BS224*BS281/BS$5</f>
        <v>40.245354166666559</v>
      </c>
      <c r="BT339" s="82">
        <f t="shared" si="2108"/>
        <v>104.61361000000004</v>
      </c>
      <c r="BU339" s="82">
        <f t="shared" si="2108"/>
        <v>136.71704833333337</v>
      </c>
      <c r="BV339" s="82">
        <f t="shared" si="2108"/>
        <v>75.398072499999898</v>
      </c>
      <c r="BW339" s="82">
        <f t="shared" si="2108"/>
        <v>153.96256999999991</v>
      </c>
      <c r="BX339" s="82">
        <f t="shared" si="2108"/>
        <v>277.56656599999997</v>
      </c>
      <c r="BY339" s="82">
        <f t="shared" si="2108"/>
        <v>510.15588324999999</v>
      </c>
      <c r="BZ339" s="82">
        <f t="shared" si="2108"/>
        <v>292.40545049999997</v>
      </c>
      <c r="CA339" s="82">
        <f t="shared" si="2108"/>
        <v>195.15145038167995</v>
      </c>
      <c r="CB339" s="82">
        <f t="shared" si="2108"/>
        <v>329.03283692307735</v>
      </c>
      <c r="CC339" s="82">
        <f>SUM(D339:E339)</f>
        <v>394.51865557671226</v>
      </c>
      <c r="CD339" s="82">
        <f>SUM(F339:G339)</f>
        <v>511.23783682739713</v>
      </c>
      <c r="CE339" s="82">
        <f>SUM(H339:I339)</f>
        <v>353.30377250637514</v>
      </c>
      <c r="CF339" s="82">
        <f>SUM(J339:K339)</f>
        <v>520.68995350137004</v>
      </c>
      <c r="CG339" s="82">
        <f>SUM(L339:M339)</f>
        <v>542.3255650225251</v>
      </c>
      <c r="CH339" s="82">
        <f>SUM(N339:O339)</f>
        <v>582.78432736878528</v>
      </c>
      <c r="CI339" s="82">
        <f>SUM(P339:Q339)</f>
        <v>269.2619301056472</v>
      </c>
      <c r="CJ339" s="82">
        <f>SUM(R339:S339)</f>
        <v>1635.909472586329</v>
      </c>
      <c r="CK339" s="82">
        <f>SUM(T339:U339)</f>
        <v>1207.5698061704265</v>
      </c>
      <c r="CL339" s="82">
        <f>SUM(V339:W339)</f>
        <v>650.66390854650047</v>
      </c>
      <c r="CM339" s="82">
        <f>SUM(X339:Y339)</f>
        <v>731.16449326367194</v>
      </c>
      <c r="CN339" s="82">
        <f>SUM(Z339:AA339)</f>
        <v>1279.9755055054682</v>
      </c>
      <c r="CO339" s="82">
        <f>SUM(AB339:AC339)</f>
        <v>1760.1156883540896</v>
      </c>
      <c r="CP339" s="82">
        <f>SUM(AD339:AE339)</f>
        <v>2187.5516888994148</v>
      </c>
      <c r="CQ339" s="82">
        <f>SUM(AF339:AG339)</f>
        <v>2204.5487724623281</v>
      </c>
      <c r="CR339" s="82">
        <f>SUM(AH339:AI339)</f>
        <v>2421.1302298941646</v>
      </c>
      <c r="CS339" s="82">
        <f>SUM(AJ339:AK339)</f>
        <v>2357.2932525837732</v>
      </c>
      <c r="CT339" s="82">
        <f>SUM(AL339:AM339)</f>
        <v>2452.0157381447016</v>
      </c>
      <c r="CU339" s="82">
        <f>SUM(AN339:AO339)</f>
        <v>3197.11154106309</v>
      </c>
      <c r="CV339" s="82">
        <f>SUM(AP339:AQ339)</f>
        <v>3225.6224721844783</v>
      </c>
      <c r="CW339" s="82"/>
      <c r="CX339" s="82"/>
      <c r="CY339" s="82"/>
      <c r="CZ339" s="83"/>
      <c r="DA339" s="82"/>
      <c r="DB339" s="82"/>
      <c r="DC339" s="82"/>
      <c r="DD339" s="82"/>
      <c r="DE339" s="82"/>
      <c r="DF339" s="82"/>
      <c r="DG339" s="82"/>
      <c r="DH339" s="82"/>
      <c r="DI339" s="82"/>
    </row>
    <row r="340" spans="1:113" hidden="1" outlineLevel="2">
      <c r="C340" s="55"/>
      <c r="D340" s="55"/>
      <c r="E340" s="55"/>
      <c r="F340" s="55"/>
      <c r="G340" s="55"/>
      <c r="H340" s="55"/>
      <c r="I340" s="55"/>
      <c r="J340" s="55"/>
      <c r="K340" s="55"/>
      <c r="L340" s="55"/>
      <c r="M340" s="55"/>
      <c r="N340" s="55"/>
      <c r="O340" s="55"/>
      <c r="P340" s="55"/>
      <c r="Q340" s="55"/>
      <c r="R340" s="55"/>
      <c r="S340" s="55"/>
      <c r="T340" s="55"/>
      <c r="U340" s="55"/>
      <c r="V340" s="55"/>
      <c r="W340" s="55"/>
      <c r="X340" s="55"/>
      <c r="Y340" s="55"/>
      <c r="Z340" s="55"/>
      <c r="AA340" s="55"/>
      <c r="AB340" s="55"/>
      <c r="AC340" s="55"/>
      <c r="AD340" s="55"/>
      <c r="AE340" s="55"/>
      <c r="AF340" s="55"/>
      <c r="AG340" s="55"/>
      <c r="AH340" s="55"/>
      <c r="AI340" s="55"/>
      <c r="AJ340" s="55"/>
      <c r="AK340" s="55"/>
      <c r="AL340" s="55"/>
      <c r="AM340" s="55"/>
      <c r="AN340" s="55"/>
      <c r="AO340" s="55"/>
      <c r="AP340" s="55"/>
      <c r="AQ340" s="55"/>
      <c r="AR340" s="55"/>
      <c r="AS340" s="55"/>
      <c r="AT340" s="55"/>
      <c r="AU340" s="55"/>
      <c r="AV340" s="55"/>
      <c r="AW340" s="55"/>
      <c r="AX340" s="55"/>
      <c r="AY340" s="55"/>
      <c r="AZ340" s="56"/>
      <c r="BA340" s="55"/>
      <c r="BB340" s="55"/>
      <c r="BC340" s="55"/>
      <c r="BD340" s="55"/>
      <c r="BE340" s="55"/>
      <c r="BF340" s="55"/>
      <c r="BG340" s="55"/>
      <c r="BH340" s="55"/>
      <c r="BI340" s="55"/>
      <c r="BJ340" s="55"/>
      <c r="BK340" s="55"/>
      <c r="BL340" s="55"/>
      <c r="BM340" s="55"/>
      <c r="BN340" s="55"/>
      <c r="BO340" s="55"/>
      <c r="BP340" s="55"/>
      <c r="BQ340" s="55"/>
      <c r="BR340" s="55"/>
      <c r="BS340" s="55"/>
      <c r="BT340" s="55"/>
      <c r="BU340" s="55"/>
      <c r="BV340" s="55"/>
      <c r="BW340" s="55"/>
      <c r="BX340" s="55"/>
      <c r="BY340" s="55"/>
      <c r="BZ340" s="55"/>
      <c r="CA340" s="55"/>
      <c r="CB340" s="55"/>
      <c r="CC340" s="55"/>
      <c r="CD340" s="55"/>
      <c r="CE340" s="55"/>
      <c r="CF340" s="55"/>
      <c r="CG340" s="55"/>
      <c r="CH340" s="55"/>
      <c r="CI340" s="55"/>
      <c r="CJ340" s="55"/>
      <c r="CK340" s="55"/>
      <c r="CL340" s="55"/>
      <c r="CM340" s="55"/>
      <c r="CN340" s="55"/>
      <c r="CO340" s="55"/>
      <c r="CP340" s="55"/>
      <c r="CQ340" s="55"/>
      <c r="CR340" s="55"/>
      <c r="CS340" s="55"/>
      <c r="CT340" s="55"/>
      <c r="CU340" s="55"/>
      <c r="CV340" s="55"/>
      <c r="CW340" s="55"/>
      <c r="CX340" s="55"/>
      <c r="CY340" s="55"/>
      <c r="CZ340" s="56"/>
      <c r="DA340" s="55"/>
      <c r="DB340" s="55"/>
      <c r="DC340" s="55"/>
      <c r="DD340" s="55"/>
      <c r="DE340" s="55"/>
      <c r="DF340" s="55"/>
      <c r="DG340" s="55"/>
      <c r="DH340" s="55"/>
      <c r="DI340" s="55"/>
    </row>
    <row r="341" spans="1:113" s="24" customFormat="1" hidden="1" outlineLevel="2">
      <c r="A341" s="1"/>
      <c r="B341" s="24" t="s">
        <v>341</v>
      </c>
      <c r="C341" s="82"/>
      <c r="D341" s="82"/>
      <c r="E341" s="82"/>
      <c r="F341" s="82"/>
      <c r="G341" s="82"/>
      <c r="H341" s="82"/>
      <c r="I341" s="82"/>
      <c r="J341" s="82"/>
      <c r="K341" s="82"/>
      <c r="L341" s="82"/>
      <c r="M341" s="82"/>
      <c r="N341" s="82"/>
      <c r="O341" s="82"/>
      <c r="P341" s="82"/>
      <c r="Q341" s="82"/>
      <c r="R341" s="82"/>
      <c r="S341" s="82"/>
      <c r="T341" s="82"/>
      <c r="U341" s="82"/>
      <c r="V341" s="82"/>
      <c r="W341" s="82"/>
      <c r="X341" s="82"/>
      <c r="Y341" s="82"/>
      <c r="Z341" s="82"/>
      <c r="AA341" s="82"/>
      <c r="AB341" s="82"/>
      <c r="AC341" s="82"/>
      <c r="AD341" s="82"/>
      <c r="AE341" s="82"/>
      <c r="AF341" s="82"/>
      <c r="AG341" s="82"/>
      <c r="AH341" s="82"/>
      <c r="AI341" s="82"/>
      <c r="AJ341" s="82"/>
      <c r="AK341" s="82"/>
      <c r="AL341" s="82"/>
      <c r="AM341" s="82"/>
      <c r="AN341" s="82"/>
      <c r="AO341" s="82"/>
      <c r="AP341" s="82"/>
      <c r="AQ341" s="82"/>
      <c r="AR341" s="82"/>
      <c r="AS341" s="82"/>
      <c r="AT341" s="82"/>
      <c r="AU341" s="82"/>
      <c r="AV341" s="82"/>
      <c r="AW341" s="82"/>
      <c r="AX341" s="82"/>
      <c r="AY341" s="82"/>
      <c r="AZ341" s="83"/>
      <c r="BA341" s="82"/>
      <c r="BB341" s="82"/>
      <c r="BC341" s="82"/>
      <c r="BD341" s="82"/>
      <c r="BE341" s="82"/>
      <c r="BF341" s="82"/>
      <c r="BG341" s="82"/>
      <c r="BH341" s="82"/>
      <c r="BI341" s="82"/>
      <c r="BJ341" s="82"/>
      <c r="BK341" s="82"/>
      <c r="BL341" s="82"/>
      <c r="BM341" s="82"/>
      <c r="BN341" s="82"/>
      <c r="BO341" s="82"/>
      <c r="BP341" s="82"/>
      <c r="BQ341" s="82"/>
      <c r="BR341" s="82"/>
      <c r="BS341" s="82"/>
      <c r="BT341" s="82"/>
      <c r="BU341" s="82"/>
      <c r="BV341" s="82"/>
      <c r="BW341" s="82"/>
      <c r="BX341" s="82"/>
      <c r="BY341" s="82"/>
      <c r="BZ341" s="82"/>
      <c r="CA341" s="82"/>
      <c r="CB341" s="82"/>
      <c r="CC341" s="82"/>
      <c r="CD341" s="82"/>
      <c r="CE341" s="82"/>
      <c r="CF341" s="82"/>
      <c r="CG341" s="82"/>
      <c r="CH341" s="82"/>
      <c r="CI341" s="82"/>
      <c r="CJ341" s="82"/>
      <c r="CK341" s="82"/>
      <c r="CL341" s="82"/>
      <c r="CM341" s="82"/>
      <c r="CN341" s="82"/>
      <c r="CO341" s="82"/>
      <c r="CP341" s="82"/>
      <c r="CQ341" s="82"/>
      <c r="CR341" s="82"/>
      <c r="CS341" s="82"/>
      <c r="CT341" s="82"/>
      <c r="CU341" s="82"/>
      <c r="CV341" s="82"/>
      <c r="CW341" s="82"/>
      <c r="CX341" s="82"/>
      <c r="CY341" s="82"/>
      <c r="CZ341" s="83"/>
      <c r="DA341" s="82"/>
      <c r="DB341" s="82"/>
      <c r="DC341" s="82"/>
      <c r="DD341" s="82"/>
      <c r="DE341" s="82"/>
      <c r="DF341" s="82"/>
      <c r="DG341" s="82"/>
      <c r="DH341" s="82"/>
      <c r="DI341" s="82"/>
    </row>
    <row r="342" spans="1:113" hidden="1" outlineLevel="2">
      <c r="A342" s="1" t="s">
        <v>199</v>
      </c>
      <c r="B342" s="19" t="s">
        <v>164</v>
      </c>
      <c r="C342" s="55"/>
      <c r="D342" s="55"/>
      <c r="E342" s="55"/>
      <c r="F342" s="55"/>
      <c r="G342" s="55"/>
      <c r="H342" s="55"/>
      <c r="I342" s="55"/>
      <c r="J342" s="55"/>
      <c r="K342" s="55"/>
      <c r="L342" s="55"/>
      <c r="M342" s="55"/>
      <c r="N342" s="55"/>
      <c r="O342" s="55"/>
      <c r="P342" s="55"/>
      <c r="Q342" s="55"/>
      <c r="R342" s="55"/>
      <c r="S342" s="55"/>
      <c r="T342" s="55"/>
      <c r="U342" s="55"/>
      <c r="V342" s="55"/>
      <c r="W342" s="55"/>
      <c r="X342" s="55"/>
      <c r="Y342" s="55"/>
      <c r="Z342" s="55"/>
      <c r="AA342" s="55"/>
      <c r="AB342" s="55"/>
      <c r="AC342" s="55"/>
      <c r="AD342" s="55"/>
      <c r="AE342" s="55"/>
      <c r="AF342" s="55"/>
      <c r="AG342" s="55"/>
      <c r="AH342" s="55"/>
      <c r="AI342" s="55"/>
      <c r="AJ342" s="55"/>
      <c r="AK342" s="55"/>
      <c r="AL342" s="55"/>
      <c r="AM342" s="55"/>
      <c r="AN342" s="55"/>
      <c r="AO342" s="55"/>
      <c r="AP342" s="55"/>
      <c r="AQ342" s="55"/>
      <c r="AR342" s="55"/>
      <c r="AS342" s="55"/>
      <c r="AT342" s="55"/>
      <c r="AU342" s="55"/>
      <c r="AV342" s="55"/>
      <c r="AW342" s="55"/>
      <c r="AX342" s="55"/>
      <c r="AY342" s="55"/>
      <c r="AZ342" s="56"/>
      <c r="BA342" s="55"/>
      <c r="BB342" s="55"/>
      <c r="BC342" s="55"/>
      <c r="BD342" s="55"/>
      <c r="BE342" s="55"/>
      <c r="BF342" s="55"/>
      <c r="BG342" s="55"/>
      <c r="BH342" s="55"/>
      <c r="BI342" s="55"/>
      <c r="BJ342" s="55"/>
      <c r="BK342" s="55"/>
      <c r="BL342" s="55"/>
      <c r="BM342" s="55"/>
      <c r="BN342" s="55"/>
      <c r="BO342" s="55"/>
      <c r="BP342" s="55"/>
      <c r="BQ342" s="55"/>
      <c r="BR342" s="55"/>
      <c r="BS342" s="55"/>
      <c r="BT342" s="55"/>
      <c r="BU342" s="55"/>
      <c r="BV342" s="55"/>
      <c r="BW342" s="55"/>
      <c r="BX342" s="55"/>
      <c r="BY342" s="55"/>
      <c r="BZ342" s="55"/>
      <c r="CA342" s="55"/>
      <c r="CB342" s="55"/>
      <c r="CC342" s="55"/>
      <c r="CD342" s="55"/>
      <c r="CE342" s="55"/>
      <c r="CF342" s="55"/>
      <c r="CG342" s="55"/>
      <c r="CH342" s="55"/>
      <c r="CI342" s="55"/>
      <c r="CJ342" s="55"/>
      <c r="CK342" s="55"/>
      <c r="CL342" s="55"/>
      <c r="CM342" s="55"/>
      <c r="CN342" s="55"/>
      <c r="CO342" s="55"/>
      <c r="CP342" s="55"/>
      <c r="CQ342" s="55"/>
      <c r="CR342" s="55"/>
      <c r="CS342" s="55"/>
      <c r="CT342" s="55"/>
      <c r="CU342" s="55"/>
      <c r="CV342" s="55"/>
      <c r="CW342" s="55"/>
      <c r="CX342" s="55"/>
      <c r="CY342" s="55"/>
      <c r="CZ342" s="56"/>
      <c r="DA342" s="55"/>
      <c r="DB342" s="55"/>
      <c r="DC342" s="55"/>
      <c r="DD342" s="55"/>
      <c r="DE342" s="55"/>
      <c r="DF342" s="55"/>
      <c r="DG342" s="55"/>
      <c r="DH342" s="55"/>
      <c r="DI342" s="55"/>
    </row>
    <row r="343" spans="1:113" hidden="1" outlineLevel="2">
      <c r="A343" s="1" t="s">
        <v>121</v>
      </c>
      <c r="B343" s="19" t="s">
        <v>343</v>
      </c>
      <c r="C343" s="55"/>
      <c r="D343" s="55"/>
      <c r="E343" s="55"/>
      <c r="F343" s="55"/>
      <c r="G343" s="55"/>
      <c r="H343" s="55"/>
      <c r="I343" s="55"/>
      <c r="J343" s="55"/>
      <c r="K343" s="55"/>
      <c r="L343" s="55"/>
      <c r="M343" s="55"/>
      <c r="N343" s="55"/>
      <c r="O343" s="55"/>
      <c r="P343" s="55"/>
      <c r="Q343" s="55"/>
      <c r="R343" s="55"/>
      <c r="S343" s="55"/>
      <c r="T343" s="55"/>
      <c r="U343" s="55"/>
      <c r="V343" s="55"/>
      <c r="W343" s="55"/>
      <c r="X343" s="55"/>
      <c r="Y343" s="55"/>
      <c r="Z343" s="55"/>
      <c r="AA343" s="55"/>
      <c r="AB343" s="55"/>
      <c r="AC343" s="55"/>
      <c r="AD343" s="55"/>
      <c r="AE343" s="55"/>
      <c r="AF343" s="55"/>
      <c r="AG343" s="55"/>
      <c r="AH343" s="55"/>
      <c r="AI343" s="55"/>
      <c r="AJ343" s="55"/>
      <c r="AK343" s="55"/>
      <c r="AL343" s="55"/>
      <c r="AM343" s="55"/>
      <c r="AN343" s="55"/>
      <c r="AO343" s="55"/>
      <c r="AP343" s="55"/>
      <c r="AQ343" s="55"/>
      <c r="AR343" s="55"/>
      <c r="AS343" s="55"/>
      <c r="AT343" s="55"/>
      <c r="AU343" s="55"/>
      <c r="AV343" s="55"/>
      <c r="AW343" s="55"/>
      <c r="AX343" s="55"/>
      <c r="AY343" s="55"/>
      <c r="AZ343" s="56"/>
      <c r="BA343" s="55"/>
      <c r="BB343" s="55"/>
      <c r="BC343" s="55"/>
      <c r="BD343" s="55"/>
      <c r="BE343" s="55"/>
      <c r="BF343" s="55"/>
      <c r="BG343" s="55"/>
      <c r="BH343" s="55"/>
      <c r="BI343" s="55"/>
      <c r="BJ343" s="55"/>
      <c r="BK343" s="55"/>
      <c r="BL343" s="55"/>
      <c r="BM343" s="55"/>
      <c r="BN343" s="55"/>
      <c r="BO343" s="55"/>
      <c r="BP343" s="55"/>
      <c r="BQ343" s="55"/>
      <c r="BR343" s="55"/>
      <c r="BS343" s="55"/>
      <c r="BT343" s="55"/>
      <c r="BU343" s="55"/>
      <c r="BV343" s="55"/>
      <c r="BW343" s="55"/>
      <c r="BX343" s="55"/>
      <c r="BY343" s="55"/>
      <c r="BZ343" s="55"/>
      <c r="CA343" s="55"/>
      <c r="CB343" s="55"/>
      <c r="CC343" s="55"/>
      <c r="CD343" s="55"/>
      <c r="CE343" s="55"/>
      <c r="CF343" s="55"/>
      <c r="CG343" s="55"/>
      <c r="CH343" s="55"/>
      <c r="CI343" s="55"/>
      <c r="CJ343" s="55"/>
      <c r="CK343" s="55"/>
      <c r="CL343" s="55"/>
      <c r="CM343" s="55"/>
      <c r="CN343" s="55"/>
      <c r="CO343" s="55"/>
      <c r="CP343" s="55"/>
      <c r="CQ343" s="55"/>
      <c r="CR343" s="55"/>
      <c r="CS343" s="55"/>
      <c r="CT343" s="55"/>
      <c r="CU343" s="55"/>
      <c r="CV343" s="55"/>
      <c r="CW343" s="55"/>
      <c r="CX343" s="55"/>
      <c r="CY343" s="55"/>
      <c r="CZ343" s="56"/>
      <c r="DA343" s="55"/>
      <c r="DB343" s="55"/>
      <c r="DC343" s="55"/>
      <c r="DD343" s="55"/>
      <c r="DE343" s="55"/>
      <c r="DF343" s="55"/>
      <c r="DG343" s="55"/>
      <c r="DH343" s="55"/>
      <c r="DI343" s="55"/>
    </row>
    <row r="344" spans="1:113" s="24" customFormat="1" hidden="1" outlineLevel="2">
      <c r="A344" s="1" t="s">
        <v>122</v>
      </c>
      <c r="B344" s="24" t="s">
        <v>168</v>
      </c>
      <c r="C344" s="82">
        <f>C229*C286/C$5</f>
        <v>0</v>
      </c>
      <c r="D344" s="82">
        <f>D229*D286/D$5</f>
        <v>0</v>
      </c>
      <c r="E344" s="82">
        <f>E229*E286/E$5</f>
        <v>0</v>
      </c>
      <c r="F344" s="82">
        <f t="shared" ref="F344:L344" si="2109">F229*F286/F$5</f>
        <v>0</v>
      </c>
      <c r="G344" s="82">
        <f t="shared" si="2109"/>
        <v>0</v>
      </c>
      <c r="H344" s="82">
        <f t="shared" si="2109"/>
        <v>0</v>
      </c>
      <c r="I344" s="82">
        <f t="shared" si="2109"/>
        <v>0</v>
      </c>
      <c r="J344" s="82">
        <f t="shared" si="2109"/>
        <v>0</v>
      </c>
      <c r="K344" s="82">
        <f t="shared" si="2109"/>
        <v>0</v>
      </c>
      <c r="L344" s="82">
        <f t="shared" si="2109"/>
        <v>0</v>
      </c>
      <c r="M344" s="82">
        <f t="shared" ref="M344:AB344" si="2110">M229*M286/M$5</f>
        <v>0</v>
      </c>
      <c r="N344" s="82">
        <f t="shared" si="2110"/>
        <v>0</v>
      </c>
      <c r="O344" s="82">
        <f t="shared" si="2110"/>
        <v>0</v>
      </c>
      <c r="P344" s="82">
        <f t="shared" si="2110"/>
        <v>0</v>
      </c>
      <c r="Q344" s="82">
        <f t="shared" si="2110"/>
        <v>0</v>
      </c>
      <c r="R344" s="82">
        <f t="shared" si="2110"/>
        <v>0</v>
      </c>
      <c r="S344" s="82">
        <f t="shared" si="2110"/>
        <v>0</v>
      </c>
      <c r="T344" s="82">
        <f t="shared" si="2110"/>
        <v>-5.9289463711082906</v>
      </c>
      <c r="U344" s="82">
        <f t="shared" si="2110"/>
        <v>-42.997280722098388</v>
      </c>
      <c r="V344" s="82">
        <f t="shared" si="2110"/>
        <v>-49.83430553243015</v>
      </c>
      <c r="W344" s="82">
        <f t="shared" si="2110"/>
        <v>-61.187956516937398</v>
      </c>
      <c r="X344" s="82">
        <f t="shared" si="2110"/>
        <v>-54.877054536353434</v>
      </c>
      <c r="Y344" s="82">
        <f>Y229*Y286/Y$5</f>
        <v>-26.274785573770341</v>
      </c>
      <c r="Z344" s="82">
        <f>Z229*Z286/Z$5</f>
        <v>20.673316423716457</v>
      </c>
      <c r="AA344" s="82">
        <f t="shared" si="2110"/>
        <v>30.039859820070273</v>
      </c>
      <c r="AB344" s="82">
        <f t="shared" si="2110"/>
        <v>51.125172934827951</v>
      </c>
      <c r="AC344" s="82">
        <f t="shared" ref="AC344:AK344" si="2111">AC229*AC286/AC$5</f>
        <v>38.981232671232846</v>
      </c>
      <c r="AD344" s="82">
        <f t="shared" si="2111"/>
        <v>34.135070702366185</v>
      </c>
      <c r="AE344" s="82">
        <f t="shared" si="2111"/>
        <v>83.042697045428724</v>
      </c>
      <c r="AF344" s="82">
        <f t="shared" si="2111"/>
        <v>69.409949991720936</v>
      </c>
      <c r="AG344" s="82">
        <f t="shared" si="2111"/>
        <v>86.561728688524255</v>
      </c>
      <c r="AH344" s="82">
        <f t="shared" si="2111"/>
        <v>122.003180714227</v>
      </c>
      <c r="AI344" s="82">
        <f t="shared" si="2111"/>
        <v>162.98495009315073</v>
      </c>
      <c r="AJ344" s="82">
        <f t="shared" si="2111"/>
        <v>192.84905189462575</v>
      </c>
      <c r="AK344" s="82">
        <f t="shared" si="2111"/>
        <v>181.33728004847256</v>
      </c>
      <c r="AL344" s="82">
        <f t="shared" ref="AL344:AQ344" si="2112">AL229*AL286/AL$5</f>
        <v>237.21338980654602</v>
      </c>
      <c r="AM344" s="82">
        <f t="shared" si="2112"/>
        <v>270.20392139014552</v>
      </c>
      <c r="AN344" s="82">
        <f t="shared" si="2112"/>
        <v>316.9779448584203</v>
      </c>
      <c r="AO344" s="82">
        <f t="shared" si="2112"/>
        <v>309.26351868852453</v>
      </c>
      <c r="AP344" s="82">
        <f t="shared" si="2112"/>
        <v>233.3209303196347</v>
      </c>
      <c r="AQ344" s="82">
        <f t="shared" si="2112"/>
        <v>197.1488596220378</v>
      </c>
      <c r="AR344" s="82"/>
      <c r="AS344" s="82"/>
      <c r="AT344" s="82"/>
      <c r="AU344" s="82"/>
      <c r="AV344" s="82"/>
      <c r="AW344" s="82"/>
      <c r="AX344" s="82"/>
      <c r="AY344" s="82"/>
      <c r="AZ344" s="83"/>
      <c r="BA344" s="82"/>
      <c r="BB344" s="82"/>
      <c r="BC344" s="82"/>
      <c r="BD344" s="82"/>
      <c r="BE344" s="82"/>
      <c r="BF344" s="82"/>
      <c r="BG344" s="82"/>
      <c r="BH344" s="82"/>
      <c r="BI344" s="82"/>
      <c r="BJ344" s="82"/>
      <c r="BK344" s="82"/>
      <c r="BL344" s="82"/>
      <c r="BM344" s="82"/>
      <c r="BN344" s="82"/>
      <c r="BO344" s="82"/>
      <c r="BP344" s="82"/>
      <c r="BQ344" s="82"/>
      <c r="BR344" s="82"/>
      <c r="BS344" s="82">
        <f t="shared" ref="BS344:CB344" si="2113">BS229*BS286/BS$5</f>
        <v>0</v>
      </c>
      <c r="BT344" s="82">
        <f t="shared" si="2113"/>
        <v>0</v>
      </c>
      <c r="BU344" s="82">
        <f t="shared" si="2113"/>
        <v>0</v>
      </c>
      <c r="BV344" s="82">
        <f t="shared" si="2113"/>
        <v>0</v>
      </c>
      <c r="BW344" s="82">
        <f t="shared" si="2113"/>
        <v>0</v>
      </c>
      <c r="BX344" s="82">
        <f t="shared" si="2113"/>
        <v>0</v>
      </c>
      <c r="BY344" s="82">
        <f t="shared" si="2113"/>
        <v>0</v>
      </c>
      <c r="BZ344" s="82">
        <f t="shared" si="2113"/>
        <v>0</v>
      </c>
      <c r="CA344" s="82">
        <f t="shared" si="2113"/>
        <v>0</v>
      </c>
      <c r="CB344" s="82">
        <f t="shared" si="2113"/>
        <v>0</v>
      </c>
      <c r="CC344" s="82">
        <f>SUM(D344:E344)</f>
        <v>0</v>
      </c>
      <c r="CD344" s="82">
        <f>SUM(F344:G344)</f>
        <v>0</v>
      </c>
      <c r="CE344" s="82">
        <f>SUM(H344:I344)</f>
        <v>0</v>
      </c>
      <c r="CF344" s="82">
        <f>SUM(J344:K344)</f>
        <v>0</v>
      </c>
      <c r="CG344" s="82">
        <f>SUM(L344:M344)</f>
        <v>0</v>
      </c>
      <c r="CH344" s="82">
        <f>SUM(N344:O344)</f>
        <v>0</v>
      </c>
      <c r="CI344" s="82">
        <f>SUM(P344:Q344)</f>
        <v>0</v>
      </c>
      <c r="CJ344" s="82">
        <f>SUM(R344:S344)</f>
        <v>0</v>
      </c>
      <c r="CK344" s="82">
        <f>SUM(T344:U344)</f>
        <v>-48.926227093206677</v>
      </c>
      <c r="CL344" s="82">
        <f>SUM(V344:W344)</f>
        <v>-111.02226204936755</v>
      </c>
      <c r="CM344" s="82">
        <f>SUM(X344:Y344)</f>
        <v>-81.151840110123771</v>
      </c>
      <c r="CN344" s="82">
        <f>SUM(Z344:AA344)</f>
        <v>50.713176243786734</v>
      </c>
      <c r="CO344" s="82">
        <f>SUM(AB344:AC344)</f>
        <v>90.106405606060804</v>
      </c>
      <c r="CP344" s="82">
        <f>SUM(AD344:AE344)</f>
        <v>117.17776774779492</v>
      </c>
      <c r="CQ344" s="82">
        <f>SUM(AF344:AG344)</f>
        <v>155.97167868024519</v>
      </c>
      <c r="CR344" s="82">
        <f>SUM(AH344:AI344)</f>
        <v>284.98813080737773</v>
      </c>
      <c r="CS344" s="82">
        <f>SUM(AJ344:AK344)</f>
        <v>374.18633194309831</v>
      </c>
      <c r="CT344" s="82">
        <f>SUM(AL344:AM344)</f>
        <v>507.41731119669157</v>
      </c>
      <c r="CU344" s="82">
        <f>SUM(AN344:AO344)</f>
        <v>626.24146354694483</v>
      </c>
      <c r="CV344" s="82">
        <f>SUM(AP344:AQ344)</f>
        <v>430.4697899416725</v>
      </c>
      <c r="CW344" s="82"/>
      <c r="CX344" s="82"/>
      <c r="CY344" s="82"/>
      <c r="CZ344" s="83"/>
      <c r="DA344" s="82"/>
      <c r="DB344" s="82"/>
      <c r="DC344" s="82"/>
      <c r="DD344" s="82"/>
      <c r="DE344" s="82"/>
      <c r="DF344" s="82"/>
      <c r="DG344" s="82"/>
      <c r="DH344" s="82"/>
      <c r="DI344" s="82"/>
    </row>
    <row r="345" spans="1:113" hidden="1" outlineLevel="2">
      <c r="C345" s="55"/>
      <c r="D345" s="55"/>
      <c r="E345" s="55"/>
      <c r="F345" s="55"/>
      <c r="G345" s="55"/>
      <c r="H345" s="55"/>
      <c r="I345" s="55"/>
      <c r="J345" s="55"/>
      <c r="K345" s="55"/>
      <c r="L345" s="55"/>
      <c r="M345" s="55"/>
      <c r="N345" s="55"/>
      <c r="O345" s="55"/>
      <c r="P345" s="55"/>
      <c r="Q345" s="55"/>
      <c r="R345" s="55"/>
      <c r="S345" s="55"/>
      <c r="T345" s="55"/>
      <c r="U345" s="55"/>
      <c r="V345" s="55"/>
      <c r="W345" s="55"/>
      <c r="X345" s="55"/>
      <c r="Y345" s="55"/>
      <c r="Z345" s="55"/>
      <c r="AA345" s="55"/>
      <c r="AB345" s="55"/>
      <c r="AC345" s="55"/>
      <c r="AD345" s="55"/>
      <c r="AE345" s="55"/>
      <c r="AF345" s="55"/>
      <c r="AG345" s="55"/>
      <c r="AH345" s="55"/>
      <c r="AI345" s="55"/>
      <c r="AJ345" s="55"/>
      <c r="AK345" s="55"/>
      <c r="AL345" s="55"/>
      <c r="AM345" s="55"/>
      <c r="AN345" s="55"/>
      <c r="AO345" s="55"/>
      <c r="AP345" s="55"/>
      <c r="AQ345" s="55"/>
      <c r="AR345" s="55"/>
      <c r="AS345" s="55"/>
      <c r="AT345" s="55"/>
      <c r="AU345" s="55"/>
      <c r="AV345" s="55"/>
      <c r="AW345" s="55"/>
      <c r="AX345" s="55"/>
      <c r="AY345" s="55"/>
      <c r="AZ345" s="56"/>
      <c r="BA345" s="55"/>
      <c r="BB345" s="55"/>
      <c r="BC345" s="55"/>
      <c r="BD345" s="55"/>
      <c r="BE345" s="55"/>
      <c r="BF345" s="55"/>
      <c r="BG345" s="55"/>
      <c r="BH345" s="55"/>
      <c r="BI345" s="55"/>
      <c r="BJ345" s="55"/>
      <c r="BK345" s="55"/>
      <c r="BL345" s="55"/>
      <c r="BM345" s="55"/>
      <c r="BN345" s="55"/>
      <c r="BO345" s="55"/>
      <c r="BP345" s="55"/>
      <c r="BQ345" s="55"/>
      <c r="BR345" s="55"/>
      <c r="BS345" s="55"/>
      <c r="BT345" s="55"/>
      <c r="BU345" s="55"/>
      <c r="BV345" s="55"/>
      <c r="BW345" s="55"/>
      <c r="BX345" s="55"/>
      <c r="BY345" s="55"/>
      <c r="BZ345" s="55"/>
      <c r="CA345" s="55"/>
      <c r="CB345" s="55"/>
      <c r="CC345" s="55"/>
      <c r="CD345" s="55"/>
      <c r="CE345" s="55"/>
      <c r="CF345" s="55"/>
      <c r="CG345" s="55"/>
      <c r="CH345" s="55"/>
      <c r="CI345" s="55"/>
      <c r="CJ345" s="55"/>
      <c r="CK345" s="55"/>
      <c r="CL345" s="55"/>
      <c r="CM345" s="55"/>
      <c r="CN345" s="55"/>
      <c r="CO345" s="55"/>
      <c r="CP345" s="55"/>
      <c r="CQ345" s="55"/>
      <c r="CR345" s="55"/>
      <c r="CS345" s="55"/>
      <c r="CT345" s="55"/>
      <c r="CU345" s="55"/>
      <c r="CV345" s="55"/>
      <c r="CW345" s="55"/>
      <c r="CX345" s="55"/>
      <c r="CY345" s="55"/>
      <c r="CZ345" s="56"/>
      <c r="DA345" s="55"/>
      <c r="DB345" s="55"/>
      <c r="DC345" s="55"/>
      <c r="DD345" s="55"/>
      <c r="DE345" s="55"/>
      <c r="DF345" s="55"/>
      <c r="DG345" s="55"/>
      <c r="DH345" s="55"/>
      <c r="DI345" s="55"/>
    </row>
    <row r="346" spans="1:113" s="24" customFormat="1" hidden="1" outlineLevel="2">
      <c r="A346" s="1"/>
      <c r="B346" s="24" t="s">
        <v>342</v>
      </c>
      <c r="C346" s="82"/>
      <c r="D346" s="82"/>
      <c r="E346" s="82"/>
      <c r="F346" s="82"/>
      <c r="G346" s="82"/>
      <c r="H346" s="82"/>
      <c r="I346" s="82"/>
      <c r="J346" s="82"/>
      <c r="K346" s="82"/>
      <c r="L346" s="82"/>
      <c r="M346" s="82"/>
      <c r="N346" s="82"/>
      <c r="O346" s="82"/>
      <c r="P346" s="82"/>
      <c r="Q346" s="82"/>
      <c r="R346" s="82"/>
      <c r="S346" s="82"/>
      <c r="T346" s="82"/>
      <c r="U346" s="82"/>
      <c r="V346" s="82"/>
      <c r="W346" s="82"/>
      <c r="X346" s="82"/>
      <c r="Y346" s="82"/>
      <c r="Z346" s="82"/>
      <c r="AA346" s="82"/>
      <c r="AB346" s="82"/>
      <c r="AC346" s="82"/>
      <c r="AD346" s="82"/>
      <c r="AE346" s="82"/>
      <c r="AF346" s="82"/>
      <c r="AG346" s="82"/>
      <c r="AH346" s="82"/>
      <c r="AI346" s="82"/>
      <c r="AJ346" s="82"/>
      <c r="AK346" s="82"/>
      <c r="AL346" s="82"/>
      <c r="AM346" s="82"/>
      <c r="AN346" s="82"/>
      <c r="AO346" s="82"/>
      <c r="AP346" s="82"/>
      <c r="AQ346" s="82"/>
      <c r="AR346" s="82"/>
      <c r="AS346" s="82"/>
      <c r="AT346" s="82"/>
      <c r="AU346" s="82"/>
      <c r="AV346" s="82"/>
      <c r="AW346" s="82"/>
      <c r="AX346" s="82"/>
      <c r="AY346" s="82"/>
      <c r="AZ346" s="83"/>
      <c r="BA346" s="82"/>
      <c r="BB346" s="82"/>
      <c r="BC346" s="82"/>
      <c r="BD346" s="82"/>
      <c r="BE346" s="82"/>
      <c r="BF346" s="82"/>
      <c r="BG346" s="82"/>
      <c r="BH346" s="82"/>
      <c r="BI346" s="82"/>
      <c r="BJ346" s="82"/>
      <c r="BK346" s="82"/>
      <c r="BL346" s="82"/>
      <c r="BM346" s="82"/>
      <c r="BN346" s="82"/>
      <c r="BO346" s="82"/>
      <c r="BP346" s="82"/>
      <c r="BQ346" s="82"/>
      <c r="BR346" s="82"/>
      <c r="BS346" s="82"/>
      <c r="BT346" s="82"/>
      <c r="BU346" s="82"/>
      <c r="BV346" s="82"/>
      <c r="BW346" s="82"/>
      <c r="BX346" s="82"/>
      <c r="BY346" s="82"/>
      <c r="BZ346" s="82"/>
      <c r="CA346" s="82"/>
      <c r="CB346" s="82"/>
      <c r="CC346" s="82"/>
      <c r="CD346" s="82"/>
      <c r="CE346" s="82"/>
      <c r="CF346" s="82"/>
      <c r="CG346" s="82"/>
      <c r="CH346" s="82"/>
      <c r="CI346" s="82"/>
      <c r="CJ346" s="82"/>
      <c r="CK346" s="82"/>
      <c r="CL346" s="82"/>
      <c r="CM346" s="82"/>
      <c r="CN346" s="82"/>
      <c r="CO346" s="82"/>
      <c r="CP346" s="82"/>
      <c r="CQ346" s="82"/>
      <c r="CR346" s="82"/>
      <c r="CS346" s="82"/>
      <c r="CT346" s="82"/>
      <c r="CU346" s="82"/>
      <c r="CV346" s="82"/>
      <c r="CW346" s="82"/>
      <c r="CX346" s="82"/>
      <c r="CY346" s="82"/>
      <c r="CZ346" s="83"/>
      <c r="DA346" s="82"/>
      <c r="DB346" s="82"/>
      <c r="DC346" s="82"/>
      <c r="DD346" s="82"/>
      <c r="DE346" s="82"/>
      <c r="DF346" s="82"/>
      <c r="DG346" s="82"/>
      <c r="DH346" s="82"/>
      <c r="DI346" s="82"/>
    </row>
    <row r="347" spans="1:113" hidden="1" outlineLevel="2">
      <c r="A347" s="1" t="s">
        <v>123</v>
      </c>
      <c r="B347" s="19" t="s">
        <v>164</v>
      </c>
      <c r="C347" s="55"/>
      <c r="D347" s="55"/>
      <c r="E347" s="55"/>
      <c r="F347" s="55"/>
      <c r="G347" s="55"/>
      <c r="H347" s="55"/>
      <c r="I347" s="55"/>
      <c r="J347" s="55"/>
      <c r="K347" s="55"/>
      <c r="L347" s="55"/>
      <c r="M347" s="55"/>
      <c r="N347" s="55"/>
      <c r="O347" s="55"/>
      <c r="P347" s="55"/>
      <c r="Q347" s="55"/>
      <c r="R347" s="55"/>
      <c r="S347" s="55"/>
      <c r="T347" s="55"/>
      <c r="U347" s="55"/>
      <c r="V347" s="55"/>
      <c r="W347" s="55"/>
      <c r="X347" s="55"/>
      <c r="Y347" s="55"/>
      <c r="Z347" s="55"/>
      <c r="AA347" s="55"/>
      <c r="AB347" s="55"/>
      <c r="AC347" s="55"/>
      <c r="AD347" s="55"/>
      <c r="AE347" s="55"/>
      <c r="AF347" s="55"/>
      <c r="AG347" s="55"/>
      <c r="AH347" s="55"/>
      <c r="AI347" s="55"/>
      <c r="AJ347" s="55"/>
      <c r="AK347" s="55"/>
      <c r="AL347" s="55"/>
      <c r="AM347" s="55"/>
      <c r="AN347" s="55"/>
      <c r="AO347" s="55"/>
      <c r="AP347" s="55"/>
      <c r="AQ347" s="55"/>
      <c r="AR347" s="55"/>
      <c r="AS347" s="55"/>
      <c r="AT347" s="55"/>
      <c r="AU347" s="55"/>
      <c r="AV347" s="55"/>
      <c r="AW347" s="55"/>
      <c r="AX347" s="55"/>
      <c r="AY347" s="55"/>
      <c r="AZ347" s="56"/>
      <c r="BA347" s="55"/>
      <c r="BB347" s="55"/>
      <c r="BC347" s="55"/>
      <c r="BD347" s="55"/>
      <c r="BE347" s="55"/>
      <c r="BF347" s="55"/>
      <c r="BG347" s="55"/>
      <c r="BH347" s="55"/>
      <c r="BI347" s="55"/>
      <c r="BJ347" s="55"/>
      <c r="BK347" s="55"/>
      <c r="BL347" s="55"/>
      <c r="BM347" s="55"/>
      <c r="BN347" s="55"/>
      <c r="BO347" s="55"/>
      <c r="BP347" s="55"/>
      <c r="BQ347" s="55"/>
      <c r="BR347" s="55"/>
      <c r="BS347" s="55"/>
      <c r="BT347" s="55"/>
      <c r="BU347" s="55"/>
      <c r="BV347" s="55"/>
      <c r="BW347" s="55"/>
      <c r="BX347" s="55"/>
      <c r="BY347" s="55"/>
      <c r="BZ347" s="55"/>
      <c r="CA347" s="55"/>
      <c r="CB347" s="55"/>
      <c r="CC347" s="55"/>
      <c r="CD347" s="55"/>
      <c r="CE347" s="55"/>
      <c r="CF347" s="55"/>
      <c r="CG347" s="55"/>
      <c r="CH347" s="55"/>
      <c r="CI347" s="55"/>
      <c r="CJ347" s="55"/>
      <c r="CK347" s="55"/>
      <c r="CL347" s="55"/>
      <c r="CM347" s="55"/>
      <c r="CN347" s="55"/>
      <c r="CO347" s="55"/>
      <c r="CP347" s="55"/>
      <c r="CQ347" s="55"/>
      <c r="CR347" s="55"/>
      <c r="CS347" s="55"/>
      <c r="CT347" s="55"/>
      <c r="CU347" s="55"/>
      <c r="CV347" s="55"/>
      <c r="CW347" s="55"/>
      <c r="CX347" s="55"/>
      <c r="CY347" s="55"/>
      <c r="CZ347" s="56"/>
      <c r="DA347" s="55"/>
      <c r="DB347" s="55"/>
      <c r="DC347" s="55"/>
      <c r="DD347" s="55"/>
      <c r="DE347" s="55"/>
      <c r="DF347" s="55"/>
      <c r="DG347" s="55"/>
      <c r="DH347" s="55"/>
      <c r="DI347" s="55"/>
    </row>
    <row r="348" spans="1:113" hidden="1" outlineLevel="2">
      <c r="A348" s="1" t="s">
        <v>124</v>
      </c>
      <c r="B348" s="19" t="s">
        <v>343</v>
      </c>
      <c r="C348" s="55"/>
      <c r="D348" s="55"/>
      <c r="E348" s="55"/>
      <c r="F348" s="55"/>
      <c r="G348" s="55"/>
      <c r="H348" s="55"/>
      <c r="I348" s="55"/>
      <c r="J348" s="55"/>
      <c r="K348" s="55"/>
      <c r="L348" s="55"/>
      <c r="M348" s="55"/>
      <c r="N348" s="55"/>
      <c r="O348" s="55"/>
      <c r="P348" s="55"/>
      <c r="Q348" s="55"/>
      <c r="R348" s="55"/>
      <c r="S348" s="55"/>
      <c r="T348" s="55"/>
      <c r="U348" s="55"/>
      <c r="V348" s="55"/>
      <c r="W348" s="55"/>
      <c r="X348" s="55"/>
      <c r="Y348" s="55"/>
      <c r="Z348" s="55"/>
      <c r="AA348" s="55"/>
      <c r="AB348" s="55"/>
      <c r="AC348" s="55"/>
      <c r="AD348" s="55"/>
      <c r="AE348" s="55"/>
      <c r="AF348" s="55"/>
      <c r="AG348" s="55"/>
      <c r="AH348" s="55"/>
      <c r="AI348" s="55"/>
      <c r="AJ348" s="55"/>
      <c r="AK348" s="55"/>
      <c r="AL348" s="55"/>
      <c r="AM348" s="55"/>
      <c r="AN348" s="55"/>
      <c r="AO348" s="55"/>
      <c r="AP348" s="55"/>
      <c r="AQ348" s="55"/>
      <c r="AR348" s="55"/>
      <c r="AS348" s="55"/>
      <c r="AT348" s="55"/>
      <c r="AU348" s="55"/>
      <c r="AV348" s="55"/>
      <c r="AW348" s="55"/>
      <c r="AX348" s="55"/>
      <c r="AY348" s="55"/>
      <c r="AZ348" s="56"/>
      <c r="BA348" s="55"/>
      <c r="BB348" s="55"/>
      <c r="BC348" s="55"/>
      <c r="BD348" s="55"/>
      <c r="BE348" s="55"/>
      <c r="BF348" s="55"/>
      <c r="BG348" s="55"/>
      <c r="BH348" s="55"/>
      <c r="BI348" s="55"/>
      <c r="BJ348" s="55"/>
      <c r="BK348" s="55"/>
      <c r="BL348" s="55"/>
      <c r="BM348" s="55"/>
      <c r="BN348" s="55"/>
      <c r="BO348" s="55"/>
      <c r="BP348" s="55"/>
      <c r="BQ348" s="55"/>
      <c r="BR348" s="55"/>
      <c r="BS348" s="55"/>
      <c r="BT348" s="55"/>
      <c r="BU348" s="55"/>
      <c r="BV348" s="55"/>
      <c r="BW348" s="55"/>
      <c r="BX348" s="55"/>
      <c r="BY348" s="55"/>
      <c r="BZ348" s="55"/>
      <c r="CA348" s="55"/>
      <c r="CB348" s="55"/>
      <c r="CC348" s="55"/>
      <c r="CD348" s="55"/>
      <c r="CE348" s="55"/>
      <c r="CF348" s="55"/>
      <c r="CG348" s="55"/>
      <c r="CH348" s="55"/>
      <c r="CI348" s="55"/>
      <c r="CJ348" s="55"/>
      <c r="CK348" s="55"/>
      <c r="CL348" s="55"/>
      <c r="CM348" s="55"/>
      <c r="CN348" s="55"/>
      <c r="CO348" s="55"/>
      <c r="CP348" s="55"/>
      <c r="CQ348" s="55"/>
      <c r="CR348" s="55"/>
      <c r="CS348" s="55"/>
      <c r="CT348" s="55"/>
      <c r="CU348" s="55"/>
      <c r="CV348" s="55"/>
      <c r="CW348" s="55"/>
      <c r="CX348" s="55"/>
      <c r="CY348" s="55"/>
      <c r="CZ348" s="56"/>
      <c r="DA348" s="55"/>
      <c r="DB348" s="55"/>
      <c r="DC348" s="55"/>
      <c r="DD348" s="55"/>
      <c r="DE348" s="55"/>
      <c r="DF348" s="55"/>
      <c r="DG348" s="55"/>
      <c r="DH348" s="55"/>
      <c r="DI348" s="55"/>
    </row>
    <row r="349" spans="1:113" s="24" customFormat="1" hidden="1" outlineLevel="2">
      <c r="A349" s="1" t="s">
        <v>125</v>
      </c>
      <c r="B349" s="24" t="s">
        <v>581</v>
      </c>
      <c r="C349" s="82">
        <f>IF(ROUND(C234*C291/C$5,5)=ROUND(C334+C339+C344,5),C234*C291/C$5,"Error")</f>
        <v>1501.6172476616437</v>
      </c>
      <c r="D349" s="82">
        <f>IF(ROUND(D234*D291/D$5,5)=ROUND(D334+D339+D344,5),D234*D291/D$5,"Error")</f>
        <v>1527.292718115069</v>
      </c>
      <c r="E349" s="82">
        <f>IF(ROUND(E234*E291/E$5,5)=ROUND(E334+E339+E344,5),E234*E291/E$5,"Error")</f>
        <v>1208.8132581315058</v>
      </c>
      <c r="F349" s="82">
        <f t="shared" ref="F349:L349" si="2114">IF(ROUND(F234*F291/F$5,5)=ROUND(F334+F339+F344,5),F234*F291/F$5,"Error")</f>
        <v>1240.9367396712325</v>
      </c>
      <c r="G349" s="82">
        <f t="shared" si="2114"/>
        <v>1439.6606391780833</v>
      </c>
      <c r="H349" s="82">
        <f t="shared" si="2114"/>
        <v>1196.5047441530048</v>
      </c>
      <c r="I349" s="82">
        <f t="shared" si="2114"/>
        <v>1123.3259901639344</v>
      </c>
      <c r="J349" s="82">
        <f t="shared" si="2114"/>
        <v>1478.6012949771689</v>
      </c>
      <c r="K349" s="82">
        <f t="shared" si="2114"/>
        <v>1433.9768093616442</v>
      </c>
      <c r="L349" s="82">
        <f t="shared" si="2114"/>
        <v>1650.7085416604434</v>
      </c>
      <c r="M349" s="82">
        <f t="shared" ref="M349:T349" si="2115">IF(ROUND(M234*M291/M$5,5)=ROUND(M334+M339+M344,5),M234*M291/M$5,"Error")</f>
        <v>828.11218786975724</v>
      </c>
      <c r="N349" s="82">
        <f t="shared" si="2115"/>
        <v>1422.2823720974598</v>
      </c>
      <c r="O349" s="82">
        <f t="shared" si="2115"/>
        <v>969.24617951064045</v>
      </c>
      <c r="P349" s="82">
        <f t="shared" si="2115"/>
        <v>-673.2203283987393</v>
      </c>
      <c r="Q349" s="82">
        <f t="shared" si="2115"/>
        <v>107.1630560491796</v>
      </c>
      <c r="R349" s="82">
        <f t="shared" si="2115"/>
        <v>3122.5482470136999</v>
      </c>
      <c r="S349" s="82">
        <f t="shared" si="2115"/>
        <v>6412.7539762801343</v>
      </c>
      <c r="T349" s="82">
        <f t="shared" si="2115"/>
        <v>5358.4560450311365</v>
      </c>
      <c r="U349" s="82">
        <f t="shared" ref="U349:AK349" si="2116">IF(ROUND(U234*U291/U$5,5)=ROUND(U334+U339+U344,5),U234*U291/U$5,"Error")</f>
        <v>4714.2924001019383</v>
      </c>
      <c r="V349" s="82">
        <f t="shared" si="2116"/>
        <v>4592.7269175880538</v>
      </c>
      <c r="W349" s="82">
        <f t="shared" si="2116"/>
        <v>4755.1851423107173</v>
      </c>
      <c r="X349" s="82">
        <f t="shared" si="2116"/>
        <v>5154.5473329495644</v>
      </c>
      <c r="Y349" s="82">
        <f t="shared" si="2116"/>
        <v>6229.3761253005559</v>
      </c>
      <c r="Z349" s="82">
        <f t="shared" si="2116"/>
        <v>7110.6315957419247</v>
      </c>
      <c r="AA349" s="82">
        <f t="shared" si="2116"/>
        <v>7598.7454721592967</v>
      </c>
      <c r="AB349" s="82">
        <f t="shared" si="2116"/>
        <v>8018.4661464508181</v>
      </c>
      <c r="AC349" s="82">
        <f t="shared" si="2116"/>
        <v>7618.3127367351599</v>
      </c>
      <c r="AD349" s="82">
        <f t="shared" si="2116"/>
        <v>7590.4797679038629</v>
      </c>
      <c r="AE349" s="82">
        <f t="shared" si="2116"/>
        <v>8243.9547173904284</v>
      </c>
      <c r="AF349" s="82">
        <f t="shared" si="2116"/>
        <v>8444.3911866203125</v>
      </c>
      <c r="AG349" s="82">
        <f t="shared" si="2116"/>
        <v>8382.7859830600992</v>
      </c>
      <c r="AH349" s="82">
        <f t="shared" si="2116"/>
        <v>9383.1158815231993</v>
      </c>
      <c r="AI349" s="82">
        <f t="shared" si="2116"/>
        <v>9290.0560411767146</v>
      </c>
      <c r="AJ349" s="82">
        <f t="shared" si="2116"/>
        <v>9791.3460656522584</v>
      </c>
      <c r="AK349" s="82">
        <f t="shared" si="2116"/>
        <v>8864.5898494057037</v>
      </c>
      <c r="AL349" s="82">
        <f t="shared" ref="AL349:AQ349" si="2117">IF(ROUND(AL234*AL291/AL$5,5)=ROUND(AL334+AL339+AL344,5),AL234*AL291/AL$5,"Error")</f>
        <v>8858.229385757606</v>
      </c>
      <c r="AM349" s="82">
        <f t="shared" si="2117"/>
        <v>9445.6042652916003</v>
      </c>
      <c r="AN349" s="82">
        <f t="shared" si="2117"/>
        <v>11313.637266766023</v>
      </c>
      <c r="AO349" s="82">
        <f t="shared" si="2117"/>
        <v>11754.619015956283</v>
      </c>
      <c r="AP349" s="82">
        <f t="shared" si="2117"/>
        <v>12092.426816396848</v>
      </c>
      <c r="AQ349" s="82">
        <f t="shared" si="2117"/>
        <v>11678.193604459553</v>
      </c>
      <c r="AR349" s="82"/>
      <c r="AS349" s="82"/>
      <c r="AT349" s="82"/>
      <c r="AU349" s="82"/>
      <c r="AV349" s="82"/>
      <c r="AW349" s="82"/>
      <c r="AX349" s="82"/>
      <c r="AY349" s="82"/>
      <c r="AZ349" s="83"/>
      <c r="BA349" s="82"/>
      <c r="BB349" s="82"/>
      <c r="BC349" s="82"/>
      <c r="BD349" s="82"/>
      <c r="BE349" s="82"/>
      <c r="BF349" s="82"/>
      <c r="BG349" s="82"/>
      <c r="BH349" s="82"/>
      <c r="BI349" s="82"/>
      <c r="BJ349" s="82"/>
      <c r="BK349" s="82"/>
      <c r="BL349" s="82"/>
      <c r="BM349" s="82"/>
      <c r="BN349" s="82"/>
      <c r="BO349" s="82"/>
      <c r="BP349" s="82"/>
      <c r="BQ349" s="82"/>
      <c r="BR349" s="82"/>
      <c r="BS349" s="82">
        <f t="shared" ref="BS349:CB349" si="2118">IF(ROUND(BS234*BS291/BS$5,5)=ROUND(BS334+BS339+BS344,5),BS234*BS291/BS$5,"Error")</f>
        <v>2193.263801666666</v>
      </c>
      <c r="BT349" s="82">
        <f t="shared" si="2118"/>
        <v>2364.3535399999996</v>
      </c>
      <c r="BU349" s="82">
        <f t="shared" si="2118"/>
        <v>2169.7722983333338</v>
      </c>
      <c r="BV349" s="82">
        <f t="shared" si="2118"/>
        <v>1121.7141474999992</v>
      </c>
      <c r="BW349" s="82">
        <f t="shared" si="2118"/>
        <v>1507.2950499999997</v>
      </c>
      <c r="BX349" s="82">
        <f t="shared" si="2118"/>
        <v>2057.2062453333328</v>
      </c>
      <c r="BY349" s="82">
        <f t="shared" si="2118"/>
        <v>2377.7848039999999</v>
      </c>
      <c r="BZ349" s="82">
        <f t="shared" si="2118"/>
        <v>2078.4371880000008</v>
      </c>
      <c r="CA349" s="82">
        <f t="shared" si="2118"/>
        <v>1572.6189404580196</v>
      </c>
      <c r="CB349" s="82">
        <f t="shared" si="2118"/>
        <v>2397.8325584615418</v>
      </c>
      <c r="CC349" s="82">
        <f t="shared" ref="CC349:CC354" si="2119">SUM(D349:E349)</f>
        <v>2736.1059762465748</v>
      </c>
      <c r="CD349" s="82">
        <f t="shared" ref="CD349:CD354" si="2120">SUM(F349:G349)</f>
        <v>2680.5973788493156</v>
      </c>
      <c r="CE349" s="82">
        <f t="shared" ref="CE349:CE354" si="2121">SUM(H349:I349)</f>
        <v>2319.830734316939</v>
      </c>
      <c r="CF349" s="82">
        <f t="shared" ref="CF349:CF354" si="2122">SUM(J349:K349)</f>
        <v>2912.5781043388133</v>
      </c>
      <c r="CG349" s="82">
        <f t="shared" ref="CG349:CG354" si="2123">SUM(L349:M349)</f>
        <v>2478.8207295302009</v>
      </c>
      <c r="CH349" s="82">
        <f t="shared" ref="CH349:CH354" si="2124">SUM(N349:O349)</f>
        <v>2391.5285516081003</v>
      </c>
      <c r="CI349" s="82">
        <f t="shared" ref="CI349:CI354" si="2125">SUM(P349:Q349)</f>
        <v>-566.05727234955975</v>
      </c>
      <c r="CJ349" s="82">
        <f t="shared" ref="CJ349:CJ354" si="2126">SUM(R349:S349)</f>
        <v>9535.3022232938347</v>
      </c>
      <c r="CK349" s="82">
        <f t="shared" ref="CK349:CK354" si="2127">SUM(T349:U349)</f>
        <v>10072.748445133075</v>
      </c>
      <c r="CL349" s="82">
        <f t="shared" ref="CL349:CL354" si="2128">SUM(V349:W349)</f>
        <v>9347.912059898772</v>
      </c>
      <c r="CM349" s="82">
        <f t="shared" ref="CM349:CM354" si="2129">SUM(X349:Y349)</f>
        <v>11383.923458250119</v>
      </c>
      <c r="CN349" s="82">
        <f t="shared" ref="CN349:CN354" si="2130">SUM(Z349:AA349)</f>
        <v>14709.377067901221</v>
      </c>
      <c r="CO349" s="82">
        <f t="shared" ref="CO349:CO354" si="2131">SUM(AB349:AC349)</f>
        <v>15636.778883185978</v>
      </c>
      <c r="CP349" s="82">
        <f t="shared" ref="CP349:CP354" si="2132">SUM(AD349:AE349)</f>
        <v>15834.434485294292</v>
      </c>
      <c r="CQ349" s="82">
        <f t="shared" ref="CQ349:CQ354" si="2133">SUM(AF349:AG349)</f>
        <v>16827.177169680413</v>
      </c>
      <c r="CR349" s="82">
        <f t="shared" ref="CR349:CR354" si="2134">SUM(AH349:AI349)</f>
        <v>18673.171922699912</v>
      </c>
      <c r="CS349" s="82">
        <f t="shared" ref="CS349:CS354" si="2135">SUM(AJ349:AK349)</f>
        <v>18655.935915057962</v>
      </c>
      <c r="CT349" s="82">
        <f t="shared" ref="CT349:CT354" si="2136">SUM(AL349:AM349)</f>
        <v>18303.833651049208</v>
      </c>
      <c r="CU349" s="82">
        <f t="shared" ref="CU349:CU354" si="2137">SUM(AN349:AO349)</f>
        <v>23068.256282722308</v>
      </c>
      <c r="CV349" s="82">
        <f t="shared" ref="CV349:CV354" si="2138">SUM(AP349:AQ349)</f>
        <v>23770.620420856401</v>
      </c>
      <c r="CW349" s="82"/>
      <c r="CX349" s="82"/>
      <c r="CY349" s="82"/>
      <c r="CZ349" s="83"/>
      <c r="DA349" s="82"/>
      <c r="DB349" s="82"/>
      <c r="DC349" s="82"/>
      <c r="DD349" s="82"/>
      <c r="DE349" s="82"/>
      <c r="DF349" s="82"/>
      <c r="DG349" s="82"/>
      <c r="DH349" s="82"/>
      <c r="DI349" s="82"/>
    </row>
    <row r="350" spans="1:113" hidden="1" outlineLevel="2">
      <c r="A350" s="1" t="s">
        <v>126</v>
      </c>
      <c r="B350" s="19" t="s">
        <v>344</v>
      </c>
      <c r="C350" s="55">
        <f t="shared" ref="C350:L351" si="2139">C235*C292/C$5</f>
        <v>0</v>
      </c>
      <c r="D350" s="55">
        <f t="shared" si="2139"/>
        <v>0</v>
      </c>
      <c r="E350" s="55">
        <f t="shared" si="2139"/>
        <v>0</v>
      </c>
      <c r="F350" s="55">
        <f t="shared" si="2139"/>
        <v>0</v>
      </c>
      <c r="G350" s="55">
        <f t="shared" si="2139"/>
        <v>0</v>
      </c>
      <c r="H350" s="55">
        <f t="shared" si="2139"/>
        <v>0</v>
      </c>
      <c r="I350" s="55">
        <f t="shared" si="2139"/>
        <v>0</v>
      </c>
      <c r="J350" s="55">
        <f t="shared" si="2139"/>
        <v>0</v>
      </c>
      <c r="K350" s="55">
        <f t="shared" si="2139"/>
        <v>0</v>
      </c>
      <c r="L350" s="55">
        <f t="shared" si="2139"/>
        <v>0</v>
      </c>
      <c r="M350" s="55">
        <f t="shared" ref="M350:X351" si="2140">M235*M292/M$5</f>
        <v>0</v>
      </c>
      <c r="N350" s="55">
        <f t="shared" si="2140"/>
        <v>0</v>
      </c>
      <c r="O350" s="55">
        <f t="shared" si="2140"/>
        <v>0</v>
      </c>
      <c r="P350" s="55">
        <f t="shared" si="2140"/>
        <v>0</v>
      </c>
      <c r="Q350" s="55">
        <f t="shared" si="2140"/>
        <v>0</v>
      </c>
      <c r="R350" s="55">
        <f t="shared" si="2140"/>
        <v>0</v>
      </c>
      <c r="S350" s="55">
        <f t="shared" si="2140"/>
        <v>0</v>
      </c>
      <c r="T350" s="55">
        <f t="shared" si="2140"/>
        <v>0</v>
      </c>
      <c r="U350" s="55">
        <f t="shared" si="2140"/>
        <v>0</v>
      </c>
      <c r="V350" s="55">
        <f t="shared" si="2140"/>
        <v>0</v>
      </c>
      <c r="W350" s="55">
        <f t="shared" si="2140"/>
        <v>0</v>
      </c>
      <c r="X350" s="55">
        <f t="shared" si="2140"/>
        <v>0</v>
      </c>
      <c r="Y350" s="55">
        <f t="shared" ref="Y350:AK350" si="2141">Y235*Y292/Y$5</f>
        <v>0</v>
      </c>
      <c r="Z350" s="55">
        <f t="shared" si="2141"/>
        <v>0</v>
      </c>
      <c r="AA350" s="55">
        <f t="shared" si="2141"/>
        <v>0</v>
      </c>
      <c r="AB350" s="55">
        <f t="shared" si="2141"/>
        <v>0</v>
      </c>
      <c r="AC350" s="55">
        <f t="shared" si="2141"/>
        <v>0</v>
      </c>
      <c r="AD350" s="55">
        <f t="shared" si="2141"/>
        <v>0</v>
      </c>
      <c r="AE350" s="55">
        <f t="shared" si="2141"/>
        <v>0</v>
      </c>
      <c r="AF350" s="55">
        <f t="shared" si="2141"/>
        <v>0</v>
      </c>
      <c r="AG350" s="55">
        <f t="shared" si="2141"/>
        <v>0</v>
      </c>
      <c r="AH350" s="55">
        <f t="shared" si="2141"/>
        <v>0</v>
      </c>
      <c r="AI350" s="55">
        <f t="shared" si="2141"/>
        <v>0</v>
      </c>
      <c r="AJ350" s="55">
        <f t="shared" si="2141"/>
        <v>0</v>
      </c>
      <c r="AK350" s="55">
        <f t="shared" si="2141"/>
        <v>0</v>
      </c>
      <c r="AL350" s="55">
        <f t="shared" ref="AL350:AO351" si="2142">AL235*AL292/AL$5</f>
        <v>0</v>
      </c>
      <c r="AM350" s="55">
        <f t="shared" si="2142"/>
        <v>0</v>
      </c>
      <c r="AN350" s="55">
        <f t="shared" si="2142"/>
        <v>0</v>
      </c>
      <c r="AO350" s="55">
        <f t="shared" si="2142"/>
        <v>0</v>
      </c>
      <c r="AP350" s="55">
        <f t="shared" ref="AP350:AQ350" si="2143">AP235*AP292/AP$5</f>
        <v>0</v>
      </c>
      <c r="AQ350" s="55">
        <f t="shared" si="2143"/>
        <v>0</v>
      </c>
      <c r="AR350" s="55"/>
      <c r="AS350" s="55"/>
      <c r="AT350" s="55"/>
      <c r="AU350" s="55"/>
      <c r="AV350" s="55"/>
      <c r="AW350" s="55"/>
      <c r="AX350" s="55"/>
      <c r="AY350" s="55"/>
      <c r="AZ350" s="56"/>
      <c r="BA350" s="55"/>
      <c r="BB350" s="55"/>
      <c r="BC350" s="55"/>
      <c r="BD350" s="55"/>
      <c r="BE350" s="55"/>
      <c r="BF350" s="55"/>
      <c r="BG350" s="55"/>
      <c r="BH350" s="55"/>
      <c r="BI350" s="55"/>
      <c r="BJ350" s="55"/>
      <c r="BK350" s="55"/>
      <c r="BL350" s="55"/>
      <c r="BM350" s="55"/>
      <c r="BN350" s="55"/>
      <c r="BO350" s="55"/>
      <c r="BP350" s="55"/>
      <c r="BQ350" s="55"/>
      <c r="BR350" s="55"/>
      <c r="BS350" s="55">
        <f t="shared" ref="BS350:CB351" si="2144">BS235*BS292/BS$5</f>
        <v>0</v>
      </c>
      <c r="BT350" s="55">
        <f t="shared" si="2144"/>
        <v>0</v>
      </c>
      <c r="BU350" s="55">
        <f t="shared" si="2144"/>
        <v>0</v>
      </c>
      <c r="BV350" s="55">
        <f t="shared" si="2144"/>
        <v>0</v>
      </c>
      <c r="BW350" s="55">
        <f t="shared" si="2144"/>
        <v>0</v>
      </c>
      <c r="BX350" s="55">
        <f t="shared" si="2144"/>
        <v>0</v>
      </c>
      <c r="BY350" s="55">
        <f t="shared" si="2144"/>
        <v>0</v>
      </c>
      <c r="BZ350" s="55">
        <f t="shared" si="2144"/>
        <v>0</v>
      </c>
      <c r="CA350" s="55">
        <f t="shared" si="2144"/>
        <v>0</v>
      </c>
      <c r="CB350" s="55">
        <f t="shared" si="2144"/>
        <v>0</v>
      </c>
      <c r="CC350" s="55">
        <f t="shared" si="2119"/>
        <v>0</v>
      </c>
      <c r="CD350" s="55">
        <f t="shared" si="2120"/>
        <v>0</v>
      </c>
      <c r="CE350" s="55">
        <f t="shared" si="2121"/>
        <v>0</v>
      </c>
      <c r="CF350" s="55">
        <f t="shared" si="2122"/>
        <v>0</v>
      </c>
      <c r="CG350" s="55">
        <f t="shared" si="2123"/>
        <v>0</v>
      </c>
      <c r="CH350" s="55">
        <f t="shared" si="2124"/>
        <v>0</v>
      </c>
      <c r="CI350" s="55">
        <f t="shared" si="2125"/>
        <v>0</v>
      </c>
      <c r="CJ350" s="55">
        <f t="shared" si="2126"/>
        <v>0</v>
      </c>
      <c r="CK350" s="55">
        <f t="shared" si="2127"/>
        <v>0</v>
      </c>
      <c r="CL350" s="55">
        <f t="shared" si="2128"/>
        <v>0</v>
      </c>
      <c r="CM350" s="55">
        <f t="shared" si="2129"/>
        <v>0</v>
      </c>
      <c r="CN350" s="55">
        <f t="shared" si="2130"/>
        <v>0</v>
      </c>
      <c r="CO350" s="55">
        <f t="shared" si="2131"/>
        <v>0</v>
      </c>
      <c r="CP350" s="55">
        <f t="shared" si="2132"/>
        <v>0</v>
      </c>
      <c r="CQ350" s="55">
        <f t="shared" si="2133"/>
        <v>0</v>
      </c>
      <c r="CR350" s="55">
        <f t="shared" si="2134"/>
        <v>0</v>
      </c>
      <c r="CS350" s="55">
        <f t="shared" si="2135"/>
        <v>0</v>
      </c>
      <c r="CT350" s="55">
        <f t="shared" si="2136"/>
        <v>0</v>
      </c>
      <c r="CU350" s="55">
        <f t="shared" si="2137"/>
        <v>0</v>
      </c>
      <c r="CV350" s="55">
        <f t="shared" si="2138"/>
        <v>0</v>
      </c>
      <c r="CW350" s="55"/>
      <c r="CX350" s="55"/>
      <c r="CY350" s="55"/>
      <c r="CZ350" s="56"/>
      <c r="DA350" s="55"/>
      <c r="DB350" s="55"/>
      <c r="DC350" s="55"/>
      <c r="DD350" s="55"/>
      <c r="DE350" s="55"/>
      <c r="DF350" s="55"/>
      <c r="DG350" s="55"/>
      <c r="DH350" s="55"/>
      <c r="DI350" s="55"/>
    </row>
    <row r="351" spans="1:113" hidden="1" outlineLevel="2">
      <c r="A351" s="1" t="s">
        <v>127</v>
      </c>
      <c r="B351" s="19" t="s">
        <v>586</v>
      </c>
      <c r="C351" s="55">
        <f t="shared" si="2139"/>
        <v>0</v>
      </c>
      <c r="D351" s="55">
        <f t="shared" si="2139"/>
        <v>0</v>
      </c>
      <c r="E351" s="55">
        <f t="shared" si="2139"/>
        <v>0</v>
      </c>
      <c r="F351" s="55">
        <f t="shared" si="2139"/>
        <v>0</v>
      </c>
      <c r="G351" s="55">
        <f t="shared" si="2139"/>
        <v>0</v>
      </c>
      <c r="H351" s="55">
        <f t="shared" si="2139"/>
        <v>0</v>
      </c>
      <c r="I351" s="55">
        <f t="shared" si="2139"/>
        <v>0</v>
      </c>
      <c r="J351" s="55">
        <f t="shared" si="2139"/>
        <v>0</v>
      </c>
      <c r="K351" s="55">
        <f t="shared" si="2139"/>
        <v>0</v>
      </c>
      <c r="L351" s="55">
        <f t="shared" si="2139"/>
        <v>0</v>
      </c>
      <c r="M351" s="55">
        <f t="shared" si="2140"/>
        <v>0</v>
      </c>
      <c r="N351" s="55">
        <f t="shared" si="2140"/>
        <v>0</v>
      </c>
      <c r="O351" s="55">
        <f t="shared" si="2140"/>
        <v>0</v>
      </c>
      <c r="P351" s="55">
        <f t="shared" si="2140"/>
        <v>0</v>
      </c>
      <c r="Q351" s="55">
        <f t="shared" si="2140"/>
        <v>0</v>
      </c>
      <c r="R351" s="55">
        <f t="shared" si="2140"/>
        <v>0</v>
      </c>
      <c r="S351" s="55">
        <f t="shared" si="2140"/>
        <v>0</v>
      </c>
      <c r="T351" s="55">
        <f t="shared" si="2140"/>
        <v>0</v>
      </c>
      <c r="U351" s="55">
        <f t="shared" si="2140"/>
        <v>0</v>
      </c>
      <c r="V351" s="55">
        <f t="shared" si="2140"/>
        <v>0</v>
      </c>
      <c r="W351" s="55">
        <f t="shared" si="2140"/>
        <v>0</v>
      </c>
      <c r="X351" s="55">
        <f t="shared" si="2140"/>
        <v>0</v>
      </c>
      <c r="Y351" s="55">
        <f t="shared" ref="Y351:AK351" si="2145">Y236*Y293/Y$5</f>
        <v>0</v>
      </c>
      <c r="Z351" s="55">
        <f t="shared" si="2145"/>
        <v>0</v>
      </c>
      <c r="AA351" s="55">
        <f t="shared" si="2145"/>
        <v>0</v>
      </c>
      <c r="AB351" s="55">
        <f t="shared" si="2145"/>
        <v>0</v>
      </c>
      <c r="AC351" s="55">
        <f t="shared" si="2145"/>
        <v>0</v>
      </c>
      <c r="AD351" s="55">
        <f t="shared" si="2145"/>
        <v>0</v>
      </c>
      <c r="AE351" s="55">
        <f t="shared" si="2145"/>
        <v>0</v>
      </c>
      <c r="AF351" s="55">
        <f t="shared" si="2145"/>
        <v>0</v>
      </c>
      <c r="AG351" s="55">
        <f t="shared" si="2145"/>
        <v>0</v>
      </c>
      <c r="AH351" s="55">
        <f t="shared" si="2145"/>
        <v>0</v>
      </c>
      <c r="AI351" s="55">
        <f t="shared" si="2145"/>
        <v>0</v>
      </c>
      <c r="AJ351" s="55">
        <f t="shared" si="2145"/>
        <v>0</v>
      </c>
      <c r="AK351" s="55">
        <f t="shared" si="2145"/>
        <v>0</v>
      </c>
      <c r="AL351" s="55">
        <f t="shared" si="2142"/>
        <v>0</v>
      </c>
      <c r="AM351" s="55">
        <f t="shared" si="2142"/>
        <v>0</v>
      </c>
      <c r="AN351" s="55">
        <f t="shared" si="2142"/>
        <v>0</v>
      </c>
      <c r="AO351" s="55">
        <f t="shared" si="2142"/>
        <v>0</v>
      </c>
      <c r="AP351" s="55">
        <f t="shared" ref="AP351:AQ351" si="2146">AP236*AP293/AP$5</f>
        <v>0</v>
      </c>
      <c r="AQ351" s="55">
        <f t="shared" si="2146"/>
        <v>0</v>
      </c>
      <c r="AR351" s="55"/>
      <c r="AS351" s="55"/>
      <c r="AT351" s="55"/>
      <c r="AU351" s="55"/>
      <c r="AV351" s="55"/>
      <c r="AW351" s="55"/>
      <c r="AX351" s="55"/>
      <c r="AY351" s="55"/>
      <c r="AZ351" s="56"/>
      <c r="BA351" s="55"/>
      <c r="BB351" s="55"/>
      <c r="BC351" s="55"/>
      <c r="BD351" s="55"/>
      <c r="BE351" s="55"/>
      <c r="BF351" s="55"/>
      <c r="BG351" s="55"/>
      <c r="BH351" s="55"/>
      <c r="BI351" s="55"/>
      <c r="BJ351" s="55"/>
      <c r="BK351" s="55"/>
      <c r="BL351" s="55"/>
      <c r="BM351" s="55"/>
      <c r="BN351" s="55"/>
      <c r="BO351" s="55"/>
      <c r="BP351" s="55"/>
      <c r="BQ351" s="55"/>
      <c r="BR351" s="55"/>
      <c r="BS351" s="55">
        <f t="shared" si="2144"/>
        <v>0</v>
      </c>
      <c r="BT351" s="55">
        <f t="shared" si="2144"/>
        <v>0</v>
      </c>
      <c r="BU351" s="55">
        <f t="shared" si="2144"/>
        <v>0</v>
      </c>
      <c r="BV351" s="55">
        <f t="shared" si="2144"/>
        <v>0</v>
      </c>
      <c r="BW351" s="55">
        <f t="shared" si="2144"/>
        <v>0</v>
      </c>
      <c r="BX351" s="55">
        <f t="shared" si="2144"/>
        <v>0</v>
      </c>
      <c r="BY351" s="55">
        <f t="shared" si="2144"/>
        <v>0</v>
      </c>
      <c r="BZ351" s="55">
        <f t="shared" si="2144"/>
        <v>0</v>
      </c>
      <c r="CA351" s="55">
        <f t="shared" si="2144"/>
        <v>0</v>
      </c>
      <c r="CB351" s="55">
        <f t="shared" si="2144"/>
        <v>0</v>
      </c>
      <c r="CC351" s="55">
        <f t="shared" si="2119"/>
        <v>0</v>
      </c>
      <c r="CD351" s="55">
        <f t="shared" si="2120"/>
        <v>0</v>
      </c>
      <c r="CE351" s="55">
        <f t="shared" si="2121"/>
        <v>0</v>
      </c>
      <c r="CF351" s="55">
        <f t="shared" si="2122"/>
        <v>0</v>
      </c>
      <c r="CG351" s="55">
        <f t="shared" si="2123"/>
        <v>0</v>
      </c>
      <c r="CH351" s="55">
        <f t="shared" si="2124"/>
        <v>0</v>
      </c>
      <c r="CI351" s="55">
        <f t="shared" si="2125"/>
        <v>0</v>
      </c>
      <c r="CJ351" s="55">
        <f t="shared" si="2126"/>
        <v>0</v>
      </c>
      <c r="CK351" s="55">
        <f t="shared" si="2127"/>
        <v>0</v>
      </c>
      <c r="CL351" s="55">
        <f t="shared" si="2128"/>
        <v>0</v>
      </c>
      <c r="CM351" s="55">
        <f t="shared" si="2129"/>
        <v>0</v>
      </c>
      <c r="CN351" s="55">
        <f t="shared" si="2130"/>
        <v>0</v>
      </c>
      <c r="CO351" s="55">
        <f t="shared" si="2131"/>
        <v>0</v>
      </c>
      <c r="CP351" s="55">
        <f t="shared" si="2132"/>
        <v>0</v>
      </c>
      <c r="CQ351" s="55">
        <f t="shared" si="2133"/>
        <v>0</v>
      </c>
      <c r="CR351" s="55">
        <f t="shared" si="2134"/>
        <v>0</v>
      </c>
      <c r="CS351" s="55">
        <f t="shared" si="2135"/>
        <v>0</v>
      </c>
      <c r="CT351" s="55">
        <f t="shared" si="2136"/>
        <v>0</v>
      </c>
      <c r="CU351" s="55">
        <f t="shared" si="2137"/>
        <v>0</v>
      </c>
      <c r="CV351" s="55">
        <f t="shared" si="2138"/>
        <v>0</v>
      </c>
      <c r="CW351" s="55"/>
      <c r="CX351" s="55"/>
      <c r="CY351" s="55"/>
      <c r="CZ351" s="56"/>
      <c r="DA351" s="55"/>
      <c r="DB351" s="55"/>
      <c r="DC351" s="55"/>
      <c r="DD351" s="55"/>
      <c r="DE351" s="55"/>
      <c r="DF351" s="55"/>
      <c r="DG351" s="55"/>
      <c r="DH351" s="55"/>
      <c r="DI351" s="55"/>
    </row>
    <row r="352" spans="1:113" s="24" customFormat="1" hidden="1" outlineLevel="2">
      <c r="A352" s="1" t="s">
        <v>128</v>
      </c>
      <c r="B352" s="24" t="s">
        <v>587</v>
      </c>
      <c r="C352" s="82">
        <f t="shared" ref="C352:L352" si="2147">IF(C237*C294/C$5=C349+C350+C351,C237*C294/C$5,"Error")</f>
        <v>1501.6172476616437</v>
      </c>
      <c r="D352" s="82">
        <f t="shared" si="2147"/>
        <v>1527.292718115069</v>
      </c>
      <c r="E352" s="82">
        <f t="shared" si="2147"/>
        <v>1208.8132581315058</v>
      </c>
      <c r="F352" s="82">
        <f t="shared" si="2147"/>
        <v>1240.9367396712325</v>
      </c>
      <c r="G352" s="82">
        <f t="shared" si="2147"/>
        <v>1439.6606391780833</v>
      </c>
      <c r="H352" s="82">
        <f t="shared" si="2147"/>
        <v>1196.5047441530048</v>
      </c>
      <c r="I352" s="82">
        <f t="shared" si="2147"/>
        <v>1123.3259901639344</v>
      </c>
      <c r="J352" s="82">
        <f t="shared" si="2147"/>
        <v>1478.6012949771689</v>
      </c>
      <c r="K352" s="82">
        <f t="shared" si="2147"/>
        <v>1433.9768093616442</v>
      </c>
      <c r="L352" s="82">
        <f t="shared" si="2147"/>
        <v>1650.7085416604434</v>
      </c>
      <c r="M352" s="82">
        <f t="shared" ref="M352:X352" si="2148">IF(M237*M294/M$5=M349+M350+M351,M237*M294/M$5,"Error")</f>
        <v>828.11218786975724</v>
      </c>
      <c r="N352" s="82">
        <f t="shared" si="2148"/>
        <v>1422.2823720974598</v>
      </c>
      <c r="O352" s="82">
        <f t="shared" si="2148"/>
        <v>969.24617951064045</v>
      </c>
      <c r="P352" s="82">
        <f t="shared" si="2148"/>
        <v>-673.2203283987393</v>
      </c>
      <c r="Q352" s="82">
        <f t="shared" si="2148"/>
        <v>107.1630560491796</v>
      </c>
      <c r="R352" s="82">
        <f t="shared" si="2148"/>
        <v>3122.5482470136999</v>
      </c>
      <c r="S352" s="82">
        <f t="shared" si="2148"/>
        <v>6412.7539762801343</v>
      </c>
      <c r="T352" s="82">
        <f t="shared" si="2148"/>
        <v>5358.4560450311365</v>
      </c>
      <c r="U352" s="82">
        <f t="shared" si="2148"/>
        <v>4714.2924001019383</v>
      </c>
      <c r="V352" s="82">
        <f t="shared" si="2148"/>
        <v>4592.7269175880538</v>
      </c>
      <c r="W352" s="82">
        <f t="shared" si="2148"/>
        <v>4755.1851423107173</v>
      </c>
      <c r="X352" s="82">
        <f t="shared" si="2148"/>
        <v>5154.5473329495644</v>
      </c>
      <c r="Y352" s="82">
        <f t="shared" ref="Y352:AK352" si="2149">IF(Y237*Y294/Y$5=Y349+Y350+Y351,Y237*Y294/Y$5,"Error")</f>
        <v>6229.3761253005559</v>
      </c>
      <c r="Z352" s="82">
        <f t="shared" si="2149"/>
        <v>7110.6315957419247</v>
      </c>
      <c r="AA352" s="82">
        <f t="shared" si="2149"/>
        <v>7598.7454721592967</v>
      </c>
      <c r="AB352" s="82">
        <f t="shared" si="2149"/>
        <v>8018.4661464508181</v>
      </c>
      <c r="AC352" s="82">
        <f t="shared" si="2149"/>
        <v>7618.3127367351599</v>
      </c>
      <c r="AD352" s="82">
        <f t="shared" si="2149"/>
        <v>7590.4797679038629</v>
      </c>
      <c r="AE352" s="82">
        <f t="shared" si="2149"/>
        <v>8243.9547173904284</v>
      </c>
      <c r="AF352" s="82">
        <f t="shared" si="2149"/>
        <v>8444.3911866203125</v>
      </c>
      <c r="AG352" s="82">
        <f t="shared" si="2149"/>
        <v>8382.7859830600992</v>
      </c>
      <c r="AH352" s="82">
        <f t="shared" si="2149"/>
        <v>9383.1158815231993</v>
      </c>
      <c r="AI352" s="82">
        <f t="shared" si="2149"/>
        <v>9290.0560411767146</v>
      </c>
      <c r="AJ352" s="82">
        <f t="shared" si="2149"/>
        <v>9791.3460656522584</v>
      </c>
      <c r="AK352" s="82">
        <f t="shared" si="2149"/>
        <v>8864.5898494057037</v>
      </c>
      <c r="AL352" s="82">
        <f t="shared" ref="AL352:AQ352" si="2150">IF(AL237*AL294/AL$5=AL349+AL350+AL351,AL237*AL294/AL$5,"Error")</f>
        <v>8858.229385757606</v>
      </c>
      <c r="AM352" s="82">
        <f t="shared" si="2150"/>
        <v>9445.6042652916003</v>
      </c>
      <c r="AN352" s="82">
        <f t="shared" si="2150"/>
        <v>11313.637266766023</v>
      </c>
      <c r="AO352" s="82">
        <f t="shared" si="2150"/>
        <v>11754.619015956283</v>
      </c>
      <c r="AP352" s="82">
        <f t="shared" si="2150"/>
        <v>12092.426816396848</v>
      </c>
      <c r="AQ352" s="82">
        <f t="shared" si="2150"/>
        <v>11678.193604459553</v>
      </c>
      <c r="AR352" s="82"/>
      <c r="AS352" s="82"/>
      <c r="AT352" s="82"/>
      <c r="AU352" s="82"/>
      <c r="AV352" s="82"/>
      <c r="AW352" s="82"/>
      <c r="AX352" s="82"/>
      <c r="AY352" s="82"/>
      <c r="AZ352" s="83"/>
      <c r="BA352" s="82"/>
      <c r="BB352" s="82"/>
      <c r="BC352" s="82"/>
      <c r="BD352" s="82"/>
      <c r="BE352" s="82"/>
      <c r="BF352" s="82"/>
      <c r="BG352" s="82"/>
      <c r="BH352" s="82"/>
      <c r="BI352" s="82"/>
      <c r="BJ352" s="82"/>
      <c r="BK352" s="82"/>
      <c r="BL352" s="82"/>
      <c r="BM352" s="82"/>
      <c r="BN352" s="82"/>
      <c r="BO352" s="82"/>
      <c r="BP352" s="82"/>
      <c r="BQ352" s="82"/>
      <c r="BR352" s="82"/>
      <c r="BS352" s="82">
        <f t="shared" ref="BS352:CB352" si="2151">IF(BS237*BS294/BS$5=BS349+BS350+BS351,BS237*BS294/BS$5,"Error")</f>
        <v>2193.263801666666</v>
      </c>
      <c r="BT352" s="82">
        <f t="shared" si="2151"/>
        <v>2364.3535399999996</v>
      </c>
      <c r="BU352" s="82">
        <f t="shared" si="2151"/>
        <v>2169.7722983333338</v>
      </c>
      <c r="BV352" s="82">
        <f t="shared" si="2151"/>
        <v>1121.7141474999992</v>
      </c>
      <c r="BW352" s="82">
        <f t="shared" si="2151"/>
        <v>1507.2950499999997</v>
      </c>
      <c r="BX352" s="82">
        <f t="shared" si="2151"/>
        <v>2057.2062453333328</v>
      </c>
      <c r="BY352" s="82">
        <f t="shared" si="2151"/>
        <v>2377.7848039999999</v>
      </c>
      <c r="BZ352" s="82">
        <f t="shared" si="2151"/>
        <v>2078.4371880000008</v>
      </c>
      <c r="CA352" s="82">
        <f t="shared" si="2151"/>
        <v>1572.6189404580196</v>
      </c>
      <c r="CB352" s="82">
        <f t="shared" si="2151"/>
        <v>2397.8325584615418</v>
      </c>
      <c r="CC352" s="82">
        <f t="shared" si="2119"/>
        <v>2736.1059762465748</v>
      </c>
      <c r="CD352" s="82">
        <f t="shared" si="2120"/>
        <v>2680.5973788493156</v>
      </c>
      <c r="CE352" s="82">
        <f t="shared" si="2121"/>
        <v>2319.830734316939</v>
      </c>
      <c r="CF352" s="82">
        <f t="shared" si="2122"/>
        <v>2912.5781043388133</v>
      </c>
      <c r="CG352" s="82">
        <f t="shared" si="2123"/>
        <v>2478.8207295302009</v>
      </c>
      <c r="CH352" s="82">
        <f t="shared" si="2124"/>
        <v>2391.5285516081003</v>
      </c>
      <c r="CI352" s="82">
        <f t="shared" si="2125"/>
        <v>-566.05727234955975</v>
      </c>
      <c r="CJ352" s="82">
        <f t="shared" si="2126"/>
        <v>9535.3022232938347</v>
      </c>
      <c r="CK352" s="82">
        <f t="shared" si="2127"/>
        <v>10072.748445133075</v>
      </c>
      <c r="CL352" s="82">
        <f t="shared" si="2128"/>
        <v>9347.912059898772</v>
      </c>
      <c r="CM352" s="82">
        <f t="shared" si="2129"/>
        <v>11383.923458250119</v>
      </c>
      <c r="CN352" s="82">
        <f t="shared" si="2130"/>
        <v>14709.377067901221</v>
      </c>
      <c r="CO352" s="82">
        <f t="shared" si="2131"/>
        <v>15636.778883185978</v>
      </c>
      <c r="CP352" s="82">
        <f t="shared" si="2132"/>
        <v>15834.434485294292</v>
      </c>
      <c r="CQ352" s="82">
        <f t="shared" si="2133"/>
        <v>16827.177169680413</v>
      </c>
      <c r="CR352" s="82">
        <f t="shared" si="2134"/>
        <v>18673.171922699912</v>
      </c>
      <c r="CS352" s="82">
        <f t="shared" si="2135"/>
        <v>18655.935915057962</v>
      </c>
      <c r="CT352" s="82">
        <f t="shared" si="2136"/>
        <v>18303.833651049208</v>
      </c>
      <c r="CU352" s="82">
        <f t="shared" si="2137"/>
        <v>23068.256282722308</v>
      </c>
      <c r="CV352" s="82">
        <f t="shared" si="2138"/>
        <v>23770.620420856401</v>
      </c>
      <c r="CW352" s="82"/>
      <c r="CX352" s="82"/>
      <c r="CY352" s="82"/>
      <c r="CZ352" s="83"/>
      <c r="DA352" s="82"/>
      <c r="DB352" s="82"/>
      <c r="DC352" s="82"/>
      <c r="DD352" s="82"/>
      <c r="DE352" s="82"/>
      <c r="DF352" s="82"/>
      <c r="DG352" s="82"/>
      <c r="DH352" s="82"/>
      <c r="DI352" s="82"/>
    </row>
    <row r="353" spans="1:113" hidden="1" outlineLevel="2">
      <c r="A353" s="1" t="s">
        <v>53</v>
      </c>
      <c r="B353" s="19" t="s">
        <v>388</v>
      </c>
      <c r="C353" s="55">
        <f>C238*C295/C$5</f>
        <v>151.2833777041096</v>
      </c>
      <c r="D353" s="55">
        <f>D238*D295/D$5</f>
        <v>14.06961797260287</v>
      </c>
      <c r="E353" s="55">
        <f>E238*E295/E$5</f>
        <v>-120.6211061990868</v>
      </c>
      <c r="F353" s="55">
        <f t="shared" ref="F353:L353" si="2152">F238*F295/F$5</f>
        <v>-95.661473095890912</v>
      </c>
      <c r="G353" s="55">
        <f t="shared" si="2152"/>
        <v>-145.10005589041205</v>
      </c>
      <c r="H353" s="55">
        <f t="shared" si="2152"/>
        <v>-174.50740798178552</v>
      </c>
      <c r="I353" s="55">
        <f t="shared" si="2152"/>
        <v>-269.34789180327772</v>
      </c>
      <c r="J353" s="55">
        <f t="shared" si="2152"/>
        <v>-148.20615890410974</v>
      </c>
      <c r="K353" s="55">
        <f t="shared" si="2152"/>
        <v>-104.27542046027528</v>
      </c>
      <c r="L353" s="55">
        <f t="shared" si="2152"/>
        <v>-36.508643488584475</v>
      </c>
      <c r="M353" s="55">
        <f t="shared" ref="M353:V353" si="2153">M238*M295/M$5</f>
        <v>-75.085962918862137</v>
      </c>
      <c r="N353" s="55">
        <f t="shared" si="2153"/>
        <v>98.868457633796154</v>
      </c>
      <c r="O353" s="55">
        <f t="shared" si="2153"/>
        <v>-87.314588075025327</v>
      </c>
      <c r="P353" s="55">
        <f t="shared" si="2153"/>
        <v>-341.4559191919206</v>
      </c>
      <c r="Q353" s="55">
        <f t="shared" si="2153"/>
        <v>-457.25194149180084</v>
      </c>
      <c r="R353" s="55">
        <f t="shared" si="2153"/>
        <v>-354.49365399751076</v>
      </c>
      <c r="S353" s="55">
        <f t="shared" si="2153"/>
        <v>-107.55365490071196</v>
      </c>
      <c r="T353" s="55">
        <f t="shared" si="2153"/>
        <v>-260.95593408717309</v>
      </c>
      <c r="U353" s="55">
        <f t="shared" si="2153"/>
        <v>-497.60055977912458</v>
      </c>
      <c r="V353" s="55">
        <f t="shared" si="2153"/>
        <v>-609.66661778689217</v>
      </c>
      <c r="W353" s="55">
        <f t="shared" ref="W353:AK353" si="2154">W238*W295/W$5</f>
        <v>-565.13401765105709</v>
      </c>
      <c r="X353" s="55">
        <f t="shared" si="2154"/>
        <v>-518.65742189963714</v>
      </c>
      <c r="Y353" s="55">
        <f t="shared" si="2154"/>
        <v>-378.50782928961803</v>
      </c>
      <c r="Z353" s="55">
        <f t="shared" si="2154"/>
        <v>-319.36921026456065</v>
      </c>
      <c r="AA353" s="55">
        <f t="shared" si="2154"/>
        <v>-228.48215922401855</v>
      </c>
      <c r="AB353" s="55">
        <f t="shared" si="2154"/>
        <v>-297.30695017019269</v>
      </c>
      <c r="AC353" s="55">
        <f t="shared" si="2154"/>
        <v>-372.97568150685044</v>
      </c>
      <c r="AD353" s="55">
        <f t="shared" si="2154"/>
        <v>-331.82096633374692</v>
      </c>
      <c r="AE353" s="55">
        <f t="shared" si="2154"/>
        <v>-283.43617260936225</v>
      </c>
      <c r="AF353" s="55">
        <f t="shared" si="2154"/>
        <v>-215.66920748467913</v>
      </c>
      <c r="AG353" s="55">
        <f t="shared" si="2154"/>
        <v>-131.69840027322616</v>
      </c>
      <c r="AH353" s="55">
        <f t="shared" si="2154"/>
        <v>-106.58425322265279</v>
      </c>
      <c r="AI353" s="55">
        <f t="shared" si="2154"/>
        <v>-64.995531706848993</v>
      </c>
      <c r="AJ353" s="55">
        <f t="shared" si="2154"/>
        <v>10.832664311907097</v>
      </c>
      <c r="AK353" s="55">
        <f t="shared" si="2154"/>
        <v>2.2584518588026556</v>
      </c>
      <c r="AL353" s="55">
        <f t="shared" ref="AL353:AQ353" si="2155">AL238*AL295/AL$5</f>
        <v>14.229136950203157</v>
      </c>
      <c r="AM353" s="55">
        <f t="shared" si="2155"/>
        <v>180.54424695930089</v>
      </c>
      <c r="AN353" s="55">
        <f t="shared" si="2155"/>
        <v>385.42044560357499</v>
      </c>
      <c r="AO353" s="55">
        <f t="shared" si="2155"/>
        <v>429.92114972677302</v>
      </c>
      <c r="AP353" s="55">
        <f t="shared" si="2155"/>
        <v>378.64500324615699</v>
      </c>
      <c r="AQ353" s="55">
        <f t="shared" si="2155"/>
        <v>258.9257638956127</v>
      </c>
      <c r="AR353" s="55"/>
      <c r="AS353" s="55"/>
      <c r="AT353" s="55"/>
      <c r="AU353" s="55"/>
      <c r="AV353" s="55"/>
      <c r="AW353" s="55"/>
      <c r="AX353" s="55"/>
      <c r="AY353" s="55"/>
      <c r="AZ353" s="56"/>
      <c r="BA353" s="55"/>
      <c r="BB353" s="55"/>
      <c r="BC353" s="55"/>
      <c r="BD353" s="55"/>
      <c r="BE353" s="55"/>
      <c r="BF353" s="55"/>
      <c r="BG353" s="55"/>
      <c r="BH353" s="55"/>
      <c r="BI353" s="55"/>
      <c r="BJ353" s="55"/>
      <c r="BK353" s="55"/>
      <c r="BL353" s="55"/>
      <c r="BM353" s="55"/>
      <c r="BN353" s="55"/>
      <c r="BO353" s="55"/>
      <c r="BP353" s="55"/>
      <c r="BQ353" s="55"/>
      <c r="BR353" s="55"/>
      <c r="BS353" s="55">
        <f t="shared" ref="BS353:CB353" si="2156">BS238*BS295/BS$5</f>
        <v>54.735349999999471</v>
      </c>
      <c r="BT353" s="55">
        <f t="shared" si="2156"/>
        <v>75.724211666666179</v>
      </c>
      <c r="BU353" s="55">
        <f t="shared" si="2156"/>
        <v>91.677116666666734</v>
      </c>
      <c r="BV353" s="55">
        <f t="shared" si="2156"/>
        <v>-223.85598999999979</v>
      </c>
      <c r="BW353" s="55">
        <f t="shared" si="2156"/>
        <v>-247.79777499999932</v>
      </c>
      <c r="BX353" s="55">
        <f t="shared" si="2156"/>
        <v>-40.681822166666507</v>
      </c>
      <c r="BY353" s="55">
        <f t="shared" si="2156"/>
        <v>140.39430474999972</v>
      </c>
      <c r="BZ353" s="55">
        <f t="shared" si="2156"/>
        <v>27.774613750000753</v>
      </c>
      <c r="CA353" s="55">
        <f t="shared" si="2156"/>
        <v>24.815725190839885</v>
      </c>
      <c r="CB353" s="55">
        <f t="shared" si="2156"/>
        <v>163.98228615384778</v>
      </c>
      <c r="CC353" s="55">
        <f t="shared" si="2119"/>
        <v>-106.55148822648393</v>
      </c>
      <c r="CD353" s="55">
        <f t="shared" si="2120"/>
        <v>-240.76152898630295</v>
      </c>
      <c r="CE353" s="55">
        <f t="shared" si="2121"/>
        <v>-443.85529978506327</v>
      </c>
      <c r="CF353" s="55">
        <f t="shared" si="2122"/>
        <v>-252.48157936438503</v>
      </c>
      <c r="CG353" s="55">
        <f t="shared" si="2123"/>
        <v>-111.59460640744661</v>
      </c>
      <c r="CH353" s="55">
        <f t="shared" si="2124"/>
        <v>11.553869558770828</v>
      </c>
      <c r="CI353" s="55">
        <f t="shared" si="2125"/>
        <v>-798.70786068372149</v>
      </c>
      <c r="CJ353" s="55">
        <f t="shared" si="2126"/>
        <v>-462.0473088982227</v>
      </c>
      <c r="CK353" s="55">
        <f t="shared" si="2127"/>
        <v>-758.55649386629761</v>
      </c>
      <c r="CL353" s="55">
        <f t="shared" si="2128"/>
        <v>-1174.8006354379493</v>
      </c>
      <c r="CM353" s="55">
        <f t="shared" si="2129"/>
        <v>-897.16525118925517</v>
      </c>
      <c r="CN353" s="55">
        <f t="shared" si="2130"/>
        <v>-547.85136948857917</v>
      </c>
      <c r="CO353" s="55">
        <f t="shared" si="2131"/>
        <v>-670.28263167704313</v>
      </c>
      <c r="CP353" s="55">
        <f t="shared" si="2132"/>
        <v>-615.25713894310911</v>
      </c>
      <c r="CQ353" s="55">
        <f t="shared" si="2133"/>
        <v>-347.36760775790526</v>
      </c>
      <c r="CR353" s="55">
        <f t="shared" si="2134"/>
        <v>-171.57978492950178</v>
      </c>
      <c r="CS353" s="55">
        <f t="shared" si="2135"/>
        <v>13.091116170709753</v>
      </c>
      <c r="CT353" s="55">
        <f t="shared" si="2136"/>
        <v>194.77338390950405</v>
      </c>
      <c r="CU353" s="55">
        <f t="shared" si="2137"/>
        <v>815.34159533034801</v>
      </c>
      <c r="CV353" s="55">
        <f t="shared" si="2138"/>
        <v>637.57076714176969</v>
      </c>
      <c r="CW353" s="55"/>
      <c r="CX353" s="55"/>
      <c r="CY353" s="55"/>
      <c r="CZ353" s="56"/>
      <c r="DA353" s="55"/>
      <c r="DB353" s="55"/>
      <c r="DC353" s="55"/>
      <c r="DD353" s="55"/>
      <c r="DE353" s="55"/>
      <c r="DF353" s="55"/>
      <c r="DG353" s="55"/>
      <c r="DH353" s="55"/>
      <c r="DI353" s="55"/>
    </row>
    <row r="354" spans="1:113" s="24" customFormat="1" outlineLevel="1" collapsed="1">
      <c r="A354" s="1" t="s">
        <v>134</v>
      </c>
      <c r="B354" s="24" t="s">
        <v>470</v>
      </c>
      <c r="C354" s="82">
        <f t="shared" ref="C354:L354" si="2157">IF(ROUND(C239*C296/C$5,5)=ROUND(C352+C353,5),C239*C296/C$5,"Error")</f>
        <v>1652.9006253657533</v>
      </c>
      <c r="D354" s="82">
        <f t="shared" si="2157"/>
        <v>1541.3623360876718</v>
      </c>
      <c r="E354" s="82">
        <f t="shared" si="2157"/>
        <v>1088.1921519324189</v>
      </c>
      <c r="F354" s="82">
        <f t="shared" si="2157"/>
        <v>1145.2752665753414</v>
      </c>
      <c r="G354" s="82">
        <f t="shared" si="2157"/>
        <v>1294.5605832876713</v>
      </c>
      <c r="H354" s="82">
        <f t="shared" si="2157"/>
        <v>1021.9973361712193</v>
      </c>
      <c r="I354" s="82">
        <f t="shared" si="2157"/>
        <v>853.97809836065665</v>
      </c>
      <c r="J354" s="82">
        <f t="shared" si="2157"/>
        <v>1330.3951360730591</v>
      </c>
      <c r="K354" s="82">
        <f t="shared" si="2157"/>
        <v>1329.7013889013688</v>
      </c>
      <c r="L354" s="82">
        <f t="shared" si="2157"/>
        <v>1614.1998981718589</v>
      </c>
      <c r="M354" s="82">
        <f t="shared" ref="M354:X354" si="2158">IF(ROUND(M239*M296/M$5,5)=ROUND(M352+M353,5),M239*M296/M$5,"Error")</f>
        <v>753.02622495089508</v>
      </c>
      <c r="N354" s="82">
        <f t="shared" si="2158"/>
        <v>1521.150829731256</v>
      </c>
      <c r="O354" s="82">
        <f t="shared" si="2158"/>
        <v>881.93159143561513</v>
      </c>
      <c r="P354" s="82">
        <f t="shared" si="2158"/>
        <v>-1014.6762475906598</v>
      </c>
      <c r="Q354" s="82">
        <f t="shared" si="2158"/>
        <v>-350.08888544262123</v>
      </c>
      <c r="R354" s="82">
        <f t="shared" si="2158"/>
        <v>2768.0545930161893</v>
      </c>
      <c r="S354" s="82">
        <f t="shared" si="2158"/>
        <v>6305.2003213794223</v>
      </c>
      <c r="T354" s="82">
        <f t="shared" si="2158"/>
        <v>5097.5001109439627</v>
      </c>
      <c r="U354" s="82">
        <f t="shared" si="2158"/>
        <v>4216.6918403228137</v>
      </c>
      <c r="V354" s="82">
        <f t="shared" si="2158"/>
        <v>3983.0602998011618</v>
      </c>
      <c r="W354" s="82">
        <f t="shared" si="2158"/>
        <v>4190.0511246596598</v>
      </c>
      <c r="X354" s="82">
        <f t="shared" si="2158"/>
        <v>4635.8899110499278</v>
      </c>
      <c r="Y354" s="82">
        <f t="shared" ref="Y354:AK354" si="2159">IF(ROUND(Y239*Y296/Y$5,5)=ROUND(Y352+Y353,5),Y239*Y296/Y$5,"Error")</f>
        <v>5850.8682960109381</v>
      </c>
      <c r="Z354" s="82">
        <f t="shared" si="2159"/>
        <v>6791.2623854773638</v>
      </c>
      <c r="AA354" s="82">
        <f t="shared" si="2159"/>
        <v>7370.263312935278</v>
      </c>
      <c r="AB354" s="82">
        <f t="shared" si="2159"/>
        <v>7721.159196280626</v>
      </c>
      <c r="AC354" s="82">
        <f t="shared" si="2159"/>
        <v>7245.3370552283095</v>
      </c>
      <c r="AD354" s="82">
        <f t="shared" si="2159"/>
        <v>7258.6588015701163</v>
      </c>
      <c r="AE354" s="82">
        <f t="shared" si="2159"/>
        <v>7960.5185447810654</v>
      </c>
      <c r="AF354" s="82">
        <f t="shared" si="2159"/>
        <v>8228.7219791356347</v>
      </c>
      <c r="AG354" s="82">
        <f t="shared" si="2159"/>
        <v>8251.0875827868731</v>
      </c>
      <c r="AH354" s="82">
        <f t="shared" si="2159"/>
        <v>9276.5316283005468</v>
      </c>
      <c r="AI354" s="82">
        <f t="shared" si="2159"/>
        <v>9225.0605094698658</v>
      </c>
      <c r="AJ354" s="82">
        <f t="shared" si="2159"/>
        <v>9802.1787299641655</v>
      </c>
      <c r="AK354" s="82">
        <f t="shared" si="2159"/>
        <v>8866.8483012645065</v>
      </c>
      <c r="AL354" s="82">
        <f t="shared" ref="AL354:AQ354" si="2160">IF(ROUND(AL239*AL296/AL$5,5)=ROUND(AL352+AL353,5),AL239*AL296/AL$5,"Error")</f>
        <v>8872.4585227078096</v>
      </c>
      <c r="AM354" s="82">
        <f t="shared" si="2160"/>
        <v>9626.1485122509021</v>
      </c>
      <c r="AN354" s="82">
        <f t="shared" si="2160"/>
        <v>11699.057712369598</v>
      </c>
      <c r="AO354" s="82">
        <f t="shared" si="2160"/>
        <v>12184.540165683056</v>
      </c>
      <c r="AP354" s="82">
        <f t="shared" si="2160"/>
        <v>12471.071819643004</v>
      </c>
      <c r="AQ354" s="82">
        <f t="shared" si="2160"/>
        <v>11937.119368355166</v>
      </c>
      <c r="AR354" s="82">
        <f>AR296*AR239/AR5</f>
        <v>11772.421497909158</v>
      </c>
      <c r="AS354" s="82">
        <f t="shared" ref="AS354:AX354" si="2161">AS296*AS239/AS5</f>
        <v>9335.0916979615176</v>
      </c>
      <c r="AT354" s="82">
        <f t="shared" si="2161"/>
        <v>4461.3565526411339</v>
      </c>
      <c r="AU354" s="82">
        <f t="shared" si="2161"/>
        <v>4129.5356954600029</v>
      </c>
      <c r="AV354" s="82">
        <f>AV296*AV239/AV5</f>
        <v>5155.9280867586112</v>
      </c>
      <c r="AW354" s="82">
        <f t="shared" si="2161"/>
        <v>6491.8568585147623</v>
      </c>
      <c r="AX354" s="82">
        <f t="shared" si="2161"/>
        <v>7316.8391402484031</v>
      </c>
      <c r="AY354" s="82">
        <f>AY296*AY239/AY5</f>
        <v>7940.6015757917794</v>
      </c>
      <c r="AZ354" s="83">
        <f t="shared" ref="AZ354" si="2162">AZ296*AZ239/AZ5</f>
        <v>9939.4854655853851</v>
      </c>
      <c r="BA354" s="82">
        <f t="shared" ref="BA354:BQ354" si="2163">BA296*BA239/BA5</f>
        <v>9952.5162496541998</v>
      </c>
      <c r="BB354" s="82">
        <f t="shared" si="2163"/>
        <v>10128.987689813566</v>
      </c>
      <c r="BC354" s="82">
        <f t="shared" si="2163"/>
        <v>10055.037889827609</v>
      </c>
      <c r="BD354" s="82">
        <f t="shared" si="2163"/>
        <v>10310.007983960826</v>
      </c>
      <c r="BE354" s="82">
        <f t="shared" si="2163"/>
        <v>10348.966892143046</v>
      </c>
      <c r="BF354" s="82">
        <f t="shared" si="2163"/>
        <v>10647.287705083907</v>
      </c>
      <c r="BG354" s="82">
        <f t="shared" si="2163"/>
        <v>10603.201422305201</v>
      </c>
      <c r="BH354" s="82">
        <f t="shared" si="2163"/>
        <v>10912.84722428565</v>
      </c>
      <c r="BI354" s="82">
        <f t="shared" si="2163"/>
        <v>10834.378436129829</v>
      </c>
      <c r="BJ354" s="82">
        <f t="shared" si="2163"/>
        <v>11129.721518449087</v>
      </c>
      <c r="BK354" s="82">
        <f t="shared" si="2163"/>
        <v>11078.205042956977</v>
      </c>
      <c r="BL354" s="82">
        <f t="shared" si="2163"/>
        <v>11363.874845061438</v>
      </c>
      <c r="BM354" s="82">
        <f t="shared" si="2163"/>
        <v>11372.798772163569</v>
      </c>
      <c r="BN354" s="82">
        <f t="shared" si="2163"/>
        <v>11664.613419245996</v>
      </c>
      <c r="BO354" s="82">
        <f t="shared" si="2163"/>
        <v>11608.606379036995</v>
      </c>
      <c r="BP354" s="82">
        <f t="shared" si="2163"/>
        <v>11938.468187696637</v>
      </c>
      <c r="BQ354" s="82">
        <f t="shared" si="2163"/>
        <v>11880.05794342425</v>
      </c>
      <c r="BR354" s="82"/>
      <c r="BS354" s="82">
        <f t="shared" ref="BS354:CB354" si="2164">IF(ROUND(BS239*BS296/BS$5,5)=ROUND(BS352+BS353,5),BS239*BS296/BS$5,"Error")</f>
        <v>2247.9991516666655</v>
      </c>
      <c r="BT354" s="82">
        <f t="shared" si="2164"/>
        <v>2440.0777516666658</v>
      </c>
      <c r="BU354" s="82">
        <f t="shared" si="2164"/>
        <v>2261.4494150000005</v>
      </c>
      <c r="BV354" s="82">
        <f t="shared" si="2164"/>
        <v>897.85815749999938</v>
      </c>
      <c r="BW354" s="82">
        <f t="shared" si="2164"/>
        <v>1259.4972750000004</v>
      </c>
      <c r="BX354" s="82">
        <f t="shared" si="2164"/>
        <v>2016.5244231666663</v>
      </c>
      <c r="BY354" s="82">
        <f t="shared" si="2164"/>
        <v>2518.1791087499996</v>
      </c>
      <c r="BZ354" s="82">
        <f t="shared" si="2164"/>
        <v>2106.2118017500015</v>
      </c>
      <c r="CA354" s="82">
        <f t="shared" si="2164"/>
        <v>1597.4346656488594</v>
      </c>
      <c r="CB354" s="82">
        <f t="shared" si="2164"/>
        <v>2561.8148446153896</v>
      </c>
      <c r="CC354" s="82">
        <f t="shared" si="2119"/>
        <v>2629.5544880200905</v>
      </c>
      <c r="CD354" s="82">
        <f t="shared" si="2120"/>
        <v>2439.8358498630128</v>
      </c>
      <c r="CE354" s="82">
        <f t="shared" si="2121"/>
        <v>1875.9754345318761</v>
      </c>
      <c r="CF354" s="82">
        <f t="shared" si="2122"/>
        <v>2660.0965249744277</v>
      </c>
      <c r="CG354" s="82">
        <f t="shared" si="2123"/>
        <v>2367.226123122754</v>
      </c>
      <c r="CH354" s="82">
        <f t="shared" si="2124"/>
        <v>2403.082421166871</v>
      </c>
      <c r="CI354" s="82">
        <f t="shared" si="2125"/>
        <v>-1364.765133033281</v>
      </c>
      <c r="CJ354" s="82">
        <f t="shared" si="2126"/>
        <v>9073.2549143956112</v>
      </c>
      <c r="CK354" s="82">
        <f t="shared" si="2127"/>
        <v>9314.1919512667773</v>
      </c>
      <c r="CL354" s="82">
        <f t="shared" si="2128"/>
        <v>8173.1114244608216</v>
      </c>
      <c r="CM354" s="82">
        <f t="shared" si="2129"/>
        <v>10486.758207060866</v>
      </c>
      <c r="CN354" s="82">
        <f t="shared" si="2130"/>
        <v>14161.525698412643</v>
      </c>
      <c r="CO354" s="82">
        <f t="shared" si="2131"/>
        <v>14966.496251508936</v>
      </c>
      <c r="CP354" s="82">
        <f t="shared" si="2132"/>
        <v>15219.177346351182</v>
      </c>
      <c r="CQ354" s="82">
        <f t="shared" si="2133"/>
        <v>16479.809561922506</v>
      </c>
      <c r="CR354" s="82">
        <f t="shared" si="2134"/>
        <v>18501.592137770414</v>
      </c>
      <c r="CS354" s="82">
        <f t="shared" si="2135"/>
        <v>18669.027031228674</v>
      </c>
      <c r="CT354" s="82">
        <f t="shared" si="2136"/>
        <v>18498.60703495871</v>
      </c>
      <c r="CU354" s="82">
        <f t="shared" si="2137"/>
        <v>23883.597878052657</v>
      </c>
      <c r="CV354" s="82">
        <f t="shared" si="2138"/>
        <v>24408.191187998171</v>
      </c>
      <c r="CW354" s="82">
        <f t="shared" ref="CW354" si="2165">SUM(AR354:AS354)</f>
        <v>21107.513195870677</v>
      </c>
      <c r="CX354" s="82">
        <f t="shared" ref="CX354" si="2166">SUM(AT354:AU354)</f>
        <v>8590.8922481011359</v>
      </c>
      <c r="CY354" s="82">
        <f t="shared" ref="CY354" si="2167">SUM(AV354:AW354)</f>
        <v>11647.784945273374</v>
      </c>
      <c r="CZ354" s="83">
        <f t="shared" ref="CZ354" si="2168">SUM(AX354:AY354)</f>
        <v>15257.440716040182</v>
      </c>
      <c r="DA354" s="82">
        <f t="shared" ref="DA354" si="2169">SUM(AZ354:BA354)</f>
        <v>19892.001715239585</v>
      </c>
      <c r="DB354" s="82">
        <f t="shared" ref="DB354" si="2170">SUM(BB354:BC354)</f>
        <v>20184.025579641173</v>
      </c>
      <c r="DC354" s="82">
        <f t="shared" ref="DC354" si="2171">SUM(BD354:BE354)</f>
        <v>20658.974876103872</v>
      </c>
      <c r="DD354" s="82">
        <f t="shared" ref="DD354" si="2172">SUM(BF354:BG354)</f>
        <v>21250.489127389108</v>
      </c>
      <c r="DE354" s="82">
        <f t="shared" ref="DE354" si="2173">SUM(BH354:BI354)</f>
        <v>21747.225660415479</v>
      </c>
      <c r="DF354" s="82">
        <f t="shared" ref="DF354" si="2174">SUM(BJ354:BK354)</f>
        <v>22207.926561406064</v>
      </c>
      <c r="DG354" s="82">
        <f t="shared" ref="DG354" si="2175">SUM(BL354:BM354)</f>
        <v>22736.673617225009</v>
      </c>
      <c r="DH354" s="82">
        <f t="shared" ref="DH354" si="2176">SUM(BN354:BO354)</f>
        <v>23273.219798282989</v>
      </c>
      <c r="DI354" s="82">
        <f t="shared" ref="DI354" si="2177">SUM(BP354:BQ354)</f>
        <v>23818.526131120889</v>
      </c>
    </row>
    <row r="355" spans="1:113" outlineLevel="1">
      <c r="C355" s="55"/>
      <c r="D355" s="55"/>
      <c r="E355" s="55"/>
      <c r="F355" s="55"/>
      <c r="G355" s="55"/>
      <c r="H355" s="55"/>
      <c r="I355" s="55"/>
      <c r="J355" s="55"/>
      <c r="K355" s="55"/>
      <c r="L355" s="55"/>
      <c r="M355" s="55"/>
      <c r="N355" s="55"/>
      <c r="O355" s="55"/>
      <c r="P355" s="55"/>
      <c r="Q355" s="55"/>
      <c r="R355" s="55"/>
      <c r="S355" s="55"/>
      <c r="T355" s="55"/>
      <c r="U355" s="55"/>
      <c r="V355" s="55"/>
      <c r="W355" s="55"/>
      <c r="X355" s="55"/>
      <c r="Y355" s="55"/>
      <c r="Z355" s="55"/>
      <c r="AA355" s="55"/>
      <c r="AB355" s="55"/>
      <c r="AC355" s="55"/>
      <c r="AD355" s="55"/>
      <c r="AE355" s="55"/>
      <c r="AF355" s="55"/>
      <c r="AG355" s="55"/>
      <c r="AH355" s="55"/>
      <c r="AI355" s="55"/>
      <c r="AJ355" s="55"/>
      <c r="AK355" s="55"/>
      <c r="AL355" s="55"/>
      <c r="AM355" s="55"/>
      <c r="AN355" s="55"/>
      <c r="AO355" s="55"/>
      <c r="AP355" s="55"/>
      <c r="AQ355" s="55"/>
      <c r="AR355" s="55"/>
      <c r="AS355" s="55"/>
      <c r="AT355" s="55"/>
      <c r="AU355" s="55"/>
      <c r="AV355" s="55"/>
      <c r="AW355" s="55"/>
      <c r="AX355" s="55"/>
      <c r="AY355" s="55"/>
      <c r="AZ355" s="56"/>
      <c r="BA355" s="55"/>
      <c r="BB355" s="55"/>
      <c r="BC355" s="55"/>
      <c r="BD355" s="55"/>
      <c r="BE355" s="55"/>
      <c r="BF355" s="55"/>
      <c r="BG355" s="55"/>
      <c r="BH355" s="55"/>
      <c r="BI355" s="55"/>
      <c r="BJ355" s="55"/>
      <c r="BK355" s="55"/>
      <c r="BL355" s="55"/>
      <c r="BM355" s="55"/>
      <c r="BN355" s="55"/>
      <c r="BO355" s="55"/>
      <c r="BP355" s="55"/>
      <c r="BQ355" s="55"/>
      <c r="BR355" s="55"/>
      <c r="BS355" s="55"/>
      <c r="BT355" s="55"/>
      <c r="BU355" s="55"/>
      <c r="BV355" s="55"/>
      <c r="BW355" s="55"/>
      <c r="BX355" s="55"/>
      <c r="BY355" s="55"/>
      <c r="BZ355" s="55"/>
      <c r="CA355" s="55"/>
      <c r="CB355" s="55"/>
      <c r="CC355" s="55"/>
      <c r="CD355" s="55"/>
      <c r="CE355" s="55"/>
      <c r="CF355" s="55"/>
      <c r="CG355" s="55"/>
      <c r="CH355" s="55"/>
      <c r="CI355" s="55"/>
      <c r="CJ355" s="55"/>
      <c r="CK355" s="55"/>
      <c r="CL355" s="55"/>
      <c r="CM355" s="55"/>
      <c r="CN355" s="55"/>
      <c r="CO355" s="55"/>
      <c r="CP355" s="55"/>
      <c r="CQ355" s="55"/>
      <c r="CR355" s="55"/>
      <c r="CS355" s="55"/>
      <c r="CT355" s="55"/>
      <c r="CU355" s="55"/>
      <c r="CV355" s="55"/>
      <c r="CW355" s="55"/>
      <c r="CX355" s="55"/>
      <c r="CY355" s="55"/>
      <c r="CZ355" s="56"/>
      <c r="DA355" s="55"/>
      <c r="DB355" s="55"/>
    </row>
    <row r="356" spans="1:113" s="24" customFormat="1" hidden="1" outlineLevel="2">
      <c r="A356" s="19"/>
      <c r="B356" s="24" t="s">
        <v>588</v>
      </c>
      <c r="C356" s="82"/>
      <c r="D356" s="82"/>
      <c r="E356" s="82"/>
      <c r="F356" s="82"/>
      <c r="G356" s="82"/>
      <c r="H356" s="82"/>
      <c r="I356" s="82"/>
      <c r="J356" s="82"/>
      <c r="K356" s="82"/>
      <c r="L356" s="82"/>
      <c r="M356" s="82"/>
      <c r="N356" s="82"/>
      <c r="O356" s="82"/>
      <c r="P356" s="82"/>
      <c r="Q356" s="82"/>
      <c r="R356" s="82"/>
      <c r="S356" s="82"/>
      <c r="T356" s="82"/>
      <c r="U356" s="82"/>
      <c r="V356" s="82"/>
      <c r="W356" s="82"/>
      <c r="X356" s="82"/>
      <c r="Y356" s="82"/>
      <c r="Z356" s="82"/>
      <c r="AA356" s="82"/>
      <c r="AB356" s="82"/>
      <c r="AC356" s="82"/>
      <c r="AD356" s="82"/>
      <c r="AE356" s="82"/>
      <c r="AF356" s="82"/>
      <c r="AG356" s="82"/>
      <c r="AH356" s="82"/>
      <c r="AI356" s="82"/>
      <c r="AJ356" s="82"/>
      <c r="AK356" s="82"/>
      <c r="AL356" s="82"/>
      <c r="AM356" s="82"/>
      <c r="AN356" s="82"/>
      <c r="AO356" s="82"/>
      <c r="AP356" s="82"/>
      <c r="AQ356" s="82"/>
      <c r="AR356" s="82"/>
      <c r="AS356" s="82"/>
      <c r="AT356" s="82"/>
      <c r="AU356" s="82"/>
      <c r="AV356" s="82"/>
      <c r="AW356" s="82"/>
      <c r="AX356" s="82"/>
      <c r="AY356" s="82"/>
      <c r="AZ356" s="83"/>
      <c r="BA356" s="82"/>
      <c r="BB356" s="82"/>
      <c r="BC356" s="82"/>
      <c r="BD356" s="82"/>
      <c r="BE356" s="82"/>
      <c r="BF356" s="82"/>
      <c r="BG356" s="82"/>
      <c r="BH356" s="82"/>
      <c r="BI356" s="82"/>
      <c r="BJ356" s="82"/>
      <c r="BK356" s="82"/>
      <c r="BL356" s="82"/>
      <c r="BM356" s="82"/>
      <c r="BN356" s="82"/>
      <c r="BO356" s="82"/>
      <c r="BP356" s="82"/>
      <c r="BQ356" s="82"/>
      <c r="BR356" s="82"/>
      <c r="BS356" s="82"/>
      <c r="BT356" s="82"/>
      <c r="BU356" s="82"/>
      <c r="BV356" s="82"/>
      <c r="BW356" s="82"/>
      <c r="BX356" s="82"/>
      <c r="BY356" s="82"/>
      <c r="BZ356" s="82"/>
      <c r="CA356" s="82"/>
      <c r="CB356" s="82"/>
      <c r="CC356" s="82"/>
      <c r="CD356" s="82"/>
      <c r="CE356" s="82"/>
      <c r="CF356" s="82"/>
      <c r="CG356" s="82"/>
      <c r="CH356" s="82"/>
      <c r="CI356" s="82"/>
      <c r="CJ356" s="82"/>
      <c r="CK356" s="82"/>
      <c r="CL356" s="82"/>
      <c r="CM356" s="82"/>
      <c r="CN356" s="82"/>
      <c r="CO356" s="82"/>
      <c r="CP356" s="82"/>
      <c r="CQ356" s="82"/>
      <c r="CR356" s="82"/>
      <c r="CS356" s="82"/>
      <c r="CT356" s="82"/>
      <c r="CU356" s="82"/>
      <c r="CV356" s="82"/>
      <c r="CW356" s="82"/>
      <c r="CX356" s="82"/>
      <c r="CY356" s="82"/>
      <c r="CZ356" s="83"/>
      <c r="DA356" s="82"/>
      <c r="DB356" s="82"/>
    </row>
    <row r="357" spans="1:113" hidden="1" outlineLevel="2">
      <c r="A357" s="1" t="s">
        <v>135</v>
      </c>
      <c r="B357" s="19" t="s">
        <v>589</v>
      </c>
      <c r="C357" s="55">
        <f t="shared" ref="C357:L357" si="2178">C242*C299/C$5</f>
        <v>1160.1204111136858</v>
      </c>
      <c r="D357" s="55">
        <f t="shared" si="2178"/>
        <v>1128.2224292863527</v>
      </c>
      <c r="E357" s="55">
        <f t="shared" si="2178"/>
        <v>1196.8227817370796</v>
      </c>
      <c r="F357" s="55">
        <f t="shared" si="2178"/>
        <v>1331.2919265472158</v>
      </c>
      <c r="G357" s="55">
        <f t="shared" si="2178"/>
        <v>1322.1033668766677</v>
      </c>
      <c r="H357" s="55">
        <f t="shared" si="2178"/>
        <v>1456.1305707891031</v>
      </c>
      <c r="I357" s="55">
        <f t="shared" si="2178"/>
        <v>1699.8243819633014</v>
      </c>
      <c r="J357" s="55">
        <f t="shared" si="2178"/>
        <v>1608.4283112483176</v>
      </c>
      <c r="K357" s="55">
        <f t="shared" si="2178"/>
        <v>1753.4519093933643</v>
      </c>
      <c r="L357" s="55">
        <f t="shared" si="2178"/>
        <v>1749.9129155476935</v>
      </c>
      <c r="M357" s="55">
        <f t="shared" ref="M357:W357" si="2179">M242*M299/M$5</f>
        <v>2083.2245984437232</v>
      </c>
      <c r="N357" s="55">
        <f t="shared" si="2179"/>
        <v>2096.4365186041773</v>
      </c>
      <c r="O357" s="55">
        <f t="shared" si="2179"/>
        <v>2630.0308305674075</v>
      </c>
      <c r="P357" s="55">
        <f t="shared" si="2179"/>
        <v>3587.2764448406765</v>
      </c>
      <c r="Q357" s="55">
        <f t="shared" si="2179"/>
        <v>3644.5216461804912</v>
      </c>
      <c r="R357" s="55">
        <f t="shared" si="2179"/>
        <v>3759.3907162962705</v>
      </c>
      <c r="S357" s="55">
        <f t="shared" si="2179"/>
        <v>1668.9612860625059</v>
      </c>
      <c r="T357" s="55">
        <f t="shared" si="2179"/>
        <v>2075.6440180817831</v>
      </c>
      <c r="U357" s="55">
        <f t="shared" si="2179"/>
        <v>2775.7646285145834</v>
      </c>
      <c r="V357" s="55">
        <f t="shared" si="2179"/>
        <v>2912.1450535972594</v>
      </c>
      <c r="W357" s="55">
        <f t="shared" si="2179"/>
        <v>3022.0735746161558</v>
      </c>
      <c r="X357" s="55">
        <f t="shared" ref="X357:AJ357" si="2180">X242*X299/X$5</f>
        <v>3095.199855053299</v>
      </c>
      <c r="Y357" s="55">
        <f t="shared" si="2180"/>
        <v>2483.6742859775413</v>
      </c>
      <c r="Z357" s="55">
        <f t="shared" si="2180"/>
        <v>2266.2619389012684</v>
      </c>
      <c r="AA357" s="55">
        <f t="shared" si="2180"/>
        <v>1905.1665351826689</v>
      </c>
      <c r="AB357" s="55">
        <f t="shared" si="2180"/>
        <v>1933.934009549648</v>
      </c>
      <c r="AC357" s="55">
        <f t="shared" si="2180"/>
        <v>2135.6635857251576</v>
      </c>
      <c r="AD357" s="55">
        <f t="shared" si="2180"/>
        <v>2410.6197628635691</v>
      </c>
      <c r="AE357" s="55">
        <f t="shared" si="2180"/>
        <v>2060.1789743714448</v>
      </c>
      <c r="AF357" s="55">
        <f>AF242*AF299/AF$5</f>
        <v>2140.0024307824328</v>
      </c>
      <c r="AG357" s="55">
        <f>AG242*AG299/AG$5</f>
        <v>2215.1232605344567</v>
      </c>
      <c r="AH357" s="55">
        <f>AH242*AH299/AH$5</f>
        <v>1090.6327604015262</v>
      </c>
      <c r="AI357" s="55">
        <f>CR357-AH357</f>
        <v>1055.4227251227105</v>
      </c>
      <c r="AJ357" s="55">
        <f t="shared" si="2180"/>
        <v>1280.6345081037207</v>
      </c>
      <c r="AK357" s="55">
        <f>CS357-AJ357</f>
        <v>1288.6485230241278</v>
      </c>
      <c r="AL357" s="55">
        <f>AL242*AL299/AL$5</f>
        <v>1469.9129048055129</v>
      </c>
      <c r="AM357" s="55">
        <f>CT357-AL357</f>
        <v>1467.7894953894111</v>
      </c>
      <c r="AN357" s="55">
        <f>AN242*AN299/AN$5</f>
        <v>0</v>
      </c>
      <c r="AO357" s="55">
        <f>CU357-AN357</f>
        <v>0</v>
      </c>
      <c r="AP357" s="55">
        <f t="shared" ref="AP357" si="2181">AP242*AP299/AP$5</f>
        <v>0</v>
      </c>
      <c r="AQ357" s="55">
        <f>CV357-AP357</f>
        <v>0</v>
      </c>
      <c r="AR357" s="55"/>
      <c r="AS357" s="55"/>
      <c r="AT357" s="55"/>
      <c r="AU357" s="55"/>
      <c r="AV357" s="55"/>
      <c r="AW357" s="55"/>
      <c r="AX357" s="55"/>
      <c r="AY357" s="55"/>
      <c r="AZ357" s="56"/>
      <c r="BA357" s="55"/>
      <c r="BB357" s="55"/>
      <c r="BC357" s="55"/>
      <c r="BD357" s="55"/>
      <c r="BE357" s="55"/>
      <c r="BF357" s="55"/>
      <c r="BG357" s="55"/>
      <c r="BH357" s="55"/>
      <c r="BI357" s="55"/>
      <c r="BJ357" s="55"/>
      <c r="BK357" s="55"/>
      <c r="BL357" s="55"/>
      <c r="BM357" s="55"/>
      <c r="BN357" s="55"/>
      <c r="BO357" s="55"/>
      <c r="BP357" s="55"/>
      <c r="BQ357" s="55"/>
      <c r="BR357" s="55"/>
      <c r="BS357" s="55"/>
      <c r="BT357" s="55"/>
      <c r="BU357" s="55"/>
      <c r="BV357" s="55"/>
      <c r="BW357" s="55"/>
      <c r="BX357" s="55"/>
      <c r="BY357" s="55"/>
      <c r="BZ357" s="55"/>
      <c r="CA357" s="55"/>
      <c r="CB357" s="55"/>
      <c r="CC357" s="55">
        <f>SUM(D357:E357)</f>
        <v>2325.0452110234323</v>
      </c>
      <c r="CD357" s="55">
        <f>SUM(F357:G357)</f>
        <v>2653.3952934238832</v>
      </c>
      <c r="CE357" s="55">
        <f>SUM(H357:I357)</f>
        <v>3155.9549527524046</v>
      </c>
      <c r="CF357" s="55">
        <f>SUM(J357:K357)</f>
        <v>3361.8802206416822</v>
      </c>
      <c r="CG357" s="55">
        <f>SUM(L357:M357)</f>
        <v>3833.1375139914167</v>
      </c>
      <c r="CH357" s="55">
        <f>SUM(N357:O357)</f>
        <v>4726.4673491715848</v>
      </c>
      <c r="CI357" s="55">
        <f>SUM(P357:Q357)</f>
        <v>7231.7980910211681</v>
      </c>
      <c r="CJ357" s="55">
        <f>SUM(R357:S357)</f>
        <v>5428.3520023587762</v>
      </c>
      <c r="CK357" s="55">
        <f>SUM(T357:U357)</f>
        <v>4851.4086465963665</v>
      </c>
      <c r="CL357" s="55">
        <f>SUM(V357:W357)</f>
        <v>5934.2186282134153</v>
      </c>
      <c r="CM357" s="55">
        <f>SUM(X357:Y357)</f>
        <v>5578.8741410308403</v>
      </c>
      <c r="CN357" s="55">
        <f>SUM(Z357:AA357)</f>
        <v>4171.4284740839375</v>
      </c>
      <c r="CO357" s="55">
        <f>SUM(AB357:AC357)</f>
        <v>4069.5975952748058</v>
      </c>
      <c r="CP357" s="55">
        <f>SUM(AD357:AE357)</f>
        <v>4470.7987372350144</v>
      </c>
      <c r="CQ357" s="55">
        <f t="shared" ref="CQ357:CQ369" si="2182">SUM(AF357:AG357)</f>
        <v>4355.1256913168891</v>
      </c>
      <c r="CR357" s="55">
        <f>CR242*CR299/CR$5</f>
        <v>2146.0554855242367</v>
      </c>
      <c r="CS357" s="55">
        <f>CS242*CS299/CS$5</f>
        <v>2569.2830311278485</v>
      </c>
      <c r="CT357" s="55">
        <f>CT242*CT299/CT$5</f>
        <v>2937.7024001949239</v>
      </c>
      <c r="CU357" s="55">
        <f>CU242*CU299/CU$5</f>
        <v>0</v>
      </c>
      <c r="CV357" s="55">
        <f t="shared" ref="CV357" si="2183">CV242*CV299/CV$5</f>
        <v>0</v>
      </c>
      <c r="CW357" s="55"/>
      <c r="CX357" s="55"/>
      <c r="CY357" s="55"/>
      <c r="CZ357" s="56"/>
      <c r="DA357" s="55"/>
      <c r="DB357" s="55"/>
      <c r="DC357" s="55"/>
      <c r="DD357" s="55"/>
      <c r="DE357" s="55"/>
      <c r="DF357" s="55"/>
      <c r="DG357" s="55"/>
      <c r="DH357" s="55"/>
      <c r="DI357" s="55"/>
    </row>
    <row r="358" spans="1:113" hidden="1" outlineLevel="2">
      <c r="A358" s="1" t="s">
        <v>136</v>
      </c>
      <c r="B358" s="19" t="s">
        <v>471</v>
      </c>
      <c r="C358" s="55">
        <f t="shared" ref="C358:L358" si="2184">C359-C357</f>
        <v>-555.50957747533016</v>
      </c>
      <c r="D358" s="55">
        <f t="shared" si="2184"/>
        <v>-444.05947494114707</v>
      </c>
      <c r="E358" s="55">
        <f t="shared" si="2184"/>
        <v>-264.24137719552652</v>
      </c>
      <c r="F358" s="55">
        <f t="shared" si="2184"/>
        <v>-332.53393640657623</v>
      </c>
      <c r="G358" s="55">
        <f t="shared" si="2184"/>
        <v>-328.86686340634822</v>
      </c>
      <c r="H358" s="55">
        <f t="shared" si="2184"/>
        <v>-300.52288039930272</v>
      </c>
      <c r="I358" s="55">
        <f t="shared" si="2184"/>
        <v>-475.54997431302832</v>
      </c>
      <c r="J358" s="55">
        <f t="shared" si="2184"/>
        <v>-461.65970850859185</v>
      </c>
      <c r="K358" s="55">
        <f t="shared" si="2184"/>
        <v>-514.01279130021339</v>
      </c>
      <c r="L358" s="55">
        <f t="shared" si="2184"/>
        <v>-686.49380219941827</v>
      </c>
      <c r="M358" s="55">
        <f t="shared" ref="M358:W358" si="2185">M359-M357</f>
        <v>-481.27026718239517</v>
      </c>
      <c r="N358" s="55">
        <f t="shared" si="2185"/>
        <v>-755.28160378581515</v>
      </c>
      <c r="O358" s="55">
        <f t="shared" si="2185"/>
        <v>-653.26497070797632</v>
      </c>
      <c r="P358" s="55">
        <f t="shared" si="2185"/>
        <v>-241.04080695361017</v>
      </c>
      <c r="Q358" s="55">
        <f t="shared" si="2185"/>
        <v>-778.70687309852474</v>
      </c>
      <c r="R358" s="55">
        <f t="shared" si="2185"/>
        <v>-2374.7983679625218</v>
      </c>
      <c r="S358" s="55">
        <f t="shared" si="2185"/>
        <v>-2221.4010193432759</v>
      </c>
      <c r="T358" s="55">
        <f t="shared" si="2185"/>
        <v>-1727.5166251253727</v>
      </c>
      <c r="U358" s="55">
        <f t="shared" si="2185"/>
        <v>-2111.7605557313163</v>
      </c>
      <c r="V358" s="55">
        <f t="shared" si="2185"/>
        <v>-2051.0148895668863</v>
      </c>
      <c r="W358" s="55">
        <f t="shared" si="2185"/>
        <v>-2181.5568159488535</v>
      </c>
      <c r="X358" s="55">
        <f t="shared" ref="X358:AJ358" si="2186">X359-X357</f>
        <v>-2449.6009472069709</v>
      </c>
      <c r="Y358" s="55">
        <f t="shared" si="2186"/>
        <v>-2555.5664381906627</v>
      </c>
      <c r="Z358" s="55">
        <f t="shared" si="2186"/>
        <v>-2756.0812313492479</v>
      </c>
      <c r="AA358" s="55">
        <f t="shared" si="2186"/>
        <v>-2492.0702536349218</v>
      </c>
      <c r="AB358" s="55">
        <f t="shared" si="2186"/>
        <v>-2509.9391321399407</v>
      </c>
      <c r="AC358" s="55">
        <f t="shared" si="2186"/>
        <v>-2143.236693716025</v>
      </c>
      <c r="AD358" s="55">
        <f t="shared" si="2186"/>
        <v>-2163.5557328678051</v>
      </c>
      <c r="AE358" s="55">
        <f t="shared" si="2186"/>
        <v>-2035.0596048907232</v>
      </c>
      <c r="AF358" s="55">
        <f>AF359-AF357</f>
        <v>-2042.8356111103105</v>
      </c>
      <c r="AG358" s="55">
        <f>AG359-AG357</f>
        <v>-1914.1941027475641</v>
      </c>
      <c r="AH358" s="55">
        <f>AH359-AH357</f>
        <v>-1117.2858302486593</v>
      </c>
      <c r="AI358" s="55">
        <f>CR358-AH358</f>
        <v>-804.64794115140035</v>
      </c>
      <c r="AJ358" s="55">
        <f t="shared" si="2186"/>
        <v>-924.9775990541915</v>
      </c>
      <c r="AK358" s="55">
        <f>CS358-AJ358</f>
        <v>-408.33112597459183</v>
      </c>
      <c r="AL358" s="55">
        <f>AL359-AL357</f>
        <v>-403.49815753373537</v>
      </c>
      <c r="AM358" s="55">
        <f>CT358-AL358</f>
        <v>-1004.5391828639206</v>
      </c>
      <c r="AN358" s="55">
        <f>AN359-AN357</f>
        <v>-628.44823807749742</v>
      </c>
      <c r="AO358" s="55">
        <f>CU358-AN358</f>
        <v>628.44823807749742</v>
      </c>
      <c r="AP358" s="55">
        <f t="shared" ref="AP358" si="2187">AP359-AP357</f>
        <v>-1423.9437402905774</v>
      </c>
      <c r="AQ358" s="55">
        <f>CV358-AP358</f>
        <v>1423.9437402905774</v>
      </c>
      <c r="AR358" s="55"/>
      <c r="AS358" s="55"/>
      <c r="AT358" s="55"/>
      <c r="AU358" s="55"/>
      <c r="AV358" s="55"/>
      <c r="AW358" s="55"/>
      <c r="AX358" s="55"/>
      <c r="AY358" s="55"/>
      <c r="AZ358" s="56"/>
      <c r="BA358" s="55"/>
      <c r="BB358" s="55"/>
      <c r="BC358" s="55"/>
      <c r="BD358" s="55"/>
      <c r="BE358" s="55"/>
      <c r="BF358" s="55"/>
      <c r="BG358" s="55"/>
      <c r="BH358" s="55"/>
      <c r="BI358" s="55"/>
      <c r="BJ358" s="55"/>
      <c r="BK358" s="55"/>
      <c r="BL358" s="55"/>
      <c r="BM358" s="55"/>
      <c r="BN358" s="55"/>
      <c r="BO358" s="55"/>
      <c r="BP358" s="55"/>
      <c r="BQ358" s="55"/>
      <c r="BR358" s="55"/>
      <c r="BS358" s="55"/>
      <c r="BT358" s="55"/>
      <c r="BU358" s="55"/>
      <c r="BV358" s="55"/>
      <c r="BW358" s="55"/>
      <c r="BX358" s="55"/>
      <c r="BY358" s="55"/>
      <c r="BZ358" s="55"/>
      <c r="CA358" s="55"/>
      <c r="CB358" s="55"/>
      <c r="CC358" s="55">
        <f>SUM(D358:E358)</f>
        <v>-708.3008521366736</v>
      </c>
      <c r="CD358" s="55">
        <f>SUM(F358:G358)</f>
        <v>-661.40079981292445</v>
      </c>
      <c r="CE358" s="55">
        <f>SUM(H358:I358)</f>
        <v>-776.07285471233104</v>
      </c>
      <c r="CF358" s="55">
        <f>SUM(J358:K358)</f>
        <v>-975.67249980880524</v>
      </c>
      <c r="CG358" s="55">
        <f>SUM(L358:M358)</f>
        <v>-1167.7640693818134</v>
      </c>
      <c r="CH358" s="55">
        <f>SUM(N358:O358)</f>
        <v>-1408.5465744937915</v>
      </c>
      <c r="CI358" s="55">
        <f>SUM(P358:Q358)</f>
        <v>-1019.7476800521349</v>
      </c>
      <c r="CJ358" s="55">
        <f>SUM(R358:S358)</f>
        <v>-4596.1993873057982</v>
      </c>
      <c r="CK358" s="55">
        <f>SUM(T358:U358)</f>
        <v>-3839.277180856689</v>
      </c>
      <c r="CL358" s="55">
        <f>SUM(V358:W358)</f>
        <v>-4232.5717055157402</v>
      </c>
      <c r="CM358" s="55">
        <f>SUM(X358:Y358)</f>
        <v>-5005.1673853976336</v>
      </c>
      <c r="CN358" s="55">
        <f>SUM(Z358:AA358)</f>
        <v>-5248.1514849841697</v>
      </c>
      <c r="CO358" s="55">
        <f>SUM(AB358:AC358)</f>
        <v>-4653.1758258559657</v>
      </c>
      <c r="CP358" s="55">
        <f>SUM(AD358:AE358)</f>
        <v>-4198.6153377585288</v>
      </c>
      <c r="CQ358" s="55">
        <f t="shared" si="2182"/>
        <v>-3957.0297138578744</v>
      </c>
      <c r="CR358" s="55">
        <f>CR359-CR357</f>
        <v>-1921.9337714000596</v>
      </c>
      <c r="CS358" s="55">
        <f>CS359-CS357</f>
        <v>-1333.3087250287833</v>
      </c>
      <c r="CT358" s="55">
        <f>CT359-CT357</f>
        <v>-1408.037340397656</v>
      </c>
      <c r="CU358" s="55">
        <f>CU359-CU357</f>
        <v>0</v>
      </c>
      <c r="CV358" s="55">
        <f t="shared" ref="CV358" si="2188">CV359-CV357</f>
        <v>0</v>
      </c>
      <c r="CW358" s="55"/>
      <c r="CX358" s="55"/>
      <c r="CY358" s="55"/>
      <c r="CZ358" s="56"/>
      <c r="DA358" s="55"/>
      <c r="DB358" s="55"/>
      <c r="DC358" s="55"/>
      <c r="DD358" s="55"/>
      <c r="DE358" s="55"/>
      <c r="DF358" s="55"/>
      <c r="DG358" s="55"/>
      <c r="DH358" s="55"/>
      <c r="DI358" s="55"/>
    </row>
    <row r="359" spans="1:113" s="24" customFormat="1" hidden="1" outlineLevel="2">
      <c r="A359" s="1" t="s">
        <v>137</v>
      </c>
      <c r="B359" s="24" t="s">
        <v>168</v>
      </c>
      <c r="C359" s="82">
        <f t="shared" ref="C359:L359" si="2189">C244*C301/C$5</f>
        <v>604.61083363835564</v>
      </c>
      <c r="D359" s="82">
        <f t="shared" si="2189"/>
        <v>684.16295434520566</v>
      </c>
      <c r="E359" s="82">
        <f t="shared" si="2189"/>
        <v>932.58140454155307</v>
      </c>
      <c r="F359" s="82">
        <f t="shared" si="2189"/>
        <v>998.75799014063955</v>
      </c>
      <c r="G359" s="82">
        <f t="shared" si="2189"/>
        <v>993.23650347031946</v>
      </c>
      <c r="H359" s="82">
        <f t="shared" si="2189"/>
        <v>1155.6076903898004</v>
      </c>
      <c r="I359" s="82">
        <f t="shared" si="2189"/>
        <v>1224.2744076502731</v>
      </c>
      <c r="J359" s="82">
        <f t="shared" si="2189"/>
        <v>1146.7686027397258</v>
      </c>
      <c r="K359" s="82">
        <f t="shared" si="2189"/>
        <v>1239.4391180931509</v>
      </c>
      <c r="L359" s="82">
        <f t="shared" si="2189"/>
        <v>1063.4191133482752</v>
      </c>
      <c r="M359" s="82">
        <f t="shared" ref="M359:W359" si="2190">M244*M301/M$5</f>
        <v>1601.954331261328</v>
      </c>
      <c r="N359" s="82">
        <f t="shared" si="2190"/>
        <v>1341.1549148183622</v>
      </c>
      <c r="O359" s="82">
        <f t="shared" si="2190"/>
        <v>1976.7658598594312</v>
      </c>
      <c r="P359" s="82">
        <f t="shared" si="2190"/>
        <v>3346.2356378870663</v>
      </c>
      <c r="Q359" s="82">
        <f t="shared" si="2190"/>
        <v>2865.8147730819665</v>
      </c>
      <c r="R359" s="82">
        <f t="shared" si="2190"/>
        <v>1384.5923483337488</v>
      </c>
      <c r="S359" s="82">
        <f t="shared" si="2190"/>
        <v>-552.43973328076993</v>
      </c>
      <c r="T359" s="82">
        <f t="shared" si="2190"/>
        <v>348.12739295641046</v>
      </c>
      <c r="U359" s="82">
        <f t="shared" si="2190"/>
        <v>664.00407278326713</v>
      </c>
      <c r="V359" s="82">
        <f t="shared" si="2190"/>
        <v>861.13016403037318</v>
      </c>
      <c r="W359" s="82">
        <f t="shared" si="2190"/>
        <v>840.51675866730238</v>
      </c>
      <c r="X359" s="82">
        <f t="shared" ref="X359:AJ359" si="2191">X244*X301/X$5</f>
        <v>645.59890784632819</v>
      </c>
      <c r="Y359" s="82">
        <f t="shared" si="2191"/>
        <v>-71.89215221312125</v>
      </c>
      <c r="Z359" s="82">
        <f t="shared" si="2191"/>
        <v>-489.81929244797948</v>
      </c>
      <c r="AA359" s="82">
        <f t="shared" si="2191"/>
        <v>-586.90371845225309</v>
      </c>
      <c r="AB359" s="82">
        <f t="shared" si="2191"/>
        <v>-576.0051225902929</v>
      </c>
      <c r="AC359" s="82">
        <f t="shared" si="2191"/>
        <v>-7.5731079908671743</v>
      </c>
      <c r="AD359" s="82">
        <f t="shared" si="2191"/>
        <v>247.06402999576409</v>
      </c>
      <c r="AE359" s="82">
        <f t="shared" si="2191"/>
        <v>25.119369480721627</v>
      </c>
      <c r="AF359" s="82">
        <f>AF244*AF301/AF$5</f>
        <v>97.166819672122344</v>
      </c>
      <c r="AG359" s="82">
        <f>AG244*AG301/AG$5</f>
        <v>300.92915778689246</v>
      </c>
      <c r="AH359" s="82">
        <f>AH244*AH301/AH$5</f>
        <v>-26.653069847133139</v>
      </c>
      <c r="AI359" s="82">
        <f>AI357+AI358</f>
        <v>250.77478397131017</v>
      </c>
      <c r="AJ359" s="82">
        <f t="shared" si="2191"/>
        <v>355.65690904952919</v>
      </c>
      <c r="AK359" s="82">
        <f>AK357+AK358</f>
        <v>880.317397049536</v>
      </c>
      <c r="AL359" s="82">
        <f>AL244*AL301/AL$5</f>
        <v>1066.4147472717775</v>
      </c>
      <c r="AM359" s="82">
        <f>AM357+AM358</f>
        <v>463.25031252549047</v>
      </c>
      <c r="AN359" s="82">
        <f>AN244*AN301/AN$5</f>
        <v>-628.44823807749742</v>
      </c>
      <c r="AO359" s="82">
        <f>AO357+AO358</f>
        <v>628.44823807749742</v>
      </c>
      <c r="AP359" s="82">
        <f t="shared" ref="AP359" si="2192">AP244*AP301/AP$5</f>
        <v>-1423.9437402905774</v>
      </c>
      <c r="AQ359" s="82">
        <f>AQ357+AQ358</f>
        <v>1423.9437402905774</v>
      </c>
      <c r="AR359" s="82"/>
      <c r="AS359" s="82"/>
      <c r="AT359" s="82"/>
      <c r="AU359" s="82"/>
      <c r="AV359" s="82"/>
      <c r="AW359" s="82"/>
      <c r="AX359" s="82"/>
      <c r="AY359" s="82"/>
      <c r="AZ359" s="83"/>
      <c r="BA359" s="82"/>
      <c r="BB359" s="82"/>
      <c r="BC359" s="82"/>
      <c r="BD359" s="82"/>
      <c r="BE359" s="82"/>
      <c r="BF359" s="82"/>
      <c r="BG359" s="82"/>
      <c r="BH359" s="82"/>
      <c r="BI359" s="82"/>
      <c r="BJ359" s="82"/>
      <c r="BK359" s="82"/>
      <c r="BL359" s="82"/>
      <c r="BM359" s="82"/>
      <c r="BN359" s="82"/>
      <c r="BO359" s="82"/>
      <c r="BP359" s="82"/>
      <c r="BQ359" s="82"/>
      <c r="BR359" s="82"/>
      <c r="BS359" s="82">
        <f t="shared" ref="BS359:CB359" si="2193">BS244*BS301/BS$5</f>
        <v>561.58787500000062</v>
      </c>
      <c r="BT359" s="82">
        <f t="shared" si="2193"/>
        <v>456.05167666666733</v>
      </c>
      <c r="BU359" s="82">
        <f t="shared" si="2193"/>
        <v>512.29055500000027</v>
      </c>
      <c r="BV359" s="82">
        <f t="shared" si="2193"/>
        <v>1627.3277350000005</v>
      </c>
      <c r="BW359" s="82">
        <f t="shared" si="2193"/>
        <v>1457.9699049999999</v>
      </c>
      <c r="BX359" s="82">
        <f t="shared" si="2193"/>
        <v>1011.159758666667</v>
      </c>
      <c r="BY359" s="82">
        <f t="shared" si="2193"/>
        <v>920.00527700000032</v>
      </c>
      <c r="BZ359" s="82">
        <f t="shared" si="2193"/>
        <v>1143.6216419999994</v>
      </c>
      <c r="CA359" s="82">
        <f t="shared" si="2193"/>
        <v>1633.5001404580119</v>
      </c>
      <c r="CB359" s="82">
        <f t="shared" si="2193"/>
        <v>1622.9585292307665</v>
      </c>
      <c r="CC359" s="82">
        <f>SUM(D359:E359)</f>
        <v>1616.7443588867586</v>
      </c>
      <c r="CD359" s="82">
        <f>SUM(F359:G359)</f>
        <v>1991.9944936109591</v>
      </c>
      <c r="CE359" s="82">
        <f>SUM(H359:I359)</f>
        <v>2379.8820980400733</v>
      </c>
      <c r="CF359" s="82">
        <f>SUM(J359:K359)</f>
        <v>2386.2077208328765</v>
      </c>
      <c r="CG359" s="82">
        <f>SUM(L359:M359)</f>
        <v>2665.3734446096032</v>
      </c>
      <c r="CH359" s="82">
        <f>SUM(N359:O359)</f>
        <v>3317.9207746777934</v>
      </c>
      <c r="CI359" s="82">
        <f>SUM(P359:Q359)</f>
        <v>6212.0504109690328</v>
      </c>
      <c r="CJ359" s="82">
        <f>SUM(R359:S359)</f>
        <v>832.15261505297883</v>
      </c>
      <c r="CK359" s="82">
        <f>SUM(T359:U359)</f>
        <v>1012.1314657396777</v>
      </c>
      <c r="CL359" s="82">
        <f>SUM(V359:W359)</f>
        <v>1701.6469226976756</v>
      </c>
      <c r="CM359" s="82">
        <f>SUM(X359:Y359)</f>
        <v>573.70675563320697</v>
      </c>
      <c r="CN359" s="82">
        <f>SUM(Z359:AA359)</f>
        <v>-1076.7230109002326</v>
      </c>
      <c r="CO359" s="82">
        <f>SUM(AB359:AC359)</f>
        <v>-583.57823058116003</v>
      </c>
      <c r="CP359" s="82">
        <f>SUM(AD359:AE359)</f>
        <v>272.1833994764857</v>
      </c>
      <c r="CQ359" s="82">
        <f t="shared" si="2182"/>
        <v>398.09597745901482</v>
      </c>
      <c r="CR359" s="82">
        <f>CR244*CR301/CR$5</f>
        <v>224.12171412417709</v>
      </c>
      <c r="CS359" s="82">
        <f>CS244*CS301/CS$5</f>
        <v>1235.9743060990652</v>
      </c>
      <c r="CT359" s="82">
        <f>CT244*CT301/CT$5</f>
        <v>1529.665059797268</v>
      </c>
      <c r="CU359" s="82">
        <f>CU244*CU301/CU$5</f>
        <v>0</v>
      </c>
      <c r="CV359" s="82">
        <f t="shared" ref="CV359" si="2194">CV244*CV301/CV$5</f>
        <v>0</v>
      </c>
      <c r="CW359" s="82"/>
      <c r="CX359" s="82"/>
      <c r="CY359" s="82"/>
      <c r="CZ359" s="83"/>
      <c r="DA359" s="82"/>
      <c r="DB359" s="82"/>
      <c r="DC359" s="82"/>
      <c r="DD359" s="82"/>
      <c r="DE359" s="82"/>
      <c r="DF359" s="82"/>
      <c r="DG359" s="82"/>
      <c r="DH359" s="82"/>
      <c r="DI359" s="82"/>
    </row>
    <row r="360" spans="1:113" hidden="1" outlineLevel="2">
      <c r="C360" s="55"/>
      <c r="D360" s="55"/>
      <c r="E360" s="55"/>
      <c r="F360" s="55"/>
      <c r="G360" s="55"/>
      <c r="H360" s="55"/>
      <c r="I360" s="55"/>
      <c r="J360" s="55"/>
      <c r="K360" s="55"/>
      <c r="L360" s="55"/>
      <c r="M360" s="55"/>
      <c r="N360" s="55"/>
      <c r="O360" s="55"/>
      <c r="P360" s="55"/>
      <c r="Q360" s="55"/>
      <c r="R360" s="55"/>
      <c r="S360" s="55"/>
      <c r="T360" s="55"/>
      <c r="U360" s="55"/>
      <c r="V360" s="55"/>
      <c r="W360" s="55"/>
      <c r="X360" s="55"/>
      <c r="Y360" s="55"/>
      <c r="Z360" s="55"/>
      <c r="AA360" s="55"/>
      <c r="AB360" s="55"/>
      <c r="AC360" s="55"/>
      <c r="AD360" s="55"/>
      <c r="AE360" s="55"/>
      <c r="AF360" s="55"/>
      <c r="AG360" s="55"/>
      <c r="AH360" s="55"/>
      <c r="AI360" s="55"/>
      <c r="AJ360" s="55"/>
      <c r="AK360" s="55"/>
      <c r="AL360" s="55"/>
      <c r="AM360" s="55"/>
      <c r="AN360" s="55"/>
      <c r="AO360" s="55"/>
      <c r="AP360" s="55"/>
      <c r="AQ360" s="55"/>
      <c r="AR360" s="55"/>
      <c r="AS360" s="55"/>
      <c r="AT360" s="55"/>
      <c r="AU360" s="55"/>
      <c r="AV360" s="55"/>
      <c r="AW360" s="55"/>
      <c r="AX360" s="55"/>
      <c r="AY360" s="55"/>
      <c r="AZ360" s="56"/>
      <c r="BA360" s="55"/>
      <c r="BB360" s="55"/>
      <c r="BC360" s="55"/>
      <c r="BD360" s="55"/>
      <c r="BE360" s="55"/>
      <c r="BF360" s="55"/>
      <c r="BG360" s="55"/>
      <c r="BH360" s="55"/>
      <c r="BI360" s="55"/>
      <c r="BJ360" s="55"/>
      <c r="BK360" s="55"/>
      <c r="BL360" s="55"/>
      <c r="BM360" s="55"/>
      <c r="BN360" s="55"/>
      <c r="BO360" s="55"/>
      <c r="BP360" s="55"/>
      <c r="BQ360" s="55"/>
      <c r="BR360" s="55"/>
      <c r="BS360" s="55"/>
      <c r="BT360" s="55"/>
      <c r="BU360" s="55"/>
      <c r="BV360" s="55"/>
      <c r="BW360" s="55"/>
      <c r="BX360" s="55"/>
      <c r="BY360" s="55"/>
      <c r="BZ360" s="55"/>
      <c r="CA360" s="55"/>
      <c r="CB360" s="55"/>
      <c r="CC360" s="55"/>
      <c r="CD360" s="55"/>
      <c r="CE360" s="55"/>
      <c r="CF360" s="55"/>
      <c r="CG360" s="55"/>
      <c r="CH360" s="55"/>
      <c r="CI360" s="55"/>
      <c r="CJ360" s="55"/>
      <c r="CK360" s="55"/>
      <c r="CL360" s="55"/>
      <c r="CM360" s="55"/>
      <c r="CN360" s="55"/>
      <c r="CO360" s="55"/>
      <c r="CP360" s="55"/>
      <c r="CQ360" s="55"/>
      <c r="CR360" s="55"/>
      <c r="CS360" s="55"/>
      <c r="CT360" s="55"/>
      <c r="CU360" s="55"/>
      <c r="CV360" s="55"/>
      <c r="CW360" s="55"/>
      <c r="CX360" s="55"/>
      <c r="CY360" s="55"/>
      <c r="CZ360" s="56"/>
      <c r="DA360" s="55"/>
      <c r="DB360" s="55"/>
      <c r="DC360" s="55"/>
      <c r="DD360" s="55"/>
      <c r="DE360" s="55"/>
      <c r="DF360" s="55"/>
      <c r="DG360" s="55"/>
      <c r="DH360" s="55"/>
      <c r="DI360" s="55"/>
    </row>
    <row r="361" spans="1:113" s="24" customFormat="1" hidden="1" outlineLevel="2">
      <c r="A361" s="19"/>
      <c r="B361" s="24" t="s">
        <v>591</v>
      </c>
      <c r="C361" s="82"/>
      <c r="D361" s="82"/>
      <c r="E361" s="82"/>
      <c r="F361" s="82"/>
      <c r="G361" s="82"/>
      <c r="H361" s="82"/>
      <c r="I361" s="82"/>
      <c r="J361" s="82"/>
      <c r="K361" s="82"/>
      <c r="L361" s="82"/>
      <c r="M361" s="82"/>
      <c r="N361" s="82"/>
      <c r="O361" s="82"/>
      <c r="P361" s="82"/>
      <c r="Q361" s="82"/>
      <c r="R361" s="82"/>
      <c r="S361" s="82"/>
      <c r="T361" s="82"/>
      <c r="U361" s="82"/>
      <c r="V361" s="82"/>
      <c r="W361" s="82"/>
      <c r="X361" s="82"/>
      <c r="Y361" s="82"/>
      <c r="Z361" s="82"/>
      <c r="AA361" s="82"/>
      <c r="AB361" s="82"/>
      <c r="AC361" s="82"/>
      <c r="AD361" s="82"/>
      <c r="AE361" s="82"/>
      <c r="AF361" s="82"/>
      <c r="AG361" s="82"/>
      <c r="AH361" s="82"/>
      <c r="AI361" s="82"/>
      <c r="AJ361" s="82"/>
      <c r="AK361" s="82"/>
      <c r="AL361" s="82"/>
      <c r="AM361" s="82"/>
      <c r="AN361" s="82"/>
      <c r="AO361" s="82"/>
      <c r="AP361" s="82"/>
      <c r="AQ361" s="82"/>
      <c r="AR361" s="82"/>
      <c r="AS361" s="82"/>
      <c r="AT361" s="82"/>
      <c r="AU361" s="82"/>
      <c r="AV361" s="82"/>
      <c r="AW361" s="82"/>
      <c r="AX361" s="82"/>
      <c r="AY361" s="82"/>
      <c r="AZ361" s="83"/>
      <c r="BA361" s="82"/>
      <c r="BB361" s="82"/>
      <c r="BC361" s="82"/>
      <c r="BD361" s="82"/>
      <c r="BE361" s="82"/>
      <c r="BF361" s="82"/>
      <c r="BG361" s="82"/>
      <c r="BH361" s="82"/>
      <c r="BI361" s="82"/>
      <c r="BJ361" s="82"/>
      <c r="BK361" s="82"/>
      <c r="BL361" s="82"/>
      <c r="BM361" s="82"/>
      <c r="BN361" s="82"/>
      <c r="BO361" s="82"/>
      <c r="BP361" s="82"/>
      <c r="BQ361" s="82"/>
      <c r="BR361" s="82"/>
      <c r="BS361" s="82"/>
      <c r="BT361" s="82"/>
      <c r="BU361" s="82"/>
      <c r="BV361" s="82"/>
      <c r="BW361" s="82"/>
      <c r="BX361" s="82"/>
      <c r="BY361" s="82"/>
      <c r="BZ361" s="82"/>
      <c r="CA361" s="82"/>
      <c r="CB361" s="82"/>
      <c r="CC361" s="82"/>
      <c r="CD361" s="82"/>
      <c r="CE361" s="82"/>
      <c r="CF361" s="82"/>
      <c r="CG361" s="82"/>
      <c r="CH361" s="82"/>
      <c r="CI361" s="82"/>
      <c r="CJ361" s="82"/>
      <c r="CK361" s="82"/>
      <c r="CL361" s="82"/>
      <c r="CM361" s="82"/>
      <c r="CN361" s="82"/>
      <c r="CO361" s="82"/>
      <c r="CP361" s="82"/>
      <c r="CQ361" s="82"/>
      <c r="CR361" s="82"/>
      <c r="CS361" s="82"/>
      <c r="CT361" s="82"/>
      <c r="CU361" s="82"/>
      <c r="CV361" s="82"/>
      <c r="CW361" s="82"/>
      <c r="CX361" s="82"/>
      <c r="CY361" s="82"/>
      <c r="CZ361" s="83"/>
      <c r="DA361" s="82"/>
      <c r="DB361" s="82"/>
      <c r="DC361" s="82"/>
      <c r="DD361" s="82"/>
      <c r="DE361" s="82"/>
      <c r="DF361" s="82"/>
      <c r="DG361" s="82"/>
      <c r="DH361" s="82"/>
      <c r="DI361" s="82"/>
    </row>
    <row r="362" spans="1:113" hidden="1" outlineLevel="2">
      <c r="A362" s="1" t="s">
        <v>138</v>
      </c>
      <c r="B362" s="19" t="s">
        <v>589</v>
      </c>
      <c r="C362" s="55">
        <f t="shared" ref="C362:L362" si="2195">C247*C304/C$5</f>
        <v>91.233573214427793</v>
      </c>
      <c r="D362" s="55">
        <f t="shared" si="2195"/>
        <v>83.807729225889119</v>
      </c>
      <c r="E362" s="55">
        <f t="shared" si="2195"/>
        <v>114.31582947317185</v>
      </c>
      <c r="F362" s="55">
        <f t="shared" si="2195"/>
        <v>127.18210657814636</v>
      </c>
      <c r="G362" s="55">
        <f t="shared" si="2195"/>
        <v>119.3591175697338</v>
      </c>
      <c r="H362" s="55">
        <f t="shared" si="2195"/>
        <v>151.28429687631365</v>
      </c>
      <c r="I362" s="55">
        <f t="shared" si="2195"/>
        <v>175.09979060038563</v>
      </c>
      <c r="J362" s="55">
        <f t="shared" si="2195"/>
        <v>174.4202547659186</v>
      </c>
      <c r="K362" s="55">
        <f t="shared" si="2195"/>
        <v>200.99394727374457</v>
      </c>
      <c r="L362" s="55">
        <f t="shared" si="2195"/>
        <v>146.70991180058468</v>
      </c>
      <c r="M362" s="55">
        <f t="shared" ref="M362:W362" si="2196">M247*M304/M$5</f>
        <v>176.27686786531896</v>
      </c>
      <c r="N362" s="55">
        <f t="shared" si="2196"/>
        <v>182.76716698167994</v>
      </c>
      <c r="O362" s="55">
        <f t="shared" si="2196"/>
        <v>210.17288666188057</v>
      </c>
      <c r="P362" s="55">
        <f t="shared" si="2196"/>
        <v>275.77668140614168</v>
      </c>
      <c r="Q362" s="55">
        <f t="shared" si="2196"/>
        <v>282.69007444531246</v>
      </c>
      <c r="R362" s="55">
        <f t="shared" si="2196"/>
        <v>293.16635164126455</v>
      </c>
      <c r="S362" s="55">
        <f t="shared" si="2196"/>
        <v>81.957930146887946</v>
      </c>
      <c r="T362" s="55">
        <f t="shared" si="2196"/>
        <v>86.798919685342725</v>
      </c>
      <c r="U362" s="55">
        <f t="shared" si="2196"/>
        <v>152.91260246880969</v>
      </c>
      <c r="V362" s="55">
        <f t="shared" si="2196"/>
        <v>170.66346011388603</v>
      </c>
      <c r="W362" s="55">
        <f t="shared" si="2196"/>
        <v>170.88439980385215</v>
      </c>
      <c r="X362" s="55">
        <f t="shared" ref="X362:AJ362" si="2197">X247*X304/X$5</f>
        <v>200.10934951524891</v>
      </c>
      <c r="Y362" s="55">
        <f t="shared" si="2197"/>
        <v>178.17434553120532</v>
      </c>
      <c r="Z362" s="55">
        <f t="shared" si="2197"/>
        <v>144.99195319038364</v>
      </c>
      <c r="AA362" s="55">
        <f t="shared" si="2197"/>
        <v>129.86016170166363</v>
      </c>
      <c r="AB362" s="55">
        <f t="shared" si="2197"/>
        <v>127.26442938241699</v>
      </c>
      <c r="AC362" s="55">
        <f t="shared" si="2197"/>
        <v>149.05556184971769</v>
      </c>
      <c r="AD362" s="55">
        <f t="shared" si="2197"/>
        <v>157.11063045001703</v>
      </c>
      <c r="AE362" s="55">
        <f t="shared" si="2197"/>
        <v>129.01668409456366</v>
      </c>
      <c r="AF362" s="55">
        <f>AF247*AF304/AF$5</f>
        <v>179.01144562086199</v>
      </c>
      <c r="AG362" s="55">
        <f>AG247*AG304/AG$5</f>
        <v>187.67068257492855</v>
      </c>
      <c r="AH362" s="55">
        <f>AH247*AH304/AH$5</f>
        <v>100.30014981693596</v>
      </c>
      <c r="AI362" s="55">
        <f>CR362-AH362</f>
        <v>97.638583390408158</v>
      </c>
      <c r="AJ362" s="55">
        <f t="shared" si="2197"/>
        <v>125.50468210357499</v>
      </c>
      <c r="AK362" s="55">
        <f>CS362-AJ362</f>
        <v>121.05146011880871</v>
      </c>
      <c r="AL362" s="55">
        <f>AL247*AL304/AL$5</f>
        <v>98.909728660498018</v>
      </c>
      <c r="AM362" s="55">
        <f>CT362-AL362</f>
        <v>95.182540355079908</v>
      </c>
      <c r="AN362" s="55">
        <f>AN247*AN304/AN$5</f>
        <v>0</v>
      </c>
      <c r="AO362" s="55">
        <f>CU362-AN362</f>
        <v>0</v>
      </c>
      <c r="AP362" s="55">
        <f t="shared" ref="AP362" si="2198">AP247*AP304/AP$5</f>
        <v>0</v>
      </c>
      <c r="AQ362" s="55">
        <f>CV362-AP362</f>
        <v>0</v>
      </c>
      <c r="AR362" s="55"/>
      <c r="AS362" s="55"/>
      <c r="AT362" s="55"/>
      <c r="AU362" s="55"/>
      <c r="AV362" s="55"/>
      <c r="AW362" s="55"/>
      <c r="AX362" s="55"/>
      <c r="AY362" s="55"/>
      <c r="AZ362" s="56"/>
      <c r="BA362" s="55"/>
      <c r="BB362" s="55"/>
      <c r="BC362" s="55"/>
      <c r="BD362" s="55"/>
      <c r="BE362" s="55"/>
      <c r="BF362" s="55"/>
      <c r="BG362" s="55"/>
      <c r="BH362" s="55"/>
      <c r="BI362" s="55"/>
      <c r="BJ362" s="55"/>
      <c r="BK362" s="55"/>
      <c r="BL362" s="55"/>
      <c r="BM362" s="55"/>
      <c r="BN362" s="55"/>
      <c r="BO362" s="55"/>
      <c r="BP362" s="55"/>
      <c r="BQ362" s="55"/>
      <c r="BR362" s="55"/>
      <c r="BS362" s="55"/>
      <c r="BT362" s="55"/>
      <c r="BU362" s="55"/>
      <c r="BV362" s="55"/>
      <c r="BW362" s="55"/>
      <c r="BX362" s="55"/>
      <c r="BY362" s="55"/>
      <c r="BZ362" s="55"/>
      <c r="CA362" s="55"/>
      <c r="CB362" s="55"/>
      <c r="CC362" s="55">
        <f>SUM(D362:E362)</f>
        <v>198.12355869906096</v>
      </c>
      <c r="CD362" s="55">
        <f>SUM(F362:G362)</f>
        <v>246.54122414788014</v>
      </c>
      <c r="CE362" s="55">
        <f>SUM(H362:I362)</f>
        <v>326.38408747669928</v>
      </c>
      <c r="CF362" s="55">
        <f>SUM(J362:K362)</f>
        <v>375.41420203966317</v>
      </c>
      <c r="CG362" s="55">
        <f>SUM(L362:M362)</f>
        <v>322.98677966590367</v>
      </c>
      <c r="CH362" s="55">
        <f>SUM(N362:O362)</f>
        <v>392.94005364356053</v>
      </c>
      <c r="CI362" s="55">
        <f>SUM(P362:Q362)</f>
        <v>558.46675585145408</v>
      </c>
      <c r="CJ362" s="55">
        <f>SUM(R362:S362)</f>
        <v>375.12428178815253</v>
      </c>
      <c r="CK362" s="55">
        <f>SUM(T362:U362)</f>
        <v>239.71152215415242</v>
      </c>
      <c r="CL362" s="55">
        <f>SUM(V362:W362)</f>
        <v>341.54785991773815</v>
      </c>
      <c r="CM362" s="55">
        <f>SUM(X362:Y362)</f>
        <v>378.28369504645423</v>
      </c>
      <c r="CN362" s="55">
        <f>SUM(Z362:AA362)</f>
        <v>274.85211489204727</v>
      </c>
      <c r="CO362" s="55">
        <f>SUM(AB362:AC362)</f>
        <v>276.31999123213467</v>
      </c>
      <c r="CP362" s="55">
        <f>SUM(AD362:AE362)</f>
        <v>286.12731454458071</v>
      </c>
      <c r="CQ362" s="55">
        <f t="shared" si="2182"/>
        <v>366.68212819579054</v>
      </c>
      <c r="CR362" s="55">
        <f>CR247*CR304/CR$5</f>
        <v>197.93873320734411</v>
      </c>
      <c r="CS362" s="55">
        <f>CS247*CS304/CS$5</f>
        <v>246.5561422223837</v>
      </c>
      <c r="CT362" s="55">
        <f>CT247*CT304/CT$5</f>
        <v>194.09226901557793</v>
      </c>
      <c r="CU362" s="55">
        <f>CU247*CU304/CU$5</f>
        <v>0</v>
      </c>
      <c r="CV362" s="55">
        <f t="shared" ref="CV362" si="2199">CV247*CV304/CV$5</f>
        <v>0</v>
      </c>
      <c r="CW362" s="55"/>
      <c r="CX362" s="55"/>
      <c r="CY362" s="55"/>
      <c r="CZ362" s="56"/>
      <c r="DA362" s="55"/>
      <c r="DB362" s="55"/>
      <c r="DC362" s="55"/>
      <c r="DD362" s="55"/>
      <c r="DE362" s="55"/>
      <c r="DF362" s="55"/>
      <c r="DG362" s="55"/>
      <c r="DH362" s="55"/>
      <c r="DI362" s="55"/>
    </row>
    <row r="363" spans="1:113" hidden="1" outlineLevel="2">
      <c r="A363" s="1" t="s">
        <v>139</v>
      </c>
      <c r="B363" s="19" t="s">
        <v>471</v>
      </c>
      <c r="C363" s="55">
        <f t="shared" ref="C363:L363" si="2200">C364-C362</f>
        <v>-132.71304266648261</v>
      </c>
      <c r="D363" s="55">
        <f t="shared" si="2200"/>
        <v>-153.42525873821785</v>
      </c>
      <c r="E363" s="55">
        <f t="shared" si="2200"/>
        <v>-109.81001396312611</v>
      </c>
      <c r="F363" s="55">
        <f t="shared" si="2200"/>
        <v>-108.18552383476731</v>
      </c>
      <c r="G363" s="55">
        <f t="shared" si="2200"/>
        <v>-185.50858218160602</v>
      </c>
      <c r="H363" s="55">
        <f t="shared" si="2200"/>
        <v>-149.77321882531172</v>
      </c>
      <c r="I363" s="55">
        <f t="shared" si="2200"/>
        <v>-180.11171368781734</v>
      </c>
      <c r="J363" s="55">
        <f t="shared" si="2200"/>
        <v>-235.09699266546204</v>
      </c>
      <c r="K363" s="55">
        <f t="shared" si="2200"/>
        <v>-294.69542320662123</v>
      </c>
      <c r="L363" s="55">
        <f t="shared" si="2200"/>
        <v>-86.95437673956387</v>
      </c>
      <c r="M363" s="55">
        <f t="shared" ref="M363:W363" si="2201">M364-M362</f>
        <v>-113.56063007438101</v>
      </c>
      <c r="N363" s="55">
        <f t="shared" si="2201"/>
        <v>-93.145221210687694</v>
      </c>
      <c r="O363" s="55">
        <f t="shared" si="2201"/>
        <v>-66.892812165779361</v>
      </c>
      <c r="P363" s="55">
        <f t="shared" si="2201"/>
        <v>-33.552845853897992</v>
      </c>
      <c r="Q363" s="55">
        <f t="shared" si="2201"/>
        <v>-41.891733584656805</v>
      </c>
      <c r="R363" s="55">
        <f t="shared" si="2201"/>
        <v>-195.49914999742896</v>
      </c>
      <c r="S363" s="55">
        <f t="shared" si="2201"/>
        <v>-290.37570355880274</v>
      </c>
      <c r="T363" s="55">
        <f t="shared" si="2201"/>
        <v>-300.51483281112121</v>
      </c>
      <c r="U363" s="55">
        <f t="shared" si="2201"/>
        <v>-259.24304028977156</v>
      </c>
      <c r="V363" s="55">
        <f t="shared" si="2201"/>
        <v>-194.6853090860875</v>
      </c>
      <c r="W363" s="55">
        <f t="shared" si="2201"/>
        <v>-137.78404112061983</v>
      </c>
      <c r="X363" s="55">
        <f t="shared" ref="X363:AJ363" si="2202">X364-X362</f>
        <v>-147.36261806736988</v>
      </c>
      <c r="Y363" s="55">
        <f t="shared" si="2202"/>
        <v>-200.46753960224405</v>
      </c>
      <c r="Z363" s="55">
        <f t="shared" si="2202"/>
        <v>-189.14708914353659</v>
      </c>
      <c r="AA363" s="55">
        <f t="shared" si="2202"/>
        <v>-248.27187287197324</v>
      </c>
      <c r="AB363" s="55">
        <f t="shared" si="2202"/>
        <v>-269.83137151608292</v>
      </c>
      <c r="AC363" s="55">
        <f t="shared" si="2202"/>
        <v>-284.81045602779989</v>
      </c>
      <c r="AD363" s="55">
        <f t="shared" si="2202"/>
        <v>-318.89414569709072</v>
      </c>
      <c r="AE363" s="55">
        <f t="shared" si="2202"/>
        <v>-416.1894539614857</v>
      </c>
      <c r="AF363" s="55">
        <f>AF364-AF362</f>
        <v>-469.86794504129676</v>
      </c>
      <c r="AG363" s="55">
        <f>AG364-AG362</f>
        <v>-360.58614637274195</v>
      </c>
      <c r="AH363" s="55">
        <f>AH364-AH362</f>
        <v>-342.04383339928921</v>
      </c>
      <c r="AI363" s="55">
        <f>CR363-AH363</f>
        <v>-345.31675388951834</v>
      </c>
      <c r="AJ363" s="55">
        <f t="shared" si="2202"/>
        <v>-358.68743928376432</v>
      </c>
      <c r="AK363" s="55">
        <f>CS363-AJ363</f>
        <v>-269.70271547679943</v>
      </c>
      <c r="AL363" s="55">
        <f>AL364-AL362</f>
        <v>-234.54890880062126</v>
      </c>
      <c r="AM363" s="55">
        <f>CT363-AL363</f>
        <v>-270.45155688681791</v>
      </c>
      <c r="AN363" s="55">
        <f>AN364-AN362</f>
        <v>-413.01198137108804</v>
      </c>
      <c r="AO363" s="55">
        <f>CU363-AN363</f>
        <v>413.01198137108804</v>
      </c>
      <c r="AP363" s="55">
        <f t="shared" ref="AP363" si="2203">AP364-AP362</f>
        <v>-501.79681710668325</v>
      </c>
      <c r="AQ363" s="55">
        <f>CV363-AP363</f>
        <v>501.79681710668325</v>
      </c>
      <c r="AR363" s="55"/>
      <c r="AS363" s="55"/>
      <c r="AT363" s="55"/>
      <c r="AU363" s="55"/>
      <c r="AV363" s="55"/>
      <c r="AW363" s="55"/>
      <c r="AX363" s="55"/>
      <c r="AY363" s="55"/>
      <c r="AZ363" s="56"/>
      <c r="BA363" s="55"/>
      <c r="BB363" s="55"/>
      <c r="BC363" s="55"/>
      <c r="BD363" s="55"/>
      <c r="BE363" s="55"/>
      <c r="BF363" s="55"/>
      <c r="BG363" s="55"/>
      <c r="BH363" s="55"/>
      <c r="BI363" s="55"/>
      <c r="BJ363" s="55"/>
      <c r="BK363" s="55"/>
      <c r="BL363" s="55"/>
      <c r="BM363" s="55"/>
      <c r="BN363" s="55"/>
      <c r="BO363" s="55"/>
      <c r="BP363" s="55"/>
      <c r="BQ363" s="55"/>
      <c r="BR363" s="55"/>
      <c r="BS363" s="55"/>
      <c r="BT363" s="55"/>
      <c r="BU363" s="55"/>
      <c r="BV363" s="55"/>
      <c r="BW363" s="55"/>
      <c r="BX363" s="55"/>
      <c r="BY363" s="55"/>
      <c r="BZ363" s="55"/>
      <c r="CA363" s="55"/>
      <c r="CB363" s="55"/>
      <c r="CC363" s="55">
        <f>SUM(D363:E363)</f>
        <v>-263.23527270134394</v>
      </c>
      <c r="CD363" s="55">
        <f>SUM(F363:G363)</f>
        <v>-293.69410601637333</v>
      </c>
      <c r="CE363" s="55">
        <f>SUM(H363:I363)</f>
        <v>-329.88493251312906</v>
      </c>
      <c r="CF363" s="55">
        <f>SUM(J363:K363)</f>
        <v>-529.79241587208321</v>
      </c>
      <c r="CG363" s="55">
        <f>SUM(L363:M363)</f>
        <v>-200.51500681394486</v>
      </c>
      <c r="CH363" s="55">
        <f>SUM(N363:O363)</f>
        <v>-160.03803337646707</v>
      </c>
      <c r="CI363" s="55">
        <f>SUM(P363:Q363)</f>
        <v>-75.444579438554797</v>
      </c>
      <c r="CJ363" s="55">
        <f>SUM(R363:S363)</f>
        <v>-485.8748535562317</v>
      </c>
      <c r="CK363" s="55">
        <f>SUM(T363:U363)</f>
        <v>-559.75787310089277</v>
      </c>
      <c r="CL363" s="55">
        <f>SUM(V363:W363)</f>
        <v>-332.4693502067073</v>
      </c>
      <c r="CM363" s="55">
        <f>SUM(X363:Y363)</f>
        <v>-347.83015766961393</v>
      </c>
      <c r="CN363" s="55">
        <f>SUM(Z363:AA363)</f>
        <v>-437.41896201550981</v>
      </c>
      <c r="CO363" s="55">
        <f>SUM(AB363:AC363)</f>
        <v>-554.64182754388275</v>
      </c>
      <c r="CP363" s="55">
        <f>SUM(AD363:AE363)</f>
        <v>-735.08359965857642</v>
      </c>
      <c r="CQ363" s="55">
        <f t="shared" si="2182"/>
        <v>-830.45409141403866</v>
      </c>
      <c r="CR363" s="55">
        <f>CR364-CR362</f>
        <v>-687.36058728880755</v>
      </c>
      <c r="CS363" s="55">
        <f>CS364-CS362</f>
        <v>-628.39015476056375</v>
      </c>
      <c r="CT363" s="55">
        <f>CT364-CT362</f>
        <v>-505.00046568743915</v>
      </c>
      <c r="CU363" s="55">
        <f>CU364-CU362</f>
        <v>0</v>
      </c>
      <c r="CV363" s="55">
        <f t="shared" ref="CV363" si="2204">CV364-CV362</f>
        <v>0</v>
      </c>
      <c r="CW363" s="55"/>
      <c r="CX363" s="55"/>
      <c r="CY363" s="55"/>
      <c r="CZ363" s="56"/>
      <c r="DA363" s="55"/>
      <c r="DB363" s="55"/>
      <c r="DC363" s="55"/>
      <c r="DD363" s="55"/>
      <c r="DE363" s="55"/>
      <c r="DF363" s="55"/>
      <c r="DG363" s="55"/>
      <c r="DH363" s="55"/>
      <c r="DI363" s="55"/>
    </row>
    <row r="364" spans="1:113" s="24" customFormat="1" hidden="1" outlineLevel="2">
      <c r="A364" s="1" t="s">
        <v>140</v>
      </c>
      <c r="B364" s="24" t="s">
        <v>168</v>
      </c>
      <c r="C364" s="82">
        <f t="shared" ref="C364:L364" si="2205">C249*C306/C$5</f>
        <v>-41.479469452054815</v>
      </c>
      <c r="D364" s="82">
        <f t="shared" si="2205"/>
        <v>-69.617529512328744</v>
      </c>
      <c r="E364" s="82">
        <f t="shared" si="2205"/>
        <v>4.5058155100457391</v>
      </c>
      <c r="F364" s="82">
        <f t="shared" si="2205"/>
        <v>18.996582743379054</v>
      </c>
      <c r="G364" s="82">
        <f t="shared" si="2205"/>
        <v>-66.149464611872205</v>
      </c>
      <c r="H364" s="82">
        <f t="shared" si="2205"/>
        <v>1.5110780510019268</v>
      </c>
      <c r="I364" s="82">
        <f t="shared" si="2205"/>
        <v>-5.0119230874317093</v>
      </c>
      <c r="J364" s="82">
        <f t="shared" si="2205"/>
        <v>-60.676737899543433</v>
      </c>
      <c r="K364" s="82">
        <f t="shared" si="2205"/>
        <v>-93.701475932876662</v>
      </c>
      <c r="L364" s="82">
        <f t="shared" si="2205"/>
        <v>59.755535061020808</v>
      </c>
      <c r="M364" s="82">
        <f t="shared" ref="M364:W364" si="2206">M249*M306/M$5</f>
        <v>62.716237790937953</v>
      </c>
      <c r="N364" s="82">
        <f t="shared" si="2206"/>
        <v>89.621945770992241</v>
      </c>
      <c r="O364" s="82">
        <f t="shared" si="2206"/>
        <v>143.28007449610121</v>
      </c>
      <c r="P364" s="82">
        <f t="shared" si="2206"/>
        <v>242.22383555224368</v>
      </c>
      <c r="Q364" s="82">
        <f t="shared" si="2206"/>
        <v>240.79834086065566</v>
      </c>
      <c r="R364" s="82">
        <f t="shared" si="2206"/>
        <v>97.667201643835597</v>
      </c>
      <c r="S364" s="82">
        <f t="shared" si="2206"/>
        <v>-208.41777341191479</v>
      </c>
      <c r="T364" s="82">
        <f t="shared" si="2206"/>
        <v>-213.71591312577848</v>
      </c>
      <c r="U364" s="82">
        <f t="shared" si="2206"/>
        <v>-106.33043782096185</v>
      </c>
      <c r="V364" s="82">
        <f t="shared" si="2206"/>
        <v>-24.021848972201472</v>
      </c>
      <c r="W364" s="82">
        <f t="shared" si="2206"/>
        <v>33.100358683232308</v>
      </c>
      <c r="X364" s="82">
        <f t="shared" ref="X364:AJ364" si="2207">X249*X306/X$5</f>
        <v>52.746731447879029</v>
      </c>
      <c r="Y364" s="82">
        <f t="shared" si="2207"/>
        <v>-22.293194071038734</v>
      </c>
      <c r="Z364" s="82">
        <f t="shared" si="2207"/>
        <v>-44.15513595315295</v>
      </c>
      <c r="AA364" s="82">
        <f t="shared" si="2207"/>
        <v>-118.41171117030963</v>
      </c>
      <c r="AB364" s="82">
        <f t="shared" si="2207"/>
        <v>-142.56694213366595</v>
      </c>
      <c r="AC364" s="82">
        <f t="shared" si="2207"/>
        <v>-135.75489417808222</v>
      </c>
      <c r="AD364" s="82">
        <f t="shared" si="2207"/>
        <v>-161.78351524707367</v>
      </c>
      <c r="AE364" s="82">
        <f t="shared" si="2207"/>
        <v>-287.17276986692201</v>
      </c>
      <c r="AF364" s="82">
        <f>AF249*AF306/AF$5</f>
        <v>-290.85649942043477</v>
      </c>
      <c r="AG364" s="82">
        <f>AG249*AG306/AG$5</f>
        <v>-172.91546379781343</v>
      </c>
      <c r="AH364" s="82">
        <f>AH249*AH306/AH$5</f>
        <v>-241.74368358235327</v>
      </c>
      <c r="AI364" s="82">
        <f>AI362+AI363</f>
        <v>-247.67817049911019</v>
      </c>
      <c r="AJ364" s="82">
        <f t="shared" si="2207"/>
        <v>-233.1827571801893</v>
      </c>
      <c r="AK364" s="82">
        <f>AK362+AK363</f>
        <v>-148.65125535799072</v>
      </c>
      <c r="AL364" s="82">
        <f>AL249*AL306/AL$5</f>
        <v>-135.63918014012324</v>
      </c>
      <c r="AM364" s="82">
        <f>AM362+AM363</f>
        <v>-175.269016531738</v>
      </c>
      <c r="AN364" s="82">
        <f>AN249*AN306/AN$5</f>
        <v>-413.01198137108804</v>
      </c>
      <c r="AO364" s="82">
        <f>AO362+AO363</f>
        <v>413.01198137108804</v>
      </c>
      <c r="AP364" s="82">
        <f t="shared" ref="AP364" si="2208">AP249*AP306/AP$5</f>
        <v>-501.79681710668325</v>
      </c>
      <c r="AQ364" s="82">
        <f>AQ362+AQ363</f>
        <v>501.79681710668325</v>
      </c>
      <c r="AR364" s="82"/>
      <c r="AS364" s="82"/>
      <c r="AT364" s="82"/>
      <c r="AU364" s="82"/>
      <c r="AV364" s="82"/>
      <c r="AW364" s="82"/>
      <c r="AX364" s="82"/>
      <c r="AY364" s="82"/>
      <c r="AZ364" s="83"/>
      <c r="BA364" s="82"/>
      <c r="BB364" s="82"/>
      <c r="BC364" s="82"/>
      <c r="BD364" s="82"/>
      <c r="BE364" s="82"/>
      <c r="BF364" s="82"/>
      <c r="BG364" s="82"/>
      <c r="BH364" s="82"/>
      <c r="BI364" s="82"/>
      <c r="BJ364" s="82"/>
      <c r="BK364" s="82"/>
      <c r="BL364" s="82"/>
      <c r="BM364" s="82"/>
      <c r="BN364" s="82"/>
      <c r="BO364" s="82"/>
      <c r="BP364" s="82"/>
      <c r="BQ364" s="82"/>
      <c r="BR364" s="82"/>
      <c r="BS364" s="82">
        <f t="shared" ref="BS364:CB364" si="2209">BS249*BS306/BS$5</f>
        <v>34.172472500000104</v>
      </c>
      <c r="BT364" s="82">
        <f t="shared" si="2209"/>
        <v>10.272428333333346</v>
      </c>
      <c r="BU364" s="82">
        <f t="shared" si="2209"/>
        <v>19.634671666666609</v>
      </c>
      <c r="BV364" s="82">
        <f t="shared" si="2209"/>
        <v>112.00106250000009</v>
      </c>
      <c r="BW364" s="82">
        <f t="shared" si="2209"/>
        <v>23.295079999999988</v>
      </c>
      <c r="BX364" s="82">
        <f t="shared" si="2209"/>
        <v>-64.435436833333327</v>
      </c>
      <c r="BY364" s="82">
        <f t="shared" si="2209"/>
        <v>-277.74387674999997</v>
      </c>
      <c r="BZ364" s="82">
        <f t="shared" si="2209"/>
        <v>-66.606935750000105</v>
      </c>
      <c r="CA364" s="82">
        <f t="shared" si="2209"/>
        <v>117.77328854961783</v>
      </c>
      <c r="CB364" s="82">
        <f t="shared" si="2209"/>
        <v>-17.111686153846609</v>
      </c>
      <c r="CC364" s="82">
        <f>SUM(D364:E364)</f>
        <v>-65.111714002283009</v>
      </c>
      <c r="CD364" s="82">
        <f>SUM(F364:G364)</f>
        <v>-47.152881868493154</v>
      </c>
      <c r="CE364" s="82">
        <f>SUM(H364:I364)</f>
        <v>-3.5008450364297827</v>
      </c>
      <c r="CF364" s="82">
        <f>SUM(J364:K364)</f>
        <v>-154.3782138324201</v>
      </c>
      <c r="CG364" s="82">
        <f>SUM(L364:M364)</f>
        <v>122.47177285195876</v>
      </c>
      <c r="CH364" s="82">
        <f>SUM(N364:O364)</f>
        <v>232.90202026709346</v>
      </c>
      <c r="CI364" s="82">
        <f>SUM(P364:Q364)</f>
        <v>483.02217641289934</v>
      </c>
      <c r="CJ364" s="82">
        <f>SUM(R364:S364)</f>
        <v>-110.7505717680792</v>
      </c>
      <c r="CK364" s="82">
        <f>SUM(T364:U364)</f>
        <v>-320.04635094674035</v>
      </c>
      <c r="CL364" s="82">
        <f>SUM(V364:W364)</f>
        <v>9.0785097110308364</v>
      </c>
      <c r="CM364" s="82">
        <f>SUM(X364:Y364)</f>
        <v>30.453537376840295</v>
      </c>
      <c r="CN364" s="82">
        <f>SUM(Z364:AA364)</f>
        <v>-162.56684712346259</v>
      </c>
      <c r="CO364" s="82">
        <f>SUM(AB364:AC364)</f>
        <v>-278.32183631174814</v>
      </c>
      <c r="CP364" s="82">
        <f>SUM(AD364:AE364)</f>
        <v>-448.9562851139957</v>
      </c>
      <c r="CQ364" s="82">
        <f t="shared" si="2182"/>
        <v>-463.77196321824817</v>
      </c>
      <c r="CR364" s="82">
        <f>CR249*CR306/CR$5</f>
        <v>-489.42185408146344</v>
      </c>
      <c r="CS364" s="82">
        <f>CS249*CS306/CS$5</f>
        <v>-381.83401253818005</v>
      </c>
      <c r="CT364" s="82">
        <f>CT249*CT306/CT$5</f>
        <v>-310.90819667186122</v>
      </c>
      <c r="CU364" s="82">
        <f>CU249*CU306/CU$5</f>
        <v>0</v>
      </c>
      <c r="CV364" s="82">
        <f t="shared" ref="CV364" si="2210">CV249*CV306/CV$5</f>
        <v>0</v>
      </c>
      <c r="CW364" s="82"/>
      <c r="CX364" s="82"/>
      <c r="CY364" s="82"/>
      <c r="CZ364" s="83"/>
      <c r="DA364" s="82"/>
      <c r="DB364" s="82"/>
      <c r="DC364" s="82"/>
      <c r="DD364" s="82"/>
      <c r="DE364" s="82"/>
      <c r="DF364" s="82"/>
      <c r="DG364" s="82"/>
      <c r="DH364" s="82"/>
      <c r="DI364" s="82"/>
    </row>
    <row r="365" spans="1:113" hidden="1" outlineLevel="2">
      <c r="C365" s="55"/>
      <c r="D365" s="55"/>
      <c r="E365" s="55"/>
      <c r="F365" s="55"/>
      <c r="G365" s="55"/>
      <c r="H365" s="55"/>
      <c r="I365" s="55"/>
      <c r="J365" s="55"/>
      <c r="K365" s="55"/>
      <c r="L365" s="55"/>
      <c r="M365" s="55"/>
      <c r="N365" s="55"/>
      <c r="O365" s="55"/>
      <c r="P365" s="55"/>
      <c r="Q365" s="55"/>
      <c r="R365" s="55"/>
      <c r="S365" s="55"/>
      <c r="T365" s="55"/>
      <c r="U365" s="55"/>
      <c r="V365" s="55"/>
      <c r="W365" s="55"/>
      <c r="X365" s="55"/>
      <c r="Y365" s="55"/>
      <c r="Z365" s="55"/>
      <c r="AA365" s="55"/>
      <c r="AB365" s="55"/>
      <c r="AC365" s="55"/>
      <c r="AD365" s="55"/>
      <c r="AE365" s="55"/>
      <c r="AF365" s="55"/>
      <c r="AG365" s="55"/>
      <c r="AH365" s="55"/>
      <c r="AI365" s="55"/>
      <c r="AJ365" s="55"/>
      <c r="AK365" s="55"/>
      <c r="AL365" s="55"/>
      <c r="AM365" s="55"/>
      <c r="AN365" s="55"/>
      <c r="AO365" s="55"/>
      <c r="AP365" s="55"/>
      <c r="AQ365" s="55"/>
      <c r="AR365" s="55"/>
      <c r="AS365" s="55"/>
      <c r="AT365" s="55"/>
      <c r="AU365" s="55"/>
      <c r="AV365" s="55"/>
      <c r="AW365" s="55"/>
      <c r="AX365" s="55"/>
      <c r="AY365" s="55"/>
      <c r="AZ365" s="56"/>
      <c r="BA365" s="55"/>
      <c r="BB365" s="55"/>
      <c r="BC365" s="55"/>
      <c r="BD365" s="55"/>
      <c r="BE365" s="55"/>
      <c r="BF365" s="55"/>
      <c r="BG365" s="55"/>
      <c r="BH365" s="55"/>
      <c r="BI365" s="55"/>
      <c r="BJ365" s="55"/>
      <c r="BK365" s="55"/>
      <c r="BL365" s="55"/>
      <c r="BM365" s="55"/>
      <c r="BN365" s="55"/>
      <c r="BO365" s="55"/>
      <c r="BP365" s="55"/>
      <c r="BQ365" s="55"/>
      <c r="BR365" s="55"/>
      <c r="BS365" s="55"/>
      <c r="BT365" s="55"/>
      <c r="BU365" s="55"/>
      <c r="BV365" s="55"/>
      <c r="BW365" s="55"/>
      <c r="BX365" s="55"/>
      <c r="BY365" s="55"/>
      <c r="BZ365" s="55"/>
      <c r="CA365" s="55"/>
      <c r="CB365" s="55"/>
      <c r="CC365" s="55"/>
      <c r="CD365" s="55"/>
      <c r="CE365" s="55"/>
      <c r="CF365" s="55"/>
      <c r="CG365" s="55"/>
      <c r="CH365" s="55"/>
      <c r="CI365" s="55"/>
      <c r="CJ365" s="55"/>
      <c r="CK365" s="55"/>
      <c r="CL365" s="55"/>
      <c r="CM365" s="55"/>
      <c r="CN365" s="55"/>
      <c r="CO365" s="55"/>
      <c r="CP365" s="55"/>
      <c r="CQ365" s="55"/>
      <c r="CR365" s="55"/>
      <c r="CS365" s="55"/>
      <c r="CT365" s="55"/>
      <c r="CU365" s="55"/>
      <c r="CV365" s="55"/>
      <c r="CW365" s="55"/>
      <c r="CX365" s="55"/>
      <c r="CY365" s="55"/>
      <c r="CZ365" s="56"/>
      <c r="DA365" s="55"/>
      <c r="DB365" s="55"/>
      <c r="DC365" s="55"/>
      <c r="DD365" s="55"/>
      <c r="DE365" s="55"/>
      <c r="DF365" s="55"/>
      <c r="DG365" s="55"/>
      <c r="DH365" s="55"/>
      <c r="DI365" s="55"/>
    </row>
    <row r="366" spans="1:113" s="24" customFormat="1" hidden="1" outlineLevel="2">
      <c r="A366" s="1"/>
      <c r="B366" s="24" t="s">
        <v>491</v>
      </c>
      <c r="C366" s="82"/>
      <c r="D366" s="82"/>
      <c r="E366" s="82"/>
      <c r="F366" s="82"/>
      <c r="G366" s="82"/>
      <c r="H366" s="82"/>
      <c r="I366" s="82"/>
      <c r="J366" s="82"/>
      <c r="K366" s="82"/>
      <c r="L366" s="82"/>
      <c r="M366" s="82"/>
      <c r="N366" s="82"/>
      <c r="O366" s="82"/>
      <c r="P366" s="82"/>
      <c r="Q366" s="82"/>
      <c r="R366" s="82"/>
      <c r="S366" s="82"/>
      <c r="T366" s="82"/>
      <c r="U366" s="82"/>
      <c r="V366" s="82"/>
      <c r="W366" s="82"/>
      <c r="X366" s="82"/>
      <c r="Y366" s="82"/>
      <c r="Z366" s="82"/>
      <c r="AA366" s="82"/>
      <c r="AB366" s="82"/>
      <c r="AC366" s="82"/>
      <c r="AD366" s="82"/>
      <c r="AE366" s="82"/>
      <c r="AF366" s="82"/>
      <c r="AG366" s="82"/>
      <c r="AH366" s="82"/>
      <c r="AI366" s="82"/>
      <c r="AJ366" s="82"/>
      <c r="AK366" s="82"/>
      <c r="AL366" s="82"/>
      <c r="AM366" s="82"/>
      <c r="AN366" s="82"/>
      <c r="AO366" s="82"/>
      <c r="AP366" s="82"/>
      <c r="AQ366" s="82"/>
      <c r="AR366" s="82"/>
      <c r="AS366" s="82"/>
      <c r="AT366" s="82"/>
      <c r="AU366" s="82"/>
      <c r="AV366" s="82"/>
      <c r="AW366" s="82"/>
      <c r="AX366" s="82"/>
      <c r="AY366" s="82"/>
      <c r="AZ366" s="83"/>
      <c r="BA366" s="82"/>
      <c r="BB366" s="82"/>
      <c r="BC366" s="82"/>
      <c r="BD366" s="82"/>
      <c r="BE366" s="82"/>
      <c r="BF366" s="82"/>
      <c r="BG366" s="82"/>
      <c r="BH366" s="82"/>
      <c r="BI366" s="82"/>
      <c r="BJ366" s="82"/>
      <c r="BK366" s="82"/>
      <c r="BL366" s="82"/>
      <c r="BM366" s="82"/>
      <c r="BN366" s="82"/>
      <c r="BO366" s="82"/>
      <c r="BP366" s="82"/>
      <c r="BQ366" s="82"/>
      <c r="BR366" s="82"/>
      <c r="BS366" s="82"/>
      <c r="BT366" s="82"/>
      <c r="BU366" s="82"/>
      <c r="BV366" s="82"/>
      <c r="BW366" s="82"/>
      <c r="BX366" s="82"/>
      <c r="BY366" s="82"/>
      <c r="BZ366" s="82"/>
      <c r="CA366" s="82"/>
      <c r="CB366" s="82"/>
      <c r="CC366" s="82"/>
      <c r="CD366" s="82"/>
      <c r="CE366" s="82"/>
      <c r="CF366" s="82"/>
      <c r="CG366" s="82"/>
      <c r="CH366" s="82"/>
      <c r="CI366" s="82"/>
      <c r="CJ366" s="82"/>
      <c r="CK366" s="82"/>
      <c r="CL366" s="82"/>
      <c r="CM366" s="82"/>
      <c r="CN366" s="82"/>
      <c r="CO366" s="82"/>
      <c r="CP366" s="82"/>
      <c r="CQ366" s="82"/>
      <c r="CR366" s="82"/>
      <c r="CS366" s="82"/>
      <c r="CT366" s="82"/>
      <c r="CU366" s="82"/>
      <c r="CV366" s="82"/>
      <c r="CW366" s="82"/>
      <c r="CX366" s="82"/>
      <c r="CY366" s="82"/>
      <c r="CZ366" s="83"/>
      <c r="DA366" s="82"/>
      <c r="DB366" s="82"/>
      <c r="DC366" s="82"/>
      <c r="DD366" s="82"/>
      <c r="DE366" s="82"/>
      <c r="DF366" s="82"/>
      <c r="DG366" s="82"/>
      <c r="DH366" s="82"/>
      <c r="DI366" s="82"/>
    </row>
    <row r="367" spans="1:113" hidden="1" outlineLevel="2">
      <c r="A367" s="1" t="s">
        <v>222</v>
      </c>
      <c r="B367" s="19" t="s">
        <v>589</v>
      </c>
      <c r="C367" s="55">
        <f t="shared" ref="C367:L367" si="2211">C252*C309/C$5</f>
        <v>0</v>
      </c>
      <c r="D367" s="55">
        <f t="shared" si="2211"/>
        <v>0</v>
      </c>
      <c r="E367" s="55">
        <f t="shared" si="2211"/>
        <v>0</v>
      </c>
      <c r="F367" s="55">
        <f t="shared" si="2211"/>
        <v>0</v>
      </c>
      <c r="G367" s="55">
        <f t="shared" si="2211"/>
        <v>0</v>
      </c>
      <c r="H367" s="55">
        <f t="shared" si="2211"/>
        <v>0</v>
      </c>
      <c r="I367" s="55">
        <f t="shared" si="2211"/>
        <v>0</v>
      </c>
      <c r="J367" s="55">
        <f t="shared" si="2211"/>
        <v>0</v>
      </c>
      <c r="K367" s="55">
        <f t="shared" si="2211"/>
        <v>0</v>
      </c>
      <c r="L367" s="55">
        <f t="shared" si="2211"/>
        <v>0</v>
      </c>
      <c r="M367" s="55">
        <f t="shared" ref="M367:W367" si="2212">M252*M309/M$5</f>
        <v>0</v>
      </c>
      <c r="N367" s="55">
        <f t="shared" si="2212"/>
        <v>0</v>
      </c>
      <c r="O367" s="55">
        <f t="shared" si="2212"/>
        <v>0</v>
      </c>
      <c r="P367" s="55">
        <f t="shared" si="2212"/>
        <v>0</v>
      </c>
      <c r="Q367" s="55">
        <f t="shared" si="2212"/>
        <v>0</v>
      </c>
      <c r="R367" s="55">
        <f t="shared" si="2212"/>
        <v>0</v>
      </c>
      <c r="S367" s="55">
        <f t="shared" si="2212"/>
        <v>0</v>
      </c>
      <c r="T367" s="55">
        <f t="shared" si="2212"/>
        <v>13.229283803439143</v>
      </c>
      <c r="U367" s="55">
        <f t="shared" si="2212"/>
        <v>18.882884084928204</v>
      </c>
      <c r="V367" s="55">
        <f t="shared" si="2212"/>
        <v>23.757283857620237</v>
      </c>
      <c r="W367" s="55">
        <f t="shared" si="2212"/>
        <v>18.949459295434821</v>
      </c>
      <c r="X367" s="55">
        <f t="shared" ref="X367:AJ367" si="2213">X252*X309/X$5</f>
        <v>20.330812881329123</v>
      </c>
      <c r="Y367" s="55">
        <f t="shared" si="2213"/>
        <v>14.727475298445347</v>
      </c>
      <c r="Z367" s="55">
        <f t="shared" si="2213"/>
        <v>12.207364932634775</v>
      </c>
      <c r="AA367" s="55">
        <f t="shared" si="2213"/>
        <v>10.286037208450605</v>
      </c>
      <c r="AB367" s="55">
        <f t="shared" si="2213"/>
        <v>8.9564411243941944</v>
      </c>
      <c r="AC367" s="55">
        <f t="shared" si="2213"/>
        <v>9.0178450076795222</v>
      </c>
      <c r="AD367" s="55">
        <f t="shared" si="2213"/>
        <v>11.728996257339158</v>
      </c>
      <c r="AE367" s="55">
        <f t="shared" si="2213"/>
        <v>11.314735217943266</v>
      </c>
      <c r="AF367" s="55">
        <f>AF252*AF309/AF$5</f>
        <v>16.737537713960577</v>
      </c>
      <c r="AG367" s="55">
        <f>AG252*AG309/AG$5</f>
        <v>22.517344221651754</v>
      </c>
      <c r="AH367" s="55">
        <f>AH252*AH309/AH$5</f>
        <v>17.289067044583501</v>
      </c>
      <c r="AI367" s="55">
        <f>CR367-AH367</f>
        <v>17.066107391078926</v>
      </c>
      <c r="AJ367" s="55">
        <f t="shared" si="2213"/>
        <v>9.7523593498962153</v>
      </c>
      <c r="AK367" s="55">
        <f>CS367-AJ367</f>
        <v>8.9442775080706891</v>
      </c>
      <c r="AL367" s="55">
        <f>AL252*AL309/AL$5</f>
        <v>15.06648484619352</v>
      </c>
      <c r="AM367" s="55">
        <f>CT367-AL367</f>
        <v>16.796919448986102</v>
      </c>
      <c r="AN367" s="55">
        <f>AN252*AN309/AN$5</f>
        <v>0</v>
      </c>
      <c r="AO367" s="55">
        <f>CU367-AN367</f>
        <v>0</v>
      </c>
      <c r="AP367" s="55">
        <f t="shared" ref="AP367" si="2214">AP252*AP309/AP$5</f>
        <v>0</v>
      </c>
      <c r="AQ367" s="55">
        <f>CV367-AP367</f>
        <v>0</v>
      </c>
      <c r="AR367" s="55"/>
      <c r="AS367" s="55"/>
      <c r="AT367" s="55"/>
      <c r="AU367" s="55"/>
      <c r="AV367" s="55"/>
      <c r="AW367" s="55"/>
      <c r="AX367" s="55"/>
      <c r="AY367" s="55"/>
      <c r="AZ367" s="56"/>
      <c r="BA367" s="55"/>
      <c r="BB367" s="55"/>
      <c r="BC367" s="55"/>
      <c r="BD367" s="55"/>
      <c r="BE367" s="55"/>
      <c r="BF367" s="55"/>
      <c r="BG367" s="55"/>
      <c r="BH367" s="55"/>
      <c r="BI367" s="55"/>
      <c r="BJ367" s="55"/>
      <c r="BK367" s="55"/>
      <c r="BL367" s="55"/>
      <c r="BM367" s="55"/>
      <c r="BN367" s="55"/>
      <c r="BO367" s="55"/>
      <c r="BP367" s="55"/>
      <c r="BQ367" s="55"/>
      <c r="BR367" s="55"/>
      <c r="BS367" s="55"/>
      <c r="BT367" s="55"/>
      <c r="BU367" s="55"/>
      <c r="BV367" s="55"/>
      <c r="BW367" s="55"/>
      <c r="BX367" s="55"/>
      <c r="BY367" s="55"/>
      <c r="BZ367" s="55"/>
      <c r="CA367" s="55"/>
      <c r="CB367" s="55"/>
      <c r="CC367" s="55">
        <f>SUM(D367:E367)</f>
        <v>0</v>
      </c>
      <c r="CD367" s="55">
        <f>SUM(F367:G367)</f>
        <v>0</v>
      </c>
      <c r="CE367" s="55">
        <f>SUM(H367:I367)</f>
        <v>0</v>
      </c>
      <c r="CF367" s="55">
        <f>SUM(J367:K367)</f>
        <v>0</v>
      </c>
      <c r="CG367" s="55">
        <f>SUM(L367:M367)</f>
        <v>0</v>
      </c>
      <c r="CH367" s="55">
        <f>SUM(N367:O367)</f>
        <v>0</v>
      </c>
      <c r="CI367" s="55">
        <f>SUM(P367:Q367)</f>
        <v>0</v>
      </c>
      <c r="CJ367" s="55">
        <f>SUM(R367:S367)</f>
        <v>0</v>
      </c>
      <c r="CK367" s="55">
        <f>SUM(T367:U367)</f>
        <v>32.112167888367345</v>
      </c>
      <c r="CL367" s="55">
        <f>SUM(V367:W367)</f>
        <v>42.706743153055058</v>
      </c>
      <c r="CM367" s="55">
        <f>SUM(X367:Y367)</f>
        <v>35.058288179774472</v>
      </c>
      <c r="CN367" s="55">
        <f>SUM(Z367:AA367)</f>
        <v>22.493402141085379</v>
      </c>
      <c r="CO367" s="55">
        <f>SUM(AB367:AC367)</f>
        <v>17.974286132073715</v>
      </c>
      <c r="CP367" s="55">
        <f>SUM(AD367:AE367)</f>
        <v>23.043731475282424</v>
      </c>
      <c r="CQ367" s="55">
        <f t="shared" si="2182"/>
        <v>39.254881935612332</v>
      </c>
      <c r="CR367" s="55">
        <f>CR252*CR309/CR$5</f>
        <v>34.355174435662427</v>
      </c>
      <c r="CS367" s="55">
        <f>CS252*CS309/CS$5</f>
        <v>18.696636857966904</v>
      </c>
      <c r="CT367" s="55">
        <f>CT252*CT309/CT$5</f>
        <v>31.863404295179624</v>
      </c>
      <c r="CU367" s="55">
        <f>CU252*CU309/CU$5</f>
        <v>0</v>
      </c>
      <c r="CV367" s="55">
        <f t="shared" ref="CV367" si="2215">CV252*CV309/CV$5</f>
        <v>0</v>
      </c>
      <c r="CW367" s="55"/>
      <c r="CX367" s="55"/>
      <c r="CY367" s="55"/>
      <c r="CZ367" s="56"/>
      <c r="DA367" s="55"/>
      <c r="DB367" s="55"/>
      <c r="DC367" s="55"/>
      <c r="DD367" s="55"/>
      <c r="DE367" s="55"/>
      <c r="DF367" s="55"/>
      <c r="DG367" s="55"/>
      <c r="DH367" s="55"/>
      <c r="DI367" s="55"/>
    </row>
    <row r="368" spans="1:113" hidden="1" outlineLevel="2">
      <c r="A368" s="1" t="s">
        <v>223</v>
      </c>
      <c r="B368" s="19" t="s">
        <v>471</v>
      </c>
      <c r="C368" s="55">
        <f t="shared" ref="C368:L368" si="2216">C369-C367</f>
        <v>0</v>
      </c>
      <c r="D368" s="55">
        <f t="shared" si="2216"/>
        <v>0</v>
      </c>
      <c r="E368" s="55">
        <f t="shared" si="2216"/>
        <v>0</v>
      </c>
      <c r="F368" s="55">
        <f t="shared" si="2216"/>
        <v>0</v>
      </c>
      <c r="G368" s="55">
        <f t="shared" si="2216"/>
        <v>0</v>
      </c>
      <c r="H368" s="55">
        <f t="shared" si="2216"/>
        <v>0</v>
      </c>
      <c r="I368" s="55">
        <f t="shared" si="2216"/>
        <v>0</v>
      </c>
      <c r="J368" s="55">
        <f t="shared" si="2216"/>
        <v>0</v>
      </c>
      <c r="K368" s="55">
        <f t="shared" si="2216"/>
        <v>0</v>
      </c>
      <c r="L368" s="55">
        <f t="shared" si="2216"/>
        <v>0</v>
      </c>
      <c r="M368" s="55">
        <f t="shared" ref="M368:W368" si="2217">M369-M367</f>
        <v>0</v>
      </c>
      <c r="N368" s="55">
        <f t="shared" si="2217"/>
        <v>0</v>
      </c>
      <c r="O368" s="55">
        <f t="shared" si="2217"/>
        <v>0</v>
      </c>
      <c r="P368" s="55">
        <f t="shared" si="2217"/>
        <v>0</v>
      </c>
      <c r="Q368" s="55">
        <f t="shared" si="2217"/>
        <v>0</v>
      </c>
      <c r="R368" s="55">
        <f t="shared" si="2217"/>
        <v>0</v>
      </c>
      <c r="S368" s="55">
        <f t="shared" si="2217"/>
        <v>0</v>
      </c>
      <c r="T368" s="55">
        <f t="shared" si="2217"/>
        <v>265.39734585534029</v>
      </c>
      <c r="U368" s="55">
        <f t="shared" si="2217"/>
        <v>251.98991763536498</v>
      </c>
      <c r="V368" s="55">
        <f t="shared" si="2217"/>
        <v>340.35958025806912</v>
      </c>
      <c r="W368" s="55">
        <f t="shared" si="2217"/>
        <v>335.19083951628863</v>
      </c>
      <c r="X368" s="55">
        <f t="shared" ref="X368:AJ368" si="2218">X369-X367</f>
        <v>318.84843810102609</v>
      </c>
      <c r="Y368" s="55">
        <f t="shared" si="2218"/>
        <v>275.79326746111718</v>
      </c>
      <c r="Z368" s="55">
        <f t="shared" si="2218"/>
        <v>247.7355870196813</v>
      </c>
      <c r="AA368" s="55">
        <f t="shared" si="2218"/>
        <v>177.60000291407223</v>
      </c>
      <c r="AB368" s="55">
        <f t="shared" si="2218"/>
        <v>173.14067254932908</v>
      </c>
      <c r="AC368" s="55">
        <f t="shared" si="2218"/>
        <v>173.00206946720633</v>
      </c>
      <c r="AD368" s="55">
        <f t="shared" si="2218"/>
        <v>178.03751338475288</v>
      </c>
      <c r="AE368" s="55">
        <f t="shared" si="2218"/>
        <v>126.05754785734588</v>
      </c>
      <c r="AF368" s="55">
        <f>AF369-AF367</f>
        <v>22.033069340187119</v>
      </c>
      <c r="AG368" s="55">
        <f>AG369-AG367</f>
        <v>69.987103046108118</v>
      </c>
      <c r="AH368" s="55">
        <f>AH369-AH367</f>
        <v>15.465488392456873</v>
      </c>
      <c r="AI368" s="55">
        <f>CR368-AH368</f>
        <v>-12.598187862837609</v>
      </c>
      <c r="AJ368" s="55">
        <f t="shared" si="2218"/>
        <v>-48.803906806165827</v>
      </c>
      <c r="AK368" s="55">
        <f>CS368-AJ368</f>
        <v>-41.949201442742279</v>
      </c>
      <c r="AL368" s="55">
        <f>AL369-AL367</f>
        <v>-95.859209037346872</v>
      </c>
      <c r="AM368" s="55">
        <f>CT368-AL368</f>
        <v>-148.22637316551192</v>
      </c>
      <c r="AN368" s="55">
        <f>AN369-AN367</f>
        <v>-183.8465540238451</v>
      </c>
      <c r="AO368" s="55">
        <f>CU368-AN368</f>
        <v>183.8465540238451</v>
      </c>
      <c r="AP368" s="55">
        <f t="shared" ref="AP368" si="2219">AP369-AP367</f>
        <v>-116.42247508509756</v>
      </c>
      <c r="AQ368" s="55">
        <f>CV368-AP368</f>
        <v>116.42247508509756</v>
      </c>
      <c r="AR368" s="55"/>
      <c r="AS368" s="55"/>
      <c r="AT368" s="55"/>
      <c r="AU368" s="55"/>
      <c r="AV368" s="55"/>
      <c r="AW368" s="55"/>
      <c r="AX368" s="55"/>
      <c r="AY368" s="55"/>
      <c r="AZ368" s="56"/>
      <c r="BA368" s="55"/>
      <c r="BB368" s="55"/>
      <c r="BC368" s="55"/>
      <c r="BD368" s="55"/>
      <c r="BE368" s="55"/>
      <c r="BF368" s="55"/>
      <c r="BG368" s="55"/>
      <c r="BH368" s="55"/>
      <c r="BI368" s="55"/>
      <c r="BJ368" s="55"/>
      <c r="BK368" s="55"/>
      <c r="BL368" s="55"/>
      <c r="BM368" s="55"/>
      <c r="BN368" s="55"/>
      <c r="BO368" s="55"/>
      <c r="BP368" s="55"/>
      <c r="BQ368" s="55"/>
      <c r="BR368" s="55"/>
      <c r="BS368" s="55"/>
      <c r="BT368" s="55"/>
      <c r="BU368" s="55"/>
      <c r="BV368" s="55"/>
      <c r="BW368" s="55"/>
      <c r="BX368" s="55"/>
      <c r="BY368" s="55"/>
      <c r="BZ368" s="55"/>
      <c r="CA368" s="55"/>
      <c r="CB368" s="55"/>
      <c r="CC368" s="55">
        <f>SUM(D368:E368)</f>
        <v>0</v>
      </c>
      <c r="CD368" s="55">
        <f>SUM(F368:G368)</f>
        <v>0</v>
      </c>
      <c r="CE368" s="55">
        <f>SUM(H368:I368)</f>
        <v>0</v>
      </c>
      <c r="CF368" s="55">
        <f>SUM(J368:K368)</f>
        <v>0</v>
      </c>
      <c r="CG368" s="55">
        <f>SUM(L368:M368)</f>
        <v>0</v>
      </c>
      <c r="CH368" s="55">
        <f>SUM(N368:O368)</f>
        <v>0</v>
      </c>
      <c r="CI368" s="55">
        <f>SUM(P368:Q368)</f>
        <v>0</v>
      </c>
      <c r="CJ368" s="55">
        <f>SUM(R368:S368)</f>
        <v>0</v>
      </c>
      <c r="CK368" s="55">
        <f>SUM(T368:U368)</f>
        <v>517.38726349070521</v>
      </c>
      <c r="CL368" s="55">
        <f>SUM(V368:W368)</f>
        <v>675.55041977435781</v>
      </c>
      <c r="CM368" s="55">
        <f>SUM(X368:Y368)</f>
        <v>594.64170556214322</v>
      </c>
      <c r="CN368" s="55">
        <f>SUM(Z368:AA368)</f>
        <v>425.33558993375357</v>
      </c>
      <c r="CO368" s="55">
        <f>SUM(AB368:AC368)</f>
        <v>346.14274201653541</v>
      </c>
      <c r="CP368" s="55">
        <f>SUM(AD368:AE368)</f>
        <v>304.09506124209878</v>
      </c>
      <c r="CQ368" s="55">
        <f t="shared" si="2182"/>
        <v>92.020172386295229</v>
      </c>
      <c r="CR368" s="55">
        <f>CR369-CR367</f>
        <v>2.8673005296192642</v>
      </c>
      <c r="CS368" s="55">
        <f>CS369-CS367</f>
        <v>-90.753108248908106</v>
      </c>
      <c r="CT368" s="55">
        <f>CT369-CT367</f>
        <v>-244.0855822028588</v>
      </c>
      <c r="CU368" s="55">
        <f>CU369-CU367</f>
        <v>0</v>
      </c>
      <c r="CV368" s="55">
        <f t="shared" ref="CV368" si="2220">CV369-CV367</f>
        <v>0</v>
      </c>
      <c r="CW368" s="55"/>
      <c r="CX368" s="55"/>
      <c r="CY368" s="55"/>
      <c r="CZ368" s="56"/>
      <c r="DA368" s="55"/>
      <c r="DB368" s="55"/>
      <c r="DC368" s="55"/>
      <c r="DD368" s="55"/>
      <c r="DE368" s="55"/>
      <c r="DF368" s="55"/>
      <c r="DG368" s="55"/>
      <c r="DH368" s="55"/>
      <c r="DI368" s="55"/>
    </row>
    <row r="369" spans="1:113" s="24" customFormat="1" hidden="1" outlineLevel="2">
      <c r="A369" s="1" t="s">
        <v>224</v>
      </c>
      <c r="B369" s="24" t="s">
        <v>168</v>
      </c>
      <c r="C369" s="82">
        <f t="shared" ref="C369:L369" si="2221">C254*C311/C$5</f>
        <v>0</v>
      </c>
      <c r="D369" s="82">
        <f t="shared" si="2221"/>
        <v>0</v>
      </c>
      <c r="E369" s="82">
        <f t="shared" si="2221"/>
        <v>0</v>
      </c>
      <c r="F369" s="82">
        <f t="shared" si="2221"/>
        <v>0</v>
      </c>
      <c r="G369" s="82">
        <f t="shared" si="2221"/>
        <v>0</v>
      </c>
      <c r="H369" s="82">
        <f t="shared" si="2221"/>
        <v>0</v>
      </c>
      <c r="I369" s="82">
        <f t="shared" si="2221"/>
        <v>0</v>
      </c>
      <c r="J369" s="82">
        <f t="shared" si="2221"/>
        <v>0</v>
      </c>
      <c r="K369" s="82">
        <f t="shared" si="2221"/>
        <v>0</v>
      </c>
      <c r="L369" s="82">
        <f t="shared" si="2221"/>
        <v>0</v>
      </c>
      <c r="M369" s="82">
        <f t="shared" ref="M369:W369" si="2222">M254*M311/M$5</f>
        <v>0</v>
      </c>
      <c r="N369" s="82">
        <f t="shared" si="2222"/>
        <v>0</v>
      </c>
      <c r="O369" s="82">
        <f t="shared" si="2222"/>
        <v>0</v>
      </c>
      <c r="P369" s="82">
        <f t="shared" si="2222"/>
        <v>0</v>
      </c>
      <c r="Q369" s="82">
        <f t="shared" si="2222"/>
        <v>0</v>
      </c>
      <c r="R369" s="82">
        <f t="shared" si="2222"/>
        <v>0</v>
      </c>
      <c r="S369" s="82">
        <f t="shared" si="2222"/>
        <v>0</v>
      </c>
      <c r="T369" s="82">
        <f t="shared" si="2222"/>
        <v>278.62662965877945</v>
      </c>
      <c r="U369" s="82">
        <f t="shared" si="2222"/>
        <v>270.87280172029318</v>
      </c>
      <c r="V369" s="82">
        <f t="shared" si="2222"/>
        <v>364.11686411568934</v>
      </c>
      <c r="W369" s="82">
        <f t="shared" si="2222"/>
        <v>354.14029881172343</v>
      </c>
      <c r="X369" s="82">
        <f t="shared" ref="X369:AJ369" si="2223">X254*X311/X$5</f>
        <v>339.1792509823552</v>
      </c>
      <c r="Y369" s="82">
        <f t="shared" si="2223"/>
        <v>290.52074275956255</v>
      </c>
      <c r="Z369" s="82">
        <f t="shared" si="2223"/>
        <v>259.94295195231609</v>
      </c>
      <c r="AA369" s="82">
        <f t="shared" si="2223"/>
        <v>187.88604012252284</v>
      </c>
      <c r="AB369" s="82">
        <f t="shared" si="2223"/>
        <v>182.09711367372327</v>
      </c>
      <c r="AC369" s="82">
        <f t="shared" si="2223"/>
        <v>182.01991447488584</v>
      </c>
      <c r="AD369" s="82">
        <f t="shared" si="2223"/>
        <v>189.76650964209205</v>
      </c>
      <c r="AE369" s="82">
        <f t="shared" si="2223"/>
        <v>137.37228307528915</v>
      </c>
      <c r="AF369" s="82">
        <f>AF254*AF311/AF$5</f>
        <v>38.770607054147696</v>
      </c>
      <c r="AG369" s="82">
        <f>AG254*AG311/AG$5</f>
        <v>92.504447267759872</v>
      </c>
      <c r="AH369" s="82">
        <f>AH254*AH311/AH$5</f>
        <v>32.754555437040374</v>
      </c>
      <c r="AI369" s="82">
        <f>AI367+AI368</f>
        <v>4.4679195282413176</v>
      </c>
      <c r="AJ369" s="82">
        <f t="shared" si="2223"/>
        <v>-39.05154745626961</v>
      </c>
      <c r="AK369" s="82">
        <f>AK367+AK368</f>
        <v>-33.004923934671588</v>
      </c>
      <c r="AL369" s="82">
        <f>AL254*AL311/AL$5</f>
        <v>-80.792724191153354</v>
      </c>
      <c r="AM369" s="82">
        <f>AM367+AM368</f>
        <v>-131.42945371652581</v>
      </c>
      <c r="AN369" s="82">
        <f>AN254*AN311/AN$5</f>
        <v>-183.8465540238451</v>
      </c>
      <c r="AO369" s="82">
        <f>AO367+AO368</f>
        <v>183.8465540238451</v>
      </c>
      <c r="AP369" s="82">
        <f t="shared" ref="AP369" si="2224">AP254*AP311/AP$5</f>
        <v>-116.42247508509756</v>
      </c>
      <c r="AQ369" s="82">
        <f>AQ367+AQ368</f>
        <v>116.42247508509756</v>
      </c>
      <c r="AR369" s="82"/>
      <c r="AS369" s="82"/>
      <c r="AT369" s="82"/>
      <c r="AU369" s="82"/>
      <c r="AV369" s="82"/>
      <c r="AW369" s="82"/>
      <c r="AX369" s="82"/>
      <c r="AY369" s="82"/>
      <c r="AZ369" s="83"/>
      <c r="BA369" s="82"/>
      <c r="BB369" s="82"/>
      <c r="BC369" s="82"/>
      <c r="BD369" s="82"/>
      <c r="BE369" s="82"/>
      <c r="BF369" s="82"/>
      <c r="BG369" s="82"/>
      <c r="BH369" s="82"/>
      <c r="BI369" s="82"/>
      <c r="BJ369" s="82"/>
      <c r="BK369" s="82"/>
      <c r="BL369" s="82"/>
      <c r="BM369" s="82"/>
      <c r="BN369" s="82"/>
      <c r="BO369" s="82"/>
      <c r="BP369" s="82"/>
      <c r="BQ369" s="82"/>
      <c r="BR369" s="82"/>
      <c r="BS369" s="82">
        <f t="shared" ref="BS369:CB369" si="2225">BS254*BS311/BS$5</f>
        <v>0</v>
      </c>
      <c r="BT369" s="82">
        <f t="shared" si="2225"/>
        <v>0</v>
      </c>
      <c r="BU369" s="82">
        <f t="shared" si="2225"/>
        <v>0</v>
      </c>
      <c r="BV369" s="82">
        <f t="shared" si="2225"/>
        <v>0</v>
      </c>
      <c r="BW369" s="82">
        <f t="shared" si="2225"/>
        <v>0</v>
      </c>
      <c r="BX369" s="82">
        <f t="shared" si="2225"/>
        <v>0</v>
      </c>
      <c r="BY369" s="82">
        <f t="shared" si="2225"/>
        <v>0</v>
      </c>
      <c r="BZ369" s="82">
        <f t="shared" si="2225"/>
        <v>0</v>
      </c>
      <c r="CA369" s="82">
        <f t="shared" si="2225"/>
        <v>0</v>
      </c>
      <c r="CB369" s="82">
        <f t="shared" si="2225"/>
        <v>0</v>
      </c>
      <c r="CC369" s="82">
        <f>SUM(D369:E369)</f>
        <v>0</v>
      </c>
      <c r="CD369" s="82">
        <f>SUM(F369:G369)</f>
        <v>0</v>
      </c>
      <c r="CE369" s="82">
        <f>SUM(H369:I369)</f>
        <v>0</v>
      </c>
      <c r="CF369" s="82">
        <f>SUM(J369:K369)</f>
        <v>0</v>
      </c>
      <c r="CG369" s="82">
        <f>SUM(L369:M369)</f>
        <v>0</v>
      </c>
      <c r="CH369" s="82">
        <f>SUM(N369:O369)</f>
        <v>0</v>
      </c>
      <c r="CI369" s="82">
        <f>SUM(P369:Q369)</f>
        <v>0</v>
      </c>
      <c r="CJ369" s="82">
        <f>SUM(R369:S369)</f>
        <v>0</v>
      </c>
      <c r="CK369" s="82">
        <f>SUM(T369:U369)</f>
        <v>549.49943137907258</v>
      </c>
      <c r="CL369" s="82">
        <f>SUM(V369:W369)</f>
        <v>718.25716292741276</v>
      </c>
      <c r="CM369" s="82">
        <f>SUM(X369:Y369)</f>
        <v>629.69999374191775</v>
      </c>
      <c r="CN369" s="82">
        <f>SUM(Z369:AA369)</f>
        <v>447.82899207483894</v>
      </c>
      <c r="CO369" s="82">
        <f>SUM(AB369:AC369)</f>
        <v>364.11702814860911</v>
      </c>
      <c r="CP369" s="82">
        <f>SUM(AD369:AE369)</f>
        <v>327.13879271738119</v>
      </c>
      <c r="CQ369" s="82">
        <f t="shared" si="2182"/>
        <v>131.27505432190756</v>
      </c>
      <c r="CR369" s="82">
        <f>CR254*CR311/CR$5</f>
        <v>37.222474965281691</v>
      </c>
      <c r="CS369" s="82">
        <f>CS254*CS311/CS$5</f>
        <v>-72.056471390941198</v>
      </c>
      <c r="CT369" s="82">
        <f>CT254*CT311/CT$5</f>
        <v>-212.22217790767917</v>
      </c>
      <c r="CU369" s="82">
        <f>CU254*CU311/CU$5</f>
        <v>0</v>
      </c>
      <c r="CV369" s="82">
        <f t="shared" ref="CV369" si="2226">CV254*CV311/CV$5</f>
        <v>0</v>
      </c>
      <c r="CW369" s="82"/>
      <c r="CX369" s="82"/>
      <c r="CY369" s="82"/>
      <c r="CZ369" s="83"/>
      <c r="DA369" s="82"/>
      <c r="DB369" s="82"/>
      <c r="DC369" s="82"/>
      <c r="DD369" s="82"/>
      <c r="DE369" s="82"/>
      <c r="DF369" s="82"/>
      <c r="DG369" s="82"/>
      <c r="DH369" s="82"/>
      <c r="DI369" s="82"/>
    </row>
    <row r="370" spans="1:113" hidden="1" outlineLevel="2">
      <c r="C370" s="55"/>
      <c r="D370" s="55"/>
      <c r="E370" s="55"/>
      <c r="F370" s="55"/>
      <c r="G370" s="55"/>
      <c r="H370" s="55"/>
      <c r="I370" s="55"/>
      <c r="J370" s="55"/>
      <c r="K370" s="55"/>
      <c r="L370" s="55"/>
      <c r="M370" s="55"/>
      <c r="N370" s="55"/>
      <c r="O370" s="55"/>
      <c r="P370" s="55"/>
      <c r="Q370" s="55"/>
      <c r="R370" s="55"/>
      <c r="S370" s="55"/>
      <c r="T370" s="55"/>
      <c r="U370" s="55"/>
      <c r="V370" s="55"/>
      <c r="W370" s="55"/>
      <c r="X370" s="55"/>
      <c r="Y370" s="55"/>
      <c r="Z370" s="55"/>
      <c r="AA370" s="55"/>
      <c r="AB370" s="55"/>
      <c r="AC370" s="55"/>
      <c r="AD370" s="55"/>
      <c r="AE370" s="55"/>
      <c r="AF370" s="55"/>
      <c r="AG370" s="55"/>
      <c r="AH370" s="55"/>
      <c r="AI370" s="55"/>
      <c r="AJ370" s="55"/>
      <c r="AK370" s="55"/>
      <c r="AL370" s="55"/>
      <c r="AM370" s="55"/>
      <c r="AN370" s="55"/>
      <c r="AO370" s="55"/>
      <c r="AP370" s="55"/>
      <c r="AQ370" s="55"/>
      <c r="AR370" s="55"/>
      <c r="AS370" s="55"/>
      <c r="AT370" s="55"/>
      <c r="AU370" s="55"/>
      <c r="AV370" s="55"/>
      <c r="AW370" s="55"/>
      <c r="AX370" s="82"/>
      <c r="AY370" s="55"/>
      <c r="AZ370" s="83"/>
      <c r="BA370" s="55"/>
      <c r="BB370" s="55"/>
      <c r="BC370" s="55"/>
      <c r="BD370" s="55"/>
      <c r="BE370" s="55"/>
      <c r="BF370" s="55"/>
      <c r="BG370" s="55"/>
      <c r="BH370" s="55"/>
      <c r="BI370" s="55"/>
      <c r="BJ370" s="55"/>
      <c r="BK370" s="55"/>
      <c r="BL370" s="55"/>
      <c r="BM370" s="55"/>
      <c r="BN370" s="55"/>
      <c r="BO370" s="55"/>
      <c r="BP370" s="55"/>
      <c r="BQ370" s="55"/>
      <c r="BR370" s="55"/>
      <c r="BS370" s="55"/>
      <c r="BT370" s="55"/>
      <c r="BU370" s="55"/>
      <c r="BV370" s="55"/>
      <c r="BW370" s="55"/>
      <c r="BX370" s="55"/>
      <c r="BY370" s="55"/>
      <c r="BZ370" s="55"/>
      <c r="CA370" s="55"/>
      <c r="CB370" s="55"/>
      <c r="CC370" s="55"/>
      <c r="CD370" s="55"/>
      <c r="CE370" s="55"/>
      <c r="CF370" s="55"/>
      <c r="CG370" s="55"/>
      <c r="CH370" s="55"/>
      <c r="CI370" s="55"/>
      <c r="CJ370" s="55"/>
      <c r="CK370" s="55"/>
      <c r="CL370" s="55"/>
      <c r="CM370" s="55"/>
      <c r="CN370" s="55"/>
      <c r="CO370" s="55"/>
      <c r="CP370" s="55"/>
      <c r="CQ370" s="55"/>
      <c r="CR370" s="55"/>
      <c r="CS370" s="55"/>
      <c r="CT370" s="55"/>
      <c r="CU370" s="55"/>
      <c r="CV370" s="55"/>
      <c r="CW370" s="55"/>
      <c r="CX370" s="55"/>
      <c r="CY370" s="55"/>
      <c r="CZ370" s="56"/>
      <c r="DA370" s="55"/>
      <c r="DB370" s="55"/>
    </row>
    <row r="371" spans="1:113" s="24" customFormat="1" hidden="1" outlineLevel="2">
      <c r="A371" s="19"/>
      <c r="B371" s="24" t="s">
        <v>496</v>
      </c>
      <c r="C371" s="82"/>
      <c r="D371" s="82"/>
      <c r="E371" s="82"/>
      <c r="F371" s="82"/>
      <c r="G371" s="82"/>
      <c r="H371" s="82"/>
      <c r="I371" s="82"/>
      <c r="J371" s="82"/>
      <c r="K371" s="82"/>
      <c r="L371" s="82"/>
      <c r="M371" s="82"/>
      <c r="N371" s="82"/>
      <c r="O371" s="82"/>
      <c r="P371" s="82"/>
      <c r="Q371" s="82"/>
      <c r="R371" s="82"/>
      <c r="S371" s="82"/>
      <c r="T371" s="82"/>
      <c r="U371" s="82"/>
      <c r="V371" s="82"/>
      <c r="W371" s="82"/>
      <c r="X371" s="82"/>
      <c r="Y371" s="82"/>
      <c r="Z371" s="82"/>
      <c r="AA371" s="82"/>
      <c r="AB371" s="82"/>
      <c r="AC371" s="82"/>
      <c r="AD371" s="82"/>
      <c r="AE371" s="82"/>
      <c r="AF371" s="82"/>
      <c r="AG371" s="82"/>
      <c r="AH371" s="82"/>
      <c r="AI371" s="82"/>
      <c r="AJ371" s="82"/>
      <c r="AK371" s="82"/>
      <c r="AL371" s="82"/>
      <c r="AM371" s="82"/>
      <c r="AN371" s="82"/>
      <c r="AO371" s="82"/>
      <c r="AP371" s="82"/>
      <c r="AQ371" s="82"/>
      <c r="AR371" s="82"/>
      <c r="AS371" s="82"/>
      <c r="AT371" s="82"/>
      <c r="AU371" s="82"/>
      <c r="AV371" s="82"/>
      <c r="AW371" s="82"/>
      <c r="AX371" s="82"/>
      <c r="AY371" s="82"/>
      <c r="AZ371" s="83"/>
      <c r="BA371" s="82"/>
      <c r="BB371" s="82"/>
      <c r="BC371" s="82"/>
      <c r="BD371" s="82"/>
      <c r="BE371" s="82"/>
      <c r="BF371" s="82"/>
      <c r="BG371" s="82"/>
      <c r="BH371" s="82"/>
      <c r="BI371" s="82"/>
      <c r="BJ371" s="82"/>
      <c r="BK371" s="82"/>
      <c r="BL371" s="82"/>
      <c r="BM371" s="82"/>
      <c r="BN371" s="82"/>
      <c r="BO371" s="82"/>
      <c r="BP371" s="82"/>
      <c r="BQ371" s="82"/>
      <c r="BR371" s="82"/>
      <c r="BS371" s="82"/>
      <c r="BT371" s="82"/>
      <c r="BU371" s="82"/>
      <c r="BV371" s="82"/>
      <c r="BW371" s="82"/>
      <c r="BX371" s="82"/>
      <c r="BY371" s="82"/>
      <c r="BZ371" s="82"/>
      <c r="CA371" s="82"/>
      <c r="CB371" s="82"/>
      <c r="CC371" s="82"/>
      <c r="CD371" s="82"/>
      <c r="CE371" s="82"/>
      <c r="CF371" s="82"/>
      <c r="CG371" s="82"/>
      <c r="CH371" s="82"/>
      <c r="CI371" s="82"/>
      <c r="CJ371" s="82"/>
      <c r="CK371" s="82"/>
      <c r="CL371" s="82"/>
      <c r="CM371" s="82"/>
      <c r="CN371" s="82"/>
      <c r="CO371" s="82"/>
      <c r="CP371" s="82"/>
      <c r="CQ371" s="82"/>
      <c r="CR371" s="82"/>
      <c r="CS371" s="82"/>
      <c r="CT371" s="82"/>
      <c r="CU371" s="82"/>
      <c r="CV371" s="82"/>
      <c r="CW371" s="82"/>
      <c r="CX371" s="82"/>
      <c r="CY371" s="82"/>
      <c r="CZ371" s="83"/>
      <c r="DA371" s="82"/>
      <c r="DB371" s="82"/>
    </row>
    <row r="372" spans="1:113" hidden="1" outlineLevel="2">
      <c r="A372" s="1" t="s">
        <v>313</v>
      </c>
      <c r="B372" s="19" t="str">
        <f>B$184</f>
        <v>Core deposits</v>
      </c>
      <c r="C372" s="55">
        <f t="shared" ref="C372:L374" si="2227">IF(ROUND(C257*C314/C$5,5)=ROUND(C357+C362+C367,5),C257*C314/C$5,"Error")</f>
        <v>1251.3539843281137</v>
      </c>
      <c r="D372" s="55">
        <f t="shared" si="2227"/>
        <v>1212.030158512242</v>
      </c>
      <c r="E372" s="55">
        <f t="shared" si="2227"/>
        <v>1311.1386112102514</v>
      </c>
      <c r="F372" s="55">
        <f t="shared" si="2227"/>
        <v>1458.4740331253622</v>
      </c>
      <c r="G372" s="55">
        <f t="shared" si="2227"/>
        <v>1441.4624844464015</v>
      </c>
      <c r="H372" s="55">
        <f t="shared" si="2227"/>
        <v>1607.4148676654168</v>
      </c>
      <c r="I372" s="55">
        <f t="shared" si="2227"/>
        <v>1874.9241725636869</v>
      </c>
      <c r="J372" s="55">
        <f t="shared" si="2227"/>
        <v>1782.8485660142362</v>
      </c>
      <c r="K372" s="55">
        <f t="shared" si="2227"/>
        <v>1954.445856667109</v>
      </c>
      <c r="L372" s="55">
        <f t="shared" si="2227"/>
        <v>1896.6228273482782</v>
      </c>
      <c r="M372" s="55">
        <f t="shared" ref="M372:X374" si="2228">IF(ROUND(M257*M314/M$5,5)=ROUND(M357+M362+M367,5),M257*M314/M$5,"Error")</f>
        <v>2259.5014663090419</v>
      </c>
      <c r="N372" s="55">
        <f t="shared" si="2228"/>
        <v>2279.2036855858573</v>
      </c>
      <c r="O372" s="55">
        <f t="shared" si="2228"/>
        <v>2840.203717229288</v>
      </c>
      <c r="P372" s="55">
        <f t="shared" si="2228"/>
        <v>3863.053126246818</v>
      </c>
      <c r="Q372" s="55">
        <f t="shared" si="2228"/>
        <v>3927.2117206258035</v>
      </c>
      <c r="R372" s="55">
        <f t="shared" si="2228"/>
        <v>4052.5570679375351</v>
      </c>
      <c r="S372" s="55">
        <f t="shared" si="2228"/>
        <v>1750.9192162093939</v>
      </c>
      <c r="T372" s="55">
        <f t="shared" si="2228"/>
        <v>2175.6722215705649</v>
      </c>
      <c r="U372" s="55">
        <f t="shared" si="2228"/>
        <v>2947.5601150683219</v>
      </c>
      <c r="V372" s="55">
        <f t="shared" si="2228"/>
        <v>3106.5657975687659</v>
      </c>
      <c r="W372" s="55">
        <f t="shared" si="2228"/>
        <v>3211.9074337154429</v>
      </c>
      <c r="X372" s="55">
        <f t="shared" si="2228"/>
        <v>3315.6400174498772</v>
      </c>
      <c r="Y372" s="55">
        <f t="shared" ref="Y372:AK372" si="2229">IF(ROUND(Y257*Y314/Y$5,5)=ROUND(Y357+Y362+Y367,5),Y257*Y314/Y$5,"Error")</f>
        <v>2676.5761068071915</v>
      </c>
      <c r="Z372" s="55">
        <f t="shared" si="2229"/>
        <v>2423.4612570242866</v>
      </c>
      <c r="AA372" s="55">
        <f t="shared" si="2229"/>
        <v>2045.3127340927831</v>
      </c>
      <c r="AB372" s="55">
        <f t="shared" si="2229"/>
        <v>2070.1548800564592</v>
      </c>
      <c r="AC372" s="55">
        <f t="shared" si="2229"/>
        <v>2293.7369925825551</v>
      </c>
      <c r="AD372" s="55">
        <f t="shared" si="2229"/>
        <v>2579.4593895709249</v>
      </c>
      <c r="AE372" s="55">
        <f t="shared" si="2229"/>
        <v>2200.5103936839519</v>
      </c>
      <c r="AF372" s="55">
        <f t="shared" si="2229"/>
        <v>2335.7514141172555</v>
      </c>
      <c r="AG372" s="55">
        <f t="shared" si="2229"/>
        <v>2425.3112873310365</v>
      </c>
      <c r="AH372" s="55">
        <f t="shared" si="2229"/>
        <v>1208.2219772630456</v>
      </c>
      <c r="AI372" s="55">
        <f t="shared" si="2229"/>
        <v>1170.1274159041975</v>
      </c>
      <c r="AJ372" s="55">
        <f t="shared" si="2229"/>
        <v>1415.8915495571921</v>
      </c>
      <c r="AK372" s="55">
        <f t="shared" si="2229"/>
        <v>1418.644260651007</v>
      </c>
      <c r="AL372" s="55">
        <f t="shared" ref="AL372:AM374" si="2230">IF(ROUND(AL257*AL314/AL$5,5)=ROUND(AL357+AL362+AL367,5),AL257*AL314/AL$5,"Error")</f>
        <v>1583.8891183122046</v>
      </c>
      <c r="AM372" s="55">
        <f t="shared" si="2230"/>
        <v>1579.7689551934773</v>
      </c>
      <c r="AN372" s="55">
        <f t="shared" ref="AN372:AO374" si="2231">IF(ROUND(AN257*AN314/AN$5,5)=ROUND(AN357+AN362+AN367,5),AN257*AN314/AN$5,"Error")</f>
        <v>0</v>
      </c>
      <c r="AO372" s="55">
        <f t="shared" si="2231"/>
        <v>0</v>
      </c>
      <c r="AP372" s="55">
        <f t="shared" ref="AP372:AQ372" si="2232">IF(ROUND(AP257*AP314/AP$5,5)=ROUND(AP357+AP362+AP367,5),AP257*AP314/AP$5,"Error")</f>
        <v>0</v>
      </c>
      <c r="AQ372" s="55">
        <f t="shared" si="2232"/>
        <v>0</v>
      </c>
      <c r="AR372" s="55"/>
      <c r="AS372" s="55"/>
      <c r="AT372" s="55"/>
      <c r="AU372" s="55"/>
      <c r="AV372" s="55"/>
      <c r="AW372" s="55"/>
      <c r="AX372" s="55"/>
      <c r="AY372" s="55"/>
      <c r="AZ372" s="56"/>
      <c r="BA372" s="55"/>
      <c r="BB372" s="55"/>
      <c r="BC372" s="55"/>
      <c r="BD372" s="55"/>
      <c r="BE372" s="55"/>
      <c r="BF372" s="55"/>
      <c r="BG372" s="55"/>
      <c r="BH372" s="55"/>
      <c r="BI372" s="55"/>
      <c r="BJ372" s="55"/>
      <c r="BK372" s="55"/>
      <c r="BL372" s="55"/>
      <c r="BM372" s="55"/>
      <c r="BN372" s="55"/>
      <c r="BO372" s="55"/>
      <c r="BP372" s="55"/>
      <c r="BQ372" s="55"/>
      <c r="BR372" s="55"/>
      <c r="BS372" s="55"/>
      <c r="BT372" s="55"/>
      <c r="BU372" s="55"/>
      <c r="BV372" s="55"/>
      <c r="BW372" s="55"/>
      <c r="BX372" s="55"/>
      <c r="BY372" s="55"/>
      <c r="BZ372" s="55"/>
      <c r="CA372" s="55"/>
      <c r="CB372" s="55"/>
      <c r="CC372" s="55">
        <f t="shared" ref="CC372:CC377" si="2233">SUM(D372:E372)</f>
        <v>2523.1687697224934</v>
      </c>
      <c r="CD372" s="55">
        <f t="shared" ref="CD372:CD377" si="2234">SUM(F372:G372)</f>
        <v>2899.9365175717639</v>
      </c>
      <c r="CE372" s="55">
        <f t="shared" ref="CE372:CE377" si="2235">SUM(H372:I372)</f>
        <v>3482.3390402291034</v>
      </c>
      <c r="CF372" s="55">
        <f t="shared" ref="CF372:CF377" si="2236">SUM(J372:K372)</f>
        <v>3737.2944226813452</v>
      </c>
      <c r="CG372" s="55">
        <f t="shared" ref="CG372:CG377" si="2237">SUM(L372:M372)</f>
        <v>4156.1242936573199</v>
      </c>
      <c r="CH372" s="55">
        <f t="shared" ref="CH372:CH377" si="2238">SUM(N372:O372)</f>
        <v>5119.4074028151454</v>
      </c>
      <c r="CI372" s="55">
        <f t="shared" ref="CI372:CI377" si="2239">SUM(P372:Q372)</f>
        <v>7790.264846872622</v>
      </c>
      <c r="CJ372" s="55">
        <f t="shared" ref="CJ372:CJ377" si="2240">SUM(R372:S372)</f>
        <v>5803.4762841469292</v>
      </c>
      <c r="CK372" s="55">
        <f t="shared" ref="CK372:CK377" si="2241">SUM(T372:U372)</f>
        <v>5123.2323366388864</v>
      </c>
      <c r="CL372" s="55">
        <f t="shared" ref="CL372:CL377" si="2242">SUM(V372:W372)</f>
        <v>6318.4732312842089</v>
      </c>
      <c r="CM372" s="55">
        <f t="shared" ref="CM372:CM377" si="2243">SUM(X372:Y372)</f>
        <v>5992.2161242570692</v>
      </c>
      <c r="CN372" s="55">
        <f t="shared" ref="CN372:CN377" si="2244">SUM(Z372:AA372)</f>
        <v>4468.7739911170702</v>
      </c>
      <c r="CO372" s="55">
        <f t="shared" ref="CO372:CO377" si="2245">SUM(AB372:AC372)</f>
        <v>4363.8918726390148</v>
      </c>
      <c r="CP372" s="55">
        <f t="shared" ref="CP372:CP377" si="2246">SUM(AD372:AE372)</f>
        <v>4779.9697832548773</v>
      </c>
      <c r="CQ372" s="55">
        <f t="shared" ref="CQ372:CQ377" si="2247">SUM(AF372:AG372)</f>
        <v>4761.0627014482925</v>
      </c>
      <c r="CR372" s="55">
        <f t="shared" ref="CR372:CR377" si="2248">SUM(AH372:AI372)</f>
        <v>2378.3493931672429</v>
      </c>
      <c r="CS372" s="55">
        <f t="shared" ref="CS372:CS377" si="2249">SUM(AJ372:AK372)</f>
        <v>2834.5358102081991</v>
      </c>
      <c r="CT372" s="55">
        <f t="shared" ref="CT372:CT377" si="2250">SUM(AL372:AM372)</f>
        <v>3163.6580735056818</v>
      </c>
      <c r="CU372" s="55">
        <f t="shared" ref="CU372:CU377" si="2251">SUM(AN372:AO372)</f>
        <v>0</v>
      </c>
      <c r="CV372" s="55">
        <f t="shared" ref="CV372:CV377" si="2252">SUM(AP372:AQ372)</f>
        <v>0</v>
      </c>
      <c r="CW372" s="55"/>
      <c r="CX372" s="55"/>
      <c r="CY372" s="55"/>
      <c r="CZ372" s="56"/>
      <c r="DA372" s="55"/>
      <c r="DB372" s="55"/>
      <c r="DC372" s="55"/>
      <c r="DD372" s="55"/>
      <c r="DE372" s="55"/>
      <c r="DF372" s="55"/>
      <c r="DG372" s="55"/>
      <c r="DH372" s="55"/>
      <c r="DI372" s="55"/>
    </row>
    <row r="373" spans="1:113" hidden="1" outlineLevel="2">
      <c r="A373" s="1" t="s">
        <v>314</v>
      </c>
      <c r="B373" s="19" t="str">
        <f>B$185</f>
        <v>Time deposits (includes CDs)</v>
      </c>
      <c r="C373" s="55">
        <f t="shared" si="2227"/>
        <v>-688.22262014181263</v>
      </c>
      <c r="D373" s="55">
        <f t="shared" si="2227"/>
        <v>-597.48473367936492</v>
      </c>
      <c r="E373" s="55">
        <f t="shared" si="2227"/>
        <v>-374.05139115865262</v>
      </c>
      <c r="F373" s="55">
        <f t="shared" si="2227"/>
        <v>-440.71946024134354</v>
      </c>
      <c r="G373" s="55">
        <f t="shared" si="2227"/>
        <v>-514.37544558795435</v>
      </c>
      <c r="H373" s="55">
        <f t="shared" si="2227"/>
        <v>-450.29609922461447</v>
      </c>
      <c r="I373" s="55">
        <f t="shared" si="2227"/>
        <v>-655.66168800084563</v>
      </c>
      <c r="J373" s="55">
        <f t="shared" si="2227"/>
        <v>-696.75670117405389</v>
      </c>
      <c r="K373" s="55">
        <f t="shared" si="2227"/>
        <v>-808.70821450683457</v>
      </c>
      <c r="L373" s="55">
        <f t="shared" si="2227"/>
        <v>-773.44817893898221</v>
      </c>
      <c r="M373" s="55">
        <f t="shared" si="2228"/>
        <v>-594.83089725677621</v>
      </c>
      <c r="N373" s="55">
        <f t="shared" si="2228"/>
        <v>-848.42682499650277</v>
      </c>
      <c r="O373" s="55">
        <f t="shared" si="2228"/>
        <v>-720.15778287375576</v>
      </c>
      <c r="P373" s="55">
        <f t="shared" si="2228"/>
        <v>-274.59365280750814</v>
      </c>
      <c r="Q373" s="55">
        <f t="shared" si="2228"/>
        <v>-820.59860668318152</v>
      </c>
      <c r="R373" s="55">
        <f t="shared" si="2228"/>
        <v>-2570.2975179599507</v>
      </c>
      <c r="S373" s="55">
        <f t="shared" si="2228"/>
        <v>-2511.7767229020783</v>
      </c>
      <c r="T373" s="55">
        <f t="shared" si="2228"/>
        <v>-1762.6341120811539</v>
      </c>
      <c r="U373" s="55">
        <f t="shared" si="2228"/>
        <v>-2119.0136783857229</v>
      </c>
      <c r="V373" s="55">
        <f t="shared" si="2228"/>
        <v>-1905.3406183949041</v>
      </c>
      <c r="W373" s="55">
        <f t="shared" si="2228"/>
        <v>-1984.1500175531849</v>
      </c>
      <c r="X373" s="55">
        <f t="shared" si="2228"/>
        <v>-2278.1151271733147</v>
      </c>
      <c r="Y373" s="55">
        <f t="shared" ref="Y373:AK373" si="2253">IF(ROUND(Y258*Y315/Y$5,5)=ROUND(Y358+Y363+Y368,5),Y258*Y315/Y$5,"Error")</f>
        <v>-2480.2407103317896</v>
      </c>
      <c r="Z373" s="55">
        <f t="shared" si="2253"/>
        <v>-2697.4927334731037</v>
      </c>
      <c r="AA373" s="55">
        <f t="shared" si="2253"/>
        <v>-2562.7421235928227</v>
      </c>
      <c r="AB373" s="55">
        <f t="shared" si="2253"/>
        <v>-2606.6298311066948</v>
      </c>
      <c r="AC373" s="55">
        <f t="shared" si="2253"/>
        <v>-2255.0450802766186</v>
      </c>
      <c r="AD373" s="55">
        <f t="shared" si="2253"/>
        <v>-2304.4123651801428</v>
      </c>
      <c r="AE373" s="55">
        <f t="shared" si="2253"/>
        <v>-2325.1915109948632</v>
      </c>
      <c r="AF373" s="55">
        <f t="shared" si="2253"/>
        <v>-2490.6704868114202</v>
      </c>
      <c r="AG373" s="55">
        <f t="shared" si="2253"/>
        <v>-2204.7931460741979</v>
      </c>
      <c r="AH373" s="55">
        <f t="shared" si="2253"/>
        <v>-1443.8641752554915</v>
      </c>
      <c r="AI373" s="55">
        <f t="shared" si="2253"/>
        <v>-1162.562882903756</v>
      </c>
      <c r="AJ373" s="55">
        <f t="shared" si="2253"/>
        <v>-1332.4689451441216</v>
      </c>
      <c r="AK373" s="55">
        <f t="shared" si="2253"/>
        <v>-719.98304289413352</v>
      </c>
      <c r="AL373" s="55">
        <f t="shared" si="2230"/>
        <v>-733.90627537170349</v>
      </c>
      <c r="AM373" s="55">
        <f t="shared" si="2230"/>
        <v>-1423.2171129162502</v>
      </c>
      <c r="AN373" s="55">
        <f t="shared" si="2231"/>
        <v>-1225.3067734724307</v>
      </c>
      <c r="AO373" s="55">
        <f t="shared" si="2231"/>
        <v>1225.3067734724305</v>
      </c>
      <c r="AP373" s="55">
        <f t="shared" ref="AP373" si="2254">IF(ROUND(AP258*AP315/AP$5,5)=ROUND(AP358+AP363+AP368,5),AP258*AP315/AP$5,"Error")</f>
        <v>-2042.1630324823582</v>
      </c>
      <c r="AQ373" s="55">
        <f t="shared" ref="AQ373" si="2255">IF(ROUND(AQ258*AQ315/AQ$5,5)=ROUND(AQ358+AQ363+AQ368,5),AQ258*AQ315/AQ$5,"Error")</f>
        <v>2042.1630324823582</v>
      </c>
      <c r="AR373" s="55"/>
      <c r="AS373" s="55"/>
      <c r="AT373" s="55"/>
      <c r="AU373" s="55"/>
      <c r="AV373" s="55"/>
      <c r="AW373" s="55"/>
      <c r="AX373" s="55"/>
      <c r="AY373" s="55"/>
      <c r="AZ373" s="56"/>
      <c r="BA373" s="55"/>
      <c r="BB373" s="55"/>
      <c r="BC373" s="55"/>
      <c r="BD373" s="55"/>
      <c r="BE373" s="55"/>
      <c r="BF373" s="55"/>
      <c r="BG373" s="55"/>
      <c r="BH373" s="55"/>
      <c r="BI373" s="55"/>
      <c r="BJ373" s="55"/>
      <c r="BK373" s="55"/>
      <c r="BL373" s="55"/>
      <c r="BM373" s="55"/>
      <c r="BN373" s="55"/>
      <c r="BO373" s="55"/>
      <c r="BP373" s="55"/>
      <c r="BQ373" s="55"/>
      <c r="BR373" s="55"/>
      <c r="BS373" s="55"/>
      <c r="BT373" s="55"/>
      <c r="BU373" s="55"/>
      <c r="BV373" s="55"/>
      <c r="BW373" s="55"/>
      <c r="BX373" s="55"/>
      <c r="BY373" s="55"/>
      <c r="BZ373" s="55"/>
      <c r="CA373" s="55"/>
      <c r="CB373" s="55"/>
      <c r="CC373" s="55">
        <f t="shared" si="2233"/>
        <v>-971.53612483801749</v>
      </c>
      <c r="CD373" s="55">
        <f t="shared" si="2234"/>
        <v>-955.09490582929789</v>
      </c>
      <c r="CE373" s="55">
        <f t="shared" si="2235"/>
        <v>-1105.9577872254602</v>
      </c>
      <c r="CF373" s="55">
        <f t="shared" si="2236"/>
        <v>-1505.4649156808885</v>
      </c>
      <c r="CG373" s="55">
        <f t="shared" si="2237"/>
        <v>-1368.2790761957585</v>
      </c>
      <c r="CH373" s="55">
        <f t="shared" si="2238"/>
        <v>-1568.5846078702584</v>
      </c>
      <c r="CI373" s="55">
        <f t="shared" si="2239"/>
        <v>-1095.1922594906896</v>
      </c>
      <c r="CJ373" s="55">
        <f t="shared" si="2240"/>
        <v>-5082.074240862029</v>
      </c>
      <c r="CK373" s="55">
        <f t="shared" si="2241"/>
        <v>-3881.6477904668768</v>
      </c>
      <c r="CL373" s="55">
        <f t="shared" si="2242"/>
        <v>-3889.4906359480892</v>
      </c>
      <c r="CM373" s="55">
        <f t="shared" si="2243"/>
        <v>-4758.3558375051043</v>
      </c>
      <c r="CN373" s="55">
        <f t="shared" si="2244"/>
        <v>-5260.2348570659269</v>
      </c>
      <c r="CO373" s="55">
        <f t="shared" si="2245"/>
        <v>-4861.6749113833139</v>
      </c>
      <c r="CP373" s="55">
        <f t="shared" si="2246"/>
        <v>-4629.603876175006</v>
      </c>
      <c r="CQ373" s="55">
        <f t="shared" si="2247"/>
        <v>-4695.4636328856177</v>
      </c>
      <c r="CR373" s="55">
        <f t="shared" si="2248"/>
        <v>-2606.4270581592473</v>
      </c>
      <c r="CS373" s="55">
        <f t="shared" si="2249"/>
        <v>-2052.451988038255</v>
      </c>
      <c r="CT373" s="55">
        <f t="shared" si="2250"/>
        <v>-2157.1233882879537</v>
      </c>
      <c r="CU373" s="55">
        <f t="shared" si="2251"/>
        <v>0</v>
      </c>
      <c r="CV373" s="55">
        <f>SUM(AP373:AQ373)</f>
        <v>0</v>
      </c>
      <c r="CW373" s="55"/>
      <c r="CX373" s="55"/>
      <c r="CY373" s="55"/>
      <c r="CZ373" s="56"/>
      <c r="DA373" s="55"/>
      <c r="DB373" s="55"/>
      <c r="DC373" s="55"/>
      <c r="DD373" s="55"/>
      <c r="DE373" s="55"/>
      <c r="DF373" s="55"/>
      <c r="DG373" s="55"/>
      <c r="DH373" s="55"/>
      <c r="DI373" s="55"/>
    </row>
    <row r="374" spans="1:113" s="24" customFormat="1" hidden="1" outlineLevel="2">
      <c r="A374" s="1" t="s">
        <v>315</v>
      </c>
      <c r="B374" s="24" t="s">
        <v>168</v>
      </c>
      <c r="C374" s="82">
        <f t="shared" si="2227"/>
        <v>563.13136418630086</v>
      </c>
      <c r="D374" s="82">
        <f t="shared" si="2227"/>
        <v>614.54542483287696</v>
      </c>
      <c r="E374" s="82">
        <f t="shared" si="2227"/>
        <v>937.08722005159882</v>
      </c>
      <c r="F374" s="82">
        <f t="shared" si="2227"/>
        <v>1017.7545728840186</v>
      </c>
      <c r="G374" s="82">
        <f t="shared" si="2227"/>
        <v>927.08703885844716</v>
      </c>
      <c r="H374" s="82">
        <f t="shared" si="2227"/>
        <v>1157.1187684408023</v>
      </c>
      <c r="I374" s="82">
        <f t="shared" si="2227"/>
        <v>1219.2624845628416</v>
      </c>
      <c r="J374" s="82">
        <f t="shared" si="2227"/>
        <v>1086.0918648401826</v>
      </c>
      <c r="K374" s="82">
        <f t="shared" si="2227"/>
        <v>1145.7376421602744</v>
      </c>
      <c r="L374" s="82">
        <f t="shared" si="2227"/>
        <v>1123.1746484092962</v>
      </c>
      <c r="M374" s="82">
        <f t="shared" si="2228"/>
        <v>1664.6705690522658</v>
      </c>
      <c r="N374" s="82">
        <f t="shared" si="2228"/>
        <v>1430.7768605893546</v>
      </c>
      <c r="O374" s="82">
        <f t="shared" si="2228"/>
        <v>2120.0459343555326</v>
      </c>
      <c r="P374" s="82">
        <f t="shared" si="2228"/>
        <v>3588.4594734393099</v>
      </c>
      <c r="Q374" s="82">
        <f t="shared" si="2228"/>
        <v>3106.613113942622</v>
      </c>
      <c r="R374" s="82">
        <f t="shared" si="2228"/>
        <v>1482.2595499775839</v>
      </c>
      <c r="S374" s="82">
        <f t="shared" si="2228"/>
        <v>-760.85750669268475</v>
      </c>
      <c r="T374" s="82">
        <f t="shared" si="2228"/>
        <v>413.03810948941134</v>
      </c>
      <c r="U374" s="82">
        <f t="shared" si="2228"/>
        <v>828.54643668259848</v>
      </c>
      <c r="V374" s="82">
        <f t="shared" si="2228"/>
        <v>1201.2251791738609</v>
      </c>
      <c r="W374" s="82">
        <f t="shared" si="2228"/>
        <v>1227.7574161622581</v>
      </c>
      <c r="X374" s="82">
        <f t="shared" si="2228"/>
        <v>1037.5248902765625</v>
      </c>
      <c r="Y374" s="82">
        <f t="shared" ref="Y374:AK374" si="2256">IF(ROUND(Y259*Y316/Y$5,5)=ROUND(Y359+Y364+Y369,5),Y259*Y316/Y$5,"Error")</f>
        <v>196.3353964754026</v>
      </c>
      <c r="Z374" s="82">
        <f t="shared" si="2256"/>
        <v>-274.03147644881625</v>
      </c>
      <c r="AA374" s="82">
        <f t="shared" si="2256"/>
        <v>-517.42938950003997</v>
      </c>
      <c r="AB374" s="82">
        <f t="shared" si="2256"/>
        <v>-536.47495105023563</v>
      </c>
      <c r="AC374" s="82">
        <f t="shared" si="2256"/>
        <v>38.691912305936441</v>
      </c>
      <c r="AD374" s="82">
        <f t="shared" si="2256"/>
        <v>275.04702439078244</v>
      </c>
      <c r="AE374" s="82">
        <f t="shared" si="2256"/>
        <v>-124.68111731091126</v>
      </c>
      <c r="AF374" s="82">
        <f t="shared" si="2256"/>
        <v>-154.9190726941647</v>
      </c>
      <c r="AG374" s="82">
        <f>IF(ROUND(AG259*AG316/AG$5,5)=ROUND(AG359+AG364+AG369,5),AG259*AG316/AG$5,"Error")</f>
        <v>220.5181412568389</v>
      </c>
      <c r="AH374" s="82">
        <f t="shared" si="2256"/>
        <v>-235.64219799244603</v>
      </c>
      <c r="AI374" s="82">
        <f t="shared" si="2256"/>
        <v>7.5645330004413562</v>
      </c>
      <c r="AJ374" s="82">
        <f t="shared" si="2256"/>
        <v>83.422604413070289</v>
      </c>
      <c r="AK374" s="82">
        <f t="shared" si="2256"/>
        <v>698.66121775687361</v>
      </c>
      <c r="AL374" s="82">
        <f t="shared" si="2230"/>
        <v>849.98284294050097</v>
      </c>
      <c r="AM374" s="82">
        <f t="shared" si="2230"/>
        <v>156.55184227722663</v>
      </c>
      <c r="AN374" s="82">
        <f t="shared" si="2231"/>
        <v>-1225.3067734724305</v>
      </c>
      <c r="AO374" s="82">
        <f t="shared" si="2231"/>
        <v>1225.3067734724305</v>
      </c>
      <c r="AP374" s="82">
        <f t="shared" ref="AP374:AQ374" si="2257">IF(ROUND(AP259*AP316/AP$5,5)=ROUND(AP359+AP364+AP369,5),AP259*AP316/AP$5,"Error")</f>
        <v>-2042.1630324823582</v>
      </c>
      <c r="AQ374" s="82">
        <f t="shared" si="2257"/>
        <v>2042.1630324823582</v>
      </c>
      <c r="AR374" s="82"/>
      <c r="AS374" s="82"/>
      <c r="AT374" s="82"/>
      <c r="AU374" s="82"/>
      <c r="AV374" s="82"/>
      <c r="AW374" s="82"/>
      <c r="AX374" s="82"/>
      <c r="AY374" s="82"/>
      <c r="AZ374" s="83"/>
      <c r="BA374" s="82"/>
      <c r="BB374" s="82"/>
      <c r="BC374" s="82"/>
      <c r="BD374" s="82"/>
      <c r="BE374" s="82"/>
      <c r="BF374" s="82"/>
      <c r="BG374" s="82"/>
      <c r="BH374" s="82"/>
      <c r="BI374" s="82"/>
      <c r="BJ374" s="82"/>
      <c r="BK374" s="82"/>
      <c r="BL374" s="82"/>
      <c r="BM374" s="82"/>
      <c r="BN374" s="82"/>
      <c r="BO374" s="82"/>
      <c r="BP374" s="82"/>
      <c r="BQ374" s="82"/>
      <c r="BR374" s="82"/>
      <c r="BS374" s="82">
        <f t="shared" ref="BS374:CB374" si="2258">IF(ROUND(BS259*BS316/BS$5,5)=ROUND(BS359+BS364+BS369,5),BS259*BS316/BS$5,"Error")</f>
        <v>595.76034750000076</v>
      </c>
      <c r="BT374" s="82">
        <f t="shared" si="2258"/>
        <v>466.3241050000006</v>
      </c>
      <c r="BU374" s="82">
        <f t="shared" si="2258"/>
        <v>531.92522666666684</v>
      </c>
      <c r="BV374" s="82">
        <f t="shared" si="2258"/>
        <v>1739.3287975000005</v>
      </c>
      <c r="BW374" s="82">
        <f t="shared" si="2258"/>
        <v>1481.264985</v>
      </c>
      <c r="BX374" s="82">
        <f t="shared" si="2258"/>
        <v>946.72432183333365</v>
      </c>
      <c r="BY374" s="82">
        <f t="shared" si="2258"/>
        <v>642.26140025000041</v>
      </c>
      <c r="BZ374" s="82">
        <f t="shared" si="2258"/>
        <v>1077.0147062499993</v>
      </c>
      <c r="CA374" s="82">
        <f t="shared" si="2258"/>
        <v>1751.2734290076298</v>
      </c>
      <c r="CB374" s="82">
        <f t="shared" si="2258"/>
        <v>1605.8468430769199</v>
      </c>
      <c r="CC374" s="82">
        <f t="shared" si="2233"/>
        <v>1551.6326448844757</v>
      </c>
      <c r="CD374" s="82">
        <f t="shared" si="2234"/>
        <v>1944.8416117424658</v>
      </c>
      <c r="CE374" s="82">
        <f t="shared" si="2235"/>
        <v>2376.3812530036439</v>
      </c>
      <c r="CF374" s="82">
        <f t="shared" si="2236"/>
        <v>2231.8295070004569</v>
      </c>
      <c r="CG374" s="82">
        <f t="shared" si="2237"/>
        <v>2787.8452174615622</v>
      </c>
      <c r="CH374" s="82">
        <f t="shared" si="2238"/>
        <v>3550.8227949448874</v>
      </c>
      <c r="CI374" s="82">
        <f t="shared" si="2239"/>
        <v>6695.072587381932</v>
      </c>
      <c r="CJ374" s="82">
        <f t="shared" si="2240"/>
        <v>721.40204328489915</v>
      </c>
      <c r="CK374" s="82">
        <f t="shared" si="2241"/>
        <v>1241.5845461720098</v>
      </c>
      <c r="CL374" s="82">
        <f t="shared" si="2242"/>
        <v>2428.9825953361187</v>
      </c>
      <c r="CM374" s="82">
        <f t="shared" si="2243"/>
        <v>1233.8602867519651</v>
      </c>
      <c r="CN374" s="82">
        <f t="shared" si="2244"/>
        <v>-791.46086594885628</v>
      </c>
      <c r="CO374" s="82">
        <f t="shared" si="2245"/>
        <v>-497.78303874429918</v>
      </c>
      <c r="CP374" s="82">
        <f t="shared" si="2246"/>
        <v>150.36590707987119</v>
      </c>
      <c r="CQ374" s="82">
        <f t="shared" si="2247"/>
        <v>65.599068562674205</v>
      </c>
      <c r="CR374" s="82">
        <f t="shared" si="2248"/>
        <v>-228.07766499200469</v>
      </c>
      <c r="CS374" s="82">
        <f t="shared" si="2249"/>
        <v>782.08382216994391</v>
      </c>
      <c r="CT374" s="82">
        <f t="shared" si="2250"/>
        <v>1006.5346852177277</v>
      </c>
      <c r="CU374" s="82">
        <f t="shared" si="2251"/>
        <v>0</v>
      </c>
      <c r="CV374" s="82">
        <f t="shared" si="2252"/>
        <v>0</v>
      </c>
      <c r="CW374" s="82"/>
      <c r="CX374" s="82"/>
      <c r="CY374" s="82"/>
      <c r="CZ374" s="83"/>
      <c r="DA374" s="82"/>
      <c r="DB374" s="82"/>
      <c r="DC374" s="82"/>
      <c r="DD374" s="82"/>
      <c r="DE374" s="82"/>
      <c r="DF374" s="82"/>
      <c r="DG374" s="82"/>
      <c r="DH374" s="82"/>
      <c r="DI374" s="82"/>
    </row>
    <row r="375" spans="1:113" hidden="1" outlineLevel="2">
      <c r="A375" s="1" t="s">
        <v>316</v>
      </c>
      <c r="B375" s="19" t="s">
        <v>277</v>
      </c>
      <c r="C375" s="55">
        <f t="shared" ref="C375:L376" si="2259">C260*C317/C$5</f>
        <v>-166.97064742739704</v>
      </c>
      <c r="D375" s="55">
        <f t="shared" si="2259"/>
        <v>30.859852449315053</v>
      </c>
      <c r="E375" s="55">
        <f t="shared" si="2259"/>
        <v>158.47040600776236</v>
      </c>
      <c r="F375" s="55">
        <f t="shared" si="2259"/>
        <v>126.41896768219164</v>
      </c>
      <c r="G375" s="55">
        <f t="shared" si="2259"/>
        <v>117.72892155251104</v>
      </c>
      <c r="H375" s="55">
        <f t="shared" si="2259"/>
        <v>252.59797576684869</v>
      </c>
      <c r="I375" s="55">
        <f t="shared" si="2259"/>
        <v>361.61390874316794</v>
      </c>
      <c r="J375" s="55">
        <f t="shared" si="2259"/>
        <v>268.31807488584388</v>
      </c>
      <c r="K375" s="55">
        <f t="shared" si="2259"/>
        <v>258.72615702739756</v>
      </c>
      <c r="L375" s="55">
        <f t="shared" si="2259"/>
        <v>180.45633101535921</v>
      </c>
      <c r="M375" s="55">
        <f t="shared" ref="M375:X376" si="2260">M260*M317/M$5</f>
        <v>457.35110117133894</v>
      </c>
      <c r="N375" s="55">
        <f t="shared" si="2260"/>
        <v>138.85797000271845</v>
      </c>
      <c r="O375" s="55">
        <f t="shared" si="2260"/>
        <v>137.22353845605926</v>
      </c>
      <c r="P375" s="55">
        <f t="shared" si="2260"/>
        <v>819.2108224871663</v>
      </c>
      <c r="Q375" s="55">
        <f t="shared" si="2260"/>
        <v>621.99705570491778</v>
      </c>
      <c r="R375" s="55">
        <f t="shared" si="2260"/>
        <v>180.7704718306347</v>
      </c>
      <c r="S375" s="55">
        <f t="shared" si="2260"/>
        <v>-224.78982016459608</v>
      </c>
      <c r="T375" s="55">
        <f t="shared" si="2260"/>
        <v>66.500726356164364</v>
      </c>
      <c r="U375" s="55">
        <f t="shared" si="2260"/>
        <v>245.23362583413166</v>
      </c>
      <c r="V375" s="55">
        <f t="shared" si="2260"/>
        <v>290.38061537650077</v>
      </c>
      <c r="W375" s="55">
        <f t="shared" si="2260"/>
        <v>315.72887767017323</v>
      </c>
      <c r="X375" s="55">
        <f t="shared" si="2260"/>
        <v>302.33887268176665</v>
      </c>
      <c r="Y375" s="55">
        <f t="shared" ref="Y375:AK375" si="2261">Y260*Y317/Y$5</f>
        <v>-171.34106251366148</v>
      </c>
      <c r="Z375" s="55">
        <f t="shared" si="2261"/>
        <v>-233.43062111889625</v>
      </c>
      <c r="AA375" s="55">
        <f t="shared" si="2261"/>
        <v>-258.76633036655153</v>
      </c>
      <c r="AB375" s="55">
        <f t="shared" si="2261"/>
        <v>-146.37622933997778</v>
      </c>
      <c r="AC375" s="55">
        <f t="shared" si="2261"/>
        <v>-74.056376757991586</v>
      </c>
      <c r="AD375" s="55">
        <f t="shared" si="2261"/>
        <v>-56.584828575344261</v>
      </c>
      <c r="AE375" s="55">
        <f t="shared" si="2261"/>
        <v>-203.52619527425205</v>
      </c>
      <c r="AF375" s="55">
        <f t="shared" si="2261"/>
        <v>48.679744328526432</v>
      </c>
      <c r="AG375" s="55">
        <f t="shared" si="2261"/>
        <v>-425.5143453551882</v>
      </c>
      <c r="AH375" s="55">
        <f t="shared" si="2261"/>
        <v>-651.79065937534222</v>
      </c>
      <c r="AI375" s="55">
        <f t="shared" si="2261"/>
        <v>-747.67224973468831</v>
      </c>
      <c r="AJ375" s="55">
        <f t="shared" si="2261"/>
        <v>-910.85670278608848</v>
      </c>
      <c r="AK375" s="55">
        <f t="shared" si="2261"/>
        <v>-777.34519008881728</v>
      </c>
      <c r="AL375" s="55">
        <f t="shared" ref="AL375:AO376" si="2262">AL260*AL317/AL$5</f>
        <v>-1075.4286508874713</v>
      </c>
      <c r="AM375" s="55">
        <f t="shared" si="2262"/>
        <v>-1274.4197881779462</v>
      </c>
      <c r="AN375" s="55">
        <f t="shared" si="2262"/>
        <v>-1413.6709090909094</v>
      </c>
      <c r="AO375" s="55">
        <f t="shared" si="2262"/>
        <v>-4288.5091190461962</v>
      </c>
      <c r="AP375" s="55">
        <f t="shared" ref="AP375:AQ375" si="2263">AP260*AP317/AP$5</f>
        <v>-849.76861100041549</v>
      </c>
      <c r="AQ375" s="55">
        <f t="shared" si="2263"/>
        <v>-4287.3340361239943</v>
      </c>
      <c r="AR375" s="55"/>
      <c r="AS375" s="55"/>
      <c r="AT375" s="55"/>
      <c r="AU375" s="55"/>
      <c r="AV375" s="55"/>
      <c r="AW375" s="55"/>
      <c r="AX375" s="55"/>
      <c r="AY375" s="55"/>
      <c r="AZ375" s="56"/>
      <c r="BA375" s="55"/>
      <c r="BB375" s="55"/>
      <c r="BC375" s="55"/>
      <c r="BD375" s="55"/>
      <c r="BE375" s="55"/>
      <c r="BF375" s="55"/>
      <c r="BG375" s="55"/>
      <c r="BH375" s="55"/>
      <c r="BI375" s="55"/>
      <c r="BJ375" s="55"/>
      <c r="BK375" s="55"/>
      <c r="BL375" s="55"/>
      <c r="BM375" s="55"/>
      <c r="BN375" s="55"/>
      <c r="BO375" s="55"/>
      <c r="BP375" s="55"/>
      <c r="BQ375" s="55"/>
      <c r="BR375" s="55"/>
      <c r="BS375" s="55">
        <f t="shared" ref="BS375:CB376" si="2264">BS260*BS317/BS$5</f>
        <v>33.790805000000091</v>
      </c>
      <c r="BT375" s="55">
        <f t="shared" si="2264"/>
        <v>-138.81386500000008</v>
      </c>
      <c r="BU375" s="55">
        <f t="shared" si="2264"/>
        <v>-162.12348333333398</v>
      </c>
      <c r="BV375" s="55">
        <f t="shared" si="2264"/>
        <v>141.92777500000005</v>
      </c>
      <c r="BW375" s="55">
        <f t="shared" si="2264"/>
        <v>111.69255999999929</v>
      </c>
      <c r="BX375" s="55">
        <f t="shared" si="2264"/>
        <v>-21.40632100000073</v>
      </c>
      <c r="BY375" s="55">
        <f t="shared" si="2264"/>
        <v>-97.981198750000146</v>
      </c>
      <c r="BZ375" s="55">
        <f t="shared" si="2264"/>
        <v>-7.2228277500012723</v>
      </c>
      <c r="CA375" s="55">
        <f t="shared" si="2264"/>
        <v>-40.164100763359897</v>
      </c>
      <c r="CB375" s="55">
        <f t="shared" si="2264"/>
        <v>-158.05044307692413</v>
      </c>
      <c r="CC375" s="55">
        <f t="shared" si="2233"/>
        <v>189.33025845707741</v>
      </c>
      <c r="CD375" s="55">
        <f t="shared" si="2234"/>
        <v>244.14788923470269</v>
      </c>
      <c r="CE375" s="55">
        <f t="shared" si="2235"/>
        <v>614.2118845100166</v>
      </c>
      <c r="CF375" s="55">
        <f t="shared" si="2236"/>
        <v>527.04423191324145</v>
      </c>
      <c r="CG375" s="55">
        <f t="shared" si="2237"/>
        <v>637.80743218669818</v>
      </c>
      <c r="CH375" s="55">
        <f t="shared" si="2238"/>
        <v>276.08150845877771</v>
      </c>
      <c r="CI375" s="55">
        <f t="shared" si="2239"/>
        <v>1441.2078781920841</v>
      </c>
      <c r="CJ375" s="55">
        <f t="shared" si="2240"/>
        <v>-44.019348333961375</v>
      </c>
      <c r="CK375" s="55">
        <f t="shared" si="2241"/>
        <v>311.73435219029602</v>
      </c>
      <c r="CL375" s="55">
        <f t="shared" si="2242"/>
        <v>606.10949304667406</v>
      </c>
      <c r="CM375" s="55">
        <f t="shared" si="2243"/>
        <v>130.99781016810516</v>
      </c>
      <c r="CN375" s="55">
        <f t="shared" si="2244"/>
        <v>-492.19695148544781</v>
      </c>
      <c r="CO375" s="55">
        <f t="shared" si="2245"/>
        <v>-220.43260609796937</v>
      </c>
      <c r="CP375" s="55">
        <f t="shared" si="2246"/>
        <v>-260.11102384959634</v>
      </c>
      <c r="CQ375" s="55">
        <f t="shared" si="2247"/>
        <v>-376.83460102666174</v>
      </c>
      <c r="CR375" s="55">
        <f t="shared" si="2248"/>
        <v>-1399.4629091100305</v>
      </c>
      <c r="CS375" s="55">
        <f t="shared" si="2249"/>
        <v>-1688.2018928749058</v>
      </c>
      <c r="CT375" s="55">
        <f t="shared" si="2250"/>
        <v>-2349.8484390654176</v>
      </c>
      <c r="CU375" s="55">
        <f t="shared" si="2251"/>
        <v>-5702.1800281371052</v>
      </c>
      <c r="CV375" s="55">
        <f t="shared" si="2252"/>
        <v>-5137.1026471244095</v>
      </c>
      <c r="CW375" s="55"/>
      <c r="CX375" s="55"/>
      <c r="CY375" s="55"/>
      <c r="CZ375" s="56"/>
      <c r="DA375" s="55"/>
      <c r="DB375" s="55"/>
      <c r="DC375" s="55"/>
      <c r="DD375" s="55"/>
      <c r="DE375" s="55"/>
      <c r="DF375" s="55"/>
      <c r="DG375" s="55"/>
      <c r="DH375" s="55"/>
      <c r="DI375" s="55"/>
    </row>
    <row r="376" spans="1:113" hidden="1" outlineLevel="2">
      <c r="A376" s="1" t="s">
        <v>225</v>
      </c>
      <c r="B376" s="19" t="s">
        <v>278</v>
      </c>
      <c r="C376" s="55">
        <f t="shared" si="2259"/>
        <v>203.93865787534244</v>
      </c>
      <c r="D376" s="55">
        <f t="shared" si="2259"/>
        <v>162.23238663013697</v>
      </c>
      <c r="E376" s="55">
        <f t="shared" si="2259"/>
        <v>177.25022200821923</v>
      </c>
      <c r="F376" s="55">
        <f t="shared" si="2259"/>
        <v>164.55119285844751</v>
      </c>
      <c r="G376" s="55">
        <f t="shared" si="2259"/>
        <v>232.62345630136983</v>
      </c>
      <c r="H376" s="55">
        <f t="shared" si="2259"/>
        <v>239.28591962112938</v>
      </c>
      <c r="I376" s="55">
        <f t="shared" si="2259"/>
        <v>304.14550833333328</v>
      </c>
      <c r="J376" s="55">
        <f t="shared" si="2259"/>
        <v>273.19492420091319</v>
      </c>
      <c r="K376" s="55">
        <f t="shared" si="2259"/>
        <v>333.83481191095893</v>
      </c>
      <c r="L376" s="55">
        <f t="shared" si="2259"/>
        <v>337.16912240348677</v>
      </c>
      <c r="M376" s="55">
        <f t="shared" si="2260"/>
        <v>383.95210482550056</v>
      </c>
      <c r="N376" s="55">
        <f t="shared" si="2260"/>
        <v>394.21433967667048</v>
      </c>
      <c r="O376" s="55">
        <f t="shared" si="2260"/>
        <v>411.79893575279243</v>
      </c>
      <c r="P376" s="55">
        <f t="shared" si="2260"/>
        <v>506.00595166418276</v>
      </c>
      <c r="Q376" s="55">
        <f t="shared" si="2260"/>
        <v>629.47871579508194</v>
      </c>
      <c r="R376" s="55">
        <f t="shared" si="2260"/>
        <v>641.9153851755915</v>
      </c>
      <c r="S376" s="55">
        <f t="shared" si="2260"/>
        <v>323.44700547785914</v>
      </c>
      <c r="T376" s="55">
        <f t="shared" si="2260"/>
        <v>484.96105321046059</v>
      </c>
      <c r="U376" s="55">
        <f t="shared" si="2260"/>
        <v>515.52809716045465</v>
      </c>
      <c r="V376" s="55">
        <f t="shared" si="2260"/>
        <v>702.33390564847571</v>
      </c>
      <c r="W376" s="55">
        <f t="shared" si="2260"/>
        <v>734.46258150791107</v>
      </c>
      <c r="X376" s="55">
        <f t="shared" si="2260"/>
        <v>668.24632599174083</v>
      </c>
      <c r="Y376" s="55">
        <f t="shared" ref="Y376:AK376" si="2265">Y261*Y318/Y$5</f>
        <v>637.13737002732194</v>
      </c>
      <c r="Z376" s="55">
        <f t="shared" si="2265"/>
        <v>578.19971209034793</v>
      </c>
      <c r="AA376" s="55">
        <f t="shared" si="2265"/>
        <v>487.93240693131514</v>
      </c>
      <c r="AB376" s="55">
        <f t="shared" si="2265"/>
        <v>405.69198410958859</v>
      </c>
      <c r="AC376" s="55">
        <f t="shared" si="2265"/>
        <v>437.02740922374426</v>
      </c>
      <c r="AD376" s="55">
        <f t="shared" si="2265"/>
        <v>423.87900261444571</v>
      </c>
      <c r="AE376" s="55">
        <f t="shared" si="2265"/>
        <v>293.68876780409863</v>
      </c>
      <c r="AF376" s="55">
        <f t="shared" si="2265"/>
        <v>304.51734923000447</v>
      </c>
      <c r="AG376" s="55">
        <f t="shared" si="2265"/>
        <v>461.90862131147605</v>
      </c>
      <c r="AH376" s="55">
        <f t="shared" si="2265"/>
        <v>320.90122906724218</v>
      </c>
      <c r="AI376" s="55">
        <f t="shared" si="2265"/>
        <v>339.04720726438359</v>
      </c>
      <c r="AJ376" s="55">
        <f t="shared" si="2265"/>
        <v>282.25536840885167</v>
      </c>
      <c r="AK376" s="55">
        <f t="shared" si="2265"/>
        <v>296.8356710674388</v>
      </c>
      <c r="AL376" s="55">
        <f t="shared" si="2262"/>
        <v>539.41200930097489</v>
      </c>
      <c r="AM376" s="55">
        <f t="shared" si="2262"/>
        <v>529.29470958800721</v>
      </c>
      <c r="AN376" s="55">
        <f t="shared" si="2262"/>
        <v>289.91997019374054</v>
      </c>
      <c r="AO376" s="55">
        <f t="shared" si="2262"/>
        <v>138.66217989071058</v>
      </c>
      <c r="AP376" s="55">
        <f t="shared" ref="AP376:AQ376" si="2266">AP261*AP318/AP$5</f>
        <v>20.859823839767508</v>
      </c>
      <c r="AQ376" s="55">
        <f t="shared" si="2266"/>
        <v>10.051635286471317</v>
      </c>
      <c r="AR376" s="55"/>
      <c r="AS376" s="55"/>
      <c r="AT376" s="55"/>
      <c r="AU376" s="55"/>
      <c r="AV376" s="55"/>
      <c r="AW376" s="55"/>
      <c r="AX376" s="55"/>
      <c r="AY376" s="55"/>
      <c r="AZ376" s="56"/>
      <c r="BA376" s="55"/>
      <c r="BB376" s="55"/>
      <c r="BC376" s="55"/>
      <c r="BD376" s="55"/>
      <c r="BE376" s="55"/>
      <c r="BF376" s="55"/>
      <c r="BG376" s="55"/>
      <c r="BH376" s="55"/>
      <c r="BI376" s="55"/>
      <c r="BJ376" s="55"/>
      <c r="BK376" s="55"/>
      <c r="BL376" s="55"/>
      <c r="BM376" s="55"/>
      <c r="BN376" s="55"/>
      <c r="BO376" s="55"/>
      <c r="BP376" s="55"/>
      <c r="BQ376" s="55"/>
      <c r="BR376" s="55"/>
      <c r="BS376" s="55">
        <f t="shared" si="2264"/>
        <v>371.44969583333341</v>
      </c>
      <c r="BT376" s="55">
        <f t="shared" si="2264"/>
        <v>213.41200833333335</v>
      </c>
      <c r="BU376" s="55">
        <f t="shared" si="2264"/>
        <v>212.74884166666664</v>
      </c>
      <c r="BV376" s="55">
        <f t="shared" si="2264"/>
        <v>384.88527000000005</v>
      </c>
      <c r="BW376" s="55">
        <f t="shared" si="2264"/>
        <v>544.54518000000007</v>
      </c>
      <c r="BX376" s="55">
        <f t="shared" si="2264"/>
        <v>450.15757600000006</v>
      </c>
      <c r="BY376" s="55">
        <f t="shared" si="2264"/>
        <v>334.54068975000001</v>
      </c>
      <c r="BZ376" s="55">
        <f t="shared" si="2264"/>
        <v>350.99631974999994</v>
      </c>
      <c r="CA376" s="55">
        <f t="shared" si="2264"/>
        <v>410.45600610686995</v>
      </c>
      <c r="CB376" s="55">
        <f>CB261*CB318/CB$5</f>
        <v>464.38875538461514</v>
      </c>
      <c r="CC376" s="55">
        <f t="shared" si="2233"/>
        <v>339.48260863835617</v>
      </c>
      <c r="CD376" s="55">
        <f t="shared" si="2234"/>
        <v>397.17464915981736</v>
      </c>
      <c r="CE376" s="55">
        <f t="shared" si="2235"/>
        <v>543.43142795446261</v>
      </c>
      <c r="CF376" s="55">
        <f t="shared" si="2236"/>
        <v>607.02973611187213</v>
      </c>
      <c r="CG376" s="55">
        <f t="shared" si="2237"/>
        <v>721.12122722898732</v>
      </c>
      <c r="CH376" s="55">
        <f t="shared" si="2238"/>
        <v>806.01327542946296</v>
      </c>
      <c r="CI376" s="55">
        <f t="shared" si="2239"/>
        <v>1135.4846674592648</v>
      </c>
      <c r="CJ376" s="55">
        <f t="shared" si="2240"/>
        <v>965.36239065345057</v>
      </c>
      <c r="CK376" s="55">
        <f t="shared" si="2241"/>
        <v>1000.4891503709152</v>
      </c>
      <c r="CL376" s="55">
        <f t="shared" si="2242"/>
        <v>1436.7964871563868</v>
      </c>
      <c r="CM376" s="55">
        <f t="shared" si="2243"/>
        <v>1305.3836960190629</v>
      </c>
      <c r="CN376" s="55">
        <f t="shared" si="2244"/>
        <v>1066.1321190216631</v>
      </c>
      <c r="CO376" s="55">
        <f t="shared" si="2245"/>
        <v>842.71939333333285</v>
      </c>
      <c r="CP376" s="55">
        <f t="shared" si="2246"/>
        <v>717.56777041854434</v>
      </c>
      <c r="CQ376" s="55">
        <f t="shared" si="2247"/>
        <v>766.42597054148052</v>
      </c>
      <c r="CR376" s="55">
        <f t="shared" si="2248"/>
        <v>659.94843633162577</v>
      </c>
      <c r="CS376" s="55">
        <f t="shared" si="2249"/>
        <v>579.09103947629046</v>
      </c>
      <c r="CT376" s="55">
        <f t="shared" si="2250"/>
        <v>1068.7067188889821</v>
      </c>
      <c r="CU376" s="55">
        <f t="shared" si="2251"/>
        <v>428.58215008445109</v>
      </c>
      <c r="CV376" s="55">
        <f t="shared" si="2252"/>
        <v>30.911459126238825</v>
      </c>
      <c r="CW376" s="55"/>
      <c r="CX376" s="55"/>
      <c r="CY376" s="55"/>
      <c r="CZ376" s="56"/>
      <c r="DA376" s="55"/>
      <c r="DB376" s="55"/>
      <c r="DC376" s="55"/>
      <c r="DD376" s="55"/>
      <c r="DE376" s="55"/>
      <c r="DF376" s="55"/>
      <c r="DG376" s="55"/>
      <c r="DH376" s="55"/>
      <c r="DI376" s="55"/>
    </row>
    <row r="377" spans="1:113" s="24" customFormat="1" outlineLevel="1" collapsed="1">
      <c r="A377" s="1" t="s">
        <v>226</v>
      </c>
      <c r="B377" s="24" t="s">
        <v>579</v>
      </c>
      <c r="C377" s="82">
        <f t="shared" ref="C377:L377" si="2267">IF(ABS(C262*C319/C$5-C374+C375+C376)&gt;0.1,C262*C319/C$5,"Error")</f>
        <v>600.09937463424626</v>
      </c>
      <c r="D377" s="82">
        <f t="shared" si="2267"/>
        <v>807.637663912329</v>
      </c>
      <c r="E377" s="82">
        <f t="shared" si="2267"/>
        <v>1272.8078480675804</v>
      </c>
      <c r="F377" s="82">
        <f t="shared" si="2267"/>
        <v>1308.7247334246576</v>
      </c>
      <c r="G377" s="82">
        <f t="shared" si="2267"/>
        <v>1277.439416712328</v>
      </c>
      <c r="H377" s="82">
        <f t="shared" si="2267"/>
        <v>1649.0026638287804</v>
      </c>
      <c r="I377" s="82">
        <f t="shared" si="2267"/>
        <v>1885.0219016393428</v>
      </c>
      <c r="J377" s="82">
        <f t="shared" si="2267"/>
        <v>1627.6048639269395</v>
      </c>
      <c r="K377" s="82">
        <f>IF(ABS(K262*K319/K$5-K374+K375+K376)&gt;0.1,K262*K319/K$5,"Error")</f>
        <v>1738.2986110986308</v>
      </c>
      <c r="L377" s="82">
        <f t="shared" si="2267"/>
        <v>1640.8001018281423</v>
      </c>
      <c r="M377" s="82">
        <f t="shared" ref="M377:X377" si="2268">IF(ABS(M262*M319/M$5-M374+M375+M376)&gt;0.1,M262*M319/M$5,"Error")</f>
        <v>2505.9737750491054</v>
      </c>
      <c r="N377" s="82">
        <f t="shared" si="2268"/>
        <v>1963.8491702687434</v>
      </c>
      <c r="O377" s="82">
        <f t="shared" si="2268"/>
        <v>2669.0684085643843</v>
      </c>
      <c r="P377" s="82">
        <f t="shared" si="2268"/>
        <v>4913.6762475906589</v>
      </c>
      <c r="Q377" s="82">
        <f t="shared" si="2268"/>
        <v>4358.0888854426221</v>
      </c>
      <c r="R377" s="82">
        <f t="shared" si="2268"/>
        <v>2304.9454069838102</v>
      </c>
      <c r="S377" s="82">
        <f t="shared" si="2268"/>
        <v>-662.20032137942167</v>
      </c>
      <c r="T377" s="82">
        <f t="shared" si="2268"/>
        <v>964.4998890560363</v>
      </c>
      <c r="U377" s="82">
        <f t="shared" si="2268"/>
        <v>1589.3081596771847</v>
      </c>
      <c r="V377" s="82">
        <f t="shared" si="2268"/>
        <v>2193.9397001988373</v>
      </c>
      <c r="W377" s="82">
        <f t="shared" si="2268"/>
        <v>2277.9488753403425</v>
      </c>
      <c r="X377" s="82">
        <f t="shared" si="2268"/>
        <v>2008.1100889500699</v>
      </c>
      <c r="Y377" s="82">
        <f t="shared" ref="Y377:AK377" si="2269">IF(ABS(Y262*Y319/Y$5-Y374+Y375+Y376)&gt;0.1,Y262*Y319/Y$5,"Error")</f>
        <v>662.13170398906311</v>
      </c>
      <c r="Z377" s="82">
        <f t="shared" si="2269"/>
        <v>70.737614522635468</v>
      </c>
      <c r="AA377" s="82">
        <f t="shared" si="2269"/>
        <v>-288.2633129352763</v>
      </c>
      <c r="AB377" s="82">
        <f t="shared" si="2269"/>
        <v>-277.15919628062483</v>
      </c>
      <c r="AC377" s="82">
        <f t="shared" si="2269"/>
        <v>401.66294477168907</v>
      </c>
      <c r="AD377" s="82">
        <f t="shared" si="2269"/>
        <v>642.34119842988389</v>
      </c>
      <c r="AE377" s="82">
        <f t="shared" si="2269"/>
        <v>-34.518544781064669</v>
      </c>
      <c r="AF377" s="82">
        <f t="shared" si="2269"/>
        <v>198.2780208643662</v>
      </c>
      <c r="AG377" s="82">
        <f t="shared" si="2269"/>
        <v>256.91241721312679</v>
      </c>
      <c r="AH377" s="82">
        <f t="shared" si="2269"/>
        <v>-566.531628300546</v>
      </c>
      <c r="AI377" s="82">
        <f t="shared" si="2269"/>
        <v>-401.06050946986346</v>
      </c>
      <c r="AJ377" s="82">
        <f t="shared" si="2269"/>
        <v>-545.17872996416645</v>
      </c>
      <c r="AK377" s="82">
        <f t="shared" si="2269"/>
        <v>218.15169873549513</v>
      </c>
      <c r="AL377" s="82">
        <f t="shared" ref="AL377:AQ377" si="2270">IF(ABS(AL262*AL319/AL$5-AL374+AL375+AL376)&gt;0.1,AL262*AL319/AL$5,"Error")</f>
        <v>313.96620135400423</v>
      </c>
      <c r="AM377" s="82">
        <f t="shared" si="2270"/>
        <v>-588.57323631271254</v>
      </c>
      <c r="AN377" s="82">
        <f t="shared" si="2270"/>
        <v>-2349.0577123695994</v>
      </c>
      <c r="AO377" s="82">
        <f t="shared" si="2270"/>
        <v>-2924.5401656830554</v>
      </c>
      <c r="AP377" s="82">
        <f t="shared" si="2270"/>
        <v>-2871.0718196430057</v>
      </c>
      <c r="AQ377" s="82">
        <f t="shared" si="2270"/>
        <v>-2235.1193683551651</v>
      </c>
      <c r="AR377" s="82">
        <f>AR381-AR354</f>
        <v>-2024.4214979091576</v>
      </c>
      <c r="AS377" s="82">
        <f t="shared" ref="AS377:AX377" si="2271">AS381-AS354</f>
        <v>389.90830203848236</v>
      </c>
      <c r="AT377" s="82">
        <f t="shared" si="2271"/>
        <v>7175.6434473588661</v>
      </c>
      <c r="AU377" s="82">
        <f t="shared" si="2271"/>
        <v>7289.4643045399971</v>
      </c>
      <c r="AV377" s="82">
        <f t="shared" si="2271"/>
        <v>6248.0719132413888</v>
      </c>
      <c r="AW377" s="82">
        <f t="shared" si="2271"/>
        <v>4928.1431414852377</v>
      </c>
      <c r="AX377" s="82">
        <f t="shared" si="2271"/>
        <v>4617.1608597515969</v>
      </c>
      <c r="AY377" s="82">
        <f>AY381-AY354</f>
        <v>4148.3984242082188</v>
      </c>
      <c r="AZ377" s="83">
        <f t="shared" ref="AZ377" si="2272">AZ381-AZ354</f>
        <v>2755.5145344146149</v>
      </c>
      <c r="BA377" s="82">
        <f t="shared" ref="BA377:BI377" si="2273">BA381-BA354</f>
        <v>2985.2254049006297</v>
      </c>
      <c r="BB377" s="82">
        <f t="shared" si="2273"/>
        <v>3393.7341068372443</v>
      </c>
      <c r="BC377" s="82">
        <f t="shared" si="2273"/>
        <v>3489.4044234391858</v>
      </c>
      <c r="BD377" s="82">
        <f t="shared" si="2273"/>
        <v>3679.6834087087427</v>
      </c>
      <c r="BE377" s="82">
        <f t="shared" si="2273"/>
        <v>3783.1863045489627</v>
      </c>
      <c r="BF377" s="82">
        <f t="shared" si="2273"/>
        <v>3979.8936438209621</v>
      </c>
      <c r="BG377" s="82">
        <f t="shared" si="2273"/>
        <v>4044.1030347820852</v>
      </c>
      <c r="BH377" s="82">
        <f t="shared" si="2273"/>
        <v>4148.8093316454633</v>
      </c>
      <c r="BI377" s="82">
        <f t="shared" si="2273"/>
        <v>4195.1001726430914</v>
      </c>
      <c r="BJ377" s="82">
        <f>BJ262*BJ319/BJ$5</f>
        <v>4339.7437412748686</v>
      </c>
      <c r="BK377" s="82">
        <f t="shared" ref="BK377:BQ377" si="2274">BK262*BK319/BK$5</f>
        <v>4350.2287094707908</v>
      </c>
      <c r="BL377" s="82">
        <f t="shared" si="2274"/>
        <v>4494.21444696043</v>
      </c>
      <c r="BM377" s="82">
        <f t="shared" si="2274"/>
        <v>4530.033658816581</v>
      </c>
      <c r="BN377" s="82">
        <f t="shared" si="2274"/>
        <v>4679.8672392976396</v>
      </c>
      <c r="BO377" s="82">
        <f t="shared" si="2274"/>
        <v>4691.3203062601797</v>
      </c>
      <c r="BP377" s="82">
        <f t="shared" si="2274"/>
        <v>4860.0245811431641</v>
      </c>
      <c r="BQ377" s="82">
        <f t="shared" si="2274"/>
        <v>4871.9930214372162</v>
      </c>
      <c r="BR377" s="82"/>
      <c r="BS377" s="82">
        <f t="shared" ref="BS377:CB377" si="2275">IF(ABS(BS262*BS319/BS$5-BS374+BS375+BS376)&gt;0.1,BS262*BS319/BS$5,"Error")</f>
        <v>1001.0008483333343</v>
      </c>
      <c r="BT377" s="82">
        <f t="shared" si="2275"/>
        <v>540.92224833333387</v>
      </c>
      <c r="BU377" s="82">
        <f t="shared" si="2275"/>
        <v>582.5505849999995</v>
      </c>
      <c r="BV377" s="82">
        <f t="shared" si="2275"/>
        <v>2266.1418425000006</v>
      </c>
      <c r="BW377" s="82">
        <f t="shared" si="2275"/>
        <v>2137.5027249999994</v>
      </c>
      <c r="BX377" s="82">
        <f t="shared" si="2275"/>
        <v>1375.475576833333</v>
      </c>
      <c r="BY377" s="82">
        <f t="shared" si="2275"/>
        <v>878.82089125000027</v>
      </c>
      <c r="BZ377" s="82">
        <f t="shared" si="2275"/>
        <v>1420.788198249998</v>
      </c>
      <c r="CA377" s="82">
        <f t="shared" si="2275"/>
        <v>2121.5653343511399</v>
      </c>
      <c r="CB377" s="82">
        <f t="shared" si="2275"/>
        <v>1912.1851553846109</v>
      </c>
      <c r="CC377" s="82">
        <f t="shared" si="2233"/>
        <v>2080.4455119799095</v>
      </c>
      <c r="CD377" s="82">
        <f t="shared" si="2234"/>
        <v>2586.1641501369859</v>
      </c>
      <c r="CE377" s="82">
        <f t="shared" si="2235"/>
        <v>3534.024565468123</v>
      </c>
      <c r="CF377" s="82">
        <f t="shared" si="2236"/>
        <v>3365.9034750255705</v>
      </c>
      <c r="CG377" s="82">
        <f t="shared" si="2237"/>
        <v>4146.7738768772479</v>
      </c>
      <c r="CH377" s="82">
        <f t="shared" si="2238"/>
        <v>4632.9175788331277</v>
      </c>
      <c r="CI377" s="82">
        <f t="shared" si="2239"/>
        <v>9271.765133033281</v>
      </c>
      <c r="CJ377" s="82">
        <f t="shared" si="2240"/>
        <v>1642.7450856043886</v>
      </c>
      <c r="CK377" s="82">
        <f t="shared" si="2241"/>
        <v>2553.8080487332209</v>
      </c>
      <c r="CL377" s="82">
        <f t="shared" si="2242"/>
        <v>4471.8885755391802</v>
      </c>
      <c r="CM377" s="82">
        <f t="shared" si="2243"/>
        <v>2670.2417929391331</v>
      </c>
      <c r="CN377" s="82">
        <f t="shared" si="2244"/>
        <v>-217.52569841264085</v>
      </c>
      <c r="CO377" s="82">
        <f t="shared" si="2245"/>
        <v>124.50374849106424</v>
      </c>
      <c r="CP377" s="82">
        <f t="shared" si="2246"/>
        <v>607.82265364881926</v>
      </c>
      <c r="CQ377" s="82">
        <f t="shared" si="2247"/>
        <v>455.19043807749301</v>
      </c>
      <c r="CR377" s="82">
        <f t="shared" si="2248"/>
        <v>-967.59213777040941</v>
      </c>
      <c r="CS377" s="82">
        <f t="shared" si="2249"/>
        <v>-327.02703122867132</v>
      </c>
      <c r="CT377" s="82">
        <f t="shared" si="2250"/>
        <v>-274.60703495870831</v>
      </c>
      <c r="CU377" s="82">
        <f t="shared" si="2251"/>
        <v>-5273.5978780526548</v>
      </c>
      <c r="CV377" s="82">
        <f t="shared" si="2252"/>
        <v>-5106.1911879981708</v>
      </c>
      <c r="CW377" s="82">
        <f t="shared" ref="CW377" si="2276">SUM(AR377:AS377)</f>
        <v>-1634.5131958706752</v>
      </c>
      <c r="CX377" s="82">
        <f t="shared" ref="CX377" si="2277">SUM(AT377:AU377)</f>
        <v>14465.107751898864</v>
      </c>
      <c r="CY377" s="82">
        <f t="shared" ref="CY377" si="2278">SUM(AV377:AW377)</f>
        <v>11176.215054726626</v>
      </c>
      <c r="CZ377" s="83">
        <f t="shared" ref="CZ377" si="2279">SUM(AX377:AY377)</f>
        <v>8765.5592839598157</v>
      </c>
      <c r="DA377" s="82">
        <f t="shared" ref="DA377" si="2280">SUM(AZ377:BA377)</f>
        <v>5740.7399393152446</v>
      </c>
      <c r="DB377" s="82">
        <f t="shared" ref="DB377" si="2281">SUM(BB377:BC377)</f>
        <v>6883.1385302764302</v>
      </c>
      <c r="DC377" s="82">
        <f t="shared" ref="DC377" si="2282">SUM(BD377:BE377)</f>
        <v>7462.8697132577054</v>
      </c>
      <c r="DD377" s="82">
        <f t="shared" ref="DD377" si="2283">SUM(BF377:BG377)</f>
        <v>8023.9966786030473</v>
      </c>
      <c r="DE377" s="82">
        <f t="shared" ref="DE377" si="2284">SUM(BH377:BI377)</f>
        <v>8343.9095042885547</v>
      </c>
      <c r="DF377" s="82">
        <f t="shared" ref="DF377" si="2285">SUM(BJ377:BK377)</f>
        <v>8689.9724507456594</v>
      </c>
      <c r="DG377" s="82">
        <f t="shared" ref="DG377" si="2286">SUM(BL377:BM377)</f>
        <v>9024.248105777011</v>
      </c>
      <c r="DH377" s="82">
        <f t="shared" ref="DH377" si="2287">SUM(BN377:BO377)</f>
        <v>9371.1875455578192</v>
      </c>
      <c r="DI377" s="82">
        <f t="shared" ref="DI377" si="2288">SUM(BP377:BQ377)</f>
        <v>9732.0176025803812</v>
      </c>
    </row>
    <row r="378" spans="1:113" outlineLevel="1">
      <c r="C378" s="55"/>
      <c r="D378" s="55"/>
      <c r="E378" s="55"/>
      <c r="F378" s="55"/>
      <c r="G378" s="55"/>
      <c r="H378" s="55"/>
      <c r="I378" s="55"/>
      <c r="J378" s="55"/>
      <c r="K378" s="55"/>
      <c r="L378" s="55"/>
      <c r="M378" s="55"/>
      <c r="N378" s="55"/>
      <c r="O378" s="55"/>
      <c r="P378" s="55"/>
      <c r="Q378" s="55"/>
      <c r="R378" s="55"/>
      <c r="S378" s="55"/>
      <c r="T378" s="55"/>
      <c r="U378" s="55"/>
      <c r="V378" s="55"/>
      <c r="W378" s="55"/>
      <c r="X378" s="55"/>
      <c r="Y378" s="55"/>
      <c r="Z378" s="55"/>
      <c r="AA378" s="55"/>
      <c r="AB378" s="55"/>
      <c r="AC378" s="55"/>
      <c r="AD378" s="55"/>
      <c r="AE378" s="55"/>
      <c r="AF378" s="55"/>
      <c r="AG378" s="55"/>
      <c r="AH378" s="55"/>
      <c r="AI378" s="55"/>
      <c r="AJ378" s="55"/>
      <c r="AK378" s="55"/>
      <c r="AL378" s="55"/>
      <c r="AM378" s="55"/>
      <c r="AN378" s="55"/>
      <c r="AO378" s="55"/>
      <c r="AP378" s="55"/>
      <c r="AQ378" s="55"/>
      <c r="AR378" s="55"/>
      <c r="AS378" s="55"/>
      <c r="AT378" s="55"/>
      <c r="AU378" s="55"/>
      <c r="AV378" s="55"/>
      <c r="AW378" s="55"/>
      <c r="AX378" s="55"/>
      <c r="AY378" s="55"/>
      <c r="AZ378" s="56"/>
      <c r="BA378" s="55"/>
      <c r="BB378" s="55"/>
      <c r="BC378" s="55"/>
      <c r="BD378" s="55"/>
      <c r="BE378" s="55"/>
      <c r="BF378" s="55"/>
      <c r="BG378" s="55"/>
      <c r="BH378" s="55"/>
      <c r="BI378" s="55"/>
      <c r="BJ378" s="55"/>
      <c r="BK378" s="55"/>
      <c r="BL378" s="55"/>
      <c r="BM378" s="55"/>
      <c r="BN378" s="55"/>
      <c r="BO378" s="55"/>
      <c r="BP378" s="55"/>
      <c r="BQ378" s="55"/>
      <c r="BR378" s="55"/>
      <c r="BS378" s="55"/>
      <c r="BT378" s="55"/>
      <c r="BU378" s="55"/>
      <c r="BV378" s="55"/>
      <c r="BW378" s="55"/>
      <c r="BX378" s="55"/>
      <c r="BY378" s="55"/>
      <c r="BZ378" s="55"/>
      <c r="CA378" s="55"/>
      <c r="CB378" s="55"/>
      <c r="CC378" s="55"/>
      <c r="CD378" s="55"/>
      <c r="CE378" s="55"/>
      <c r="CF378" s="55"/>
      <c r="CG378" s="55"/>
      <c r="CH378" s="55"/>
      <c r="CI378" s="55"/>
      <c r="CJ378" s="61"/>
      <c r="CK378" s="61"/>
      <c r="CL378" s="50"/>
      <c r="CM378" s="50"/>
      <c r="CN378" s="55"/>
      <c r="CO378" s="55"/>
      <c r="CP378" s="55"/>
      <c r="CQ378" s="55"/>
      <c r="CR378" s="55"/>
      <c r="CS378" s="55"/>
      <c r="CT378" s="55"/>
      <c r="CU378" s="55"/>
      <c r="CV378" s="55"/>
      <c r="CW378" s="55"/>
      <c r="CX378" s="55"/>
      <c r="CY378" s="55"/>
      <c r="CZ378" s="56"/>
      <c r="DA378" s="55"/>
      <c r="DB378" s="55"/>
      <c r="DC378" s="55"/>
      <c r="DD378" s="55"/>
      <c r="DE378" s="55"/>
      <c r="DF378" s="55"/>
      <c r="DG378" s="55"/>
      <c r="DH378" s="55"/>
      <c r="DI378" s="55"/>
    </row>
    <row r="379" spans="1:113" outlineLevel="1">
      <c r="A379" s="1" t="s">
        <v>238</v>
      </c>
      <c r="B379" s="19" t="s">
        <v>582</v>
      </c>
      <c r="C379" s="55">
        <f>(C296+C318)*C239/C$5</f>
        <v>5876</v>
      </c>
      <c r="D379" s="55">
        <f>(D296+D318)*D239/D$5</f>
        <v>5369</v>
      </c>
      <c r="E379" s="55">
        <f>(E296+E318)*E239/E$5</f>
        <v>5086</v>
      </c>
      <c r="F379" s="55">
        <f t="shared" ref="F379:L379" si="2289">(F296+F318)*F239/F$5</f>
        <v>5680</v>
      </c>
      <c r="G379" s="55">
        <f t="shared" si="2289"/>
        <v>5860</v>
      </c>
      <c r="H379" s="55">
        <f t="shared" si="2289"/>
        <v>6241</v>
      </c>
      <c r="I379" s="55">
        <f t="shared" si="2289"/>
        <v>7046.0000000000009</v>
      </c>
      <c r="J379" s="55">
        <f t="shared" si="2289"/>
        <v>8089</v>
      </c>
      <c r="K379" s="55">
        <f t="shared" si="2289"/>
        <v>8692</v>
      </c>
      <c r="L379" s="55">
        <f t="shared" si="2289"/>
        <v>9637.9999999999982</v>
      </c>
      <c r="M379" s="55">
        <f t="shared" ref="M379:X379" si="2290">(M296+M318)*M239/M$5</f>
        <v>10120</v>
      </c>
      <c r="N379" s="55">
        <f t="shared" si="2290"/>
        <v>11565</v>
      </c>
      <c r="O379" s="55">
        <f t="shared" si="2290"/>
        <v>12297</v>
      </c>
      <c r="P379" s="55">
        <f t="shared" si="2290"/>
        <v>13781</v>
      </c>
      <c r="Q379" s="55">
        <f t="shared" si="2290"/>
        <v>15453</v>
      </c>
      <c r="R379" s="55">
        <f t="shared" si="2290"/>
        <v>18990</v>
      </c>
      <c r="S379" s="55">
        <f t="shared" si="2290"/>
        <v>15043</v>
      </c>
      <c r="T379" s="55">
        <f t="shared" si="2290"/>
        <v>15303</v>
      </c>
      <c r="U379" s="55">
        <f t="shared" si="2290"/>
        <v>16939</v>
      </c>
      <c r="V379" s="55">
        <f t="shared" si="2290"/>
        <v>18579</v>
      </c>
      <c r="W379" s="55">
        <f t="shared" si="2290"/>
        <v>18923.999999999996</v>
      </c>
      <c r="X379" s="55">
        <f t="shared" si="2290"/>
        <v>19490</v>
      </c>
      <c r="Y379" s="55">
        <f t="shared" ref="Y379:AK379" si="2291">(Y296+Y318)*Y239/Y$5</f>
        <v>18811</v>
      </c>
      <c r="Z379" s="55">
        <f t="shared" si="2291"/>
        <v>17794</v>
      </c>
      <c r="AA379" s="55">
        <f t="shared" si="2291"/>
        <v>16960</v>
      </c>
      <c r="AB379" s="55">
        <f t="shared" si="2291"/>
        <v>16829</v>
      </c>
      <c r="AC379" s="55">
        <f t="shared" si="2291"/>
        <v>16805</v>
      </c>
      <c r="AD379" s="55">
        <f t="shared" si="2291"/>
        <v>17297</v>
      </c>
      <c r="AE379" s="55">
        <f t="shared" si="2291"/>
        <v>16835</v>
      </c>
      <c r="AF379" s="55">
        <f t="shared" si="2291"/>
        <v>16842</v>
      </c>
      <c r="AG379" s="55">
        <f t="shared" si="2291"/>
        <v>16975</v>
      </c>
      <c r="AH379" s="55">
        <f t="shared" si="2291"/>
        <v>16676</v>
      </c>
      <c r="AI379" s="55">
        <f t="shared" si="2291"/>
        <v>16621</v>
      </c>
      <c r="AJ379" s="55">
        <f>(AJ296+AJ318)*AJ239/AJ$5</f>
        <v>17181</v>
      </c>
      <c r="AK379" s="55">
        <f t="shared" si="2291"/>
        <v>17073</v>
      </c>
      <c r="AL379" s="55">
        <f t="shared" ref="AL379:AQ379" si="2292">(AL296+AL318)*AL239/AL$5</f>
        <v>17515</v>
      </c>
      <c r="AM379" s="55">
        <f t="shared" si="2292"/>
        <v>17131</v>
      </c>
      <c r="AN379" s="55">
        <f t="shared" si="2292"/>
        <v>15946</v>
      </c>
      <c r="AO379" s="55">
        <f t="shared" si="2292"/>
        <v>14215.999999999998</v>
      </c>
      <c r="AP379" s="55">
        <f t="shared" si="2292"/>
        <v>12786</v>
      </c>
      <c r="AQ379" s="55">
        <f t="shared" si="2292"/>
        <v>12106</v>
      </c>
      <c r="AR379" s="55">
        <f t="shared" ref="AR379:AX379" si="2293">(AR296+AR80)*AR239/AR$5</f>
        <v>11999</v>
      </c>
      <c r="AS379" s="55">
        <f t="shared" si="2293"/>
        <v>12294</v>
      </c>
      <c r="AT379" s="55">
        <f t="shared" si="2293"/>
        <v>19625</v>
      </c>
      <c r="AU379" s="55">
        <f t="shared" si="2293"/>
        <v>24850</v>
      </c>
      <c r="AV379" s="55">
        <f t="shared" si="2293"/>
        <v>29618</v>
      </c>
      <c r="AW379" s="55">
        <f t="shared" si="2293"/>
        <v>31426</v>
      </c>
      <c r="AX379" s="55">
        <f t="shared" si="2293"/>
        <v>32683</v>
      </c>
      <c r="AY379" s="55">
        <f>(AY296+AY80)*AY239/AY$5</f>
        <v>32427</v>
      </c>
      <c r="AZ379" s="56">
        <f t="shared" ref="AZ379" si="2294">(AZ296+AZ80)*AZ239/AZ$5</f>
        <v>32366</v>
      </c>
      <c r="BA379" s="55">
        <f t="shared" ref="BA379:BQ379" si="2295">(BA296+BA80)*BA239/BA$5</f>
        <v>36005.951385847191</v>
      </c>
      <c r="BB379" s="55">
        <f t="shared" si="2295"/>
        <v>38718.88828889087</v>
      </c>
      <c r="BC379" s="55">
        <f t="shared" si="2295"/>
        <v>36554.148187312567</v>
      </c>
      <c r="BD379" s="55">
        <f t="shared" si="2295"/>
        <v>36939.123005261252</v>
      </c>
      <c r="BE379" s="55">
        <f t="shared" si="2295"/>
        <v>37284.375088631357</v>
      </c>
      <c r="BF379" s="55">
        <f t="shared" si="2295"/>
        <v>38575.379531258528</v>
      </c>
      <c r="BG379" s="55">
        <f t="shared" si="2295"/>
        <v>38636.289640495335</v>
      </c>
      <c r="BH379" s="55">
        <f t="shared" si="2295"/>
        <v>39996.346222583124</v>
      </c>
      <c r="BI379" s="55">
        <f t="shared" si="2295"/>
        <v>39944.345628955089</v>
      </c>
      <c r="BJ379" s="55">
        <f t="shared" si="2295"/>
        <v>41243.376195302022</v>
      </c>
      <c r="BK379" s="55">
        <f t="shared" si="2295"/>
        <v>41264.615331747729</v>
      </c>
      <c r="BL379" s="55">
        <f t="shared" si="2295"/>
        <v>42549.407901382525</v>
      </c>
      <c r="BM379" s="55">
        <f t="shared" si="2295"/>
        <v>42806.882766267991</v>
      </c>
      <c r="BN379" s="55">
        <f t="shared" si="2295"/>
        <v>44138.398596323386</v>
      </c>
      <c r="BO379" s="55">
        <f t="shared" si="2295"/>
        <v>44161.86484395407</v>
      </c>
      <c r="BP379" s="55">
        <f t="shared" si="2295"/>
        <v>45662.372335679473</v>
      </c>
      <c r="BQ379" s="55">
        <f t="shared" si="2295"/>
        <v>45687.011575321943</v>
      </c>
      <c r="BR379" s="55"/>
      <c r="BS379" s="55">
        <f t="shared" ref="BS379:CB379" si="2296">(BS296+BS318)*BS239/BS$5</f>
        <v>8025.7</v>
      </c>
      <c r="BT379" s="55">
        <f t="shared" si="2296"/>
        <v>6514.2</v>
      </c>
      <c r="BU379" s="55">
        <f t="shared" si="2296"/>
        <v>5932.1</v>
      </c>
      <c r="BV379" s="55">
        <f t="shared" si="2296"/>
        <v>6570</v>
      </c>
      <c r="BW379" s="55">
        <f t="shared" si="2296"/>
        <v>7716.0000000000009</v>
      </c>
      <c r="BX379" s="55">
        <f t="shared" si="2296"/>
        <v>7989.0000000000009</v>
      </c>
      <c r="BY379" s="55">
        <f t="shared" si="2296"/>
        <v>7605</v>
      </c>
      <c r="BZ379" s="55">
        <f t="shared" si="2296"/>
        <v>7745.0000000000009</v>
      </c>
      <c r="CA379" s="55">
        <f t="shared" si="2296"/>
        <v>8842</v>
      </c>
      <c r="CB379" s="55">
        <f t="shared" si="2296"/>
        <v>11900</v>
      </c>
      <c r="CC379" s="55">
        <f t="shared" ref="CC379:CC387" si="2297">SUM(D379:E379)</f>
        <v>10455</v>
      </c>
      <c r="CD379" s="55">
        <f t="shared" ref="CD379:CD387" si="2298">SUM(F379:G379)</f>
        <v>11540</v>
      </c>
      <c r="CE379" s="55">
        <f t="shared" ref="CE379:CE387" si="2299">SUM(H379:I379)</f>
        <v>13287</v>
      </c>
      <c r="CF379" s="55">
        <f t="shared" ref="CF379:CF387" si="2300">SUM(J379:K379)</f>
        <v>16781</v>
      </c>
      <c r="CG379" s="55">
        <f t="shared" ref="CG379:CG387" si="2301">SUM(L379:M379)</f>
        <v>19758</v>
      </c>
      <c r="CH379" s="55">
        <f t="shared" ref="CH379:CH387" si="2302">SUM(N379:O379)</f>
        <v>23862</v>
      </c>
      <c r="CI379" s="55">
        <f t="shared" ref="CI379:CI387" si="2303">SUM(P379:Q379)</f>
        <v>29234</v>
      </c>
      <c r="CJ379" s="55">
        <f t="shared" ref="CJ379:CJ389" si="2304">SUM(R379:S379)</f>
        <v>34033</v>
      </c>
      <c r="CK379" s="55">
        <f t="shared" ref="CK379:CK388" si="2305">SUM(T379:U379)</f>
        <v>32242</v>
      </c>
      <c r="CL379" s="55">
        <f t="shared" ref="CL379:CL388" si="2306">SUM(V379:W379)</f>
        <v>37503</v>
      </c>
      <c r="CM379" s="55">
        <f t="shared" ref="CM379:CM388" si="2307">SUM(X379:Y379)</f>
        <v>38301</v>
      </c>
      <c r="CN379" s="55">
        <f t="shared" ref="CN379:CN388" si="2308">SUM(Z379:AA379)</f>
        <v>34754</v>
      </c>
      <c r="CO379" s="55">
        <f t="shared" ref="CO379:CO388" si="2309">SUM(AB379:AC379)</f>
        <v>33634</v>
      </c>
      <c r="CP379" s="55">
        <f t="shared" ref="CP379:CP388" si="2310">SUM(AD379:AE379)</f>
        <v>34132</v>
      </c>
      <c r="CQ379" s="55">
        <f t="shared" ref="CQ379:CQ388" si="2311">SUM(AF379:AG379)</f>
        <v>33817</v>
      </c>
      <c r="CR379" s="55">
        <f t="shared" ref="CR379:CR388" si="2312">SUM(AH379:AI379)</f>
        <v>33297</v>
      </c>
      <c r="CS379" s="55">
        <f t="shared" ref="CS379:CS388" si="2313">SUM(AJ379:AK379)</f>
        <v>34254</v>
      </c>
      <c r="CT379" s="55">
        <f t="shared" ref="CT379:CT388" si="2314">SUM(AL379:AM379)</f>
        <v>34646</v>
      </c>
      <c r="CU379" s="55">
        <f t="shared" ref="CU379:CU388" si="2315">SUM(AN379:AO379)</f>
        <v>30162</v>
      </c>
      <c r="CV379" s="55">
        <f t="shared" ref="CV379:CV388" si="2316">SUM(AP379:AQ379)</f>
        <v>24892</v>
      </c>
      <c r="CW379" s="55">
        <f t="shared" ref="CW379:CW388" si="2317">SUM(AR379:AS379)</f>
        <v>24293</v>
      </c>
      <c r="CX379" s="55">
        <f t="shared" ref="CX379:CX388" si="2318">SUM(AT379:AU379)</f>
        <v>44475</v>
      </c>
      <c r="CY379" s="55">
        <f t="shared" ref="CY379:CY388" si="2319">SUM(AV379:AW379)</f>
        <v>61044</v>
      </c>
      <c r="CZ379" s="56">
        <f t="shared" ref="CZ379:CZ388" si="2320">SUM(AX379:AY379)</f>
        <v>65110</v>
      </c>
      <c r="DA379" s="55">
        <f t="shared" ref="DA379:DA388" si="2321">SUM(AZ379:BA379)</f>
        <v>68371.951385847191</v>
      </c>
      <c r="DB379" s="55">
        <f t="shared" ref="DB379:DB388" si="2322">SUM(BB379:BC379)</f>
        <v>75273.036476203444</v>
      </c>
      <c r="DC379" s="55">
        <f t="shared" ref="DC379:DC388" si="2323">SUM(BD379:BE379)</f>
        <v>74223.498093892616</v>
      </c>
      <c r="DD379" s="55">
        <f t="shared" ref="DD379:DD388" si="2324">SUM(BF379:BG379)</f>
        <v>77211.669171753863</v>
      </c>
      <c r="DE379" s="55">
        <f t="shared" ref="DE379:DE388" si="2325">SUM(BH379:BI379)</f>
        <v>79940.691851538213</v>
      </c>
      <c r="DF379" s="55">
        <f t="shared" ref="DF379:DF388" si="2326">SUM(BJ379:BK379)</f>
        <v>82507.991527049744</v>
      </c>
      <c r="DG379" s="55">
        <f t="shared" ref="DG379:DG388" si="2327">SUM(BL379:BM379)</f>
        <v>85356.290667650523</v>
      </c>
      <c r="DH379" s="55">
        <f t="shared" ref="DH379:DH388" si="2328">SUM(BN379:BO379)</f>
        <v>88300.263440277457</v>
      </c>
      <c r="DI379" s="55">
        <f t="shared" ref="DI379:DI388" si="2329">SUM(BP379:BQ379)</f>
        <v>91349.383911001409</v>
      </c>
    </row>
    <row r="380" spans="1:113" outlineLevel="1">
      <c r="A380" s="1" t="s">
        <v>239</v>
      </c>
      <c r="B380" s="19" t="s">
        <v>481</v>
      </c>
      <c r="C380" s="55">
        <f>-(C318-(C316*C259+C317*C260)/(C259+C260))*(C259+C260)/C$5</f>
        <v>-3623</v>
      </c>
      <c r="D380" s="55">
        <f>-(D318-(D316*D259+D317*D260)/(D259+D260))*(D259+D260)/D$5</f>
        <v>-3020</v>
      </c>
      <c r="E380" s="55">
        <f>-(E318-(E316*E259+E317*E260)/(E259+E260))*(E259+E260)/E$5</f>
        <v>-2725</v>
      </c>
      <c r="F380" s="55">
        <f t="shared" ref="F380:L380" si="2330">-(F318-(F316*F259+F317*F260)/(F259+F260))*(F259+F260)/F$5</f>
        <v>-3226</v>
      </c>
      <c r="G380" s="55">
        <f t="shared" si="2330"/>
        <v>-3288</v>
      </c>
      <c r="H380" s="55">
        <f t="shared" si="2330"/>
        <v>-3570</v>
      </c>
      <c r="I380" s="55">
        <f t="shared" si="2330"/>
        <v>-4307.0000000000009</v>
      </c>
      <c r="J380" s="55">
        <f t="shared" si="2330"/>
        <v>-5131.0000000000009</v>
      </c>
      <c r="K380" s="55">
        <f t="shared" si="2330"/>
        <v>-5624</v>
      </c>
      <c r="L380" s="55">
        <f t="shared" si="2330"/>
        <v>-6382.9999999999982</v>
      </c>
      <c r="M380" s="55">
        <f t="shared" ref="M380:X380" si="2331">-(M318-(M316*M259+M317*M260)/(M259+M260))*(M259+M260)/M$5</f>
        <v>-6861</v>
      </c>
      <c r="N380" s="55">
        <f t="shared" si="2331"/>
        <v>-8080</v>
      </c>
      <c r="O380" s="55">
        <f t="shared" si="2331"/>
        <v>-8746</v>
      </c>
      <c r="P380" s="55">
        <f t="shared" si="2331"/>
        <v>-9882</v>
      </c>
      <c r="Q380" s="55">
        <f t="shared" si="2331"/>
        <v>-11445</v>
      </c>
      <c r="R380" s="55">
        <f t="shared" si="2331"/>
        <v>-13917</v>
      </c>
      <c r="S380" s="55">
        <f t="shared" si="2331"/>
        <v>-9400</v>
      </c>
      <c r="T380" s="55">
        <f t="shared" si="2331"/>
        <v>-9241</v>
      </c>
      <c r="U380" s="55">
        <f t="shared" si="2331"/>
        <v>-11133</v>
      </c>
      <c r="V380" s="55">
        <f t="shared" si="2331"/>
        <v>-12401.999999999998</v>
      </c>
      <c r="W380" s="55">
        <f t="shared" si="2331"/>
        <v>-12455.999999999998</v>
      </c>
      <c r="X380" s="55">
        <f t="shared" si="2331"/>
        <v>-12846</v>
      </c>
      <c r="Y380" s="55">
        <f t="shared" ref="Y380:AK380" si="2332">-(Y318-(Y316*Y259+Y317*Y260)/(Y259+Y260))*(Y259+Y260)/Y$5</f>
        <v>-12297.999999999998</v>
      </c>
      <c r="Z380" s="55">
        <f t="shared" si="2332"/>
        <v>-10932</v>
      </c>
      <c r="AA380" s="55">
        <f t="shared" si="2332"/>
        <v>-9877.9999999999982</v>
      </c>
      <c r="AB380" s="55">
        <f t="shared" si="2332"/>
        <v>-9385</v>
      </c>
      <c r="AC380" s="55">
        <f t="shared" si="2332"/>
        <v>-9157.9999999999982</v>
      </c>
      <c r="AD380" s="55">
        <f t="shared" si="2332"/>
        <v>-9396</v>
      </c>
      <c r="AE380" s="55">
        <f t="shared" si="2332"/>
        <v>-8909</v>
      </c>
      <c r="AF380" s="55">
        <f t="shared" si="2332"/>
        <v>-8415</v>
      </c>
      <c r="AG380" s="55">
        <f t="shared" si="2332"/>
        <v>-8467</v>
      </c>
      <c r="AH380" s="55">
        <f t="shared" si="2332"/>
        <v>-7966</v>
      </c>
      <c r="AI380" s="55">
        <f t="shared" si="2332"/>
        <v>-7797</v>
      </c>
      <c r="AJ380" s="55">
        <f t="shared" si="2332"/>
        <v>-7923.9999999999991</v>
      </c>
      <c r="AK380" s="55">
        <f t="shared" si="2332"/>
        <v>-7987.9999999999991</v>
      </c>
      <c r="AL380" s="55">
        <f t="shared" ref="AL380:AQ380" si="2333">-(AL318-(AL316*AL259+AL317*AL260)/(AL259+AL260))*(AL259+AL260)/AL$5</f>
        <v>-8328.5752759381867</v>
      </c>
      <c r="AM380" s="55">
        <f t="shared" si="2333"/>
        <v>-8093.4247240618097</v>
      </c>
      <c r="AN380" s="55">
        <f t="shared" si="2333"/>
        <v>-6596</v>
      </c>
      <c r="AO380" s="55">
        <f t="shared" si="2333"/>
        <v>-4955.9999999999982</v>
      </c>
      <c r="AP380" s="55">
        <f t="shared" si="2333"/>
        <v>-3186</v>
      </c>
      <c r="AQ380" s="55">
        <f t="shared" si="2333"/>
        <v>-2404</v>
      </c>
      <c r="AR380" s="55">
        <f t="shared" ref="AR380:AX380" si="2334">AR381-AR379</f>
        <v>-2251</v>
      </c>
      <c r="AS380" s="55">
        <f t="shared" si="2334"/>
        <v>-2569</v>
      </c>
      <c r="AT380" s="55">
        <f t="shared" si="2334"/>
        <v>-7988</v>
      </c>
      <c r="AU380" s="55">
        <f t="shared" si="2334"/>
        <v>-13431</v>
      </c>
      <c r="AV380" s="55">
        <f t="shared" si="2334"/>
        <v>-18214</v>
      </c>
      <c r="AW380" s="55">
        <f t="shared" si="2334"/>
        <v>-20006</v>
      </c>
      <c r="AX380" s="55">
        <f t="shared" si="2334"/>
        <v>-20749</v>
      </c>
      <c r="AY380" s="55">
        <f>AY381-AY379</f>
        <v>-20338</v>
      </c>
      <c r="AZ380" s="56">
        <f t="shared" ref="AZ380" si="2335">AZ381-AZ379</f>
        <v>-19671</v>
      </c>
      <c r="BA380" s="55">
        <f t="shared" ref="BA380:BJ380" si="2336">BA381-BA379</f>
        <v>-23068.209731292362</v>
      </c>
      <c r="BB380" s="55">
        <f t="shared" si="2336"/>
        <v>-25196.16649224006</v>
      </c>
      <c r="BC380" s="55">
        <f t="shared" si="2336"/>
        <v>-23009.705874045772</v>
      </c>
      <c r="BD380" s="55">
        <f t="shared" si="2336"/>
        <v>-22949.431612591681</v>
      </c>
      <c r="BE380" s="55">
        <f t="shared" si="2336"/>
        <v>-23152.221891939349</v>
      </c>
      <c r="BF380" s="55">
        <f t="shared" si="2336"/>
        <v>-23948.198182353659</v>
      </c>
      <c r="BG380" s="55">
        <f t="shared" si="2336"/>
        <v>-23988.985183408047</v>
      </c>
      <c r="BH380" s="55">
        <f t="shared" si="2336"/>
        <v>-24934.689666652012</v>
      </c>
      <c r="BI380" s="55">
        <f t="shared" si="2336"/>
        <v>-24914.867020182166</v>
      </c>
      <c r="BJ380" s="55">
        <f t="shared" si="2336"/>
        <v>-25773.910935578067</v>
      </c>
      <c r="BK380" s="55">
        <f t="shared" ref="BK380" si="2337">BK381-BK379</f>
        <v>-25836.181579319964</v>
      </c>
      <c r="BL380" s="55">
        <f t="shared" ref="BL380" si="2338">BL381-BL379</f>
        <v>-26691.318609360656</v>
      </c>
      <c r="BM380" s="55">
        <f t="shared" ref="BM380" si="2339">BM381-BM379</f>
        <v>-26904.050335287844</v>
      </c>
      <c r="BN380" s="55">
        <f t="shared" ref="BN380" si="2340">BN381-BN379</f>
        <v>-27793.917937779748</v>
      </c>
      <c r="BO380" s="55">
        <f t="shared" ref="BO380" si="2341">BO381-BO379</f>
        <v>-27861.938158656892</v>
      </c>
      <c r="BP380" s="55">
        <f t="shared" ref="BP380" si="2342">BP381-BP379</f>
        <v>-28863.879566839667</v>
      </c>
      <c r="BQ380" s="55">
        <f t="shared" ref="BQ380" si="2343">BQ381-BQ379</f>
        <v>-28934.960610460475</v>
      </c>
      <c r="BR380" s="55"/>
      <c r="BS380" s="55">
        <f t="shared" ref="BS380:CB380" si="2344">-(BS318-(BS316*BS259+BS317*BS260)/(BS259+BS260))*(BS259+BS260)/BS$5</f>
        <v>-4776.6999999999989</v>
      </c>
      <c r="BT380" s="55">
        <f t="shared" si="2344"/>
        <v>-3533.2</v>
      </c>
      <c r="BU380" s="55">
        <f t="shared" si="2344"/>
        <v>-3088.1000000000004</v>
      </c>
      <c r="BV380" s="55">
        <f t="shared" si="2344"/>
        <v>-3405.9999999999995</v>
      </c>
      <c r="BW380" s="55">
        <f t="shared" si="2344"/>
        <v>-4319.0000000000009</v>
      </c>
      <c r="BX380" s="55">
        <f t="shared" si="2344"/>
        <v>-4597.0000000000009</v>
      </c>
      <c r="BY380" s="55">
        <f t="shared" si="2344"/>
        <v>-4208</v>
      </c>
      <c r="BZ380" s="55">
        <f t="shared" si="2344"/>
        <v>-4218.0000000000018</v>
      </c>
      <c r="CA380" s="55">
        <f t="shared" si="2344"/>
        <v>-5123</v>
      </c>
      <c r="CB380" s="55">
        <f t="shared" si="2344"/>
        <v>-7426</v>
      </c>
      <c r="CC380" s="55">
        <f t="shared" si="2297"/>
        <v>-5745</v>
      </c>
      <c r="CD380" s="55">
        <f t="shared" si="2298"/>
        <v>-6514</v>
      </c>
      <c r="CE380" s="55">
        <f t="shared" si="2299"/>
        <v>-7877.0000000000009</v>
      </c>
      <c r="CF380" s="55">
        <f t="shared" si="2300"/>
        <v>-10755</v>
      </c>
      <c r="CG380" s="55">
        <f t="shared" si="2301"/>
        <v>-13243.999999999998</v>
      </c>
      <c r="CH380" s="55">
        <f t="shared" si="2302"/>
        <v>-16826</v>
      </c>
      <c r="CI380" s="55">
        <f t="shared" si="2303"/>
        <v>-21327</v>
      </c>
      <c r="CJ380" s="55">
        <f t="shared" si="2304"/>
        <v>-23317</v>
      </c>
      <c r="CK380" s="55">
        <f t="shared" si="2305"/>
        <v>-20374</v>
      </c>
      <c r="CL380" s="55">
        <f t="shared" si="2306"/>
        <v>-24857.999999999996</v>
      </c>
      <c r="CM380" s="55">
        <f t="shared" si="2307"/>
        <v>-25144</v>
      </c>
      <c r="CN380" s="55">
        <f t="shared" si="2308"/>
        <v>-20810</v>
      </c>
      <c r="CO380" s="55">
        <f t="shared" si="2309"/>
        <v>-18543</v>
      </c>
      <c r="CP380" s="55">
        <f t="shared" si="2310"/>
        <v>-18305</v>
      </c>
      <c r="CQ380" s="55">
        <f t="shared" si="2311"/>
        <v>-16882</v>
      </c>
      <c r="CR380" s="55">
        <f t="shared" si="2312"/>
        <v>-15763</v>
      </c>
      <c r="CS380" s="55">
        <f t="shared" si="2313"/>
        <v>-15911.999999999998</v>
      </c>
      <c r="CT380" s="55">
        <f t="shared" si="2314"/>
        <v>-16421.999999999996</v>
      </c>
      <c r="CU380" s="55">
        <f t="shared" si="2315"/>
        <v>-11551.999999999998</v>
      </c>
      <c r="CV380" s="55">
        <f t="shared" si="2316"/>
        <v>-5590</v>
      </c>
      <c r="CW380" s="55">
        <f t="shared" si="2317"/>
        <v>-4820</v>
      </c>
      <c r="CX380" s="55">
        <f t="shared" si="2318"/>
        <v>-21419</v>
      </c>
      <c r="CY380" s="55">
        <f t="shared" si="2319"/>
        <v>-38220</v>
      </c>
      <c r="CZ380" s="56">
        <f t="shared" si="2320"/>
        <v>-41087</v>
      </c>
      <c r="DA380" s="55">
        <f t="shared" si="2321"/>
        <v>-42739.209731292358</v>
      </c>
      <c r="DB380" s="55">
        <f t="shared" si="2322"/>
        <v>-48205.872366285832</v>
      </c>
      <c r="DC380" s="55">
        <f t="shared" si="2323"/>
        <v>-46101.65350453103</v>
      </c>
      <c r="DD380" s="55">
        <f t="shared" si="2324"/>
        <v>-47937.18336576171</v>
      </c>
      <c r="DE380" s="55">
        <f t="shared" si="2325"/>
        <v>-49849.556686834178</v>
      </c>
      <c r="DF380" s="55">
        <f t="shared" si="2326"/>
        <v>-51610.092514898031</v>
      </c>
      <c r="DG380" s="55">
        <f t="shared" si="2327"/>
        <v>-53595.3689446485</v>
      </c>
      <c r="DH380" s="55">
        <f t="shared" si="2328"/>
        <v>-55655.856096436641</v>
      </c>
      <c r="DI380" s="55">
        <f t="shared" si="2329"/>
        <v>-57798.840177300139</v>
      </c>
    </row>
    <row r="381" spans="1:113" s="24" customFormat="1" outlineLevel="1">
      <c r="A381" s="1" t="s">
        <v>240</v>
      </c>
      <c r="B381" s="24" t="s">
        <v>482</v>
      </c>
      <c r="C381" s="82">
        <f t="shared" ref="C381:L381" si="2345">C387-SUM(C382:C386)</f>
        <v>2253</v>
      </c>
      <c r="D381" s="82">
        <f t="shared" si="2345"/>
        <v>2349</v>
      </c>
      <c r="E381" s="82">
        <f t="shared" si="2345"/>
        <v>2361</v>
      </c>
      <c r="F381" s="82">
        <f t="shared" si="2345"/>
        <v>2454</v>
      </c>
      <c r="G381" s="82">
        <f t="shared" si="2345"/>
        <v>2572</v>
      </c>
      <c r="H381" s="82">
        <f t="shared" si="2345"/>
        <v>2671</v>
      </c>
      <c r="I381" s="82">
        <f t="shared" si="2345"/>
        <v>2739</v>
      </c>
      <c r="J381" s="82">
        <f t="shared" si="2345"/>
        <v>2958</v>
      </c>
      <c r="K381" s="82">
        <f t="shared" si="2345"/>
        <v>3068</v>
      </c>
      <c r="L381" s="82">
        <f t="shared" si="2345"/>
        <v>3255</v>
      </c>
      <c r="M381" s="82">
        <f t="shared" ref="M381:T381" si="2346">M387-SUM(M382:M386)</f>
        <v>3259</v>
      </c>
      <c r="N381" s="82">
        <f t="shared" si="2346"/>
        <v>3485</v>
      </c>
      <c r="O381" s="82">
        <f t="shared" si="2346"/>
        <v>3551</v>
      </c>
      <c r="P381" s="82">
        <f t="shared" si="2346"/>
        <v>3899</v>
      </c>
      <c r="Q381" s="82">
        <f t="shared" si="2346"/>
        <v>4008</v>
      </c>
      <c r="R381" s="82">
        <f t="shared" si="2346"/>
        <v>5073</v>
      </c>
      <c r="S381" s="82">
        <f t="shared" si="2346"/>
        <v>5643</v>
      </c>
      <c r="T381" s="82">
        <f t="shared" si="2346"/>
        <v>6062</v>
      </c>
      <c r="U381" s="82">
        <f t="shared" ref="U381:AK381" si="2347">U387-SUM(U382:U386)</f>
        <v>5806</v>
      </c>
      <c r="V381" s="82">
        <f t="shared" si="2347"/>
        <v>6177</v>
      </c>
      <c r="W381" s="82">
        <f t="shared" si="2347"/>
        <v>6468</v>
      </c>
      <c r="X381" s="82">
        <f t="shared" si="2347"/>
        <v>6644</v>
      </c>
      <c r="Y381" s="82">
        <f t="shared" si="2347"/>
        <v>6513</v>
      </c>
      <c r="Z381" s="82">
        <f t="shared" si="2347"/>
        <v>6862</v>
      </c>
      <c r="AA381" s="82">
        <f t="shared" si="2347"/>
        <v>7082</v>
      </c>
      <c r="AB381" s="82">
        <f t="shared" si="2347"/>
        <v>7444</v>
      </c>
      <c r="AC381" s="82">
        <f t="shared" si="2347"/>
        <v>7647</v>
      </c>
      <c r="AD381" s="82">
        <f t="shared" si="2347"/>
        <v>7901</v>
      </c>
      <c r="AE381" s="82">
        <f t="shared" si="2347"/>
        <v>7926</v>
      </c>
      <c r="AF381" s="82">
        <f t="shared" si="2347"/>
        <v>8427</v>
      </c>
      <c r="AG381" s="82">
        <f t="shared" si="2347"/>
        <v>8508</v>
      </c>
      <c r="AH381" s="82">
        <f t="shared" si="2347"/>
        <v>8710</v>
      </c>
      <c r="AI381" s="82">
        <f t="shared" si="2347"/>
        <v>8824</v>
      </c>
      <c r="AJ381" s="82">
        <f t="shared" si="2347"/>
        <v>9257</v>
      </c>
      <c r="AK381" s="82">
        <f t="shared" si="2347"/>
        <v>9085</v>
      </c>
      <c r="AL381" s="82">
        <f t="shared" ref="AL381:AQ381" si="2348">AL387-SUM(AL382:AL386)</f>
        <v>9186.4247240618115</v>
      </c>
      <c r="AM381" s="82">
        <f t="shared" si="2348"/>
        <v>9037.5752759381903</v>
      </c>
      <c r="AN381" s="82">
        <f t="shared" si="2348"/>
        <v>9350</v>
      </c>
      <c r="AO381" s="82">
        <f t="shared" si="2348"/>
        <v>9260</v>
      </c>
      <c r="AP381" s="82">
        <f t="shared" si="2348"/>
        <v>9600</v>
      </c>
      <c r="AQ381" s="82">
        <f t="shared" si="2348"/>
        <v>9702</v>
      </c>
      <c r="AR381" s="82">
        <f t="shared" ref="AR381" si="2349">AR387-SUM(AR382:AR386)</f>
        <v>9748</v>
      </c>
      <c r="AS381" s="82">
        <f t="shared" ref="AS381:AT381" si="2350">AS387-SUM(AS382:AS386)</f>
        <v>9725</v>
      </c>
      <c r="AT381" s="82">
        <f t="shared" si="2350"/>
        <v>11637</v>
      </c>
      <c r="AU381" s="82">
        <f t="shared" ref="AU381:AV381" si="2351">AU387-SUM(AU382:AU386)</f>
        <v>11419</v>
      </c>
      <c r="AV381" s="82">
        <f t="shared" si="2351"/>
        <v>11404</v>
      </c>
      <c r="AW381" s="82">
        <f t="shared" ref="AW381:AX381" si="2352">AW387-SUM(AW382:AW386)</f>
        <v>11420</v>
      </c>
      <c r="AX381" s="82">
        <f t="shared" si="2352"/>
        <v>11934</v>
      </c>
      <c r="AY381" s="82">
        <f>AY$323*AY$239/AY$5</f>
        <v>12088.999999999998</v>
      </c>
      <c r="AZ381" s="83">
        <f t="shared" ref="AZ381" si="2353">AZ387-SUM(AZ382:AZ386)</f>
        <v>12695</v>
      </c>
      <c r="BA381" s="82">
        <f t="shared" ref="BA381:BQ381" si="2354">BA$323*BA$239/BA$5</f>
        <v>12937.741654554829</v>
      </c>
      <c r="BB381" s="82">
        <f t="shared" si="2354"/>
        <v>13522.721796650811</v>
      </c>
      <c r="BC381" s="82">
        <f t="shared" si="2354"/>
        <v>13544.442313266794</v>
      </c>
      <c r="BD381" s="82">
        <f t="shared" si="2354"/>
        <v>13989.691392669569</v>
      </c>
      <c r="BE381" s="82">
        <f t="shared" si="2354"/>
        <v>14132.153196692008</v>
      </c>
      <c r="BF381" s="82">
        <f t="shared" si="2354"/>
        <v>14627.181348904869</v>
      </c>
      <c r="BG381" s="82">
        <f t="shared" si="2354"/>
        <v>14647.304457087286</v>
      </c>
      <c r="BH381" s="82">
        <f t="shared" si="2354"/>
        <v>15061.656555931113</v>
      </c>
      <c r="BI381" s="82">
        <f t="shared" si="2354"/>
        <v>15029.478608772921</v>
      </c>
      <c r="BJ381" s="82">
        <f t="shared" si="2354"/>
        <v>15469.465259723956</v>
      </c>
      <c r="BK381" s="82">
        <f t="shared" si="2354"/>
        <v>15428.433752427767</v>
      </c>
      <c r="BL381" s="82">
        <f t="shared" si="2354"/>
        <v>15858.089292021867</v>
      </c>
      <c r="BM381" s="82">
        <f t="shared" si="2354"/>
        <v>15902.832430980148</v>
      </c>
      <c r="BN381" s="82">
        <f t="shared" si="2354"/>
        <v>16344.480658543636</v>
      </c>
      <c r="BO381" s="82">
        <f t="shared" si="2354"/>
        <v>16299.926685297176</v>
      </c>
      <c r="BP381" s="82">
        <f t="shared" si="2354"/>
        <v>16798.492768839806</v>
      </c>
      <c r="BQ381" s="82">
        <f t="shared" si="2354"/>
        <v>16752.050964861468</v>
      </c>
      <c r="BR381" s="82"/>
      <c r="BS381" s="82">
        <f t="shared" ref="BS381:CB381" si="2355">BS387-SUM(BS382:BS386)</f>
        <v>3249</v>
      </c>
      <c r="BT381" s="82">
        <f t="shared" si="2355"/>
        <v>2981</v>
      </c>
      <c r="BU381" s="82">
        <f t="shared" si="2355"/>
        <v>2844</v>
      </c>
      <c r="BV381" s="82">
        <f t="shared" si="2355"/>
        <v>3164</v>
      </c>
      <c r="BW381" s="82">
        <f t="shared" si="2355"/>
        <v>3397</v>
      </c>
      <c r="BX381" s="82">
        <f t="shared" si="2355"/>
        <v>3392</v>
      </c>
      <c r="BY381" s="82">
        <f t="shared" si="2355"/>
        <v>3397</v>
      </c>
      <c r="BZ381" s="82">
        <f t="shared" si="2355"/>
        <v>3527</v>
      </c>
      <c r="CA381" s="82">
        <f t="shared" si="2355"/>
        <v>3719</v>
      </c>
      <c r="CB381" s="82">
        <f t="shared" si="2355"/>
        <v>4474</v>
      </c>
      <c r="CC381" s="82">
        <f t="shared" si="2297"/>
        <v>4710</v>
      </c>
      <c r="CD381" s="82">
        <f t="shared" si="2298"/>
        <v>5026</v>
      </c>
      <c r="CE381" s="82">
        <f t="shared" si="2299"/>
        <v>5410</v>
      </c>
      <c r="CF381" s="82">
        <f t="shared" si="2300"/>
        <v>6026</v>
      </c>
      <c r="CG381" s="82">
        <f t="shared" si="2301"/>
        <v>6514</v>
      </c>
      <c r="CH381" s="82">
        <f t="shared" si="2302"/>
        <v>7036</v>
      </c>
      <c r="CI381" s="82">
        <f t="shared" si="2303"/>
        <v>7907</v>
      </c>
      <c r="CJ381" s="82">
        <f t="shared" si="2304"/>
        <v>10716</v>
      </c>
      <c r="CK381" s="82">
        <f t="shared" si="2305"/>
        <v>11868</v>
      </c>
      <c r="CL381" s="82">
        <f t="shared" si="2306"/>
        <v>12645</v>
      </c>
      <c r="CM381" s="82">
        <f t="shared" si="2307"/>
        <v>13157</v>
      </c>
      <c r="CN381" s="82">
        <f t="shared" si="2308"/>
        <v>13944</v>
      </c>
      <c r="CO381" s="82">
        <f t="shared" si="2309"/>
        <v>15091</v>
      </c>
      <c r="CP381" s="82">
        <f t="shared" si="2310"/>
        <v>15827</v>
      </c>
      <c r="CQ381" s="82">
        <f t="shared" si="2311"/>
        <v>16935</v>
      </c>
      <c r="CR381" s="82">
        <f t="shared" si="2312"/>
        <v>17534</v>
      </c>
      <c r="CS381" s="82">
        <f t="shared" si="2313"/>
        <v>18342</v>
      </c>
      <c r="CT381" s="82">
        <f t="shared" si="2314"/>
        <v>18224</v>
      </c>
      <c r="CU381" s="82">
        <f t="shared" si="2315"/>
        <v>18610</v>
      </c>
      <c r="CV381" s="82">
        <f t="shared" si="2316"/>
        <v>19302</v>
      </c>
      <c r="CW381" s="82">
        <f t="shared" si="2317"/>
        <v>19473</v>
      </c>
      <c r="CX381" s="82">
        <f t="shared" si="2318"/>
        <v>23056</v>
      </c>
      <c r="CY381" s="82">
        <f t="shared" si="2319"/>
        <v>22824</v>
      </c>
      <c r="CZ381" s="83">
        <f t="shared" si="2320"/>
        <v>24023</v>
      </c>
      <c r="DA381" s="82">
        <f t="shared" si="2321"/>
        <v>25632.741654554829</v>
      </c>
      <c r="DB381" s="82">
        <f t="shared" si="2322"/>
        <v>27067.164109917605</v>
      </c>
      <c r="DC381" s="82">
        <f t="shared" si="2323"/>
        <v>28121.844589361579</v>
      </c>
      <c r="DD381" s="82">
        <f t="shared" si="2324"/>
        <v>29274.485805992153</v>
      </c>
      <c r="DE381" s="82">
        <f t="shared" si="2325"/>
        <v>30091.135164704036</v>
      </c>
      <c r="DF381" s="82">
        <f t="shared" si="2326"/>
        <v>30897.899012151724</v>
      </c>
      <c r="DG381" s="82">
        <f t="shared" si="2327"/>
        <v>31760.921723002015</v>
      </c>
      <c r="DH381" s="82">
        <f t="shared" si="2328"/>
        <v>32644.407343840812</v>
      </c>
      <c r="DI381" s="82">
        <f t="shared" si="2329"/>
        <v>33550.54373370127</v>
      </c>
    </row>
    <row r="382" spans="1:113" outlineLevel="2">
      <c r="A382" s="1" t="s">
        <v>928</v>
      </c>
      <c r="B382" s="19" t="s">
        <v>445</v>
      </c>
      <c r="C382" s="53">
        <v>0</v>
      </c>
      <c r="D382" s="53">
        <v>0</v>
      </c>
      <c r="E382" s="53">
        <v>0</v>
      </c>
      <c r="F382" s="53">
        <v>0</v>
      </c>
      <c r="G382" s="53">
        <v>0</v>
      </c>
      <c r="H382" s="53">
        <v>0</v>
      </c>
      <c r="I382" s="53">
        <v>0</v>
      </c>
      <c r="J382" s="53">
        <v>0</v>
      </c>
      <c r="K382" s="53">
        <v>0</v>
      </c>
      <c r="L382" s="53">
        <v>0</v>
      </c>
      <c r="M382" s="53">
        <v>0</v>
      </c>
      <c r="N382" s="53">
        <v>0</v>
      </c>
      <c r="O382" s="53">
        <v>0</v>
      </c>
      <c r="P382" s="53">
        <v>0</v>
      </c>
      <c r="Q382" s="53">
        <v>0</v>
      </c>
      <c r="R382" s="53">
        <v>0</v>
      </c>
      <c r="S382" s="53">
        <v>0</v>
      </c>
      <c r="T382" s="53">
        <v>0</v>
      </c>
      <c r="U382" s="53">
        <v>0</v>
      </c>
      <c r="V382" s="53">
        <v>0</v>
      </c>
      <c r="W382" s="53">
        <v>0</v>
      </c>
      <c r="X382" s="53">
        <v>0</v>
      </c>
      <c r="Y382" s="53">
        <v>0</v>
      </c>
      <c r="Z382" s="53">
        <v>0</v>
      </c>
      <c r="AA382" s="164">
        <v>0</v>
      </c>
      <c r="AB382" s="164">
        <v>0</v>
      </c>
      <c r="AC382" s="164">
        <v>0</v>
      </c>
      <c r="AD382" s="164">
        <v>0</v>
      </c>
      <c r="AE382" s="164">
        <v>0</v>
      </c>
      <c r="AF382" s="164">
        <v>0</v>
      </c>
      <c r="AG382" s="164">
        <v>0</v>
      </c>
      <c r="AH382" s="164">
        <v>0</v>
      </c>
      <c r="AI382" s="164">
        <v>0</v>
      </c>
      <c r="AJ382" s="164">
        <v>0</v>
      </c>
      <c r="AK382" s="164">
        <v>0</v>
      </c>
      <c r="AL382" s="164">
        <v>0</v>
      </c>
      <c r="AM382" s="164">
        <v>0</v>
      </c>
      <c r="AN382" s="164">
        <v>0</v>
      </c>
      <c r="AO382" s="164">
        <v>0</v>
      </c>
      <c r="AP382" s="164">
        <v>0</v>
      </c>
      <c r="AQ382" s="164">
        <v>0</v>
      </c>
      <c r="AR382" s="164">
        <v>0</v>
      </c>
      <c r="AS382" s="164">
        <v>0</v>
      </c>
      <c r="AT382" s="164">
        <v>0</v>
      </c>
      <c r="AU382" s="164">
        <v>0</v>
      </c>
      <c r="AV382" s="164">
        <v>0</v>
      </c>
      <c r="AW382" s="164">
        <v>0</v>
      </c>
      <c r="AX382" s="164">
        <v>0</v>
      </c>
      <c r="AY382" s="164">
        <v>0</v>
      </c>
      <c r="AZ382" s="171">
        <v>0</v>
      </c>
      <c r="BA382" s="54">
        <v>0</v>
      </c>
      <c r="BB382" s="54">
        <v>0</v>
      </c>
      <c r="BC382" s="54">
        <v>0</v>
      </c>
      <c r="BD382" s="54">
        <v>0</v>
      </c>
      <c r="BE382" s="54">
        <v>0</v>
      </c>
      <c r="BF382" s="54">
        <v>0</v>
      </c>
      <c r="BG382" s="54">
        <v>0</v>
      </c>
      <c r="BH382" s="54">
        <v>0</v>
      </c>
      <c r="BI382" s="54">
        <v>0</v>
      </c>
      <c r="BJ382" s="54">
        <v>0</v>
      </c>
      <c r="BK382" s="54">
        <v>0</v>
      </c>
      <c r="BL382" s="54">
        <v>0</v>
      </c>
      <c r="BM382" s="54">
        <v>0</v>
      </c>
      <c r="BN382" s="54">
        <v>0</v>
      </c>
      <c r="BO382" s="54">
        <v>0</v>
      </c>
      <c r="BP382" s="54">
        <v>0</v>
      </c>
      <c r="BQ382" s="54">
        <v>0</v>
      </c>
      <c r="BR382" s="55"/>
      <c r="BS382" s="53">
        <v>0</v>
      </c>
      <c r="BT382" s="53">
        <v>0</v>
      </c>
      <c r="BU382" s="53">
        <v>0</v>
      </c>
      <c r="BV382" s="53">
        <v>0</v>
      </c>
      <c r="BW382" s="53">
        <v>0</v>
      </c>
      <c r="BX382" s="53">
        <v>0</v>
      </c>
      <c r="BY382" s="53">
        <v>0</v>
      </c>
      <c r="BZ382" s="53">
        <v>0</v>
      </c>
      <c r="CA382" s="53">
        <v>0</v>
      </c>
      <c r="CB382" s="53">
        <v>0</v>
      </c>
      <c r="CC382" s="55">
        <f t="shared" si="2297"/>
        <v>0</v>
      </c>
      <c r="CD382" s="55">
        <f t="shared" si="2298"/>
        <v>0</v>
      </c>
      <c r="CE382" s="55">
        <f t="shared" si="2299"/>
        <v>0</v>
      </c>
      <c r="CF382" s="55">
        <f t="shared" si="2300"/>
        <v>0</v>
      </c>
      <c r="CG382" s="55">
        <f t="shared" si="2301"/>
        <v>0</v>
      </c>
      <c r="CH382" s="55">
        <f t="shared" si="2302"/>
        <v>0</v>
      </c>
      <c r="CI382" s="55">
        <f t="shared" si="2303"/>
        <v>0</v>
      </c>
      <c r="CJ382" s="55">
        <f t="shared" si="2304"/>
        <v>0</v>
      </c>
      <c r="CK382" s="55">
        <f t="shared" si="2305"/>
        <v>0</v>
      </c>
      <c r="CL382" s="55">
        <f t="shared" si="2306"/>
        <v>0</v>
      </c>
      <c r="CM382" s="55">
        <f t="shared" si="2307"/>
        <v>0</v>
      </c>
      <c r="CN382" s="55">
        <f t="shared" si="2308"/>
        <v>0</v>
      </c>
      <c r="CO382" s="55">
        <f t="shared" si="2309"/>
        <v>0</v>
      </c>
      <c r="CP382" s="55">
        <f t="shared" si="2310"/>
        <v>0</v>
      </c>
      <c r="CQ382" s="55">
        <f t="shared" si="2311"/>
        <v>0</v>
      </c>
      <c r="CR382" s="55">
        <f t="shared" si="2312"/>
        <v>0</v>
      </c>
      <c r="CS382" s="55">
        <f t="shared" si="2313"/>
        <v>0</v>
      </c>
      <c r="CT382" s="55">
        <f t="shared" si="2314"/>
        <v>0</v>
      </c>
      <c r="CU382" s="55">
        <f t="shared" si="2315"/>
        <v>0</v>
      </c>
      <c r="CV382" s="55">
        <f t="shared" si="2316"/>
        <v>0</v>
      </c>
      <c r="CW382" s="55">
        <f t="shared" si="2317"/>
        <v>0</v>
      </c>
      <c r="CX382" s="55">
        <f t="shared" si="2318"/>
        <v>0</v>
      </c>
      <c r="CY382" s="55">
        <f t="shared" si="2319"/>
        <v>0</v>
      </c>
      <c r="CZ382" s="56">
        <f t="shared" si="2320"/>
        <v>0</v>
      </c>
      <c r="DA382" s="55">
        <f t="shared" si="2321"/>
        <v>0</v>
      </c>
      <c r="DB382" s="55">
        <f t="shared" si="2322"/>
        <v>0</v>
      </c>
      <c r="DC382" s="55">
        <f t="shared" si="2323"/>
        <v>0</v>
      </c>
      <c r="DD382" s="55">
        <f t="shared" si="2324"/>
        <v>0</v>
      </c>
      <c r="DE382" s="55">
        <f t="shared" si="2325"/>
        <v>0</v>
      </c>
      <c r="DF382" s="55">
        <f t="shared" si="2326"/>
        <v>0</v>
      </c>
      <c r="DG382" s="55">
        <f t="shared" si="2327"/>
        <v>0</v>
      </c>
      <c r="DH382" s="55">
        <f t="shared" si="2328"/>
        <v>0</v>
      </c>
      <c r="DI382" s="55">
        <f t="shared" si="2329"/>
        <v>0</v>
      </c>
    </row>
    <row r="383" spans="1:113" outlineLevel="2">
      <c r="A383" s="1" t="s">
        <v>929</v>
      </c>
      <c r="B383" s="19" t="s">
        <v>369</v>
      </c>
      <c r="C383" s="53">
        <v>0</v>
      </c>
      <c r="D383" s="53">
        <v>0</v>
      </c>
      <c r="E383" s="53">
        <v>0</v>
      </c>
      <c r="F383" s="53">
        <v>0</v>
      </c>
      <c r="G383" s="53">
        <v>0</v>
      </c>
      <c r="H383" s="53">
        <v>0</v>
      </c>
      <c r="I383" s="53">
        <v>0</v>
      </c>
      <c r="J383" s="53">
        <v>0</v>
      </c>
      <c r="K383" s="53">
        <v>0</v>
      </c>
      <c r="L383" s="53">
        <v>0</v>
      </c>
      <c r="M383" s="53">
        <v>0</v>
      </c>
      <c r="N383" s="53">
        <v>0</v>
      </c>
      <c r="O383" s="53">
        <v>0</v>
      </c>
      <c r="P383" s="53">
        <v>0</v>
      </c>
      <c r="Q383" s="53">
        <v>0</v>
      </c>
      <c r="R383" s="53">
        <v>0</v>
      </c>
      <c r="S383" s="53">
        <v>0</v>
      </c>
      <c r="T383" s="53">
        <v>0</v>
      </c>
      <c r="U383" s="53">
        <v>0</v>
      </c>
      <c r="V383" s="53">
        <v>0</v>
      </c>
      <c r="W383" s="53">
        <v>0</v>
      </c>
      <c r="X383" s="53">
        <v>0</v>
      </c>
      <c r="Y383" s="53">
        <v>0</v>
      </c>
      <c r="Z383" s="53">
        <v>0</v>
      </c>
      <c r="AA383" s="164">
        <v>0</v>
      </c>
      <c r="AB383" s="164">
        <v>0</v>
      </c>
      <c r="AC383" s="164">
        <v>0</v>
      </c>
      <c r="AD383" s="164">
        <v>0</v>
      </c>
      <c r="AE383" s="164">
        <v>0</v>
      </c>
      <c r="AF383" s="164">
        <v>0</v>
      </c>
      <c r="AG383" s="164">
        <v>0</v>
      </c>
      <c r="AH383" s="164">
        <v>0</v>
      </c>
      <c r="AI383" s="164">
        <v>0</v>
      </c>
      <c r="AJ383" s="164">
        <v>0</v>
      </c>
      <c r="AK383" s="164">
        <v>0</v>
      </c>
      <c r="AL383" s="164">
        <v>0</v>
      </c>
      <c r="AM383" s="164">
        <v>0</v>
      </c>
      <c r="AN383" s="164">
        <v>0</v>
      </c>
      <c r="AO383" s="164">
        <v>0</v>
      </c>
      <c r="AP383" s="164">
        <v>0</v>
      </c>
      <c r="AQ383" s="164">
        <v>0</v>
      </c>
      <c r="AR383" s="164">
        <v>0</v>
      </c>
      <c r="AS383" s="164">
        <v>0</v>
      </c>
      <c r="AT383" s="164">
        <v>0</v>
      </c>
      <c r="AU383" s="164">
        <v>0</v>
      </c>
      <c r="AV383" s="164">
        <v>0</v>
      </c>
      <c r="AW383" s="164">
        <v>0</v>
      </c>
      <c r="AX383" s="164">
        <v>0</v>
      </c>
      <c r="AY383" s="164">
        <v>0</v>
      </c>
      <c r="AZ383" s="171">
        <v>0</v>
      </c>
      <c r="BA383" s="54">
        <v>0</v>
      </c>
      <c r="BB383" s="54">
        <v>0</v>
      </c>
      <c r="BC383" s="54">
        <v>0</v>
      </c>
      <c r="BD383" s="54">
        <v>0</v>
      </c>
      <c r="BE383" s="54">
        <v>0</v>
      </c>
      <c r="BF383" s="54">
        <v>0</v>
      </c>
      <c r="BG383" s="54">
        <v>0</v>
      </c>
      <c r="BH383" s="54">
        <v>0</v>
      </c>
      <c r="BI383" s="54">
        <v>0</v>
      </c>
      <c r="BJ383" s="54">
        <v>0</v>
      </c>
      <c r="BK383" s="54">
        <v>0</v>
      </c>
      <c r="BL383" s="54">
        <v>0</v>
      </c>
      <c r="BM383" s="54">
        <v>0</v>
      </c>
      <c r="BN383" s="54">
        <v>0</v>
      </c>
      <c r="BO383" s="54">
        <v>0</v>
      </c>
      <c r="BP383" s="54">
        <v>0</v>
      </c>
      <c r="BQ383" s="54">
        <v>0</v>
      </c>
      <c r="BR383" s="55"/>
      <c r="BS383" s="53">
        <v>0</v>
      </c>
      <c r="BT383" s="53">
        <v>0</v>
      </c>
      <c r="BU383" s="53">
        <v>0</v>
      </c>
      <c r="BV383" s="53">
        <v>0</v>
      </c>
      <c r="BW383" s="53">
        <v>0</v>
      </c>
      <c r="BX383" s="53">
        <v>0</v>
      </c>
      <c r="BY383" s="53">
        <v>0</v>
      </c>
      <c r="BZ383" s="53">
        <v>0</v>
      </c>
      <c r="CA383" s="53">
        <v>0</v>
      </c>
      <c r="CB383" s="53">
        <v>0</v>
      </c>
      <c r="CC383" s="55">
        <f t="shared" si="2297"/>
        <v>0</v>
      </c>
      <c r="CD383" s="55">
        <f t="shared" si="2298"/>
        <v>0</v>
      </c>
      <c r="CE383" s="55">
        <f t="shared" si="2299"/>
        <v>0</v>
      </c>
      <c r="CF383" s="55">
        <f t="shared" si="2300"/>
        <v>0</v>
      </c>
      <c r="CG383" s="55">
        <f t="shared" si="2301"/>
        <v>0</v>
      </c>
      <c r="CH383" s="55">
        <f t="shared" si="2302"/>
        <v>0</v>
      </c>
      <c r="CI383" s="55">
        <f t="shared" si="2303"/>
        <v>0</v>
      </c>
      <c r="CJ383" s="55">
        <f t="shared" si="2304"/>
        <v>0</v>
      </c>
      <c r="CK383" s="55">
        <f t="shared" si="2305"/>
        <v>0</v>
      </c>
      <c r="CL383" s="55">
        <f t="shared" si="2306"/>
        <v>0</v>
      </c>
      <c r="CM383" s="55">
        <f t="shared" si="2307"/>
        <v>0</v>
      </c>
      <c r="CN383" s="55">
        <f t="shared" si="2308"/>
        <v>0</v>
      </c>
      <c r="CO383" s="55">
        <f t="shared" si="2309"/>
        <v>0</v>
      </c>
      <c r="CP383" s="55">
        <f t="shared" si="2310"/>
        <v>0</v>
      </c>
      <c r="CQ383" s="55">
        <f t="shared" si="2311"/>
        <v>0</v>
      </c>
      <c r="CR383" s="55">
        <f t="shared" si="2312"/>
        <v>0</v>
      </c>
      <c r="CS383" s="55">
        <f t="shared" si="2313"/>
        <v>0</v>
      </c>
      <c r="CT383" s="55">
        <f t="shared" si="2314"/>
        <v>0</v>
      </c>
      <c r="CU383" s="55">
        <f t="shared" si="2315"/>
        <v>0</v>
      </c>
      <c r="CV383" s="55">
        <f t="shared" si="2316"/>
        <v>0</v>
      </c>
      <c r="CW383" s="55">
        <f t="shared" si="2317"/>
        <v>0</v>
      </c>
      <c r="CX383" s="55">
        <f t="shared" si="2318"/>
        <v>0</v>
      </c>
      <c r="CY383" s="55">
        <f t="shared" si="2319"/>
        <v>0</v>
      </c>
      <c r="CZ383" s="56">
        <f t="shared" si="2320"/>
        <v>0</v>
      </c>
      <c r="DA383" s="55">
        <f t="shared" si="2321"/>
        <v>0</v>
      </c>
      <c r="DB383" s="55">
        <f t="shared" si="2322"/>
        <v>0</v>
      </c>
      <c r="DC383" s="55">
        <f t="shared" si="2323"/>
        <v>0</v>
      </c>
      <c r="DD383" s="55">
        <f t="shared" si="2324"/>
        <v>0</v>
      </c>
      <c r="DE383" s="55">
        <f t="shared" si="2325"/>
        <v>0</v>
      </c>
      <c r="DF383" s="55">
        <f t="shared" si="2326"/>
        <v>0</v>
      </c>
      <c r="DG383" s="55">
        <f t="shared" si="2327"/>
        <v>0</v>
      </c>
      <c r="DH383" s="55">
        <f t="shared" si="2328"/>
        <v>0</v>
      </c>
      <c r="DI383" s="55">
        <f t="shared" si="2329"/>
        <v>0</v>
      </c>
    </row>
    <row r="384" spans="1:113" outlineLevel="2">
      <c r="A384" s="1" t="s">
        <v>930</v>
      </c>
      <c r="B384" s="19" t="s">
        <v>370</v>
      </c>
      <c r="C384" s="53">
        <v>0</v>
      </c>
      <c r="D384" s="53">
        <v>0</v>
      </c>
      <c r="E384" s="53">
        <v>0</v>
      </c>
      <c r="F384" s="53">
        <v>0</v>
      </c>
      <c r="G384" s="53">
        <v>0</v>
      </c>
      <c r="H384" s="53">
        <v>0</v>
      </c>
      <c r="I384" s="53">
        <v>0</v>
      </c>
      <c r="J384" s="53">
        <v>0</v>
      </c>
      <c r="K384" s="53">
        <v>0</v>
      </c>
      <c r="L384" s="53">
        <v>0</v>
      </c>
      <c r="M384" s="53">
        <v>0</v>
      </c>
      <c r="N384" s="53">
        <v>0</v>
      </c>
      <c r="O384" s="53">
        <v>0</v>
      </c>
      <c r="P384" s="53">
        <v>0</v>
      </c>
      <c r="Q384" s="53">
        <v>0</v>
      </c>
      <c r="R384" s="53">
        <v>0</v>
      </c>
      <c r="S384" s="53">
        <v>0</v>
      </c>
      <c r="T384" s="53">
        <v>0</v>
      </c>
      <c r="U384" s="53">
        <v>0</v>
      </c>
      <c r="V384" s="53">
        <v>0</v>
      </c>
      <c r="W384" s="53">
        <v>0</v>
      </c>
      <c r="X384" s="53">
        <v>0</v>
      </c>
      <c r="Y384" s="53">
        <v>0</v>
      </c>
      <c r="Z384" s="53">
        <v>0</v>
      </c>
      <c r="AA384" s="164">
        <v>0</v>
      </c>
      <c r="AB384" s="164">
        <v>0</v>
      </c>
      <c r="AC384" s="164">
        <v>0</v>
      </c>
      <c r="AD384" s="164">
        <v>0</v>
      </c>
      <c r="AE384" s="164">
        <v>0</v>
      </c>
      <c r="AF384" s="164">
        <v>0</v>
      </c>
      <c r="AG384" s="164">
        <v>0</v>
      </c>
      <c r="AH384" s="164">
        <v>0</v>
      </c>
      <c r="AI384" s="164">
        <v>0</v>
      </c>
      <c r="AJ384" s="164">
        <v>0</v>
      </c>
      <c r="AK384" s="164">
        <v>0</v>
      </c>
      <c r="AL384" s="164">
        <v>0</v>
      </c>
      <c r="AM384" s="164">
        <v>0</v>
      </c>
      <c r="AN384" s="164">
        <v>0</v>
      </c>
      <c r="AO384" s="164">
        <v>0</v>
      </c>
      <c r="AP384" s="164">
        <v>0</v>
      </c>
      <c r="AQ384" s="164">
        <v>0</v>
      </c>
      <c r="AR384" s="164">
        <v>0</v>
      </c>
      <c r="AS384" s="164">
        <v>0</v>
      </c>
      <c r="AT384" s="164">
        <v>0</v>
      </c>
      <c r="AU384" s="164">
        <v>0</v>
      </c>
      <c r="AV384" s="164">
        <v>0</v>
      </c>
      <c r="AW384" s="164">
        <v>0</v>
      </c>
      <c r="AX384" s="164">
        <v>0</v>
      </c>
      <c r="AY384" s="164">
        <v>0</v>
      </c>
      <c r="AZ384" s="171">
        <v>0</v>
      </c>
      <c r="BA384" s="54">
        <v>0</v>
      </c>
      <c r="BB384" s="54">
        <v>0</v>
      </c>
      <c r="BC384" s="54">
        <v>0</v>
      </c>
      <c r="BD384" s="54">
        <v>0</v>
      </c>
      <c r="BE384" s="54">
        <v>0</v>
      </c>
      <c r="BF384" s="54">
        <v>0</v>
      </c>
      <c r="BG384" s="54">
        <v>0</v>
      </c>
      <c r="BH384" s="54">
        <v>0</v>
      </c>
      <c r="BI384" s="54">
        <v>0</v>
      </c>
      <c r="BJ384" s="54">
        <v>0</v>
      </c>
      <c r="BK384" s="54">
        <v>0</v>
      </c>
      <c r="BL384" s="54">
        <v>0</v>
      </c>
      <c r="BM384" s="54">
        <v>0</v>
      </c>
      <c r="BN384" s="54">
        <v>0</v>
      </c>
      <c r="BO384" s="54">
        <v>0</v>
      </c>
      <c r="BP384" s="54">
        <v>0</v>
      </c>
      <c r="BQ384" s="54">
        <v>0</v>
      </c>
      <c r="BR384" s="55"/>
      <c r="BS384" s="53">
        <v>0</v>
      </c>
      <c r="BT384" s="53">
        <v>0</v>
      </c>
      <c r="BU384" s="53">
        <v>0</v>
      </c>
      <c r="BV384" s="53">
        <v>0</v>
      </c>
      <c r="BW384" s="53">
        <v>0</v>
      </c>
      <c r="BX384" s="53">
        <v>0</v>
      </c>
      <c r="BY384" s="53">
        <v>0</v>
      </c>
      <c r="BZ384" s="53">
        <v>0</v>
      </c>
      <c r="CA384" s="53">
        <v>0</v>
      </c>
      <c r="CB384" s="53">
        <v>0</v>
      </c>
      <c r="CC384" s="55">
        <f t="shared" si="2297"/>
        <v>0</v>
      </c>
      <c r="CD384" s="55">
        <f t="shared" si="2298"/>
        <v>0</v>
      </c>
      <c r="CE384" s="55">
        <f t="shared" si="2299"/>
        <v>0</v>
      </c>
      <c r="CF384" s="55">
        <f t="shared" si="2300"/>
        <v>0</v>
      </c>
      <c r="CG384" s="55">
        <f t="shared" si="2301"/>
        <v>0</v>
      </c>
      <c r="CH384" s="55">
        <f t="shared" si="2302"/>
        <v>0</v>
      </c>
      <c r="CI384" s="55">
        <f t="shared" si="2303"/>
        <v>0</v>
      </c>
      <c r="CJ384" s="55">
        <f t="shared" si="2304"/>
        <v>0</v>
      </c>
      <c r="CK384" s="55">
        <f t="shared" si="2305"/>
        <v>0</v>
      </c>
      <c r="CL384" s="55">
        <f t="shared" si="2306"/>
        <v>0</v>
      </c>
      <c r="CM384" s="55">
        <f t="shared" si="2307"/>
        <v>0</v>
      </c>
      <c r="CN384" s="55">
        <f t="shared" si="2308"/>
        <v>0</v>
      </c>
      <c r="CO384" s="55">
        <f t="shared" si="2309"/>
        <v>0</v>
      </c>
      <c r="CP384" s="55">
        <f t="shared" si="2310"/>
        <v>0</v>
      </c>
      <c r="CQ384" s="55">
        <f t="shared" si="2311"/>
        <v>0</v>
      </c>
      <c r="CR384" s="55">
        <f t="shared" si="2312"/>
        <v>0</v>
      </c>
      <c r="CS384" s="55">
        <f t="shared" si="2313"/>
        <v>0</v>
      </c>
      <c r="CT384" s="55">
        <f t="shared" si="2314"/>
        <v>0</v>
      </c>
      <c r="CU384" s="55">
        <f t="shared" si="2315"/>
        <v>0</v>
      </c>
      <c r="CV384" s="55">
        <f t="shared" si="2316"/>
        <v>0</v>
      </c>
      <c r="CW384" s="55">
        <f t="shared" si="2317"/>
        <v>0</v>
      </c>
      <c r="CX384" s="55">
        <f t="shared" si="2318"/>
        <v>0</v>
      </c>
      <c r="CY384" s="55">
        <f t="shared" si="2319"/>
        <v>0</v>
      </c>
      <c r="CZ384" s="56">
        <f t="shared" si="2320"/>
        <v>0</v>
      </c>
      <c r="DA384" s="55">
        <f t="shared" si="2321"/>
        <v>0</v>
      </c>
      <c r="DB384" s="55">
        <f t="shared" si="2322"/>
        <v>0</v>
      </c>
      <c r="DC384" s="55">
        <f t="shared" si="2323"/>
        <v>0</v>
      </c>
      <c r="DD384" s="55">
        <f t="shared" si="2324"/>
        <v>0</v>
      </c>
      <c r="DE384" s="55">
        <f t="shared" si="2325"/>
        <v>0</v>
      </c>
      <c r="DF384" s="55">
        <f t="shared" si="2326"/>
        <v>0</v>
      </c>
      <c r="DG384" s="55">
        <f t="shared" si="2327"/>
        <v>0</v>
      </c>
      <c r="DH384" s="55">
        <f t="shared" si="2328"/>
        <v>0</v>
      </c>
      <c r="DI384" s="55">
        <f t="shared" si="2329"/>
        <v>0</v>
      </c>
    </row>
    <row r="385" spans="1:113" outlineLevel="2">
      <c r="A385" s="1" t="s">
        <v>988</v>
      </c>
      <c r="B385" s="19" t="s">
        <v>360</v>
      </c>
      <c r="C385" s="53">
        <v>0</v>
      </c>
      <c r="D385" s="53">
        <v>0</v>
      </c>
      <c r="E385" s="53">
        <v>0</v>
      </c>
      <c r="F385" s="53">
        <v>0</v>
      </c>
      <c r="G385" s="53">
        <v>0</v>
      </c>
      <c r="H385" s="53">
        <v>0</v>
      </c>
      <c r="I385" s="53">
        <v>0</v>
      </c>
      <c r="J385" s="53">
        <v>0</v>
      </c>
      <c r="K385" s="53">
        <v>0</v>
      </c>
      <c r="L385" s="53">
        <v>0</v>
      </c>
      <c r="M385" s="53">
        <v>0</v>
      </c>
      <c r="N385" s="53">
        <v>0</v>
      </c>
      <c r="O385" s="53">
        <v>0</v>
      </c>
      <c r="P385" s="53">
        <v>0</v>
      </c>
      <c r="Q385" s="53">
        <v>0</v>
      </c>
      <c r="R385" s="53">
        <v>0</v>
      </c>
      <c r="S385" s="53">
        <v>0</v>
      </c>
      <c r="T385" s="53">
        <v>0</v>
      </c>
      <c r="U385" s="53">
        <v>0</v>
      </c>
      <c r="V385" s="53">
        <v>0</v>
      </c>
      <c r="W385" s="53">
        <v>0</v>
      </c>
      <c r="X385" s="53">
        <v>0</v>
      </c>
      <c r="Y385" s="53">
        <v>0</v>
      </c>
      <c r="Z385" s="53">
        <v>0</v>
      </c>
      <c r="AA385" s="164">
        <v>0</v>
      </c>
      <c r="AB385" s="164">
        <v>0</v>
      </c>
      <c r="AC385" s="164">
        <v>0</v>
      </c>
      <c r="AD385" s="164">
        <v>0</v>
      </c>
      <c r="AE385" s="164">
        <v>0</v>
      </c>
      <c r="AF385" s="164">
        <v>0</v>
      </c>
      <c r="AG385" s="164">
        <v>0</v>
      </c>
      <c r="AH385" s="164">
        <v>0</v>
      </c>
      <c r="AI385" s="164">
        <v>0</v>
      </c>
      <c r="AJ385" s="164">
        <v>0</v>
      </c>
      <c r="AK385" s="164">
        <v>0</v>
      </c>
      <c r="AL385" s="164">
        <v>0</v>
      </c>
      <c r="AM385" s="164">
        <v>0</v>
      </c>
      <c r="AN385" s="164">
        <v>0</v>
      </c>
      <c r="AO385" s="164">
        <v>0</v>
      </c>
      <c r="AP385" s="164">
        <v>0</v>
      </c>
      <c r="AQ385" s="164">
        <v>0</v>
      </c>
      <c r="AR385" s="164">
        <v>0</v>
      </c>
      <c r="AS385" s="164">
        <v>0</v>
      </c>
      <c r="AT385" s="164">
        <v>0</v>
      </c>
      <c r="AU385" s="164">
        <v>0</v>
      </c>
      <c r="AV385" s="164">
        <v>0</v>
      </c>
      <c r="AW385" s="164">
        <v>0</v>
      </c>
      <c r="AX385" s="164">
        <v>0</v>
      </c>
      <c r="AY385" s="164">
        <v>0</v>
      </c>
      <c r="AZ385" s="171">
        <v>0</v>
      </c>
      <c r="BA385" s="54">
        <v>0</v>
      </c>
      <c r="BB385" s="54">
        <v>0</v>
      </c>
      <c r="BC385" s="54">
        <v>0</v>
      </c>
      <c r="BD385" s="54">
        <v>0</v>
      </c>
      <c r="BE385" s="54">
        <v>0</v>
      </c>
      <c r="BF385" s="54">
        <v>0</v>
      </c>
      <c r="BG385" s="54">
        <v>0</v>
      </c>
      <c r="BH385" s="54">
        <v>0</v>
      </c>
      <c r="BI385" s="54">
        <v>0</v>
      </c>
      <c r="BJ385" s="54">
        <v>0</v>
      </c>
      <c r="BK385" s="54">
        <v>0</v>
      </c>
      <c r="BL385" s="54">
        <v>0</v>
      </c>
      <c r="BM385" s="54">
        <v>0</v>
      </c>
      <c r="BN385" s="54">
        <v>0</v>
      </c>
      <c r="BO385" s="54">
        <v>0</v>
      </c>
      <c r="BP385" s="54">
        <v>0</v>
      </c>
      <c r="BQ385" s="54">
        <v>0</v>
      </c>
      <c r="BR385" s="55"/>
      <c r="BS385" s="53">
        <v>0</v>
      </c>
      <c r="BT385" s="53">
        <v>0</v>
      </c>
      <c r="BU385" s="53">
        <v>0</v>
      </c>
      <c r="BV385" s="53">
        <v>0</v>
      </c>
      <c r="BW385" s="53">
        <v>0</v>
      </c>
      <c r="BX385" s="53">
        <v>0</v>
      </c>
      <c r="BY385" s="53">
        <v>0</v>
      </c>
      <c r="BZ385" s="53">
        <v>0</v>
      </c>
      <c r="CA385" s="53">
        <v>0</v>
      </c>
      <c r="CB385" s="53">
        <v>0</v>
      </c>
      <c r="CC385" s="55">
        <f t="shared" si="2297"/>
        <v>0</v>
      </c>
      <c r="CD385" s="55">
        <f t="shared" si="2298"/>
        <v>0</v>
      </c>
      <c r="CE385" s="55">
        <f t="shared" si="2299"/>
        <v>0</v>
      </c>
      <c r="CF385" s="55">
        <f t="shared" si="2300"/>
        <v>0</v>
      </c>
      <c r="CG385" s="55">
        <f t="shared" si="2301"/>
        <v>0</v>
      </c>
      <c r="CH385" s="55">
        <f t="shared" si="2302"/>
        <v>0</v>
      </c>
      <c r="CI385" s="55">
        <f t="shared" si="2303"/>
        <v>0</v>
      </c>
      <c r="CJ385" s="55">
        <f t="shared" si="2304"/>
        <v>0</v>
      </c>
      <c r="CK385" s="55">
        <f t="shared" si="2305"/>
        <v>0</v>
      </c>
      <c r="CL385" s="55">
        <f t="shared" si="2306"/>
        <v>0</v>
      </c>
      <c r="CM385" s="55">
        <f t="shared" si="2307"/>
        <v>0</v>
      </c>
      <c r="CN385" s="55">
        <f t="shared" si="2308"/>
        <v>0</v>
      </c>
      <c r="CO385" s="55">
        <f t="shared" si="2309"/>
        <v>0</v>
      </c>
      <c r="CP385" s="55">
        <f t="shared" si="2310"/>
        <v>0</v>
      </c>
      <c r="CQ385" s="55">
        <f t="shared" si="2311"/>
        <v>0</v>
      </c>
      <c r="CR385" s="55">
        <f t="shared" si="2312"/>
        <v>0</v>
      </c>
      <c r="CS385" s="55">
        <f t="shared" si="2313"/>
        <v>0</v>
      </c>
      <c r="CT385" s="55">
        <f t="shared" si="2314"/>
        <v>0</v>
      </c>
      <c r="CU385" s="55">
        <f t="shared" si="2315"/>
        <v>0</v>
      </c>
      <c r="CV385" s="55">
        <f t="shared" si="2316"/>
        <v>0</v>
      </c>
      <c r="CW385" s="55">
        <f t="shared" si="2317"/>
        <v>0</v>
      </c>
      <c r="CX385" s="55">
        <f t="shared" si="2318"/>
        <v>0</v>
      </c>
      <c r="CY385" s="55">
        <f t="shared" si="2319"/>
        <v>0</v>
      </c>
      <c r="CZ385" s="56">
        <f t="shared" si="2320"/>
        <v>0</v>
      </c>
      <c r="DA385" s="55">
        <f t="shared" si="2321"/>
        <v>0</v>
      </c>
      <c r="DB385" s="55">
        <f t="shared" si="2322"/>
        <v>0</v>
      </c>
      <c r="DC385" s="55">
        <f t="shared" si="2323"/>
        <v>0</v>
      </c>
      <c r="DD385" s="55">
        <f t="shared" si="2324"/>
        <v>0</v>
      </c>
      <c r="DE385" s="55">
        <f t="shared" si="2325"/>
        <v>0</v>
      </c>
      <c r="DF385" s="55">
        <f t="shared" si="2326"/>
        <v>0</v>
      </c>
      <c r="DG385" s="55">
        <f t="shared" si="2327"/>
        <v>0</v>
      </c>
      <c r="DH385" s="55">
        <f t="shared" si="2328"/>
        <v>0</v>
      </c>
      <c r="DI385" s="55">
        <f t="shared" si="2329"/>
        <v>0</v>
      </c>
    </row>
    <row r="386" spans="1:113" outlineLevel="2">
      <c r="A386" s="1" t="s">
        <v>989</v>
      </c>
      <c r="B386" s="19" t="s">
        <v>423</v>
      </c>
      <c r="C386" s="53">
        <v>0</v>
      </c>
      <c r="D386" s="53">
        <v>0</v>
      </c>
      <c r="E386" s="53">
        <v>0</v>
      </c>
      <c r="F386" s="53">
        <v>0</v>
      </c>
      <c r="G386" s="53">
        <v>0</v>
      </c>
      <c r="H386" s="53">
        <v>0</v>
      </c>
      <c r="I386" s="53">
        <v>0</v>
      </c>
      <c r="J386" s="53">
        <v>0</v>
      </c>
      <c r="K386" s="53">
        <v>0</v>
      </c>
      <c r="L386" s="53">
        <v>0</v>
      </c>
      <c r="M386" s="53">
        <v>0</v>
      </c>
      <c r="N386" s="53">
        <v>0</v>
      </c>
      <c r="O386" s="53">
        <v>0</v>
      </c>
      <c r="P386" s="53">
        <v>0</v>
      </c>
      <c r="Q386" s="53">
        <v>0</v>
      </c>
      <c r="R386" s="53">
        <v>0</v>
      </c>
      <c r="S386" s="53">
        <v>0</v>
      </c>
      <c r="T386" s="53">
        <v>0</v>
      </c>
      <c r="U386" s="53">
        <v>0</v>
      </c>
      <c r="V386" s="53">
        <v>0</v>
      </c>
      <c r="W386" s="53">
        <v>0</v>
      </c>
      <c r="X386" s="53">
        <v>0</v>
      </c>
      <c r="Y386" s="53">
        <v>0</v>
      </c>
      <c r="Z386" s="53">
        <v>0</v>
      </c>
      <c r="AA386" s="164">
        <v>0</v>
      </c>
      <c r="AB386" s="164">
        <v>0</v>
      </c>
      <c r="AC386" s="164">
        <v>0</v>
      </c>
      <c r="AD386" s="164">
        <v>0</v>
      </c>
      <c r="AE386" s="164">
        <v>0</v>
      </c>
      <c r="AF386" s="164">
        <v>0</v>
      </c>
      <c r="AG386" s="164">
        <v>0</v>
      </c>
      <c r="AH386" s="164">
        <v>0</v>
      </c>
      <c r="AI386" s="164">
        <v>0</v>
      </c>
      <c r="AJ386" s="164">
        <v>0</v>
      </c>
      <c r="AK386" s="164">
        <v>0</v>
      </c>
      <c r="AL386" s="164">
        <v>0</v>
      </c>
      <c r="AM386" s="164">
        <v>0</v>
      </c>
      <c r="AN386" s="164">
        <v>0</v>
      </c>
      <c r="AO386" s="164">
        <v>0</v>
      </c>
      <c r="AP386" s="164">
        <v>0</v>
      </c>
      <c r="AQ386" s="164">
        <v>0</v>
      </c>
      <c r="AR386" s="164">
        <v>0</v>
      </c>
      <c r="AS386" s="164">
        <v>0</v>
      </c>
      <c r="AT386" s="164">
        <v>0</v>
      </c>
      <c r="AU386" s="164">
        <v>0</v>
      </c>
      <c r="AV386" s="164">
        <v>0</v>
      </c>
      <c r="AW386" s="164">
        <v>0</v>
      </c>
      <c r="AX386" s="164">
        <v>0</v>
      </c>
      <c r="AY386" s="164">
        <v>0</v>
      </c>
      <c r="AZ386" s="171">
        <v>0</v>
      </c>
      <c r="BA386" s="54">
        <v>0</v>
      </c>
      <c r="BB386" s="54">
        <v>0</v>
      </c>
      <c r="BC386" s="54">
        <v>0</v>
      </c>
      <c r="BD386" s="54">
        <v>0</v>
      </c>
      <c r="BE386" s="54">
        <v>0</v>
      </c>
      <c r="BF386" s="54">
        <v>0</v>
      </c>
      <c r="BG386" s="54">
        <v>0</v>
      </c>
      <c r="BH386" s="54">
        <v>0</v>
      </c>
      <c r="BI386" s="54">
        <v>0</v>
      </c>
      <c r="BJ386" s="54">
        <v>0</v>
      </c>
      <c r="BK386" s="54">
        <v>0</v>
      </c>
      <c r="BL386" s="54">
        <v>0</v>
      </c>
      <c r="BM386" s="54">
        <v>0</v>
      </c>
      <c r="BN386" s="54">
        <v>0</v>
      </c>
      <c r="BO386" s="54">
        <v>0</v>
      </c>
      <c r="BP386" s="54">
        <v>0</v>
      </c>
      <c r="BQ386" s="54">
        <v>0</v>
      </c>
      <c r="BR386" s="55"/>
      <c r="BS386" s="53">
        <v>0</v>
      </c>
      <c r="BT386" s="53">
        <v>0</v>
      </c>
      <c r="BU386" s="53">
        <v>0</v>
      </c>
      <c r="BV386" s="53">
        <v>0</v>
      </c>
      <c r="BW386" s="53">
        <v>0</v>
      </c>
      <c r="BX386" s="53">
        <v>0</v>
      </c>
      <c r="BY386" s="53">
        <v>0</v>
      </c>
      <c r="BZ386" s="53">
        <v>0</v>
      </c>
      <c r="CA386" s="53">
        <v>0</v>
      </c>
      <c r="CB386" s="53">
        <v>0</v>
      </c>
      <c r="CC386" s="55">
        <f t="shared" si="2297"/>
        <v>0</v>
      </c>
      <c r="CD386" s="55">
        <f t="shared" si="2298"/>
        <v>0</v>
      </c>
      <c r="CE386" s="55">
        <f t="shared" si="2299"/>
        <v>0</v>
      </c>
      <c r="CF386" s="55">
        <f t="shared" si="2300"/>
        <v>0</v>
      </c>
      <c r="CG386" s="55">
        <f t="shared" si="2301"/>
        <v>0</v>
      </c>
      <c r="CH386" s="55">
        <f t="shared" si="2302"/>
        <v>0</v>
      </c>
      <c r="CI386" s="55">
        <f t="shared" si="2303"/>
        <v>0</v>
      </c>
      <c r="CJ386" s="55">
        <f t="shared" si="2304"/>
        <v>0</v>
      </c>
      <c r="CK386" s="55">
        <f t="shared" si="2305"/>
        <v>0</v>
      </c>
      <c r="CL386" s="55">
        <f t="shared" si="2306"/>
        <v>0</v>
      </c>
      <c r="CM386" s="55">
        <f t="shared" si="2307"/>
        <v>0</v>
      </c>
      <c r="CN386" s="55">
        <f t="shared" si="2308"/>
        <v>0</v>
      </c>
      <c r="CO386" s="55">
        <f t="shared" si="2309"/>
        <v>0</v>
      </c>
      <c r="CP386" s="55">
        <f t="shared" si="2310"/>
        <v>0</v>
      </c>
      <c r="CQ386" s="55">
        <f t="shared" si="2311"/>
        <v>0</v>
      </c>
      <c r="CR386" s="55">
        <f t="shared" si="2312"/>
        <v>0</v>
      </c>
      <c r="CS386" s="55">
        <f t="shared" si="2313"/>
        <v>0</v>
      </c>
      <c r="CT386" s="55">
        <f t="shared" si="2314"/>
        <v>0</v>
      </c>
      <c r="CU386" s="55">
        <f t="shared" si="2315"/>
        <v>0</v>
      </c>
      <c r="CV386" s="55">
        <f t="shared" si="2316"/>
        <v>0</v>
      </c>
      <c r="CW386" s="55">
        <f t="shared" si="2317"/>
        <v>0</v>
      </c>
      <c r="CX386" s="55">
        <f t="shared" si="2318"/>
        <v>0</v>
      </c>
      <c r="CY386" s="55">
        <f t="shared" si="2319"/>
        <v>0</v>
      </c>
      <c r="CZ386" s="56">
        <f t="shared" si="2320"/>
        <v>0</v>
      </c>
      <c r="DA386" s="55">
        <f t="shared" si="2321"/>
        <v>0</v>
      </c>
      <c r="DB386" s="55">
        <f t="shared" si="2322"/>
        <v>0</v>
      </c>
      <c r="DC386" s="55">
        <f t="shared" si="2323"/>
        <v>0</v>
      </c>
      <c r="DD386" s="55">
        <f t="shared" si="2324"/>
        <v>0</v>
      </c>
      <c r="DE386" s="55">
        <f t="shared" si="2325"/>
        <v>0</v>
      </c>
      <c r="DF386" s="55">
        <f t="shared" si="2326"/>
        <v>0</v>
      </c>
      <c r="DG386" s="55">
        <f t="shared" si="2327"/>
        <v>0</v>
      </c>
      <c r="DH386" s="55">
        <f t="shared" si="2328"/>
        <v>0</v>
      </c>
      <c r="DI386" s="55">
        <f t="shared" si="2329"/>
        <v>0</v>
      </c>
    </row>
    <row r="387" spans="1:113" s="24" customFormat="1" outlineLevel="2">
      <c r="A387" s="1" t="s">
        <v>990</v>
      </c>
      <c r="B387" s="24" t="s">
        <v>424</v>
      </c>
      <c r="C387" s="81">
        <v>2253</v>
      </c>
      <c r="D387" s="81">
        <v>2349</v>
      </c>
      <c r="E387" s="81">
        <v>2361</v>
      </c>
      <c r="F387" s="81">
        <v>2454</v>
      </c>
      <c r="G387" s="81">
        <v>2572</v>
      </c>
      <c r="H387" s="81">
        <v>2671</v>
      </c>
      <c r="I387" s="81">
        <v>2739</v>
      </c>
      <c r="J387" s="81">
        <v>2958</v>
      </c>
      <c r="K387" s="81">
        <v>3068</v>
      </c>
      <c r="L387" s="81">
        <v>3255</v>
      </c>
      <c r="M387" s="81">
        <v>3259</v>
      </c>
      <c r="N387" s="81">
        <v>3485</v>
      </c>
      <c r="O387" s="81">
        <v>3551</v>
      </c>
      <c r="P387" s="81">
        <v>3899</v>
      </c>
      <c r="Q387" s="81">
        <v>4008</v>
      </c>
      <c r="R387" s="81">
        <v>5073</v>
      </c>
      <c r="S387" s="81">
        <v>5643</v>
      </c>
      <c r="T387" s="81">
        <v>6062</v>
      </c>
      <c r="U387" s="81">
        <v>5806</v>
      </c>
      <c r="V387" s="81">
        <f>12645-W387</f>
        <v>6177</v>
      </c>
      <c r="W387" s="81">
        <v>6468</v>
      </c>
      <c r="X387" s="81">
        <v>6644</v>
      </c>
      <c r="Y387" s="81">
        <v>6513</v>
      </c>
      <c r="Z387" s="81">
        <v>6862</v>
      </c>
      <c r="AA387" s="166">
        <v>7082</v>
      </c>
      <c r="AB387" s="166">
        <v>7444</v>
      </c>
      <c r="AC387" s="166">
        <v>7647</v>
      </c>
      <c r="AD387" s="597">
        <f>15827-AE387</f>
        <v>7901</v>
      </c>
      <c r="AE387" s="166">
        <v>7926</v>
      </c>
      <c r="AF387" s="166">
        <v>8427</v>
      </c>
      <c r="AG387" s="166">
        <v>8508</v>
      </c>
      <c r="AH387" s="166">
        <v>8710</v>
      </c>
      <c r="AI387" s="166">
        <v>8824</v>
      </c>
      <c r="AJ387" s="166">
        <v>9257</v>
      </c>
      <c r="AK387" s="166">
        <v>9085</v>
      </c>
      <c r="AL387" s="166">
        <f>18224/(8986+9134)*9134</f>
        <v>9186.4247240618115</v>
      </c>
      <c r="AM387" s="166">
        <f>18224/(8986+9134)*8986</f>
        <v>9037.5752759381903</v>
      </c>
      <c r="AN387" s="166">
        <v>9350</v>
      </c>
      <c r="AO387" s="166">
        <v>9260</v>
      </c>
      <c r="AP387" s="166">
        <v>9600</v>
      </c>
      <c r="AQ387" s="166">
        <v>9702</v>
      </c>
      <c r="AR387" s="166">
        <v>9748</v>
      </c>
      <c r="AS387" s="166">
        <v>9725</v>
      </c>
      <c r="AT387" s="166">
        <v>11637</v>
      </c>
      <c r="AU387" s="166">
        <v>11419</v>
      </c>
      <c r="AV387" s="166">
        <v>11404</v>
      </c>
      <c r="AW387" s="166">
        <v>11420</v>
      </c>
      <c r="AX387" s="166">
        <v>11934</v>
      </c>
      <c r="AY387" s="166">
        <v>12088.999999999998</v>
      </c>
      <c r="AZ387" s="167">
        <v>12695</v>
      </c>
      <c r="BA387" s="82">
        <f t="shared" ref="BA387:BE387" si="2356">SUM(BA381:BA386)</f>
        <v>12937.741654554829</v>
      </c>
      <c r="BB387" s="82">
        <f t="shared" si="2356"/>
        <v>13522.721796650811</v>
      </c>
      <c r="BC387" s="82">
        <f t="shared" si="2356"/>
        <v>13544.442313266794</v>
      </c>
      <c r="BD387" s="82">
        <f t="shared" si="2356"/>
        <v>13989.691392669569</v>
      </c>
      <c r="BE387" s="82">
        <f t="shared" si="2356"/>
        <v>14132.153196692008</v>
      </c>
      <c r="BF387" s="82">
        <f t="shared" ref="BF387:BM387" si="2357">SUM(BF381:BF386)</f>
        <v>14627.181348904869</v>
      </c>
      <c r="BG387" s="82">
        <f t="shared" si="2357"/>
        <v>14647.304457087286</v>
      </c>
      <c r="BH387" s="82">
        <f t="shared" si="2357"/>
        <v>15061.656555931113</v>
      </c>
      <c r="BI387" s="82">
        <f t="shared" si="2357"/>
        <v>15029.478608772921</v>
      </c>
      <c r="BJ387" s="82">
        <f t="shared" si="2357"/>
        <v>15469.465259723956</v>
      </c>
      <c r="BK387" s="82">
        <f t="shared" si="2357"/>
        <v>15428.433752427767</v>
      </c>
      <c r="BL387" s="82">
        <f t="shared" si="2357"/>
        <v>15858.089292021867</v>
      </c>
      <c r="BM387" s="82">
        <f t="shared" si="2357"/>
        <v>15902.832430980148</v>
      </c>
      <c r="BN387" s="82">
        <f t="shared" ref="BN387:BO387" si="2358">SUM(BN381:BN386)</f>
        <v>16344.480658543636</v>
      </c>
      <c r="BO387" s="82">
        <f t="shared" si="2358"/>
        <v>16299.926685297176</v>
      </c>
      <c r="BP387" s="82">
        <f t="shared" ref="BP387:BQ387" si="2359">SUM(BP381:BP386)</f>
        <v>16798.492768839806</v>
      </c>
      <c r="BQ387" s="82">
        <f t="shared" si="2359"/>
        <v>16752.050964861468</v>
      </c>
      <c r="BR387" s="82"/>
      <c r="BS387" s="81">
        <v>3249</v>
      </c>
      <c r="BT387" s="81">
        <v>2981</v>
      </c>
      <c r="BU387" s="81">
        <v>2844</v>
      </c>
      <c r="BV387" s="81">
        <v>3164</v>
      </c>
      <c r="BW387" s="81">
        <v>3397</v>
      </c>
      <c r="BX387" s="81">
        <v>3392</v>
      </c>
      <c r="BY387" s="81">
        <v>3397</v>
      </c>
      <c r="BZ387" s="81">
        <v>3527</v>
      </c>
      <c r="CA387" s="81">
        <v>3719</v>
      </c>
      <c r="CB387" s="81">
        <v>4474</v>
      </c>
      <c r="CC387" s="82">
        <f t="shared" si="2297"/>
        <v>4710</v>
      </c>
      <c r="CD387" s="82">
        <f t="shared" si="2298"/>
        <v>5026</v>
      </c>
      <c r="CE387" s="82">
        <f t="shared" si="2299"/>
        <v>5410</v>
      </c>
      <c r="CF387" s="82">
        <f t="shared" si="2300"/>
        <v>6026</v>
      </c>
      <c r="CG387" s="82">
        <f t="shared" si="2301"/>
        <v>6514</v>
      </c>
      <c r="CH387" s="82">
        <f t="shared" si="2302"/>
        <v>7036</v>
      </c>
      <c r="CI387" s="82">
        <f t="shared" si="2303"/>
        <v>7907</v>
      </c>
      <c r="CJ387" s="82">
        <f t="shared" si="2304"/>
        <v>10716</v>
      </c>
      <c r="CK387" s="82">
        <f t="shared" si="2305"/>
        <v>11868</v>
      </c>
      <c r="CL387" s="82">
        <f t="shared" si="2306"/>
        <v>12645</v>
      </c>
      <c r="CM387" s="82">
        <f t="shared" si="2307"/>
        <v>13157</v>
      </c>
      <c r="CN387" s="82">
        <f t="shared" si="2308"/>
        <v>13944</v>
      </c>
      <c r="CO387" s="82">
        <f t="shared" si="2309"/>
        <v>15091</v>
      </c>
      <c r="CP387" s="82">
        <f t="shared" si="2310"/>
        <v>15827</v>
      </c>
      <c r="CQ387" s="82">
        <f t="shared" si="2311"/>
        <v>16935</v>
      </c>
      <c r="CR387" s="82">
        <f t="shared" si="2312"/>
        <v>17534</v>
      </c>
      <c r="CS387" s="82">
        <f t="shared" si="2313"/>
        <v>18342</v>
      </c>
      <c r="CT387" s="82">
        <f t="shared" si="2314"/>
        <v>18224</v>
      </c>
      <c r="CU387" s="82">
        <f t="shared" si="2315"/>
        <v>18610</v>
      </c>
      <c r="CV387" s="82">
        <f t="shared" si="2316"/>
        <v>19302</v>
      </c>
      <c r="CW387" s="82">
        <f t="shared" si="2317"/>
        <v>19473</v>
      </c>
      <c r="CX387" s="82">
        <f t="shared" si="2318"/>
        <v>23056</v>
      </c>
      <c r="CY387" s="82">
        <f t="shared" si="2319"/>
        <v>22824</v>
      </c>
      <c r="CZ387" s="83">
        <f t="shared" si="2320"/>
        <v>24023</v>
      </c>
      <c r="DA387" s="82">
        <f t="shared" si="2321"/>
        <v>25632.741654554829</v>
      </c>
      <c r="DB387" s="82">
        <f t="shared" si="2322"/>
        <v>27067.164109917605</v>
      </c>
      <c r="DC387" s="82">
        <f t="shared" si="2323"/>
        <v>28121.844589361579</v>
      </c>
      <c r="DD387" s="82">
        <f t="shared" si="2324"/>
        <v>29274.485805992153</v>
      </c>
      <c r="DE387" s="82">
        <f t="shared" si="2325"/>
        <v>30091.135164704036</v>
      </c>
      <c r="DF387" s="82">
        <f t="shared" si="2326"/>
        <v>30897.899012151724</v>
      </c>
      <c r="DG387" s="82">
        <f t="shared" si="2327"/>
        <v>31760.921723002015</v>
      </c>
      <c r="DH387" s="82">
        <f t="shared" si="2328"/>
        <v>32644.407343840812</v>
      </c>
      <c r="DI387" s="82">
        <f t="shared" si="2329"/>
        <v>33550.54373370127</v>
      </c>
    </row>
    <row r="388" spans="1:113" outlineLevel="2">
      <c r="A388" s="1" t="s">
        <v>991</v>
      </c>
      <c r="B388" s="19" t="s">
        <v>526</v>
      </c>
      <c r="C388" s="55">
        <f t="shared" ref="C388:L388" si="2360">C389-C387</f>
        <v>0</v>
      </c>
      <c r="D388" s="55">
        <f t="shared" si="2360"/>
        <v>0</v>
      </c>
      <c r="E388" s="55">
        <f t="shared" si="2360"/>
        <v>0</v>
      </c>
      <c r="F388" s="55">
        <f t="shared" si="2360"/>
        <v>0</v>
      </c>
      <c r="G388" s="55">
        <f t="shared" si="2360"/>
        <v>0</v>
      </c>
      <c r="H388" s="55">
        <f t="shared" si="2360"/>
        <v>0</v>
      </c>
      <c r="I388" s="55">
        <f t="shared" si="2360"/>
        <v>0</v>
      </c>
      <c r="J388" s="55">
        <f t="shared" si="2360"/>
        <v>0</v>
      </c>
      <c r="K388" s="55">
        <f t="shared" si="2360"/>
        <v>0</v>
      </c>
      <c r="L388" s="55">
        <f t="shared" si="2360"/>
        <v>0</v>
      </c>
      <c r="M388" s="55">
        <f t="shared" ref="M388:Y388" si="2361">M389-M387</f>
        <v>0</v>
      </c>
      <c r="N388" s="55">
        <f t="shared" si="2361"/>
        <v>0</v>
      </c>
      <c r="O388" s="55">
        <f t="shared" si="2361"/>
        <v>0</v>
      </c>
      <c r="P388" s="55">
        <f t="shared" si="2361"/>
        <v>0</v>
      </c>
      <c r="Q388" s="55">
        <f t="shared" si="2361"/>
        <v>0</v>
      </c>
      <c r="R388" s="55">
        <f t="shared" si="2361"/>
        <v>-530</v>
      </c>
      <c r="S388" s="55">
        <f t="shared" si="2361"/>
        <v>115</v>
      </c>
      <c r="T388" s="55">
        <f t="shared" si="2361"/>
        <v>96</v>
      </c>
      <c r="U388" s="55">
        <f t="shared" si="2361"/>
        <v>-42</v>
      </c>
      <c r="V388" s="55">
        <f t="shared" si="2361"/>
        <v>-48</v>
      </c>
      <c r="W388" s="55">
        <f t="shared" si="2361"/>
        <v>-3</v>
      </c>
      <c r="X388" s="55">
        <f t="shared" si="2361"/>
        <v>-14</v>
      </c>
      <c r="Y388" s="55">
        <f t="shared" si="2361"/>
        <v>-21</v>
      </c>
      <c r="Z388" s="55">
        <f t="shared" ref="Z388:AK388" si="2362">Z389-Z387</f>
        <v>-10</v>
      </c>
      <c r="AA388" s="55">
        <f t="shared" si="2362"/>
        <v>0</v>
      </c>
      <c r="AB388" s="55">
        <f t="shared" si="2362"/>
        <v>10</v>
      </c>
      <c r="AC388" s="55">
        <f t="shared" si="2362"/>
        <v>0</v>
      </c>
      <c r="AD388" s="55">
        <f t="shared" si="2362"/>
        <v>-29</v>
      </c>
      <c r="AE388" s="55">
        <f t="shared" si="2362"/>
        <v>25</v>
      </c>
      <c r="AF388" s="55">
        <f t="shared" si="2362"/>
        <v>-1</v>
      </c>
      <c r="AG388" s="55">
        <f t="shared" si="2362"/>
        <v>1</v>
      </c>
      <c r="AH388" s="55">
        <f t="shared" si="2362"/>
        <v>-2</v>
      </c>
      <c r="AI388" s="55">
        <f t="shared" si="2362"/>
        <v>2</v>
      </c>
      <c r="AJ388" s="55">
        <f t="shared" si="2362"/>
        <v>0</v>
      </c>
      <c r="AK388" s="55">
        <f t="shared" si="2362"/>
        <v>0</v>
      </c>
      <c r="AL388" s="55">
        <f t="shared" ref="AL388:AQ388" si="2363">AL389-AL387</f>
        <v>-52.424724061811503</v>
      </c>
      <c r="AM388" s="55">
        <f t="shared" si="2363"/>
        <v>-51.575275938190316</v>
      </c>
      <c r="AN388" s="55">
        <f t="shared" si="2363"/>
        <v>-57</v>
      </c>
      <c r="AO388" s="55">
        <f t="shared" si="2363"/>
        <v>0</v>
      </c>
      <c r="AP388" s="55">
        <f t="shared" si="2363"/>
        <v>-229</v>
      </c>
      <c r="AQ388" s="55">
        <f t="shared" si="2363"/>
        <v>-234</v>
      </c>
      <c r="AR388" s="55">
        <f t="shared" ref="AR388" si="2364">AR389-AR387</f>
        <v>0</v>
      </c>
      <c r="AS388" s="55">
        <f t="shared" ref="AS388:AT388" si="2365">AS389-AS387</f>
        <v>0</v>
      </c>
      <c r="AT388" s="55">
        <f t="shared" si="2365"/>
        <v>0</v>
      </c>
      <c r="AU388" s="55">
        <f t="shared" ref="AU388:AV388" si="2366">AU389-AU387</f>
        <v>0</v>
      </c>
      <c r="AV388" s="55">
        <f t="shared" si="2366"/>
        <v>0</v>
      </c>
      <c r="AW388" s="55">
        <f t="shared" ref="AW388:AY388" si="2367">AW389-AW387</f>
        <v>0</v>
      </c>
      <c r="AX388" s="55">
        <f t="shared" si="2367"/>
        <v>0</v>
      </c>
      <c r="AY388" s="55">
        <f t="shared" si="2367"/>
        <v>0</v>
      </c>
      <c r="AZ388" s="56">
        <f t="shared" ref="AZ388" si="2368">AZ389-AZ387</f>
        <v>0</v>
      </c>
      <c r="BA388" s="54">
        <v>0</v>
      </c>
      <c r="BB388" s="54">
        <v>0</v>
      </c>
      <c r="BC388" s="54">
        <v>0</v>
      </c>
      <c r="BD388" s="54">
        <v>0</v>
      </c>
      <c r="BE388" s="54">
        <v>0</v>
      </c>
      <c r="BF388" s="54">
        <v>0</v>
      </c>
      <c r="BG388" s="54">
        <v>0</v>
      </c>
      <c r="BH388" s="54">
        <v>0</v>
      </c>
      <c r="BI388" s="54">
        <v>0</v>
      </c>
      <c r="BJ388" s="54">
        <v>0</v>
      </c>
      <c r="BK388" s="54">
        <v>0</v>
      </c>
      <c r="BL388" s="54">
        <v>0</v>
      </c>
      <c r="BM388" s="54">
        <v>0</v>
      </c>
      <c r="BN388" s="54">
        <v>0</v>
      </c>
      <c r="BO388" s="54">
        <v>0</v>
      </c>
      <c r="BP388" s="54">
        <v>0</v>
      </c>
      <c r="BQ388" s="54">
        <v>0</v>
      </c>
      <c r="BR388" s="55"/>
      <c r="BS388" s="55">
        <f>BS389-BS387</f>
        <v>0</v>
      </c>
      <c r="BT388" s="55">
        <f>BT389-BT387</f>
        <v>0</v>
      </c>
      <c r="BU388" s="55">
        <f t="shared" ref="BU388:CB388" si="2369">BU389-BU387</f>
        <v>0</v>
      </c>
      <c r="BV388" s="55">
        <f t="shared" si="2369"/>
        <v>0</v>
      </c>
      <c r="BW388" s="55">
        <f t="shared" si="2369"/>
        <v>0</v>
      </c>
      <c r="BX388" s="55">
        <f t="shared" si="2369"/>
        <v>0</v>
      </c>
      <c r="BY388" s="55">
        <f t="shared" si="2369"/>
        <v>0</v>
      </c>
      <c r="BZ388" s="55">
        <f t="shared" si="2369"/>
        <v>0</v>
      </c>
      <c r="CA388" s="55">
        <f t="shared" si="2369"/>
        <v>0</v>
      </c>
      <c r="CB388" s="55">
        <f t="shared" si="2369"/>
        <v>0</v>
      </c>
      <c r="CC388" s="55">
        <f t="shared" ref="CC388:CI388" si="2370">CC389-CC387</f>
        <v>0</v>
      </c>
      <c r="CD388" s="55">
        <f t="shared" si="2370"/>
        <v>0</v>
      </c>
      <c r="CE388" s="55">
        <f t="shared" si="2370"/>
        <v>0</v>
      </c>
      <c r="CF388" s="55">
        <f t="shared" si="2370"/>
        <v>0</v>
      </c>
      <c r="CG388" s="55">
        <f t="shared" si="2370"/>
        <v>0</v>
      </c>
      <c r="CH388" s="55">
        <f t="shared" si="2370"/>
        <v>0</v>
      </c>
      <c r="CI388" s="55">
        <f t="shared" si="2370"/>
        <v>0</v>
      </c>
      <c r="CJ388" s="55">
        <f t="shared" si="2304"/>
        <v>-415</v>
      </c>
      <c r="CK388" s="55">
        <f t="shared" si="2305"/>
        <v>54</v>
      </c>
      <c r="CL388" s="55">
        <f t="shared" si="2306"/>
        <v>-51</v>
      </c>
      <c r="CM388" s="55">
        <f t="shared" si="2307"/>
        <v>-35</v>
      </c>
      <c r="CN388" s="55">
        <f t="shared" si="2308"/>
        <v>-10</v>
      </c>
      <c r="CO388" s="55">
        <f t="shared" si="2309"/>
        <v>10</v>
      </c>
      <c r="CP388" s="55">
        <f t="shared" si="2310"/>
        <v>-4</v>
      </c>
      <c r="CQ388" s="55">
        <f t="shared" si="2311"/>
        <v>0</v>
      </c>
      <c r="CR388" s="55">
        <f t="shared" si="2312"/>
        <v>0</v>
      </c>
      <c r="CS388" s="55">
        <f t="shared" si="2313"/>
        <v>0</v>
      </c>
      <c r="CT388" s="55">
        <f t="shared" si="2314"/>
        <v>-104.00000000000182</v>
      </c>
      <c r="CU388" s="55">
        <f t="shared" si="2315"/>
        <v>-57</v>
      </c>
      <c r="CV388" s="55">
        <f t="shared" si="2316"/>
        <v>-463</v>
      </c>
      <c r="CW388" s="55">
        <f t="shared" si="2317"/>
        <v>0</v>
      </c>
      <c r="CX388" s="55">
        <f t="shared" si="2318"/>
        <v>0</v>
      </c>
      <c r="CY388" s="55">
        <f t="shared" si="2319"/>
        <v>0</v>
      </c>
      <c r="CZ388" s="56">
        <f t="shared" si="2320"/>
        <v>0</v>
      </c>
      <c r="DA388" s="55">
        <f t="shared" si="2321"/>
        <v>0</v>
      </c>
      <c r="DB388" s="55">
        <f t="shared" si="2322"/>
        <v>0</v>
      </c>
      <c r="DC388" s="55">
        <f t="shared" si="2323"/>
        <v>0</v>
      </c>
      <c r="DD388" s="55">
        <f t="shared" si="2324"/>
        <v>0</v>
      </c>
      <c r="DE388" s="55">
        <f t="shared" si="2325"/>
        <v>0</v>
      </c>
      <c r="DF388" s="55">
        <f t="shared" si="2326"/>
        <v>0</v>
      </c>
      <c r="DG388" s="55">
        <f t="shared" si="2327"/>
        <v>0</v>
      </c>
      <c r="DH388" s="55">
        <f t="shared" si="2328"/>
        <v>0</v>
      </c>
      <c r="DI388" s="55">
        <f t="shared" si="2329"/>
        <v>0</v>
      </c>
    </row>
    <row r="389" spans="1:113" s="24" customFormat="1" outlineLevel="2">
      <c r="A389" s="1" t="s">
        <v>992</v>
      </c>
      <c r="B389" s="24" t="s">
        <v>527</v>
      </c>
      <c r="C389" s="81">
        <v>2253</v>
      </c>
      <c r="D389" s="81">
        <v>2349</v>
      </c>
      <c r="E389" s="81">
        <v>2361</v>
      </c>
      <c r="F389" s="81">
        <v>2454</v>
      </c>
      <c r="G389" s="81">
        <v>2572</v>
      </c>
      <c r="H389" s="81">
        <v>2671</v>
      </c>
      <c r="I389" s="81">
        <v>2739</v>
      </c>
      <c r="J389" s="81">
        <v>2958</v>
      </c>
      <c r="K389" s="81">
        <v>3068</v>
      </c>
      <c r="L389" s="81">
        <v>3255</v>
      </c>
      <c r="M389" s="81">
        <v>3259</v>
      </c>
      <c r="N389" s="81">
        <v>3485</v>
      </c>
      <c r="O389" s="81">
        <v>3551</v>
      </c>
      <c r="P389" s="81">
        <v>3899</v>
      </c>
      <c r="Q389" s="81">
        <v>4008</v>
      </c>
      <c r="R389" s="81">
        <v>4543</v>
      </c>
      <c r="S389" s="81">
        <v>5758</v>
      </c>
      <c r="T389" s="81">
        <v>6158</v>
      </c>
      <c r="U389" s="81">
        <v>5764</v>
      </c>
      <c r="V389" s="81">
        <v>6129</v>
      </c>
      <c r="W389" s="81">
        <f>12594-V389</f>
        <v>6465</v>
      </c>
      <c r="X389" s="81">
        <f>13122-Y389</f>
        <v>6630</v>
      </c>
      <c r="Y389" s="81">
        <v>6492</v>
      </c>
      <c r="Z389" s="81">
        <v>6852</v>
      </c>
      <c r="AA389" s="166">
        <v>7082</v>
      </c>
      <c r="AB389" s="166">
        <v>7454</v>
      </c>
      <c r="AC389" s="166">
        <v>7647</v>
      </c>
      <c r="AD389" s="166">
        <v>7872</v>
      </c>
      <c r="AE389" s="166">
        <f>15823-AD389</f>
        <v>7951</v>
      </c>
      <c r="AF389" s="166">
        <v>8426</v>
      </c>
      <c r="AG389" s="166">
        <v>8509</v>
      </c>
      <c r="AH389" s="166">
        <v>8708</v>
      </c>
      <c r="AI389" s="166">
        <v>8826</v>
      </c>
      <c r="AJ389" s="166">
        <v>9257</v>
      </c>
      <c r="AK389" s="166">
        <v>9085</v>
      </c>
      <c r="AL389" s="166">
        <v>9134</v>
      </c>
      <c r="AM389" s="166">
        <v>8986</v>
      </c>
      <c r="AN389" s="166">
        <v>9293</v>
      </c>
      <c r="AO389" s="166">
        <v>9260</v>
      </c>
      <c r="AP389" s="166">
        <v>9371</v>
      </c>
      <c r="AQ389" s="166">
        <v>9468</v>
      </c>
      <c r="AR389" s="166">
        <v>9748</v>
      </c>
      <c r="AS389" s="166">
        <v>9725</v>
      </c>
      <c r="AT389" s="166">
        <v>11637</v>
      </c>
      <c r="AU389" s="166">
        <v>11419</v>
      </c>
      <c r="AV389" s="166">
        <v>11404</v>
      </c>
      <c r="AW389" s="166">
        <v>11420</v>
      </c>
      <c r="AX389" s="166">
        <v>11934</v>
      </c>
      <c r="AY389" s="166">
        <v>12088.999999999998</v>
      </c>
      <c r="AZ389" s="167">
        <v>12695</v>
      </c>
      <c r="BA389" s="82">
        <f t="shared" ref="BA389:BE389" si="2371">BA387+BA388</f>
        <v>12937.741654554829</v>
      </c>
      <c r="BB389" s="82">
        <f t="shared" si="2371"/>
        <v>13522.721796650811</v>
      </c>
      <c r="BC389" s="82">
        <f t="shared" si="2371"/>
        <v>13544.442313266794</v>
      </c>
      <c r="BD389" s="82">
        <f t="shared" si="2371"/>
        <v>13989.691392669569</v>
      </c>
      <c r="BE389" s="82">
        <f t="shared" si="2371"/>
        <v>14132.153196692008</v>
      </c>
      <c r="BF389" s="82">
        <f t="shared" ref="BF389:BM389" si="2372">BF387+BF388</f>
        <v>14627.181348904869</v>
      </c>
      <c r="BG389" s="82">
        <f t="shared" si="2372"/>
        <v>14647.304457087286</v>
      </c>
      <c r="BH389" s="82">
        <f t="shared" si="2372"/>
        <v>15061.656555931113</v>
      </c>
      <c r="BI389" s="82">
        <f t="shared" si="2372"/>
        <v>15029.478608772921</v>
      </c>
      <c r="BJ389" s="82">
        <f t="shared" si="2372"/>
        <v>15469.465259723956</v>
      </c>
      <c r="BK389" s="82">
        <f t="shared" si="2372"/>
        <v>15428.433752427767</v>
      </c>
      <c r="BL389" s="82">
        <f t="shared" si="2372"/>
        <v>15858.089292021867</v>
      </c>
      <c r="BM389" s="82">
        <f t="shared" si="2372"/>
        <v>15902.832430980148</v>
      </c>
      <c r="BN389" s="82">
        <f t="shared" ref="BN389:BO389" si="2373">BN387+BN388</f>
        <v>16344.480658543636</v>
      </c>
      <c r="BO389" s="82">
        <f t="shared" si="2373"/>
        <v>16299.926685297176</v>
      </c>
      <c r="BP389" s="82">
        <f t="shared" ref="BP389:BQ389" si="2374">BP387+BP388</f>
        <v>16798.492768839806</v>
      </c>
      <c r="BQ389" s="82">
        <f t="shared" si="2374"/>
        <v>16752.050964861468</v>
      </c>
      <c r="BR389" s="82"/>
      <c r="BS389" s="81">
        <v>3249</v>
      </c>
      <c r="BT389" s="81">
        <v>2981</v>
      </c>
      <c r="BU389" s="81">
        <v>2844</v>
      </c>
      <c r="BV389" s="81">
        <v>3164</v>
      </c>
      <c r="BW389" s="81">
        <v>3397</v>
      </c>
      <c r="BX389" s="81">
        <v>3392</v>
      </c>
      <c r="BY389" s="81">
        <v>3397</v>
      </c>
      <c r="BZ389" s="81">
        <v>3527</v>
      </c>
      <c r="CA389" s="81">
        <v>3719</v>
      </c>
      <c r="CB389" s="81">
        <v>4474</v>
      </c>
      <c r="CC389" s="82">
        <f>SUM(D389:E389)</f>
        <v>4710</v>
      </c>
      <c r="CD389" s="82">
        <f>SUM(F389:G389)</f>
        <v>5026</v>
      </c>
      <c r="CE389" s="82">
        <f>SUM(H389:I389)</f>
        <v>5410</v>
      </c>
      <c r="CF389" s="82">
        <f>SUM(J389:K389)</f>
        <v>6026</v>
      </c>
      <c r="CG389" s="82">
        <f>SUM(L389:M389)</f>
        <v>6514</v>
      </c>
      <c r="CH389" s="82">
        <f>SUM(N389:O389)</f>
        <v>7036</v>
      </c>
      <c r="CI389" s="82">
        <f>SUM(P389:Q389)</f>
        <v>7907</v>
      </c>
      <c r="CJ389" s="82">
        <f t="shared" si="2304"/>
        <v>10301</v>
      </c>
      <c r="CK389" s="82">
        <f t="shared" ref="CK389:CP389" si="2375">CK387+CK388</f>
        <v>11922</v>
      </c>
      <c r="CL389" s="82">
        <f t="shared" si="2375"/>
        <v>12594</v>
      </c>
      <c r="CM389" s="82">
        <f t="shared" si="2375"/>
        <v>13122</v>
      </c>
      <c r="CN389" s="82">
        <f t="shared" si="2375"/>
        <v>13934</v>
      </c>
      <c r="CO389" s="82">
        <f t="shared" si="2375"/>
        <v>15101</v>
      </c>
      <c r="CP389" s="82">
        <f t="shared" si="2375"/>
        <v>15823</v>
      </c>
      <c r="CQ389" s="82">
        <f t="shared" ref="CQ389:CX389" si="2376">CQ387+CQ388</f>
        <v>16935</v>
      </c>
      <c r="CR389" s="82">
        <f t="shared" si="2376"/>
        <v>17534</v>
      </c>
      <c r="CS389" s="82">
        <f t="shared" si="2376"/>
        <v>18342</v>
      </c>
      <c r="CT389" s="82">
        <f t="shared" si="2376"/>
        <v>18120</v>
      </c>
      <c r="CU389" s="82">
        <f t="shared" si="2376"/>
        <v>18553</v>
      </c>
      <c r="CV389" s="82">
        <f t="shared" si="2376"/>
        <v>18839</v>
      </c>
      <c r="CW389" s="82">
        <f t="shared" si="2376"/>
        <v>19473</v>
      </c>
      <c r="CX389" s="82">
        <f t="shared" si="2376"/>
        <v>23056</v>
      </c>
      <c r="CY389" s="82">
        <f t="shared" ref="CY389:DD389" si="2377">CY387+CY388</f>
        <v>22824</v>
      </c>
      <c r="CZ389" s="83">
        <f t="shared" si="2377"/>
        <v>24023</v>
      </c>
      <c r="DA389" s="82">
        <f t="shared" si="2377"/>
        <v>25632.741654554829</v>
      </c>
      <c r="DB389" s="82">
        <f t="shared" si="2377"/>
        <v>27067.164109917605</v>
      </c>
      <c r="DC389" s="82">
        <f t="shared" si="2377"/>
        <v>28121.844589361579</v>
      </c>
      <c r="DD389" s="82">
        <f t="shared" si="2377"/>
        <v>29274.485805992153</v>
      </c>
      <c r="DE389" s="82">
        <f>DE387+DE388</f>
        <v>30091.135164704036</v>
      </c>
      <c r="DF389" s="82">
        <f>DF387+DF388</f>
        <v>30897.899012151724</v>
      </c>
      <c r="DG389" s="82">
        <f>DG387+DG388</f>
        <v>31760.921723002015</v>
      </c>
      <c r="DH389" s="82">
        <f>DH387+DH388</f>
        <v>32644.407343840812</v>
      </c>
      <c r="DI389" s="82">
        <f>DI387+DI388</f>
        <v>33550.54373370127</v>
      </c>
    </row>
    <row r="390" spans="1:113" outlineLevel="1">
      <c r="C390" s="55"/>
      <c r="D390" s="55"/>
      <c r="E390" s="55"/>
      <c r="F390" s="55"/>
      <c r="G390" s="55"/>
      <c r="H390" s="55"/>
      <c r="I390" s="55"/>
      <c r="J390" s="55"/>
      <c r="K390" s="55"/>
      <c r="L390" s="55"/>
      <c r="M390" s="55"/>
      <c r="N390" s="55"/>
      <c r="O390" s="55"/>
      <c r="P390" s="55"/>
      <c r="Q390" s="55"/>
      <c r="R390" s="55"/>
      <c r="S390" s="55"/>
      <c r="T390" s="55"/>
      <c r="U390" s="55"/>
      <c r="V390" s="55"/>
      <c r="W390" s="55"/>
      <c r="X390" s="55"/>
      <c r="Y390" s="55"/>
      <c r="Z390" s="55"/>
      <c r="AA390" s="55"/>
      <c r="AB390" s="55"/>
      <c r="AC390" s="55"/>
      <c r="AD390" s="55"/>
      <c r="AE390" s="55"/>
      <c r="AF390" s="144"/>
      <c r="AG390" s="144"/>
      <c r="AH390" s="144"/>
      <c r="AI390" s="144"/>
      <c r="AJ390" s="55"/>
      <c r="AK390" s="55"/>
      <c r="AL390" s="55"/>
      <c r="AM390" s="55"/>
      <c r="AN390" s="55"/>
      <c r="AO390" s="55"/>
      <c r="AP390" s="55"/>
      <c r="AQ390" s="55"/>
      <c r="AR390" s="55"/>
      <c r="AS390" s="55"/>
      <c r="AT390" s="55"/>
      <c r="AU390" s="55"/>
      <c r="AV390" s="55"/>
      <c r="AW390" s="55"/>
      <c r="AX390" s="55"/>
      <c r="AY390" s="943"/>
      <c r="AZ390" s="848">
        <f>AZ381-[5]CBA!K$10</f>
        <v>0</v>
      </c>
      <c r="BA390" s="831">
        <f>BA381-[5]CBA!L$10</f>
        <v>0</v>
      </c>
      <c r="BB390" s="831">
        <f>BB381-[5]CBA!M$10</f>
        <v>0</v>
      </c>
      <c r="BC390" s="831">
        <f>BC381-[5]CBA!N$10</f>
        <v>0</v>
      </c>
      <c r="BD390" s="831">
        <f>BD381-[5]CBA!O$10</f>
        <v>0</v>
      </c>
      <c r="BE390" s="831">
        <f>BE381-[5]CBA!P$10</f>
        <v>0</v>
      </c>
      <c r="BF390" s="831">
        <f>BF381-[5]CBA!Q$10</f>
        <v>0</v>
      </c>
      <c r="BG390" s="831">
        <f>BG381-[5]CBA!R$10</f>
        <v>0</v>
      </c>
      <c r="BH390" s="831">
        <f>BH381-[5]CBA!S$10</f>
        <v>0</v>
      </c>
      <c r="BI390" s="831">
        <f>BI381-[5]CBA!T$10</f>
        <v>0</v>
      </c>
      <c r="BJ390" s="55"/>
      <c r="BK390" s="55"/>
      <c r="BL390" s="55"/>
      <c r="BM390" s="55"/>
      <c r="BN390" s="55"/>
      <c r="BO390" s="55"/>
      <c r="BP390" s="55"/>
      <c r="BQ390" s="55"/>
      <c r="BR390" s="55"/>
      <c r="BS390" s="55"/>
      <c r="BT390" s="55"/>
      <c r="BU390" s="55"/>
      <c r="BV390" s="55"/>
      <c r="BW390" s="55"/>
      <c r="BX390" s="55"/>
      <c r="BY390" s="55"/>
      <c r="BZ390" s="55"/>
      <c r="CA390" s="55"/>
      <c r="CB390" s="55"/>
      <c r="CC390" s="55"/>
      <c r="CD390" s="55"/>
      <c r="CE390" s="55"/>
      <c r="CF390" s="55"/>
      <c r="CG390" s="55"/>
      <c r="CH390" s="55"/>
      <c r="CI390" s="55"/>
      <c r="CJ390" s="55"/>
      <c r="CK390" s="55"/>
      <c r="CL390" s="55"/>
      <c r="CM390" s="55"/>
      <c r="CN390" s="55"/>
      <c r="CO390" s="55"/>
      <c r="CP390" s="55"/>
      <c r="CQ390" s="55"/>
      <c r="CR390" s="55"/>
      <c r="CS390" s="55"/>
      <c r="CT390" s="45"/>
      <c r="CU390" s="45"/>
      <c r="CV390" s="45"/>
      <c r="CW390" s="45"/>
      <c r="CX390" s="45"/>
      <c r="CY390" s="55"/>
      <c r="CZ390" s="56"/>
      <c r="DA390" s="55"/>
      <c r="DB390" s="55"/>
    </row>
    <row r="391" spans="1:113" s="5" customFormat="1" ht="12.95" customHeight="1" outlineLevel="1">
      <c r="A391" s="96"/>
      <c r="B391" s="6" t="s">
        <v>640</v>
      </c>
      <c r="C391" s="568" t="str">
        <f>IF(ROUND(C381,5)=ROUND(C377+C354,5),"Ok","Error")</f>
        <v>Ok</v>
      </c>
      <c r="D391" s="568" t="str">
        <f>IF(ROUND(D381,5)=ROUND(D377+D354,5),"Ok","Error")</f>
        <v>Ok</v>
      </c>
      <c r="E391" s="568" t="str">
        <f>IF(ROUND(E381,5)=ROUND(E377+E354,5),"Ok","Error")</f>
        <v>Ok</v>
      </c>
      <c r="F391" s="568" t="str">
        <f t="shared" ref="F391:L391" si="2378">IF(ROUND(F381,5)=ROUND(F377+F354,5),"Ok","Error")</f>
        <v>Ok</v>
      </c>
      <c r="G391" s="568" t="str">
        <f t="shared" si="2378"/>
        <v>Ok</v>
      </c>
      <c r="H391" s="568" t="str">
        <f t="shared" si="2378"/>
        <v>Ok</v>
      </c>
      <c r="I391" s="568" t="str">
        <f t="shared" si="2378"/>
        <v>Ok</v>
      </c>
      <c r="J391" s="568" t="str">
        <f t="shared" si="2378"/>
        <v>Ok</v>
      </c>
      <c r="K391" s="568" t="str">
        <f>IF(ROUND(K381,5)=ROUND(K377+K354,5),"Ok","Error")</f>
        <v>Ok</v>
      </c>
      <c r="L391" s="568" t="str">
        <f t="shared" si="2378"/>
        <v>Ok</v>
      </c>
      <c r="M391" s="97" t="str">
        <f t="shared" ref="M391:AD391" si="2379">IF(ROUND(M381,5)=ROUND(M377+M354,5),"Ok","Error")</f>
        <v>Ok</v>
      </c>
      <c r="N391" s="97" t="str">
        <f t="shared" si="2379"/>
        <v>Ok</v>
      </c>
      <c r="O391" s="97" t="str">
        <f t="shared" si="2379"/>
        <v>Ok</v>
      </c>
      <c r="P391" s="97" t="str">
        <f t="shared" si="2379"/>
        <v>Ok</v>
      </c>
      <c r="Q391" s="97" t="str">
        <f t="shared" si="2379"/>
        <v>Ok</v>
      </c>
      <c r="R391" s="97" t="str">
        <f t="shared" si="2379"/>
        <v>Ok</v>
      </c>
      <c r="S391" s="97" t="str">
        <f t="shared" si="2379"/>
        <v>Ok</v>
      </c>
      <c r="T391" s="100" t="str">
        <f t="shared" si="2379"/>
        <v>Ok</v>
      </c>
      <c r="U391" s="97" t="str">
        <f t="shared" ref="U391:Z391" si="2380">IF(ROUND(U381,5)=ROUND(U377+U354,5),"Ok","Error")</f>
        <v>Ok</v>
      </c>
      <c r="V391" s="97" t="str">
        <f t="shared" si="2380"/>
        <v>Ok</v>
      </c>
      <c r="W391" s="97" t="str">
        <f t="shared" si="2380"/>
        <v>Ok</v>
      </c>
      <c r="X391" s="97" t="str">
        <f t="shared" si="2380"/>
        <v>Ok</v>
      </c>
      <c r="Y391" s="100" t="str">
        <f t="shared" si="2380"/>
        <v>Ok</v>
      </c>
      <c r="Z391" s="100" t="str">
        <f t="shared" si="2380"/>
        <v>Ok</v>
      </c>
      <c r="AA391" s="100" t="str">
        <f t="shared" si="2379"/>
        <v>Ok</v>
      </c>
      <c r="AB391" s="100" t="str">
        <f t="shared" si="2379"/>
        <v>Ok</v>
      </c>
      <c r="AC391" s="100" t="str">
        <f t="shared" si="2379"/>
        <v>Ok</v>
      </c>
      <c r="AD391" s="100" t="str">
        <f t="shared" si="2379"/>
        <v>Ok</v>
      </c>
      <c r="AE391" s="100" t="str">
        <f t="shared" ref="AE391:AK391" si="2381">IF(ROUND(AE381,5)=ROUND(AE377+AE354,5),"Ok","Error")</f>
        <v>Ok</v>
      </c>
      <c r="AF391" s="100" t="str">
        <f t="shared" si="2381"/>
        <v>Ok</v>
      </c>
      <c r="AG391" s="100" t="str">
        <f t="shared" si="2381"/>
        <v>Ok</v>
      </c>
      <c r="AH391" s="100" t="str">
        <f t="shared" si="2381"/>
        <v>Ok</v>
      </c>
      <c r="AI391" s="100" t="str">
        <f t="shared" si="2381"/>
        <v>Ok</v>
      </c>
      <c r="AJ391" s="100" t="str">
        <f t="shared" si="2381"/>
        <v>Ok</v>
      </c>
      <c r="AK391" s="100" t="str">
        <f t="shared" si="2381"/>
        <v>Ok</v>
      </c>
      <c r="AL391" s="100" t="str">
        <f t="shared" ref="AL391:AQ391" si="2382">IF(ROUND(AL381,5)=ROUND(AL377+AL354,5),"Ok","Error")</f>
        <v>Ok</v>
      </c>
      <c r="AM391" s="100" t="str">
        <f t="shared" si="2382"/>
        <v>Ok</v>
      </c>
      <c r="AN391" s="100" t="str">
        <f t="shared" si="2382"/>
        <v>Ok</v>
      </c>
      <c r="AO391" s="100" t="str">
        <f t="shared" si="2382"/>
        <v>Ok</v>
      </c>
      <c r="AP391" s="100" t="str">
        <f t="shared" si="2382"/>
        <v>Ok</v>
      </c>
      <c r="AQ391" s="100" t="str">
        <f t="shared" si="2382"/>
        <v>Ok</v>
      </c>
      <c r="AR391" s="100" t="str">
        <f t="shared" ref="AR391" si="2383">IF(ROUND(AR381,5)=ROUND(AR377+AR354,5),"Ok","Error")</f>
        <v>Ok</v>
      </c>
      <c r="AS391" s="100" t="str">
        <f t="shared" ref="AS391:AT391" si="2384">IF(ROUND(AS381,5)=ROUND(AS377+AS354,5),"Ok","Error")</f>
        <v>Ok</v>
      </c>
      <c r="AT391" s="100" t="str">
        <f t="shared" si="2384"/>
        <v>Ok</v>
      </c>
      <c r="AU391" s="100" t="str">
        <f t="shared" ref="AU391:AV391" si="2385">IF(ROUND(AU381,5)=ROUND(AU377+AU354,5),"Ok","Error")</f>
        <v>Ok</v>
      </c>
      <c r="AV391" s="100" t="str">
        <f t="shared" si="2385"/>
        <v>Ok</v>
      </c>
      <c r="AW391" s="100" t="str">
        <f t="shared" ref="AW391:AX391" si="2386">IF(ROUND(AW381,5)=ROUND(AW377+AW354,5),"Ok","Error")</f>
        <v>Ok</v>
      </c>
      <c r="AX391" s="100" t="str">
        <f t="shared" si="2386"/>
        <v>Ok</v>
      </c>
      <c r="AY391" s="100" t="str">
        <f t="shared" ref="AY391:BE391" si="2387">IF(ROUND(AY381,5)=ROUND(AY377+AY354,5),"Ok","Error")</f>
        <v>Ok</v>
      </c>
      <c r="AZ391" s="98" t="str">
        <f t="shared" si="2387"/>
        <v>Ok</v>
      </c>
      <c r="BA391" s="97" t="str">
        <f t="shared" si="2387"/>
        <v>Ok</v>
      </c>
      <c r="BB391" s="97" t="str">
        <f t="shared" si="2387"/>
        <v>Ok</v>
      </c>
      <c r="BC391" s="97" t="str">
        <f t="shared" si="2387"/>
        <v>Ok</v>
      </c>
      <c r="BD391" s="97" t="str">
        <f t="shared" si="2387"/>
        <v>Ok</v>
      </c>
      <c r="BE391" s="97" t="str">
        <f t="shared" si="2387"/>
        <v>Ok</v>
      </c>
      <c r="BF391" s="97" t="str">
        <f t="shared" ref="BF391:BM391" si="2388">IF(ROUND(BF381,5)=ROUND(BF377+BF354,5),"Ok","Error")</f>
        <v>Ok</v>
      </c>
      <c r="BG391" s="97" t="str">
        <f t="shared" si="2388"/>
        <v>Ok</v>
      </c>
      <c r="BH391" s="97" t="str">
        <f t="shared" si="2388"/>
        <v>Ok</v>
      </c>
      <c r="BI391" s="97" t="str">
        <f t="shared" si="2388"/>
        <v>Ok</v>
      </c>
      <c r="BJ391" s="97" t="str">
        <f t="shared" si="2388"/>
        <v>Ok</v>
      </c>
      <c r="BK391" s="97" t="str">
        <f t="shared" si="2388"/>
        <v>Ok</v>
      </c>
      <c r="BL391" s="568" t="str">
        <f t="shared" si="2388"/>
        <v>Ok</v>
      </c>
      <c r="BM391" s="568" t="str">
        <f t="shared" si="2388"/>
        <v>Ok</v>
      </c>
      <c r="BN391" s="568" t="str">
        <f t="shared" ref="BN391:BO391" si="2389">IF(ROUND(BN381,5)=ROUND(BN377+BN354,5),"Ok","Error")</f>
        <v>Ok</v>
      </c>
      <c r="BO391" s="568" t="str">
        <f t="shared" si="2389"/>
        <v>Ok</v>
      </c>
      <c r="BP391" s="568" t="str">
        <f t="shared" ref="BP391:BQ391" si="2390">IF(ROUND(BP381,5)=ROUND(BP377+BP354,5),"Ok","Error")</f>
        <v>Ok</v>
      </c>
      <c r="BQ391" s="568" t="str">
        <f t="shared" si="2390"/>
        <v>Ok</v>
      </c>
      <c r="BR391" s="99"/>
      <c r="BS391" s="568" t="str">
        <f t="shared" ref="BS391:CB391" si="2391">IF(ROUND(BS381,5)=ROUND(BS377+BS354,5),"Ok","Error")</f>
        <v>Ok</v>
      </c>
      <c r="BT391" s="568" t="str">
        <f t="shared" si="2391"/>
        <v>Ok</v>
      </c>
      <c r="BU391" s="568" t="str">
        <f t="shared" si="2391"/>
        <v>Ok</v>
      </c>
      <c r="BV391" s="568" t="str">
        <f t="shared" si="2391"/>
        <v>Ok</v>
      </c>
      <c r="BW391" s="568" t="str">
        <f t="shared" si="2391"/>
        <v>Ok</v>
      </c>
      <c r="BX391" s="568" t="str">
        <f t="shared" si="2391"/>
        <v>Ok</v>
      </c>
      <c r="BY391" s="568" t="str">
        <f t="shared" si="2391"/>
        <v>Ok</v>
      </c>
      <c r="BZ391" s="568" t="str">
        <f t="shared" si="2391"/>
        <v>Ok</v>
      </c>
      <c r="CA391" s="568" t="str">
        <f t="shared" si="2391"/>
        <v>Ok</v>
      </c>
      <c r="CB391" s="568" t="str">
        <f t="shared" si="2391"/>
        <v>Ok</v>
      </c>
      <c r="CC391" s="97" t="str">
        <f>IF(ROUND(CC381,5)=ROUND(CC377+CC354,5),"Ok","Drror")</f>
        <v>Ok</v>
      </c>
      <c r="CD391" s="97" t="str">
        <f>IF(ROUND(CD381,5)=ROUND(CD377+CD354,5),"Ok","Error")</f>
        <v>Ok</v>
      </c>
      <c r="CE391" s="97" t="str">
        <f>IF(ROUND(CE381,5)=ROUND(CE377+CE354,5),"Ok","Error")</f>
        <v>Ok</v>
      </c>
      <c r="CF391" s="97" t="str">
        <f>IF(ROUND(CF381,5)=ROUND(CF377+CF354,5),"Ok","Error")</f>
        <v>Ok</v>
      </c>
      <c r="CG391" s="97" t="str">
        <f>IF(ROUND(CG381,5)=ROUND(CG377+CG354,5),"Ok","Error")</f>
        <v>Ok</v>
      </c>
      <c r="CH391" s="97" t="str">
        <f>IF(ROUND(CH381,5)=ROUND(CH377+CH354,5),"Ok","Error")</f>
        <v>Ok</v>
      </c>
      <c r="CI391" s="97" t="str">
        <f t="shared" ref="CI391:CO391" si="2392">IF(ROUND(CI381,5)=ROUND(CI377+CI354,5),"Ok","Error")</f>
        <v>Ok</v>
      </c>
      <c r="CJ391" s="97" t="str">
        <f t="shared" si="2392"/>
        <v>Ok</v>
      </c>
      <c r="CK391" s="97" t="str">
        <f t="shared" si="2392"/>
        <v>Ok</v>
      </c>
      <c r="CL391" s="97" t="str">
        <f t="shared" si="2392"/>
        <v>Ok</v>
      </c>
      <c r="CM391" s="100" t="str">
        <f t="shared" si="2392"/>
        <v>Ok</v>
      </c>
      <c r="CN391" s="100" t="str">
        <f t="shared" si="2392"/>
        <v>Ok</v>
      </c>
      <c r="CO391" s="100" t="str">
        <f t="shared" si="2392"/>
        <v>Ok</v>
      </c>
      <c r="CP391" s="100" t="str">
        <f t="shared" ref="CP391:CX391" si="2393">IF(ROUND(CP381,5)=ROUND(CP377+CP354,5),"Ok","Error")</f>
        <v>Ok</v>
      </c>
      <c r="CQ391" s="100" t="str">
        <f t="shared" si="2393"/>
        <v>Ok</v>
      </c>
      <c r="CR391" s="100" t="str">
        <f t="shared" si="2393"/>
        <v>Ok</v>
      </c>
      <c r="CS391" s="100" t="str">
        <f t="shared" si="2393"/>
        <v>Ok</v>
      </c>
      <c r="CT391" s="100" t="str">
        <f t="shared" si="2393"/>
        <v>Ok</v>
      </c>
      <c r="CU391" s="100" t="str">
        <f t="shared" si="2393"/>
        <v>Ok</v>
      </c>
      <c r="CV391" s="100" t="str">
        <f t="shared" si="2393"/>
        <v>Ok</v>
      </c>
      <c r="CW391" s="100" t="str">
        <f t="shared" si="2393"/>
        <v>Ok</v>
      </c>
      <c r="CX391" s="100" t="str">
        <f t="shared" si="2393"/>
        <v>Ok</v>
      </c>
      <c r="CY391" s="100" t="str">
        <f t="shared" ref="CY391:DD391" si="2394">IF(ROUND(CY381,5)=ROUND(CY377+CY354,5),"Ok","Error")</f>
        <v>Ok</v>
      </c>
      <c r="CZ391" s="98" t="str">
        <f t="shared" si="2394"/>
        <v>Ok</v>
      </c>
      <c r="DA391" s="97" t="str">
        <f t="shared" si="2394"/>
        <v>Ok</v>
      </c>
      <c r="DB391" s="97" t="str">
        <f t="shared" si="2394"/>
        <v>Ok</v>
      </c>
      <c r="DC391" s="97" t="str">
        <f t="shared" si="2394"/>
        <v>Ok</v>
      </c>
      <c r="DD391" s="97" t="str">
        <f t="shared" si="2394"/>
        <v>Ok</v>
      </c>
      <c r="DE391" s="97" t="str">
        <f>IF(ROUND(DE381,5)=ROUND(DE377+DE354,5),"Ok","Error")</f>
        <v>Ok</v>
      </c>
      <c r="DF391" s="97" t="str">
        <f>IF(ROUND(DF381,5)=ROUND(DF377+DF354,5),"Ok","Error")</f>
        <v>Ok</v>
      </c>
      <c r="DG391" s="568" t="str">
        <f>IF(ROUND(DG381,5)=ROUND(DG377+DG354,5),"Ok","Error")</f>
        <v>Ok</v>
      </c>
      <c r="DH391" s="568" t="str">
        <f>IF(ROUND(DH381,5)=ROUND(DH377+DH354,5),"Ok","Error")</f>
        <v>Ok</v>
      </c>
      <c r="DI391" s="568" t="str">
        <f>IF(ROUND(DI381,5)=ROUND(DI377+DI354,5),"Ok","Error")</f>
        <v>Ok</v>
      </c>
    </row>
    <row r="392" spans="1:113">
      <c r="C392" s="55"/>
      <c r="D392" s="55"/>
      <c r="E392" s="55"/>
      <c r="F392" s="55"/>
      <c r="G392" s="55"/>
      <c r="H392" s="55"/>
      <c r="I392" s="55"/>
      <c r="J392" s="55"/>
      <c r="K392" s="55"/>
      <c r="L392" s="55"/>
      <c r="M392" s="55"/>
      <c r="N392" s="55"/>
      <c r="O392" s="55"/>
      <c r="P392" s="55"/>
      <c r="Q392" s="55"/>
      <c r="R392" s="55"/>
      <c r="S392" s="55"/>
      <c r="T392" s="55"/>
      <c r="U392" s="55"/>
      <c r="V392" s="55"/>
      <c r="W392" s="55"/>
      <c r="X392" s="55"/>
      <c r="Y392" s="55"/>
      <c r="Z392" s="55"/>
      <c r="AA392" s="55"/>
      <c r="AB392" s="55"/>
      <c r="AC392" s="55"/>
      <c r="AD392" s="55"/>
      <c r="AE392" s="55"/>
      <c r="AF392" s="55"/>
      <c r="AG392" s="55"/>
      <c r="AH392" s="55"/>
      <c r="AI392" s="55"/>
      <c r="AJ392" s="55"/>
      <c r="AK392" s="55"/>
      <c r="AL392" s="55"/>
      <c r="AM392" s="55"/>
      <c r="AN392" s="55"/>
      <c r="AO392" s="55"/>
      <c r="AP392" s="55"/>
      <c r="AQ392" s="55"/>
      <c r="AR392" s="55"/>
      <c r="AS392" s="55"/>
      <c r="AT392" s="55"/>
      <c r="AU392" s="55"/>
      <c r="AV392" s="55"/>
      <c r="AW392" s="55"/>
      <c r="AX392" s="55"/>
      <c r="AY392" s="55"/>
      <c r="AZ392" s="56"/>
      <c r="BA392" s="55"/>
      <c r="BB392" s="55"/>
      <c r="BC392" s="55"/>
      <c r="BD392" s="55"/>
      <c r="BE392" s="55"/>
      <c r="BF392" s="55"/>
      <c r="BG392" s="55"/>
      <c r="BH392" s="55"/>
      <c r="BI392" s="55"/>
      <c r="BJ392" s="55"/>
      <c r="BK392" s="55"/>
      <c r="BL392" s="55"/>
      <c r="BM392" s="55"/>
      <c r="BN392" s="55"/>
      <c r="BO392" s="55"/>
      <c r="BP392" s="55"/>
      <c r="BQ392" s="55"/>
      <c r="BR392" s="55"/>
      <c r="BS392" s="55"/>
      <c r="BT392" s="55"/>
      <c r="BU392" s="55"/>
      <c r="BV392" s="55"/>
      <c r="BW392" s="55"/>
      <c r="BX392" s="55"/>
      <c r="BY392" s="55"/>
      <c r="BZ392" s="55"/>
      <c r="CA392" s="55"/>
      <c r="CB392" s="55"/>
      <c r="CC392" s="55"/>
      <c r="CD392" s="55"/>
      <c r="CE392" s="55"/>
      <c r="CF392" s="55"/>
      <c r="CG392" s="55"/>
      <c r="CH392" s="55"/>
      <c r="CI392" s="55"/>
      <c r="CJ392" s="55"/>
      <c r="CK392" s="55"/>
      <c r="CL392" s="55"/>
      <c r="CM392" s="55"/>
      <c r="CN392" s="55"/>
      <c r="CO392" s="55"/>
      <c r="CP392" s="55"/>
      <c r="CQ392" s="55"/>
      <c r="CR392" s="55"/>
      <c r="CS392" s="55"/>
      <c r="CT392" s="55"/>
      <c r="CU392" s="55"/>
      <c r="CV392" s="55"/>
      <c r="CW392" s="55"/>
      <c r="CX392" s="55"/>
      <c r="CY392" s="55"/>
      <c r="CZ392" s="56"/>
      <c r="DA392" s="55"/>
      <c r="DB392" s="55"/>
    </row>
    <row r="393" spans="1:113" s="36" customFormat="1" collapsed="1">
      <c r="A393" s="1" t="s">
        <v>993</v>
      </c>
      <c r="B393" s="2" t="s">
        <v>641</v>
      </c>
      <c r="C393" s="79">
        <f>C408</f>
        <v>2190</v>
      </c>
      <c r="D393" s="79">
        <f>D408</f>
        <v>2197</v>
      </c>
      <c r="E393" s="79">
        <f>E408</f>
        <v>2161</v>
      </c>
      <c r="F393" s="79">
        <f t="shared" ref="F393:L393" si="2395">F408</f>
        <v>2031</v>
      </c>
      <c r="G393" s="79">
        <f t="shared" si="2395"/>
        <v>2342</v>
      </c>
      <c r="H393" s="79">
        <f t="shared" si="2395"/>
        <v>2540</v>
      </c>
      <c r="I393" s="79">
        <f t="shared" si="2395"/>
        <v>2541</v>
      </c>
      <c r="J393" s="79">
        <f t="shared" si="2395"/>
        <v>2497</v>
      </c>
      <c r="K393" s="79">
        <f t="shared" si="2395"/>
        <v>2579</v>
      </c>
      <c r="L393" s="79">
        <f t="shared" si="2395"/>
        <v>2755</v>
      </c>
      <c r="M393" s="79">
        <f t="shared" ref="M393:AG393" si="2396">M408</f>
        <v>2812</v>
      </c>
      <c r="N393" s="79">
        <f t="shared" si="2396"/>
        <v>3072</v>
      </c>
      <c r="O393" s="79">
        <f t="shared" si="2396"/>
        <v>3089</v>
      </c>
      <c r="P393" s="79">
        <f t="shared" si="2396"/>
        <v>3117</v>
      </c>
      <c r="Q393" s="79">
        <f t="shared" si="2396"/>
        <v>3317</v>
      </c>
      <c r="R393" s="79">
        <f t="shared" si="2396"/>
        <v>3408</v>
      </c>
      <c r="S393" s="79">
        <f t="shared" si="2396"/>
        <v>3342</v>
      </c>
      <c r="T393" s="79">
        <f t="shared" si="2396"/>
        <v>3630</v>
      </c>
      <c r="U393" s="79">
        <f t="shared" si="2396"/>
        <v>3561</v>
      </c>
      <c r="V393" s="79">
        <f t="shared" si="2396"/>
        <v>3562</v>
      </c>
      <c r="W393" s="79">
        <f t="shared" si="2396"/>
        <v>3452</v>
      </c>
      <c r="X393" s="79">
        <f t="shared" si="2396"/>
        <v>3461</v>
      </c>
      <c r="Y393" s="79">
        <f>Y408</f>
        <v>3532</v>
      </c>
      <c r="Z393" s="79">
        <f>Z408</f>
        <v>3427</v>
      </c>
      <c r="AA393" s="79">
        <f t="shared" si="2396"/>
        <v>3450</v>
      </c>
      <c r="AB393" s="79">
        <f t="shared" si="2396"/>
        <v>3704</v>
      </c>
      <c r="AC393" s="79">
        <f t="shared" si="2396"/>
        <v>3606</v>
      </c>
      <c r="AD393" s="79">
        <f t="shared" si="2396"/>
        <v>3826</v>
      </c>
      <c r="AE393" s="79">
        <f>AE408</f>
        <v>3925</v>
      </c>
      <c r="AF393" s="79">
        <f>AF408</f>
        <v>3993</v>
      </c>
      <c r="AG393" s="79">
        <f t="shared" si="2396"/>
        <v>3819</v>
      </c>
      <c r="AH393" s="79">
        <f t="shared" ref="AH393:AM393" si="2397">AH408</f>
        <v>4125</v>
      </c>
      <c r="AI393" s="79">
        <f t="shared" si="2397"/>
        <v>3629</v>
      </c>
      <c r="AJ393" s="79">
        <f t="shared" si="2397"/>
        <v>3392</v>
      </c>
      <c r="AK393" s="79">
        <f t="shared" si="2397"/>
        <v>3188</v>
      </c>
      <c r="AL393" s="79">
        <f t="shared" si="2397"/>
        <v>2789.4349070100143</v>
      </c>
      <c r="AM393" s="79">
        <f t="shared" si="2397"/>
        <v>2565.5650929899857</v>
      </c>
      <c r="AN393" s="79">
        <f t="shared" ref="AN393:AS393" si="2398">AN408</f>
        <v>2673</v>
      </c>
      <c r="AO393" s="79">
        <f t="shared" si="2398"/>
        <v>2478</v>
      </c>
      <c r="AP393" s="79">
        <f t="shared" si="2398"/>
        <v>2361</v>
      </c>
      <c r="AQ393" s="79">
        <f t="shared" si="2398"/>
        <v>2493</v>
      </c>
      <c r="AR393" s="79">
        <f t="shared" si="2398"/>
        <v>2359</v>
      </c>
      <c r="AS393" s="79">
        <f t="shared" si="2398"/>
        <v>2857</v>
      </c>
      <c r="AT393" s="79">
        <f t="shared" ref="AT393:AU393" si="2399">AT408</f>
        <v>1986</v>
      </c>
      <c r="AU393" s="79">
        <f t="shared" si="2399"/>
        <v>2093</v>
      </c>
      <c r="AV393" s="79">
        <f t="shared" ref="AV393:AW393" si="2400">AV408</f>
        <v>2245</v>
      </c>
      <c r="AW393" s="79">
        <f t="shared" si="2400"/>
        <v>2105</v>
      </c>
      <c r="AX393" s="79">
        <f t="shared" ref="AX393" si="2401">AX408</f>
        <v>2163</v>
      </c>
      <c r="AY393" s="79">
        <f t="shared" ref="AY393:BE393" si="2402">AY408</f>
        <v>2279</v>
      </c>
      <c r="AZ393" s="80">
        <f t="shared" si="2402"/>
        <v>2326</v>
      </c>
      <c r="BA393" s="79">
        <f t="shared" si="2402"/>
        <v>2240.1671197218784</v>
      </c>
      <c r="BB393" s="79">
        <f t="shared" si="2402"/>
        <v>2229.419438229801</v>
      </c>
      <c r="BC393" s="79">
        <f t="shared" si="2402"/>
        <v>2275.7147668718549</v>
      </c>
      <c r="BD393" s="79">
        <f t="shared" si="2402"/>
        <v>2236.9445914191942</v>
      </c>
      <c r="BE393" s="79">
        <f t="shared" si="2402"/>
        <v>2311.59636401014</v>
      </c>
      <c r="BF393" s="79">
        <f t="shared" ref="BF393:BM393" si="2403">BF408</f>
        <v>2297.61098801141</v>
      </c>
      <c r="BG393" s="79">
        <f t="shared" si="2403"/>
        <v>2323.4142763820214</v>
      </c>
      <c r="BH393" s="79">
        <f t="shared" si="2403"/>
        <v>2349.797561569656</v>
      </c>
      <c r="BI393" s="79">
        <f t="shared" si="2403"/>
        <v>2368.627177893949</v>
      </c>
      <c r="BJ393" s="79">
        <f t="shared" si="2403"/>
        <v>2425.0129881706521</v>
      </c>
      <c r="BK393" s="79">
        <f t="shared" si="2403"/>
        <v>2439.1572298201309</v>
      </c>
      <c r="BL393" s="79">
        <f t="shared" si="2403"/>
        <v>2496.0145676713501</v>
      </c>
      <c r="BM393" s="79">
        <f t="shared" si="2403"/>
        <v>2525.7331225729276</v>
      </c>
      <c r="BN393" s="79">
        <f t="shared" ref="BN393:BO393" si="2404">BN408</f>
        <v>2584.5751184689643</v>
      </c>
      <c r="BO393" s="79">
        <f t="shared" si="2404"/>
        <v>2601.0431407012888</v>
      </c>
      <c r="BP393" s="79">
        <f t="shared" ref="BP393:BQ393" si="2405">BP408</f>
        <v>2669.0969247944113</v>
      </c>
      <c r="BQ393" s="79">
        <f t="shared" si="2405"/>
        <v>2686.1711773112775</v>
      </c>
      <c r="BR393" s="79"/>
      <c r="BS393" s="79">
        <f t="shared" ref="BS393:CB393" si="2406">BS408</f>
        <v>1404</v>
      </c>
      <c r="BT393" s="79">
        <f t="shared" si="2406"/>
        <v>1386</v>
      </c>
      <c r="BU393" s="79">
        <f t="shared" si="2406"/>
        <v>1415</v>
      </c>
      <c r="BV393" s="79">
        <f t="shared" si="2406"/>
        <v>1484</v>
      </c>
      <c r="BW393" s="79">
        <f t="shared" si="2406"/>
        <v>1355</v>
      </c>
      <c r="BX393" s="79">
        <f t="shared" si="2406"/>
        <v>1489</v>
      </c>
      <c r="BY393" s="79">
        <f t="shared" si="2406"/>
        <v>1833</v>
      </c>
      <c r="BZ393" s="79">
        <f t="shared" si="2406"/>
        <v>1997</v>
      </c>
      <c r="CA393" s="79">
        <f t="shared" si="2406"/>
        <v>2420</v>
      </c>
      <c r="CB393" s="79">
        <f t="shared" si="2406"/>
        <v>4350</v>
      </c>
      <c r="CC393" s="79">
        <f t="shared" ref="CC393:CO393" si="2407">CC408</f>
        <v>4358</v>
      </c>
      <c r="CD393" s="79">
        <f t="shared" si="2407"/>
        <v>4373</v>
      </c>
      <c r="CE393" s="79">
        <f t="shared" si="2407"/>
        <v>5081</v>
      </c>
      <c r="CF393" s="79">
        <f t="shared" si="2407"/>
        <v>5076</v>
      </c>
      <c r="CG393" s="79">
        <f t="shared" si="2407"/>
        <v>5567</v>
      </c>
      <c r="CH393" s="79">
        <f t="shared" si="2407"/>
        <v>6161</v>
      </c>
      <c r="CI393" s="79">
        <f t="shared" si="2407"/>
        <v>6434</v>
      </c>
      <c r="CJ393" s="79">
        <f t="shared" si="2407"/>
        <v>6750</v>
      </c>
      <c r="CK393" s="79">
        <f t="shared" si="2407"/>
        <v>7191</v>
      </c>
      <c r="CL393" s="79">
        <f t="shared" si="2407"/>
        <v>7014</v>
      </c>
      <c r="CM393" s="79">
        <f t="shared" si="2407"/>
        <v>6993</v>
      </c>
      <c r="CN393" s="79">
        <f t="shared" si="2407"/>
        <v>6877</v>
      </c>
      <c r="CO393" s="79">
        <f t="shared" si="2407"/>
        <v>7310</v>
      </c>
      <c r="CP393" s="79">
        <f t="shared" ref="CP393:CX393" si="2408">CP408</f>
        <v>7751</v>
      </c>
      <c r="CQ393" s="79">
        <f t="shared" si="2408"/>
        <v>7812</v>
      </c>
      <c r="CR393" s="79">
        <f t="shared" si="2408"/>
        <v>7754</v>
      </c>
      <c r="CS393" s="79">
        <f t="shared" si="2408"/>
        <v>6580</v>
      </c>
      <c r="CT393" s="79">
        <f t="shared" si="2408"/>
        <v>5355</v>
      </c>
      <c r="CU393" s="79">
        <f t="shared" si="2408"/>
        <v>5151</v>
      </c>
      <c r="CV393" s="79">
        <f t="shared" si="2408"/>
        <v>4854</v>
      </c>
      <c r="CW393" s="79">
        <f t="shared" si="2408"/>
        <v>5216</v>
      </c>
      <c r="CX393" s="79">
        <f t="shared" si="2408"/>
        <v>4079</v>
      </c>
      <c r="CY393" s="79">
        <f t="shared" ref="CY393:DD393" si="2409">CY408</f>
        <v>4350</v>
      </c>
      <c r="CZ393" s="80">
        <f t="shared" si="2409"/>
        <v>4442</v>
      </c>
      <c r="DA393" s="79">
        <f t="shared" si="2409"/>
        <v>4566.1671197218784</v>
      </c>
      <c r="DB393" s="79">
        <f t="shared" si="2409"/>
        <v>4505.1342051016563</v>
      </c>
      <c r="DC393" s="79">
        <f t="shared" si="2409"/>
        <v>4548.5409554293346</v>
      </c>
      <c r="DD393" s="79">
        <f t="shared" si="2409"/>
        <v>4621.0252643934309</v>
      </c>
      <c r="DE393" s="79">
        <f>DE408</f>
        <v>4718.424739463605</v>
      </c>
      <c r="DF393" s="79">
        <f>DF408</f>
        <v>4864.1702179907825</v>
      </c>
      <c r="DG393" s="79">
        <f>DG408</f>
        <v>5021.7476902442777</v>
      </c>
      <c r="DH393" s="79">
        <f>DH408</f>
        <v>5185.6182591702527</v>
      </c>
      <c r="DI393" s="79">
        <f>DI408</f>
        <v>5355.2681021056887</v>
      </c>
    </row>
    <row r="394" spans="1:113" outlineLevel="1">
      <c r="C394" s="55"/>
      <c r="D394" s="55"/>
      <c r="E394" s="55"/>
      <c r="F394" s="55"/>
      <c r="G394" s="55"/>
      <c r="H394" s="55"/>
      <c r="I394" s="55"/>
      <c r="J394" s="55"/>
      <c r="K394" s="55"/>
      <c r="L394" s="55"/>
      <c r="M394" s="55"/>
      <c r="N394" s="55"/>
      <c r="O394" s="55"/>
      <c r="P394" s="55"/>
      <c r="Q394" s="55"/>
      <c r="R394" s="55"/>
      <c r="S394" s="55"/>
      <c r="T394" s="55"/>
      <c r="U394" s="55"/>
      <c r="V394" s="55"/>
      <c r="W394" s="55"/>
      <c r="X394" s="55"/>
      <c r="Y394" s="55"/>
      <c r="Z394" s="55"/>
      <c r="AA394" s="55"/>
      <c r="AB394" s="55"/>
      <c r="AC394" s="58"/>
      <c r="AD394" s="58"/>
      <c r="AE394" s="164"/>
      <c r="AF394" s="58"/>
      <c r="AG394" s="55"/>
      <c r="AH394" s="55"/>
      <c r="AI394" s="55"/>
      <c r="AJ394" s="58"/>
      <c r="AK394" s="164"/>
      <c r="AL394" s="164"/>
      <c r="AM394" s="164"/>
      <c r="AN394" s="164"/>
      <c r="AO394" s="164"/>
      <c r="AP394" s="164"/>
      <c r="AQ394" s="164"/>
      <c r="AR394" s="164"/>
      <c r="AS394" s="164"/>
      <c r="AT394" s="164"/>
      <c r="AU394" s="164"/>
      <c r="AV394" s="164"/>
      <c r="AW394" s="164"/>
      <c r="AX394" s="164"/>
      <c r="AY394" s="58"/>
      <c r="AZ394" s="59"/>
      <c r="BA394" s="57"/>
      <c r="BB394" s="57"/>
      <c r="BC394" s="57"/>
      <c r="BD394" s="57"/>
      <c r="BE394" s="57"/>
      <c r="BF394" s="57"/>
      <c r="BG394" s="57"/>
      <c r="BH394" s="57"/>
      <c r="BI394" s="57"/>
      <c r="BJ394" s="57"/>
      <c r="BK394" s="57"/>
      <c r="BL394" s="230"/>
      <c r="BM394" s="230"/>
      <c r="BN394" s="230"/>
      <c r="BO394" s="230"/>
      <c r="BP394" s="230"/>
      <c r="BQ394" s="230"/>
      <c r="BR394" s="55"/>
      <c r="BS394" s="55"/>
      <c r="BT394" s="55"/>
      <c r="BU394" s="55"/>
      <c r="BV394" s="55"/>
      <c r="BW394" s="55"/>
      <c r="BX394" s="55"/>
      <c r="BY394" s="55"/>
      <c r="BZ394" s="55"/>
      <c r="CA394" s="55"/>
      <c r="CB394" s="55"/>
      <c r="CC394" s="55"/>
      <c r="CD394" s="55"/>
      <c r="CE394" s="55"/>
      <c r="CF394" s="55"/>
      <c r="CG394" s="55"/>
      <c r="CH394" s="55"/>
      <c r="CI394" s="55"/>
      <c r="CJ394" s="55"/>
      <c r="CK394" s="55"/>
      <c r="CL394" s="55"/>
      <c r="CM394" s="55"/>
      <c r="CN394" s="55"/>
      <c r="CO394" s="55"/>
      <c r="CP394" s="55"/>
      <c r="CQ394" s="55"/>
      <c r="CR394" s="55"/>
      <c r="CS394" s="55"/>
      <c r="CT394" s="55"/>
      <c r="CU394" s="58"/>
      <c r="CV394" s="58"/>
      <c r="CW394" s="58"/>
      <c r="CX394" s="58"/>
      <c r="CY394" s="45"/>
      <c r="CZ394" s="43"/>
      <c r="DA394" s="42"/>
      <c r="DB394" s="42"/>
    </row>
    <row r="395" spans="1:113" outlineLevel="1">
      <c r="A395" s="1" t="s">
        <v>994</v>
      </c>
      <c r="B395" s="19" t="s">
        <v>533</v>
      </c>
      <c r="C395" s="53">
        <v>284</v>
      </c>
      <c r="D395" s="53">
        <v>293</v>
      </c>
      <c r="E395" s="53">
        <v>325</v>
      </c>
      <c r="F395" s="53">
        <v>314</v>
      </c>
      <c r="G395" s="53">
        <v>338</v>
      </c>
      <c r="H395" s="53">
        <v>342</v>
      </c>
      <c r="I395" s="53">
        <f>724-H395</f>
        <v>382</v>
      </c>
      <c r="J395" s="53">
        <v>349</v>
      </c>
      <c r="K395" s="53">
        <v>384</v>
      </c>
      <c r="L395" s="53">
        <v>389</v>
      </c>
      <c r="M395" s="53">
        <v>411</v>
      </c>
      <c r="N395" s="53">
        <v>417</v>
      </c>
      <c r="O395" s="53">
        <v>479</v>
      </c>
      <c r="P395" s="53">
        <v>469</v>
      </c>
      <c r="Q395" s="53">
        <v>507</v>
      </c>
      <c r="R395" s="53">
        <v>649</v>
      </c>
      <c r="S395" s="53">
        <v>779</v>
      </c>
      <c r="T395" s="53">
        <v>719</v>
      </c>
      <c r="U395" s="53">
        <v>716</v>
      </c>
      <c r="V395" s="53">
        <f>707-(V381-6170)</f>
        <v>700</v>
      </c>
      <c r="W395" s="53">
        <f>982-V395</f>
        <v>282</v>
      </c>
      <c r="X395" s="53">
        <v>461</v>
      </c>
      <c r="Y395" s="53">
        <v>536</v>
      </c>
      <c r="Z395" s="53">
        <v>509</v>
      </c>
      <c r="AA395" s="164">
        <v>544</v>
      </c>
      <c r="AB395" s="164">
        <v>537</v>
      </c>
      <c r="AC395" s="164">
        <v>546</v>
      </c>
      <c r="AD395" s="164">
        <v>528</v>
      </c>
      <c r="AE395" s="164">
        <v>522</v>
      </c>
      <c r="AF395" s="164">
        <v>507</v>
      </c>
      <c r="AG395" s="164">
        <v>503</v>
      </c>
      <c r="AH395" s="164">
        <v>533</v>
      </c>
      <c r="AI395" s="164">
        <v>545</v>
      </c>
      <c r="AJ395" s="164">
        <v>558</v>
      </c>
      <c r="AK395" s="164">
        <v>551</v>
      </c>
      <c r="AL395" s="164">
        <v>506</v>
      </c>
      <c r="AM395" s="164">
        <v>485</v>
      </c>
      <c r="AN395" s="164">
        <v>483</v>
      </c>
      <c r="AO395" s="164">
        <v>503</v>
      </c>
      <c r="AP395" s="164">
        <v>296</v>
      </c>
      <c r="AQ395" s="164">
        <v>369</v>
      </c>
      <c r="AR395" s="164">
        <v>377</v>
      </c>
      <c r="AS395" s="164">
        <v>359</v>
      </c>
      <c r="AT395" s="164">
        <v>357</v>
      </c>
      <c r="AU395" s="164">
        <v>396</v>
      </c>
      <c r="AV395" s="164">
        <v>404</v>
      </c>
      <c r="AW395" s="164">
        <v>417</v>
      </c>
      <c r="AX395" s="164">
        <v>449</v>
      </c>
      <c r="AY395" s="164">
        <v>432.31616688396349</v>
      </c>
      <c r="AZ395" s="171">
        <v>465</v>
      </c>
      <c r="BA395" s="55">
        <f t="shared" ref="BA395:BE395" si="2410">BA84*(BA233+BA235)/BA$5</f>
        <v>435.78585392344723</v>
      </c>
      <c r="BB395" s="55">
        <f t="shared" si="2410"/>
        <v>443.72263859519376</v>
      </c>
      <c r="BC395" s="55">
        <f t="shared" si="2410"/>
        <v>434.2812857078909</v>
      </c>
      <c r="BD395" s="55">
        <f t="shared" si="2410"/>
        <v>446.94888493179712</v>
      </c>
      <c r="BE395" s="55">
        <f t="shared" si="2410"/>
        <v>448.15911532183929</v>
      </c>
      <c r="BF395" s="55">
        <f t="shared" ref="BF395:BM395" si="2411">BF84*(BF233+BF235)/BF$5</f>
        <v>460.4251547678233</v>
      </c>
      <c r="BG395" s="55">
        <f t="shared" si="2411"/>
        <v>458.47415568900419</v>
      </c>
      <c r="BH395" s="55">
        <f t="shared" si="2411"/>
        <v>471.26401002019935</v>
      </c>
      <c r="BI395" s="55">
        <f t="shared" si="2411"/>
        <v>468.04840578896511</v>
      </c>
      <c r="BJ395" s="55">
        <f t="shared" si="2411"/>
        <v>481.88742767603628</v>
      </c>
      <c r="BK395" s="55">
        <f t="shared" si="2411"/>
        <v>479.90753808472948</v>
      </c>
      <c r="BL395" s="55">
        <f t="shared" si="2411"/>
        <v>493.9940911508935</v>
      </c>
      <c r="BM395" s="55">
        <f t="shared" si="2411"/>
        <v>494.70026037350448</v>
      </c>
      <c r="BN395" s="55">
        <f t="shared" ref="BN395:BO395" si="2412">BN84*(BN233+BN235)/BN$5</f>
        <v>509.22007920861415</v>
      </c>
      <c r="BO395" s="55">
        <f t="shared" si="2412"/>
        <v>507.16425295034543</v>
      </c>
      <c r="BP395" s="55">
        <f t="shared" ref="BP395:BQ395" si="2413">BP84*(BP233+BP235)/BP$5</f>
        <v>523.51861022480864</v>
      </c>
      <c r="BQ395" s="55">
        <f t="shared" si="2413"/>
        <v>521.42365378348802</v>
      </c>
      <c r="BR395" s="55"/>
      <c r="BS395" s="53">
        <v>510.1</v>
      </c>
      <c r="BT395" s="53">
        <v>524.79999999999995</v>
      </c>
      <c r="BU395" s="53">
        <v>491.9</v>
      </c>
      <c r="BV395" s="53">
        <v>501</v>
      </c>
      <c r="BW395" s="53">
        <v>464</v>
      </c>
      <c r="BX395" s="53">
        <v>447</v>
      </c>
      <c r="BY395" s="53">
        <v>472</v>
      </c>
      <c r="BZ395" s="53">
        <v>474</v>
      </c>
      <c r="CA395" s="53">
        <v>554</v>
      </c>
      <c r="CB395" s="53">
        <v>602</v>
      </c>
      <c r="CC395" s="55">
        <f t="shared" ref="CC395:CC400" si="2414">SUM(D395:E395)</f>
        <v>618</v>
      </c>
      <c r="CD395" s="55">
        <f t="shared" ref="CD395:CD400" si="2415">SUM(F395:G395)</f>
        <v>652</v>
      </c>
      <c r="CE395" s="55">
        <f t="shared" ref="CE395:CE400" si="2416">SUM(H395:I395)</f>
        <v>724</v>
      </c>
      <c r="CF395" s="55">
        <f t="shared" ref="CF395:CF400" si="2417">SUM(J395:K395)</f>
        <v>733</v>
      </c>
      <c r="CG395" s="55">
        <f t="shared" ref="CG395:CG400" si="2418">SUM(L395:M395)</f>
        <v>800</v>
      </c>
      <c r="CH395" s="55">
        <f t="shared" ref="CH395:CH400" si="2419">SUM(N395:O395)</f>
        <v>896</v>
      </c>
      <c r="CI395" s="55">
        <f t="shared" ref="CI395:CI400" si="2420">SUM(P395:Q395)</f>
        <v>976</v>
      </c>
      <c r="CJ395" s="55">
        <f t="shared" ref="CJ395:CJ400" si="2421">SUM(R395:S395)</f>
        <v>1428</v>
      </c>
      <c r="CK395" s="55">
        <f t="shared" ref="CK395:CK400" si="2422">SUM(T395:U395)</f>
        <v>1435</v>
      </c>
      <c r="CL395" s="55">
        <f t="shared" ref="CL395:CL400" si="2423">SUM(V395:W395)</f>
        <v>982</v>
      </c>
      <c r="CM395" s="55">
        <f t="shared" ref="CM395:CM400" si="2424">SUM(X395:Y395)</f>
        <v>997</v>
      </c>
      <c r="CN395" s="55">
        <f t="shared" ref="CN395:CN400" si="2425">SUM(Z395:AA395)</f>
        <v>1053</v>
      </c>
      <c r="CO395" s="55">
        <f t="shared" ref="CO395:CO400" si="2426">SUM(AB395:AC395)</f>
        <v>1083</v>
      </c>
      <c r="CP395" s="55">
        <f t="shared" ref="CP395:CP400" si="2427">SUM(AD395:AE395)</f>
        <v>1050</v>
      </c>
      <c r="CQ395" s="55">
        <f t="shared" ref="CQ395:CQ400" si="2428">SUM(AF395:AG395)</f>
        <v>1010</v>
      </c>
      <c r="CR395" s="55">
        <f t="shared" ref="CR395:CR400" si="2429">SUM(AH395:AI395)</f>
        <v>1078</v>
      </c>
      <c r="CS395" s="55">
        <f t="shared" ref="CS395:CS400" si="2430">SUM(AJ395:AK395)</f>
        <v>1109</v>
      </c>
      <c r="CT395" s="55">
        <f t="shared" ref="CT395:CT400" si="2431">SUM(AL395:AM395)</f>
        <v>991</v>
      </c>
      <c r="CU395" s="55">
        <f t="shared" ref="CU395:CU400" si="2432">SUM(AN395:AO395)</f>
        <v>986</v>
      </c>
      <c r="CV395" s="55">
        <f t="shared" ref="CV395:CV400" si="2433">SUM(AP395:AQ395)</f>
        <v>665</v>
      </c>
      <c r="CW395" s="55">
        <f t="shared" ref="CW395:CW400" si="2434">SUM(AR395:AS395)</f>
        <v>736</v>
      </c>
      <c r="CX395" s="55">
        <f t="shared" ref="CX395:CX400" si="2435">SUM(AT395:AU395)</f>
        <v>753</v>
      </c>
      <c r="CY395" s="55">
        <f t="shared" ref="CY395:CY400" si="2436">SUM(AV395:AW395)</f>
        <v>821</v>
      </c>
      <c r="CZ395" s="56">
        <f t="shared" ref="CZ395:CZ400" si="2437">SUM(AX395:AY395)</f>
        <v>881.31616688396343</v>
      </c>
      <c r="DA395" s="55">
        <f t="shared" ref="DA395:DA400" si="2438">SUM(AZ395:BA395)</f>
        <v>900.78585392344723</v>
      </c>
      <c r="DB395" s="55">
        <f t="shared" ref="DB395:DB400" si="2439">SUM(BB395:BC395)</f>
        <v>878.00392430308466</v>
      </c>
      <c r="DC395" s="55">
        <f t="shared" ref="DC395:DC400" si="2440">SUM(BD395:BE395)</f>
        <v>895.10800025363642</v>
      </c>
      <c r="DD395" s="55">
        <f t="shared" ref="DD395:DD400" si="2441">SUM(BF395:BG395)</f>
        <v>918.89931045682749</v>
      </c>
      <c r="DE395" s="55">
        <f t="shared" ref="DE395:DE400" si="2442">SUM(BH395:BI395)</f>
        <v>939.31241580916446</v>
      </c>
      <c r="DF395" s="55">
        <f t="shared" ref="DF395:DF400" si="2443">SUM(BJ395:BK395)</f>
        <v>961.79496576076576</v>
      </c>
      <c r="DG395" s="55">
        <f t="shared" ref="DG395:DG400" si="2444">SUM(BL395:BM395)</f>
        <v>988.69435152439792</v>
      </c>
      <c r="DH395" s="55">
        <f t="shared" ref="DH395:DH400" si="2445">SUM(BN395:BO395)</f>
        <v>1016.3843321589595</v>
      </c>
      <c r="DI395" s="55">
        <f t="shared" ref="DI395:DI400" si="2446">SUM(BP395:BQ395)</f>
        <v>1044.9422640082967</v>
      </c>
    </row>
    <row r="396" spans="1:113" outlineLevel="1">
      <c r="A396" s="1" t="s">
        <v>995</v>
      </c>
      <c r="B396" s="19" t="s">
        <v>534</v>
      </c>
      <c r="C396" s="53">
        <v>594</v>
      </c>
      <c r="D396" s="53">
        <v>603</v>
      </c>
      <c r="E396" s="53">
        <v>636</v>
      </c>
      <c r="F396" s="53">
        <v>691</v>
      </c>
      <c r="G396" s="53">
        <v>703</v>
      </c>
      <c r="H396" s="53">
        <v>771</v>
      </c>
      <c r="I396" s="53">
        <f>1503-H396</f>
        <v>732</v>
      </c>
      <c r="J396" s="53">
        <v>777</v>
      </c>
      <c r="K396" s="53">
        <v>768</v>
      </c>
      <c r="L396" s="53">
        <v>815</v>
      </c>
      <c r="M396" s="53">
        <v>820</v>
      </c>
      <c r="N396" s="53">
        <v>859</v>
      </c>
      <c r="O396" s="53">
        <v>870</v>
      </c>
      <c r="P396" s="53">
        <v>908</v>
      </c>
      <c r="Q396" s="53">
        <v>919</v>
      </c>
      <c r="R396" s="53">
        <v>1024</v>
      </c>
      <c r="S396" s="53">
        <v>1050</v>
      </c>
      <c r="T396" s="53">
        <v>1034</v>
      </c>
      <c r="U396" s="53">
        <v>972</v>
      </c>
      <c r="V396" s="53">
        <v>985</v>
      </c>
      <c r="W396" s="53">
        <f>1946-V396</f>
        <v>961</v>
      </c>
      <c r="X396" s="53">
        <v>1009</v>
      </c>
      <c r="Y396" s="53">
        <v>988</v>
      </c>
      <c r="Z396" s="53">
        <v>993</v>
      </c>
      <c r="AA396" s="164">
        <v>997</v>
      </c>
      <c r="AB396" s="164">
        <v>1081</v>
      </c>
      <c r="AC396" s="164">
        <v>1049</v>
      </c>
      <c r="AD396" s="164">
        <v>1127</v>
      </c>
      <c r="AE396" s="164">
        <v>1099</v>
      </c>
      <c r="AF396" s="164">
        <v>1151</v>
      </c>
      <c r="AG396" s="164">
        <v>1064</v>
      </c>
      <c r="AH396" s="164">
        <v>1286</v>
      </c>
      <c r="AI396" s="164">
        <v>1271</v>
      </c>
      <c r="AJ396" s="164">
        <f>1303+93</f>
        <v>1396</v>
      </c>
      <c r="AK396" s="164">
        <f>1265+140</f>
        <v>1405</v>
      </c>
      <c r="AL396" s="164">
        <v>1360</v>
      </c>
      <c r="AM396" s="164">
        <v>1313</v>
      </c>
      <c r="AN396" s="164">
        <v>1321</v>
      </c>
      <c r="AO396" s="164">
        <v>1236</v>
      </c>
      <c r="AP396" s="164">
        <v>1299</v>
      </c>
      <c r="AQ396" s="164">
        <v>1265</v>
      </c>
      <c r="AR396" s="164">
        <v>1067</v>
      </c>
      <c r="AS396" s="164">
        <v>1011</v>
      </c>
      <c r="AT396" s="164">
        <v>1013</v>
      </c>
      <c r="AU396" s="164">
        <v>967</v>
      </c>
      <c r="AV396" s="164">
        <v>1047</v>
      </c>
      <c r="AW396" s="164">
        <v>1069</v>
      </c>
      <c r="AX396" s="164">
        <v>1085</v>
      </c>
      <c r="AY396" s="164">
        <v>1044.6838331160366</v>
      </c>
      <c r="AZ396" s="171">
        <v>1146</v>
      </c>
      <c r="BA396" s="55">
        <f t="shared" ref="BA396:BE396" si="2447">BA85/BA$5*BA259</f>
        <v>1074.0012657984314</v>
      </c>
      <c r="BB396" s="55">
        <f t="shared" si="2447"/>
        <v>1093.5615996346069</v>
      </c>
      <c r="BC396" s="55">
        <f t="shared" si="2447"/>
        <v>1070.2932331639638</v>
      </c>
      <c r="BD396" s="55">
        <f t="shared" si="2447"/>
        <v>1101.5127357673971</v>
      </c>
      <c r="BE396" s="55">
        <f t="shared" si="2447"/>
        <v>1104.495368083501</v>
      </c>
      <c r="BF396" s="55">
        <f t="shared" ref="BF396:BM396" si="2448">BF85/BF$5*BF259</f>
        <v>1134.7252201374745</v>
      </c>
      <c r="BG396" s="55">
        <f t="shared" si="2448"/>
        <v>1129.916951439998</v>
      </c>
      <c r="BH396" s="55">
        <f t="shared" si="2448"/>
        <v>1161.4377537272014</v>
      </c>
      <c r="BI396" s="55">
        <f t="shared" si="2448"/>
        <v>1153.5128452347401</v>
      </c>
      <c r="BJ396" s="55">
        <f t="shared" si="2448"/>
        <v>1200.7839018524328</v>
      </c>
      <c r="BK396" s="55">
        <f t="shared" si="2448"/>
        <v>1189.5625040693531</v>
      </c>
      <c r="BL396" s="55">
        <f t="shared" si="2448"/>
        <v>1237.412031275589</v>
      </c>
      <c r="BM396" s="55">
        <f t="shared" si="2448"/>
        <v>1233.8138370706567</v>
      </c>
      <c r="BN396" s="55">
        <f t="shared" ref="BN396:BO396" si="2449">BN85/BN$5*BN259</f>
        <v>1283.4044983206293</v>
      </c>
      <c r="BO396" s="55">
        <f t="shared" si="2449"/>
        <v>1272.6507756933597</v>
      </c>
      <c r="BP396" s="55">
        <f t="shared" ref="BP396:BQ396" si="2450">BP85/BP$5*BP259</f>
        <v>1327.4890157111204</v>
      </c>
      <c r="BQ396" s="55">
        <f t="shared" si="2450"/>
        <v>1316.3754646178518</v>
      </c>
      <c r="BR396" s="55"/>
      <c r="BS396" s="53">
        <v>504.4</v>
      </c>
      <c r="BT396" s="53">
        <v>443.5</v>
      </c>
      <c r="BU396" s="53">
        <v>520.5</v>
      </c>
      <c r="BV396" s="53">
        <v>507</v>
      </c>
      <c r="BW396" s="53">
        <v>506</v>
      </c>
      <c r="BX396" s="53">
        <v>568</v>
      </c>
      <c r="BY396" s="53">
        <v>678</v>
      </c>
      <c r="BZ396" s="53">
        <v>807</v>
      </c>
      <c r="CA396" s="53">
        <v>946</v>
      </c>
      <c r="CB396" s="53">
        <v>1173</v>
      </c>
      <c r="CC396" s="55">
        <f t="shared" si="2414"/>
        <v>1239</v>
      </c>
      <c r="CD396" s="55">
        <f t="shared" si="2415"/>
        <v>1394</v>
      </c>
      <c r="CE396" s="55">
        <f t="shared" si="2416"/>
        <v>1503</v>
      </c>
      <c r="CF396" s="55">
        <f t="shared" si="2417"/>
        <v>1545</v>
      </c>
      <c r="CG396" s="55">
        <f t="shared" si="2418"/>
        <v>1635</v>
      </c>
      <c r="CH396" s="55">
        <f t="shared" si="2419"/>
        <v>1729</v>
      </c>
      <c r="CI396" s="55">
        <f t="shared" si="2420"/>
        <v>1827</v>
      </c>
      <c r="CJ396" s="55">
        <f t="shared" si="2421"/>
        <v>2074</v>
      </c>
      <c r="CK396" s="55">
        <f t="shared" si="2422"/>
        <v>2006</v>
      </c>
      <c r="CL396" s="55">
        <f t="shared" si="2423"/>
        <v>1946</v>
      </c>
      <c r="CM396" s="55">
        <f t="shared" si="2424"/>
        <v>1997</v>
      </c>
      <c r="CN396" s="55">
        <f t="shared" si="2425"/>
        <v>1990</v>
      </c>
      <c r="CO396" s="55">
        <f t="shared" si="2426"/>
        <v>2130</v>
      </c>
      <c r="CP396" s="55">
        <f t="shared" si="2427"/>
        <v>2226</v>
      </c>
      <c r="CQ396" s="55">
        <f t="shared" si="2428"/>
        <v>2215</v>
      </c>
      <c r="CR396" s="55">
        <f t="shared" si="2429"/>
        <v>2557</v>
      </c>
      <c r="CS396" s="55">
        <f t="shared" si="2430"/>
        <v>2801</v>
      </c>
      <c r="CT396" s="55">
        <f t="shared" si="2431"/>
        <v>2673</v>
      </c>
      <c r="CU396" s="55">
        <f t="shared" si="2432"/>
        <v>2557</v>
      </c>
      <c r="CV396" s="55">
        <f t="shared" si="2433"/>
        <v>2564</v>
      </c>
      <c r="CW396" s="55">
        <f t="shared" si="2434"/>
        <v>2078</v>
      </c>
      <c r="CX396" s="55">
        <f t="shared" si="2435"/>
        <v>1980</v>
      </c>
      <c r="CY396" s="55">
        <f t="shared" si="2436"/>
        <v>2116</v>
      </c>
      <c r="CZ396" s="56">
        <f t="shared" si="2437"/>
        <v>2129.6838331160366</v>
      </c>
      <c r="DA396" s="55">
        <f t="shared" si="2438"/>
        <v>2220.0012657984316</v>
      </c>
      <c r="DB396" s="55">
        <f t="shared" si="2439"/>
        <v>2163.8548327985709</v>
      </c>
      <c r="DC396" s="55">
        <f t="shared" si="2440"/>
        <v>2206.0081038508979</v>
      </c>
      <c r="DD396" s="55">
        <f t="shared" si="2441"/>
        <v>2264.6421715774723</v>
      </c>
      <c r="DE396" s="55">
        <f t="shared" si="2442"/>
        <v>2314.9505989619415</v>
      </c>
      <c r="DF396" s="55">
        <f t="shared" si="2443"/>
        <v>2390.3464059217858</v>
      </c>
      <c r="DG396" s="55">
        <f t="shared" si="2444"/>
        <v>2471.225868346246</v>
      </c>
      <c r="DH396" s="55">
        <f t="shared" si="2445"/>
        <v>2556.0552740139892</v>
      </c>
      <c r="DI396" s="55">
        <f t="shared" si="2446"/>
        <v>2643.8644803289721</v>
      </c>
    </row>
    <row r="397" spans="1:113" outlineLevel="1">
      <c r="A397" s="1" t="s">
        <v>996</v>
      </c>
      <c r="B397" s="19" t="s">
        <v>535</v>
      </c>
      <c r="C397" s="53">
        <v>222</v>
      </c>
      <c r="D397" s="53">
        <v>251</v>
      </c>
      <c r="E397" s="53">
        <v>238</v>
      </c>
      <c r="F397" s="53">
        <v>226</v>
      </c>
      <c r="G397" s="53">
        <v>276</v>
      </c>
      <c r="H397" s="53">
        <v>269</v>
      </c>
      <c r="I397" s="53">
        <f>499-H397</f>
        <v>230</v>
      </c>
      <c r="J397" s="53">
        <v>219</v>
      </c>
      <c r="K397" s="53">
        <v>221</v>
      </c>
      <c r="L397" s="53">
        <v>244</v>
      </c>
      <c r="M397" s="53">
        <v>261</v>
      </c>
      <c r="N397" s="53">
        <v>306</v>
      </c>
      <c r="O397" s="53">
        <v>249</v>
      </c>
      <c r="P397" s="53">
        <v>200</v>
      </c>
      <c r="Q397" s="53">
        <v>346</v>
      </c>
      <c r="R397" s="53">
        <v>442</v>
      </c>
      <c r="S397" s="53">
        <v>293</v>
      </c>
      <c r="T397" s="53">
        <v>291</v>
      </c>
      <c r="U397" s="53">
        <v>306</v>
      </c>
      <c r="V397" s="53">
        <v>426</v>
      </c>
      <c r="W397" s="53">
        <f>717-V397</f>
        <v>291</v>
      </c>
      <c r="X397" s="53">
        <v>241</v>
      </c>
      <c r="Y397" s="53">
        <v>281</v>
      </c>
      <c r="Z397" s="53">
        <v>443</v>
      </c>
      <c r="AA397" s="164">
        <v>420</v>
      </c>
      <c r="AB397" s="164">
        <v>508</v>
      </c>
      <c r="AC397" s="164">
        <v>414</v>
      </c>
      <c r="AD397" s="164">
        <v>529</v>
      </c>
      <c r="AE397" s="164">
        <v>510</v>
      </c>
      <c r="AF397" s="164">
        <v>496</v>
      </c>
      <c r="AG397" s="164">
        <v>591</v>
      </c>
      <c r="AH397" s="164">
        <v>600</v>
      </c>
      <c r="AI397" s="164">
        <v>549</v>
      </c>
      <c r="AJ397" s="164">
        <v>556</v>
      </c>
      <c r="AK397" s="164">
        <v>469</v>
      </c>
      <c r="AL397" s="164">
        <v>494</v>
      </c>
      <c r="AM397" s="164">
        <v>480</v>
      </c>
      <c r="AN397" s="164">
        <v>508</v>
      </c>
      <c r="AO397" s="164">
        <v>432</v>
      </c>
      <c r="AP397" s="164">
        <v>535</v>
      </c>
      <c r="AQ397" s="164">
        <v>317</v>
      </c>
      <c r="AR397" s="164">
        <v>368</v>
      </c>
      <c r="AS397" s="164">
        <v>438</v>
      </c>
      <c r="AT397" s="164">
        <v>513</v>
      </c>
      <c r="AU397" s="164">
        <v>582</v>
      </c>
      <c r="AV397" s="164">
        <v>639</v>
      </c>
      <c r="AW397" s="164">
        <v>538</v>
      </c>
      <c r="AX397" s="164">
        <v>519</v>
      </c>
      <c r="AY397" s="164">
        <v>680.00000000000011</v>
      </c>
      <c r="AZ397" s="171">
        <v>603</v>
      </c>
      <c r="BA397" s="55">
        <f t="shared" ref="BA397:BE397" si="2451">BA86*(BA233+BA235)/BA$5</f>
        <v>614.79999999999995</v>
      </c>
      <c r="BB397" s="55">
        <f t="shared" si="2451"/>
        <v>572.84999999999991</v>
      </c>
      <c r="BC397" s="55">
        <f t="shared" si="2451"/>
        <v>648.02000000000021</v>
      </c>
      <c r="BD397" s="55">
        <f t="shared" si="2451"/>
        <v>561.39300000000003</v>
      </c>
      <c r="BE397" s="55">
        <f t="shared" si="2451"/>
        <v>627.74249999999995</v>
      </c>
      <c r="BF397" s="55">
        <f t="shared" ref="BF397:BM397" si="2452">BF86*(BF233+BF235)/BF$5</f>
        <v>567.00693000000001</v>
      </c>
      <c r="BG397" s="55">
        <f t="shared" si="2452"/>
        <v>595.16488500000025</v>
      </c>
      <c r="BH397" s="55">
        <f t="shared" si="2452"/>
        <v>572.67699930000003</v>
      </c>
      <c r="BI397" s="55">
        <f t="shared" si="2452"/>
        <v>597.92486985000016</v>
      </c>
      <c r="BJ397" s="55">
        <f t="shared" si="2452"/>
        <v>588.52915399938581</v>
      </c>
      <c r="BK397" s="55">
        <f t="shared" si="2452"/>
        <v>616.15551235475175</v>
      </c>
      <c r="BL397" s="55">
        <f t="shared" si="2452"/>
        <v>606.34675685473019</v>
      </c>
      <c r="BM397" s="55">
        <f t="shared" si="2452"/>
        <v>638.3396553372188</v>
      </c>
      <c r="BN397" s="55">
        <f t="shared" ref="BN397:BO397" si="2453">BN86*(BN233+BN235)/BN$5</f>
        <v>628.17658493907072</v>
      </c>
      <c r="BO397" s="55">
        <f t="shared" si="2453"/>
        <v>657.71120415776727</v>
      </c>
      <c r="BP397" s="55">
        <f t="shared" ref="BP397:BQ397" si="2454">BP86*(BP233+BP235)/BP$5</f>
        <v>649.06063163887382</v>
      </c>
      <c r="BQ397" s="55">
        <f t="shared" si="2454"/>
        <v>679.60138127918958</v>
      </c>
      <c r="BR397" s="55"/>
      <c r="BS397" s="53">
        <f>85.8+10.8</f>
        <v>96.6</v>
      </c>
      <c r="BT397" s="53">
        <f>91.6+83.8</f>
        <v>175.39999999999998</v>
      </c>
      <c r="BU397" s="53">
        <f>97.7+76.7+20</f>
        <v>194.4</v>
      </c>
      <c r="BV397" s="53">
        <f>77+45+20</f>
        <v>142</v>
      </c>
      <c r="BW397" s="53">
        <f>78+41+29</f>
        <v>148</v>
      </c>
      <c r="BX397" s="53">
        <f>70+57+47</f>
        <v>174</v>
      </c>
      <c r="BY397" s="53">
        <f>161+35+47</f>
        <v>243</v>
      </c>
      <c r="BZ397" s="53">
        <f>155+66+52</f>
        <v>273</v>
      </c>
      <c r="CA397" s="53">
        <v>311</v>
      </c>
      <c r="CB397" s="53">
        <v>426</v>
      </c>
      <c r="CC397" s="55">
        <f t="shared" si="2414"/>
        <v>489</v>
      </c>
      <c r="CD397" s="55">
        <f t="shared" si="2415"/>
        <v>502</v>
      </c>
      <c r="CE397" s="55">
        <f t="shared" si="2416"/>
        <v>499</v>
      </c>
      <c r="CF397" s="55">
        <f t="shared" si="2417"/>
        <v>440</v>
      </c>
      <c r="CG397" s="55">
        <f t="shared" si="2418"/>
        <v>505</v>
      </c>
      <c r="CH397" s="55">
        <f t="shared" si="2419"/>
        <v>555</v>
      </c>
      <c r="CI397" s="55">
        <f t="shared" si="2420"/>
        <v>546</v>
      </c>
      <c r="CJ397" s="55">
        <f t="shared" si="2421"/>
        <v>735</v>
      </c>
      <c r="CK397" s="55">
        <f t="shared" si="2422"/>
        <v>597</v>
      </c>
      <c r="CL397" s="55">
        <f t="shared" si="2423"/>
        <v>717</v>
      </c>
      <c r="CM397" s="55">
        <f t="shared" si="2424"/>
        <v>522</v>
      </c>
      <c r="CN397" s="55">
        <f t="shared" si="2425"/>
        <v>863</v>
      </c>
      <c r="CO397" s="55">
        <f t="shared" si="2426"/>
        <v>922</v>
      </c>
      <c r="CP397" s="55">
        <f t="shared" si="2427"/>
        <v>1039</v>
      </c>
      <c r="CQ397" s="55">
        <f t="shared" si="2428"/>
        <v>1087</v>
      </c>
      <c r="CR397" s="55">
        <f t="shared" si="2429"/>
        <v>1149</v>
      </c>
      <c r="CS397" s="55">
        <f t="shared" si="2430"/>
        <v>1025</v>
      </c>
      <c r="CT397" s="55">
        <f t="shared" si="2431"/>
        <v>974</v>
      </c>
      <c r="CU397" s="55">
        <f t="shared" si="2432"/>
        <v>940</v>
      </c>
      <c r="CV397" s="55">
        <f t="shared" si="2433"/>
        <v>852</v>
      </c>
      <c r="CW397" s="55">
        <f t="shared" si="2434"/>
        <v>806</v>
      </c>
      <c r="CX397" s="55">
        <f t="shared" si="2435"/>
        <v>1095</v>
      </c>
      <c r="CY397" s="55">
        <f t="shared" si="2436"/>
        <v>1177</v>
      </c>
      <c r="CZ397" s="56">
        <f t="shared" si="2437"/>
        <v>1199</v>
      </c>
      <c r="DA397" s="55">
        <f t="shared" si="2438"/>
        <v>1217.8</v>
      </c>
      <c r="DB397" s="55">
        <f t="shared" si="2439"/>
        <v>1220.8700000000001</v>
      </c>
      <c r="DC397" s="55">
        <f t="shared" si="2440"/>
        <v>1189.1354999999999</v>
      </c>
      <c r="DD397" s="55">
        <f t="shared" si="2441"/>
        <v>1162.1718150000002</v>
      </c>
      <c r="DE397" s="55">
        <f t="shared" si="2442"/>
        <v>1170.6018691500003</v>
      </c>
      <c r="DF397" s="55">
        <f t="shared" si="2443"/>
        <v>1204.6846663541376</v>
      </c>
      <c r="DG397" s="55">
        <f t="shared" si="2444"/>
        <v>1244.6864121919489</v>
      </c>
      <c r="DH397" s="55">
        <f t="shared" si="2445"/>
        <v>1285.8877890968379</v>
      </c>
      <c r="DI397" s="55">
        <f t="shared" si="2446"/>
        <v>1328.6620129180633</v>
      </c>
    </row>
    <row r="398" spans="1:113" outlineLevel="1">
      <c r="A398" s="1" t="s">
        <v>997</v>
      </c>
      <c r="B398" s="19" t="s">
        <v>432</v>
      </c>
      <c r="C398" s="53">
        <v>381</v>
      </c>
      <c r="D398" s="53">
        <v>390</v>
      </c>
      <c r="E398" s="53">
        <v>419</v>
      </c>
      <c r="F398" s="53">
        <v>575</v>
      </c>
      <c r="G398" s="53">
        <v>540</v>
      </c>
      <c r="H398" s="53">
        <v>582</v>
      </c>
      <c r="I398" s="53">
        <v>576</v>
      </c>
      <c r="J398" s="53">
        <v>609</v>
      </c>
      <c r="K398" s="53">
        <v>638</v>
      </c>
      <c r="L398" s="53">
        <v>715</v>
      </c>
      <c r="M398" s="53">
        <v>828</v>
      </c>
      <c r="N398" s="53">
        <v>893</v>
      </c>
      <c r="O398" s="53">
        <v>981</v>
      </c>
      <c r="P398" s="53">
        <v>1141</v>
      </c>
      <c r="Q398" s="53">
        <v>1166</v>
      </c>
      <c r="R398" s="53">
        <v>1015</v>
      </c>
      <c r="S398" s="53">
        <v>808</v>
      </c>
      <c r="T398" s="53">
        <v>947</v>
      </c>
      <c r="U398" s="53">
        <v>951</v>
      </c>
      <c r="V398" s="53">
        <v>1017</v>
      </c>
      <c r="W398" s="53">
        <f>2041-V398</f>
        <v>1024</v>
      </c>
      <c r="X398" s="53">
        <v>977</v>
      </c>
      <c r="Y398" s="53">
        <v>980</v>
      </c>
      <c r="Z398" s="53">
        <v>884</v>
      </c>
      <c r="AA398" s="164">
        <v>944</v>
      </c>
      <c r="AB398" s="164">
        <v>1003</v>
      </c>
      <c r="AC398" s="164">
        <f>1933-AB398</f>
        <v>930</v>
      </c>
      <c r="AD398" s="164">
        <v>970</v>
      </c>
      <c r="AE398" s="164">
        <v>968</v>
      </c>
      <c r="AF398" s="164">
        <v>1032</v>
      </c>
      <c r="AG398" s="164">
        <v>984</v>
      </c>
      <c r="AH398" s="164">
        <v>943</v>
      </c>
      <c r="AI398" s="164">
        <v>970</v>
      </c>
      <c r="AJ398" s="164">
        <v>568</v>
      </c>
      <c r="AK398" s="164">
        <v>551</v>
      </c>
      <c r="AL398" s="164">
        <f>255/(502+570)*570</f>
        <v>135.58768656716418</v>
      </c>
      <c r="AM398" s="164">
        <f>255/(502+570)*502</f>
        <v>119.41231343283583</v>
      </c>
      <c r="AN398" s="164">
        <v>98</v>
      </c>
      <c r="AO398" s="164">
        <v>75</v>
      </c>
      <c r="AP398" s="164">
        <v>80</v>
      </c>
      <c r="AQ398" s="164">
        <v>85</v>
      </c>
      <c r="AR398" s="164">
        <v>98</v>
      </c>
      <c r="AS398" s="164">
        <v>110</v>
      </c>
      <c r="AT398" s="164">
        <v>28</v>
      </c>
      <c r="AU398" s="164">
        <v>54</v>
      </c>
      <c r="AV398" s="164">
        <v>55</v>
      </c>
      <c r="AW398" s="164">
        <v>56</v>
      </c>
      <c r="AX398" s="164">
        <v>60</v>
      </c>
      <c r="AY398" s="164">
        <v>62</v>
      </c>
      <c r="AZ398" s="171">
        <v>67</v>
      </c>
      <c r="BA398" s="55">
        <f>[5]CBA!L$131</f>
        <v>69.680000000000007</v>
      </c>
      <c r="BB398" s="55">
        <f>[5]CBA!M$131</f>
        <v>72.467200000000005</v>
      </c>
      <c r="BC398" s="55">
        <f>[5]CBA!N$131</f>
        <v>75.365888000000012</v>
      </c>
      <c r="BD398" s="55">
        <f>[5]CBA!O$131</f>
        <v>78.380523520000011</v>
      </c>
      <c r="BE398" s="55">
        <f>[5]CBA!P$131</f>
        <v>81.515744460800008</v>
      </c>
      <c r="BF398" s="55">
        <f>[5]CBA!Q$131</f>
        <v>84.776374239232013</v>
      </c>
      <c r="BG398" s="55">
        <f>[5]CBA!R$131</f>
        <v>88.167429208801295</v>
      </c>
      <c r="BH398" s="55">
        <f>[5]CBA!S$131</f>
        <v>91.694126377153353</v>
      </c>
      <c r="BI398" s="55">
        <f>[5]CBA!T$131</f>
        <v>95.361891432239489</v>
      </c>
      <c r="BJ398" s="54">
        <f t="shared" ref="BJ398:BM398" si="2455">BI398*BJ395/BI395</f>
        <v>98.181504289372697</v>
      </c>
      <c r="BK398" s="54">
        <f t="shared" si="2455"/>
        <v>97.778114353804469</v>
      </c>
      <c r="BL398" s="54">
        <f t="shared" si="2455"/>
        <v>100.64816011730974</v>
      </c>
      <c r="BM398" s="54">
        <f t="shared" si="2455"/>
        <v>100.79203761353988</v>
      </c>
      <c r="BN398" s="54">
        <f t="shared" ref="BN398" si="2456">BM398*BN395/BM395</f>
        <v>103.75035852702639</v>
      </c>
      <c r="BO398" s="54">
        <f t="shared" ref="BO398" si="2457">BN398*BO395/BN395</f>
        <v>103.33149697762298</v>
      </c>
      <c r="BP398" s="54">
        <f t="shared" ref="BP398" si="2458">BO398*BP395/BO395</f>
        <v>106.66359345217994</v>
      </c>
      <c r="BQ398" s="54">
        <f t="shared" ref="BQ398" si="2459">BP398*BQ395/BP395</f>
        <v>106.23675937638444</v>
      </c>
      <c r="BR398" s="54"/>
      <c r="BS398" s="53">
        <v>0</v>
      </c>
      <c r="BT398" s="53">
        <v>0</v>
      </c>
      <c r="BU398" s="53">
        <v>0</v>
      </c>
      <c r="BV398" s="53">
        <f>126-BV399</f>
        <v>80.400000000000006</v>
      </c>
      <c r="BW398" s="53">
        <f>142*BX398/(BX$398+BX$399)</f>
        <v>51.951219512195131</v>
      </c>
      <c r="BX398" s="53">
        <f>197*BY398/(BY$398+BY$399)</f>
        <v>72.073170731707322</v>
      </c>
      <c r="BY398" s="53">
        <v>75</v>
      </c>
      <c r="BZ398" s="53">
        <v>97</v>
      </c>
      <c r="CA398" s="53">
        <v>143</v>
      </c>
      <c r="CB398" s="53">
        <v>701</v>
      </c>
      <c r="CC398" s="55">
        <f t="shared" si="2414"/>
        <v>809</v>
      </c>
      <c r="CD398" s="55">
        <f t="shared" si="2415"/>
        <v>1115</v>
      </c>
      <c r="CE398" s="55">
        <f t="shared" si="2416"/>
        <v>1158</v>
      </c>
      <c r="CF398" s="55">
        <f t="shared" si="2417"/>
        <v>1247</v>
      </c>
      <c r="CG398" s="55">
        <f t="shared" si="2418"/>
        <v>1543</v>
      </c>
      <c r="CH398" s="55">
        <f t="shared" si="2419"/>
        <v>1874</v>
      </c>
      <c r="CI398" s="55">
        <f t="shared" si="2420"/>
        <v>2307</v>
      </c>
      <c r="CJ398" s="55">
        <f t="shared" si="2421"/>
        <v>1823</v>
      </c>
      <c r="CK398" s="55">
        <f t="shared" si="2422"/>
        <v>1898</v>
      </c>
      <c r="CL398" s="55">
        <f t="shared" si="2423"/>
        <v>2041</v>
      </c>
      <c r="CM398" s="55">
        <f t="shared" si="2424"/>
        <v>1957</v>
      </c>
      <c r="CN398" s="55">
        <f t="shared" si="2425"/>
        <v>1828</v>
      </c>
      <c r="CO398" s="55">
        <f t="shared" si="2426"/>
        <v>1933</v>
      </c>
      <c r="CP398" s="55">
        <f t="shared" si="2427"/>
        <v>1938</v>
      </c>
      <c r="CQ398" s="55">
        <f t="shared" si="2428"/>
        <v>2016</v>
      </c>
      <c r="CR398" s="55">
        <f t="shared" si="2429"/>
        <v>1913</v>
      </c>
      <c r="CS398" s="55">
        <f t="shared" si="2430"/>
        <v>1119</v>
      </c>
      <c r="CT398" s="55">
        <f t="shared" si="2431"/>
        <v>255</v>
      </c>
      <c r="CU398" s="55">
        <f t="shared" si="2432"/>
        <v>173</v>
      </c>
      <c r="CV398" s="55">
        <f t="shared" si="2433"/>
        <v>165</v>
      </c>
      <c r="CW398" s="55">
        <f t="shared" si="2434"/>
        <v>208</v>
      </c>
      <c r="CX398" s="55">
        <f t="shared" si="2435"/>
        <v>82</v>
      </c>
      <c r="CY398" s="55">
        <f t="shared" si="2436"/>
        <v>111</v>
      </c>
      <c r="CZ398" s="56">
        <f t="shared" si="2437"/>
        <v>122</v>
      </c>
      <c r="DA398" s="55">
        <f t="shared" si="2438"/>
        <v>136.68</v>
      </c>
      <c r="DB398" s="55">
        <f t="shared" si="2439"/>
        <v>147.83308800000003</v>
      </c>
      <c r="DC398" s="55">
        <f t="shared" si="2440"/>
        <v>159.89626798080002</v>
      </c>
      <c r="DD398" s="55">
        <f t="shared" si="2441"/>
        <v>172.94380344803329</v>
      </c>
      <c r="DE398" s="55">
        <f t="shared" si="2442"/>
        <v>187.05601780939284</v>
      </c>
      <c r="DF398" s="55">
        <f t="shared" si="2443"/>
        <v>195.95961864317718</v>
      </c>
      <c r="DG398" s="55">
        <f t="shared" si="2444"/>
        <v>201.4401977308496</v>
      </c>
      <c r="DH398" s="55">
        <f t="shared" si="2445"/>
        <v>207.08185550464935</v>
      </c>
      <c r="DI398" s="55">
        <f t="shared" si="2446"/>
        <v>212.90035282856439</v>
      </c>
    </row>
    <row r="399" spans="1:113" outlineLevel="2">
      <c r="A399" s="1" t="s">
        <v>998</v>
      </c>
      <c r="B399" s="19" t="s">
        <v>780</v>
      </c>
      <c r="C399" s="53">
        <v>624</v>
      </c>
      <c r="D399" s="53">
        <v>529</v>
      </c>
      <c r="E399" s="53">
        <v>468</v>
      </c>
      <c r="F399" s="53">
        <v>280</v>
      </c>
      <c r="G399" s="53">
        <v>318</v>
      </c>
      <c r="H399" s="53">
        <v>322</v>
      </c>
      <c r="I399" s="53">
        <v>356</v>
      </c>
      <c r="J399" s="53">
        <v>360</v>
      </c>
      <c r="K399" s="53">
        <v>387</v>
      </c>
      <c r="L399" s="53">
        <v>386</v>
      </c>
      <c r="M399" s="53">
        <v>356</v>
      </c>
      <c r="N399" s="53">
        <v>382</v>
      </c>
      <c r="O399" s="53">
        <v>435</v>
      </c>
      <c r="P399" s="53">
        <v>393</v>
      </c>
      <c r="Q399" s="53">
        <v>439</v>
      </c>
      <c r="R399" s="53">
        <v>453</v>
      </c>
      <c r="S399" s="53">
        <v>478</v>
      </c>
      <c r="T399" s="53">
        <v>463</v>
      </c>
      <c r="U399" s="53">
        <v>482</v>
      </c>
      <c r="V399" s="53">
        <v>458</v>
      </c>
      <c r="W399" s="53">
        <f>856-V399</f>
        <v>398</v>
      </c>
      <c r="X399" s="53">
        <v>501</v>
      </c>
      <c r="Y399" s="53">
        <v>459</v>
      </c>
      <c r="Z399" s="53">
        <v>354</v>
      </c>
      <c r="AA399" s="164">
        <v>385</v>
      </c>
      <c r="AB399" s="164">
        <v>386</v>
      </c>
      <c r="AC399" s="164">
        <f>819-AB399</f>
        <v>433</v>
      </c>
      <c r="AD399" s="164">
        <v>416</v>
      </c>
      <c r="AE399" s="164">
        <v>376</v>
      </c>
      <c r="AF399" s="164">
        <v>487</v>
      </c>
      <c r="AG399" s="164">
        <v>308</v>
      </c>
      <c r="AH399" s="164">
        <v>162</v>
      </c>
      <c r="AI399" s="164">
        <v>61</v>
      </c>
      <c r="AJ399" s="164">
        <v>112</v>
      </c>
      <c r="AK399" s="164">
        <v>126</v>
      </c>
      <c r="AL399" s="164">
        <v>68</v>
      </c>
      <c r="AM399" s="164">
        <v>79</v>
      </c>
      <c r="AN399" s="164">
        <v>32</v>
      </c>
      <c r="AO399" s="164">
        <v>109</v>
      </c>
      <c r="AP399" s="164">
        <v>91</v>
      </c>
      <c r="AQ399" s="164">
        <v>54</v>
      </c>
      <c r="AR399" s="164">
        <v>0</v>
      </c>
      <c r="AS399" s="164">
        <v>0</v>
      </c>
      <c r="AT399" s="164">
        <v>0</v>
      </c>
      <c r="AU399" s="164">
        <v>0</v>
      </c>
      <c r="AV399" s="164">
        <v>0</v>
      </c>
      <c r="AW399" s="164">
        <v>0</v>
      </c>
      <c r="AX399" s="164">
        <v>0</v>
      </c>
      <c r="AY399" s="55">
        <f t="shared" ref="AY399:BG399" si="2460">(AX399+0)*AY215/AX215</f>
        <v>0</v>
      </c>
      <c r="AZ399" s="171">
        <v>0</v>
      </c>
      <c r="BA399" s="55">
        <f t="shared" si="2460"/>
        <v>0</v>
      </c>
      <c r="BB399" s="55">
        <f t="shared" si="2460"/>
        <v>0</v>
      </c>
      <c r="BC399" s="55">
        <f t="shared" si="2460"/>
        <v>0</v>
      </c>
      <c r="BD399" s="55">
        <f t="shared" si="2460"/>
        <v>0</v>
      </c>
      <c r="BE399" s="55">
        <f t="shared" si="2460"/>
        <v>0</v>
      </c>
      <c r="BF399" s="55">
        <f t="shared" si="2460"/>
        <v>0</v>
      </c>
      <c r="BG399" s="55">
        <f t="shared" si="2460"/>
        <v>0</v>
      </c>
      <c r="BH399" s="55">
        <f>(BG399+0)*BH215/BG215</f>
        <v>0</v>
      </c>
      <c r="BI399" s="55">
        <f>(BH399+0)*BI215/BH215</f>
        <v>0</v>
      </c>
      <c r="BJ399" s="54">
        <f>(BI399+0)*BJ215/BI215</f>
        <v>0</v>
      </c>
      <c r="BK399" s="54">
        <f>(BJ399+0)*BK215/BJ215</f>
        <v>0</v>
      </c>
      <c r="BL399" s="54">
        <f t="shared" ref="BL399:BM399" si="2461">(BK399+0)*BL215/BK215</f>
        <v>0</v>
      </c>
      <c r="BM399" s="54">
        <f t="shared" si="2461"/>
        <v>0</v>
      </c>
      <c r="BN399" s="54">
        <f t="shared" ref="BN399" si="2462">(BM399+0)*BN215/BM215</f>
        <v>0</v>
      </c>
      <c r="BO399" s="54">
        <f t="shared" ref="BO399" si="2463">(BN399+0)*BO215/BN215</f>
        <v>0</v>
      </c>
      <c r="BP399" s="54">
        <f t="shared" ref="BP399" si="2464">(BO399+0)*BP215/BO215</f>
        <v>0</v>
      </c>
      <c r="BQ399" s="54">
        <f t="shared" ref="BQ399" si="2465">(BP399+0)*BQ215/BP215</f>
        <v>0</v>
      </c>
      <c r="BR399" s="368"/>
      <c r="BS399" s="53">
        <v>0</v>
      </c>
      <c r="BT399" s="53">
        <v>0</v>
      </c>
      <c r="BU399" s="53">
        <v>36.299999999999997</v>
      </c>
      <c r="BV399" s="53">
        <v>45.6</v>
      </c>
      <c r="BW399" s="53">
        <f>142*BX399/(BX$398+BX$399)</f>
        <v>90.048780487804876</v>
      </c>
      <c r="BX399" s="53">
        <f>197*BY399/(BY$398+BY$399)</f>
        <v>124.92682926829268</v>
      </c>
      <c r="BY399" s="53">
        <v>130</v>
      </c>
      <c r="BZ399" s="53">
        <v>157</v>
      </c>
      <c r="CA399" s="53">
        <v>326</v>
      </c>
      <c r="CB399" s="53">
        <v>1268</v>
      </c>
      <c r="CC399" s="55">
        <f t="shared" si="2414"/>
        <v>997</v>
      </c>
      <c r="CD399" s="55">
        <f t="shared" si="2415"/>
        <v>598</v>
      </c>
      <c r="CE399" s="55">
        <f t="shared" si="2416"/>
        <v>678</v>
      </c>
      <c r="CF399" s="55">
        <f t="shared" si="2417"/>
        <v>747</v>
      </c>
      <c r="CG399" s="55">
        <f t="shared" si="2418"/>
        <v>742</v>
      </c>
      <c r="CH399" s="55">
        <f t="shared" si="2419"/>
        <v>817</v>
      </c>
      <c r="CI399" s="55">
        <f t="shared" si="2420"/>
        <v>832</v>
      </c>
      <c r="CJ399" s="55">
        <f t="shared" si="2421"/>
        <v>931</v>
      </c>
      <c r="CK399" s="55">
        <f t="shared" si="2422"/>
        <v>945</v>
      </c>
      <c r="CL399" s="55">
        <f t="shared" si="2423"/>
        <v>856</v>
      </c>
      <c r="CM399" s="55">
        <f t="shared" si="2424"/>
        <v>960</v>
      </c>
      <c r="CN399" s="55">
        <f t="shared" si="2425"/>
        <v>739</v>
      </c>
      <c r="CO399" s="55">
        <f t="shared" si="2426"/>
        <v>819</v>
      </c>
      <c r="CP399" s="55">
        <f t="shared" si="2427"/>
        <v>792</v>
      </c>
      <c r="CQ399" s="55">
        <f t="shared" si="2428"/>
        <v>795</v>
      </c>
      <c r="CR399" s="55">
        <f t="shared" si="2429"/>
        <v>223</v>
      </c>
      <c r="CS399" s="55">
        <f t="shared" si="2430"/>
        <v>238</v>
      </c>
      <c r="CT399" s="55">
        <f t="shared" si="2431"/>
        <v>147</v>
      </c>
      <c r="CU399" s="55">
        <f t="shared" si="2432"/>
        <v>141</v>
      </c>
      <c r="CV399" s="55">
        <f t="shared" si="2433"/>
        <v>145</v>
      </c>
      <c r="CW399" s="55">
        <f t="shared" si="2434"/>
        <v>0</v>
      </c>
      <c r="CX399" s="55">
        <f t="shared" si="2435"/>
        <v>0</v>
      </c>
      <c r="CY399" s="55">
        <f t="shared" si="2436"/>
        <v>0</v>
      </c>
      <c r="CZ399" s="56">
        <f t="shared" si="2437"/>
        <v>0</v>
      </c>
      <c r="DA399" s="55">
        <f t="shared" si="2438"/>
        <v>0</v>
      </c>
      <c r="DB399" s="55">
        <f t="shared" si="2439"/>
        <v>0</v>
      </c>
      <c r="DC399" s="55">
        <f t="shared" si="2440"/>
        <v>0</v>
      </c>
      <c r="DD399" s="55">
        <f t="shared" si="2441"/>
        <v>0</v>
      </c>
      <c r="DE399" s="55">
        <f t="shared" si="2442"/>
        <v>0</v>
      </c>
      <c r="DF399" s="55">
        <f t="shared" si="2443"/>
        <v>0</v>
      </c>
      <c r="DG399" s="55">
        <f t="shared" si="2444"/>
        <v>0</v>
      </c>
      <c r="DH399" s="55">
        <f t="shared" si="2445"/>
        <v>0</v>
      </c>
      <c r="DI399" s="55">
        <f t="shared" si="2446"/>
        <v>0</v>
      </c>
    </row>
    <row r="400" spans="1:113" outlineLevel="2">
      <c r="A400" s="1" t="s">
        <v>804</v>
      </c>
      <c r="B400" s="19" t="s">
        <v>800</v>
      </c>
      <c r="C400" s="53">
        <v>58</v>
      </c>
      <c r="D400" s="53">
        <f>9+39</f>
        <v>48</v>
      </c>
      <c r="E400" s="53">
        <f>3-4</f>
        <v>-1</v>
      </c>
      <c r="F400" s="53">
        <v>-5</v>
      </c>
      <c r="G400" s="53">
        <v>96</v>
      </c>
      <c r="H400" s="53">
        <v>141</v>
      </c>
      <c r="I400" s="53">
        <v>55</v>
      </c>
      <c r="J400" s="53">
        <v>145</v>
      </c>
      <c r="K400" s="53">
        <v>92</v>
      </c>
      <c r="L400" s="181">
        <f>57+7</f>
        <v>64</v>
      </c>
      <c r="M400" s="53">
        <f>30+7</f>
        <v>37</v>
      </c>
      <c r="N400" s="53">
        <v>85</v>
      </c>
      <c r="O400" s="53">
        <v>64</v>
      </c>
      <c r="P400" s="53">
        <v>42</v>
      </c>
      <c r="Q400" s="53">
        <v>-59</v>
      </c>
      <c r="R400" s="53">
        <v>-179</v>
      </c>
      <c r="S400" s="53">
        <v>-84</v>
      </c>
      <c r="T400" s="53">
        <v>142</v>
      </c>
      <c r="U400" s="53">
        <v>94</v>
      </c>
      <c r="V400" s="53">
        <v>35</v>
      </c>
      <c r="W400" s="53">
        <f>121-V400</f>
        <v>86</v>
      </c>
      <c r="X400" s="53">
        <v>56</v>
      </c>
      <c r="Y400" s="53">
        <v>93</v>
      </c>
      <c r="Z400" s="53">
        <v>84</v>
      </c>
      <c r="AA400" s="164">
        <v>70</v>
      </c>
      <c r="AB400" s="164">
        <v>81</v>
      </c>
      <c r="AC400" s="164">
        <f>235-AB400</f>
        <v>154</v>
      </c>
      <c r="AD400" s="164">
        <v>80</v>
      </c>
      <c r="AE400" s="164">
        <v>130</v>
      </c>
      <c r="AF400" s="164">
        <v>58</v>
      </c>
      <c r="AG400" s="164">
        <v>83</v>
      </c>
      <c r="AH400" s="164">
        <v>2</v>
      </c>
      <c r="AI400" s="164">
        <v>21</v>
      </c>
      <c r="AJ400" s="164">
        <v>6</v>
      </c>
      <c r="AK400" s="164">
        <v>2</v>
      </c>
      <c r="AL400" s="164">
        <v>3</v>
      </c>
      <c r="AM400" s="164">
        <v>1</v>
      </c>
      <c r="AN400" s="164">
        <v>0</v>
      </c>
      <c r="AO400" s="164">
        <v>0</v>
      </c>
      <c r="AP400" s="164">
        <v>0</v>
      </c>
      <c r="AQ400" s="164">
        <v>0</v>
      </c>
      <c r="AR400" s="164">
        <v>0</v>
      </c>
      <c r="AS400" s="164">
        <v>0</v>
      </c>
      <c r="AT400" s="164">
        <v>0</v>
      </c>
      <c r="AU400" s="164">
        <v>0</v>
      </c>
      <c r="AV400" s="164">
        <v>0</v>
      </c>
      <c r="AW400" s="164">
        <v>0</v>
      </c>
      <c r="AX400" s="164">
        <v>0</v>
      </c>
      <c r="AY400" s="55">
        <v>0</v>
      </c>
      <c r="AZ400" s="171">
        <v>0</v>
      </c>
      <c r="BA400" s="55">
        <v>0</v>
      </c>
      <c r="BB400" s="55">
        <v>0</v>
      </c>
      <c r="BC400" s="55">
        <v>0</v>
      </c>
      <c r="BD400" s="55">
        <v>0</v>
      </c>
      <c r="BE400" s="55">
        <v>0</v>
      </c>
      <c r="BF400" s="55">
        <v>0</v>
      </c>
      <c r="BG400" s="55">
        <v>0</v>
      </c>
      <c r="BH400" s="55">
        <v>0</v>
      </c>
      <c r="BI400" s="55">
        <v>0</v>
      </c>
      <c r="BJ400" s="54">
        <v>0</v>
      </c>
      <c r="BK400" s="54">
        <v>0</v>
      </c>
      <c r="BL400" s="54">
        <v>0</v>
      </c>
      <c r="BM400" s="54">
        <v>0</v>
      </c>
      <c r="BN400" s="54">
        <v>0</v>
      </c>
      <c r="BO400" s="54">
        <v>0</v>
      </c>
      <c r="BP400" s="54">
        <v>0</v>
      </c>
      <c r="BQ400" s="54">
        <v>0</v>
      </c>
      <c r="BR400" s="368"/>
      <c r="BS400" s="53">
        <v>0</v>
      </c>
      <c r="BT400" s="53">
        <v>0</v>
      </c>
      <c r="BU400" s="53">
        <v>0</v>
      </c>
      <c r="BV400" s="53">
        <v>0</v>
      </c>
      <c r="BW400" s="53">
        <v>0</v>
      </c>
      <c r="BX400" s="53">
        <v>0</v>
      </c>
      <c r="BY400" s="53">
        <v>0</v>
      </c>
      <c r="BZ400" s="53">
        <v>0</v>
      </c>
      <c r="CA400" s="53">
        <v>0</v>
      </c>
      <c r="CB400" s="53">
        <v>0</v>
      </c>
      <c r="CC400" s="55">
        <f t="shared" si="2414"/>
        <v>47</v>
      </c>
      <c r="CD400" s="55">
        <f t="shared" si="2415"/>
        <v>91</v>
      </c>
      <c r="CE400" s="55">
        <f t="shared" si="2416"/>
        <v>196</v>
      </c>
      <c r="CF400" s="55">
        <f t="shared" si="2417"/>
        <v>237</v>
      </c>
      <c r="CG400" s="55">
        <f t="shared" si="2418"/>
        <v>101</v>
      </c>
      <c r="CH400" s="55">
        <f t="shared" si="2419"/>
        <v>149</v>
      </c>
      <c r="CI400" s="55">
        <f t="shared" si="2420"/>
        <v>-17</v>
      </c>
      <c r="CJ400" s="55">
        <f t="shared" si="2421"/>
        <v>-263</v>
      </c>
      <c r="CK400" s="55">
        <f t="shared" si="2422"/>
        <v>236</v>
      </c>
      <c r="CL400" s="55">
        <f t="shared" si="2423"/>
        <v>121</v>
      </c>
      <c r="CM400" s="55">
        <f t="shared" si="2424"/>
        <v>149</v>
      </c>
      <c r="CN400" s="55">
        <f t="shared" si="2425"/>
        <v>154</v>
      </c>
      <c r="CO400" s="55">
        <f t="shared" si="2426"/>
        <v>235</v>
      </c>
      <c r="CP400" s="55">
        <f t="shared" si="2427"/>
        <v>210</v>
      </c>
      <c r="CQ400" s="55">
        <f t="shared" si="2428"/>
        <v>141</v>
      </c>
      <c r="CR400" s="55">
        <f t="shared" si="2429"/>
        <v>23</v>
      </c>
      <c r="CS400" s="55">
        <f t="shared" si="2430"/>
        <v>8</v>
      </c>
      <c r="CT400" s="55">
        <f t="shared" si="2431"/>
        <v>4</v>
      </c>
      <c r="CU400" s="55">
        <f t="shared" si="2432"/>
        <v>0</v>
      </c>
      <c r="CV400" s="55">
        <f t="shared" si="2433"/>
        <v>0</v>
      </c>
      <c r="CW400" s="55">
        <f t="shared" si="2434"/>
        <v>0</v>
      </c>
      <c r="CX400" s="55">
        <f t="shared" si="2435"/>
        <v>0</v>
      </c>
      <c r="CY400" s="55">
        <f t="shared" si="2436"/>
        <v>0</v>
      </c>
      <c r="CZ400" s="56">
        <f t="shared" si="2437"/>
        <v>0</v>
      </c>
      <c r="DA400" s="55">
        <f t="shared" si="2438"/>
        <v>0</v>
      </c>
      <c r="DB400" s="55">
        <f t="shared" si="2439"/>
        <v>0</v>
      </c>
      <c r="DC400" s="55">
        <f t="shared" si="2440"/>
        <v>0</v>
      </c>
      <c r="DD400" s="55">
        <f t="shared" si="2441"/>
        <v>0</v>
      </c>
      <c r="DE400" s="55">
        <f t="shared" si="2442"/>
        <v>0</v>
      </c>
      <c r="DF400" s="55">
        <f t="shared" si="2443"/>
        <v>0</v>
      </c>
      <c r="DG400" s="55">
        <f t="shared" si="2444"/>
        <v>0</v>
      </c>
      <c r="DH400" s="55">
        <f t="shared" si="2445"/>
        <v>0</v>
      </c>
      <c r="DI400" s="55">
        <f t="shared" si="2446"/>
        <v>0</v>
      </c>
    </row>
    <row r="401" spans="1:113" outlineLevel="2">
      <c r="A401" s="1" t="s">
        <v>805</v>
      </c>
      <c r="B401" s="19" t="s">
        <v>801</v>
      </c>
      <c r="C401" s="55"/>
      <c r="D401" s="55"/>
      <c r="E401" s="55"/>
      <c r="F401" s="55"/>
      <c r="G401" s="55"/>
      <c r="H401" s="55"/>
      <c r="I401" s="55"/>
      <c r="J401" s="55"/>
      <c r="K401" s="55"/>
      <c r="L401" s="55"/>
      <c r="M401" s="55"/>
      <c r="N401" s="55"/>
      <c r="O401" s="55"/>
      <c r="P401" s="55"/>
      <c r="Q401" s="55"/>
      <c r="R401" s="55"/>
      <c r="S401" s="55"/>
      <c r="T401" s="55"/>
      <c r="U401" s="55"/>
      <c r="V401" s="55"/>
      <c r="W401" s="55"/>
      <c r="X401" s="55"/>
      <c r="Y401" s="55"/>
      <c r="Z401" s="55"/>
      <c r="AA401" s="55"/>
      <c r="AB401" s="55"/>
      <c r="AC401" s="55"/>
      <c r="AD401" s="55"/>
      <c r="AE401" s="55"/>
      <c r="AF401" s="55"/>
      <c r="AG401" s="55"/>
      <c r="AH401" s="55"/>
      <c r="AI401" s="55"/>
      <c r="AJ401" s="55"/>
      <c r="AK401" s="55"/>
      <c r="AL401" s="55"/>
      <c r="AM401" s="55"/>
      <c r="AN401" s="55"/>
      <c r="AO401" s="55"/>
      <c r="AP401" s="55"/>
      <c r="AQ401" s="55"/>
      <c r="AR401" s="55"/>
      <c r="AS401" s="55"/>
      <c r="AT401" s="55"/>
      <c r="AU401" s="55"/>
      <c r="AV401" s="55"/>
      <c r="AW401" s="55"/>
      <c r="AX401" s="55"/>
      <c r="AY401" s="55"/>
      <c r="AZ401" s="56"/>
      <c r="BA401" s="55"/>
      <c r="BB401" s="55"/>
      <c r="BC401" s="55"/>
      <c r="BD401" s="55"/>
      <c r="BE401" s="55"/>
      <c r="BF401" s="55"/>
      <c r="BG401" s="55"/>
      <c r="BH401" s="55"/>
      <c r="BI401" s="55"/>
      <c r="BJ401" s="55"/>
      <c r="BK401" s="55"/>
      <c r="BL401" s="55"/>
      <c r="BM401" s="55"/>
      <c r="BN401" s="55"/>
      <c r="BO401" s="55"/>
      <c r="BP401" s="55"/>
      <c r="BQ401" s="55"/>
      <c r="BR401" s="55"/>
      <c r="BS401" s="55"/>
      <c r="BT401" s="55"/>
      <c r="BU401" s="55"/>
      <c r="BV401" s="55"/>
      <c r="BW401" s="55"/>
      <c r="BX401" s="55"/>
      <c r="BY401" s="55"/>
      <c r="BZ401" s="55"/>
      <c r="CA401" s="55"/>
      <c r="CB401" s="55"/>
      <c r="CC401" s="55"/>
      <c r="CD401" s="55"/>
      <c r="CE401" s="55"/>
      <c r="CF401" s="55"/>
      <c r="CG401" s="55"/>
      <c r="CH401" s="55"/>
      <c r="CI401" s="55"/>
      <c r="CJ401" s="55"/>
      <c r="CK401" s="55"/>
      <c r="CL401" s="55"/>
      <c r="CM401" s="55"/>
      <c r="CN401" s="55"/>
      <c r="CO401" s="55"/>
      <c r="CP401" s="55"/>
      <c r="CQ401" s="55"/>
      <c r="CR401" s="55"/>
      <c r="CS401" s="55"/>
      <c r="CT401" s="55"/>
      <c r="CU401" s="55"/>
      <c r="CV401" s="55"/>
      <c r="CW401" s="55"/>
      <c r="CX401" s="55"/>
      <c r="CY401" s="55"/>
      <c r="CZ401" s="56"/>
      <c r="DA401" s="55"/>
      <c r="DB401" s="55"/>
    </row>
    <row r="402" spans="1:113" outlineLevel="2">
      <c r="A402" s="1" t="s">
        <v>110</v>
      </c>
      <c r="B402" s="19" t="s">
        <v>801</v>
      </c>
      <c r="C402" s="55"/>
      <c r="D402" s="55"/>
      <c r="E402" s="55"/>
      <c r="F402" s="55"/>
      <c r="G402" s="55"/>
      <c r="H402" s="55"/>
      <c r="I402" s="55"/>
      <c r="J402" s="55"/>
      <c r="K402" s="55"/>
      <c r="L402" s="55"/>
      <c r="M402" s="55"/>
      <c r="N402" s="55"/>
      <c r="O402" s="55"/>
      <c r="P402" s="55"/>
      <c r="Q402" s="55"/>
      <c r="R402" s="55"/>
      <c r="S402" s="55"/>
      <c r="T402" s="55"/>
      <c r="U402" s="55"/>
      <c r="V402" s="55"/>
      <c r="W402" s="55"/>
      <c r="X402" s="55"/>
      <c r="Y402" s="55"/>
      <c r="Z402" s="55"/>
      <c r="AA402" s="55"/>
      <c r="AB402" s="55"/>
      <c r="AC402" s="55"/>
      <c r="AD402" s="55"/>
      <c r="AE402" s="55"/>
      <c r="AF402" s="55"/>
      <c r="AG402" s="55"/>
      <c r="AH402" s="55"/>
      <c r="AI402" s="55"/>
      <c r="AJ402" s="55"/>
      <c r="AK402" s="55"/>
      <c r="AL402" s="55"/>
      <c r="AM402" s="55"/>
      <c r="AN402" s="55"/>
      <c r="AO402" s="55"/>
      <c r="AP402" s="55"/>
      <c r="AQ402" s="55"/>
      <c r="AR402" s="55"/>
      <c r="AS402" s="55"/>
      <c r="AT402" s="55"/>
      <c r="AU402" s="55"/>
      <c r="AV402" s="55"/>
      <c r="AW402" s="55"/>
      <c r="AX402" s="55"/>
      <c r="AY402" s="55"/>
      <c r="AZ402" s="56"/>
      <c r="BA402" s="55"/>
      <c r="BB402" s="55"/>
      <c r="BC402" s="55"/>
      <c r="BD402" s="55"/>
      <c r="BE402" s="55"/>
      <c r="BF402" s="55"/>
      <c r="BG402" s="55"/>
      <c r="BH402" s="55"/>
      <c r="BI402" s="55"/>
      <c r="BJ402" s="55"/>
      <c r="BK402" s="55"/>
      <c r="BL402" s="55"/>
      <c r="BM402" s="55"/>
      <c r="BN402" s="55"/>
      <c r="BO402" s="55"/>
      <c r="BP402" s="55"/>
      <c r="BQ402" s="55"/>
      <c r="BR402" s="55"/>
      <c r="BS402" s="55"/>
      <c r="BT402" s="55"/>
      <c r="BU402" s="55"/>
      <c r="BV402" s="55"/>
      <c r="BW402" s="55"/>
      <c r="BX402" s="55"/>
      <c r="BY402" s="55"/>
      <c r="BZ402" s="55"/>
      <c r="CA402" s="55"/>
      <c r="CB402" s="55"/>
      <c r="CC402" s="55"/>
      <c r="CD402" s="55"/>
      <c r="CE402" s="55"/>
      <c r="CF402" s="55"/>
      <c r="CG402" s="55"/>
      <c r="CH402" s="55"/>
      <c r="CI402" s="55"/>
      <c r="CJ402" s="55"/>
      <c r="CK402" s="55"/>
      <c r="CL402" s="55"/>
      <c r="CM402" s="55"/>
      <c r="CN402" s="55"/>
      <c r="CO402" s="55"/>
      <c r="CP402" s="55"/>
      <c r="CQ402" s="55"/>
      <c r="CR402" s="55"/>
      <c r="CS402" s="55"/>
      <c r="CT402" s="55"/>
      <c r="CU402" s="55"/>
      <c r="CV402" s="55"/>
      <c r="CW402" s="55"/>
      <c r="CX402" s="55"/>
      <c r="CY402" s="55"/>
      <c r="CZ402" s="56"/>
      <c r="DA402" s="55"/>
      <c r="DB402" s="55"/>
    </row>
    <row r="403" spans="1:113" outlineLevel="2">
      <c r="A403" s="1" t="s">
        <v>111</v>
      </c>
      <c r="B403" s="19" t="s">
        <v>801</v>
      </c>
      <c r="C403" s="55"/>
      <c r="D403" s="55"/>
      <c r="E403" s="55"/>
      <c r="F403" s="55"/>
      <c r="G403" s="55"/>
      <c r="H403" s="55"/>
      <c r="I403" s="55"/>
      <c r="J403" s="55"/>
      <c r="K403" s="55"/>
      <c r="L403" s="55"/>
      <c r="M403" s="55"/>
      <c r="N403" s="55"/>
      <c r="O403" s="55"/>
      <c r="P403" s="55"/>
      <c r="Q403" s="55"/>
      <c r="R403" s="55"/>
      <c r="S403" s="55"/>
      <c r="T403" s="55"/>
      <c r="U403" s="55"/>
      <c r="V403" s="55"/>
      <c r="W403" s="55"/>
      <c r="X403" s="55"/>
      <c r="Y403" s="55"/>
      <c r="Z403" s="55"/>
      <c r="AA403" s="55"/>
      <c r="AB403" s="55"/>
      <c r="AC403" s="55"/>
      <c r="AD403" s="55"/>
      <c r="AE403" s="55"/>
      <c r="AF403" s="55"/>
      <c r="AG403" s="55"/>
      <c r="AH403" s="55"/>
      <c r="AI403" s="55"/>
      <c r="AJ403" s="55"/>
      <c r="AK403" s="55"/>
      <c r="AL403" s="55"/>
      <c r="AM403" s="55"/>
      <c r="AN403" s="55"/>
      <c r="AO403" s="55"/>
      <c r="AP403" s="55"/>
      <c r="AQ403" s="55"/>
      <c r="AR403" s="55"/>
      <c r="AS403" s="55"/>
      <c r="AT403" s="55"/>
      <c r="AU403" s="55"/>
      <c r="AV403" s="55"/>
      <c r="AW403" s="55"/>
      <c r="AX403" s="55"/>
      <c r="AY403" s="55"/>
      <c r="AZ403" s="56"/>
      <c r="BA403" s="55"/>
      <c r="BB403" s="55"/>
      <c r="BC403" s="55"/>
      <c r="BD403" s="55"/>
      <c r="BE403" s="55"/>
      <c r="BF403" s="55"/>
      <c r="BG403" s="55"/>
      <c r="BH403" s="55"/>
      <c r="BI403" s="55"/>
      <c r="BJ403" s="55"/>
      <c r="BK403" s="55"/>
      <c r="BL403" s="55"/>
      <c r="BM403" s="55"/>
      <c r="BN403" s="55"/>
      <c r="BO403" s="55"/>
      <c r="BP403" s="55"/>
      <c r="BQ403" s="55"/>
      <c r="BR403" s="55"/>
      <c r="BS403" s="55"/>
      <c r="BT403" s="55"/>
      <c r="BU403" s="55"/>
      <c r="BV403" s="55"/>
      <c r="BW403" s="55"/>
      <c r="BX403" s="55"/>
      <c r="BY403" s="55"/>
      <c r="BZ403" s="55"/>
      <c r="CA403" s="55"/>
      <c r="CB403" s="55"/>
      <c r="CC403" s="55"/>
      <c r="CD403" s="55"/>
      <c r="CE403" s="55"/>
      <c r="CF403" s="55"/>
      <c r="CG403" s="55"/>
      <c r="CH403" s="55"/>
      <c r="CI403" s="55"/>
      <c r="CJ403" s="55"/>
      <c r="CK403" s="55"/>
      <c r="CL403" s="55"/>
      <c r="CM403" s="55"/>
      <c r="CN403" s="55"/>
      <c r="CO403" s="55"/>
      <c r="CP403" s="55"/>
      <c r="CQ403" s="55"/>
      <c r="CR403" s="55"/>
      <c r="CS403" s="55"/>
      <c r="CT403" s="55"/>
      <c r="CU403" s="55"/>
      <c r="CV403" s="55"/>
      <c r="CW403" s="55"/>
      <c r="CX403" s="55"/>
      <c r="CY403" s="55"/>
      <c r="CZ403" s="56"/>
      <c r="DA403" s="55"/>
      <c r="DB403" s="55"/>
    </row>
    <row r="404" spans="1:113" outlineLevel="2">
      <c r="A404" s="1" t="s">
        <v>112</v>
      </c>
      <c r="B404" s="19" t="s">
        <v>801</v>
      </c>
      <c r="C404" s="55"/>
      <c r="D404" s="55"/>
      <c r="E404" s="55"/>
      <c r="F404" s="55"/>
      <c r="G404" s="55"/>
      <c r="H404" s="55"/>
      <c r="I404" s="55"/>
      <c r="J404" s="55"/>
      <c r="K404" s="55"/>
      <c r="L404" s="55"/>
      <c r="M404" s="55"/>
      <c r="N404" s="55"/>
      <c r="O404" s="55"/>
      <c r="P404" s="55"/>
      <c r="Q404" s="55"/>
      <c r="R404" s="55"/>
      <c r="S404" s="55"/>
      <c r="T404" s="55"/>
      <c r="U404" s="55"/>
      <c r="V404" s="55"/>
      <c r="W404" s="55"/>
      <c r="X404" s="55"/>
      <c r="Y404" s="55"/>
      <c r="Z404" s="55"/>
      <c r="AA404" s="55"/>
      <c r="AB404" s="55"/>
      <c r="AC404" s="55"/>
      <c r="AD404" s="55"/>
      <c r="AE404" s="55"/>
      <c r="AF404" s="55"/>
      <c r="AG404" s="55"/>
      <c r="AH404" s="55"/>
      <c r="AI404" s="55"/>
      <c r="AJ404" s="55"/>
      <c r="AK404" s="55"/>
      <c r="AL404" s="55"/>
      <c r="AM404" s="55"/>
      <c r="AN404" s="55"/>
      <c r="AO404" s="55"/>
      <c r="AP404" s="55"/>
      <c r="AQ404" s="55"/>
      <c r="AR404" s="55"/>
      <c r="AS404" s="55"/>
      <c r="AT404" s="55"/>
      <c r="AU404" s="55"/>
      <c r="AV404" s="55"/>
      <c r="AW404" s="55"/>
      <c r="AX404" s="55"/>
      <c r="AY404" s="55"/>
      <c r="AZ404" s="56"/>
      <c r="BA404" s="55"/>
      <c r="BB404" s="55"/>
      <c r="BC404" s="55"/>
      <c r="BD404" s="55"/>
      <c r="BE404" s="55"/>
      <c r="BF404" s="55"/>
      <c r="BG404" s="55"/>
      <c r="BH404" s="55"/>
      <c r="BI404" s="55"/>
      <c r="BJ404" s="55"/>
      <c r="BK404" s="55"/>
      <c r="BL404" s="55"/>
      <c r="BM404" s="55"/>
      <c r="BN404" s="55"/>
      <c r="BO404" s="55"/>
      <c r="BP404" s="55"/>
      <c r="BQ404" s="55"/>
      <c r="BR404" s="55"/>
      <c r="BS404" s="55"/>
      <c r="BT404" s="55"/>
      <c r="BU404" s="55"/>
      <c r="BV404" s="55"/>
      <c r="BW404" s="55"/>
      <c r="BX404" s="55"/>
      <c r="BY404" s="55"/>
      <c r="BZ404" s="55"/>
      <c r="CA404" s="55"/>
      <c r="CB404" s="55"/>
      <c r="CC404" s="55"/>
      <c r="CD404" s="55"/>
      <c r="CE404" s="55"/>
      <c r="CF404" s="55"/>
      <c r="CG404" s="55"/>
      <c r="CH404" s="55"/>
      <c r="CI404" s="55"/>
      <c r="CJ404" s="55"/>
      <c r="CK404" s="55"/>
      <c r="CL404" s="55"/>
      <c r="CM404" s="55"/>
      <c r="CN404" s="55"/>
      <c r="CO404" s="55"/>
      <c r="CP404" s="55"/>
      <c r="CQ404" s="55"/>
      <c r="CR404" s="55"/>
      <c r="CS404" s="55"/>
      <c r="CT404" s="55"/>
      <c r="CU404" s="55"/>
      <c r="CV404" s="55"/>
      <c r="CW404" s="55"/>
      <c r="CX404" s="55"/>
      <c r="CY404" s="55"/>
      <c r="CZ404" s="56"/>
      <c r="DA404" s="55"/>
      <c r="DB404" s="55"/>
    </row>
    <row r="405" spans="1:113" outlineLevel="1">
      <c r="A405" s="1" t="s">
        <v>806</v>
      </c>
      <c r="B405" s="19" t="s">
        <v>655</v>
      </c>
      <c r="C405" s="55">
        <f t="shared" ref="C405:L405" si="2466">C406-SUM(C395:C400)</f>
        <v>27</v>
      </c>
      <c r="D405" s="55">
        <f t="shared" si="2466"/>
        <v>83</v>
      </c>
      <c r="E405" s="55">
        <f t="shared" si="2466"/>
        <v>76</v>
      </c>
      <c r="F405" s="55">
        <f t="shared" si="2466"/>
        <v>-50</v>
      </c>
      <c r="G405" s="55">
        <f t="shared" si="2466"/>
        <v>71</v>
      </c>
      <c r="H405" s="55">
        <f t="shared" si="2466"/>
        <v>113</v>
      </c>
      <c r="I405" s="55">
        <f t="shared" si="2466"/>
        <v>210</v>
      </c>
      <c r="J405" s="55">
        <f t="shared" si="2466"/>
        <v>38</v>
      </c>
      <c r="K405" s="55">
        <f t="shared" si="2466"/>
        <v>89</v>
      </c>
      <c r="L405" s="55">
        <f t="shared" si="2466"/>
        <v>-3</v>
      </c>
      <c r="M405" s="55">
        <f t="shared" ref="M405:U405" si="2467">M406-SUM(M395:M400)</f>
        <v>99</v>
      </c>
      <c r="N405" s="55">
        <f t="shared" si="2467"/>
        <v>130</v>
      </c>
      <c r="O405" s="55">
        <f t="shared" si="2467"/>
        <v>11</v>
      </c>
      <c r="P405" s="55">
        <f t="shared" si="2467"/>
        <v>-36</v>
      </c>
      <c r="Q405" s="55">
        <f t="shared" si="2467"/>
        <v>-1</v>
      </c>
      <c r="R405" s="55">
        <f t="shared" si="2467"/>
        <v>4</v>
      </c>
      <c r="S405" s="55">
        <f t="shared" si="2467"/>
        <v>18</v>
      </c>
      <c r="T405" s="55">
        <f t="shared" si="2467"/>
        <v>34</v>
      </c>
      <c r="U405" s="55">
        <f t="shared" si="2467"/>
        <v>40</v>
      </c>
      <c r="V405" s="55">
        <f t="shared" ref="V405:AK405" si="2468">V406-SUM(V395:V400)</f>
        <v>-59</v>
      </c>
      <c r="W405" s="55">
        <f t="shared" si="2468"/>
        <v>410</v>
      </c>
      <c r="X405" s="55">
        <f t="shared" si="2468"/>
        <v>216</v>
      </c>
      <c r="Y405" s="55">
        <f t="shared" si="2468"/>
        <v>195</v>
      </c>
      <c r="Z405" s="55">
        <f t="shared" si="2468"/>
        <v>160</v>
      </c>
      <c r="AA405" s="55">
        <f t="shared" si="2468"/>
        <v>90</v>
      </c>
      <c r="AB405" s="55">
        <f t="shared" si="2468"/>
        <v>108</v>
      </c>
      <c r="AC405" s="55">
        <f t="shared" si="2468"/>
        <v>80</v>
      </c>
      <c r="AD405" s="55">
        <f t="shared" si="2468"/>
        <v>176</v>
      </c>
      <c r="AE405" s="55">
        <f t="shared" si="2468"/>
        <v>320</v>
      </c>
      <c r="AF405" s="55">
        <f t="shared" si="2468"/>
        <v>262</v>
      </c>
      <c r="AG405" s="55">
        <f t="shared" si="2468"/>
        <v>286</v>
      </c>
      <c r="AH405" s="55">
        <f t="shared" si="2468"/>
        <v>202</v>
      </c>
      <c r="AI405" s="55">
        <f t="shared" si="2468"/>
        <v>212</v>
      </c>
      <c r="AJ405" s="55">
        <f t="shared" si="2468"/>
        <v>196</v>
      </c>
      <c r="AK405" s="55">
        <f t="shared" si="2468"/>
        <v>84</v>
      </c>
      <c r="AL405" s="55">
        <f t="shared" ref="AL405:AQ405" si="2469">AL406-SUM(AL395:AL400)</f>
        <v>222.8472204428499</v>
      </c>
      <c r="AM405" s="55">
        <f t="shared" si="2469"/>
        <v>88.152779557150097</v>
      </c>
      <c r="AN405" s="55">
        <f t="shared" si="2469"/>
        <v>231</v>
      </c>
      <c r="AO405" s="55">
        <f t="shared" si="2469"/>
        <v>123</v>
      </c>
      <c r="AP405" s="55">
        <f t="shared" si="2469"/>
        <v>60</v>
      </c>
      <c r="AQ405" s="55">
        <f t="shared" si="2469"/>
        <v>403</v>
      </c>
      <c r="AR405" s="55">
        <f t="shared" ref="AR405" si="2470">AR406-SUM(AR395:AR400)</f>
        <v>449</v>
      </c>
      <c r="AS405" s="55">
        <f t="shared" ref="AS405:AT405" si="2471">AS406-SUM(AS395:AS400)</f>
        <v>423</v>
      </c>
      <c r="AT405" s="55">
        <f t="shared" si="2471"/>
        <v>75</v>
      </c>
      <c r="AU405" s="55">
        <f t="shared" ref="AU405:AV405" si="2472">AU406-SUM(AU395:AU400)</f>
        <v>94</v>
      </c>
      <c r="AV405" s="55">
        <f t="shared" si="2472"/>
        <v>100</v>
      </c>
      <c r="AW405" s="55">
        <f t="shared" ref="AW405:AY405" si="2473">AW406-SUM(AW395:AW400)</f>
        <v>25</v>
      </c>
      <c r="AX405" s="55">
        <f t="shared" si="2473"/>
        <v>50</v>
      </c>
      <c r="AY405" s="55">
        <f t="shared" si="2473"/>
        <v>60</v>
      </c>
      <c r="AZ405" s="56">
        <f t="shared" ref="AZ405" si="2474">AZ406-SUM(AZ395:AZ400)</f>
        <v>45</v>
      </c>
      <c r="BA405" s="55">
        <f t="shared" ref="BA405:BE405" si="2475">BA89/BA$5*(BA237+BA259)</f>
        <v>45.9</v>
      </c>
      <c r="BB405" s="55">
        <f t="shared" si="2475"/>
        <v>46.817999999999998</v>
      </c>
      <c r="BC405" s="55">
        <f t="shared" si="2475"/>
        <v>47.754359999999998</v>
      </c>
      <c r="BD405" s="55">
        <f t="shared" si="2475"/>
        <v>48.7094472</v>
      </c>
      <c r="BE405" s="55">
        <f t="shared" si="2475"/>
        <v>49.683636143999998</v>
      </c>
      <c r="BF405" s="55">
        <f t="shared" ref="BF405:BM405" si="2476">BF89/BF$5*(BF237+BF259)</f>
        <v>50.677308866879997</v>
      </c>
      <c r="BG405" s="55">
        <f t="shared" si="2476"/>
        <v>51.690855044217599</v>
      </c>
      <c r="BH405" s="55">
        <f t="shared" si="2476"/>
        <v>52.724672145101955</v>
      </c>
      <c r="BI405" s="55">
        <f t="shared" si="2476"/>
        <v>53.779165588003998</v>
      </c>
      <c r="BJ405" s="55">
        <f t="shared" si="2476"/>
        <v>55.631000353424284</v>
      </c>
      <c r="BK405" s="55">
        <f t="shared" si="2476"/>
        <v>55.7535609574918</v>
      </c>
      <c r="BL405" s="55">
        <f t="shared" si="2476"/>
        <v>57.6135282728278</v>
      </c>
      <c r="BM405" s="55">
        <f t="shared" si="2476"/>
        <v>58.087332178007536</v>
      </c>
      <c r="BN405" s="55">
        <f t="shared" ref="BN405:BO405" si="2477">BN89/BN$5*(BN237+BN259)</f>
        <v>60.023597473623568</v>
      </c>
      <c r="BO405" s="55">
        <f t="shared" si="2477"/>
        <v>60.185410922193405</v>
      </c>
      <c r="BP405" s="55">
        <f t="shared" ref="BP405:BQ405" si="2478">BP89/BP$5*(BP237+BP259)</f>
        <v>62.365073767428441</v>
      </c>
      <c r="BQ405" s="55">
        <f t="shared" si="2478"/>
        <v>62.533918254363492</v>
      </c>
      <c r="BR405" s="55"/>
      <c r="BS405" s="55">
        <f>BS406-SUM(BS395:BS400)</f>
        <v>292.90000000000009</v>
      </c>
      <c r="BT405" s="55">
        <f t="shared" ref="BT405:CB405" si="2479">BT406-SUM(BT395:BT400)</f>
        <v>242.30000000000018</v>
      </c>
      <c r="BU405" s="55">
        <f t="shared" si="2479"/>
        <v>171.90000000000009</v>
      </c>
      <c r="BV405" s="55">
        <f t="shared" si="2479"/>
        <v>208</v>
      </c>
      <c r="BW405" s="55">
        <f t="shared" si="2479"/>
        <v>95</v>
      </c>
      <c r="BX405" s="55">
        <f t="shared" si="2479"/>
        <v>103</v>
      </c>
      <c r="BY405" s="55">
        <f t="shared" si="2479"/>
        <v>235</v>
      </c>
      <c r="BZ405" s="55">
        <f t="shared" si="2479"/>
        <v>189</v>
      </c>
      <c r="CA405" s="55">
        <f t="shared" si="2479"/>
        <v>140</v>
      </c>
      <c r="CB405" s="55">
        <f t="shared" si="2479"/>
        <v>180</v>
      </c>
      <c r="CC405" s="55">
        <f t="shared" ref="CC405:CC414" si="2480">SUM(D405:E405)</f>
        <v>159</v>
      </c>
      <c r="CD405" s="55">
        <f t="shared" ref="CD405:CD414" si="2481">SUM(F405:G405)</f>
        <v>21</v>
      </c>
      <c r="CE405" s="55">
        <f t="shared" ref="CE405:CE414" si="2482">SUM(H405:I405)</f>
        <v>323</v>
      </c>
      <c r="CF405" s="55">
        <f t="shared" ref="CF405:CF414" si="2483">SUM(J405:K405)</f>
        <v>127</v>
      </c>
      <c r="CG405" s="55">
        <f t="shared" ref="CG405:CG414" si="2484">SUM(L405:M405)</f>
        <v>96</v>
      </c>
      <c r="CH405" s="55">
        <f t="shared" ref="CH405:CH414" si="2485">SUM(N405:O405)</f>
        <v>141</v>
      </c>
      <c r="CI405" s="55">
        <f t="shared" ref="CI405:CI414" si="2486">SUM(P405:Q405)</f>
        <v>-37</v>
      </c>
      <c r="CJ405" s="55">
        <f t="shared" ref="CJ405:CJ415" si="2487">SUM(R405:S405)</f>
        <v>22</v>
      </c>
      <c r="CK405" s="55">
        <f t="shared" ref="CK405:CK415" si="2488">SUM(T405:U405)</f>
        <v>74</v>
      </c>
      <c r="CL405" s="55">
        <f t="shared" ref="CL405:CL415" si="2489">SUM(V405:W405)</f>
        <v>351</v>
      </c>
      <c r="CM405" s="55">
        <f t="shared" ref="CM405:CM415" si="2490">SUM(X405:Y405)</f>
        <v>411</v>
      </c>
      <c r="CN405" s="55">
        <f t="shared" ref="CN405:CN415" si="2491">SUM(Z405:AA405)</f>
        <v>250</v>
      </c>
      <c r="CO405" s="55">
        <f t="shared" ref="CO405:CO415" si="2492">SUM(AB405:AC405)</f>
        <v>188</v>
      </c>
      <c r="CP405" s="55">
        <f>CP406-SUM(CP395:CP400)</f>
        <v>496</v>
      </c>
      <c r="CQ405" s="55">
        <f t="shared" ref="CQ405:CQ415" si="2493">SUM(AF405:AG405)</f>
        <v>548</v>
      </c>
      <c r="CR405" s="55">
        <f t="shared" ref="CR405:CR415" si="2494">SUM(AH405:AI405)</f>
        <v>414</v>
      </c>
      <c r="CS405" s="55">
        <f t="shared" ref="CS405:CS415" si="2495">SUM(AJ405:AK405)</f>
        <v>280</v>
      </c>
      <c r="CT405" s="55">
        <f t="shared" ref="CT405:CT415" si="2496">SUM(AL405:AM405)</f>
        <v>311</v>
      </c>
      <c r="CU405" s="55">
        <f t="shared" ref="CU405:CU415" si="2497">SUM(AN405:AO405)</f>
        <v>354</v>
      </c>
      <c r="CV405" s="55">
        <f t="shared" ref="CV405:CV415" si="2498">SUM(AP405:AQ405)</f>
        <v>463</v>
      </c>
      <c r="CW405" s="55">
        <f t="shared" ref="CW405:CW415" si="2499">SUM(AR405:AS405)</f>
        <v>872</v>
      </c>
      <c r="CX405" s="55">
        <f t="shared" ref="CX405:CX415" si="2500">SUM(AT405:AU405)</f>
        <v>169</v>
      </c>
      <c r="CY405" s="55">
        <f t="shared" ref="CY405:CY415" si="2501">SUM(AV405:AW405)</f>
        <v>125</v>
      </c>
      <c r="CZ405" s="56">
        <f t="shared" ref="CZ405:CZ415" si="2502">SUM(AX405:AY405)</f>
        <v>110</v>
      </c>
      <c r="DA405" s="55">
        <f t="shared" ref="DA405:DA415" si="2503">SUM(AZ405:BA405)</f>
        <v>90.9</v>
      </c>
      <c r="DB405" s="55">
        <f t="shared" ref="DB405:DB415" si="2504">SUM(BB405:BC405)</f>
        <v>94.572360000000003</v>
      </c>
      <c r="DC405" s="55">
        <f t="shared" ref="DC405:DC415" si="2505">SUM(BD405:BE405)</f>
        <v>98.39308334399999</v>
      </c>
      <c r="DD405" s="55">
        <f t="shared" ref="DD405:DD415" si="2506">SUM(BF405:BG405)</f>
        <v>102.3681639110976</v>
      </c>
      <c r="DE405" s="55">
        <f t="shared" ref="DE405:DE415" si="2507">SUM(BH405:BI405)</f>
        <v>106.50383773310595</v>
      </c>
      <c r="DF405" s="55">
        <f t="shared" ref="DF405:DF415" si="2508">SUM(BJ405:BK405)</f>
        <v>111.38456131091608</v>
      </c>
      <c r="DG405" s="55">
        <f t="shared" ref="DG405:DG415" si="2509">SUM(BL405:BM405)</f>
        <v>115.70086045083534</v>
      </c>
      <c r="DH405" s="55">
        <f t="shared" ref="DH405:DH415" si="2510">SUM(BN405:BO405)</f>
        <v>120.20900839581697</v>
      </c>
      <c r="DI405" s="55">
        <f t="shared" ref="DI405:DI415" si="2511">SUM(BP405:BQ405)</f>
        <v>124.89899202179194</v>
      </c>
    </row>
    <row r="406" spans="1:113" s="24" customFormat="1" outlineLevel="1">
      <c r="A406" s="1" t="s">
        <v>807</v>
      </c>
      <c r="B406" s="24" t="s">
        <v>571</v>
      </c>
      <c r="C406" s="82">
        <f t="shared" ref="C406:L406" si="2512">C408-C407</f>
        <v>2190</v>
      </c>
      <c r="D406" s="82">
        <f t="shared" si="2512"/>
        <v>2197</v>
      </c>
      <c r="E406" s="82">
        <f t="shared" si="2512"/>
        <v>2161</v>
      </c>
      <c r="F406" s="82">
        <f t="shared" si="2512"/>
        <v>2031</v>
      </c>
      <c r="G406" s="82">
        <f t="shared" si="2512"/>
        <v>2342</v>
      </c>
      <c r="H406" s="82">
        <f t="shared" si="2512"/>
        <v>2540</v>
      </c>
      <c r="I406" s="82">
        <f t="shared" si="2512"/>
        <v>2541</v>
      </c>
      <c r="J406" s="82">
        <f t="shared" si="2512"/>
        <v>2497</v>
      </c>
      <c r="K406" s="82">
        <f t="shared" si="2512"/>
        <v>2579</v>
      </c>
      <c r="L406" s="82">
        <f t="shared" si="2512"/>
        <v>2610</v>
      </c>
      <c r="M406" s="82">
        <f t="shared" ref="M406:U406" si="2513">M408-M407</f>
        <v>2812</v>
      </c>
      <c r="N406" s="82">
        <f t="shared" si="2513"/>
        <v>3072</v>
      </c>
      <c r="O406" s="82">
        <f t="shared" si="2513"/>
        <v>3089</v>
      </c>
      <c r="P406" s="82">
        <f t="shared" si="2513"/>
        <v>3117</v>
      </c>
      <c r="Q406" s="82">
        <f t="shared" si="2513"/>
        <v>3317</v>
      </c>
      <c r="R406" s="82">
        <f t="shared" si="2513"/>
        <v>3408</v>
      </c>
      <c r="S406" s="82">
        <f t="shared" si="2513"/>
        <v>3342</v>
      </c>
      <c r="T406" s="82">
        <f t="shared" si="2513"/>
        <v>3630</v>
      </c>
      <c r="U406" s="82">
        <f t="shared" si="2513"/>
        <v>3561</v>
      </c>
      <c r="V406" s="82">
        <f t="shared" ref="V406:AK406" si="2514">V408-V407</f>
        <v>3562</v>
      </c>
      <c r="W406" s="82">
        <f t="shared" si="2514"/>
        <v>3452</v>
      </c>
      <c r="X406" s="82">
        <f t="shared" si="2514"/>
        <v>3461</v>
      </c>
      <c r="Y406" s="82">
        <f t="shared" si="2514"/>
        <v>3532</v>
      </c>
      <c r="Z406" s="82">
        <f t="shared" si="2514"/>
        <v>3427</v>
      </c>
      <c r="AA406" s="82">
        <f t="shared" si="2514"/>
        <v>3450</v>
      </c>
      <c r="AB406" s="82">
        <f t="shared" si="2514"/>
        <v>3704</v>
      </c>
      <c r="AC406" s="82">
        <f t="shared" si="2514"/>
        <v>3606</v>
      </c>
      <c r="AD406" s="82">
        <f t="shared" si="2514"/>
        <v>3826</v>
      </c>
      <c r="AE406" s="82">
        <f t="shared" si="2514"/>
        <v>3925</v>
      </c>
      <c r="AF406" s="82">
        <f t="shared" si="2514"/>
        <v>3993</v>
      </c>
      <c r="AG406" s="82">
        <f t="shared" si="2514"/>
        <v>3819</v>
      </c>
      <c r="AH406" s="82">
        <f t="shared" si="2514"/>
        <v>3728</v>
      </c>
      <c r="AI406" s="82">
        <f t="shared" si="2514"/>
        <v>3629</v>
      </c>
      <c r="AJ406" s="82">
        <f t="shared" si="2514"/>
        <v>3392</v>
      </c>
      <c r="AK406" s="82">
        <f t="shared" si="2514"/>
        <v>3188</v>
      </c>
      <c r="AL406" s="82">
        <f t="shared" ref="AL406:AQ406" si="2515">AL408-AL407</f>
        <v>2789.4349070100143</v>
      </c>
      <c r="AM406" s="82">
        <f t="shared" si="2515"/>
        <v>2565.5650929899857</v>
      </c>
      <c r="AN406" s="82">
        <f t="shared" si="2515"/>
        <v>2673</v>
      </c>
      <c r="AO406" s="82">
        <f t="shared" si="2515"/>
        <v>2478</v>
      </c>
      <c r="AP406" s="82">
        <f t="shared" si="2515"/>
        <v>2361</v>
      </c>
      <c r="AQ406" s="82">
        <f t="shared" si="2515"/>
        <v>2493</v>
      </c>
      <c r="AR406" s="82">
        <f t="shared" ref="AR406" si="2516">AR408-AR407</f>
        <v>2359</v>
      </c>
      <c r="AS406" s="82">
        <f t="shared" ref="AS406:AT406" si="2517">AS408-AS407</f>
        <v>2341</v>
      </c>
      <c r="AT406" s="82">
        <f t="shared" si="2517"/>
        <v>1986</v>
      </c>
      <c r="AU406" s="82">
        <f t="shared" ref="AU406:AV406" si="2518">AU408-AU407</f>
        <v>2093</v>
      </c>
      <c r="AV406" s="82">
        <f t="shared" si="2518"/>
        <v>2245</v>
      </c>
      <c r="AW406" s="82">
        <f t="shared" ref="AW406:AY406" si="2519">AW408-AW407</f>
        <v>2105</v>
      </c>
      <c r="AX406" s="82">
        <f t="shared" si="2519"/>
        <v>2163</v>
      </c>
      <c r="AY406" s="82">
        <f t="shared" si="2519"/>
        <v>2279</v>
      </c>
      <c r="AZ406" s="83">
        <f t="shared" ref="AZ406" si="2520">AZ408-AZ407</f>
        <v>2326</v>
      </c>
      <c r="BA406" s="82">
        <f t="shared" ref="BA406:BE406" si="2521">SUM(BA395:BA405)</f>
        <v>2240.1671197218784</v>
      </c>
      <c r="BB406" s="82">
        <f t="shared" si="2521"/>
        <v>2229.419438229801</v>
      </c>
      <c r="BC406" s="82">
        <f t="shared" si="2521"/>
        <v>2275.7147668718549</v>
      </c>
      <c r="BD406" s="82">
        <f t="shared" si="2521"/>
        <v>2236.9445914191942</v>
      </c>
      <c r="BE406" s="82">
        <f t="shared" si="2521"/>
        <v>2311.59636401014</v>
      </c>
      <c r="BF406" s="82">
        <f t="shared" ref="BF406:BM406" si="2522">SUM(BF395:BF405)</f>
        <v>2297.61098801141</v>
      </c>
      <c r="BG406" s="82">
        <f t="shared" si="2522"/>
        <v>2323.4142763820214</v>
      </c>
      <c r="BH406" s="82">
        <f t="shared" si="2522"/>
        <v>2349.797561569656</v>
      </c>
      <c r="BI406" s="82">
        <f t="shared" si="2522"/>
        <v>2368.627177893949</v>
      </c>
      <c r="BJ406" s="82">
        <f t="shared" si="2522"/>
        <v>2425.0129881706521</v>
      </c>
      <c r="BK406" s="82">
        <f t="shared" si="2522"/>
        <v>2439.1572298201309</v>
      </c>
      <c r="BL406" s="82">
        <f t="shared" si="2522"/>
        <v>2496.0145676713501</v>
      </c>
      <c r="BM406" s="82">
        <f t="shared" si="2522"/>
        <v>2525.7331225729276</v>
      </c>
      <c r="BN406" s="82">
        <f t="shared" ref="BN406:BO406" si="2523">SUM(BN395:BN405)</f>
        <v>2584.5751184689643</v>
      </c>
      <c r="BO406" s="82">
        <f t="shared" si="2523"/>
        <v>2601.0431407012888</v>
      </c>
      <c r="BP406" s="82">
        <f t="shared" ref="BP406:BQ406" si="2524">SUM(BP395:BP405)</f>
        <v>2669.0969247944113</v>
      </c>
      <c r="BQ406" s="82">
        <f t="shared" si="2524"/>
        <v>2686.1711773112775</v>
      </c>
      <c r="BR406" s="82"/>
      <c r="BS406" s="82">
        <f t="shared" ref="BS406:CB406" si="2525">BS408-BS407</f>
        <v>1404</v>
      </c>
      <c r="BT406" s="82">
        <f t="shared" si="2525"/>
        <v>1386</v>
      </c>
      <c r="BU406" s="82">
        <f t="shared" si="2525"/>
        <v>1415</v>
      </c>
      <c r="BV406" s="82">
        <f t="shared" si="2525"/>
        <v>1484</v>
      </c>
      <c r="BW406" s="82">
        <f t="shared" si="2525"/>
        <v>1355</v>
      </c>
      <c r="BX406" s="82">
        <f t="shared" si="2525"/>
        <v>1489</v>
      </c>
      <c r="BY406" s="82">
        <f t="shared" si="2525"/>
        <v>1833</v>
      </c>
      <c r="BZ406" s="82">
        <f t="shared" si="2525"/>
        <v>1997</v>
      </c>
      <c r="CA406" s="82">
        <f t="shared" si="2525"/>
        <v>2420</v>
      </c>
      <c r="CB406" s="82">
        <f t="shared" si="2525"/>
        <v>4350</v>
      </c>
      <c r="CC406" s="82">
        <f t="shared" si="2480"/>
        <v>4358</v>
      </c>
      <c r="CD406" s="82">
        <f t="shared" si="2481"/>
        <v>4373</v>
      </c>
      <c r="CE406" s="82">
        <f t="shared" si="2482"/>
        <v>5081</v>
      </c>
      <c r="CF406" s="82">
        <f t="shared" si="2483"/>
        <v>5076</v>
      </c>
      <c r="CG406" s="82">
        <f t="shared" si="2484"/>
        <v>5422</v>
      </c>
      <c r="CH406" s="82">
        <f t="shared" si="2485"/>
        <v>6161</v>
      </c>
      <c r="CI406" s="82">
        <f t="shared" si="2486"/>
        <v>6434</v>
      </c>
      <c r="CJ406" s="82">
        <f t="shared" si="2487"/>
        <v>6750</v>
      </c>
      <c r="CK406" s="82">
        <f t="shared" si="2488"/>
        <v>7191</v>
      </c>
      <c r="CL406" s="82">
        <f t="shared" si="2489"/>
        <v>7014</v>
      </c>
      <c r="CM406" s="82">
        <f t="shared" si="2490"/>
        <v>6993</v>
      </c>
      <c r="CN406" s="82">
        <f t="shared" si="2491"/>
        <v>6877</v>
      </c>
      <c r="CO406" s="82">
        <f t="shared" si="2492"/>
        <v>7310</v>
      </c>
      <c r="CP406" s="82">
        <f t="shared" ref="CP406:CP415" si="2526">SUM(AD406:AE406)</f>
        <v>7751</v>
      </c>
      <c r="CQ406" s="82">
        <f t="shared" si="2493"/>
        <v>7812</v>
      </c>
      <c r="CR406" s="82">
        <f t="shared" si="2494"/>
        <v>7357</v>
      </c>
      <c r="CS406" s="82">
        <f t="shared" si="2495"/>
        <v>6580</v>
      </c>
      <c r="CT406" s="82">
        <f t="shared" si="2496"/>
        <v>5355</v>
      </c>
      <c r="CU406" s="82">
        <f t="shared" si="2497"/>
        <v>5151</v>
      </c>
      <c r="CV406" s="82">
        <f t="shared" si="2498"/>
        <v>4854</v>
      </c>
      <c r="CW406" s="82">
        <f t="shared" si="2499"/>
        <v>4700</v>
      </c>
      <c r="CX406" s="82">
        <f t="shared" si="2500"/>
        <v>4079</v>
      </c>
      <c r="CY406" s="82">
        <f t="shared" si="2501"/>
        <v>4350</v>
      </c>
      <c r="CZ406" s="83">
        <f t="shared" si="2502"/>
        <v>4442</v>
      </c>
      <c r="DA406" s="82">
        <f t="shared" si="2503"/>
        <v>4566.1671197218784</v>
      </c>
      <c r="DB406" s="82">
        <f t="shared" si="2504"/>
        <v>4505.1342051016563</v>
      </c>
      <c r="DC406" s="82">
        <f t="shared" si="2505"/>
        <v>4548.5409554293346</v>
      </c>
      <c r="DD406" s="82">
        <f t="shared" si="2506"/>
        <v>4621.0252643934309</v>
      </c>
      <c r="DE406" s="82">
        <f t="shared" si="2507"/>
        <v>4718.424739463605</v>
      </c>
      <c r="DF406" s="82">
        <f t="shared" si="2508"/>
        <v>4864.1702179907825</v>
      </c>
      <c r="DG406" s="82">
        <f t="shared" si="2509"/>
        <v>5021.7476902442777</v>
      </c>
      <c r="DH406" s="82">
        <f t="shared" si="2510"/>
        <v>5185.6182591702527</v>
      </c>
      <c r="DI406" s="82">
        <f t="shared" si="2511"/>
        <v>5355.2681021056887</v>
      </c>
    </row>
    <row r="407" spans="1:113" outlineLevel="1">
      <c r="A407" s="1" t="s">
        <v>808</v>
      </c>
      <c r="B407" s="19" t="s">
        <v>712</v>
      </c>
      <c r="C407" s="53">
        <v>0</v>
      </c>
      <c r="D407" s="53">
        <v>0</v>
      </c>
      <c r="E407" s="53">
        <v>0</v>
      </c>
      <c r="F407" s="53">
        <v>0</v>
      </c>
      <c r="G407" s="53">
        <v>0</v>
      </c>
      <c r="H407" s="53">
        <v>0</v>
      </c>
      <c r="I407" s="53">
        <v>0</v>
      </c>
      <c r="J407" s="53">
        <v>0</v>
      </c>
      <c r="K407" s="53">
        <v>0</v>
      </c>
      <c r="L407" s="53">
        <v>145</v>
      </c>
      <c r="M407" s="53">
        <v>0</v>
      </c>
      <c r="N407" s="53">
        <v>0</v>
      </c>
      <c r="O407" s="53">
        <v>0</v>
      </c>
      <c r="P407" s="53">
        <v>0</v>
      </c>
      <c r="Q407" s="53">
        <v>0</v>
      </c>
      <c r="R407" s="53">
        <v>0</v>
      </c>
      <c r="S407" s="53">
        <v>0</v>
      </c>
      <c r="T407" s="53">
        <v>0</v>
      </c>
      <c r="U407" s="53">
        <v>0</v>
      </c>
      <c r="V407" s="53">
        <v>0</v>
      </c>
      <c r="W407" s="53">
        <v>0</v>
      </c>
      <c r="X407" s="53">
        <v>0</v>
      </c>
      <c r="Y407" s="53">
        <v>0</v>
      </c>
      <c r="Z407" s="53">
        <v>0</v>
      </c>
      <c r="AA407" s="164">
        <v>0</v>
      </c>
      <c r="AB407" s="164">
        <v>0</v>
      </c>
      <c r="AC407" s="164">
        <v>0</v>
      </c>
      <c r="AD407" s="164">
        <v>0</v>
      </c>
      <c r="AE407" s="164">
        <v>0</v>
      </c>
      <c r="AF407" s="164">
        <v>0</v>
      </c>
      <c r="AG407" s="164">
        <v>0</v>
      </c>
      <c r="AH407" s="164">
        <v>397</v>
      </c>
      <c r="AI407" s="164">
        <v>0</v>
      </c>
      <c r="AJ407" s="164">
        <v>0</v>
      </c>
      <c r="AK407" s="164">
        <v>0</v>
      </c>
      <c r="AL407" s="164">
        <v>0</v>
      </c>
      <c r="AM407" s="164">
        <v>0</v>
      </c>
      <c r="AN407" s="164">
        <v>0</v>
      </c>
      <c r="AO407" s="164">
        <v>0</v>
      </c>
      <c r="AP407" s="164">
        <v>0</v>
      </c>
      <c r="AQ407" s="164">
        <v>0</v>
      </c>
      <c r="AR407" s="164">
        <v>0</v>
      </c>
      <c r="AS407" s="164">
        <v>516</v>
      </c>
      <c r="AT407" s="164">
        <v>0</v>
      </c>
      <c r="AU407" s="164">
        <v>0</v>
      </c>
      <c r="AV407" s="164">
        <v>0</v>
      </c>
      <c r="AW407" s="164">
        <v>0</v>
      </c>
      <c r="AX407" s="164">
        <v>0</v>
      </c>
      <c r="AY407" s="164">
        <v>0</v>
      </c>
      <c r="AZ407" s="171">
        <v>0</v>
      </c>
      <c r="BA407" s="54">
        <v>0</v>
      </c>
      <c r="BB407" s="54">
        <v>0</v>
      </c>
      <c r="BC407" s="54">
        <v>0</v>
      </c>
      <c r="BD407" s="54">
        <v>0</v>
      </c>
      <c r="BE407" s="54">
        <v>0</v>
      </c>
      <c r="BF407" s="54">
        <v>0</v>
      </c>
      <c r="BG407" s="54">
        <v>0</v>
      </c>
      <c r="BH407" s="54">
        <v>0</v>
      </c>
      <c r="BI407" s="54">
        <v>0</v>
      </c>
      <c r="BJ407" s="54">
        <v>0</v>
      </c>
      <c r="BK407" s="54">
        <v>0</v>
      </c>
      <c r="BL407" s="54">
        <v>0</v>
      </c>
      <c r="BM407" s="54">
        <v>0</v>
      </c>
      <c r="BN407" s="54">
        <v>0</v>
      </c>
      <c r="BO407" s="54">
        <v>0</v>
      </c>
      <c r="BP407" s="54">
        <v>0</v>
      </c>
      <c r="BQ407" s="54">
        <v>0</v>
      </c>
      <c r="BR407" s="55"/>
      <c r="BS407" s="53">
        <v>0</v>
      </c>
      <c r="BT407" s="53">
        <v>0</v>
      </c>
      <c r="BU407" s="53">
        <v>0</v>
      </c>
      <c r="BV407" s="53">
        <v>0</v>
      </c>
      <c r="BW407" s="53">
        <v>0</v>
      </c>
      <c r="BX407" s="53">
        <v>0</v>
      </c>
      <c r="BY407" s="53">
        <v>0</v>
      </c>
      <c r="BZ407" s="53">
        <v>0</v>
      </c>
      <c r="CA407" s="53">
        <v>0</v>
      </c>
      <c r="CB407" s="53">
        <v>0</v>
      </c>
      <c r="CC407" s="55">
        <f t="shared" si="2480"/>
        <v>0</v>
      </c>
      <c r="CD407" s="55">
        <f t="shared" si="2481"/>
        <v>0</v>
      </c>
      <c r="CE407" s="55">
        <f t="shared" si="2482"/>
        <v>0</v>
      </c>
      <c r="CF407" s="55">
        <f t="shared" si="2483"/>
        <v>0</v>
      </c>
      <c r="CG407" s="55">
        <f t="shared" si="2484"/>
        <v>145</v>
      </c>
      <c r="CH407" s="55">
        <f t="shared" si="2485"/>
        <v>0</v>
      </c>
      <c r="CI407" s="55">
        <f t="shared" si="2486"/>
        <v>0</v>
      </c>
      <c r="CJ407" s="55">
        <f t="shared" si="2487"/>
        <v>0</v>
      </c>
      <c r="CK407" s="55">
        <f t="shared" si="2488"/>
        <v>0</v>
      </c>
      <c r="CL407" s="55">
        <f t="shared" si="2489"/>
        <v>0</v>
      </c>
      <c r="CM407" s="55">
        <f t="shared" si="2490"/>
        <v>0</v>
      </c>
      <c r="CN407" s="55">
        <f t="shared" si="2491"/>
        <v>0</v>
      </c>
      <c r="CO407" s="55">
        <f t="shared" si="2492"/>
        <v>0</v>
      </c>
      <c r="CP407" s="55">
        <f t="shared" si="2526"/>
        <v>0</v>
      </c>
      <c r="CQ407" s="55">
        <f t="shared" si="2493"/>
        <v>0</v>
      </c>
      <c r="CR407" s="55">
        <f t="shared" si="2494"/>
        <v>397</v>
      </c>
      <c r="CS407" s="55">
        <f t="shared" si="2495"/>
        <v>0</v>
      </c>
      <c r="CT407" s="55">
        <f t="shared" si="2496"/>
        <v>0</v>
      </c>
      <c r="CU407" s="55">
        <f t="shared" si="2497"/>
        <v>0</v>
      </c>
      <c r="CV407" s="55">
        <f t="shared" si="2498"/>
        <v>0</v>
      </c>
      <c r="CW407" s="55">
        <f t="shared" si="2499"/>
        <v>516</v>
      </c>
      <c r="CX407" s="55">
        <f t="shared" si="2500"/>
        <v>0</v>
      </c>
      <c r="CY407" s="55">
        <f t="shared" si="2501"/>
        <v>0</v>
      </c>
      <c r="CZ407" s="56">
        <f t="shared" si="2502"/>
        <v>0</v>
      </c>
      <c r="DA407" s="55">
        <f t="shared" si="2503"/>
        <v>0</v>
      </c>
      <c r="DB407" s="55">
        <f t="shared" si="2504"/>
        <v>0</v>
      </c>
      <c r="DC407" s="55">
        <f t="shared" si="2505"/>
        <v>0</v>
      </c>
      <c r="DD407" s="55">
        <f t="shared" si="2506"/>
        <v>0</v>
      </c>
      <c r="DE407" s="55">
        <f t="shared" si="2507"/>
        <v>0</v>
      </c>
      <c r="DF407" s="55">
        <f t="shared" si="2508"/>
        <v>0</v>
      </c>
      <c r="DG407" s="55">
        <f t="shared" si="2509"/>
        <v>0</v>
      </c>
      <c r="DH407" s="55">
        <f t="shared" si="2510"/>
        <v>0</v>
      </c>
      <c r="DI407" s="55">
        <f t="shared" si="2511"/>
        <v>0</v>
      </c>
    </row>
    <row r="408" spans="1:113" s="24" customFormat="1" outlineLevel="1">
      <c r="A408" s="1" t="s">
        <v>120</v>
      </c>
      <c r="B408" s="24" t="s">
        <v>168</v>
      </c>
      <c r="C408" s="82">
        <f t="shared" ref="C408:L408" si="2527">C414-SUM(C409:C413)</f>
        <v>2190</v>
      </c>
      <c r="D408" s="82">
        <f t="shared" si="2527"/>
        <v>2197</v>
      </c>
      <c r="E408" s="82">
        <f t="shared" si="2527"/>
        <v>2161</v>
      </c>
      <c r="F408" s="82">
        <f t="shared" si="2527"/>
        <v>2031</v>
      </c>
      <c r="G408" s="82">
        <f t="shared" si="2527"/>
        <v>2342</v>
      </c>
      <c r="H408" s="82">
        <f t="shared" si="2527"/>
        <v>2540</v>
      </c>
      <c r="I408" s="82">
        <f t="shared" si="2527"/>
        <v>2541</v>
      </c>
      <c r="J408" s="82">
        <f t="shared" si="2527"/>
        <v>2497</v>
      </c>
      <c r="K408" s="82">
        <f t="shared" si="2527"/>
        <v>2579</v>
      </c>
      <c r="L408" s="82">
        <f t="shared" si="2527"/>
        <v>2755</v>
      </c>
      <c r="M408" s="82">
        <f t="shared" ref="M408:Y408" si="2528">M414-SUM(M409:M413)</f>
        <v>2812</v>
      </c>
      <c r="N408" s="82">
        <f t="shared" si="2528"/>
        <v>3072</v>
      </c>
      <c r="O408" s="82">
        <f t="shared" si="2528"/>
        <v>3089</v>
      </c>
      <c r="P408" s="82">
        <f t="shared" si="2528"/>
        <v>3117</v>
      </c>
      <c r="Q408" s="82">
        <f t="shared" si="2528"/>
        <v>3317</v>
      </c>
      <c r="R408" s="82">
        <f t="shared" si="2528"/>
        <v>3408</v>
      </c>
      <c r="S408" s="82">
        <f t="shared" si="2528"/>
        <v>3342</v>
      </c>
      <c r="T408" s="82">
        <f t="shared" si="2528"/>
        <v>3630</v>
      </c>
      <c r="U408" s="82">
        <f t="shared" si="2528"/>
        <v>3561</v>
      </c>
      <c r="V408" s="82">
        <f t="shared" si="2528"/>
        <v>3562</v>
      </c>
      <c r="W408" s="82">
        <f t="shared" si="2528"/>
        <v>3452</v>
      </c>
      <c r="X408" s="82">
        <f t="shared" si="2528"/>
        <v>3461</v>
      </c>
      <c r="Y408" s="82">
        <f t="shared" si="2528"/>
        <v>3532</v>
      </c>
      <c r="Z408" s="82">
        <f t="shared" ref="Z408:AK408" si="2529">Z414-SUM(Z409:Z413)</f>
        <v>3427</v>
      </c>
      <c r="AA408" s="82">
        <f t="shared" si="2529"/>
        <v>3450</v>
      </c>
      <c r="AB408" s="82">
        <f t="shared" si="2529"/>
        <v>3704</v>
      </c>
      <c r="AC408" s="82">
        <f t="shared" si="2529"/>
        <v>3606</v>
      </c>
      <c r="AD408" s="82">
        <f t="shared" si="2529"/>
        <v>3826</v>
      </c>
      <c r="AE408" s="82">
        <f t="shared" si="2529"/>
        <v>3925</v>
      </c>
      <c r="AF408" s="82">
        <f t="shared" si="2529"/>
        <v>3993</v>
      </c>
      <c r="AG408" s="82">
        <f t="shared" si="2529"/>
        <v>3819</v>
      </c>
      <c r="AH408" s="82">
        <f t="shared" si="2529"/>
        <v>4125</v>
      </c>
      <c r="AI408" s="82">
        <f t="shared" si="2529"/>
        <v>3629</v>
      </c>
      <c r="AJ408" s="82">
        <f t="shared" si="2529"/>
        <v>3392</v>
      </c>
      <c r="AK408" s="82">
        <f t="shared" si="2529"/>
        <v>3188</v>
      </c>
      <c r="AL408" s="82">
        <f t="shared" ref="AL408:AQ408" si="2530">AL414-SUM(AL409:AL413)</f>
        <v>2789.4349070100143</v>
      </c>
      <c r="AM408" s="82">
        <f t="shared" si="2530"/>
        <v>2565.5650929899857</v>
      </c>
      <c r="AN408" s="82">
        <f t="shared" si="2530"/>
        <v>2673</v>
      </c>
      <c r="AO408" s="82">
        <f t="shared" si="2530"/>
        <v>2478</v>
      </c>
      <c r="AP408" s="82">
        <f t="shared" si="2530"/>
        <v>2361</v>
      </c>
      <c r="AQ408" s="82">
        <f t="shared" si="2530"/>
        <v>2493</v>
      </c>
      <c r="AR408" s="82">
        <f t="shared" ref="AR408" si="2531">AR414-SUM(AR409:AR413)</f>
        <v>2359</v>
      </c>
      <c r="AS408" s="82">
        <f t="shared" ref="AS408:AT408" si="2532">AS414-SUM(AS409:AS413)</f>
        <v>2857</v>
      </c>
      <c r="AT408" s="82">
        <f t="shared" si="2532"/>
        <v>1986</v>
      </c>
      <c r="AU408" s="82">
        <f t="shared" ref="AU408:AV408" si="2533">AU414-SUM(AU409:AU413)</f>
        <v>2093</v>
      </c>
      <c r="AV408" s="82">
        <f t="shared" si="2533"/>
        <v>2245</v>
      </c>
      <c r="AW408" s="82">
        <f t="shared" ref="AW408:AY408" si="2534">AW414-SUM(AW409:AW413)</f>
        <v>2105</v>
      </c>
      <c r="AX408" s="82">
        <f t="shared" si="2534"/>
        <v>2163</v>
      </c>
      <c r="AY408" s="82">
        <f t="shared" si="2534"/>
        <v>2279</v>
      </c>
      <c r="AZ408" s="83">
        <f t="shared" ref="AZ408" si="2535">AZ414-SUM(AZ409:AZ413)</f>
        <v>2326</v>
      </c>
      <c r="BA408" s="82">
        <f t="shared" ref="BA408:BE408" si="2536">BA406+BA407</f>
        <v>2240.1671197218784</v>
      </c>
      <c r="BB408" s="82">
        <f t="shared" si="2536"/>
        <v>2229.419438229801</v>
      </c>
      <c r="BC408" s="82">
        <f t="shared" si="2536"/>
        <v>2275.7147668718549</v>
      </c>
      <c r="BD408" s="82">
        <f t="shared" si="2536"/>
        <v>2236.9445914191942</v>
      </c>
      <c r="BE408" s="82">
        <f t="shared" si="2536"/>
        <v>2311.59636401014</v>
      </c>
      <c r="BF408" s="82">
        <f t="shared" ref="BF408:BM408" si="2537">BF406+BF407</f>
        <v>2297.61098801141</v>
      </c>
      <c r="BG408" s="82">
        <f t="shared" si="2537"/>
        <v>2323.4142763820214</v>
      </c>
      <c r="BH408" s="82">
        <f t="shared" si="2537"/>
        <v>2349.797561569656</v>
      </c>
      <c r="BI408" s="82">
        <f t="shared" si="2537"/>
        <v>2368.627177893949</v>
      </c>
      <c r="BJ408" s="82">
        <f t="shared" si="2537"/>
        <v>2425.0129881706521</v>
      </c>
      <c r="BK408" s="82">
        <f t="shared" si="2537"/>
        <v>2439.1572298201309</v>
      </c>
      <c r="BL408" s="82">
        <f t="shared" si="2537"/>
        <v>2496.0145676713501</v>
      </c>
      <c r="BM408" s="82">
        <f t="shared" si="2537"/>
        <v>2525.7331225729276</v>
      </c>
      <c r="BN408" s="82">
        <f t="shared" ref="BN408:BO408" si="2538">BN406+BN407</f>
        <v>2584.5751184689643</v>
      </c>
      <c r="BO408" s="82">
        <f t="shared" si="2538"/>
        <v>2601.0431407012888</v>
      </c>
      <c r="BP408" s="82">
        <f t="shared" ref="BP408:BQ408" si="2539">BP406+BP407</f>
        <v>2669.0969247944113</v>
      </c>
      <c r="BQ408" s="82">
        <f t="shared" si="2539"/>
        <v>2686.1711773112775</v>
      </c>
      <c r="BR408" s="82"/>
      <c r="BS408" s="82">
        <f t="shared" ref="BS408:CB408" si="2540">BS414-SUM(BS409:BS413)</f>
        <v>1404</v>
      </c>
      <c r="BT408" s="82">
        <f t="shared" si="2540"/>
        <v>1386</v>
      </c>
      <c r="BU408" s="82">
        <f t="shared" si="2540"/>
        <v>1415</v>
      </c>
      <c r="BV408" s="82">
        <f t="shared" si="2540"/>
        <v>1484</v>
      </c>
      <c r="BW408" s="82">
        <f t="shared" si="2540"/>
        <v>1355</v>
      </c>
      <c r="BX408" s="82">
        <f t="shared" si="2540"/>
        <v>1489</v>
      </c>
      <c r="BY408" s="82">
        <f t="shared" si="2540"/>
        <v>1833</v>
      </c>
      <c r="BZ408" s="82">
        <f t="shared" si="2540"/>
        <v>1997</v>
      </c>
      <c r="CA408" s="82">
        <f t="shared" si="2540"/>
        <v>2420</v>
      </c>
      <c r="CB408" s="82">
        <f t="shared" si="2540"/>
        <v>4350</v>
      </c>
      <c r="CC408" s="82">
        <f t="shared" si="2480"/>
        <v>4358</v>
      </c>
      <c r="CD408" s="82">
        <f t="shared" si="2481"/>
        <v>4373</v>
      </c>
      <c r="CE408" s="82">
        <f t="shared" si="2482"/>
        <v>5081</v>
      </c>
      <c r="CF408" s="82">
        <f t="shared" si="2483"/>
        <v>5076</v>
      </c>
      <c r="CG408" s="82">
        <f t="shared" si="2484"/>
        <v>5567</v>
      </c>
      <c r="CH408" s="82">
        <f t="shared" si="2485"/>
        <v>6161</v>
      </c>
      <c r="CI408" s="82">
        <f t="shared" si="2486"/>
        <v>6434</v>
      </c>
      <c r="CJ408" s="82">
        <f t="shared" si="2487"/>
        <v>6750</v>
      </c>
      <c r="CK408" s="82">
        <f t="shared" si="2488"/>
        <v>7191</v>
      </c>
      <c r="CL408" s="82">
        <f t="shared" si="2489"/>
        <v>7014</v>
      </c>
      <c r="CM408" s="82">
        <f t="shared" si="2490"/>
        <v>6993</v>
      </c>
      <c r="CN408" s="82">
        <f t="shared" si="2491"/>
        <v>6877</v>
      </c>
      <c r="CO408" s="82">
        <f t="shared" si="2492"/>
        <v>7310</v>
      </c>
      <c r="CP408" s="82">
        <f t="shared" si="2526"/>
        <v>7751</v>
      </c>
      <c r="CQ408" s="82">
        <f t="shared" si="2493"/>
        <v>7812</v>
      </c>
      <c r="CR408" s="82">
        <f t="shared" si="2494"/>
        <v>7754</v>
      </c>
      <c r="CS408" s="82">
        <f t="shared" si="2495"/>
        <v>6580</v>
      </c>
      <c r="CT408" s="82">
        <f t="shared" si="2496"/>
        <v>5355</v>
      </c>
      <c r="CU408" s="82">
        <f t="shared" si="2497"/>
        <v>5151</v>
      </c>
      <c r="CV408" s="82">
        <f t="shared" si="2498"/>
        <v>4854</v>
      </c>
      <c r="CW408" s="82">
        <f t="shared" si="2499"/>
        <v>5216</v>
      </c>
      <c r="CX408" s="82">
        <f t="shared" si="2500"/>
        <v>4079</v>
      </c>
      <c r="CY408" s="82">
        <f t="shared" si="2501"/>
        <v>4350</v>
      </c>
      <c r="CZ408" s="83">
        <f t="shared" si="2502"/>
        <v>4442</v>
      </c>
      <c r="DA408" s="82">
        <f t="shared" si="2503"/>
        <v>4566.1671197218784</v>
      </c>
      <c r="DB408" s="82">
        <f t="shared" si="2504"/>
        <v>4505.1342051016563</v>
      </c>
      <c r="DC408" s="82">
        <f t="shared" si="2505"/>
        <v>4548.5409554293346</v>
      </c>
      <c r="DD408" s="82">
        <f t="shared" si="2506"/>
        <v>4621.0252643934309</v>
      </c>
      <c r="DE408" s="82">
        <f t="shared" si="2507"/>
        <v>4718.424739463605</v>
      </c>
      <c r="DF408" s="82">
        <f t="shared" si="2508"/>
        <v>4864.1702179907825</v>
      </c>
      <c r="DG408" s="82">
        <f t="shared" si="2509"/>
        <v>5021.7476902442777</v>
      </c>
      <c r="DH408" s="82">
        <f t="shared" si="2510"/>
        <v>5185.6182591702527</v>
      </c>
      <c r="DI408" s="82">
        <f t="shared" si="2511"/>
        <v>5355.2681021056887</v>
      </c>
    </row>
    <row r="409" spans="1:113" outlineLevel="2">
      <c r="A409" s="1" t="s">
        <v>809</v>
      </c>
      <c r="B409" s="19" t="s">
        <v>854</v>
      </c>
      <c r="C409" s="55">
        <f t="shared" ref="C409:L409" si="2541">-C382</f>
        <v>0</v>
      </c>
      <c r="D409" s="55">
        <f t="shared" si="2541"/>
        <v>0</v>
      </c>
      <c r="E409" s="55">
        <f t="shared" si="2541"/>
        <v>0</v>
      </c>
      <c r="F409" s="55">
        <f t="shared" si="2541"/>
        <v>0</v>
      </c>
      <c r="G409" s="55">
        <f t="shared" si="2541"/>
        <v>0</v>
      </c>
      <c r="H409" s="55">
        <f t="shared" si="2541"/>
        <v>0</v>
      </c>
      <c r="I409" s="55">
        <f t="shared" si="2541"/>
        <v>0</v>
      </c>
      <c r="J409" s="55">
        <f t="shared" si="2541"/>
        <v>0</v>
      </c>
      <c r="K409" s="55">
        <f t="shared" si="2541"/>
        <v>0</v>
      </c>
      <c r="L409" s="55">
        <f t="shared" si="2541"/>
        <v>0</v>
      </c>
      <c r="M409" s="55">
        <f t="shared" ref="M409:AB409" si="2542">-M382</f>
        <v>0</v>
      </c>
      <c r="N409" s="55">
        <f t="shared" si="2542"/>
        <v>0</v>
      </c>
      <c r="O409" s="55">
        <f t="shared" si="2542"/>
        <v>0</v>
      </c>
      <c r="P409" s="55">
        <f t="shared" si="2542"/>
        <v>0</v>
      </c>
      <c r="Q409" s="55">
        <f t="shared" si="2542"/>
        <v>0</v>
      </c>
      <c r="R409" s="55">
        <f t="shared" si="2542"/>
        <v>0</v>
      </c>
      <c r="S409" s="55">
        <f t="shared" si="2542"/>
        <v>0</v>
      </c>
      <c r="T409" s="55">
        <f t="shared" si="2542"/>
        <v>0</v>
      </c>
      <c r="U409" s="55">
        <f t="shared" ref="U409:Z409" si="2543">-U382</f>
        <v>0</v>
      </c>
      <c r="V409" s="55">
        <f t="shared" si="2543"/>
        <v>0</v>
      </c>
      <c r="W409" s="55">
        <f t="shared" si="2543"/>
        <v>0</v>
      </c>
      <c r="X409" s="55">
        <f t="shared" si="2543"/>
        <v>0</v>
      </c>
      <c r="Y409" s="55">
        <f t="shared" si="2543"/>
        <v>0</v>
      </c>
      <c r="Z409" s="55">
        <f t="shared" si="2543"/>
        <v>0</v>
      </c>
      <c r="AA409" s="55">
        <f t="shared" si="2542"/>
        <v>0</v>
      </c>
      <c r="AB409" s="55">
        <f t="shared" si="2542"/>
        <v>0</v>
      </c>
      <c r="AC409" s="55">
        <f t="shared" ref="AC409:AK409" si="2544">-AC382</f>
        <v>0</v>
      </c>
      <c r="AD409" s="55">
        <f t="shared" si="2544"/>
        <v>0</v>
      </c>
      <c r="AE409" s="55">
        <f t="shared" si="2544"/>
        <v>0</v>
      </c>
      <c r="AF409" s="55">
        <f t="shared" si="2544"/>
        <v>0</v>
      </c>
      <c r="AG409" s="55">
        <f t="shared" si="2544"/>
        <v>0</v>
      </c>
      <c r="AH409" s="55">
        <f t="shared" si="2544"/>
        <v>0</v>
      </c>
      <c r="AI409" s="55">
        <f t="shared" si="2544"/>
        <v>0</v>
      </c>
      <c r="AJ409" s="55">
        <f t="shared" si="2544"/>
        <v>0</v>
      </c>
      <c r="AK409" s="55">
        <f t="shared" si="2544"/>
        <v>0</v>
      </c>
      <c r="AL409" s="55">
        <f t="shared" ref="AL409:AQ409" si="2545">-AL382</f>
        <v>0</v>
      </c>
      <c r="AM409" s="55">
        <f t="shared" si="2545"/>
        <v>0</v>
      </c>
      <c r="AN409" s="55">
        <f t="shared" si="2545"/>
        <v>0</v>
      </c>
      <c r="AO409" s="55">
        <f t="shared" si="2545"/>
        <v>0</v>
      </c>
      <c r="AP409" s="55">
        <f t="shared" si="2545"/>
        <v>0</v>
      </c>
      <c r="AQ409" s="55">
        <f t="shared" si="2545"/>
        <v>0</v>
      </c>
      <c r="AR409" s="55">
        <f t="shared" ref="AR409" si="2546">-AR382</f>
        <v>0</v>
      </c>
      <c r="AS409" s="55">
        <f t="shared" ref="AS409:AT409" si="2547">-AS382</f>
        <v>0</v>
      </c>
      <c r="AT409" s="55">
        <f t="shared" si="2547"/>
        <v>0</v>
      </c>
      <c r="AU409" s="55">
        <f t="shared" ref="AU409:AV409" si="2548">-AU382</f>
        <v>0</v>
      </c>
      <c r="AV409" s="55">
        <f t="shared" si="2548"/>
        <v>0</v>
      </c>
      <c r="AW409" s="55">
        <f t="shared" ref="AW409:AX409" si="2549">-AW382</f>
        <v>0</v>
      </c>
      <c r="AX409" s="55">
        <f t="shared" si="2549"/>
        <v>0</v>
      </c>
      <c r="AY409" s="55">
        <f t="shared" ref="AY409:BE409" si="2550">-AY382</f>
        <v>0</v>
      </c>
      <c r="AZ409" s="56">
        <f t="shared" si="2550"/>
        <v>0</v>
      </c>
      <c r="BA409" s="55">
        <f t="shared" si="2550"/>
        <v>0</v>
      </c>
      <c r="BB409" s="55">
        <f t="shared" si="2550"/>
        <v>0</v>
      </c>
      <c r="BC409" s="55">
        <f t="shared" si="2550"/>
        <v>0</v>
      </c>
      <c r="BD409" s="55">
        <f t="shared" si="2550"/>
        <v>0</v>
      </c>
      <c r="BE409" s="55">
        <f t="shared" si="2550"/>
        <v>0</v>
      </c>
      <c r="BF409" s="55">
        <f t="shared" ref="BF409:BM409" si="2551">-BF382</f>
        <v>0</v>
      </c>
      <c r="BG409" s="55">
        <f t="shared" si="2551"/>
        <v>0</v>
      </c>
      <c r="BH409" s="55">
        <f t="shared" si="2551"/>
        <v>0</v>
      </c>
      <c r="BI409" s="55">
        <f t="shared" si="2551"/>
        <v>0</v>
      </c>
      <c r="BJ409" s="55">
        <f t="shared" si="2551"/>
        <v>0</v>
      </c>
      <c r="BK409" s="55">
        <f t="shared" si="2551"/>
        <v>0</v>
      </c>
      <c r="BL409" s="55">
        <f t="shared" si="2551"/>
        <v>0</v>
      </c>
      <c r="BM409" s="55">
        <f t="shared" si="2551"/>
        <v>0</v>
      </c>
      <c r="BN409" s="55">
        <f t="shared" ref="BN409:BO409" si="2552">-BN382</f>
        <v>0</v>
      </c>
      <c r="BO409" s="55">
        <f t="shared" si="2552"/>
        <v>0</v>
      </c>
      <c r="BP409" s="55">
        <f t="shared" ref="BP409:BQ409" si="2553">-BP382</f>
        <v>0</v>
      </c>
      <c r="BQ409" s="55">
        <f t="shared" si="2553"/>
        <v>0</v>
      </c>
      <c r="BR409" s="55"/>
      <c r="BS409" s="55">
        <f t="shared" ref="BS409:CB409" si="2554">-BS382</f>
        <v>0</v>
      </c>
      <c r="BT409" s="55">
        <f t="shared" si="2554"/>
        <v>0</v>
      </c>
      <c r="BU409" s="55">
        <f t="shared" si="2554"/>
        <v>0</v>
      </c>
      <c r="BV409" s="55">
        <f t="shared" si="2554"/>
        <v>0</v>
      </c>
      <c r="BW409" s="55">
        <f t="shared" si="2554"/>
        <v>0</v>
      </c>
      <c r="BX409" s="55">
        <f t="shared" si="2554"/>
        <v>0</v>
      </c>
      <c r="BY409" s="55">
        <f t="shared" si="2554"/>
        <v>0</v>
      </c>
      <c r="BZ409" s="55">
        <f t="shared" si="2554"/>
        <v>0</v>
      </c>
      <c r="CA409" s="55">
        <f t="shared" si="2554"/>
        <v>0</v>
      </c>
      <c r="CB409" s="55">
        <f t="shared" si="2554"/>
        <v>0</v>
      </c>
      <c r="CC409" s="55">
        <f t="shared" si="2480"/>
        <v>0</v>
      </c>
      <c r="CD409" s="55">
        <f t="shared" si="2481"/>
        <v>0</v>
      </c>
      <c r="CE409" s="55">
        <f t="shared" si="2482"/>
        <v>0</v>
      </c>
      <c r="CF409" s="55">
        <f t="shared" si="2483"/>
        <v>0</v>
      </c>
      <c r="CG409" s="55">
        <f t="shared" si="2484"/>
        <v>0</v>
      </c>
      <c r="CH409" s="55">
        <f t="shared" si="2485"/>
        <v>0</v>
      </c>
      <c r="CI409" s="55">
        <f t="shared" si="2486"/>
        <v>0</v>
      </c>
      <c r="CJ409" s="55">
        <f t="shared" si="2487"/>
        <v>0</v>
      </c>
      <c r="CK409" s="55">
        <f t="shared" si="2488"/>
        <v>0</v>
      </c>
      <c r="CL409" s="55">
        <f t="shared" si="2489"/>
        <v>0</v>
      </c>
      <c r="CM409" s="55">
        <f t="shared" si="2490"/>
        <v>0</v>
      </c>
      <c r="CN409" s="55">
        <f t="shared" si="2491"/>
        <v>0</v>
      </c>
      <c r="CO409" s="55">
        <f t="shared" si="2492"/>
        <v>0</v>
      </c>
      <c r="CP409" s="55">
        <f t="shared" si="2526"/>
        <v>0</v>
      </c>
      <c r="CQ409" s="55">
        <f t="shared" si="2493"/>
        <v>0</v>
      </c>
      <c r="CR409" s="55">
        <f t="shared" si="2494"/>
        <v>0</v>
      </c>
      <c r="CS409" s="55">
        <f t="shared" si="2495"/>
        <v>0</v>
      </c>
      <c r="CT409" s="55">
        <f t="shared" si="2496"/>
        <v>0</v>
      </c>
      <c r="CU409" s="55">
        <f t="shared" si="2497"/>
        <v>0</v>
      </c>
      <c r="CV409" s="55">
        <f t="shared" si="2498"/>
        <v>0</v>
      </c>
      <c r="CW409" s="55">
        <f t="shared" si="2499"/>
        <v>0</v>
      </c>
      <c r="CX409" s="55">
        <f t="shared" si="2500"/>
        <v>0</v>
      </c>
      <c r="CY409" s="55">
        <f t="shared" si="2501"/>
        <v>0</v>
      </c>
      <c r="CZ409" s="56">
        <f t="shared" si="2502"/>
        <v>0</v>
      </c>
      <c r="DA409" s="55">
        <f t="shared" si="2503"/>
        <v>0</v>
      </c>
      <c r="DB409" s="55">
        <f t="shared" si="2504"/>
        <v>0</v>
      </c>
      <c r="DC409" s="55">
        <f t="shared" si="2505"/>
        <v>0</v>
      </c>
      <c r="DD409" s="55">
        <f t="shared" si="2506"/>
        <v>0</v>
      </c>
      <c r="DE409" s="55">
        <f t="shared" si="2507"/>
        <v>0</v>
      </c>
      <c r="DF409" s="55">
        <f t="shared" si="2508"/>
        <v>0</v>
      </c>
      <c r="DG409" s="55">
        <f t="shared" si="2509"/>
        <v>0</v>
      </c>
      <c r="DH409" s="55">
        <f t="shared" si="2510"/>
        <v>0</v>
      </c>
      <c r="DI409" s="55">
        <f t="shared" si="2511"/>
        <v>0</v>
      </c>
    </row>
    <row r="410" spans="1:113" outlineLevel="2">
      <c r="A410" s="1" t="s">
        <v>113</v>
      </c>
      <c r="B410" s="19" t="s">
        <v>369</v>
      </c>
      <c r="C410" s="53"/>
      <c r="D410" s="53"/>
      <c r="E410" s="53"/>
      <c r="F410" s="53"/>
      <c r="G410" s="53"/>
      <c r="H410" s="53"/>
      <c r="I410" s="53"/>
      <c r="J410" s="53"/>
      <c r="K410" s="53"/>
      <c r="L410" s="53">
        <v>0</v>
      </c>
      <c r="M410" s="53">
        <v>0</v>
      </c>
      <c r="N410" s="53">
        <v>0</v>
      </c>
      <c r="O410" s="53">
        <v>0</v>
      </c>
      <c r="P410" s="53">
        <v>0</v>
      </c>
      <c r="Q410" s="53">
        <v>0</v>
      </c>
      <c r="R410" s="53">
        <v>0</v>
      </c>
      <c r="S410" s="53">
        <v>0</v>
      </c>
      <c r="T410" s="53">
        <v>0</v>
      </c>
      <c r="U410" s="53">
        <v>0</v>
      </c>
      <c r="V410" s="53">
        <v>0</v>
      </c>
      <c r="W410" s="53">
        <v>0</v>
      </c>
      <c r="X410" s="53">
        <v>0</v>
      </c>
      <c r="Y410" s="53">
        <v>0</v>
      </c>
      <c r="Z410" s="53">
        <v>0</v>
      </c>
      <c r="AA410" s="164">
        <v>0</v>
      </c>
      <c r="AB410" s="164">
        <v>0</v>
      </c>
      <c r="AC410" s="164">
        <v>0</v>
      </c>
      <c r="AD410" s="164">
        <v>0</v>
      </c>
      <c r="AE410" s="164">
        <v>0</v>
      </c>
      <c r="AF410" s="164">
        <v>0</v>
      </c>
      <c r="AG410" s="164">
        <v>0</v>
      </c>
      <c r="AH410" s="164">
        <v>0</v>
      </c>
      <c r="AI410" s="164">
        <v>0</v>
      </c>
      <c r="AJ410" s="164">
        <v>0</v>
      </c>
      <c r="AK410" s="164">
        <v>0</v>
      </c>
      <c r="AL410" s="164">
        <v>0</v>
      </c>
      <c r="AM410" s="164">
        <v>0</v>
      </c>
      <c r="AN410" s="164">
        <v>0</v>
      </c>
      <c r="AO410" s="164">
        <v>0</v>
      </c>
      <c r="AP410" s="164">
        <v>0</v>
      </c>
      <c r="AQ410" s="164">
        <v>0</v>
      </c>
      <c r="AR410" s="164">
        <v>0</v>
      </c>
      <c r="AS410" s="164">
        <v>0</v>
      </c>
      <c r="AT410" s="164">
        <v>0</v>
      </c>
      <c r="AU410" s="164">
        <v>0</v>
      </c>
      <c r="AV410" s="164">
        <v>0</v>
      </c>
      <c r="AW410" s="164">
        <v>0</v>
      </c>
      <c r="AX410" s="164">
        <v>0</v>
      </c>
      <c r="AY410" s="164">
        <v>0</v>
      </c>
      <c r="AZ410" s="171">
        <v>0</v>
      </c>
      <c r="BA410" s="54">
        <v>0</v>
      </c>
      <c r="BB410" s="54">
        <v>0</v>
      </c>
      <c r="BC410" s="54">
        <v>0</v>
      </c>
      <c r="BD410" s="54">
        <v>0</v>
      </c>
      <c r="BE410" s="54">
        <v>0</v>
      </c>
      <c r="BF410" s="54">
        <v>0</v>
      </c>
      <c r="BG410" s="54">
        <v>0</v>
      </c>
      <c r="BH410" s="54">
        <v>0</v>
      </c>
      <c r="BI410" s="54">
        <v>0</v>
      </c>
      <c r="BJ410" s="54">
        <v>0</v>
      </c>
      <c r="BK410" s="54">
        <v>0</v>
      </c>
      <c r="BL410" s="54">
        <v>0</v>
      </c>
      <c r="BM410" s="54">
        <v>0</v>
      </c>
      <c r="BN410" s="54">
        <v>0</v>
      </c>
      <c r="BO410" s="54">
        <v>0</v>
      </c>
      <c r="BP410" s="54">
        <v>0</v>
      </c>
      <c r="BQ410" s="54">
        <v>0</v>
      </c>
      <c r="BR410" s="55"/>
      <c r="BS410" s="53">
        <v>0</v>
      </c>
      <c r="BT410" s="53">
        <v>0</v>
      </c>
      <c r="BU410" s="53">
        <v>0</v>
      </c>
      <c r="BV410" s="53">
        <v>0</v>
      </c>
      <c r="BW410" s="53">
        <v>0</v>
      </c>
      <c r="BX410" s="53">
        <v>0</v>
      </c>
      <c r="BY410" s="53">
        <v>0</v>
      </c>
      <c r="BZ410" s="53">
        <v>0</v>
      </c>
      <c r="CA410" s="53">
        <v>0</v>
      </c>
      <c r="CB410" s="53">
        <v>0</v>
      </c>
      <c r="CC410" s="55">
        <f t="shared" si="2480"/>
        <v>0</v>
      </c>
      <c r="CD410" s="55">
        <f t="shared" si="2481"/>
        <v>0</v>
      </c>
      <c r="CE410" s="55">
        <f t="shared" si="2482"/>
        <v>0</v>
      </c>
      <c r="CF410" s="55">
        <f t="shared" si="2483"/>
        <v>0</v>
      </c>
      <c r="CG410" s="55">
        <f t="shared" si="2484"/>
        <v>0</v>
      </c>
      <c r="CH410" s="55">
        <f t="shared" si="2485"/>
        <v>0</v>
      </c>
      <c r="CI410" s="55">
        <f t="shared" si="2486"/>
        <v>0</v>
      </c>
      <c r="CJ410" s="55">
        <f t="shared" si="2487"/>
        <v>0</v>
      </c>
      <c r="CK410" s="55">
        <f t="shared" si="2488"/>
        <v>0</v>
      </c>
      <c r="CL410" s="55">
        <f t="shared" si="2489"/>
        <v>0</v>
      </c>
      <c r="CM410" s="55">
        <f t="shared" si="2490"/>
        <v>0</v>
      </c>
      <c r="CN410" s="55">
        <f t="shared" si="2491"/>
        <v>0</v>
      </c>
      <c r="CO410" s="55">
        <f t="shared" si="2492"/>
        <v>0</v>
      </c>
      <c r="CP410" s="55">
        <f t="shared" si="2526"/>
        <v>0</v>
      </c>
      <c r="CQ410" s="55">
        <f t="shared" si="2493"/>
        <v>0</v>
      </c>
      <c r="CR410" s="55">
        <f t="shared" si="2494"/>
        <v>0</v>
      </c>
      <c r="CS410" s="55">
        <f t="shared" si="2495"/>
        <v>0</v>
      </c>
      <c r="CT410" s="55">
        <f t="shared" si="2496"/>
        <v>0</v>
      </c>
      <c r="CU410" s="55">
        <f t="shared" si="2497"/>
        <v>0</v>
      </c>
      <c r="CV410" s="55">
        <f t="shared" si="2498"/>
        <v>0</v>
      </c>
      <c r="CW410" s="55">
        <f t="shared" si="2499"/>
        <v>0</v>
      </c>
      <c r="CX410" s="55">
        <f t="shared" si="2500"/>
        <v>0</v>
      </c>
      <c r="CY410" s="55">
        <f t="shared" si="2501"/>
        <v>0</v>
      </c>
      <c r="CZ410" s="56">
        <f t="shared" si="2502"/>
        <v>0</v>
      </c>
      <c r="DA410" s="55">
        <f t="shared" si="2503"/>
        <v>0</v>
      </c>
      <c r="DB410" s="55">
        <f t="shared" si="2504"/>
        <v>0</v>
      </c>
      <c r="DC410" s="55">
        <f t="shared" si="2505"/>
        <v>0</v>
      </c>
      <c r="DD410" s="55">
        <f t="shared" si="2506"/>
        <v>0</v>
      </c>
      <c r="DE410" s="55">
        <f t="shared" si="2507"/>
        <v>0</v>
      </c>
      <c r="DF410" s="55">
        <f t="shared" si="2508"/>
        <v>0</v>
      </c>
      <c r="DG410" s="55">
        <f t="shared" si="2509"/>
        <v>0</v>
      </c>
      <c r="DH410" s="55">
        <f t="shared" si="2510"/>
        <v>0</v>
      </c>
      <c r="DI410" s="55">
        <f t="shared" si="2511"/>
        <v>0</v>
      </c>
    </row>
    <row r="411" spans="1:113" outlineLevel="2">
      <c r="A411" s="1" t="s">
        <v>114</v>
      </c>
      <c r="B411" s="19" t="s">
        <v>370</v>
      </c>
      <c r="C411" s="53"/>
      <c r="D411" s="53"/>
      <c r="E411" s="53"/>
      <c r="F411" s="53"/>
      <c r="G411" s="53"/>
      <c r="H411" s="53"/>
      <c r="I411" s="53"/>
      <c r="J411" s="53"/>
      <c r="K411" s="53"/>
      <c r="L411" s="53">
        <v>0</v>
      </c>
      <c r="M411" s="53">
        <v>0</v>
      </c>
      <c r="N411" s="53">
        <v>0</v>
      </c>
      <c r="O411" s="53">
        <v>0</v>
      </c>
      <c r="P411" s="53">
        <v>0</v>
      </c>
      <c r="Q411" s="53">
        <v>0</v>
      </c>
      <c r="R411" s="53">
        <v>0</v>
      </c>
      <c r="S411" s="53">
        <v>0</v>
      </c>
      <c r="T411" s="53">
        <v>0</v>
      </c>
      <c r="U411" s="53">
        <v>0</v>
      </c>
      <c r="V411" s="53">
        <v>0</v>
      </c>
      <c r="W411" s="53">
        <v>0</v>
      </c>
      <c r="X411" s="53">
        <v>0</v>
      </c>
      <c r="Y411" s="53">
        <v>0</v>
      </c>
      <c r="Z411" s="53">
        <v>0</v>
      </c>
      <c r="AA411" s="164">
        <v>0</v>
      </c>
      <c r="AB411" s="164">
        <v>0</v>
      </c>
      <c r="AC411" s="164">
        <v>0</v>
      </c>
      <c r="AD411" s="164">
        <v>0</v>
      </c>
      <c r="AE411" s="164">
        <v>0</v>
      </c>
      <c r="AF411" s="164">
        <v>0</v>
      </c>
      <c r="AG411" s="164">
        <v>0</v>
      </c>
      <c r="AH411" s="164">
        <v>0</v>
      </c>
      <c r="AI411" s="164">
        <v>0</v>
      </c>
      <c r="AJ411" s="164">
        <v>0</v>
      </c>
      <c r="AK411" s="164">
        <v>0</v>
      </c>
      <c r="AL411" s="164">
        <v>0</v>
      </c>
      <c r="AM411" s="164">
        <v>0</v>
      </c>
      <c r="AN411" s="164">
        <v>0</v>
      </c>
      <c r="AO411" s="164">
        <v>0</v>
      </c>
      <c r="AP411" s="164">
        <v>0</v>
      </c>
      <c r="AQ411" s="164">
        <v>0</v>
      </c>
      <c r="AR411" s="164">
        <v>0</v>
      </c>
      <c r="AS411" s="164">
        <v>0</v>
      </c>
      <c r="AT411" s="164">
        <v>0</v>
      </c>
      <c r="AU411" s="164">
        <v>0</v>
      </c>
      <c r="AV411" s="164">
        <v>0</v>
      </c>
      <c r="AW411" s="164">
        <v>0</v>
      </c>
      <c r="AX411" s="164">
        <v>0</v>
      </c>
      <c r="AY411" s="164">
        <v>0</v>
      </c>
      <c r="AZ411" s="171">
        <v>0</v>
      </c>
      <c r="BA411" s="54">
        <v>0</v>
      </c>
      <c r="BB411" s="54">
        <v>0</v>
      </c>
      <c r="BC411" s="54">
        <v>0</v>
      </c>
      <c r="BD411" s="54">
        <v>0</v>
      </c>
      <c r="BE411" s="54">
        <v>0</v>
      </c>
      <c r="BF411" s="54">
        <v>0</v>
      </c>
      <c r="BG411" s="54">
        <v>0</v>
      </c>
      <c r="BH411" s="54">
        <v>0</v>
      </c>
      <c r="BI411" s="54">
        <v>0</v>
      </c>
      <c r="BJ411" s="54">
        <v>0</v>
      </c>
      <c r="BK411" s="54">
        <v>0</v>
      </c>
      <c r="BL411" s="54">
        <v>0</v>
      </c>
      <c r="BM411" s="54">
        <v>0</v>
      </c>
      <c r="BN411" s="54">
        <v>0</v>
      </c>
      <c r="BO411" s="54">
        <v>0</v>
      </c>
      <c r="BP411" s="54">
        <v>0</v>
      </c>
      <c r="BQ411" s="54">
        <v>0</v>
      </c>
      <c r="BR411" s="55"/>
      <c r="BS411" s="53">
        <v>0</v>
      </c>
      <c r="BT411" s="53">
        <v>0</v>
      </c>
      <c r="BU411" s="53">
        <v>0</v>
      </c>
      <c r="BV411" s="53">
        <v>0</v>
      </c>
      <c r="BW411" s="53">
        <v>0</v>
      </c>
      <c r="BX411" s="53">
        <v>0</v>
      </c>
      <c r="BY411" s="53">
        <v>0</v>
      </c>
      <c r="BZ411" s="53">
        <v>0</v>
      </c>
      <c r="CA411" s="53">
        <v>0</v>
      </c>
      <c r="CB411" s="53">
        <v>0</v>
      </c>
      <c r="CC411" s="55">
        <f t="shared" si="2480"/>
        <v>0</v>
      </c>
      <c r="CD411" s="55">
        <f t="shared" si="2481"/>
        <v>0</v>
      </c>
      <c r="CE411" s="55">
        <f t="shared" si="2482"/>
        <v>0</v>
      </c>
      <c r="CF411" s="55">
        <f t="shared" si="2483"/>
        <v>0</v>
      </c>
      <c r="CG411" s="55">
        <f t="shared" si="2484"/>
        <v>0</v>
      </c>
      <c r="CH411" s="55">
        <f t="shared" si="2485"/>
        <v>0</v>
      </c>
      <c r="CI411" s="55">
        <f t="shared" si="2486"/>
        <v>0</v>
      </c>
      <c r="CJ411" s="55">
        <f t="shared" si="2487"/>
        <v>0</v>
      </c>
      <c r="CK411" s="55">
        <f t="shared" si="2488"/>
        <v>0</v>
      </c>
      <c r="CL411" s="55">
        <f t="shared" si="2489"/>
        <v>0</v>
      </c>
      <c r="CM411" s="55">
        <f t="shared" si="2490"/>
        <v>0</v>
      </c>
      <c r="CN411" s="55">
        <f t="shared" si="2491"/>
        <v>0</v>
      </c>
      <c r="CO411" s="55">
        <f t="shared" si="2492"/>
        <v>0</v>
      </c>
      <c r="CP411" s="55">
        <f t="shared" si="2526"/>
        <v>0</v>
      </c>
      <c r="CQ411" s="55">
        <f t="shared" si="2493"/>
        <v>0</v>
      </c>
      <c r="CR411" s="55">
        <f t="shared" si="2494"/>
        <v>0</v>
      </c>
      <c r="CS411" s="55">
        <f t="shared" si="2495"/>
        <v>0</v>
      </c>
      <c r="CT411" s="55">
        <f t="shared" si="2496"/>
        <v>0</v>
      </c>
      <c r="CU411" s="55">
        <f t="shared" si="2497"/>
        <v>0</v>
      </c>
      <c r="CV411" s="55">
        <f t="shared" si="2498"/>
        <v>0</v>
      </c>
      <c r="CW411" s="55">
        <f t="shared" si="2499"/>
        <v>0</v>
      </c>
      <c r="CX411" s="55">
        <f t="shared" si="2500"/>
        <v>0</v>
      </c>
      <c r="CY411" s="55">
        <f t="shared" si="2501"/>
        <v>0</v>
      </c>
      <c r="CZ411" s="56">
        <f t="shared" si="2502"/>
        <v>0</v>
      </c>
      <c r="DA411" s="55">
        <f t="shared" si="2503"/>
        <v>0</v>
      </c>
      <c r="DB411" s="55">
        <f t="shared" si="2504"/>
        <v>0</v>
      </c>
      <c r="DC411" s="55">
        <f t="shared" si="2505"/>
        <v>0</v>
      </c>
      <c r="DD411" s="55">
        <f t="shared" si="2506"/>
        <v>0</v>
      </c>
      <c r="DE411" s="55">
        <f t="shared" si="2507"/>
        <v>0</v>
      </c>
      <c r="DF411" s="55">
        <f t="shared" si="2508"/>
        <v>0</v>
      </c>
      <c r="DG411" s="55">
        <f t="shared" si="2509"/>
        <v>0</v>
      </c>
      <c r="DH411" s="55">
        <f t="shared" si="2510"/>
        <v>0</v>
      </c>
      <c r="DI411" s="55">
        <f t="shared" si="2511"/>
        <v>0</v>
      </c>
    </row>
    <row r="412" spans="1:113" outlineLevel="2">
      <c r="A412" s="1" t="s">
        <v>115</v>
      </c>
      <c r="B412" s="19" t="s">
        <v>360</v>
      </c>
      <c r="C412" s="53"/>
      <c r="D412" s="53"/>
      <c r="E412" s="53"/>
      <c r="F412" s="53"/>
      <c r="G412" s="53"/>
      <c r="H412" s="53"/>
      <c r="I412" s="53"/>
      <c r="J412" s="53"/>
      <c r="K412" s="53"/>
      <c r="L412" s="53">
        <v>0</v>
      </c>
      <c r="M412" s="53">
        <v>0</v>
      </c>
      <c r="N412" s="53">
        <v>0</v>
      </c>
      <c r="O412" s="53">
        <v>0</v>
      </c>
      <c r="P412" s="53">
        <v>0</v>
      </c>
      <c r="Q412" s="53">
        <v>0</v>
      </c>
      <c r="R412" s="53">
        <v>0</v>
      </c>
      <c r="S412" s="53">
        <v>0</v>
      </c>
      <c r="T412" s="53">
        <v>0</v>
      </c>
      <c r="U412" s="53">
        <v>0</v>
      </c>
      <c r="V412" s="53">
        <v>0</v>
      </c>
      <c r="W412" s="53">
        <v>0</v>
      </c>
      <c r="X412" s="53">
        <v>0</v>
      </c>
      <c r="Y412" s="53">
        <v>0</v>
      </c>
      <c r="Z412" s="53">
        <v>0</v>
      </c>
      <c r="AA412" s="164">
        <v>0</v>
      </c>
      <c r="AB412" s="164">
        <f t="shared" ref="AB412:AZ412" si="2555">Z412/(Z398+Z399+Z400+Z410)*(AB398+AB399+AB400+AB410)</f>
        <v>0</v>
      </c>
      <c r="AC412" s="164">
        <f t="shared" si="2555"/>
        <v>0</v>
      </c>
      <c r="AD412" s="164">
        <f t="shared" si="2555"/>
        <v>0</v>
      </c>
      <c r="AE412" s="164">
        <f t="shared" si="2555"/>
        <v>0</v>
      </c>
      <c r="AF412" s="164">
        <f t="shared" si="2555"/>
        <v>0</v>
      </c>
      <c r="AG412" s="164">
        <f t="shared" si="2555"/>
        <v>0</v>
      </c>
      <c r="AH412" s="164">
        <f t="shared" si="2555"/>
        <v>0</v>
      </c>
      <c r="AI412" s="164">
        <f t="shared" si="2555"/>
        <v>0</v>
      </c>
      <c r="AJ412" s="164">
        <f t="shared" si="2555"/>
        <v>0</v>
      </c>
      <c r="AK412" s="164">
        <f t="shared" si="2555"/>
        <v>0</v>
      </c>
      <c r="AL412" s="164">
        <f t="shared" si="2555"/>
        <v>0</v>
      </c>
      <c r="AM412" s="164">
        <f t="shared" si="2555"/>
        <v>0</v>
      </c>
      <c r="AN412" s="164">
        <f t="shared" si="2555"/>
        <v>0</v>
      </c>
      <c r="AO412" s="164">
        <f t="shared" si="2555"/>
        <v>0</v>
      </c>
      <c r="AP412" s="164">
        <f t="shared" si="2555"/>
        <v>0</v>
      </c>
      <c r="AQ412" s="164">
        <f t="shared" si="2555"/>
        <v>0</v>
      </c>
      <c r="AR412" s="164">
        <f t="shared" si="2555"/>
        <v>0</v>
      </c>
      <c r="AS412" s="164">
        <f t="shared" si="2555"/>
        <v>0</v>
      </c>
      <c r="AT412" s="164">
        <f t="shared" si="2555"/>
        <v>0</v>
      </c>
      <c r="AU412" s="164">
        <f t="shared" si="2555"/>
        <v>0</v>
      </c>
      <c r="AV412" s="164">
        <f t="shared" si="2555"/>
        <v>0</v>
      </c>
      <c r="AW412" s="164">
        <f t="shared" si="2555"/>
        <v>0</v>
      </c>
      <c r="AX412" s="164">
        <f t="shared" si="2555"/>
        <v>0</v>
      </c>
      <c r="AY412" s="164">
        <v>0</v>
      </c>
      <c r="AZ412" s="171">
        <f t="shared" si="2555"/>
        <v>0</v>
      </c>
      <c r="BA412" s="54">
        <v>0</v>
      </c>
      <c r="BB412" s="54">
        <v>0</v>
      </c>
      <c r="BC412" s="54">
        <v>0</v>
      </c>
      <c r="BD412" s="54">
        <v>0</v>
      </c>
      <c r="BE412" s="54">
        <v>0</v>
      </c>
      <c r="BF412" s="54">
        <v>0</v>
      </c>
      <c r="BG412" s="54">
        <v>0</v>
      </c>
      <c r="BH412" s="54">
        <v>0</v>
      </c>
      <c r="BI412" s="54">
        <v>0</v>
      </c>
      <c r="BJ412" s="54">
        <v>0</v>
      </c>
      <c r="BK412" s="54">
        <v>0</v>
      </c>
      <c r="BL412" s="54">
        <v>0</v>
      </c>
      <c r="BM412" s="54">
        <v>0</v>
      </c>
      <c r="BN412" s="54">
        <v>0</v>
      </c>
      <c r="BO412" s="54">
        <v>0</v>
      </c>
      <c r="BP412" s="54">
        <v>0</v>
      </c>
      <c r="BQ412" s="54">
        <v>0</v>
      </c>
      <c r="BR412" s="55"/>
      <c r="BS412" s="53">
        <v>0</v>
      </c>
      <c r="BT412" s="53">
        <v>0</v>
      </c>
      <c r="BU412" s="53">
        <v>0</v>
      </c>
      <c r="BV412" s="53">
        <v>0</v>
      </c>
      <c r="BW412" s="53">
        <v>0</v>
      </c>
      <c r="BX412" s="53">
        <v>0</v>
      </c>
      <c r="BY412" s="53">
        <v>0</v>
      </c>
      <c r="BZ412" s="53">
        <v>0</v>
      </c>
      <c r="CA412" s="53">
        <v>0</v>
      </c>
      <c r="CB412" s="53">
        <v>0</v>
      </c>
      <c r="CC412" s="55">
        <f t="shared" si="2480"/>
        <v>0</v>
      </c>
      <c r="CD412" s="55">
        <f t="shared" si="2481"/>
        <v>0</v>
      </c>
      <c r="CE412" s="55">
        <f t="shared" si="2482"/>
        <v>0</v>
      </c>
      <c r="CF412" s="55">
        <f t="shared" si="2483"/>
        <v>0</v>
      </c>
      <c r="CG412" s="55">
        <f t="shared" si="2484"/>
        <v>0</v>
      </c>
      <c r="CH412" s="55">
        <f t="shared" si="2485"/>
        <v>0</v>
      </c>
      <c r="CI412" s="55">
        <f t="shared" si="2486"/>
        <v>0</v>
      </c>
      <c r="CJ412" s="55">
        <f t="shared" si="2487"/>
        <v>0</v>
      </c>
      <c r="CK412" s="55">
        <f t="shared" si="2488"/>
        <v>0</v>
      </c>
      <c r="CL412" s="55">
        <f t="shared" si="2489"/>
        <v>0</v>
      </c>
      <c r="CM412" s="55">
        <f t="shared" si="2490"/>
        <v>0</v>
      </c>
      <c r="CN412" s="55">
        <f t="shared" si="2491"/>
        <v>0</v>
      </c>
      <c r="CO412" s="55">
        <f t="shared" si="2492"/>
        <v>0</v>
      </c>
      <c r="CP412" s="55">
        <f t="shared" si="2526"/>
        <v>0</v>
      </c>
      <c r="CQ412" s="55">
        <f t="shared" si="2493"/>
        <v>0</v>
      </c>
      <c r="CR412" s="55">
        <f t="shared" si="2494"/>
        <v>0</v>
      </c>
      <c r="CS412" s="55">
        <f t="shared" si="2495"/>
        <v>0</v>
      </c>
      <c r="CT412" s="55">
        <f t="shared" si="2496"/>
        <v>0</v>
      </c>
      <c r="CU412" s="55">
        <f t="shared" si="2497"/>
        <v>0</v>
      </c>
      <c r="CV412" s="55">
        <f t="shared" si="2498"/>
        <v>0</v>
      </c>
      <c r="CW412" s="55">
        <f t="shared" si="2499"/>
        <v>0</v>
      </c>
      <c r="CX412" s="55">
        <f t="shared" si="2500"/>
        <v>0</v>
      </c>
      <c r="CY412" s="55">
        <f t="shared" si="2501"/>
        <v>0</v>
      </c>
      <c r="CZ412" s="56">
        <f t="shared" si="2502"/>
        <v>0</v>
      </c>
      <c r="DA412" s="55">
        <f t="shared" si="2503"/>
        <v>0</v>
      </c>
      <c r="DB412" s="55">
        <f t="shared" si="2504"/>
        <v>0</v>
      </c>
      <c r="DC412" s="55">
        <f t="shared" si="2505"/>
        <v>0</v>
      </c>
      <c r="DD412" s="55">
        <f t="shared" si="2506"/>
        <v>0</v>
      </c>
      <c r="DE412" s="55">
        <f t="shared" si="2507"/>
        <v>0</v>
      </c>
      <c r="DF412" s="55">
        <f t="shared" si="2508"/>
        <v>0</v>
      </c>
      <c r="DG412" s="55">
        <f t="shared" si="2509"/>
        <v>0</v>
      </c>
      <c r="DH412" s="55">
        <f t="shared" si="2510"/>
        <v>0</v>
      </c>
      <c r="DI412" s="55">
        <f t="shared" si="2511"/>
        <v>0</v>
      </c>
    </row>
    <row r="413" spans="1:113" outlineLevel="2">
      <c r="A413" s="1" t="s">
        <v>116</v>
      </c>
      <c r="B413" s="19" t="s">
        <v>423</v>
      </c>
      <c r="C413" s="53"/>
      <c r="D413" s="53"/>
      <c r="E413" s="53"/>
      <c r="F413" s="53"/>
      <c r="G413" s="53"/>
      <c r="H413" s="53"/>
      <c r="I413" s="53"/>
      <c r="J413" s="53"/>
      <c r="K413" s="53"/>
      <c r="L413" s="53">
        <v>0</v>
      </c>
      <c r="M413" s="53">
        <v>0</v>
      </c>
      <c r="N413" s="53">
        <v>0</v>
      </c>
      <c r="O413" s="53">
        <v>0</v>
      </c>
      <c r="P413" s="53">
        <v>0</v>
      </c>
      <c r="Q413" s="53">
        <v>0</v>
      </c>
      <c r="R413" s="53">
        <v>0</v>
      </c>
      <c r="S413" s="53">
        <v>0</v>
      </c>
      <c r="T413" s="53">
        <v>0</v>
      </c>
      <c r="U413" s="53">
        <v>0</v>
      </c>
      <c r="V413" s="53">
        <v>0</v>
      </c>
      <c r="W413" s="53">
        <v>0</v>
      </c>
      <c r="X413" s="53">
        <v>0</v>
      </c>
      <c r="Y413" s="53">
        <v>0</v>
      </c>
      <c r="Z413" s="53">
        <v>0</v>
      </c>
      <c r="AA413" s="164">
        <v>0</v>
      </c>
      <c r="AB413" s="164">
        <v>0</v>
      </c>
      <c r="AC413" s="164">
        <v>0</v>
      </c>
      <c r="AD413" s="164">
        <v>0</v>
      </c>
      <c r="AE413" s="164">
        <v>0</v>
      </c>
      <c r="AF413" s="164">
        <v>0</v>
      </c>
      <c r="AG413" s="164">
        <v>0</v>
      </c>
      <c r="AH413" s="164">
        <v>0</v>
      </c>
      <c r="AI413" s="164">
        <v>0</v>
      </c>
      <c r="AJ413" s="164">
        <v>0</v>
      </c>
      <c r="AK413" s="164">
        <v>0</v>
      </c>
      <c r="AL413" s="164">
        <v>0</v>
      </c>
      <c r="AM413" s="164">
        <v>0</v>
      </c>
      <c r="AN413" s="164">
        <v>0</v>
      </c>
      <c r="AO413" s="164">
        <v>0</v>
      </c>
      <c r="AP413" s="164">
        <v>0</v>
      </c>
      <c r="AQ413" s="164">
        <v>0</v>
      </c>
      <c r="AR413" s="164">
        <v>0</v>
      </c>
      <c r="AS413" s="164">
        <v>0</v>
      </c>
      <c r="AT413" s="164">
        <v>0</v>
      </c>
      <c r="AU413" s="164">
        <v>0</v>
      </c>
      <c r="AV413" s="164">
        <v>0</v>
      </c>
      <c r="AW413" s="164">
        <v>0</v>
      </c>
      <c r="AX413" s="164">
        <v>0</v>
      </c>
      <c r="AY413" s="164">
        <v>0</v>
      </c>
      <c r="AZ413" s="171">
        <v>0</v>
      </c>
      <c r="BA413" s="54">
        <v>0</v>
      </c>
      <c r="BB413" s="54">
        <v>0</v>
      </c>
      <c r="BC413" s="54">
        <v>0</v>
      </c>
      <c r="BD413" s="54">
        <v>0</v>
      </c>
      <c r="BE413" s="54">
        <v>0</v>
      </c>
      <c r="BF413" s="54">
        <v>0</v>
      </c>
      <c r="BG413" s="54">
        <v>0</v>
      </c>
      <c r="BH413" s="54">
        <v>0</v>
      </c>
      <c r="BI413" s="54">
        <v>0</v>
      </c>
      <c r="BJ413" s="54">
        <v>0</v>
      </c>
      <c r="BK413" s="54">
        <v>0</v>
      </c>
      <c r="BL413" s="54">
        <v>0</v>
      </c>
      <c r="BM413" s="54">
        <v>0</v>
      </c>
      <c r="BN413" s="54">
        <v>0</v>
      </c>
      <c r="BO413" s="54">
        <v>0</v>
      </c>
      <c r="BP413" s="54">
        <v>0</v>
      </c>
      <c r="BQ413" s="54">
        <v>0</v>
      </c>
      <c r="BR413" s="55"/>
      <c r="BS413" s="53">
        <v>0</v>
      </c>
      <c r="BT413" s="53">
        <v>0</v>
      </c>
      <c r="BU413" s="53">
        <v>0</v>
      </c>
      <c r="BV413" s="53">
        <v>0</v>
      </c>
      <c r="BW413" s="53">
        <v>0</v>
      </c>
      <c r="BX413" s="53">
        <v>0</v>
      </c>
      <c r="BY413" s="53">
        <v>0</v>
      </c>
      <c r="BZ413" s="53">
        <v>0</v>
      </c>
      <c r="CA413" s="53">
        <v>0</v>
      </c>
      <c r="CB413" s="53">
        <v>0</v>
      </c>
      <c r="CC413" s="55">
        <f t="shared" si="2480"/>
        <v>0</v>
      </c>
      <c r="CD413" s="55">
        <f t="shared" si="2481"/>
        <v>0</v>
      </c>
      <c r="CE413" s="55">
        <f t="shared" si="2482"/>
        <v>0</v>
      </c>
      <c r="CF413" s="55">
        <f t="shared" si="2483"/>
        <v>0</v>
      </c>
      <c r="CG413" s="55">
        <f t="shared" si="2484"/>
        <v>0</v>
      </c>
      <c r="CH413" s="55">
        <f t="shared" si="2485"/>
        <v>0</v>
      </c>
      <c r="CI413" s="55">
        <f t="shared" si="2486"/>
        <v>0</v>
      </c>
      <c r="CJ413" s="55">
        <f t="shared" si="2487"/>
        <v>0</v>
      </c>
      <c r="CK413" s="55">
        <f t="shared" si="2488"/>
        <v>0</v>
      </c>
      <c r="CL413" s="55">
        <f t="shared" si="2489"/>
        <v>0</v>
      </c>
      <c r="CM413" s="55">
        <f t="shared" si="2490"/>
        <v>0</v>
      </c>
      <c r="CN413" s="55">
        <f t="shared" si="2491"/>
        <v>0</v>
      </c>
      <c r="CO413" s="55">
        <f t="shared" si="2492"/>
        <v>0</v>
      </c>
      <c r="CP413" s="55">
        <f t="shared" si="2526"/>
        <v>0</v>
      </c>
      <c r="CQ413" s="55">
        <f t="shared" si="2493"/>
        <v>0</v>
      </c>
      <c r="CR413" s="55">
        <f t="shared" si="2494"/>
        <v>0</v>
      </c>
      <c r="CS413" s="55">
        <f t="shared" si="2495"/>
        <v>0</v>
      </c>
      <c r="CT413" s="55">
        <f t="shared" si="2496"/>
        <v>0</v>
      </c>
      <c r="CU413" s="55">
        <f t="shared" si="2497"/>
        <v>0</v>
      </c>
      <c r="CV413" s="55">
        <f t="shared" si="2498"/>
        <v>0</v>
      </c>
      <c r="CW413" s="55">
        <f t="shared" si="2499"/>
        <v>0</v>
      </c>
      <c r="CX413" s="55">
        <f t="shared" si="2500"/>
        <v>0</v>
      </c>
      <c r="CY413" s="55">
        <f t="shared" si="2501"/>
        <v>0</v>
      </c>
      <c r="CZ413" s="56">
        <f t="shared" si="2502"/>
        <v>0</v>
      </c>
      <c r="DA413" s="55">
        <f t="shared" si="2503"/>
        <v>0</v>
      </c>
      <c r="DB413" s="55">
        <f t="shared" si="2504"/>
        <v>0</v>
      </c>
      <c r="DC413" s="55">
        <f t="shared" si="2505"/>
        <v>0</v>
      </c>
      <c r="DD413" s="55">
        <f t="shared" si="2506"/>
        <v>0</v>
      </c>
      <c r="DE413" s="55">
        <f t="shared" si="2507"/>
        <v>0</v>
      </c>
      <c r="DF413" s="55">
        <f t="shared" si="2508"/>
        <v>0</v>
      </c>
      <c r="DG413" s="55">
        <f t="shared" si="2509"/>
        <v>0</v>
      </c>
      <c r="DH413" s="55">
        <f t="shared" si="2510"/>
        <v>0</v>
      </c>
      <c r="DI413" s="55">
        <f t="shared" si="2511"/>
        <v>0</v>
      </c>
    </row>
    <row r="414" spans="1:113" s="24" customFormat="1" outlineLevel="2">
      <c r="A414" s="1" t="s">
        <v>117</v>
      </c>
      <c r="B414" s="24" t="s">
        <v>578</v>
      </c>
      <c r="C414" s="81">
        <f>4443-C387</f>
        <v>2190</v>
      </c>
      <c r="D414" s="81">
        <f>4546-D387</f>
        <v>2197</v>
      </c>
      <c r="E414" s="81">
        <f>4522-E387</f>
        <v>2161</v>
      </c>
      <c r="F414" s="81">
        <f>4485-F387</f>
        <v>2031</v>
      </c>
      <c r="G414" s="81">
        <f>4914-G387</f>
        <v>2342</v>
      </c>
      <c r="H414" s="81">
        <f>5211-H387</f>
        <v>2540</v>
      </c>
      <c r="I414" s="81">
        <f>5280-I387</f>
        <v>2541</v>
      </c>
      <c r="J414" s="81">
        <f>5455-J387</f>
        <v>2497</v>
      </c>
      <c r="K414" s="81">
        <f>5647-K387</f>
        <v>2579</v>
      </c>
      <c r="L414" s="81">
        <f>6010-L387</f>
        <v>2755</v>
      </c>
      <c r="M414" s="81">
        <f>6071-M387</f>
        <v>2812</v>
      </c>
      <c r="N414" s="81">
        <f>6557-N387</f>
        <v>3072</v>
      </c>
      <c r="O414" s="81">
        <f>6640-O387</f>
        <v>3089</v>
      </c>
      <c r="P414" s="81">
        <f>7016-P387</f>
        <v>3117</v>
      </c>
      <c r="Q414" s="81">
        <f>7325-Q387</f>
        <v>3317</v>
      </c>
      <c r="R414" s="81">
        <f>8481-R387</f>
        <v>3408</v>
      </c>
      <c r="S414" s="81">
        <f>8985-S387</f>
        <v>3342</v>
      </c>
      <c r="T414" s="81">
        <f>9692-T387</f>
        <v>3630</v>
      </c>
      <c r="U414" s="81">
        <f>9367-U387</f>
        <v>3561</v>
      </c>
      <c r="V414" s="81">
        <f>9739-6170-(V387-6170)</f>
        <v>3562</v>
      </c>
      <c r="W414" s="81">
        <f>19659-W387-V387-V414</f>
        <v>3452</v>
      </c>
      <c r="X414" s="81">
        <f>10105-6644</f>
        <v>3461</v>
      </c>
      <c r="Y414" s="81">
        <f>10045-6513</f>
        <v>3532</v>
      </c>
      <c r="Z414" s="81">
        <f>10289-6862</f>
        <v>3427</v>
      </c>
      <c r="AA414" s="166">
        <f>10532-7082</f>
        <v>3450</v>
      </c>
      <c r="AB414" s="166">
        <f>11148-7444</f>
        <v>3704</v>
      </c>
      <c r="AC414" s="166">
        <f>11253-7647</f>
        <v>3606</v>
      </c>
      <c r="AD414" s="166">
        <f>11727-AD387</f>
        <v>3826</v>
      </c>
      <c r="AE414" s="166">
        <f>(4811+1938+792+210)-AD414</f>
        <v>3925</v>
      </c>
      <c r="AF414" s="166">
        <f>2416+1032+487+58</f>
        <v>3993</v>
      </c>
      <c r="AG414" s="166">
        <f>2444+984+308+83</f>
        <v>3819</v>
      </c>
      <c r="AH414" s="166">
        <f>3018+943+162+2</f>
        <v>4125</v>
      </c>
      <c r="AI414" s="166">
        <f>2577+970+61+21</f>
        <v>3629</v>
      </c>
      <c r="AJ414" s="166">
        <f>2706+568+112+6</f>
        <v>3392</v>
      </c>
      <c r="AK414" s="166">
        <f>2509+551+126+2</f>
        <v>3188</v>
      </c>
      <c r="AL414" s="166">
        <f>(23579-18224)/((2432+502+79+1)+(2636+570+68+3))*(2636+570+68+3)</f>
        <v>2789.4349070100143</v>
      </c>
      <c r="AM414" s="166">
        <f>(23579-18224)/((2432+502+79+1)+(2636+570+68+3))*(2432+502+79+1)</f>
        <v>2565.5650929899857</v>
      </c>
      <c r="AN414" s="166">
        <f>12023-9350</f>
        <v>2673</v>
      </c>
      <c r="AO414" s="166">
        <f>11738-9260</f>
        <v>2478</v>
      </c>
      <c r="AP414" s="166">
        <f>11961-9600</f>
        <v>2361</v>
      </c>
      <c r="AQ414" s="166">
        <f>12195-9702</f>
        <v>2493</v>
      </c>
      <c r="AR414" s="166">
        <v>2359</v>
      </c>
      <c r="AS414" s="166">
        <v>2857</v>
      </c>
      <c r="AT414" s="166">
        <f>1956-(1956-1986)</f>
        <v>1986</v>
      </c>
      <c r="AU414" s="166">
        <f>2225-(2225-2093)*1</f>
        <v>2093</v>
      </c>
      <c r="AV414" s="166">
        <v>2245</v>
      </c>
      <c r="AW414" s="166">
        <v>2105</v>
      </c>
      <c r="AX414" s="166">
        <v>2163</v>
      </c>
      <c r="AY414" s="166">
        <f>AY416-AY415</f>
        <v>2279</v>
      </c>
      <c r="AZ414" s="167">
        <v>2326</v>
      </c>
      <c r="BA414" s="82">
        <f t="shared" ref="BA414:BE414" si="2556">SUM(BA408:BA413)</f>
        <v>2240.1671197218784</v>
      </c>
      <c r="BB414" s="82">
        <f t="shared" si="2556"/>
        <v>2229.419438229801</v>
      </c>
      <c r="BC414" s="82">
        <f t="shared" si="2556"/>
        <v>2275.7147668718549</v>
      </c>
      <c r="BD414" s="82">
        <f t="shared" si="2556"/>
        <v>2236.9445914191942</v>
      </c>
      <c r="BE414" s="82">
        <f t="shared" si="2556"/>
        <v>2311.59636401014</v>
      </c>
      <c r="BF414" s="82">
        <f t="shared" ref="BF414:BM414" si="2557">SUM(BF408:BF413)</f>
        <v>2297.61098801141</v>
      </c>
      <c r="BG414" s="82">
        <f t="shared" si="2557"/>
        <v>2323.4142763820214</v>
      </c>
      <c r="BH414" s="82">
        <f t="shared" si="2557"/>
        <v>2349.797561569656</v>
      </c>
      <c r="BI414" s="82">
        <f t="shared" si="2557"/>
        <v>2368.627177893949</v>
      </c>
      <c r="BJ414" s="82">
        <f t="shared" si="2557"/>
        <v>2425.0129881706521</v>
      </c>
      <c r="BK414" s="82">
        <f t="shared" si="2557"/>
        <v>2439.1572298201309</v>
      </c>
      <c r="BL414" s="82">
        <f t="shared" si="2557"/>
        <v>2496.0145676713501</v>
      </c>
      <c r="BM414" s="82">
        <f t="shared" si="2557"/>
        <v>2525.7331225729276</v>
      </c>
      <c r="BN414" s="82">
        <f t="shared" ref="BN414:BO414" si="2558">SUM(BN408:BN413)</f>
        <v>2584.5751184689643</v>
      </c>
      <c r="BO414" s="82">
        <f t="shared" si="2558"/>
        <v>2601.0431407012888</v>
      </c>
      <c r="BP414" s="82">
        <f t="shared" ref="BP414:BQ414" si="2559">SUM(BP408:BP413)</f>
        <v>2669.0969247944113</v>
      </c>
      <c r="BQ414" s="82">
        <f t="shared" si="2559"/>
        <v>2686.1711773112775</v>
      </c>
      <c r="BR414" s="82"/>
      <c r="BS414" s="81">
        <v>1404</v>
      </c>
      <c r="BT414" s="81">
        <v>1386</v>
      </c>
      <c r="BU414" s="81">
        <v>1415</v>
      </c>
      <c r="BV414" s="81">
        <v>1484</v>
      </c>
      <c r="BW414" s="81">
        <v>1355</v>
      </c>
      <c r="BX414" s="81">
        <v>1489</v>
      </c>
      <c r="BY414" s="81">
        <f>1833</f>
        <v>1833</v>
      </c>
      <c r="BZ414" s="81">
        <f>1997</f>
        <v>1997</v>
      </c>
      <c r="CA414" s="81">
        <f>6139-CA387</f>
        <v>2420</v>
      </c>
      <c r="CB414" s="81">
        <f>8824-CB387</f>
        <v>4350</v>
      </c>
      <c r="CC414" s="82">
        <f t="shared" si="2480"/>
        <v>4358</v>
      </c>
      <c r="CD414" s="82">
        <f t="shared" si="2481"/>
        <v>4373</v>
      </c>
      <c r="CE414" s="82">
        <f t="shared" si="2482"/>
        <v>5081</v>
      </c>
      <c r="CF414" s="82">
        <f t="shared" si="2483"/>
        <v>5076</v>
      </c>
      <c r="CG414" s="82">
        <f t="shared" si="2484"/>
        <v>5567</v>
      </c>
      <c r="CH414" s="82">
        <f t="shared" si="2485"/>
        <v>6161</v>
      </c>
      <c r="CI414" s="82">
        <f t="shared" si="2486"/>
        <v>6434</v>
      </c>
      <c r="CJ414" s="82">
        <f t="shared" si="2487"/>
        <v>6750</v>
      </c>
      <c r="CK414" s="82">
        <f t="shared" si="2488"/>
        <v>7191</v>
      </c>
      <c r="CL414" s="82">
        <f t="shared" si="2489"/>
        <v>7014</v>
      </c>
      <c r="CM414" s="82">
        <f t="shared" si="2490"/>
        <v>6993</v>
      </c>
      <c r="CN414" s="82">
        <f t="shared" si="2491"/>
        <v>6877</v>
      </c>
      <c r="CO414" s="82">
        <f t="shared" si="2492"/>
        <v>7310</v>
      </c>
      <c r="CP414" s="82">
        <f t="shared" si="2526"/>
        <v>7751</v>
      </c>
      <c r="CQ414" s="82">
        <f t="shared" si="2493"/>
        <v>7812</v>
      </c>
      <c r="CR414" s="82">
        <f t="shared" si="2494"/>
        <v>7754</v>
      </c>
      <c r="CS414" s="82">
        <f t="shared" si="2495"/>
        <v>6580</v>
      </c>
      <c r="CT414" s="82">
        <f t="shared" si="2496"/>
        <v>5355</v>
      </c>
      <c r="CU414" s="82">
        <f t="shared" si="2497"/>
        <v>5151</v>
      </c>
      <c r="CV414" s="82">
        <f t="shared" si="2498"/>
        <v>4854</v>
      </c>
      <c r="CW414" s="82">
        <f t="shared" si="2499"/>
        <v>5216</v>
      </c>
      <c r="CX414" s="82">
        <f t="shared" si="2500"/>
        <v>4079</v>
      </c>
      <c r="CY414" s="82">
        <f t="shared" si="2501"/>
        <v>4350</v>
      </c>
      <c r="CZ414" s="83">
        <f t="shared" si="2502"/>
        <v>4442</v>
      </c>
      <c r="DA414" s="82">
        <f t="shared" si="2503"/>
        <v>4566.1671197218784</v>
      </c>
      <c r="DB414" s="82">
        <f t="shared" si="2504"/>
        <v>4505.1342051016563</v>
      </c>
      <c r="DC414" s="82">
        <f t="shared" si="2505"/>
        <v>4548.5409554293346</v>
      </c>
      <c r="DD414" s="82">
        <f t="shared" si="2506"/>
        <v>4621.0252643934309</v>
      </c>
      <c r="DE414" s="82">
        <f t="shared" si="2507"/>
        <v>4718.424739463605</v>
      </c>
      <c r="DF414" s="82">
        <f t="shared" si="2508"/>
        <v>4864.1702179907825</v>
      </c>
      <c r="DG414" s="82">
        <f t="shared" si="2509"/>
        <v>5021.7476902442777</v>
      </c>
      <c r="DH414" s="82">
        <f t="shared" si="2510"/>
        <v>5185.6182591702527</v>
      </c>
      <c r="DI414" s="82">
        <f t="shared" si="2511"/>
        <v>5355.2681021056887</v>
      </c>
    </row>
    <row r="415" spans="1:113" outlineLevel="2">
      <c r="A415" s="1" t="s">
        <v>118</v>
      </c>
      <c r="B415" s="19" t="s">
        <v>526</v>
      </c>
      <c r="C415" s="55">
        <f t="shared" ref="C415:L415" si="2560">C416-C414</f>
        <v>0</v>
      </c>
      <c r="D415" s="55">
        <f t="shared" si="2560"/>
        <v>0</v>
      </c>
      <c r="E415" s="55">
        <f t="shared" si="2560"/>
        <v>0</v>
      </c>
      <c r="F415" s="55">
        <f t="shared" si="2560"/>
        <v>0</v>
      </c>
      <c r="G415" s="55">
        <f t="shared" si="2560"/>
        <v>0</v>
      </c>
      <c r="H415" s="55">
        <f t="shared" si="2560"/>
        <v>0</v>
      </c>
      <c r="I415" s="55">
        <f t="shared" si="2560"/>
        <v>0</v>
      </c>
      <c r="J415" s="55">
        <f t="shared" si="2560"/>
        <v>122</v>
      </c>
      <c r="K415" s="55">
        <f t="shared" si="2560"/>
        <v>54</v>
      </c>
      <c r="L415" s="55">
        <f t="shared" si="2560"/>
        <v>143</v>
      </c>
      <c r="M415" s="55">
        <f t="shared" ref="M415:X415" si="2561">M416-M414</f>
        <v>62</v>
      </c>
      <c r="N415" s="55">
        <f t="shared" si="2561"/>
        <v>-16</v>
      </c>
      <c r="O415" s="55">
        <f t="shared" si="2561"/>
        <v>210</v>
      </c>
      <c r="P415" s="55">
        <f t="shared" si="2561"/>
        <v>28</v>
      </c>
      <c r="Q415" s="55">
        <f t="shared" si="2561"/>
        <v>200</v>
      </c>
      <c r="R415" s="55">
        <f t="shared" si="2561"/>
        <v>508</v>
      </c>
      <c r="S415" s="55">
        <f t="shared" si="2561"/>
        <v>-102</v>
      </c>
      <c r="T415" s="55">
        <f t="shared" si="2561"/>
        <v>342</v>
      </c>
      <c r="U415" s="55">
        <f t="shared" si="2561"/>
        <v>-167</v>
      </c>
      <c r="V415" s="55">
        <f t="shared" si="2561"/>
        <v>-185</v>
      </c>
      <c r="W415" s="55">
        <f t="shared" si="2561"/>
        <v>-26</v>
      </c>
      <c r="X415" s="55">
        <f t="shared" si="2561"/>
        <v>197</v>
      </c>
      <c r="Y415" s="55">
        <f t="shared" ref="Y415:AK415" si="2562">Y416-Y414</f>
        <v>72</v>
      </c>
      <c r="Z415" s="55">
        <f t="shared" si="2562"/>
        <v>30</v>
      </c>
      <c r="AA415" s="55">
        <f t="shared" si="2562"/>
        <v>35</v>
      </c>
      <c r="AB415" s="55">
        <f t="shared" si="2562"/>
        <v>2</v>
      </c>
      <c r="AC415" s="55">
        <f t="shared" si="2562"/>
        <v>75</v>
      </c>
      <c r="AD415" s="55">
        <f t="shared" si="2562"/>
        <v>13</v>
      </c>
      <c r="AE415" s="55">
        <f t="shared" si="2562"/>
        <v>81</v>
      </c>
      <c r="AF415" s="55">
        <f t="shared" si="2562"/>
        <v>-213</v>
      </c>
      <c r="AG415" s="55">
        <f t="shared" si="2562"/>
        <v>44</v>
      </c>
      <c r="AH415" s="55">
        <f t="shared" si="2562"/>
        <v>12</v>
      </c>
      <c r="AI415" s="55">
        <f t="shared" si="2562"/>
        <v>94</v>
      </c>
      <c r="AJ415" s="55">
        <f t="shared" si="2562"/>
        <v>202</v>
      </c>
      <c r="AK415" s="55">
        <f t="shared" si="2562"/>
        <v>6</v>
      </c>
      <c r="AL415" s="55">
        <f t="shared" ref="AL415:AQ415" si="2563">AL416-AL414</f>
        <v>382.56509298998571</v>
      </c>
      <c r="AM415" s="55">
        <f t="shared" si="2563"/>
        <v>479.43490701001429</v>
      </c>
      <c r="AN415" s="55">
        <f t="shared" si="2563"/>
        <v>504</v>
      </c>
      <c r="AO415" s="55">
        <f t="shared" si="2563"/>
        <v>114</v>
      </c>
      <c r="AP415" s="55">
        <f t="shared" si="2563"/>
        <v>164</v>
      </c>
      <c r="AQ415" s="55">
        <f t="shared" si="2563"/>
        <v>557</v>
      </c>
      <c r="AR415" s="55">
        <f t="shared" ref="AR415" si="2564">AR416-AR414</f>
        <v>60</v>
      </c>
      <c r="AS415" s="55">
        <f t="shared" ref="AS415:AT415" si="2565">AS416-AS414</f>
        <v>187</v>
      </c>
      <c r="AT415" s="55">
        <f t="shared" si="2565"/>
        <v>355</v>
      </c>
      <c r="AU415" s="55">
        <f t="shared" ref="AU415:AV415" si="2566">AU416-AU414</f>
        <v>-62</v>
      </c>
      <c r="AV415" s="55">
        <f t="shared" si="2566"/>
        <v>-71</v>
      </c>
      <c r="AW415" s="55">
        <f t="shared" ref="AW415:AX415" si="2567">AW416-AW414</f>
        <v>-182</v>
      </c>
      <c r="AX415" s="55">
        <f t="shared" si="2567"/>
        <v>1</v>
      </c>
      <c r="AY415" s="55">
        <f>-249+73</f>
        <v>-176</v>
      </c>
      <c r="AZ415" s="56">
        <f t="shared" ref="AZ415" si="2568">AZ416-AZ414</f>
        <v>-21</v>
      </c>
      <c r="BA415" s="54">
        <v>0</v>
      </c>
      <c r="BB415" s="54">
        <v>0</v>
      </c>
      <c r="BC415" s="54">
        <v>0</v>
      </c>
      <c r="BD415" s="54">
        <v>0</v>
      </c>
      <c r="BE415" s="54">
        <v>0</v>
      </c>
      <c r="BF415" s="54">
        <v>0</v>
      </c>
      <c r="BG415" s="54">
        <v>0</v>
      </c>
      <c r="BH415" s="54">
        <v>0</v>
      </c>
      <c r="BI415" s="54">
        <v>0</v>
      </c>
      <c r="BJ415" s="54">
        <v>0</v>
      </c>
      <c r="BK415" s="54">
        <v>0</v>
      </c>
      <c r="BL415" s="54">
        <v>0</v>
      </c>
      <c r="BM415" s="54">
        <v>0</v>
      </c>
      <c r="BN415" s="54">
        <v>0</v>
      </c>
      <c r="BO415" s="54">
        <v>0</v>
      </c>
      <c r="BP415" s="54">
        <v>0</v>
      </c>
      <c r="BQ415" s="54">
        <v>0</v>
      </c>
      <c r="BR415" s="54"/>
      <c r="BS415" s="55">
        <f t="shared" ref="BS415:CB415" si="2569">BS416-BS414</f>
        <v>0</v>
      </c>
      <c r="BT415" s="55">
        <f t="shared" si="2569"/>
        <v>-136</v>
      </c>
      <c r="BU415" s="55">
        <f t="shared" si="2569"/>
        <v>0</v>
      </c>
      <c r="BV415" s="55">
        <f t="shared" si="2569"/>
        <v>-28</v>
      </c>
      <c r="BW415" s="55">
        <f t="shared" si="2569"/>
        <v>0</v>
      </c>
      <c r="BX415" s="55">
        <f t="shared" si="2569"/>
        <v>-128</v>
      </c>
      <c r="BY415" s="55">
        <f t="shared" si="2569"/>
        <v>-161</v>
      </c>
      <c r="BZ415" s="55">
        <f t="shared" si="2569"/>
        <v>0</v>
      </c>
      <c r="CA415" s="55">
        <f t="shared" si="2569"/>
        <v>1165</v>
      </c>
      <c r="CB415" s="55">
        <f t="shared" si="2569"/>
        <v>474</v>
      </c>
      <c r="CC415" s="55">
        <f t="shared" ref="CC415:CI415" si="2570">CC416-CC414</f>
        <v>0</v>
      </c>
      <c r="CD415" s="55">
        <f t="shared" si="2570"/>
        <v>0</v>
      </c>
      <c r="CE415" s="55">
        <f t="shared" si="2570"/>
        <v>0</v>
      </c>
      <c r="CF415" s="55">
        <f t="shared" si="2570"/>
        <v>176</v>
      </c>
      <c r="CG415" s="55">
        <f t="shared" si="2570"/>
        <v>205</v>
      </c>
      <c r="CH415" s="55">
        <f t="shared" si="2570"/>
        <v>194</v>
      </c>
      <c r="CI415" s="55">
        <f t="shared" si="2570"/>
        <v>228</v>
      </c>
      <c r="CJ415" s="55">
        <f t="shared" si="2487"/>
        <v>406</v>
      </c>
      <c r="CK415" s="55">
        <f t="shared" si="2488"/>
        <v>175</v>
      </c>
      <c r="CL415" s="55">
        <f t="shared" si="2489"/>
        <v>-211</v>
      </c>
      <c r="CM415" s="55">
        <f t="shared" si="2490"/>
        <v>269</v>
      </c>
      <c r="CN415" s="55">
        <f t="shared" si="2491"/>
        <v>65</v>
      </c>
      <c r="CO415" s="55">
        <f t="shared" si="2492"/>
        <v>77</v>
      </c>
      <c r="CP415" s="55">
        <f t="shared" si="2526"/>
        <v>94</v>
      </c>
      <c r="CQ415" s="55">
        <f t="shared" si="2493"/>
        <v>-169</v>
      </c>
      <c r="CR415" s="55">
        <f t="shared" si="2494"/>
        <v>106</v>
      </c>
      <c r="CS415" s="55">
        <f t="shared" si="2495"/>
        <v>208</v>
      </c>
      <c r="CT415" s="55">
        <f t="shared" si="2496"/>
        <v>862</v>
      </c>
      <c r="CU415" s="55">
        <f t="shared" si="2497"/>
        <v>618</v>
      </c>
      <c r="CV415" s="55">
        <f t="shared" si="2498"/>
        <v>721</v>
      </c>
      <c r="CW415" s="55">
        <f t="shared" si="2499"/>
        <v>247</v>
      </c>
      <c r="CX415" s="55">
        <f t="shared" si="2500"/>
        <v>293</v>
      </c>
      <c r="CY415" s="55">
        <f t="shared" si="2501"/>
        <v>-253</v>
      </c>
      <c r="CZ415" s="56">
        <f t="shared" si="2502"/>
        <v>-175</v>
      </c>
      <c r="DA415" s="55">
        <f t="shared" si="2503"/>
        <v>-21</v>
      </c>
      <c r="DB415" s="55">
        <f t="shared" si="2504"/>
        <v>0</v>
      </c>
      <c r="DC415" s="55">
        <f t="shared" si="2505"/>
        <v>0</v>
      </c>
      <c r="DD415" s="55">
        <f t="shared" si="2506"/>
        <v>0</v>
      </c>
      <c r="DE415" s="55">
        <f t="shared" si="2507"/>
        <v>0</v>
      </c>
      <c r="DF415" s="55">
        <f t="shared" si="2508"/>
        <v>0</v>
      </c>
      <c r="DG415" s="55">
        <f t="shared" si="2509"/>
        <v>0</v>
      </c>
      <c r="DH415" s="55">
        <f t="shared" si="2510"/>
        <v>0</v>
      </c>
      <c r="DI415" s="55">
        <f t="shared" si="2511"/>
        <v>0</v>
      </c>
    </row>
    <row r="416" spans="1:113" s="24" customFormat="1" outlineLevel="2">
      <c r="A416" s="1" t="s">
        <v>119</v>
      </c>
      <c r="B416" s="24" t="s">
        <v>713</v>
      </c>
      <c r="C416" s="81">
        <f>4443-C389</f>
        <v>2190</v>
      </c>
      <c r="D416" s="81">
        <f>4546-D389</f>
        <v>2197</v>
      </c>
      <c r="E416" s="81">
        <f>4522-E389</f>
        <v>2161</v>
      </c>
      <c r="F416" s="81">
        <f>4485-F389</f>
        <v>2031</v>
      </c>
      <c r="G416" s="81">
        <f>4914-G389</f>
        <v>2342</v>
      </c>
      <c r="H416" s="81">
        <f>5211-H389</f>
        <v>2540</v>
      </c>
      <c r="I416" s="81">
        <f>5280-I389</f>
        <v>2541</v>
      </c>
      <c r="J416" s="81">
        <f>5577-J389</f>
        <v>2619</v>
      </c>
      <c r="K416" s="81">
        <f>5701-K389</f>
        <v>2633</v>
      </c>
      <c r="L416" s="81">
        <f>6153-L389</f>
        <v>2898</v>
      </c>
      <c r="M416" s="81">
        <f>6133-M389</f>
        <v>2874</v>
      </c>
      <c r="N416" s="81">
        <f>6541-N389</f>
        <v>3056</v>
      </c>
      <c r="O416" s="81">
        <f>6850-O389</f>
        <v>3299</v>
      </c>
      <c r="P416" s="81">
        <f>7044-P389</f>
        <v>3145</v>
      </c>
      <c r="Q416" s="81">
        <f>7525-Q389</f>
        <v>3517</v>
      </c>
      <c r="R416" s="81">
        <f>7677+782-R389</f>
        <v>3916</v>
      </c>
      <c r="S416" s="81">
        <f>8797+201-S389</f>
        <v>3240</v>
      </c>
      <c r="T416" s="81">
        <f>10130-T389</f>
        <v>3972</v>
      </c>
      <c r="U416" s="81">
        <f>9158-U389</f>
        <v>3394</v>
      </c>
      <c r="V416" s="81">
        <f>9506-V389</f>
        <v>3377</v>
      </c>
      <c r="W416" s="81">
        <f>19397-W389-V389-V416</f>
        <v>3426</v>
      </c>
      <c r="X416" s="81">
        <f>10288-X389</f>
        <v>3658</v>
      </c>
      <c r="Y416" s="81">
        <f>10096-Y389</f>
        <v>3604</v>
      </c>
      <c r="Z416" s="81">
        <f>10309-Z389</f>
        <v>3457</v>
      </c>
      <c r="AA416" s="166">
        <f>10567-AA389</f>
        <v>3485</v>
      </c>
      <c r="AB416" s="166">
        <f>11160-7454</f>
        <v>3706</v>
      </c>
      <c r="AC416" s="166">
        <f>11328-7647</f>
        <v>3681</v>
      </c>
      <c r="AD416" s="166">
        <f>11711-7872</f>
        <v>3839</v>
      </c>
      <c r="AE416" s="166">
        <f>(4828+2003+1014)-AD416</f>
        <v>4006</v>
      </c>
      <c r="AF416" s="166">
        <f>12206-8426</f>
        <v>3780</v>
      </c>
      <c r="AG416" s="166">
        <f>12372-8509</f>
        <v>3863</v>
      </c>
      <c r="AH416" s="166">
        <f>12845-8708</f>
        <v>4137</v>
      </c>
      <c r="AI416" s="166">
        <f>12549-8826</f>
        <v>3723</v>
      </c>
      <c r="AJ416" s="166">
        <f>12851-9257</f>
        <v>3594</v>
      </c>
      <c r="AK416" s="166">
        <f>12279-9085</f>
        <v>3194</v>
      </c>
      <c r="AL416" s="166">
        <f>12306-9134</f>
        <v>3172</v>
      </c>
      <c r="AM416" s="166">
        <f>12031-8986</f>
        <v>3045</v>
      </c>
      <c r="AN416" s="166">
        <f>12470-9293</f>
        <v>3177</v>
      </c>
      <c r="AO416" s="166">
        <f>11852-9260</f>
        <v>2592</v>
      </c>
      <c r="AP416" s="166">
        <f>11896-9371</f>
        <v>2525</v>
      </c>
      <c r="AQ416" s="166">
        <f>12518-9468</f>
        <v>3050</v>
      </c>
      <c r="AR416" s="166">
        <f>12167-9748</f>
        <v>2419</v>
      </c>
      <c r="AS416" s="166">
        <f>12769-9725</f>
        <v>3044</v>
      </c>
      <c r="AT416" s="166">
        <f>(13948-11637)-(1956-1986)</f>
        <v>2341</v>
      </c>
      <c r="AU416" s="166">
        <f>(13582-11419)-(2225-2093)*1</f>
        <v>2031</v>
      </c>
      <c r="AV416" s="166">
        <v>2174</v>
      </c>
      <c r="AW416" s="166">
        <v>1923</v>
      </c>
      <c r="AX416" s="166">
        <v>2164</v>
      </c>
      <c r="AY416" s="166">
        <v>2103</v>
      </c>
      <c r="AZ416" s="167">
        <v>2305</v>
      </c>
      <c r="BA416" s="82">
        <f t="shared" ref="BA416:BE416" si="2571">BA414+BA415</f>
        <v>2240.1671197218784</v>
      </c>
      <c r="BB416" s="82">
        <f t="shared" si="2571"/>
        <v>2229.419438229801</v>
      </c>
      <c r="BC416" s="82">
        <f t="shared" si="2571"/>
        <v>2275.7147668718549</v>
      </c>
      <c r="BD416" s="82">
        <f t="shared" si="2571"/>
        <v>2236.9445914191942</v>
      </c>
      <c r="BE416" s="82">
        <f t="shared" si="2571"/>
        <v>2311.59636401014</v>
      </c>
      <c r="BF416" s="82">
        <f t="shared" ref="BF416:BM416" si="2572">BF414+BF415</f>
        <v>2297.61098801141</v>
      </c>
      <c r="BG416" s="82">
        <f t="shared" si="2572"/>
        <v>2323.4142763820214</v>
      </c>
      <c r="BH416" s="82">
        <f t="shared" si="2572"/>
        <v>2349.797561569656</v>
      </c>
      <c r="BI416" s="82">
        <f t="shared" si="2572"/>
        <v>2368.627177893949</v>
      </c>
      <c r="BJ416" s="82">
        <f t="shared" si="2572"/>
        <v>2425.0129881706521</v>
      </c>
      <c r="BK416" s="82">
        <f t="shared" si="2572"/>
        <v>2439.1572298201309</v>
      </c>
      <c r="BL416" s="82">
        <f t="shared" si="2572"/>
        <v>2496.0145676713501</v>
      </c>
      <c r="BM416" s="82">
        <f t="shared" si="2572"/>
        <v>2525.7331225729276</v>
      </c>
      <c r="BN416" s="82">
        <f t="shared" ref="BN416:BO416" si="2573">BN414+BN415</f>
        <v>2584.5751184689643</v>
      </c>
      <c r="BO416" s="82">
        <f t="shared" si="2573"/>
        <v>2601.0431407012888</v>
      </c>
      <c r="BP416" s="82">
        <f t="shared" ref="BP416:BQ416" si="2574">BP414+BP415</f>
        <v>2669.0969247944113</v>
      </c>
      <c r="BQ416" s="82">
        <f t="shared" si="2574"/>
        <v>2686.1711773112775</v>
      </c>
      <c r="BR416" s="82"/>
      <c r="BS416" s="81">
        <v>1404</v>
      </c>
      <c r="BT416" s="81">
        <f>1386-171+35</f>
        <v>1250</v>
      </c>
      <c r="BU416" s="81">
        <v>1415</v>
      </c>
      <c r="BV416" s="81">
        <f>1484-28</f>
        <v>1456</v>
      </c>
      <c r="BW416" s="81">
        <v>1355</v>
      </c>
      <c r="BX416" s="81">
        <f>1489-200+72</f>
        <v>1361</v>
      </c>
      <c r="BY416" s="81">
        <f>1833-570+409</f>
        <v>1672</v>
      </c>
      <c r="BZ416" s="81">
        <v>1997</v>
      </c>
      <c r="CA416" s="81">
        <f>CA414+92+536+537</f>
        <v>3585</v>
      </c>
      <c r="CB416" s="81">
        <f>8824-CB389+474</f>
        <v>4824</v>
      </c>
      <c r="CC416" s="82">
        <f>SUM(D416:E416)</f>
        <v>4358</v>
      </c>
      <c r="CD416" s="82">
        <f>SUM(F416:G416)</f>
        <v>4373</v>
      </c>
      <c r="CE416" s="82">
        <f>SUM(H416:I416)</f>
        <v>5081</v>
      </c>
      <c r="CF416" s="82">
        <f>SUM(J416:K416)</f>
        <v>5252</v>
      </c>
      <c r="CG416" s="82">
        <f>SUM(L416:M416)</f>
        <v>5772</v>
      </c>
      <c r="CH416" s="82">
        <f>SUM(N416:O416)</f>
        <v>6355</v>
      </c>
      <c r="CI416" s="82">
        <f>SUM(P416:Q416)</f>
        <v>6662</v>
      </c>
      <c r="CJ416" s="82">
        <f t="shared" ref="CJ416:CP416" si="2575">CJ414+CJ415</f>
        <v>7156</v>
      </c>
      <c r="CK416" s="82">
        <f t="shared" si="2575"/>
        <v>7366</v>
      </c>
      <c r="CL416" s="82">
        <f t="shared" si="2575"/>
        <v>6803</v>
      </c>
      <c r="CM416" s="82">
        <f t="shared" si="2575"/>
        <v>7262</v>
      </c>
      <c r="CN416" s="82">
        <f t="shared" si="2575"/>
        <v>6942</v>
      </c>
      <c r="CO416" s="82">
        <f t="shared" si="2575"/>
        <v>7387</v>
      </c>
      <c r="CP416" s="82">
        <f t="shared" si="2575"/>
        <v>7845</v>
      </c>
      <c r="CQ416" s="82">
        <f t="shared" ref="CQ416:CX416" si="2576">CQ414+CQ415</f>
        <v>7643</v>
      </c>
      <c r="CR416" s="82">
        <f t="shared" si="2576"/>
        <v>7860</v>
      </c>
      <c r="CS416" s="82">
        <f t="shared" si="2576"/>
        <v>6788</v>
      </c>
      <c r="CT416" s="82">
        <f t="shared" si="2576"/>
        <v>6217</v>
      </c>
      <c r="CU416" s="82">
        <f t="shared" si="2576"/>
        <v>5769</v>
      </c>
      <c r="CV416" s="82">
        <f t="shared" si="2576"/>
        <v>5575</v>
      </c>
      <c r="CW416" s="82">
        <f t="shared" si="2576"/>
        <v>5463</v>
      </c>
      <c r="CX416" s="82">
        <f t="shared" si="2576"/>
        <v>4372</v>
      </c>
      <c r="CY416" s="82">
        <f t="shared" ref="CY416:DD416" si="2577">CY414+CY415</f>
        <v>4097</v>
      </c>
      <c r="CZ416" s="83">
        <f t="shared" si="2577"/>
        <v>4267</v>
      </c>
      <c r="DA416" s="82">
        <f t="shared" si="2577"/>
        <v>4545.1671197218784</v>
      </c>
      <c r="DB416" s="82">
        <f t="shared" si="2577"/>
        <v>4505.1342051016563</v>
      </c>
      <c r="DC416" s="82">
        <f t="shared" si="2577"/>
        <v>4548.5409554293346</v>
      </c>
      <c r="DD416" s="82">
        <f t="shared" si="2577"/>
        <v>4621.0252643934309</v>
      </c>
      <c r="DE416" s="82">
        <f>DE414+DE415</f>
        <v>4718.424739463605</v>
      </c>
      <c r="DF416" s="82">
        <f>DF414+DF415</f>
        <v>4864.1702179907825</v>
      </c>
      <c r="DG416" s="82">
        <f>DG414+DG415</f>
        <v>5021.7476902442777</v>
      </c>
      <c r="DH416" s="82">
        <f>DH414+DH415</f>
        <v>5185.6182591702527</v>
      </c>
      <c r="DI416" s="82">
        <f>DI414+DI415</f>
        <v>5355.2681021056887</v>
      </c>
    </row>
    <row r="417" spans="1:113" outlineLevel="1">
      <c r="A417" s="96"/>
      <c r="C417" s="55"/>
      <c r="D417" s="55"/>
      <c r="E417" s="55"/>
      <c r="F417" s="55"/>
      <c r="G417" s="55"/>
      <c r="H417" s="55"/>
      <c r="I417" s="55"/>
      <c r="J417" s="55"/>
      <c r="K417" s="55"/>
      <c r="L417" s="55"/>
      <c r="M417" s="55"/>
      <c r="N417" s="55"/>
      <c r="O417" s="55"/>
      <c r="P417" s="55"/>
      <c r="Q417" s="55"/>
      <c r="R417" s="55"/>
      <c r="S417" s="55"/>
      <c r="T417" s="55"/>
      <c r="U417" s="55"/>
      <c r="V417" s="55"/>
      <c r="W417" s="55"/>
      <c r="X417" s="55"/>
      <c r="Y417" s="55"/>
      <c r="Z417" s="55"/>
      <c r="AA417" s="55"/>
      <c r="AB417" s="176"/>
      <c r="AC417" s="176"/>
      <c r="AD417" s="176"/>
      <c r="AE417" s="176"/>
      <c r="AF417" s="82"/>
      <c r="AG417" s="82"/>
      <c r="AH417" s="82"/>
      <c r="AI417" s="55"/>
      <c r="AJ417" s="494"/>
      <c r="AK417" s="579"/>
      <c r="AL417" s="166"/>
      <c r="AM417" s="166"/>
      <c r="AN417" s="82"/>
      <c r="AO417" s="82"/>
      <c r="AP417" s="82"/>
      <c r="AQ417" s="82"/>
      <c r="AR417" s="82"/>
      <c r="AS417" s="82"/>
      <c r="AT417" s="82"/>
      <c r="AU417" s="82"/>
      <c r="AV417" s="82"/>
      <c r="AW417" s="82"/>
      <c r="AX417" s="82"/>
      <c r="AY417" s="58"/>
      <c r="AZ417" s="59"/>
      <c r="BA417" s="57"/>
      <c r="BB417" s="57"/>
      <c r="BC417" s="57"/>
      <c r="BD417" s="57"/>
      <c r="BE417" s="57"/>
      <c r="BF417" s="57"/>
      <c r="BG417" s="57"/>
      <c r="BH417" s="57"/>
      <c r="BI417" s="57"/>
      <c r="BJ417" s="57"/>
      <c r="BK417" s="57"/>
      <c r="BL417" s="230"/>
      <c r="BM417" s="230"/>
      <c r="BN417" s="230"/>
      <c r="BO417" s="230"/>
      <c r="BP417" s="230"/>
      <c r="BQ417" s="230"/>
      <c r="BR417" s="55"/>
      <c r="BS417" s="55"/>
      <c r="BT417" s="55"/>
      <c r="BU417" s="55"/>
      <c r="BV417" s="55"/>
      <c r="BW417" s="55"/>
      <c r="BX417" s="55"/>
      <c r="BY417" s="55"/>
      <c r="BZ417" s="55"/>
      <c r="CA417" s="55"/>
      <c r="CB417" s="55"/>
      <c r="CC417" s="55"/>
      <c r="CD417" s="55"/>
      <c r="CE417" s="55"/>
      <c r="CF417" s="55"/>
      <c r="CG417" s="55"/>
      <c r="CH417" s="55"/>
      <c r="CI417" s="55"/>
      <c r="CJ417" s="55"/>
      <c r="CK417" s="55"/>
      <c r="CL417" s="55"/>
      <c r="CM417" s="55"/>
      <c r="CN417" s="55"/>
      <c r="CO417" s="55"/>
      <c r="CP417" s="55"/>
      <c r="CQ417" s="55"/>
      <c r="CR417" s="45"/>
      <c r="CS417" s="45"/>
      <c r="CT417" s="45"/>
      <c r="CU417" s="45"/>
      <c r="CV417" s="45"/>
      <c r="CW417" s="45"/>
      <c r="CX417" s="45"/>
      <c r="CY417" s="45"/>
      <c r="CZ417" s="43"/>
      <c r="DA417" s="42"/>
      <c r="DB417" s="42"/>
    </row>
    <row r="418" spans="1:113">
      <c r="C418" s="55"/>
      <c r="D418" s="55"/>
      <c r="E418" s="55"/>
      <c r="F418" s="55"/>
      <c r="G418" s="55"/>
      <c r="H418" s="55"/>
      <c r="I418" s="55"/>
      <c r="J418" s="55"/>
      <c r="K418" s="55"/>
      <c r="L418" s="55"/>
      <c r="M418" s="55"/>
      <c r="N418" s="55"/>
      <c r="O418" s="55"/>
      <c r="P418" s="55"/>
      <c r="Q418" s="55"/>
      <c r="R418" s="55"/>
      <c r="S418" s="55"/>
      <c r="T418" s="55"/>
      <c r="U418" s="55"/>
      <c r="V418" s="55"/>
      <c r="W418" s="55"/>
      <c r="X418" s="55"/>
      <c r="Y418" s="55"/>
      <c r="Z418" s="55"/>
      <c r="AA418" s="55"/>
      <c r="AB418" s="55"/>
      <c r="AC418" s="55"/>
      <c r="AD418" s="55"/>
      <c r="AE418" s="55"/>
      <c r="AF418" s="55"/>
      <c r="AG418" s="42"/>
      <c r="AH418" s="45"/>
      <c r="AI418" s="55"/>
      <c r="AJ418" s="45"/>
      <c r="AK418" s="55"/>
      <c r="AL418" s="55"/>
      <c r="AM418" s="55"/>
      <c r="AN418" s="55"/>
      <c r="AO418" s="55"/>
      <c r="AP418" s="55"/>
      <c r="AQ418" s="55"/>
      <c r="AR418" s="55"/>
      <c r="AS418" s="55"/>
      <c r="AT418" s="55"/>
      <c r="AU418" s="55"/>
      <c r="AV418" s="55"/>
      <c r="AW418" s="55"/>
      <c r="AX418" s="55"/>
      <c r="AY418" s="830"/>
      <c r="AZ418" s="849">
        <f>AZ416-[5]CBA!K$136</f>
        <v>-21</v>
      </c>
      <c r="BA418" s="830">
        <f>BA416-[5]CBA!L$136</f>
        <v>0</v>
      </c>
      <c r="BB418" s="830">
        <f>BB416-[5]CBA!M$136</f>
        <v>0</v>
      </c>
      <c r="BC418" s="830">
        <f>BC416-[5]CBA!N$136</f>
        <v>0</v>
      </c>
      <c r="BD418" s="830">
        <f>BD416-[5]CBA!O$136</f>
        <v>0</v>
      </c>
      <c r="BE418" s="830">
        <f>BE416-[5]CBA!P$136</f>
        <v>0</v>
      </c>
      <c r="BF418" s="830">
        <f>BF416-[5]CBA!Q$136</f>
        <v>0</v>
      </c>
      <c r="BG418" s="830">
        <f>BG416-[5]CBA!R$136</f>
        <v>0</v>
      </c>
      <c r="BH418" s="830">
        <f>BH416-[5]CBA!S$136</f>
        <v>0</v>
      </c>
      <c r="BI418" s="830">
        <f>BI416-[5]CBA!T$136</f>
        <v>0</v>
      </c>
      <c r="BJ418" s="55"/>
      <c r="BK418" s="55"/>
      <c r="BL418" s="55"/>
      <c r="BM418" s="55"/>
      <c r="BN418" s="55"/>
      <c r="BO418" s="55"/>
      <c r="BP418" s="55"/>
      <c r="BQ418" s="55"/>
      <c r="BR418" s="55"/>
      <c r="BS418" s="55"/>
      <c r="BT418" s="55"/>
      <c r="BU418" s="55"/>
      <c r="BV418" s="55"/>
      <c r="BW418" s="55"/>
      <c r="BX418" s="55"/>
      <c r="BY418" s="55"/>
      <c r="BZ418" s="55"/>
      <c r="CA418" s="55"/>
      <c r="CB418" s="55"/>
      <c r="CC418" s="55"/>
      <c r="CD418" s="55"/>
      <c r="CE418" s="55"/>
      <c r="CF418" s="55"/>
      <c r="CG418" s="55"/>
      <c r="CH418" s="55"/>
      <c r="CI418" s="55"/>
      <c r="CJ418" s="55"/>
      <c r="CK418" s="55"/>
      <c r="CL418" s="55"/>
      <c r="CM418" s="55"/>
      <c r="CN418" s="55"/>
      <c r="CO418" s="55"/>
      <c r="CP418" s="55"/>
      <c r="CQ418" s="55"/>
      <c r="CR418" s="55"/>
      <c r="CS418" s="55"/>
      <c r="CT418" s="55"/>
      <c r="CU418" s="55"/>
      <c r="CV418" s="55"/>
      <c r="CW418" s="55"/>
      <c r="CX418" s="55"/>
      <c r="CY418" s="55"/>
      <c r="CZ418" s="56"/>
      <c r="DA418" s="55"/>
      <c r="DB418" s="55"/>
    </row>
    <row r="419" spans="1:113" s="36" customFormat="1" collapsed="1">
      <c r="A419" s="1" t="s">
        <v>810</v>
      </c>
      <c r="B419" s="2" t="s">
        <v>501</v>
      </c>
      <c r="C419" s="79">
        <f t="shared" ref="C419:L419" si="2578">C408+C381</f>
        <v>4443</v>
      </c>
      <c r="D419" s="79">
        <f t="shared" si="2578"/>
        <v>4546</v>
      </c>
      <c r="E419" s="79">
        <f t="shared" si="2578"/>
        <v>4522</v>
      </c>
      <c r="F419" s="79">
        <f t="shared" si="2578"/>
        <v>4485</v>
      </c>
      <c r="G419" s="79">
        <f t="shared" si="2578"/>
        <v>4914</v>
      </c>
      <c r="H419" s="79">
        <f t="shared" si="2578"/>
        <v>5211</v>
      </c>
      <c r="I419" s="79">
        <f t="shared" si="2578"/>
        <v>5280</v>
      </c>
      <c r="J419" s="79">
        <f t="shared" si="2578"/>
        <v>5455</v>
      </c>
      <c r="K419" s="79">
        <f t="shared" si="2578"/>
        <v>5647</v>
      </c>
      <c r="L419" s="79">
        <f t="shared" si="2578"/>
        <v>6010</v>
      </c>
      <c r="M419" s="79">
        <f t="shared" ref="M419:AG419" si="2579">M408+M381</f>
        <v>6071</v>
      </c>
      <c r="N419" s="79">
        <f t="shared" si="2579"/>
        <v>6557</v>
      </c>
      <c r="O419" s="79">
        <f t="shared" si="2579"/>
        <v>6640</v>
      </c>
      <c r="P419" s="79">
        <f t="shared" si="2579"/>
        <v>7016</v>
      </c>
      <c r="Q419" s="79">
        <f t="shared" si="2579"/>
        <v>7325</v>
      </c>
      <c r="R419" s="79">
        <f t="shared" si="2579"/>
        <v>8481</v>
      </c>
      <c r="S419" s="79">
        <f t="shared" si="2579"/>
        <v>8985</v>
      </c>
      <c r="T419" s="79">
        <f t="shared" si="2579"/>
        <v>9692</v>
      </c>
      <c r="U419" s="79">
        <f t="shared" si="2579"/>
        <v>9367</v>
      </c>
      <c r="V419" s="79">
        <f t="shared" si="2579"/>
        <v>9739</v>
      </c>
      <c r="W419" s="79">
        <f t="shared" si="2579"/>
        <v>9920</v>
      </c>
      <c r="X419" s="79">
        <f t="shared" si="2579"/>
        <v>10105</v>
      </c>
      <c r="Y419" s="79">
        <f>Y408+Y381</f>
        <v>10045</v>
      </c>
      <c r="Z419" s="79">
        <f>Z408+Z381</f>
        <v>10289</v>
      </c>
      <c r="AA419" s="79">
        <f t="shared" si="2579"/>
        <v>10532</v>
      </c>
      <c r="AB419" s="79">
        <f t="shared" si="2579"/>
        <v>11148</v>
      </c>
      <c r="AC419" s="79">
        <f t="shared" si="2579"/>
        <v>11253</v>
      </c>
      <c r="AD419" s="79">
        <f t="shared" si="2579"/>
        <v>11727</v>
      </c>
      <c r="AE419" s="79">
        <f>AE408+AE381</f>
        <v>11851</v>
      </c>
      <c r="AF419" s="79">
        <f>AF408+AF381</f>
        <v>12420</v>
      </c>
      <c r="AG419" s="79">
        <f t="shared" si="2579"/>
        <v>12327</v>
      </c>
      <c r="AH419" s="79">
        <f t="shared" ref="AH419:AM419" si="2580">AH408+AH381</f>
        <v>12835</v>
      </c>
      <c r="AI419" s="79">
        <f t="shared" si="2580"/>
        <v>12453</v>
      </c>
      <c r="AJ419" s="79">
        <f t="shared" si="2580"/>
        <v>12649</v>
      </c>
      <c r="AK419" s="79">
        <f t="shared" si="2580"/>
        <v>12273</v>
      </c>
      <c r="AL419" s="79">
        <f t="shared" si="2580"/>
        <v>11975.859631071826</v>
      </c>
      <c r="AM419" s="79">
        <f t="shared" si="2580"/>
        <v>11603.140368928176</v>
      </c>
      <c r="AN419" s="79">
        <f t="shared" ref="AN419:AS419" si="2581">AN408+AN381</f>
        <v>12023</v>
      </c>
      <c r="AO419" s="79">
        <f t="shared" si="2581"/>
        <v>11738</v>
      </c>
      <c r="AP419" s="79">
        <f t="shared" si="2581"/>
        <v>11961</v>
      </c>
      <c r="AQ419" s="79">
        <f t="shared" si="2581"/>
        <v>12195</v>
      </c>
      <c r="AR419" s="79">
        <f t="shared" si="2581"/>
        <v>12107</v>
      </c>
      <c r="AS419" s="79">
        <f t="shared" si="2581"/>
        <v>12582</v>
      </c>
      <c r="AT419" s="79">
        <f t="shared" ref="AT419:AU419" si="2582">AT408+AT381</f>
        <v>13623</v>
      </c>
      <c r="AU419" s="79">
        <f t="shared" si="2582"/>
        <v>13512</v>
      </c>
      <c r="AV419" s="79">
        <f t="shared" ref="AV419:AW419" si="2583">AV408+AV381</f>
        <v>13649</v>
      </c>
      <c r="AW419" s="79">
        <f t="shared" si="2583"/>
        <v>13525</v>
      </c>
      <c r="AX419" s="79">
        <f t="shared" ref="AX419" si="2584">AX408+AX381</f>
        <v>14097</v>
      </c>
      <c r="AY419" s="79">
        <f t="shared" ref="AY419:BE419" si="2585">AY408+AY381</f>
        <v>14367.999999999998</v>
      </c>
      <c r="AZ419" s="80">
        <f t="shared" si="2585"/>
        <v>15021</v>
      </c>
      <c r="BA419" s="79">
        <f t="shared" si="2585"/>
        <v>15177.908774276708</v>
      </c>
      <c r="BB419" s="79">
        <f t="shared" si="2585"/>
        <v>15752.141234880612</v>
      </c>
      <c r="BC419" s="79">
        <f t="shared" si="2585"/>
        <v>15820.15708013865</v>
      </c>
      <c r="BD419" s="79">
        <f t="shared" si="2585"/>
        <v>16226.635984088764</v>
      </c>
      <c r="BE419" s="79">
        <f t="shared" si="2585"/>
        <v>16443.749560702148</v>
      </c>
      <c r="BF419" s="79">
        <f t="shared" ref="BF419:BM419" si="2586">BF408+BF381</f>
        <v>16924.792336916278</v>
      </c>
      <c r="BG419" s="79">
        <f t="shared" si="2586"/>
        <v>16970.718733469308</v>
      </c>
      <c r="BH419" s="79">
        <f t="shared" si="2586"/>
        <v>17411.454117500769</v>
      </c>
      <c r="BI419" s="79">
        <f t="shared" si="2586"/>
        <v>17398.105786666871</v>
      </c>
      <c r="BJ419" s="79">
        <f t="shared" si="2586"/>
        <v>17894.478247894607</v>
      </c>
      <c r="BK419" s="79">
        <f t="shared" si="2586"/>
        <v>17867.590982247897</v>
      </c>
      <c r="BL419" s="79">
        <f t="shared" si="2586"/>
        <v>18354.103859693216</v>
      </c>
      <c r="BM419" s="79">
        <f t="shared" si="2586"/>
        <v>18428.565553553075</v>
      </c>
      <c r="BN419" s="79">
        <f t="shared" ref="BN419:BO419" si="2587">BN408+BN381</f>
        <v>18929.0557770126</v>
      </c>
      <c r="BO419" s="79">
        <f t="shared" si="2587"/>
        <v>18900.969825998465</v>
      </c>
      <c r="BP419" s="79">
        <f t="shared" ref="BP419:BQ419" si="2588">BP408+BP381</f>
        <v>19467.589693634218</v>
      </c>
      <c r="BQ419" s="79">
        <f t="shared" si="2588"/>
        <v>19438.222142172744</v>
      </c>
      <c r="BR419" s="79"/>
      <c r="BS419" s="79">
        <f t="shared" ref="BS419:CB419" si="2589">BS408+BS381</f>
        <v>4653</v>
      </c>
      <c r="BT419" s="79">
        <f t="shared" si="2589"/>
        <v>4367</v>
      </c>
      <c r="BU419" s="79">
        <f t="shared" si="2589"/>
        <v>4259</v>
      </c>
      <c r="BV419" s="79">
        <f t="shared" si="2589"/>
        <v>4648</v>
      </c>
      <c r="BW419" s="79">
        <f t="shared" si="2589"/>
        <v>4752</v>
      </c>
      <c r="BX419" s="79">
        <f t="shared" si="2589"/>
        <v>4881</v>
      </c>
      <c r="BY419" s="79">
        <f t="shared" si="2589"/>
        <v>5230</v>
      </c>
      <c r="BZ419" s="79">
        <f t="shared" si="2589"/>
        <v>5524</v>
      </c>
      <c r="CA419" s="79">
        <f t="shared" si="2589"/>
        <v>6139</v>
      </c>
      <c r="CB419" s="79">
        <f t="shared" si="2589"/>
        <v>8824</v>
      </c>
      <c r="CC419" s="79">
        <f t="shared" ref="CC419:CR419" si="2590">CC408+CC381</f>
        <v>9068</v>
      </c>
      <c r="CD419" s="79">
        <f t="shared" si="2590"/>
        <v>9399</v>
      </c>
      <c r="CE419" s="79">
        <f t="shared" si="2590"/>
        <v>10491</v>
      </c>
      <c r="CF419" s="79">
        <f t="shared" si="2590"/>
        <v>11102</v>
      </c>
      <c r="CG419" s="79">
        <f t="shared" si="2590"/>
        <v>12081</v>
      </c>
      <c r="CH419" s="79">
        <f t="shared" si="2590"/>
        <v>13197</v>
      </c>
      <c r="CI419" s="79">
        <f t="shared" si="2590"/>
        <v>14341</v>
      </c>
      <c r="CJ419" s="79">
        <f t="shared" si="2590"/>
        <v>17466</v>
      </c>
      <c r="CK419" s="79">
        <f t="shared" si="2590"/>
        <v>19059</v>
      </c>
      <c r="CL419" s="79">
        <f t="shared" si="2590"/>
        <v>19659</v>
      </c>
      <c r="CM419" s="79">
        <f t="shared" si="2590"/>
        <v>20150</v>
      </c>
      <c r="CN419" s="79">
        <f t="shared" si="2590"/>
        <v>20821</v>
      </c>
      <c r="CO419" s="79">
        <f t="shared" si="2590"/>
        <v>22401</v>
      </c>
      <c r="CP419" s="79">
        <f t="shared" si="2590"/>
        <v>23578</v>
      </c>
      <c r="CQ419" s="79">
        <f t="shared" si="2590"/>
        <v>24747</v>
      </c>
      <c r="CR419" s="79">
        <f t="shared" si="2590"/>
        <v>25288</v>
      </c>
      <c r="CS419" s="79">
        <f t="shared" ref="CS419:DC419" si="2591">CS408+CS381</f>
        <v>24922</v>
      </c>
      <c r="CT419" s="79">
        <f t="shared" si="2591"/>
        <v>23579</v>
      </c>
      <c r="CU419" s="79">
        <f t="shared" si="2591"/>
        <v>23761</v>
      </c>
      <c r="CV419" s="79">
        <f t="shared" si="2591"/>
        <v>24156</v>
      </c>
      <c r="CW419" s="79">
        <f t="shared" si="2591"/>
        <v>24689</v>
      </c>
      <c r="CX419" s="79">
        <f t="shared" si="2591"/>
        <v>27135</v>
      </c>
      <c r="CY419" s="79">
        <f t="shared" si="2591"/>
        <v>27174</v>
      </c>
      <c r="CZ419" s="80">
        <f t="shared" si="2591"/>
        <v>28465</v>
      </c>
      <c r="DA419" s="79">
        <f t="shared" si="2591"/>
        <v>30198.908774276708</v>
      </c>
      <c r="DB419" s="79">
        <f t="shared" si="2591"/>
        <v>31572.298315019259</v>
      </c>
      <c r="DC419" s="79">
        <f t="shared" si="2591"/>
        <v>32670.385544790915</v>
      </c>
      <c r="DD419" s="79">
        <f t="shared" ref="DD419:DI419" si="2592">DD408+DD381</f>
        <v>33895.511070385583</v>
      </c>
      <c r="DE419" s="79">
        <f t="shared" si="2592"/>
        <v>34809.55990416764</v>
      </c>
      <c r="DF419" s="79">
        <f t="shared" si="2592"/>
        <v>35762.069230142508</v>
      </c>
      <c r="DG419" s="79">
        <f t="shared" si="2592"/>
        <v>36782.669413246294</v>
      </c>
      <c r="DH419" s="79">
        <f t="shared" si="2592"/>
        <v>37830.025603011061</v>
      </c>
      <c r="DI419" s="79">
        <f t="shared" si="2592"/>
        <v>38905.811835806962</v>
      </c>
    </row>
    <row r="420" spans="1:113" outlineLevel="2">
      <c r="A420" s="1" t="s">
        <v>94</v>
      </c>
      <c r="B420" s="19" t="s">
        <v>854</v>
      </c>
      <c r="C420" s="55">
        <f>C382</f>
        <v>0</v>
      </c>
      <c r="D420" s="55">
        <f>D382</f>
        <v>0</v>
      </c>
      <c r="E420" s="55">
        <f t="shared" ref="E420:L420" si="2593">E382</f>
        <v>0</v>
      </c>
      <c r="F420" s="55">
        <f t="shared" si="2593"/>
        <v>0</v>
      </c>
      <c r="G420" s="55">
        <f t="shared" si="2593"/>
        <v>0</v>
      </c>
      <c r="H420" s="55">
        <f t="shared" si="2593"/>
        <v>0</v>
      </c>
      <c r="I420" s="55">
        <f t="shared" si="2593"/>
        <v>0</v>
      </c>
      <c r="J420" s="55">
        <f t="shared" si="2593"/>
        <v>0</v>
      </c>
      <c r="K420" s="55">
        <f t="shared" si="2593"/>
        <v>0</v>
      </c>
      <c r="L420" s="55">
        <f t="shared" si="2593"/>
        <v>0</v>
      </c>
      <c r="M420" s="55">
        <f t="shared" ref="M420:AG420" si="2594">M382</f>
        <v>0</v>
      </c>
      <c r="N420" s="55">
        <f t="shared" si="2594"/>
        <v>0</v>
      </c>
      <c r="O420" s="55">
        <f t="shared" si="2594"/>
        <v>0</v>
      </c>
      <c r="P420" s="55">
        <f t="shared" si="2594"/>
        <v>0</v>
      </c>
      <c r="Q420" s="55">
        <f t="shared" si="2594"/>
        <v>0</v>
      </c>
      <c r="R420" s="55">
        <f t="shared" si="2594"/>
        <v>0</v>
      </c>
      <c r="S420" s="55">
        <f t="shared" si="2594"/>
        <v>0</v>
      </c>
      <c r="T420" s="55">
        <f t="shared" si="2594"/>
        <v>0</v>
      </c>
      <c r="U420" s="55">
        <f t="shared" si="2594"/>
        <v>0</v>
      </c>
      <c r="V420" s="55">
        <f t="shared" si="2594"/>
        <v>0</v>
      </c>
      <c r="W420" s="55">
        <f t="shared" si="2594"/>
        <v>0</v>
      </c>
      <c r="X420" s="55">
        <f t="shared" si="2594"/>
        <v>0</v>
      </c>
      <c r="Y420" s="55">
        <f>Y382</f>
        <v>0</v>
      </c>
      <c r="Z420" s="55">
        <f>Z382</f>
        <v>0</v>
      </c>
      <c r="AA420" s="55">
        <f t="shared" si="2594"/>
        <v>0</v>
      </c>
      <c r="AB420" s="55">
        <f t="shared" si="2594"/>
        <v>0</v>
      </c>
      <c r="AC420" s="55">
        <f t="shared" si="2594"/>
        <v>0</v>
      </c>
      <c r="AD420" s="55">
        <f t="shared" si="2594"/>
        <v>0</v>
      </c>
      <c r="AE420" s="55">
        <f>AE382</f>
        <v>0</v>
      </c>
      <c r="AF420" s="55">
        <f>AF382</f>
        <v>0</v>
      </c>
      <c r="AG420" s="55">
        <f t="shared" si="2594"/>
        <v>0</v>
      </c>
      <c r="AH420" s="55">
        <f t="shared" ref="AH420:AM420" si="2595">AH382</f>
        <v>0</v>
      </c>
      <c r="AI420" s="55">
        <f t="shared" si="2595"/>
        <v>0</v>
      </c>
      <c r="AJ420" s="55">
        <f t="shared" si="2595"/>
        <v>0</v>
      </c>
      <c r="AK420" s="55">
        <f t="shared" si="2595"/>
        <v>0</v>
      </c>
      <c r="AL420" s="55">
        <f t="shared" si="2595"/>
        <v>0</v>
      </c>
      <c r="AM420" s="55">
        <f t="shared" si="2595"/>
        <v>0</v>
      </c>
      <c r="AN420" s="55">
        <f t="shared" ref="AN420:AS420" si="2596">AN382</f>
        <v>0</v>
      </c>
      <c r="AO420" s="55">
        <f t="shared" si="2596"/>
        <v>0</v>
      </c>
      <c r="AP420" s="55">
        <f t="shared" si="2596"/>
        <v>0</v>
      </c>
      <c r="AQ420" s="55">
        <f t="shared" si="2596"/>
        <v>0</v>
      </c>
      <c r="AR420" s="55">
        <f t="shared" si="2596"/>
        <v>0</v>
      </c>
      <c r="AS420" s="55">
        <f t="shared" si="2596"/>
        <v>0</v>
      </c>
      <c r="AT420" s="55">
        <f t="shared" ref="AT420:AU420" si="2597">AT382</f>
        <v>0</v>
      </c>
      <c r="AU420" s="55">
        <f t="shared" si="2597"/>
        <v>0</v>
      </c>
      <c r="AV420" s="55">
        <f t="shared" ref="AV420:AW420" si="2598">AV382</f>
        <v>0</v>
      </c>
      <c r="AW420" s="55">
        <f t="shared" si="2598"/>
        <v>0</v>
      </c>
      <c r="AX420" s="55">
        <f t="shared" ref="AX420" si="2599">AX382</f>
        <v>0</v>
      </c>
      <c r="AY420" s="55">
        <f t="shared" ref="AY420:BE420" si="2600">AY382</f>
        <v>0</v>
      </c>
      <c r="AZ420" s="56">
        <f t="shared" si="2600"/>
        <v>0</v>
      </c>
      <c r="BA420" s="55">
        <f t="shared" si="2600"/>
        <v>0</v>
      </c>
      <c r="BB420" s="55">
        <f t="shared" si="2600"/>
        <v>0</v>
      </c>
      <c r="BC420" s="55">
        <f t="shared" si="2600"/>
        <v>0</v>
      </c>
      <c r="BD420" s="55">
        <f t="shared" si="2600"/>
        <v>0</v>
      </c>
      <c r="BE420" s="55">
        <f t="shared" si="2600"/>
        <v>0</v>
      </c>
      <c r="BF420" s="55">
        <f t="shared" ref="BF420:BM420" si="2601">BF382</f>
        <v>0</v>
      </c>
      <c r="BG420" s="55">
        <f t="shared" si="2601"/>
        <v>0</v>
      </c>
      <c r="BH420" s="55">
        <f t="shared" si="2601"/>
        <v>0</v>
      </c>
      <c r="BI420" s="55">
        <f t="shared" si="2601"/>
        <v>0</v>
      </c>
      <c r="BJ420" s="55">
        <f t="shared" si="2601"/>
        <v>0</v>
      </c>
      <c r="BK420" s="55">
        <f t="shared" si="2601"/>
        <v>0</v>
      </c>
      <c r="BL420" s="55">
        <f t="shared" si="2601"/>
        <v>0</v>
      </c>
      <c r="BM420" s="55">
        <f t="shared" si="2601"/>
        <v>0</v>
      </c>
      <c r="BN420" s="55">
        <f t="shared" ref="BN420:BO420" si="2602">BN382</f>
        <v>0</v>
      </c>
      <c r="BO420" s="55">
        <f t="shared" si="2602"/>
        <v>0</v>
      </c>
      <c r="BP420" s="55">
        <f t="shared" ref="BP420:BQ420" si="2603">BP382</f>
        <v>0</v>
      </c>
      <c r="BQ420" s="55">
        <f t="shared" si="2603"/>
        <v>0</v>
      </c>
      <c r="BR420" s="55"/>
      <c r="BS420" s="55">
        <f t="shared" ref="BS420:CB420" si="2604">BS382</f>
        <v>0</v>
      </c>
      <c r="BT420" s="55">
        <f t="shared" si="2604"/>
        <v>0</v>
      </c>
      <c r="BU420" s="55">
        <f t="shared" si="2604"/>
        <v>0</v>
      </c>
      <c r="BV420" s="55">
        <f t="shared" si="2604"/>
        <v>0</v>
      </c>
      <c r="BW420" s="55">
        <f t="shared" si="2604"/>
        <v>0</v>
      </c>
      <c r="BX420" s="55">
        <f t="shared" si="2604"/>
        <v>0</v>
      </c>
      <c r="BY420" s="55">
        <f t="shared" si="2604"/>
        <v>0</v>
      </c>
      <c r="BZ420" s="55">
        <f t="shared" si="2604"/>
        <v>0</v>
      </c>
      <c r="CA420" s="55">
        <f t="shared" si="2604"/>
        <v>0</v>
      </c>
      <c r="CB420" s="55">
        <f t="shared" si="2604"/>
        <v>0</v>
      </c>
      <c r="CC420" s="55">
        <f t="shared" ref="CC420:CR420" si="2605">CC382</f>
        <v>0</v>
      </c>
      <c r="CD420" s="55">
        <f t="shared" si="2605"/>
        <v>0</v>
      </c>
      <c r="CE420" s="55">
        <f t="shared" si="2605"/>
        <v>0</v>
      </c>
      <c r="CF420" s="55">
        <f t="shared" si="2605"/>
        <v>0</v>
      </c>
      <c r="CG420" s="55">
        <f t="shared" si="2605"/>
        <v>0</v>
      </c>
      <c r="CH420" s="55">
        <f t="shared" si="2605"/>
        <v>0</v>
      </c>
      <c r="CI420" s="55">
        <f t="shared" si="2605"/>
        <v>0</v>
      </c>
      <c r="CJ420" s="55">
        <f t="shared" si="2605"/>
        <v>0</v>
      </c>
      <c r="CK420" s="55">
        <f t="shared" si="2605"/>
        <v>0</v>
      </c>
      <c r="CL420" s="55">
        <f t="shared" si="2605"/>
        <v>0</v>
      </c>
      <c r="CM420" s="55">
        <f t="shared" si="2605"/>
        <v>0</v>
      </c>
      <c r="CN420" s="55">
        <f t="shared" si="2605"/>
        <v>0</v>
      </c>
      <c r="CO420" s="55">
        <f t="shared" si="2605"/>
        <v>0</v>
      </c>
      <c r="CP420" s="55">
        <f t="shared" si="2605"/>
        <v>0</v>
      </c>
      <c r="CQ420" s="55">
        <f t="shared" si="2605"/>
        <v>0</v>
      </c>
      <c r="CR420" s="55">
        <f t="shared" si="2605"/>
        <v>0</v>
      </c>
      <c r="CS420" s="55">
        <f t="shared" ref="CS420:DC420" si="2606">CS382</f>
        <v>0</v>
      </c>
      <c r="CT420" s="55">
        <f t="shared" si="2606"/>
        <v>0</v>
      </c>
      <c r="CU420" s="55">
        <f t="shared" si="2606"/>
        <v>0</v>
      </c>
      <c r="CV420" s="55">
        <f t="shared" si="2606"/>
        <v>0</v>
      </c>
      <c r="CW420" s="55">
        <f t="shared" si="2606"/>
        <v>0</v>
      </c>
      <c r="CX420" s="55">
        <f t="shared" si="2606"/>
        <v>0</v>
      </c>
      <c r="CY420" s="55">
        <f t="shared" si="2606"/>
        <v>0</v>
      </c>
      <c r="CZ420" s="56">
        <f t="shared" si="2606"/>
        <v>0</v>
      </c>
      <c r="DA420" s="55">
        <f t="shared" si="2606"/>
        <v>0</v>
      </c>
      <c r="DB420" s="55">
        <f t="shared" si="2606"/>
        <v>0</v>
      </c>
      <c r="DC420" s="55">
        <f t="shared" si="2606"/>
        <v>0</v>
      </c>
      <c r="DD420" s="55">
        <f t="shared" ref="DD420:DI420" si="2607">DD382</f>
        <v>0</v>
      </c>
      <c r="DE420" s="55">
        <f t="shared" si="2607"/>
        <v>0</v>
      </c>
      <c r="DF420" s="55">
        <f t="shared" si="2607"/>
        <v>0</v>
      </c>
      <c r="DG420" s="55">
        <f t="shared" si="2607"/>
        <v>0</v>
      </c>
      <c r="DH420" s="55">
        <f t="shared" si="2607"/>
        <v>0</v>
      </c>
      <c r="DI420" s="55">
        <f t="shared" si="2607"/>
        <v>0</v>
      </c>
    </row>
    <row r="421" spans="1:113" outlineLevel="2">
      <c r="A421" s="1" t="s">
        <v>666</v>
      </c>
      <c r="B421" s="19" t="s">
        <v>445</v>
      </c>
      <c r="C421" s="55">
        <f>C409</f>
        <v>0</v>
      </c>
      <c r="D421" s="55">
        <f>D409</f>
        <v>0</v>
      </c>
      <c r="E421" s="55">
        <f t="shared" ref="E421:L421" si="2608">E409</f>
        <v>0</v>
      </c>
      <c r="F421" s="55">
        <f t="shared" si="2608"/>
        <v>0</v>
      </c>
      <c r="G421" s="55">
        <f t="shared" si="2608"/>
        <v>0</v>
      </c>
      <c r="H421" s="55">
        <f t="shared" si="2608"/>
        <v>0</v>
      </c>
      <c r="I421" s="55">
        <f t="shared" si="2608"/>
        <v>0</v>
      </c>
      <c r="J421" s="55">
        <f t="shared" si="2608"/>
        <v>0</v>
      </c>
      <c r="K421" s="55">
        <f t="shared" si="2608"/>
        <v>0</v>
      </c>
      <c r="L421" s="55">
        <f t="shared" si="2608"/>
        <v>0</v>
      </c>
      <c r="M421" s="55">
        <f t="shared" ref="M421:AG421" si="2609">M409</f>
        <v>0</v>
      </c>
      <c r="N421" s="55">
        <f t="shared" si="2609"/>
        <v>0</v>
      </c>
      <c r="O421" s="55">
        <f t="shared" si="2609"/>
        <v>0</v>
      </c>
      <c r="P421" s="55">
        <f t="shared" si="2609"/>
        <v>0</v>
      </c>
      <c r="Q421" s="55">
        <f t="shared" si="2609"/>
        <v>0</v>
      </c>
      <c r="R421" s="55">
        <f t="shared" si="2609"/>
        <v>0</v>
      </c>
      <c r="S421" s="55">
        <f t="shared" si="2609"/>
        <v>0</v>
      </c>
      <c r="T421" s="55">
        <f t="shared" si="2609"/>
        <v>0</v>
      </c>
      <c r="U421" s="55">
        <f t="shared" si="2609"/>
        <v>0</v>
      </c>
      <c r="V421" s="55">
        <f t="shared" si="2609"/>
        <v>0</v>
      </c>
      <c r="W421" s="55">
        <f t="shared" si="2609"/>
        <v>0</v>
      </c>
      <c r="X421" s="55">
        <f t="shared" si="2609"/>
        <v>0</v>
      </c>
      <c r="Y421" s="55">
        <f>Y409</f>
        <v>0</v>
      </c>
      <c r="Z421" s="55">
        <f>Z409</f>
        <v>0</v>
      </c>
      <c r="AA421" s="55">
        <f t="shared" si="2609"/>
        <v>0</v>
      </c>
      <c r="AB421" s="55">
        <f t="shared" si="2609"/>
        <v>0</v>
      </c>
      <c r="AC421" s="55">
        <f t="shared" si="2609"/>
        <v>0</v>
      </c>
      <c r="AD421" s="55">
        <f t="shared" si="2609"/>
        <v>0</v>
      </c>
      <c r="AE421" s="55">
        <f>AE409</f>
        <v>0</v>
      </c>
      <c r="AF421" s="55">
        <f>AF409</f>
        <v>0</v>
      </c>
      <c r="AG421" s="55">
        <f t="shared" si="2609"/>
        <v>0</v>
      </c>
      <c r="AH421" s="55">
        <f t="shared" ref="AH421:AM421" si="2610">AH409</f>
        <v>0</v>
      </c>
      <c r="AI421" s="55">
        <f t="shared" si="2610"/>
        <v>0</v>
      </c>
      <c r="AJ421" s="55">
        <f t="shared" si="2610"/>
        <v>0</v>
      </c>
      <c r="AK421" s="55">
        <f t="shared" si="2610"/>
        <v>0</v>
      </c>
      <c r="AL421" s="55">
        <f t="shared" si="2610"/>
        <v>0</v>
      </c>
      <c r="AM421" s="55">
        <f t="shared" si="2610"/>
        <v>0</v>
      </c>
      <c r="AN421" s="55">
        <f t="shared" ref="AN421:AS421" si="2611">AN409</f>
        <v>0</v>
      </c>
      <c r="AO421" s="55">
        <f t="shared" si="2611"/>
        <v>0</v>
      </c>
      <c r="AP421" s="55">
        <f t="shared" si="2611"/>
        <v>0</v>
      </c>
      <c r="AQ421" s="55">
        <f t="shared" si="2611"/>
        <v>0</v>
      </c>
      <c r="AR421" s="55">
        <f t="shared" si="2611"/>
        <v>0</v>
      </c>
      <c r="AS421" s="55">
        <f t="shared" si="2611"/>
        <v>0</v>
      </c>
      <c r="AT421" s="55">
        <f t="shared" ref="AT421:AU421" si="2612">AT409</f>
        <v>0</v>
      </c>
      <c r="AU421" s="55">
        <f t="shared" si="2612"/>
        <v>0</v>
      </c>
      <c r="AV421" s="55">
        <f t="shared" ref="AV421:AW421" si="2613">AV409</f>
        <v>0</v>
      </c>
      <c r="AW421" s="55">
        <f t="shared" si="2613"/>
        <v>0</v>
      </c>
      <c r="AX421" s="55">
        <f t="shared" ref="AX421" si="2614">AX409</f>
        <v>0</v>
      </c>
      <c r="AY421" s="55">
        <f t="shared" ref="AY421:BE421" si="2615">AY409</f>
        <v>0</v>
      </c>
      <c r="AZ421" s="56">
        <f t="shared" si="2615"/>
        <v>0</v>
      </c>
      <c r="BA421" s="55">
        <f t="shared" si="2615"/>
        <v>0</v>
      </c>
      <c r="BB421" s="55">
        <f t="shared" si="2615"/>
        <v>0</v>
      </c>
      <c r="BC421" s="55">
        <f t="shared" si="2615"/>
        <v>0</v>
      </c>
      <c r="BD421" s="55">
        <f t="shared" si="2615"/>
        <v>0</v>
      </c>
      <c r="BE421" s="55">
        <f t="shared" si="2615"/>
        <v>0</v>
      </c>
      <c r="BF421" s="55">
        <f t="shared" ref="BF421:BM421" si="2616">BF409</f>
        <v>0</v>
      </c>
      <c r="BG421" s="55">
        <f t="shared" si="2616"/>
        <v>0</v>
      </c>
      <c r="BH421" s="55">
        <f t="shared" si="2616"/>
        <v>0</v>
      </c>
      <c r="BI421" s="55">
        <f t="shared" si="2616"/>
        <v>0</v>
      </c>
      <c r="BJ421" s="55">
        <f t="shared" si="2616"/>
        <v>0</v>
      </c>
      <c r="BK421" s="55">
        <f t="shared" si="2616"/>
        <v>0</v>
      </c>
      <c r="BL421" s="55">
        <f t="shared" si="2616"/>
        <v>0</v>
      </c>
      <c r="BM421" s="55">
        <f t="shared" si="2616"/>
        <v>0</v>
      </c>
      <c r="BN421" s="55">
        <f t="shared" ref="BN421:BO421" si="2617">BN409</f>
        <v>0</v>
      </c>
      <c r="BO421" s="55">
        <f t="shared" si="2617"/>
        <v>0</v>
      </c>
      <c r="BP421" s="55">
        <f t="shared" ref="BP421:BQ421" si="2618">BP409</f>
        <v>0</v>
      </c>
      <c r="BQ421" s="55">
        <f t="shared" si="2618"/>
        <v>0</v>
      </c>
      <c r="BR421" s="55"/>
      <c r="BS421" s="55">
        <f t="shared" ref="BS421:CB421" si="2619">BS409</f>
        <v>0</v>
      </c>
      <c r="BT421" s="55">
        <f t="shared" si="2619"/>
        <v>0</v>
      </c>
      <c r="BU421" s="55">
        <f t="shared" si="2619"/>
        <v>0</v>
      </c>
      <c r="BV421" s="55">
        <f t="shared" si="2619"/>
        <v>0</v>
      </c>
      <c r="BW421" s="55">
        <f t="shared" si="2619"/>
        <v>0</v>
      </c>
      <c r="BX421" s="55">
        <f t="shared" si="2619"/>
        <v>0</v>
      </c>
      <c r="BY421" s="55">
        <f t="shared" si="2619"/>
        <v>0</v>
      </c>
      <c r="BZ421" s="55">
        <f t="shared" si="2619"/>
        <v>0</v>
      </c>
      <c r="CA421" s="55">
        <f t="shared" si="2619"/>
        <v>0</v>
      </c>
      <c r="CB421" s="55">
        <f t="shared" si="2619"/>
        <v>0</v>
      </c>
      <c r="CC421" s="55">
        <f t="shared" ref="CC421:CR421" si="2620">CC409</f>
        <v>0</v>
      </c>
      <c r="CD421" s="55">
        <f t="shared" si="2620"/>
        <v>0</v>
      </c>
      <c r="CE421" s="55">
        <f t="shared" si="2620"/>
        <v>0</v>
      </c>
      <c r="CF421" s="55">
        <f t="shared" si="2620"/>
        <v>0</v>
      </c>
      <c r="CG421" s="55">
        <f t="shared" si="2620"/>
        <v>0</v>
      </c>
      <c r="CH421" s="55">
        <f t="shared" si="2620"/>
        <v>0</v>
      </c>
      <c r="CI421" s="55">
        <f t="shared" si="2620"/>
        <v>0</v>
      </c>
      <c r="CJ421" s="55">
        <f t="shared" si="2620"/>
        <v>0</v>
      </c>
      <c r="CK421" s="55">
        <f t="shared" si="2620"/>
        <v>0</v>
      </c>
      <c r="CL421" s="55">
        <f t="shared" si="2620"/>
        <v>0</v>
      </c>
      <c r="CM421" s="55">
        <f t="shared" si="2620"/>
        <v>0</v>
      </c>
      <c r="CN421" s="55">
        <f t="shared" si="2620"/>
        <v>0</v>
      </c>
      <c r="CO421" s="55">
        <f t="shared" si="2620"/>
        <v>0</v>
      </c>
      <c r="CP421" s="55">
        <f t="shared" si="2620"/>
        <v>0</v>
      </c>
      <c r="CQ421" s="55">
        <f t="shared" si="2620"/>
        <v>0</v>
      </c>
      <c r="CR421" s="55">
        <f t="shared" si="2620"/>
        <v>0</v>
      </c>
      <c r="CS421" s="55">
        <f t="shared" ref="CS421:DC421" si="2621">CS409</f>
        <v>0</v>
      </c>
      <c r="CT421" s="55">
        <f t="shared" si="2621"/>
        <v>0</v>
      </c>
      <c r="CU421" s="55">
        <f t="shared" si="2621"/>
        <v>0</v>
      </c>
      <c r="CV421" s="55">
        <f t="shared" si="2621"/>
        <v>0</v>
      </c>
      <c r="CW421" s="55">
        <f t="shared" si="2621"/>
        <v>0</v>
      </c>
      <c r="CX421" s="55">
        <f t="shared" si="2621"/>
        <v>0</v>
      </c>
      <c r="CY421" s="55">
        <f t="shared" si="2621"/>
        <v>0</v>
      </c>
      <c r="CZ421" s="56">
        <f t="shared" si="2621"/>
        <v>0</v>
      </c>
      <c r="DA421" s="55">
        <f t="shared" si="2621"/>
        <v>0</v>
      </c>
      <c r="DB421" s="55">
        <f t="shared" si="2621"/>
        <v>0</v>
      </c>
      <c r="DC421" s="55">
        <f t="shared" si="2621"/>
        <v>0</v>
      </c>
      <c r="DD421" s="55">
        <f t="shared" ref="DD421:DI421" si="2622">DD409</f>
        <v>0</v>
      </c>
      <c r="DE421" s="55">
        <f t="shared" si="2622"/>
        <v>0</v>
      </c>
      <c r="DF421" s="55">
        <f t="shared" si="2622"/>
        <v>0</v>
      </c>
      <c r="DG421" s="55">
        <f t="shared" si="2622"/>
        <v>0</v>
      </c>
      <c r="DH421" s="55">
        <f t="shared" si="2622"/>
        <v>0</v>
      </c>
      <c r="DI421" s="55">
        <f t="shared" si="2622"/>
        <v>0</v>
      </c>
    </row>
    <row r="422" spans="1:113" outlineLevel="2">
      <c r="A422" s="1" t="s">
        <v>667</v>
      </c>
      <c r="B422" s="19" t="s">
        <v>369</v>
      </c>
      <c r="C422" s="55">
        <f t="shared" ref="C422:L425" si="2623">C410+C383</f>
        <v>0</v>
      </c>
      <c r="D422" s="55">
        <f t="shared" si="2623"/>
        <v>0</v>
      </c>
      <c r="E422" s="55">
        <f t="shared" si="2623"/>
        <v>0</v>
      </c>
      <c r="F422" s="55">
        <f t="shared" si="2623"/>
        <v>0</v>
      </c>
      <c r="G422" s="55">
        <f t="shared" si="2623"/>
        <v>0</v>
      </c>
      <c r="H422" s="55">
        <f t="shared" si="2623"/>
        <v>0</v>
      </c>
      <c r="I422" s="55">
        <f t="shared" si="2623"/>
        <v>0</v>
      </c>
      <c r="J422" s="55">
        <f t="shared" si="2623"/>
        <v>0</v>
      </c>
      <c r="K422" s="55">
        <f t="shared" si="2623"/>
        <v>0</v>
      </c>
      <c r="L422" s="55">
        <f t="shared" si="2623"/>
        <v>0</v>
      </c>
      <c r="M422" s="55">
        <f t="shared" ref="M422:AG422" si="2624">M410+M383</f>
        <v>0</v>
      </c>
      <c r="N422" s="55">
        <f t="shared" si="2624"/>
        <v>0</v>
      </c>
      <c r="O422" s="55">
        <f t="shared" si="2624"/>
        <v>0</v>
      </c>
      <c r="P422" s="55">
        <f t="shared" si="2624"/>
        <v>0</v>
      </c>
      <c r="Q422" s="55">
        <f t="shared" si="2624"/>
        <v>0</v>
      </c>
      <c r="R422" s="55">
        <f t="shared" si="2624"/>
        <v>0</v>
      </c>
      <c r="S422" s="55">
        <f t="shared" si="2624"/>
        <v>0</v>
      </c>
      <c r="T422" s="55">
        <f t="shared" si="2624"/>
        <v>0</v>
      </c>
      <c r="U422" s="55">
        <f t="shared" si="2624"/>
        <v>0</v>
      </c>
      <c r="V422" s="55">
        <f t="shared" si="2624"/>
        <v>0</v>
      </c>
      <c r="W422" s="55">
        <f t="shared" si="2624"/>
        <v>0</v>
      </c>
      <c r="X422" s="55">
        <f t="shared" si="2624"/>
        <v>0</v>
      </c>
      <c r="Y422" s="55">
        <f t="shared" ref="Y422:Z425" si="2625">Y410+Y383</f>
        <v>0</v>
      </c>
      <c r="Z422" s="55">
        <f t="shared" si="2625"/>
        <v>0</v>
      </c>
      <c r="AA422" s="55">
        <f t="shared" si="2624"/>
        <v>0</v>
      </c>
      <c r="AB422" s="55">
        <f t="shared" si="2624"/>
        <v>0</v>
      </c>
      <c r="AC422" s="55">
        <f t="shared" si="2624"/>
        <v>0</v>
      </c>
      <c r="AD422" s="55">
        <f t="shared" si="2624"/>
        <v>0</v>
      </c>
      <c r="AE422" s="55">
        <f t="shared" ref="AE422:AF425" si="2626">AE410+AE383</f>
        <v>0</v>
      </c>
      <c r="AF422" s="55">
        <f t="shared" si="2626"/>
        <v>0</v>
      </c>
      <c r="AG422" s="55">
        <f t="shared" si="2624"/>
        <v>0</v>
      </c>
      <c r="AH422" s="55">
        <f t="shared" ref="AH422:AK425" si="2627">AH410+AH383</f>
        <v>0</v>
      </c>
      <c r="AI422" s="55">
        <f t="shared" si="2627"/>
        <v>0</v>
      </c>
      <c r="AJ422" s="55">
        <f t="shared" si="2627"/>
        <v>0</v>
      </c>
      <c r="AK422" s="55">
        <f t="shared" si="2627"/>
        <v>0</v>
      </c>
      <c r="AL422" s="55">
        <f t="shared" ref="AL422:AM425" si="2628">AL410+AL383</f>
        <v>0</v>
      </c>
      <c r="AM422" s="55">
        <f t="shared" si="2628"/>
        <v>0</v>
      </c>
      <c r="AN422" s="55">
        <f t="shared" ref="AN422:AO425" si="2629">AN410+AN383</f>
        <v>0</v>
      </c>
      <c r="AO422" s="55">
        <f t="shared" si="2629"/>
        <v>0</v>
      </c>
      <c r="AP422" s="55">
        <f t="shared" ref="AP422:AQ422" si="2630">AP410+AP383</f>
        <v>0</v>
      </c>
      <c r="AQ422" s="55">
        <f t="shared" si="2630"/>
        <v>0</v>
      </c>
      <c r="AR422" s="55">
        <f t="shared" ref="AR422" si="2631">AR410+AR383</f>
        <v>0</v>
      </c>
      <c r="AS422" s="55">
        <f t="shared" ref="AS422:AT422" si="2632">AS410+AS383</f>
        <v>0</v>
      </c>
      <c r="AT422" s="55">
        <f t="shared" si="2632"/>
        <v>0</v>
      </c>
      <c r="AU422" s="55">
        <f t="shared" ref="AU422:AV422" si="2633">AU410+AU383</f>
        <v>0</v>
      </c>
      <c r="AV422" s="55">
        <f t="shared" si="2633"/>
        <v>0</v>
      </c>
      <c r="AW422" s="55">
        <f t="shared" ref="AW422:AX422" si="2634">AW410+AW383</f>
        <v>0</v>
      </c>
      <c r="AX422" s="55">
        <f t="shared" si="2634"/>
        <v>0</v>
      </c>
      <c r="AY422" s="55">
        <f t="shared" ref="AY422:BE422" si="2635">AY410+AY383</f>
        <v>0</v>
      </c>
      <c r="AZ422" s="56">
        <f t="shared" si="2635"/>
        <v>0</v>
      </c>
      <c r="BA422" s="55">
        <f t="shared" si="2635"/>
        <v>0</v>
      </c>
      <c r="BB422" s="55">
        <f t="shared" si="2635"/>
        <v>0</v>
      </c>
      <c r="BC422" s="55">
        <f t="shared" si="2635"/>
        <v>0</v>
      </c>
      <c r="BD422" s="55">
        <f t="shared" si="2635"/>
        <v>0</v>
      </c>
      <c r="BE422" s="55">
        <f t="shared" si="2635"/>
        <v>0</v>
      </c>
      <c r="BF422" s="55">
        <f t="shared" ref="BF422:BI425" si="2636">BF410+BF383</f>
        <v>0</v>
      </c>
      <c r="BG422" s="55">
        <f t="shared" si="2636"/>
        <v>0</v>
      </c>
      <c r="BH422" s="55">
        <f t="shared" si="2636"/>
        <v>0</v>
      </c>
      <c r="BI422" s="55">
        <f t="shared" si="2636"/>
        <v>0</v>
      </c>
      <c r="BJ422" s="55">
        <f t="shared" ref="BJ422:BM425" si="2637">BJ410+BJ383</f>
        <v>0</v>
      </c>
      <c r="BK422" s="55">
        <f t="shared" si="2637"/>
        <v>0</v>
      </c>
      <c r="BL422" s="55">
        <f t="shared" si="2637"/>
        <v>0</v>
      </c>
      <c r="BM422" s="55">
        <f t="shared" si="2637"/>
        <v>0</v>
      </c>
      <c r="BN422" s="55">
        <f t="shared" ref="BN422:BO422" si="2638">BN410+BN383</f>
        <v>0</v>
      </c>
      <c r="BO422" s="55">
        <f t="shared" si="2638"/>
        <v>0</v>
      </c>
      <c r="BP422" s="55">
        <f t="shared" ref="BP422:BQ422" si="2639">BP410+BP383</f>
        <v>0</v>
      </c>
      <c r="BQ422" s="55">
        <f t="shared" si="2639"/>
        <v>0</v>
      </c>
      <c r="BR422" s="55"/>
      <c r="BS422" s="55">
        <f t="shared" ref="BS422:CB425" si="2640">BS410+BS383</f>
        <v>0</v>
      </c>
      <c r="BT422" s="55">
        <f t="shared" si="2640"/>
        <v>0</v>
      </c>
      <c r="BU422" s="55">
        <f t="shared" si="2640"/>
        <v>0</v>
      </c>
      <c r="BV422" s="55">
        <f t="shared" si="2640"/>
        <v>0</v>
      </c>
      <c r="BW422" s="55">
        <f t="shared" si="2640"/>
        <v>0</v>
      </c>
      <c r="BX422" s="55">
        <f t="shared" si="2640"/>
        <v>0</v>
      </c>
      <c r="BY422" s="55">
        <f t="shared" si="2640"/>
        <v>0</v>
      </c>
      <c r="BZ422" s="55">
        <f t="shared" si="2640"/>
        <v>0</v>
      </c>
      <c r="CA422" s="55">
        <f t="shared" si="2640"/>
        <v>0</v>
      </c>
      <c r="CB422" s="55">
        <f t="shared" si="2640"/>
        <v>0</v>
      </c>
      <c r="CC422" s="55">
        <f t="shared" ref="CC422:CR422" si="2641">CC410+CC383</f>
        <v>0</v>
      </c>
      <c r="CD422" s="55">
        <f t="shared" si="2641"/>
        <v>0</v>
      </c>
      <c r="CE422" s="55">
        <f t="shared" si="2641"/>
        <v>0</v>
      </c>
      <c r="CF422" s="55">
        <f t="shared" si="2641"/>
        <v>0</v>
      </c>
      <c r="CG422" s="55">
        <f t="shared" si="2641"/>
        <v>0</v>
      </c>
      <c r="CH422" s="55">
        <f t="shared" si="2641"/>
        <v>0</v>
      </c>
      <c r="CI422" s="55">
        <f t="shared" si="2641"/>
        <v>0</v>
      </c>
      <c r="CJ422" s="55">
        <f t="shared" si="2641"/>
        <v>0</v>
      </c>
      <c r="CK422" s="55">
        <f t="shared" si="2641"/>
        <v>0</v>
      </c>
      <c r="CL422" s="55">
        <f t="shared" si="2641"/>
        <v>0</v>
      </c>
      <c r="CM422" s="55">
        <f t="shared" si="2641"/>
        <v>0</v>
      </c>
      <c r="CN422" s="55">
        <f t="shared" si="2641"/>
        <v>0</v>
      </c>
      <c r="CO422" s="55">
        <f t="shared" si="2641"/>
        <v>0</v>
      </c>
      <c r="CP422" s="55">
        <f t="shared" si="2641"/>
        <v>0</v>
      </c>
      <c r="CQ422" s="55">
        <f t="shared" si="2641"/>
        <v>0</v>
      </c>
      <c r="CR422" s="55">
        <f t="shared" si="2641"/>
        <v>0</v>
      </c>
      <c r="CS422" s="55">
        <f t="shared" ref="CS422:DC422" si="2642">CS410+CS383</f>
        <v>0</v>
      </c>
      <c r="CT422" s="55">
        <f t="shared" si="2642"/>
        <v>0</v>
      </c>
      <c r="CU422" s="55">
        <f t="shared" si="2642"/>
        <v>0</v>
      </c>
      <c r="CV422" s="55">
        <f t="shared" si="2642"/>
        <v>0</v>
      </c>
      <c r="CW422" s="55">
        <f t="shared" si="2642"/>
        <v>0</v>
      </c>
      <c r="CX422" s="55">
        <f t="shared" si="2642"/>
        <v>0</v>
      </c>
      <c r="CY422" s="55">
        <f t="shared" si="2642"/>
        <v>0</v>
      </c>
      <c r="CZ422" s="56">
        <f t="shared" si="2642"/>
        <v>0</v>
      </c>
      <c r="DA422" s="55">
        <f t="shared" si="2642"/>
        <v>0</v>
      </c>
      <c r="DB422" s="55">
        <f t="shared" si="2642"/>
        <v>0</v>
      </c>
      <c r="DC422" s="55">
        <f t="shared" si="2642"/>
        <v>0</v>
      </c>
      <c r="DD422" s="55">
        <f t="shared" ref="DD422:DE425" si="2643">DD410+DD383</f>
        <v>0</v>
      </c>
      <c r="DE422" s="55">
        <f t="shared" si="2643"/>
        <v>0</v>
      </c>
      <c r="DF422" s="55">
        <f>DF410+DF383</f>
        <v>0</v>
      </c>
      <c r="DG422" s="55">
        <f t="shared" ref="DG422:DG425" si="2644">DG410+DG383</f>
        <v>0</v>
      </c>
      <c r="DH422" s="55">
        <f t="shared" ref="DH422:DI425" si="2645">DH410+DH383</f>
        <v>0</v>
      </c>
      <c r="DI422" s="55">
        <f t="shared" si="2645"/>
        <v>0</v>
      </c>
    </row>
    <row r="423" spans="1:113" outlineLevel="2">
      <c r="A423" s="1" t="s">
        <v>88</v>
      </c>
      <c r="B423" s="19" t="s">
        <v>370</v>
      </c>
      <c r="C423" s="55">
        <f t="shared" si="2623"/>
        <v>0</v>
      </c>
      <c r="D423" s="55">
        <f t="shared" si="2623"/>
        <v>0</v>
      </c>
      <c r="E423" s="55">
        <f t="shared" si="2623"/>
        <v>0</v>
      </c>
      <c r="F423" s="55">
        <f t="shared" si="2623"/>
        <v>0</v>
      </c>
      <c r="G423" s="55">
        <f t="shared" si="2623"/>
        <v>0</v>
      </c>
      <c r="H423" s="55">
        <f t="shared" si="2623"/>
        <v>0</v>
      </c>
      <c r="I423" s="55">
        <f t="shared" si="2623"/>
        <v>0</v>
      </c>
      <c r="J423" s="55">
        <f t="shared" si="2623"/>
        <v>0</v>
      </c>
      <c r="K423" s="55">
        <f t="shared" si="2623"/>
        <v>0</v>
      </c>
      <c r="L423" s="55">
        <f t="shared" si="2623"/>
        <v>0</v>
      </c>
      <c r="M423" s="55">
        <f t="shared" ref="M423:AG423" si="2646">M411+M384</f>
        <v>0</v>
      </c>
      <c r="N423" s="55">
        <f t="shared" si="2646"/>
        <v>0</v>
      </c>
      <c r="O423" s="55">
        <f t="shared" si="2646"/>
        <v>0</v>
      </c>
      <c r="P423" s="55">
        <f t="shared" si="2646"/>
        <v>0</v>
      </c>
      <c r="Q423" s="55">
        <f t="shared" si="2646"/>
        <v>0</v>
      </c>
      <c r="R423" s="55">
        <f t="shared" si="2646"/>
        <v>0</v>
      </c>
      <c r="S423" s="55">
        <f t="shared" si="2646"/>
        <v>0</v>
      </c>
      <c r="T423" s="55">
        <f t="shared" si="2646"/>
        <v>0</v>
      </c>
      <c r="U423" s="55">
        <f t="shared" si="2646"/>
        <v>0</v>
      </c>
      <c r="V423" s="55">
        <f t="shared" si="2646"/>
        <v>0</v>
      </c>
      <c r="W423" s="55">
        <f t="shared" si="2646"/>
        <v>0</v>
      </c>
      <c r="X423" s="55">
        <f t="shared" si="2646"/>
        <v>0</v>
      </c>
      <c r="Y423" s="55">
        <f t="shared" si="2625"/>
        <v>0</v>
      </c>
      <c r="Z423" s="55">
        <f t="shared" si="2625"/>
        <v>0</v>
      </c>
      <c r="AA423" s="55">
        <f t="shared" si="2646"/>
        <v>0</v>
      </c>
      <c r="AB423" s="55">
        <f t="shared" si="2646"/>
        <v>0</v>
      </c>
      <c r="AC423" s="55">
        <f t="shared" si="2646"/>
        <v>0</v>
      </c>
      <c r="AD423" s="55">
        <f t="shared" si="2646"/>
        <v>0</v>
      </c>
      <c r="AE423" s="55">
        <f t="shared" si="2626"/>
        <v>0</v>
      </c>
      <c r="AF423" s="55">
        <f t="shared" si="2626"/>
        <v>0</v>
      </c>
      <c r="AG423" s="55">
        <f t="shared" si="2646"/>
        <v>0</v>
      </c>
      <c r="AH423" s="55">
        <f t="shared" si="2627"/>
        <v>0</v>
      </c>
      <c r="AI423" s="55">
        <f t="shared" si="2627"/>
        <v>0</v>
      </c>
      <c r="AJ423" s="55">
        <f t="shared" si="2627"/>
        <v>0</v>
      </c>
      <c r="AK423" s="55">
        <f t="shared" si="2627"/>
        <v>0</v>
      </c>
      <c r="AL423" s="55">
        <f t="shared" si="2628"/>
        <v>0</v>
      </c>
      <c r="AM423" s="55">
        <f t="shared" si="2628"/>
        <v>0</v>
      </c>
      <c r="AN423" s="55">
        <f t="shared" si="2629"/>
        <v>0</v>
      </c>
      <c r="AO423" s="55">
        <f t="shared" si="2629"/>
        <v>0</v>
      </c>
      <c r="AP423" s="55">
        <f t="shared" ref="AP423:AQ423" si="2647">AP411+AP384</f>
        <v>0</v>
      </c>
      <c r="AQ423" s="55">
        <f t="shared" si="2647"/>
        <v>0</v>
      </c>
      <c r="AR423" s="55">
        <f t="shared" ref="AR423" si="2648">AR411+AR384</f>
        <v>0</v>
      </c>
      <c r="AS423" s="55">
        <f t="shared" ref="AS423:AT423" si="2649">AS411+AS384</f>
        <v>0</v>
      </c>
      <c r="AT423" s="55">
        <f t="shared" si="2649"/>
        <v>0</v>
      </c>
      <c r="AU423" s="55">
        <f t="shared" ref="AU423:AV423" si="2650">AU411+AU384</f>
        <v>0</v>
      </c>
      <c r="AV423" s="55">
        <f t="shared" si="2650"/>
        <v>0</v>
      </c>
      <c r="AW423" s="55">
        <f t="shared" ref="AW423:AX423" si="2651">AW411+AW384</f>
        <v>0</v>
      </c>
      <c r="AX423" s="55">
        <f t="shared" si="2651"/>
        <v>0</v>
      </c>
      <c r="AY423" s="55">
        <f t="shared" ref="AY423:BE423" si="2652">AY411+AY384</f>
        <v>0</v>
      </c>
      <c r="AZ423" s="56">
        <f t="shared" si="2652"/>
        <v>0</v>
      </c>
      <c r="BA423" s="55">
        <f t="shared" si="2652"/>
        <v>0</v>
      </c>
      <c r="BB423" s="55">
        <f t="shared" si="2652"/>
        <v>0</v>
      </c>
      <c r="BC423" s="55">
        <f t="shared" si="2652"/>
        <v>0</v>
      </c>
      <c r="BD423" s="55">
        <f t="shared" si="2652"/>
        <v>0</v>
      </c>
      <c r="BE423" s="55">
        <f t="shared" si="2652"/>
        <v>0</v>
      </c>
      <c r="BF423" s="55">
        <f t="shared" si="2636"/>
        <v>0</v>
      </c>
      <c r="BG423" s="55">
        <f t="shared" si="2636"/>
        <v>0</v>
      </c>
      <c r="BH423" s="55">
        <f t="shared" si="2636"/>
        <v>0</v>
      </c>
      <c r="BI423" s="55">
        <f t="shared" si="2636"/>
        <v>0</v>
      </c>
      <c r="BJ423" s="55">
        <f t="shared" ref="BJ423:BK423" si="2653">BJ411+BJ384</f>
        <v>0</v>
      </c>
      <c r="BK423" s="55">
        <f t="shared" si="2653"/>
        <v>0</v>
      </c>
      <c r="BL423" s="55">
        <f t="shared" si="2637"/>
        <v>0</v>
      </c>
      <c r="BM423" s="55">
        <f t="shared" si="2637"/>
        <v>0</v>
      </c>
      <c r="BN423" s="55">
        <f t="shared" ref="BN423:BO423" si="2654">BN411+BN384</f>
        <v>0</v>
      </c>
      <c r="BO423" s="55">
        <f t="shared" si="2654"/>
        <v>0</v>
      </c>
      <c r="BP423" s="55">
        <f t="shared" ref="BP423:BQ423" si="2655">BP411+BP384</f>
        <v>0</v>
      </c>
      <c r="BQ423" s="55">
        <f t="shared" si="2655"/>
        <v>0</v>
      </c>
      <c r="BR423" s="55"/>
      <c r="BS423" s="55">
        <f t="shared" si="2640"/>
        <v>0</v>
      </c>
      <c r="BT423" s="55">
        <f t="shared" si="2640"/>
        <v>0</v>
      </c>
      <c r="BU423" s="55">
        <f t="shared" si="2640"/>
        <v>0</v>
      </c>
      <c r="BV423" s="55">
        <f t="shared" si="2640"/>
        <v>0</v>
      </c>
      <c r="BW423" s="55">
        <f t="shared" si="2640"/>
        <v>0</v>
      </c>
      <c r="BX423" s="55">
        <f t="shared" si="2640"/>
        <v>0</v>
      </c>
      <c r="BY423" s="55">
        <f t="shared" si="2640"/>
        <v>0</v>
      </c>
      <c r="BZ423" s="55">
        <f t="shared" si="2640"/>
        <v>0</v>
      </c>
      <c r="CA423" s="55">
        <f t="shared" si="2640"/>
        <v>0</v>
      </c>
      <c r="CB423" s="55">
        <f t="shared" si="2640"/>
        <v>0</v>
      </c>
      <c r="CC423" s="55">
        <f t="shared" ref="CC423:CR423" si="2656">CC411+CC384</f>
        <v>0</v>
      </c>
      <c r="CD423" s="55">
        <f t="shared" si="2656"/>
        <v>0</v>
      </c>
      <c r="CE423" s="55">
        <f t="shared" si="2656"/>
        <v>0</v>
      </c>
      <c r="CF423" s="55">
        <f t="shared" si="2656"/>
        <v>0</v>
      </c>
      <c r="CG423" s="55">
        <f t="shared" si="2656"/>
        <v>0</v>
      </c>
      <c r="CH423" s="55">
        <f t="shared" si="2656"/>
        <v>0</v>
      </c>
      <c r="CI423" s="55">
        <f t="shared" si="2656"/>
        <v>0</v>
      </c>
      <c r="CJ423" s="55">
        <f t="shared" si="2656"/>
        <v>0</v>
      </c>
      <c r="CK423" s="55">
        <f t="shared" si="2656"/>
        <v>0</v>
      </c>
      <c r="CL423" s="55">
        <f t="shared" si="2656"/>
        <v>0</v>
      </c>
      <c r="CM423" s="55">
        <f t="shared" si="2656"/>
        <v>0</v>
      </c>
      <c r="CN423" s="55">
        <f t="shared" si="2656"/>
        <v>0</v>
      </c>
      <c r="CO423" s="55">
        <f t="shared" si="2656"/>
        <v>0</v>
      </c>
      <c r="CP423" s="55">
        <f t="shared" si="2656"/>
        <v>0</v>
      </c>
      <c r="CQ423" s="55">
        <f t="shared" si="2656"/>
        <v>0</v>
      </c>
      <c r="CR423" s="55">
        <f t="shared" si="2656"/>
        <v>0</v>
      </c>
      <c r="CS423" s="55">
        <f t="shared" ref="CS423:DC423" si="2657">CS411+CS384</f>
        <v>0</v>
      </c>
      <c r="CT423" s="55">
        <f t="shared" si="2657"/>
        <v>0</v>
      </c>
      <c r="CU423" s="55">
        <f t="shared" si="2657"/>
        <v>0</v>
      </c>
      <c r="CV423" s="55">
        <f t="shared" si="2657"/>
        <v>0</v>
      </c>
      <c r="CW423" s="55">
        <f t="shared" si="2657"/>
        <v>0</v>
      </c>
      <c r="CX423" s="55">
        <f t="shared" si="2657"/>
        <v>0</v>
      </c>
      <c r="CY423" s="55">
        <f t="shared" si="2657"/>
        <v>0</v>
      </c>
      <c r="CZ423" s="56">
        <f t="shared" si="2657"/>
        <v>0</v>
      </c>
      <c r="DA423" s="55">
        <f t="shared" si="2657"/>
        <v>0</v>
      </c>
      <c r="DB423" s="55">
        <f t="shared" si="2657"/>
        <v>0</v>
      </c>
      <c r="DC423" s="55">
        <f t="shared" si="2657"/>
        <v>0</v>
      </c>
      <c r="DD423" s="55">
        <f t="shared" si="2643"/>
        <v>0</v>
      </c>
      <c r="DE423" s="55">
        <f t="shared" si="2643"/>
        <v>0</v>
      </c>
      <c r="DF423" s="55">
        <f>DF411+DF384</f>
        <v>0</v>
      </c>
      <c r="DG423" s="55">
        <f t="shared" si="2644"/>
        <v>0</v>
      </c>
      <c r="DH423" s="55">
        <f t="shared" si="2645"/>
        <v>0</v>
      </c>
      <c r="DI423" s="55">
        <f t="shared" si="2645"/>
        <v>0</v>
      </c>
    </row>
    <row r="424" spans="1:113" outlineLevel="2">
      <c r="A424" s="1" t="s">
        <v>89</v>
      </c>
      <c r="B424" s="19" t="s">
        <v>360</v>
      </c>
      <c r="C424" s="55">
        <f t="shared" si="2623"/>
        <v>0</v>
      </c>
      <c r="D424" s="55">
        <f t="shared" si="2623"/>
        <v>0</v>
      </c>
      <c r="E424" s="55">
        <f t="shared" si="2623"/>
        <v>0</v>
      </c>
      <c r="F424" s="55">
        <f t="shared" si="2623"/>
        <v>0</v>
      </c>
      <c r="G424" s="55">
        <f t="shared" si="2623"/>
        <v>0</v>
      </c>
      <c r="H424" s="55">
        <f t="shared" si="2623"/>
        <v>0</v>
      </c>
      <c r="I424" s="55">
        <f t="shared" si="2623"/>
        <v>0</v>
      </c>
      <c r="J424" s="55">
        <f t="shared" si="2623"/>
        <v>0</v>
      </c>
      <c r="K424" s="55">
        <f t="shared" si="2623"/>
        <v>0</v>
      </c>
      <c r="L424" s="55">
        <f t="shared" si="2623"/>
        <v>0</v>
      </c>
      <c r="M424" s="55">
        <f t="shared" ref="M424:AG424" si="2658">M412+M385</f>
        <v>0</v>
      </c>
      <c r="N424" s="55">
        <f t="shared" si="2658"/>
        <v>0</v>
      </c>
      <c r="O424" s="55">
        <f t="shared" si="2658"/>
        <v>0</v>
      </c>
      <c r="P424" s="55">
        <f t="shared" si="2658"/>
        <v>0</v>
      </c>
      <c r="Q424" s="55">
        <f t="shared" si="2658"/>
        <v>0</v>
      </c>
      <c r="R424" s="55">
        <f t="shared" si="2658"/>
        <v>0</v>
      </c>
      <c r="S424" s="55">
        <f t="shared" si="2658"/>
        <v>0</v>
      </c>
      <c r="T424" s="55">
        <f t="shared" si="2658"/>
        <v>0</v>
      </c>
      <c r="U424" s="55">
        <f t="shared" si="2658"/>
        <v>0</v>
      </c>
      <c r="V424" s="55">
        <f t="shared" si="2658"/>
        <v>0</v>
      </c>
      <c r="W424" s="55">
        <f t="shared" si="2658"/>
        <v>0</v>
      </c>
      <c r="X424" s="55">
        <f t="shared" si="2658"/>
        <v>0</v>
      </c>
      <c r="Y424" s="55">
        <f t="shared" si="2625"/>
        <v>0</v>
      </c>
      <c r="Z424" s="55">
        <f t="shared" si="2625"/>
        <v>0</v>
      </c>
      <c r="AA424" s="55">
        <f t="shared" si="2658"/>
        <v>0</v>
      </c>
      <c r="AB424" s="55">
        <f t="shared" si="2658"/>
        <v>0</v>
      </c>
      <c r="AC424" s="55">
        <f t="shared" si="2658"/>
        <v>0</v>
      </c>
      <c r="AD424" s="55">
        <f t="shared" si="2658"/>
        <v>0</v>
      </c>
      <c r="AE424" s="55">
        <f t="shared" si="2626"/>
        <v>0</v>
      </c>
      <c r="AF424" s="55">
        <f t="shared" si="2626"/>
        <v>0</v>
      </c>
      <c r="AG424" s="55">
        <f t="shared" si="2658"/>
        <v>0</v>
      </c>
      <c r="AH424" s="55">
        <f t="shared" si="2627"/>
        <v>0</v>
      </c>
      <c r="AI424" s="55">
        <f t="shared" si="2627"/>
        <v>0</v>
      </c>
      <c r="AJ424" s="55">
        <f t="shared" si="2627"/>
        <v>0</v>
      </c>
      <c r="AK424" s="55">
        <f t="shared" si="2627"/>
        <v>0</v>
      </c>
      <c r="AL424" s="55">
        <f t="shared" si="2628"/>
        <v>0</v>
      </c>
      <c r="AM424" s="55">
        <f t="shared" si="2628"/>
        <v>0</v>
      </c>
      <c r="AN424" s="55">
        <f t="shared" si="2629"/>
        <v>0</v>
      </c>
      <c r="AO424" s="55">
        <f t="shared" si="2629"/>
        <v>0</v>
      </c>
      <c r="AP424" s="55">
        <f t="shared" ref="AP424:AQ424" si="2659">AP412+AP385</f>
        <v>0</v>
      </c>
      <c r="AQ424" s="55">
        <f t="shared" si="2659"/>
        <v>0</v>
      </c>
      <c r="AR424" s="55">
        <f t="shared" ref="AR424" si="2660">AR412+AR385</f>
        <v>0</v>
      </c>
      <c r="AS424" s="55">
        <f t="shared" ref="AS424:AT424" si="2661">AS412+AS385</f>
        <v>0</v>
      </c>
      <c r="AT424" s="55">
        <f t="shared" si="2661"/>
        <v>0</v>
      </c>
      <c r="AU424" s="55">
        <f t="shared" ref="AU424:AV424" si="2662">AU412+AU385</f>
        <v>0</v>
      </c>
      <c r="AV424" s="55">
        <f t="shared" si="2662"/>
        <v>0</v>
      </c>
      <c r="AW424" s="55">
        <f t="shared" ref="AW424:AX424" si="2663">AW412+AW385</f>
        <v>0</v>
      </c>
      <c r="AX424" s="55">
        <f t="shared" si="2663"/>
        <v>0</v>
      </c>
      <c r="AY424" s="55">
        <f t="shared" ref="AY424:BE424" si="2664">AY412+AY385</f>
        <v>0</v>
      </c>
      <c r="AZ424" s="56">
        <f t="shared" si="2664"/>
        <v>0</v>
      </c>
      <c r="BA424" s="55">
        <f t="shared" si="2664"/>
        <v>0</v>
      </c>
      <c r="BB424" s="55">
        <f t="shared" si="2664"/>
        <v>0</v>
      </c>
      <c r="BC424" s="55">
        <f t="shared" si="2664"/>
        <v>0</v>
      </c>
      <c r="BD424" s="55">
        <f t="shared" si="2664"/>
        <v>0</v>
      </c>
      <c r="BE424" s="55">
        <f t="shared" si="2664"/>
        <v>0</v>
      </c>
      <c r="BF424" s="55">
        <f t="shared" si="2636"/>
        <v>0</v>
      </c>
      <c r="BG424" s="55">
        <f t="shared" si="2636"/>
        <v>0</v>
      </c>
      <c r="BH424" s="55">
        <f t="shared" si="2636"/>
        <v>0</v>
      </c>
      <c r="BI424" s="55">
        <f t="shared" si="2636"/>
        <v>0</v>
      </c>
      <c r="BJ424" s="55">
        <f t="shared" ref="BJ424:BK424" si="2665">BJ412+BJ385</f>
        <v>0</v>
      </c>
      <c r="BK424" s="55">
        <f t="shared" si="2665"/>
        <v>0</v>
      </c>
      <c r="BL424" s="55">
        <f t="shared" si="2637"/>
        <v>0</v>
      </c>
      <c r="BM424" s="55">
        <f t="shared" si="2637"/>
        <v>0</v>
      </c>
      <c r="BN424" s="55">
        <f t="shared" ref="BN424:BO424" si="2666">BN412+BN385</f>
        <v>0</v>
      </c>
      <c r="BO424" s="55">
        <f t="shared" si="2666"/>
        <v>0</v>
      </c>
      <c r="BP424" s="55">
        <f t="shared" ref="BP424:BQ424" si="2667">BP412+BP385</f>
        <v>0</v>
      </c>
      <c r="BQ424" s="55">
        <f t="shared" si="2667"/>
        <v>0</v>
      </c>
      <c r="BR424" s="55"/>
      <c r="BS424" s="55">
        <f t="shared" si="2640"/>
        <v>0</v>
      </c>
      <c r="BT424" s="55">
        <f t="shared" si="2640"/>
        <v>0</v>
      </c>
      <c r="BU424" s="55">
        <f t="shared" si="2640"/>
        <v>0</v>
      </c>
      <c r="BV424" s="55">
        <f t="shared" si="2640"/>
        <v>0</v>
      </c>
      <c r="BW424" s="55">
        <f t="shared" si="2640"/>
        <v>0</v>
      </c>
      <c r="BX424" s="55">
        <f t="shared" si="2640"/>
        <v>0</v>
      </c>
      <c r="BY424" s="55">
        <f t="shared" si="2640"/>
        <v>0</v>
      </c>
      <c r="BZ424" s="55">
        <f t="shared" si="2640"/>
        <v>0</v>
      </c>
      <c r="CA424" s="55">
        <f t="shared" si="2640"/>
        <v>0</v>
      </c>
      <c r="CB424" s="55">
        <f t="shared" si="2640"/>
        <v>0</v>
      </c>
      <c r="CC424" s="55">
        <f t="shared" ref="CC424:CR424" si="2668">CC412+CC385</f>
        <v>0</v>
      </c>
      <c r="CD424" s="55">
        <f t="shared" si="2668"/>
        <v>0</v>
      </c>
      <c r="CE424" s="55">
        <f t="shared" si="2668"/>
        <v>0</v>
      </c>
      <c r="CF424" s="55">
        <f t="shared" si="2668"/>
        <v>0</v>
      </c>
      <c r="CG424" s="55">
        <f t="shared" si="2668"/>
        <v>0</v>
      </c>
      <c r="CH424" s="55">
        <f t="shared" si="2668"/>
        <v>0</v>
      </c>
      <c r="CI424" s="55">
        <f t="shared" si="2668"/>
        <v>0</v>
      </c>
      <c r="CJ424" s="55">
        <f t="shared" si="2668"/>
        <v>0</v>
      </c>
      <c r="CK424" s="55">
        <f t="shared" si="2668"/>
        <v>0</v>
      </c>
      <c r="CL424" s="55">
        <f t="shared" si="2668"/>
        <v>0</v>
      </c>
      <c r="CM424" s="55">
        <f t="shared" si="2668"/>
        <v>0</v>
      </c>
      <c r="CN424" s="55">
        <f t="shared" si="2668"/>
        <v>0</v>
      </c>
      <c r="CO424" s="55">
        <f t="shared" si="2668"/>
        <v>0</v>
      </c>
      <c r="CP424" s="55">
        <f t="shared" si="2668"/>
        <v>0</v>
      </c>
      <c r="CQ424" s="55">
        <f t="shared" si="2668"/>
        <v>0</v>
      </c>
      <c r="CR424" s="55">
        <f t="shared" si="2668"/>
        <v>0</v>
      </c>
      <c r="CS424" s="55">
        <f t="shared" ref="CS424:DC424" si="2669">CS412+CS385</f>
        <v>0</v>
      </c>
      <c r="CT424" s="55">
        <f t="shared" si="2669"/>
        <v>0</v>
      </c>
      <c r="CU424" s="55">
        <f t="shared" si="2669"/>
        <v>0</v>
      </c>
      <c r="CV424" s="55">
        <f t="shared" si="2669"/>
        <v>0</v>
      </c>
      <c r="CW424" s="55">
        <f t="shared" si="2669"/>
        <v>0</v>
      </c>
      <c r="CX424" s="55">
        <f t="shared" si="2669"/>
        <v>0</v>
      </c>
      <c r="CY424" s="55">
        <f t="shared" si="2669"/>
        <v>0</v>
      </c>
      <c r="CZ424" s="56">
        <f t="shared" si="2669"/>
        <v>0</v>
      </c>
      <c r="DA424" s="55">
        <f t="shared" si="2669"/>
        <v>0</v>
      </c>
      <c r="DB424" s="55">
        <f t="shared" si="2669"/>
        <v>0</v>
      </c>
      <c r="DC424" s="55">
        <f t="shared" si="2669"/>
        <v>0</v>
      </c>
      <c r="DD424" s="55">
        <f t="shared" si="2643"/>
        <v>0</v>
      </c>
      <c r="DE424" s="55">
        <f t="shared" si="2643"/>
        <v>0</v>
      </c>
      <c r="DF424" s="55">
        <f>DF412+DF385</f>
        <v>0</v>
      </c>
      <c r="DG424" s="55">
        <f t="shared" si="2644"/>
        <v>0</v>
      </c>
      <c r="DH424" s="55">
        <f t="shared" si="2645"/>
        <v>0</v>
      </c>
      <c r="DI424" s="55">
        <f t="shared" si="2645"/>
        <v>0</v>
      </c>
    </row>
    <row r="425" spans="1:113" outlineLevel="2">
      <c r="A425" s="1" t="s">
        <v>90</v>
      </c>
      <c r="B425" s="19" t="s">
        <v>423</v>
      </c>
      <c r="C425" s="55">
        <f t="shared" si="2623"/>
        <v>0</v>
      </c>
      <c r="D425" s="55">
        <f t="shared" si="2623"/>
        <v>0</v>
      </c>
      <c r="E425" s="55">
        <f t="shared" si="2623"/>
        <v>0</v>
      </c>
      <c r="F425" s="55">
        <f t="shared" si="2623"/>
        <v>0</v>
      </c>
      <c r="G425" s="55">
        <f t="shared" si="2623"/>
        <v>0</v>
      </c>
      <c r="H425" s="55">
        <f t="shared" si="2623"/>
        <v>0</v>
      </c>
      <c r="I425" s="55">
        <f t="shared" si="2623"/>
        <v>0</v>
      </c>
      <c r="J425" s="55">
        <f t="shared" si="2623"/>
        <v>0</v>
      </c>
      <c r="K425" s="55">
        <f t="shared" si="2623"/>
        <v>0</v>
      </c>
      <c r="L425" s="55">
        <f t="shared" si="2623"/>
        <v>0</v>
      </c>
      <c r="M425" s="55">
        <f t="shared" ref="M425:AG425" si="2670">M413+M386</f>
        <v>0</v>
      </c>
      <c r="N425" s="55">
        <f t="shared" si="2670"/>
        <v>0</v>
      </c>
      <c r="O425" s="55">
        <f t="shared" si="2670"/>
        <v>0</v>
      </c>
      <c r="P425" s="55">
        <f t="shared" si="2670"/>
        <v>0</v>
      </c>
      <c r="Q425" s="55">
        <f t="shared" si="2670"/>
        <v>0</v>
      </c>
      <c r="R425" s="55">
        <f t="shared" si="2670"/>
        <v>0</v>
      </c>
      <c r="S425" s="55">
        <f t="shared" si="2670"/>
        <v>0</v>
      </c>
      <c r="T425" s="55">
        <f t="shared" si="2670"/>
        <v>0</v>
      </c>
      <c r="U425" s="55">
        <f t="shared" si="2670"/>
        <v>0</v>
      </c>
      <c r="V425" s="55">
        <f t="shared" si="2670"/>
        <v>0</v>
      </c>
      <c r="W425" s="55">
        <f t="shared" si="2670"/>
        <v>0</v>
      </c>
      <c r="X425" s="55">
        <f t="shared" si="2670"/>
        <v>0</v>
      </c>
      <c r="Y425" s="55">
        <f t="shared" si="2625"/>
        <v>0</v>
      </c>
      <c r="Z425" s="55">
        <f t="shared" si="2625"/>
        <v>0</v>
      </c>
      <c r="AA425" s="55">
        <f t="shared" si="2670"/>
        <v>0</v>
      </c>
      <c r="AB425" s="55">
        <f t="shared" si="2670"/>
        <v>0</v>
      </c>
      <c r="AC425" s="55">
        <f t="shared" si="2670"/>
        <v>0</v>
      </c>
      <c r="AD425" s="55">
        <f t="shared" si="2670"/>
        <v>0</v>
      </c>
      <c r="AE425" s="55">
        <f t="shared" si="2626"/>
        <v>0</v>
      </c>
      <c r="AF425" s="55">
        <f t="shared" si="2626"/>
        <v>0</v>
      </c>
      <c r="AG425" s="55">
        <f t="shared" si="2670"/>
        <v>0</v>
      </c>
      <c r="AH425" s="55">
        <f t="shared" si="2627"/>
        <v>0</v>
      </c>
      <c r="AI425" s="55">
        <f t="shared" si="2627"/>
        <v>0</v>
      </c>
      <c r="AJ425" s="55">
        <f t="shared" si="2627"/>
        <v>0</v>
      </c>
      <c r="AK425" s="55">
        <f t="shared" si="2627"/>
        <v>0</v>
      </c>
      <c r="AL425" s="55">
        <f t="shared" si="2628"/>
        <v>0</v>
      </c>
      <c r="AM425" s="55">
        <f t="shared" si="2628"/>
        <v>0</v>
      </c>
      <c r="AN425" s="55">
        <f t="shared" si="2629"/>
        <v>0</v>
      </c>
      <c r="AO425" s="55">
        <f t="shared" si="2629"/>
        <v>0</v>
      </c>
      <c r="AP425" s="55">
        <f t="shared" ref="AP425:AQ425" si="2671">AP413+AP386</f>
        <v>0</v>
      </c>
      <c r="AQ425" s="55">
        <f t="shared" si="2671"/>
        <v>0</v>
      </c>
      <c r="AR425" s="55">
        <f t="shared" ref="AR425" si="2672">AR413+AR386</f>
        <v>0</v>
      </c>
      <c r="AS425" s="55">
        <f t="shared" ref="AS425:AT425" si="2673">AS413+AS386</f>
        <v>0</v>
      </c>
      <c r="AT425" s="55">
        <f t="shared" si="2673"/>
        <v>0</v>
      </c>
      <c r="AU425" s="55">
        <f t="shared" ref="AU425:AV425" si="2674">AU413+AU386</f>
        <v>0</v>
      </c>
      <c r="AV425" s="55">
        <f t="shared" si="2674"/>
        <v>0</v>
      </c>
      <c r="AW425" s="55">
        <f t="shared" ref="AW425:AX425" si="2675">AW413+AW386</f>
        <v>0</v>
      </c>
      <c r="AX425" s="55">
        <f t="shared" si="2675"/>
        <v>0</v>
      </c>
      <c r="AY425" s="55">
        <f t="shared" ref="AY425:BE425" si="2676">AY413+AY386</f>
        <v>0</v>
      </c>
      <c r="AZ425" s="56">
        <f t="shared" si="2676"/>
        <v>0</v>
      </c>
      <c r="BA425" s="55">
        <f t="shared" si="2676"/>
        <v>0</v>
      </c>
      <c r="BB425" s="55">
        <f t="shared" si="2676"/>
        <v>0</v>
      </c>
      <c r="BC425" s="55">
        <f t="shared" si="2676"/>
        <v>0</v>
      </c>
      <c r="BD425" s="55">
        <f t="shared" si="2676"/>
        <v>0</v>
      </c>
      <c r="BE425" s="55">
        <f t="shared" si="2676"/>
        <v>0</v>
      </c>
      <c r="BF425" s="55">
        <f t="shared" si="2636"/>
        <v>0</v>
      </c>
      <c r="BG425" s="55">
        <f t="shared" si="2636"/>
        <v>0</v>
      </c>
      <c r="BH425" s="55">
        <f t="shared" si="2636"/>
        <v>0</v>
      </c>
      <c r="BI425" s="55">
        <f t="shared" si="2636"/>
        <v>0</v>
      </c>
      <c r="BJ425" s="55">
        <f t="shared" ref="BJ425:BK425" si="2677">BJ413+BJ386</f>
        <v>0</v>
      </c>
      <c r="BK425" s="55">
        <f t="shared" si="2677"/>
        <v>0</v>
      </c>
      <c r="BL425" s="55">
        <f t="shared" si="2637"/>
        <v>0</v>
      </c>
      <c r="BM425" s="55">
        <f t="shared" si="2637"/>
        <v>0</v>
      </c>
      <c r="BN425" s="55">
        <f t="shared" ref="BN425:BO425" si="2678">BN413+BN386</f>
        <v>0</v>
      </c>
      <c r="BO425" s="55">
        <f t="shared" si="2678"/>
        <v>0</v>
      </c>
      <c r="BP425" s="55">
        <f t="shared" ref="BP425:BQ425" si="2679">BP413+BP386</f>
        <v>0</v>
      </c>
      <c r="BQ425" s="55">
        <f t="shared" si="2679"/>
        <v>0</v>
      </c>
      <c r="BR425" s="55"/>
      <c r="BS425" s="55">
        <f t="shared" si="2640"/>
        <v>0</v>
      </c>
      <c r="BT425" s="55">
        <f t="shared" si="2640"/>
        <v>0</v>
      </c>
      <c r="BU425" s="55">
        <f t="shared" si="2640"/>
        <v>0</v>
      </c>
      <c r="BV425" s="55">
        <f t="shared" si="2640"/>
        <v>0</v>
      </c>
      <c r="BW425" s="55">
        <f t="shared" si="2640"/>
        <v>0</v>
      </c>
      <c r="BX425" s="55">
        <f t="shared" si="2640"/>
        <v>0</v>
      </c>
      <c r="BY425" s="55">
        <f t="shared" si="2640"/>
        <v>0</v>
      </c>
      <c r="BZ425" s="55">
        <f t="shared" si="2640"/>
        <v>0</v>
      </c>
      <c r="CA425" s="55">
        <f t="shared" si="2640"/>
        <v>0</v>
      </c>
      <c r="CB425" s="55">
        <f t="shared" si="2640"/>
        <v>0</v>
      </c>
      <c r="CC425" s="55">
        <f t="shared" ref="CC425:CR425" si="2680">CC413+CC386</f>
        <v>0</v>
      </c>
      <c r="CD425" s="55">
        <f t="shared" si="2680"/>
        <v>0</v>
      </c>
      <c r="CE425" s="55">
        <f t="shared" si="2680"/>
        <v>0</v>
      </c>
      <c r="CF425" s="55">
        <f t="shared" si="2680"/>
        <v>0</v>
      </c>
      <c r="CG425" s="55">
        <f t="shared" si="2680"/>
        <v>0</v>
      </c>
      <c r="CH425" s="55">
        <f t="shared" si="2680"/>
        <v>0</v>
      </c>
      <c r="CI425" s="55">
        <f t="shared" si="2680"/>
        <v>0</v>
      </c>
      <c r="CJ425" s="55">
        <f t="shared" si="2680"/>
        <v>0</v>
      </c>
      <c r="CK425" s="55">
        <f t="shared" si="2680"/>
        <v>0</v>
      </c>
      <c r="CL425" s="55">
        <f t="shared" si="2680"/>
        <v>0</v>
      </c>
      <c r="CM425" s="55">
        <f t="shared" si="2680"/>
        <v>0</v>
      </c>
      <c r="CN425" s="55">
        <f t="shared" si="2680"/>
        <v>0</v>
      </c>
      <c r="CO425" s="55">
        <f t="shared" si="2680"/>
        <v>0</v>
      </c>
      <c r="CP425" s="55">
        <f t="shared" si="2680"/>
        <v>0</v>
      </c>
      <c r="CQ425" s="55">
        <f t="shared" si="2680"/>
        <v>0</v>
      </c>
      <c r="CR425" s="55">
        <f t="shared" si="2680"/>
        <v>0</v>
      </c>
      <c r="CS425" s="55">
        <f t="shared" ref="CS425:DC425" si="2681">CS413+CS386</f>
        <v>0</v>
      </c>
      <c r="CT425" s="55">
        <f t="shared" si="2681"/>
        <v>0</v>
      </c>
      <c r="CU425" s="55">
        <f t="shared" si="2681"/>
        <v>0</v>
      </c>
      <c r="CV425" s="55">
        <f t="shared" si="2681"/>
        <v>0</v>
      </c>
      <c r="CW425" s="55">
        <f t="shared" si="2681"/>
        <v>0</v>
      </c>
      <c r="CX425" s="55">
        <f t="shared" si="2681"/>
        <v>0</v>
      </c>
      <c r="CY425" s="55">
        <f t="shared" si="2681"/>
        <v>0</v>
      </c>
      <c r="CZ425" s="56">
        <f t="shared" si="2681"/>
        <v>0</v>
      </c>
      <c r="DA425" s="55">
        <f t="shared" si="2681"/>
        <v>0</v>
      </c>
      <c r="DB425" s="55">
        <f t="shared" si="2681"/>
        <v>0</v>
      </c>
      <c r="DC425" s="55">
        <f t="shared" si="2681"/>
        <v>0</v>
      </c>
      <c r="DD425" s="55">
        <f t="shared" si="2643"/>
        <v>0</v>
      </c>
      <c r="DE425" s="55">
        <f t="shared" si="2643"/>
        <v>0</v>
      </c>
      <c r="DF425" s="55">
        <f>DF413+DF386</f>
        <v>0</v>
      </c>
      <c r="DG425" s="55">
        <f t="shared" si="2644"/>
        <v>0</v>
      </c>
      <c r="DH425" s="55">
        <f t="shared" si="2645"/>
        <v>0</v>
      </c>
      <c r="DI425" s="55">
        <f t="shared" si="2645"/>
        <v>0</v>
      </c>
    </row>
    <row r="426" spans="1:113" s="24" customFormat="1" outlineLevel="2">
      <c r="A426" s="1" t="s">
        <v>91</v>
      </c>
      <c r="B426" s="24" t="s">
        <v>502</v>
      </c>
      <c r="C426" s="82">
        <f t="shared" ref="C426:L426" si="2682">SUM(C419:C425)</f>
        <v>4443</v>
      </c>
      <c r="D426" s="82">
        <f t="shared" si="2682"/>
        <v>4546</v>
      </c>
      <c r="E426" s="82">
        <f t="shared" si="2682"/>
        <v>4522</v>
      </c>
      <c r="F426" s="82">
        <f t="shared" si="2682"/>
        <v>4485</v>
      </c>
      <c r="G426" s="82">
        <f t="shared" si="2682"/>
        <v>4914</v>
      </c>
      <c r="H426" s="82">
        <f t="shared" si="2682"/>
        <v>5211</v>
      </c>
      <c r="I426" s="82">
        <f t="shared" si="2682"/>
        <v>5280</v>
      </c>
      <c r="J426" s="82">
        <f t="shared" si="2682"/>
        <v>5455</v>
      </c>
      <c r="K426" s="82">
        <f t="shared" si="2682"/>
        <v>5647</v>
      </c>
      <c r="L426" s="82">
        <f t="shared" si="2682"/>
        <v>6010</v>
      </c>
      <c r="M426" s="82">
        <f t="shared" ref="M426:AG426" si="2683">SUM(M419:M425)</f>
        <v>6071</v>
      </c>
      <c r="N426" s="82">
        <f t="shared" si="2683"/>
        <v>6557</v>
      </c>
      <c r="O426" s="82">
        <f t="shared" si="2683"/>
        <v>6640</v>
      </c>
      <c r="P426" s="82">
        <f t="shared" si="2683"/>
        <v>7016</v>
      </c>
      <c r="Q426" s="82">
        <f t="shared" si="2683"/>
        <v>7325</v>
      </c>
      <c r="R426" s="82">
        <f t="shared" si="2683"/>
        <v>8481</v>
      </c>
      <c r="S426" s="82">
        <f t="shared" si="2683"/>
        <v>8985</v>
      </c>
      <c r="T426" s="82">
        <f t="shared" si="2683"/>
        <v>9692</v>
      </c>
      <c r="U426" s="82">
        <f t="shared" si="2683"/>
        <v>9367</v>
      </c>
      <c r="V426" s="82">
        <f t="shared" si="2683"/>
        <v>9739</v>
      </c>
      <c r="W426" s="82">
        <f t="shared" si="2683"/>
        <v>9920</v>
      </c>
      <c r="X426" s="82">
        <f t="shared" si="2683"/>
        <v>10105</v>
      </c>
      <c r="Y426" s="82">
        <f>SUM(Y419:Y425)</f>
        <v>10045</v>
      </c>
      <c r="Z426" s="82">
        <f>SUM(Z419:Z425)</f>
        <v>10289</v>
      </c>
      <c r="AA426" s="82">
        <f t="shared" si="2683"/>
        <v>10532</v>
      </c>
      <c r="AB426" s="82">
        <f t="shared" si="2683"/>
        <v>11148</v>
      </c>
      <c r="AC426" s="82">
        <f t="shared" si="2683"/>
        <v>11253</v>
      </c>
      <c r="AD426" s="82">
        <f t="shared" si="2683"/>
        <v>11727</v>
      </c>
      <c r="AE426" s="82">
        <f>SUM(AE419:AE425)</f>
        <v>11851</v>
      </c>
      <c r="AF426" s="82">
        <f>SUM(AF419:AF425)</f>
        <v>12420</v>
      </c>
      <c r="AG426" s="82">
        <f t="shared" si="2683"/>
        <v>12327</v>
      </c>
      <c r="AH426" s="82">
        <f t="shared" ref="AH426:AM426" si="2684">SUM(AH419:AH425)</f>
        <v>12835</v>
      </c>
      <c r="AI426" s="82">
        <f t="shared" si="2684"/>
        <v>12453</v>
      </c>
      <c r="AJ426" s="82">
        <f t="shared" si="2684"/>
        <v>12649</v>
      </c>
      <c r="AK426" s="82">
        <f t="shared" si="2684"/>
        <v>12273</v>
      </c>
      <c r="AL426" s="82">
        <f t="shared" si="2684"/>
        <v>11975.859631071826</v>
      </c>
      <c r="AM426" s="82">
        <f t="shared" si="2684"/>
        <v>11603.140368928176</v>
      </c>
      <c r="AN426" s="82">
        <f t="shared" ref="AN426:AS426" si="2685">SUM(AN419:AN425)</f>
        <v>12023</v>
      </c>
      <c r="AO426" s="82">
        <f t="shared" si="2685"/>
        <v>11738</v>
      </c>
      <c r="AP426" s="82">
        <f t="shared" si="2685"/>
        <v>11961</v>
      </c>
      <c r="AQ426" s="82">
        <f t="shared" si="2685"/>
        <v>12195</v>
      </c>
      <c r="AR426" s="82">
        <f t="shared" si="2685"/>
        <v>12107</v>
      </c>
      <c r="AS426" s="82">
        <f t="shared" si="2685"/>
        <v>12582</v>
      </c>
      <c r="AT426" s="82">
        <f t="shared" ref="AT426:AU426" si="2686">SUM(AT419:AT425)</f>
        <v>13623</v>
      </c>
      <c r="AU426" s="82">
        <f t="shared" si="2686"/>
        <v>13512</v>
      </c>
      <c r="AV426" s="82">
        <f t="shared" ref="AV426:AW426" si="2687">SUM(AV419:AV425)</f>
        <v>13649</v>
      </c>
      <c r="AW426" s="82">
        <f t="shared" si="2687"/>
        <v>13525</v>
      </c>
      <c r="AX426" s="82">
        <f t="shared" ref="AX426" si="2688">SUM(AX419:AX425)</f>
        <v>14097</v>
      </c>
      <c r="AY426" s="82">
        <f t="shared" ref="AY426:BE426" si="2689">SUM(AY419:AY425)</f>
        <v>14367.999999999998</v>
      </c>
      <c r="AZ426" s="83">
        <f t="shared" si="2689"/>
        <v>15021</v>
      </c>
      <c r="BA426" s="82">
        <f t="shared" si="2689"/>
        <v>15177.908774276708</v>
      </c>
      <c r="BB426" s="82">
        <f t="shared" si="2689"/>
        <v>15752.141234880612</v>
      </c>
      <c r="BC426" s="82">
        <f t="shared" si="2689"/>
        <v>15820.15708013865</v>
      </c>
      <c r="BD426" s="82">
        <f t="shared" si="2689"/>
        <v>16226.635984088764</v>
      </c>
      <c r="BE426" s="82">
        <f t="shared" si="2689"/>
        <v>16443.749560702148</v>
      </c>
      <c r="BF426" s="82">
        <f t="shared" ref="BF426:BM426" si="2690">SUM(BF419:BF425)</f>
        <v>16924.792336916278</v>
      </c>
      <c r="BG426" s="82">
        <f t="shared" si="2690"/>
        <v>16970.718733469308</v>
      </c>
      <c r="BH426" s="82">
        <f t="shared" si="2690"/>
        <v>17411.454117500769</v>
      </c>
      <c r="BI426" s="82">
        <f t="shared" si="2690"/>
        <v>17398.105786666871</v>
      </c>
      <c r="BJ426" s="82">
        <f t="shared" si="2690"/>
        <v>17894.478247894607</v>
      </c>
      <c r="BK426" s="82">
        <f t="shared" si="2690"/>
        <v>17867.590982247897</v>
      </c>
      <c r="BL426" s="82">
        <f t="shared" si="2690"/>
        <v>18354.103859693216</v>
      </c>
      <c r="BM426" s="82">
        <f t="shared" si="2690"/>
        <v>18428.565553553075</v>
      </c>
      <c r="BN426" s="82">
        <f t="shared" ref="BN426:BO426" si="2691">SUM(BN419:BN425)</f>
        <v>18929.0557770126</v>
      </c>
      <c r="BO426" s="82">
        <f t="shared" si="2691"/>
        <v>18900.969825998465</v>
      </c>
      <c r="BP426" s="82">
        <f t="shared" ref="BP426:BQ426" si="2692">SUM(BP419:BP425)</f>
        <v>19467.589693634218</v>
      </c>
      <c r="BQ426" s="82">
        <f t="shared" si="2692"/>
        <v>19438.222142172744</v>
      </c>
      <c r="BR426" s="82"/>
      <c r="BS426" s="82">
        <f t="shared" ref="BS426:CB426" si="2693">SUM(BS419:BS425)</f>
        <v>4653</v>
      </c>
      <c r="BT426" s="82">
        <f t="shared" si="2693"/>
        <v>4367</v>
      </c>
      <c r="BU426" s="82">
        <f t="shared" si="2693"/>
        <v>4259</v>
      </c>
      <c r="BV426" s="82">
        <f t="shared" si="2693"/>
        <v>4648</v>
      </c>
      <c r="BW426" s="82">
        <f t="shared" si="2693"/>
        <v>4752</v>
      </c>
      <c r="BX426" s="82">
        <f t="shared" si="2693"/>
        <v>4881</v>
      </c>
      <c r="BY426" s="82">
        <f t="shared" si="2693"/>
        <v>5230</v>
      </c>
      <c r="BZ426" s="82">
        <f t="shared" si="2693"/>
        <v>5524</v>
      </c>
      <c r="CA426" s="82">
        <f t="shared" si="2693"/>
        <v>6139</v>
      </c>
      <c r="CB426" s="82">
        <f t="shared" si="2693"/>
        <v>8824</v>
      </c>
      <c r="CC426" s="82">
        <f t="shared" ref="CC426:CP426" si="2694">SUM(CC419:CC425)</f>
        <v>9068</v>
      </c>
      <c r="CD426" s="82">
        <f t="shared" si="2694"/>
        <v>9399</v>
      </c>
      <c r="CE426" s="82">
        <f t="shared" si="2694"/>
        <v>10491</v>
      </c>
      <c r="CF426" s="82">
        <f t="shared" si="2694"/>
        <v>11102</v>
      </c>
      <c r="CG426" s="82">
        <f t="shared" si="2694"/>
        <v>12081</v>
      </c>
      <c r="CH426" s="82">
        <f t="shared" si="2694"/>
        <v>13197</v>
      </c>
      <c r="CI426" s="82">
        <f t="shared" si="2694"/>
        <v>14341</v>
      </c>
      <c r="CJ426" s="82">
        <f t="shared" si="2694"/>
        <v>17466</v>
      </c>
      <c r="CK426" s="82">
        <f t="shared" si="2694"/>
        <v>19059</v>
      </c>
      <c r="CL426" s="82">
        <f t="shared" si="2694"/>
        <v>19659</v>
      </c>
      <c r="CM426" s="82">
        <f t="shared" si="2694"/>
        <v>20150</v>
      </c>
      <c r="CN426" s="82">
        <f t="shared" si="2694"/>
        <v>20821</v>
      </c>
      <c r="CO426" s="82">
        <f t="shared" si="2694"/>
        <v>22401</v>
      </c>
      <c r="CP426" s="82">
        <f t="shared" si="2694"/>
        <v>23578</v>
      </c>
      <c r="CQ426" s="82">
        <f t="shared" ref="CQ426:CX426" si="2695">SUM(CQ419:CQ425)</f>
        <v>24747</v>
      </c>
      <c r="CR426" s="82">
        <f t="shared" si="2695"/>
        <v>25288</v>
      </c>
      <c r="CS426" s="82">
        <f t="shared" si="2695"/>
        <v>24922</v>
      </c>
      <c r="CT426" s="82">
        <f t="shared" si="2695"/>
        <v>23579</v>
      </c>
      <c r="CU426" s="82">
        <f t="shared" si="2695"/>
        <v>23761</v>
      </c>
      <c r="CV426" s="82">
        <f t="shared" si="2695"/>
        <v>24156</v>
      </c>
      <c r="CW426" s="82">
        <f t="shared" si="2695"/>
        <v>24689</v>
      </c>
      <c r="CX426" s="82">
        <f t="shared" si="2695"/>
        <v>27135</v>
      </c>
      <c r="CY426" s="82">
        <f t="shared" ref="CY426:DD426" si="2696">SUM(CY419:CY425)</f>
        <v>27174</v>
      </c>
      <c r="CZ426" s="83">
        <f t="shared" si="2696"/>
        <v>28465</v>
      </c>
      <c r="DA426" s="82">
        <f t="shared" si="2696"/>
        <v>30198.908774276708</v>
      </c>
      <c r="DB426" s="82">
        <f t="shared" si="2696"/>
        <v>31572.298315019259</v>
      </c>
      <c r="DC426" s="82">
        <f t="shared" si="2696"/>
        <v>32670.385544790915</v>
      </c>
      <c r="DD426" s="82">
        <f t="shared" si="2696"/>
        <v>33895.511070385583</v>
      </c>
      <c r="DE426" s="82">
        <f>SUM(DE419:DE425)</f>
        <v>34809.55990416764</v>
      </c>
      <c r="DF426" s="82">
        <f>SUM(DF419:DF425)</f>
        <v>35762.069230142508</v>
      </c>
      <c r="DG426" s="82">
        <f>SUM(DG419:DG425)</f>
        <v>36782.669413246294</v>
      </c>
      <c r="DH426" s="82">
        <f>SUM(DH419:DH425)</f>
        <v>37830.025603011061</v>
      </c>
      <c r="DI426" s="82">
        <f>SUM(DI419:DI425)</f>
        <v>38905.811835806962</v>
      </c>
    </row>
    <row r="427" spans="1:113" outlineLevel="2">
      <c r="A427" s="1" t="s">
        <v>92</v>
      </c>
      <c r="B427" s="19" t="s">
        <v>526</v>
      </c>
      <c r="C427" s="55">
        <f t="shared" ref="C427:L427" si="2697">C415+C388</f>
        <v>0</v>
      </c>
      <c r="D427" s="55">
        <f t="shared" si="2697"/>
        <v>0</v>
      </c>
      <c r="E427" s="55">
        <f t="shared" si="2697"/>
        <v>0</v>
      </c>
      <c r="F427" s="55">
        <f t="shared" si="2697"/>
        <v>0</v>
      </c>
      <c r="G427" s="55">
        <f t="shared" si="2697"/>
        <v>0</v>
      </c>
      <c r="H427" s="55">
        <f t="shared" si="2697"/>
        <v>0</v>
      </c>
      <c r="I427" s="55">
        <f t="shared" si="2697"/>
        <v>0</v>
      </c>
      <c r="J427" s="55">
        <f t="shared" si="2697"/>
        <v>122</v>
      </c>
      <c r="K427" s="55">
        <f t="shared" si="2697"/>
        <v>54</v>
      </c>
      <c r="L427" s="55">
        <f t="shared" si="2697"/>
        <v>143</v>
      </c>
      <c r="M427" s="55">
        <f t="shared" ref="M427:AG427" si="2698">M415+M388</f>
        <v>62</v>
      </c>
      <c r="N427" s="55">
        <f t="shared" si="2698"/>
        <v>-16</v>
      </c>
      <c r="O427" s="55">
        <f t="shared" si="2698"/>
        <v>210</v>
      </c>
      <c r="P427" s="55">
        <f t="shared" si="2698"/>
        <v>28</v>
      </c>
      <c r="Q427" s="55">
        <f t="shared" si="2698"/>
        <v>200</v>
      </c>
      <c r="R427" s="55">
        <f t="shared" si="2698"/>
        <v>-22</v>
      </c>
      <c r="S427" s="55">
        <f t="shared" si="2698"/>
        <v>13</v>
      </c>
      <c r="T427" s="55">
        <f t="shared" si="2698"/>
        <v>438</v>
      </c>
      <c r="U427" s="55">
        <f t="shared" si="2698"/>
        <v>-209</v>
      </c>
      <c r="V427" s="55">
        <f t="shared" si="2698"/>
        <v>-233</v>
      </c>
      <c r="W427" s="55">
        <f>W415+W388</f>
        <v>-29</v>
      </c>
      <c r="X427" s="55">
        <f>X415+X388</f>
        <v>183</v>
      </c>
      <c r="Y427" s="55">
        <f>Y415+Y388</f>
        <v>51</v>
      </c>
      <c r="Z427" s="55">
        <f>Z415+Z388</f>
        <v>20</v>
      </c>
      <c r="AA427" s="55">
        <f t="shared" si="2698"/>
        <v>35</v>
      </c>
      <c r="AB427" s="55">
        <f t="shared" si="2698"/>
        <v>12</v>
      </c>
      <c r="AC427" s="55">
        <f t="shared" si="2698"/>
        <v>75</v>
      </c>
      <c r="AD427" s="55">
        <f t="shared" si="2698"/>
        <v>-16</v>
      </c>
      <c r="AE427" s="55">
        <f>AE415+AE388</f>
        <v>106</v>
      </c>
      <c r="AF427" s="55">
        <f>AF415+AF388</f>
        <v>-214</v>
      </c>
      <c r="AG427" s="55">
        <f t="shared" si="2698"/>
        <v>45</v>
      </c>
      <c r="AH427" s="55">
        <f t="shared" ref="AH427:AM427" si="2699">AH415+AH388</f>
        <v>10</v>
      </c>
      <c r="AI427" s="55">
        <f t="shared" si="2699"/>
        <v>96</v>
      </c>
      <c r="AJ427" s="55">
        <f t="shared" si="2699"/>
        <v>202</v>
      </c>
      <c r="AK427" s="55">
        <f t="shared" si="2699"/>
        <v>6</v>
      </c>
      <c r="AL427" s="55">
        <f t="shared" si="2699"/>
        <v>330.14036892817421</v>
      </c>
      <c r="AM427" s="55">
        <f t="shared" si="2699"/>
        <v>427.85963107182397</v>
      </c>
      <c r="AN427" s="55">
        <f t="shared" ref="AN427:AS427" si="2700">AN415+AN388</f>
        <v>447</v>
      </c>
      <c r="AO427" s="55">
        <f t="shared" si="2700"/>
        <v>114</v>
      </c>
      <c r="AP427" s="55">
        <f t="shared" si="2700"/>
        <v>-65</v>
      </c>
      <c r="AQ427" s="55">
        <f t="shared" si="2700"/>
        <v>323</v>
      </c>
      <c r="AR427" s="55">
        <f t="shared" si="2700"/>
        <v>60</v>
      </c>
      <c r="AS427" s="55">
        <f t="shared" si="2700"/>
        <v>187</v>
      </c>
      <c r="AT427" s="55">
        <f t="shared" ref="AT427:AU427" si="2701">AT415+AT388</f>
        <v>355</v>
      </c>
      <c r="AU427" s="55">
        <f t="shared" si="2701"/>
        <v>-62</v>
      </c>
      <c r="AV427" s="55">
        <f t="shared" ref="AV427:AW427" si="2702">AV415+AV388</f>
        <v>-71</v>
      </c>
      <c r="AW427" s="55">
        <f t="shared" si="2702"/>
        <v>-182</v>
      </c>
      <c r="AX427" s="55">
        <f t="shared" ref="AX427" si="2703">AX415+AX388</f>
        <v>1</v>
      </c>
      <c r="AY427" s="55">
        <f t="shared" ref="AY427:BE427" si="2704">AY415+AY388</f>
        <v>-176</v>
      </c>
      <c r="AZ427" s="56">
        <f t="shared" si="2704"/>
        <v>-21</v>
      </c>
      <c r="BA427" s="55">
        <f t="shared" si="2704"/>
        <v>0</v>
      </c>
      <c r="BB427" s="55">
        <f t="shared" si="2704"/>
        <v>0</v>
      </c>
      <c r="BC427" s="55">
        <f t="shared" si="2704"/>
        <v>0</v>
      </c>
      <c r="BD427" s="55">
        <f t="shared" si="2704"/>
        <v>0</v>
      </c>
      <c r="BE427" s="55">
        <f t="shared" si="2704"/>
        <v>0</v>
      </c>
      <c r="BF427" s="55">
        <f t="shared" ref="BF427:BM427" si="2705">BF415+BF388</f>
        <v>0</v>
      </c>
      <c r="BG427" s="55">
        <f t="shared" si="2705"/>
        <v>0</v>
      </c>
      <c r="BH427" s="55">
        <f t="shared" si="2705"/>
        <v>0</v>
      </c>
      <c r="BI427" s="55">
        <f t="shared" si="2705"/>
        <v>0</v>
      </c>
      <c r="BJ427" s="55">
        <f t="shared" si="2705"/>
        <v>0</v>
      </c>
      <c r="BK427" s="55">
        <f t="shared" si="2705"/>
        <v>0</v>
      </c>
      <c r="BL427" s="55">
        <f t="shared" si="2705"/>
        <v>0</v>
      </c>
      <c r="BM427" s="55">
        <f t="shared" si="2705"/>
        <v>0</v>
      </c>
      <c r="BN427" s="55">
        <f t="shared" ref="BN427:BO427" si="2706">BN415+BN388</f>
        <v>0</v>
      </c>
      <c r="BO427" s="55">
        <f t="shared" si="2706"/>
        <v>0</v>
      </c>
      <c r="BP427" s="55">
        <f t="shared" ref="BP427:BQ427" si="2707">BP415+BP388</f>
        <v>0</v>
      </c>
      <c r="BQ427" s="55">
        <f t="shared" si="2707"/>
        <v>0</v>
      </c>
      <c r="BR427" s="55"/>
      <c r="BS427" s="55">
        <f t="shared" ref="BS427:CB427" si="2708">BS415+BS388</f>
        <v>0</v>
      </c>
      <c r="BT427" s="55">
        <f t="shared" si="2708"/>
        <v>-136</v>
      </c>
      <c r="BU427" s="55">
        <f t="shared" si="2708"/>
        <v>0</v>
      </c>
      <c r="BV427" s="55">
        <f t="shared" si="2708"/>
        <v>-28</v>
      </c>
      <c r="BW427" s="55">
        <f t="shared" si="2708"/>
        <v>0</v>
      </c>
      <c r="BX427" s="55">
        <f t="shared" si="2708"/>
        <v>-128</v>
      </c>
      <c r="BY427" s="55">
        <f t="shared" si="2708"/>
        <v>-161</v>
      </c>
      <c r="BZ427" s="55">
        <f t="shared" si="2708"/>
        <v>0</v>
      </c>
      <c r="CA427" s="55">
        <f t="shared" si="2708"/>
        <v>1165</v>
      </c>
      <c r="CB427" s="55">
        <f t="shared" si="2708"/>
        <v>474</v>
      </c>
      <c r="CC427" s="55">
        <f t="shared" ref="CC427:CO427" si="2709">CC415+CC388</f>
        <v>0</v>
      </c>
      <c r="CD427" s="55">
        <f t="shared" si="2709"/>
        <v>0</v>
      </c>
      <c r="CE427" s="55">
        <f t="shared" si="2709"/>
        <v>0</v>
      </c>
      <c r="CF427" s="55">
        <f t="shared" si="2709"/>
        <v>176</v>
      </c>
      <c r="CG427" s="55">
        <f t="shared" si="2709"/>
        <v>205</v>
      </c>
      <c r="CH427" s="55">
        <f t="shared" si="2709"/>
        <v>194</v>
      </c>
      <c r="CI427" s="55">
        <f t="shared" si="2709"/>
        <v>228</v>
      </c>
      <c r="CJ427" s="55">
        <f t="shared" si="2709"/>
        <v>-9</v>
      </c>
      <c r="CK427" s="55">
        <f t="shared" si="2709"/>
        <v>229</v>
      </c>
      <c r="CL427" s="55">
        <f t="shared" si="2709"/>
        <v>-262</v>
      </c>
      <c r="CM427" s="55">
        <f t="shared" si="2709"/>
        <v>234</v>
      </c>
      <c r="CN427" s="55">
        <f t="shared" si="2709"/>
        <v>55</v>
      </c>
      <c r="CO427" s="55">
        <f t="shared" si="2709"/>
        <v>87</v>
      </c>
      <c r="CP427" s="55">
        <f t="shared" ref="CP427:CX427" si="2710">CP415+CP388</f>
        <v>90</v>
      </c>
      <c r="CQ427" s="55">
        <f t="shared" si="2710"/>
        <v>-169</v>
      </c>
      <c r="CR427" s="55">
        <f t="shared" si="2710"/>
        <v>106</v>
      </c>
      <c r="CS427" s="55">
        <f t="shared" si="2710"/>
        <v>208</v>
      </c>
      <c r="CT427" s="55">
        <f t="shared" si="2710"/>
        <v>757.99999999999818</v>
      </c>
      <c r="CU427" s="55">
        <f t="shared" si="2710"/>
        <v>561</v>
      </c>
      <c r="CV427" s="55">
        <f t="shared" si="2710"/>
        <v>258</v>
      </c>
      <c r="CW427" s="55">
        <f t="shared" si="2710"/>
        <v>247</v>
      </c>
      <c r="CX427" s="55">
        <f t="shared" si="2710"/>
        <v>293</v>
      </c>
      <c r="CY427" s="55">
        <f t="shared" ref="CY427:DD427" si="2711">CY415+CY388</f>
        <v>-253</v>
      </c>
      <c r="CZ427" s="56">
        <f t="shared" si="2711"/>
        <v>-175</v>
      </c>
      <c r="DA427" s="55">
        <f t="shared" si="2711"/>
        <v>-21</v>
      </c>
      <c r="DB427" s="55">
        <f t="shared" si="2711"/>
        <v>0</v>
      </c>
      <c r="DC427" s="55">
        <f t="shared" si="2711"/>
        <v>0</v>
      </c>
      <c r="DD427" s="55">
        <f t="shared" si="2711"/>
        <v>0</v>
      </c>
      <c r="DE427" s="55">
        <f>DE415+DE388</f>
        <v>0</v>
      </c>
      <c r="DF427" s="55">
        <f>DF415+DF388</f>
        <v>0</v>
      </c>
      <c r="DG427" s="55">
        <f>DG415+DG388</f>
        <v>0</v>
      </c>
      <c r="DH427" s="55">
        <f>DH415+DH388</f>
        <v>0</v>
      </c>
      <c r="DI427" s="55">
        <f>DI415+DI388</f>
        <v>0</v>
      </c>
    </row>
    <row r="428" spans="1:113" s="24" customFormat="1" outlineLevel="2">
      <c r="A428" s="1" t="s">
        <v>93</v>
      </c>
      <c r="B428" s="24" t="s">
        <v>549</v>
      </c>
      <c r="C428" s="82">
        <f>C426+C427</f>
        <v>4443</v>
      </c>
      <c r="D428" s="82">
        <f>D426+D427</f>
        <v>4546</v>
      </c>
      <c r="E428" s="82">
        <f t="shared" ref="E428:L428" si="2712">E426+E427</f>
        <v>4522</v>
      </c>
      <c r="F428" s="82">
        <f t="shared" si="2712"/>
        <v>4485</v>
      </c>
      <c r="G428" s="82">
        <f t="shared" si="2712"/>
        <v>4914</v>
      </c>
      <c r="H428" s="82">
        <f t="shared" si="2712"/>
        <v>5211</v>
      </c>
      <c r="I428" s="82">
        <f t="shared" si="2712"/>
        <v>5280</v>
      </c>
      <c r="J428" s="82">
        <f t="shared" si="2712"/>
        <v>5577</v>
      </c>
      <c r="K428" s="82">
        <f t="shared" si="2712"/>
        <v>5701</v>
      </c>
      <c r="L428" s="82">
        <f t="shared" si="2712"/>
        <v>6153</v>
      </c>
      <c r="M428" s="82">
        <f t="shared" ref="M428:AG428" si="2713">M426+M427</f>
        <v>6133</v>
      </c>
      <c r="N428" s="82">
        <f t="shared" si="2713"/>
        <v>6541</v>
      </c>
      <c r="O428" s="82">
        <f t="shared" si="2713"/>
        <v>6850</v>
      </c>
      <c r="P428" s="82">
        <f t="shared" si="2713"/>
        <v>7044</v>
      </c>
      <c r="Q428" s="82">
        <f t="shared" si="2713"/>
        <v>7525</v>
      </c>
      <c r="R428" s="82">
        <f t="shared" si="2713"/>
        <v>8459</v>
      </c>
      <c r="S428" s="82">
        <f t="shared" si="2713"/>
        <v>8998</v>
      </c>
      <c r="T428" s="82">
        <f t="shared" si="2713"/>
        <v>10130</v>
      </c>
      <c r="U428" s="82">
        <f t="shared" si="2713"/>
        <v>9158</v>
      </c>
      <c r="V428" s="82">
        <f t="shared" si="2713"/>
        <v>9506</v>
      </c>
      <c r="W428" s="82">
        <f t="shared" si="2713"/>
        <v>9891</v>
      </c>
      <c r="X428" s="82">
        <f t="shared" si="2713"/>
        <v>10288</v>
      </c>
      <c r="Y428" s="82">
        <f>Y426+Y427</f>
        <v>10096</v>
      </c>
      <c r="Z428" s="82">
        <f>Z426+Z427</f>
        <v>10309</v>
      </c>
      <c r="AA428" s="82">
        <f t="shared" si="2713"/>
        <v>10567</v>
      </c>
      <c r="AB428" s="82">
        <f t="shared" si="2713"/>
        <v>11160</v>
      </c>
      <c r="AC428" s="82">
        <f t="shared" si="2713"/>
        <v>11328</v>
      </c>
      <c r="AD428" s="82">
        <f t="shared" si="2713"/>
        <v>11711</v>
      </c>
      <c r="AE428" s="82">
        <f>AE426+AE427</f>
        <v>11957</v>
      </c>
      <c r="AF428" s="82">
        <f>AF426+AF427</f>
        <v>12206</v>
      </c>
      <c r="AG428" s="82">
        <f t="shared" si="2713"/>
        <v>12372</v>
      </c>
      <c r="AH428" s="82">
        <f t="shared" ref="AH428:AM428" si="2714">AH426+AH427</f>
        <v>12845</v>
      </c>
      <c r="AI428" s="82">
        <f t="shared" si="2714"/>
        <v>12549</v>
      </c>
      <c r="AJ428" s="82">
        <f t="shared" si="2714"/>
        <v>12851</v>
      </c>
      <c r="AK428" s="82">
        <f t="shared" si="2714"/>
        <v>12279</v>
      </c>
      <c r="AL428" s="82">
        <f t="shared" si="2714"/>
        <v>12306</v>
      </c>
      <c r="AM428" s="82">
        <f t="shared" si="2714"/>
        <v>12031</v>
      </c>
      <c r="AN428" s="82">
        <f t="shared" ref="AN428:AS428" si="2715">AN426+AN427</f>
        <v>12470</v>
      </c>
      <c r="AO428" s="82">
        <f t="shared" si="2715"/>
        <v>11852</v>
      </c>
      <c r="AP428" s="82">
        <f t="shared" si="2715"/>
        <v>11896</v>
      </c>
      <c r="AQ428" s="82">
        <f t="shared" si="2715"/>
        <v>12518</v>
      </c>
      <c r="AR428" s="82">
        <f t="shared" si="2715"/>
        <v>12167</v>
      </c>
      <c r="AS428" s="82">
        <f t="shared" si="2715"/>
        <v>12769</v>
      </c>
      <c r="AT428" s="82">
        <f t="shared" ref="AT428:AU428" si="2716">AT426+AT427</f>
        <v>13978</v>
      </c>
      <c r="AU428" s="82">
        <f t="shared" si="2716"/>
        <v>13450</v>
      </c>
      <c r="AV428" s="82">
        <f t="shared" ref="AV428:AW428" si="2717">AV426+AV427</f>
        <v>13578</v>
      </c>
      <c r="AW428" s="82">
        <f t="shared" si="2717"/>
        <v>13343</v>
      </c>
      <c r="AX428" s="82">
        <f t="shared" ref="AX428" si="2718">AX426+AX427</f>
        <v>14098</v>
      </c>
      <c r="AY428" s="82">
        <f t="shared" ref="AY428:BE428" si="2719">AY426+AY427</f>
        <v>14191.999999999998</v>
      </c>
      <c r="AZ428" s="83">
        <f t="shared" si="2719"/>
        <v>15000</v>
      </c>
      <c r="BA428" s="82">
        <f t="shared" si="2719"/>
        <v>15177.908774276708</v>
      </c>
      <c r="BB428" s="82">
        <f t="shared" si="2719"/>
        <v>15752.141234880612</v>
      </c>
      <c r="BC428" s="82">
        <f t="shared" si="2719"/>
        <v>15820.15708013865</v>
      </c>
      <c r="BD428" s="82">
        <f t="shared" si="2719"/>
        <v>16226.635984088764</v>
      </c>
      <c r="BE428" s="82">
        <f t="shared" si="2719"/>
        <v>16443.749560702148</v>
      </c>
      <c r="BF428" s="82">
        <f t="shared" ref="BF428:BM428" si="2720">BF426+BF427</f>
        <v>16924.792336916278</v>
      </c>
      <c r="BG428" s="82">
        <f t="shared" si="2720"/>
        <v>16970.718733469308</v>
      </c>
      <c r="BH428" s="82">
        <f t="shared" si="2720"/>
        <v>17411.454117500769</v>
      </c>
      <c r="BI428" s="82">
        <f t="shared" si="2720"/>
        <v>17398.105786666871</v>
      </c>
      <c r="BJ428" s="82">
        <f t="shared" si="2720"/>
        <v>17894.478247894607</v>
      </c>
      <c r="BK428" s="82">
        <f t="shared" si="2720"/>
        <v>17867.590982247897</v>
      </c>
      <c r="BL428" s="82">
        <f t="shared" si="2720"/>
        <v>18354.103859693216</v>
      </c>
      <c r="BM428" s="82">
        <f t="shared" si="2720"/>
        <v>18428.565553553075</v>
      </c>
      <c r="BN428" s="82">
        <f t="shared" ref="BN428:BO428" si="2721">BN426+BN427</f>
        <v>18929.0557770126</v>
      </c>
      <c r="BO428" s="82">
        <f t="shared" si="2721"/>
        <v>18900.969825998465</v>
      </c>
      <c r="BP428" s="82">
        <f t="shared" ref="BP428:BQ428" si="2722">BP426+BP427</f>
        <v>19467.589693634218</v>
      </c>
      <c r="BQ428" s="82">
        <f t="shared" si="2722"/>
        <v>19438.222142172744</v>
      </c>
      <c r="BR428" s="82"/>
      <c r="BS428" s="82">
        <f t="shared" ref="BS428:CB428" si="2723">BS426+BS427</f>
        <v>4653</v>
      </c>
      <c r="BT428" s="82">
        <f t="shared" si="2723"/>
        <v>4231</v>
      </c>
      <c r="BU428" s="82">
        <f t="shared" si="2723"/>
        <v>4259</v>
      </c>
      <c r="BV428" s="82">
        <f t="shared" si="2723"/>
        <v>4620</v>
      </c>
      <c r="BW428" s="82">
        <f t="shared" si="2723"/>
        <v>4752</v>
      </c>
      <c r="BX428" s="82">
        <f t="shared" si="2723"/>
        <v>4753</v>
      </c>
      <c r="BY428" s="82">
        <f t="shared" si="2723"/>
        <v>5069</v>
      </c>
      <c r="BZ428" s="82">
        <f t="shared" si="2723"/>
        <v>5524</v>
      </c>
      <c r="CA428" s="82">
        <f t="shared" si="2723"/>
        <v>7304</v>
      </c>
      <c r="CB428" s="82">
        <f t="shared" si="2723"/>
        <v>9298</v>
      </c>
      <c r="CC428" s="82">
        <f t="shared" ref="CC428:CP428" si="2724">CC426+CC427</f>
        <v>9068</v>
      </c>
      <c r="CD428" s="82">
        <f t="shared" si="2724"/>
        <v>9399</v>
      </c>
      <c r="CE428" s="82">
        <f t="shared" si="2724"/>
        <v>10491</v>
      </c>
      <c r="CF428" s="82">
        <f t="shared" si="2724"/>
        <v>11278</v>
      </c>
      <c r="CG428" s="82">
        <f t="shared" si="2724"/>
        <v>12286</v>
      </c>
      <c r="CH428" s="82">
        <f t="shared" si="2724"/>
        <v>13391</v>
      </c>
      <c r="CI428" s="82">
        <f t="shared" si="2724"/>
        <v>14569</v>
      </c>
      <c r="CJ428" s="82">
        <f t="shared" si="2724"/>
        <v>17457</v>
      </c>
      <c r="CK428" s="82">
        <f t="shared" si="2724"/>
        <v>19288</v>
      </c>
      <c r="CL428" s="82">
        <f t="shared" si="2724"/>
        <v>19397</v>
      </c>
      <c r="CM428" s="82">
        <f t="shared" si="2724"/>
        <v>20384</v>
      </c>
      <c r="CN428" s="82">
        <f t="shared" si="2724"/>
        <v>20876</v>
      </c>
      <c r="CO428" s="82">
        <f t="shared" si="2724"/>
        <v>22488</v>
      </c>
      <c r="CP428" s="82">
        <f t="shared" si="2724"/>
        <v>23668</v>
      </c>
      <c r="CQ428" s="82">
        <f t="shared" ref="CQ428:CX428" si="2725">CQ426+CQ427</f>
        <v>24578</v>
      </c>
      <c r="CR428" s="82">
        <f t="shared" si="2725"/>
        <v>25394</v>
      </c>
      <c r="CS428" s="82">
        <f t="shared" si="2725"/>
        <v>25130</v>
      </c>
      <c r="CT428" s="82">
        <f t="shared" si="2725"/>
        <v>24337</v>
      </c>
      <c r="CU428" s="82">
        <f t="shared" si="2725"/>
        <v>24322</v>
      </c>
      <c r="CV428" s="82">
        <f t="shared" si="2725"/>
        <v>24414</v>
      </c>
      <c r="CW428" s="82">
        <f t="shared" si="2725"/>
        <v>24936</v>
      </c>
      <c r="CX428" s="82">
        <f t="shared" si="2725"/>
        <v>27428</v>
      </c>
      <c r="CY428" s="82">
        <f t="shared" ref="CY428:DD428" si="2726">CY426+CY427</f>
        <v>26921</v>
      </c>
      <c r="CZ428" s="83">
        <f t="shared" si="2726"/>
        <v>28290</v>
      </c>
      <c r="DA428" s="82">
        <f t="shared" si="2726"/>
        <v>30177.908774276708</v>
      </c>
      <c r="DB428" s="82">
        <f t="shared" si="2726"/>
        <v>31572.298315019259</v>
      </c>
      <c r="DC428" s="82">
        <f t="shared" si="2726"/>
        <v>32670.385544790915</v>
      </c>
      <c r="DD428" s="82">
        <f t="shared" si="2726"/>
        <v>33895.511070385583</v>
      </c>
      <c r="DE428" s="82">
        <f>DE426+DE427</f>
        <v>34809.55990416764</v>
      </c>
      <c r="DF428" s="82">
        <f>DF426+DF427</f>
        <v>35762.069230142508</v>
      </c>
      <c r="DG428" s="82">
        <f>DG426+DG427</f>
        <v>36782.669413246294</v>
      </c>
      <c r="DH428" s="82">
        <f>DH426+DH427</f>
        <v>37830.025603011061</v>
      </c>
      <c r="DI428" s="82">
        <f>DI426+DI427</f>
        <v>38905.811835806962</v>
      </c>
    </row>
    <row r="429" spans="1:113">
      <c r="C429" s="55"/>
      <c r="D429" s="55"/>
      <c r="E429" s="55"/>
      <c r="F429" s="55"/>
      <c r="G429" s="55"/>
      <c r="H429" s="55"/>
      <c r="I429" s="55"/>
      <c r="J429" s="55"/>
      <c r="K429" s="55"/>
      <c r="L429" s="55"/>
      <c r="M429" s="55"/>
      <c r="N429" s="55"/>
      <c r="O429" s="55"/>
      <c r="P429" s="55"/>
      <c r="Q429" s="55"/>
      <c r="R429" s="55"/>
      <c r="S429" s="55"/>
      <c r="T429" s="55"/>
      <c r="U429" s="55"/>
      <c r="V429" s="55"/>
      <c r="W429" s="55"/>
      <c r="X429" s="55"/>
      <c r="Y429" s="55"/>
      <c r="Z429" s="55"/>
      <c r="AA429" s="55"/>
      <c r="AB429" s="55"/>
      <c r="AC429" s="45"/>
      <c r="AD429" s="55"/>
      <c r="AE429" s="55"/>
      <c r="AI429" s="55"/>
      <c r="AJ429" s="55"/>
      <c r="AK429" s="55"/>
      <c r="AL429" s="55"/>
      <c r="AM429" s="58"/>
      <c r="AN429" s="55"/>
      <c r="AO429" s="55"/>
      <c r="AP429" s="45"/>
      <c r="AQ429" s="45"/>
      <c r="AR429" s="45"/>
      <c r="AS429" s="45"/>
      <c r="AT429" s="45"/>
      <c r="AU429" s="45"/>
      <c r="AV429" s="45"/>
      <c r="AW429" s="45"/>
      <c r="AX429" s="45"/>
      <c r="AY429" s="45"/>
      <c r="AZ429" s="56"/>
      <c r="BA429" s="55"/>
      <c r="BB429" s="55"/>
      <c r="BC429" s="55"/>
      <c r="BD429" s="55"/>
      <c r="BE429" s="55"/>
      <c r="BF429" s="55"/>
      <c r="BG429" s="55"/>
      <c r="BH429" s="55"/>
      <c r="BI429" s="55"/>
      <c r="BJ429" s="55"/>
      <c r="BK429" s="55"/>
      <c r="BL429" s="55"/>
      <c r="BM429" s="55"/>
      <c r="BN429" s="55"/>
      <c r="BO429" s="55"/>
      <c r="BP429" s="55"/>
      <c r="BQ429" s="55"/>
      <c r="BR429" s="55"/>
      <c r="BS429" s="55"/>
      <c r="BT429" s="55"/>
      <c r="BU429" s="55"/>
      <c r="BV429" s="55"/>
      <c r="BW429" s="55"/>
      <c r="BX429" s="55"/>
      <c r="BY429" s="55"/>
      <c r="BZ429" s="55"/>
      <c r="CA429" s="55"/>
      <c r="CB429" s="55"/>
      <c r="CC429" s="55"/>
      <c r="CD429" s="55"/>
      <c r="CE429" s="55"/>
      <c r="CF429" s="55"/>
      <c r="CG429" s="55"/>
      <c r="CH429" s="55"/>
      <c r="CI429" s="55"/>
      <c r="CJ429" s="55"/>
      <c r="CK429" s="55"/>
      <c r="CL429" s="55"/>
      <c r="CM429" s="55"/>
      <c r="CN429" s="55"/>
      <c r="CO429" s="55"/>
      <c r="CP429" s="45"/>
      <c r="CQ429" s="55"/>
      <c r="CR429" s="55"/>
      <c r="CS429" s="55"/>
      <c r="CT429" s="45"/>
      <c r="CU429" s="55"/>
      <c r="CV429" s="55"/>
      <c r="CW429" s="55"/>
      <c r="CX429" s="55"/>
      <c r="CY429" s="55"/>
      <c r="CZ429" s="56"/>
      <c r="DA429" s="55"/>
      <c r="DB429" s="55"/>
    </row>
    <row r="430" spans="1:113" s="36" customFormat="1" collapsed="1">
      <c r="A430" s="1" t="s">
        <v>668</v>
      </c>
      <c r="B430" s="2" t="s">
        <v>550</v>
      </c>
      <c r="C430" s="79">
        <f>C443</f>
        <v>-2585</v>
      </c>
      <c r="D430" s="79">
        <f>D443</f>
        <v>-2594</v>
      </c>
      <c r="E430" s="79">
        <f>E443</f>
        <v>-2607</v>
      </c>
      <c r="F430" s="79">
        <f t="shared" ref="F430:L430" si="2727">F443</f>
        <v>-2710</v>
      </c>
      <c r="G430" s="79">
        <f t="shared" si="2727"/>
        <v>-2841</v>
      </c>
      <c r="H430" s="79">
        <f t="shared" si="2727"/>
        <v>-3203</v>
      </c>
      <c r="I430" s="79">
        <f t="shared" si="2727"/>
        <v>-3046</v>
      </c>
      <c r="J430" s="79">
        <f t="shared" si="2727"/>
        <v>-2869</v>
      </c>
      <c r="K430" s="79">
        <f t="shared" si="2727"/>
        <v>-3000</v>
      </c>
      <c r="L430" s="79">
        <f t="shared" si="2727"/>
        <v>-2967</v>
      </c>
      <c r="M430" s="79">
        <f t="shared" ref="M430:AG430" si="2728">M443</f>
        <v>-3027</v>
      </c>
      <c r="N430" s="79">
        <f t="shared" si="2728"/>
        <v>-3144</v>
      </c>
      <c r="O430" s="79">
        <f t="shared" si="2728"/>
        <v>-3283</v>
      </c>
      <c r="P430" s="79">
        <f t="shared" si="2728"/>
        <v>-3378</v>
      </c>
      <c r="Q430" s="79">
        <f t="shared" si="2728"/>
        <v>-3643</v>
      </c>
      <c r="R430" s="79">
        <f t="shared" si="2728"/>
        <v>-4008</v>
      </c>
      <c r="S430" s="79">
        <f t="shared" si="2728"/>
        <v>-4214</v>
      </c>
      <c r="T430" s="79">
        <f t="shared" si="2728"/>
        <v>-4268</v>
      </c>
      <c r="U430" s="79">
        <f t="shared" si="2728"/>
        <v>-4333</v>
      </c>
      <c r="V430" s="79">
        <f t="shared" si="2728"/>
        <v>-4408</v>
      </c>
      <c r="W430" s="79">
        <f t="shared" si="2728"/>
        <v>-4483</v>
      </c>
      <c r="X430" s="79">
        <f t="shared" si="2728"/>
        <v>-4602</v>
      </c>
      <c r="Y430" s="79">
        <f>Y443</f>
        <v>-4594</v>
      </c>
      <c r="Z430" s="79">
        <f>Z443</f>
        <v>-4467</v>
      </c>
      <c r="AA430" s="79">
        <f t="shared" si="2728"/>
        <v>-4543</v>
      </c>
      <c r="AB430" s="79">
        <f t="shared" si="2728"/>
        <v>-4751</v>
      </c>
      <c r="AC430" s="79">
        <f t="shared" si="2728"/>
        <v>-4748</v>
      </c>
      <c r="AD430" s="79">
        <f t="shared" si="2728"/>
        <v>-4914</v>
      </c>
      <c r="AE430" s="79">
        <f>AE443</f>
        <v>-5079</v>
      </c>
      <c r="AF430" s="79">
        <f>AF443</f>
        <v>-5210</v>
      </c>
      <c r="AG430" s="79">
        <f t="shared" si="2728"/>
        <v>-5224</v>
      </c>
      <c r="AH430" s="79">
        <f t="shared" ref="AH430:AM430" si="2729">AH443</f>
        <v>-5474</v>
      </c>
      <c r="AI430" s="79">
        <f t="shared" si="2729"/>
        <v>-5195</v>
      </c>
      <c r="AJ430" s="79">
        <f t="shared" si="2729"/>
        <v>-5456</v>
      </c>
      <c r="AK430" s="79">
        <f t="shared" si="2729"/>
        <v>-5539</v>
      </c>
      <c r="AL430" s="79">
        <f t="shared" si="2729"/>
        <v>-5080.1434022539706</v>
      </c>
      <c r="AM430" s="79">
        <f t="shared" si="2729"/>
        <v>-5743.8565977460285</v>
      </c>
      <c r="AN430" s="79">
        <f t="shared" ref="AN430:AS430" si="2730">AN443</f>
        <v>-5253</v>
      </c>
      <c r="AO430" s="79">
        <f t="shared" si="2730"/>
        <v>-5743</v>
      </c>
      <c r="AP430" s="79">
        <f t="shared" si="2730"/>
        <v>-5591</v>
      </c>
      <c r="AQ430" s="79">
        <f t="shared" si="2730"/>
        <v>-5768</v>
      </c>
      <c r="AR430" s="79">
        <f t="shared" si="2730"/>
        <v>-5490</v>
      </c>
      <c r="AS430" s="79">
        <f t="shared" si="2730"/>
        <v>-5938</v>
      </c>
      <c r="AT430" s="79">
        <f t="shared" ref="AT430:AU430" si="2731">AT443</f>
        <v>-5773</v>
      </c>
      <c r="AU430" s="79">
        <f t="shared" si="2731"/>
        <v>-6085</v>
      </c>
      <c r="AV430" s="79">
        <f t="shared" ref="AV430:AW430" si="2732">AV443</f>
        <v>-6011</v>
      </c>
      <c r="AW430" s="79">
        <f t="shared" si="2732"/>
        <v>-6207</v>
      </c>
      <c r="AX430" s="79">
        <f t="shared" ref="AX430" si="2733">AX443</f>
        <v>-6372</v>
      </c>
      <c r="AY430" s="79">
        <f t="shared" ref="AY430:BE430" si="2734">AY443</f>
        <v>-6624</v>
      </c>
      <c r="AZ430" s="80">
        <f t="shared" si="2734"/>
        <v>-6890</v>
      </c>
      <c r="BA430" s="79">
        <f t="shared" si="2734"/>
        <v>-6776.5310712156333</v>
      </c>
      <c r="BB430" s="79">
        <f t="shared" si="2734"/>
        <v>-7089.4686823558104</v>
      </c>
      <c r="BC430" s="79">
        <f t="shared" si="2734"/>
        <v>-7140.6921846890891</v>
      </c>
      <c r="BD430" s="79">
        <f t="shared" si="2734"/>
        <v>-7404.5081420974029</v>
      </c>
      <c r="BE430" s="79">
        <f t="shared" si="2734"/>
        <v>-7372.2547612797234</v>
      </c>
      <c r="BF430" s="79">
        <f t="shared" ref="BF430:BM430" si="2735">BF443</f>
        <v>-7617.3714694099408</v>
      </c>
      <c r="BG430" s="79">
        <f t="shared" si="2735"/>
        <v>-7587.3702768486964</v>
      </c>
      <c r="BH430" s="79">
        <f t="shared" si="2735"/>
        <v>-7843.9599455534089</v>
      </c>
      <c r="BI430" s="79">
        <f t="shared" si="2735"/>
        <v>-7809.0784714519114</v>
      </c>
      <c r="BJ430" s="79">
        <f t="shared" si="2735"/>
        <v>-8056.8625491886896</v>
      </c>
      <c r="BK430" s="79">
        <f t="shared" si="2735"/>
        <v>-8096.2637560382645</v>
      </c>
      <c r="BL430" s="79">
        <f t="shared" si="2735"/>
        <v>-8319.011560507628</v>
      </c>
      <c r="BM430" s="79">
        <f t="shared" si="2735"/>
        <v>-8396.8399645404315</v>
      </c>
      <c r="BN430" s="79">
        <f t="shared" ref="BN430:BO430" si="2736">BN443</f>
        <v>-8592.875021339376</v>
      </c>
      <c r="BO430" s="79">
        <f t="shared" si="2736"/>
        <v>-8582.7447849099335</v>
      </c>
      <c r="BP430" s="79">
        <f t="shared" ref="BP430:BQ430" si="2737">BP443</f>
        <v>-8802.3317114488455</v>
      </c>
      <c r="BQ430" s="79">
        <f t="shared" si="2737"/>
        <v>-8790.9161403822345</v>
      </c>
      <c r="BR430" s="79"/>
      <c r="BS430" s="79">
        <f t="shared" ref="BS430:CB430" si="2738">BS443</f>
        <v>-3149</v>
      </c>
      <c r="BT430" s="79">
        <f t="shared" si="2738"/>
        <v>-2954</v>
      </c>
      <c r="BU430" s="79">
        <f t="shared" si="2738"/>
        <v>-2884</v>
      </c>
      <c r="BV430" s="79">
        <f t="shared" si="2738"/>
        <v>-2943</v>
      </c>
      <c r="BW430" s="79">
        <f t="shared" si="2738"/>
        <v>-2863</v>
      </c>
      <c r="BX430" s="79">
        <f t="shared" si="2738"/>
        <v>-2924</v>
      </c>
      <c r="BY430" s="79">
        <f t="shared" si="2738"/>
        <v>-3039</v>
      </c>
      <c r="BZ430" s="79">
        <f t="shared" si="2738"/>
        <v>-3070</v>
      </c>
      <c r="CA430" s="79">
        <f t="shared" si="2738"/>
        <v>-3407</v>
      </c>
      <c r="CB430" s="79">
        <f t="shared" si="2738"/>
        <v>-5170</v>
      </c>
      <c r="CC430" s="79">
        <f t="shared" ref="CC430:CO430" si="2739">CC443</f>
        <v>-5201</v>
      </c>
      <c r="CD430" s="79">
        <f t="shared" si="2739"/>
        <v>-5551</v>
      </c>
      <c r="CE430" s="79">
        <f t="shared" si="2739"/>
        <v>-6249</v>
      </c>
      <c r="CF430" s="79">
        <f t="shared" si="2739"/>
        <v>-5869</v>
      </c>
      <c r="CG430" s="79">
        <f t="shared" si="2739"/>
        <v>-5994</v>
      </c>
      <c r="CH430" s="79">
        <f t="shared" si="2739"/>
        <v>-6427</v>
      </c>
      <c r="CI430" s="79">
        <f t="shared" si="2739"/>
        <v>-7021</v>
      </c>
      <c r="CJ430" s="79">
        <f t="shared" si="2739"/>
        <v>-8222</v>
      </c>
      <c r="CK430" s="79">
        <f t="shared" si="2739"/>
        <v>-8601</v>
      </c>
      <c r="CL430" s="79">
        <f t="shared" si="2739"/>
        <v>-8891</v>
      </c>
      <c r="CM430" s="79">
        <f t="shared" si="2739"/>
        <v>-9196</v>
      </c>
      <c r="CN430" s="79">
        <f t="shared" si="2739"/>
        <v>-9010</v>
      </c>
      <c r="CO430" s="79">
        <f t="shared" si="2739"/>
        <v>-9499</v>
      </c>
      <c r="CP430" s="79">
        <f t="shared" ref="CP430:CX430" si="2740">CP443</f>
        <v>-9993</v>
      </c>
      <c r="CQ430" s="79">
        <f t="shared" si="2740"/>
        <v>-10434</v>
      </c>
      <c r="CR430" s="79">
        <f t="shared" si="2740"/>
        <v>-10669</v>
      </c>
      <c r="CS430" s="79">
        <f t="shared" si="2740"/>
        <v>-10995</v>
      </c>
      <c r="CT430" s="79">
        <f t="shared" si="2740"/>
        <v>-10824</v>
      </c>
      <c r="CU430" s="79">
        <f t="shared" si="2740"/>
        <v>-10996</v>
      </c>
      <c r="CV430" s="79">
        <f t="shared" si="2740"/>
        <v>-11359</v>
      </c>
      <c r="CW430" s="79">
        <f t="shared" si="2740"/>
        <v>-11428</v>
      </c>
      <c r="CX430" s="79">
        <f t="shared" si="2740"/>
        <v>-11858</v>
      </c>
      <c r="CY430" s="79">
        <f t="shared" ref="CY430:DD430" si="2741">CY443</f>
        <v>-12218</v>
      </c>
      <c r="CZ430" s="80">
        <f t="shared" si="2741"/>
        <v>-12996</v>
      </c>
      <c r="DA430" s="79">
        <f t="shared" si="2741"/>
        <v>-13666.531071215633</v>
      </c>
      <c r="DB430" s="79">
        <f t="shared" si="2741"/>
        <v>-14230.160867044899</v>
      </c>
      <c r="DC430" s="79">
        <f t="shared" si="2741"/>
        <v>-14776.762903377126</v>
      </c>
      <c r="DD430" s="79">
        <f t="shared" si="2741"/>
        <v>-15204.741746258638</v>
      </c>
      <c r="DE430" s="79">
        <f>DE443</f>
        <v>-15653.03841700532</v>
      </c>
      <c r="DF430" s="79">
        <f>DF443</f>
        <v>-16153.126305226953</v>
      </c>
      <c r="DG430" s="79">
        <f>DG443</f>
        <v>-16715.85152504806</v>
      </c>
      <c r="DH430" s="79">
        <f>DH443</f>
        <v>-17175.619806249309</v>
      </c>
      <c r="DI430" s="79">
        <f>DI443</f>
        <v>-17593.247851831082</v>
      </c>
    </row>
    <row r="431" spans="1:113" outlineLevel="1">
      <c r="C431" s="55"/>
      <c r="D431" s="55"/>
      <c r="E431" s="55"/>
      <c r="F431" s="55"/>
      <c r="G431" s="55"/>
      <c r="H431" s="55"/>
      <c r="I431" s="55"/>
      <c r="J431" s="55"/>
      <c r="K431" s="55"/>
      <c r="L431" s="55"/>
      <c r="M431" s="55"/>
      <c r="N431" s="55"/>
      <c r="O431" s="55"/>
      <c r="P431" s="55"/>
      <c r="Q431" s="55"/>
      <c r="R431" s="55"/>
      <c r="S431" s="55"/>
      <c r="T431" s="55"/>
      <c r="U431" s="55"/>
      <c r="V431" s="55"/>
      <c r="W431" s="55"/>
      <c r="X431" s="55"/>
      <c r="Y431" s="55"/>
      <c r="Z431" s="55"/>
      <c r="AA431" s="368"/>
      <c r="AB431" s="55"/>
      <c r="AC431" s="55"/>
      <c r="AD431" s="55"/>
      <c r="AE431" s="55"/>
      <c r="AF431" s="55"/>
      <c r="AG431" s="55"/>
      <c r="AH431" s="55"/>
      <c r="AI431" s="55"/>
      <c r="AJ431" s="55"/>
      <c r="AK431" s="55"/>
      <c r="AL431" s="55"/>
      <c r="AM431" s="55"/>
      <c r="AN431" s="55"/>
      <c r="AO431" s="55"/>
      <c r="AP431" s="55"/>
      <c r="AQ431" s="55"/>
      <c r="AR431" s="55"/>
      <c r="AS431" s="55"/>
      <c r="AT431" s="55"/>
      <c r="AU431" s="55"/>
      <c r="AV431" s="55"/>
      <c r="AW431" s="813"/>
      <c r="AX431" s="813"/>
      <c r="AY431" s="813"/>
      <c r="AZ431" s="814"/>
      <c r="BA431" s="813"/>
      <c r="BB431" s="813"/>
      <c r="BC431" s="813"/>
      <c r="BD431" s="813"/>
      <c r="BE431" s="813"/>
      <c r="BF431" s="813"/>
      <c r="BG431" s="813"/>
      <c r="BH431" s="813"/>
      <c r="BI431" s="813"/>
      <c r="BJ431" s="55"/>
      <c r="BK431" s="55"/>
      <c r="BL431" s="55"/>
      <c r="BM431" s="55"/>
      <c r="BN431" s="55"/>
      <c r="BO431" s="55"/>
      <c r="BP431" s="55"/>
      <c r="BQ431" s="55"/>
      <c r="BR431" s="55"/>
      <c r="BS431" s="55"/>
      <c r="BT431" s="55"/>
      <c r="BU431" s="55"/>
      <c r="BV431" s="55"/>
      <c r="BW431" s="55"/>
      <c r="BX431" s="55"/>
      <c r="BY431" s="55"/>
      <c r="BZ431" s="55"/>
      <c r="CA431" s="55"/>
      <c r="CB431" s="55"/>
      <c r="CC431" s="55"/>
      <c r="CD431" s="55"/>
      <c r="CE431" s="55"/>
      <c r="CF431" s="55"/>
      <c r="CG431" s="55"/>
      <c r="CH431" s="55"/>
      <c r="CI431" s="55"/>
      <c r="CJ431" s="55"/>
      <c r="CK431" s="55"/>
      <c r="CL431" s="55"/>
      <c r="CM431" s="55"/>
      <c r="CN431" s="55"/>
      <c r="CO431" s="55"/>
      <c r="CP431" s="55"/>
      <c r="CQ431" s="55"/>
      <c r="CR431" s="55"/>
      <c r="CS431" s="55"/>
      <c r="CT431" s="55"/>
      <c r="CV431" s="55"/>
      <c r="CW431" s="55"/>
      <c r="CX431" s="55"/>
      <c r="CY431" s="55"/>
      <c r="CZ431" s="56"/>
      <c r="DA431" s="55"/>
      <c r="DB431" s="55"/>
    </row>
    <row r="432" spans="1:113" outlineLevel="1">
      <c r="A432" s="1" t="s">
        <v>669</v>
      </c>
      <c r="B432" s="19" t="s">
        <v>551</v>
      </c>
      <c r="C432" s="53">
        <v>-1161</v>
      </c>
      <c r="D432" s="53">
        <f>-1189-26</f>
        <v>-1215</v>
      </c>
      <c r="E432" s="53">
        <f>-1138-37</f>
        <v>-1175</v>
      </c>
      <c r="F432" s="53">
        <f>-1180-32</f>
        <v>-1212</v>
      </c>
      <c r="G432" s="53">
        <f>-1205-60</f>
        <v>-1265</v>
      </c>
      <c r="H432" s="53">
        <f>-1400</f>
        <v>-1400</v>
      </c>
      <c r="I432" s="53">
        <f>-1321</f>
        <v>-1321</v>
      </c>
      <c r="J432" s="53">
        <v>-1341</v>
      </c>
      <c r="K432" s="53">
        <v>-1382</v>
      </c>
      <c r="L432" s="53">
        <v>-1386</v>
      </c>
      <c r="M432" s="53">
        <v>-1437</v>
      </c>
      <c r="N432" s="53">
        <v>-1587</v>
      </c>
      <c r="O432" s="53">
        <v>-1642</v>
      </c>
      <c r="P432" s="53">
        <f>-1780</f>
        <v>-1780</v>
      </c>
      <c r="Q432" s="53">
        <v>-1881</v>
      </c>
      <c r="R432" s="53">
        <v>-2153</v>
      </c>
      <c r="S432" s="53">
        <v>-2099</v>
      </c>
      <c r="T432" s="53">
        <v>-2289</v>
      </c>
      <c r="U432" s="53">
        <v>-2294</v>
      </c>
      <c r="V432" s="53">
        <v>-2417</v>
      </c>
      <c r="W432" s="53">
        <f>-4787-V432</f>
        <v>-2370</v>
      </c>
      <c r="X432" s="53">
        <v>-2478</v>
      </c>
      <c r="Y432" s="53">
        <v>-2469</v>
      </c>
      <c r="Z432" s="53">
        <v>-2606</v>
      </c>
      <c r="AA432" s="164">
        <v>-2626</v>
      </c>
      <c r="AB432" s="164">
        <v>-2785</v>
      </c>
      <c r="AC432" s="164">
        <v>-2757</v>
      </c>
      <c r="AD432" s="164">
        <v>-2906</v>
      </c>
      <c r="AE432" s="164">
        <v>-2910</v>
      </c>
      <c r="AF432" s="164">
        <v>-3079</v>
      </c>
      <c r="AG432" s="164">
        <v>-3090</v>
      </c>
      <c r="AH432" s="164">
        <v>-2996</v>
      </c>
      <c r="AI432" s="164">
        <v>-3047</v>
      </c>
      <c r="AJ432" s="164">
        <v>-2739</v>
      </c>
      <c r="AK432" s="164">
        <v>-2700</v>
      </c>
      <c r="AL432" s="164">
        <v>-2762</v>
      </c>
      <c r="AM432" s="164">
        <v>-2815</v>
      </c>
      <c r="AN432" s="164">
        <f>ROUND(-2781*1.0372850678733,0)</f>
        <v>-2885</v>
      </c>
      <c r="AO432" s="164">
        <f>-5731-AN432</f>
        <v>-2846</v>
      </c>
      <c r="AP432" s="164">
        <v>-2963</v>
      </c>
      <c r="AQ432" s="164">
        <v>-3022</v>
      </c>
      <c r="AR432" s="164">
        <v>-3358</v>
      </c>
      <c r="AS432" s="164">
        <v>-3194</v>
      </c>
      <c r="AT432" s="164">
        <v>-3537</v>
      </c>
      <c r="AU432" s="164">
        <v>-3640</v>
      </c>
      <c r="AV432" s="164">
        <v>-3719</v>
      </c>
      <c r="AW432" s="164">
        <v>-3769</v>
      </c>
      <c r="AX432" s="164">
        <v>-3970</v>
      </c>
      <c r="AY432" s="164">
        <v>-4000</v>
      </c>
      <c r="AZ432" s="171">
        <v>-4139</v>
      </c>
      <c r="BA432" s="55">
        <f t="shared" ref="BA432:BI432" si="2742">-AVERAGE(AZ92:BA92)*BA93/BA$5/1000000</f>
        <v>-4111.8900000000003</v>
      </c>
      <c r="BB432" s="55">
        <f t="shared" si="2742"/>
        <v>-4361.7201321364691</v>
      </c>
      <c r="BC432" s="55">
        <f t="shared" si="2742"/>
        <v>-4343.1997001244999</v>
      </c>
      <c r="BD432" s="55">
        <f t="shared" si="2742"/>
        <v>-4560.2066290226167</v>
      </c>
      <c r="BE432" s="55">
        <f t="shared" si="2742"/>
        <v>-4502.1711240070608</v>
      </c>
      <c r="BF432" s="55">
        <f t="shared" si="2742"/>
        <v>-4730.9559110735199</v>
      </c>
      <c r="BG432" s="55">
        <f t="shared" si="2742"/>
        <v>-4673.2992924071496</v>
      </c>
      <c r="BH432" s="55">
        <f t="shared" si="2742"/>
        <v>-4912.0262562490352</v>
      </c>
      <c r="BI432" s="55">
        <f t="shared" si="2742"/>
        <v>-4851.0614933323759</v>
      </c>
      <c r="BJ432" s="55">
        <f t="shared" ref="BJ432:BM432" si="2743">-AVERAGE(BI92:BJ92)*BJ93/BJ$5/1000000</f>
        <v>-5009.817232162467</v>
      </c>
      <c r="BK432" s="55">
        <f t="shared" si="2743"/>
        <v>-5023.1446074240121</v>
      </c>
      <c r="BL432" s="55">
        <f t="shared" si="2743"/>
        <v>-5177.8570512328679</v>
      </c>
      <c r="BM432" s="55">
        <f t="shared" si="2743"/>
        <v>-5220.2827545602131</v>
      </c>
      <c r="BN432" s="55">
        <f t="shared" ref="BN432" si="2744">-AVERAGE(BM92:BN92)*BN93/BN$5/1000000</f>
        <v>-5354.3250264391454</v>
      </c>
      <c r="BO432" s="55">
        <f t="shared" ref="BO432" si="2745">-AVERAGE(BN92:BO92)*BO93/BO$5/1000000</f>
        <v>-5328.9325278248352</v>
      </c>
      <c r="BP432" s="55">
        <f t="shared" ref="BP432" si="2746">-AVERAGE(BO92:BP92)*BP93/BP$5/1000000</f>
        <v>-5480.9129407611099</v>
      </c>
      <c r="BQ432" s="55">
        <f t="shared" ref="BQ432" si="2747">-AVERAGE(BP92:BQ92)*BQ93/BQ$5/1000000</f>
        <v>-5454.8873925021753</v>
      </c>
      <c r="BR432" s="55"/>
      <c r="BS432" s="53">
        <v>-1754.3</v>
      </c>
      <c r="BT432" s="53">
        <v>-1676.1</v>
      </c>
      <c r="BU432" s="53">
        <v>-1624</v>
      </c>
      <c r="BV432" s="53">
        <v>-1523</v>
      </c>
      <c r="BW432" s="53">
        <v>-1582</v>
      </c>
      <c r="BX432" s="53">
        <v>-1663</v>
      </c>
      <c r="BY432" s="53">
        <v>-1622</v>
      </c>
      <c r="BZ432" s="53">
        <v>-1604</v>
      </c>
      <c r="CA432" s="53">
        <v>-1705</v>
      </c>
      <c r="CB432" s="53">
        <v>-2360</v>
      </c>
      <c r="CC432" s="55">
        <f>SUM(D432:E432)</f>
        <v>-2390</v>
      </c>
      <c r="CD432" s="55">
        <f>SUM(F432:G432)</f>
        <v>-2477</v>
      </c>
      <c r="CE432" s="55">
        <f>SUM(H432:I432)</f>
        <v>-2721</v>
      </c>
      <c r="CF432" s="55">
        <f>SUM(J432:K432)</f>
        <v>-2723</v>
      </c>
      <c r="CG432" s="55">
        <f>SUM(L432:M432)</f>
        <v>-2823</v>
      </c>
      <c r="CH432" s="55">
        <f>SUM(N432:O432)</f>
        <v>-3229</v>
      </c>
      <c r="CI432" s="55">
        <f>SUM(P432:Q432)</f>
        <v>-3661</v>
      </c>
      <c r="CJ432" s="55">
        <f>SUM(R432:S432)</f>
        <v>-4252</v>
      </c>
      <c r="CK432" s="55">
        <f>SUM(T432:U432)</f>
        <v>-4583</v>
      </c>
      <c r="CL432" s="55">
        <f>SUM(V432:W432)</f>
        <v>-4787</v>
      </c>
      <c r="CM432" s="55">
        <f>SUM(X432:Y432)</f>
        <v>-4947</v>
      </c>
      <c r="CN432" s="55">
        <f>SUM(Z432:AA432)</f>
        <v>-5232</v>
      </c>
      <c r="CO432" s="55">
        <f>SUM(AB432:AC432)</f>
        <v>-5542</v>
      </c>
      <c r="CP432" s="55">
        <f>SUM(AD432:AE432)</f>
        <v>-5816</v>
      </c>
      <c r="CQ432" s="55">
        <f>SUM(AF432:AG432)</f>
        <v>-6169</v>
      </c>
      <c r="CR432" s="55">
        <f>SUM(AH432:AI432)</f>
        <v>-6043</v>
      </c>
      <c r="CS432" s="55">
        <f>SUM(AJ432:AK432)</f>
        <v>-5439</v>
      </c>
      <c r="CT432" s="55">
        <f>SUM(AL432:AM432)</f>
        <v>-5577</v>
      </c>
      <c r="CU432" s="55">
        <f>SUM(AN432:AO432)</f>
        <v>-5731</v>
      </c>
      <c r="CV432" s="55">
        <f>SUM(AP432:AQ432)</f>
        <v>-5985</v>
      </c>
      <c r="CW432" s="55">
        <f>SUM(AR432:AS432)</f>
        <v>-6552</v>
      </c>
      <c r="CX432" s="55">
        <f>SUM(AT432:AU432)</f>
        <v>-7177</v>
      </c>
      <c r="CY432" s="55">
        <f>SUM(AV432:AW432)</f>
        <v>-7488</v>
      </c>
      <c r="CZ432" s="56">
        <f>SUM(AX432:AY432)</f>
        <v>-7970</v>
      </c>
      <c r="DA432" s="55">
        <f>SUM(AZ432:BA432)</f>
        <v>-8250.89</v>
      </c>
      <c r="DB432" s="55">
        <f>SUM(BB432:BC432)</f>
        <v>-8704.91983226097</v>
      </c>
      <c r="DC432" s="55">
        <f>SUM(BD432:BE432)</f>
        <v>-9062.3777530296775</v>
      </c>
      <c r="DD432" s="55">
        <f>SUM(BF432:BG432)</f>
        <v>-9404.2552034806686</v>
      </c>
      <c r="DE432" s="55">
        <f>SUM(BH432:BI432)</f>
        <v>-9763.0877495814111</v>
      </c>
      <c r="DF432" s="55">
        <f>SUM(BJ432:BK432)</f>
        <v>-10032.961839586478</v>
      </c>
      <c r="DG432" s="55">
        <f>SUM(BL432:BM432)</f>
        <v>-10398.139805793082</v>
      </c>
      <c r="DH432" s="55">
        <f>SUM(BN432:BO432)</f>
        <v>-10683.257554263981</v>
      </c>
      <c r="DI432" s="55">
        <f>SUM(BP432:BQ432)</f>
        <v>-10935.800333263285</v>
      </c>
    </row>
    <row r="433" spans="1:113" outlineLevel="1">
      <c r="A433" s="1" t="s">
        <v>670</v>
      </c>
      <c r="B433" s="19" t="s">
        <v>448</v>
      </c>
      <c r="C433" s="53">
        <f>(-272-340-18)/3</f>
        <v>-210</v>
      </c>
      <c r="D433" s="53">
        <f>(-373-256-6)/3</f>
        <v>-211.66666666666666</v>
      </c>
      <c r="E433" s="53">
        <f>(-388-255-7)/3</f>
        <v>-216.66666666666666</v>
      </c>
      <c r="F433" s="53">
        <f>(-418-264)*(1/3)</f>
        <v>-227.33333333333331</v>
      </c>
      <c r="G433" s="53">
        <f>(-406-242)*(1/3)</f>
        <v>-216</v>
      </c>
      <c r="H433" s="53">
        <f>(-416-242)*(1/3)</f>
        <v>-219.33333333333331</v>
      </c>
      <c r="I433" s="53">
        <f>(-390-261)*(1/3)</f>
        <v>-217</v>
      </c>
      <c r="J433" s="53">
        <f>(-400-262)*(1/3)</f>
        <v>-220.66666666666666</v>
      </c>
      <c r="K433" s="53">
        <f>(-398-279)*(1/3)</f>
        <v>-225.66666666666666</v>
      </c>
      <c r="L433" s="53">
        <f>(-459-248)*(1/3)</f>
        <v>-235.66666666666666</v>
      </c>
      <c r="M433" s="53">
        <f>(-530-199)*(1/3)</f>
        <v>-243</v>
      </c>
      <c r="N433" s="53">
        <f>(-782)*(1/3)</f>
        <v>-260.66666666666663</v>
      </c>
      <c r="O433" s="53">
        <f>(-829)*(1/3)</f>
        <v>-276.33333333333331</v>
      </c>
      <c r="P433" s="53">
        <f>(-824)*(1/3)</f>
        <v>-274.66666666666663</v>
      </c>
      <c r="Q433" s="53">
        <f>(-887)*(1/3)</f>
        <v>-295.66666666666663</v>
      </c>
      <c r="R433" s="53">
        <f>(-854)*(1/3)</f>
        <v>-284.66666666666663</v>
      </c>
      <c r="S433" s="53">
        <f>(-829)*(1/3)</f>
        <v>-276.33333333333331</v>
      </c>
      <c r="T433" s="53">
        <f>(-851)*(1/3)</f>
        <v>-283.66666666666663</v>
      </c>
      <c r="U433" s="53">
        <f>(-855)*(1/3)</f>
        <v>-285</v>
      </c>
      <c r="V433" s="53">
        <f>(-869)*(1/3)</f>
        <v>-289.66666666666663</v>
      </c>
      <c r="W433" s="53">
        <f>(-1801)*(1/3)-V433</f>
        <v>-310.66666666666663</v>
      </c>
      <c r="X433" s="53">
        <f>(-680-292-113/X25)*(1/3)</f>
        <v>-352.87484161839234</v>
      </c>
      <c r="Y433" s="53">
        <f>(-689-248-116/Y25)*(1/3)</f>
        <v>-342.19076788095055</v>
      </c>
      <c r="Z433" s="53">
        <f>INDEX('WM and Life'!$8:$8,MATCH(LEFT(Z$1,4),'WM and Life'!$1:$1,0))  /
INDEX('WM and Life'!$8:$8,MATCH(LEFT(Y$1,4),'WM and Life'!$1:$1,0)) * Y433</f>
        <v>-344.17724058803333</v>
      </c>
      <c r="AA433" s="53">
        <f>INDEX('WM and Life'!$8:$8,MATCH(LEFT(AA$1,4),'WM and Life'!$1:$1,0))  /
INDEX('WM and Life'!$8:$8,MATCH(LEFT(Z$1,4),'WM and Life'!$1:$1,0)) * Z433</f>
        <v>-349.90588043345787</v>
      </c>
      <c r="AB433" s="164">
        <f>INDEX('WM and Life'!$8:$8,MATCH(LEFT(AB$1,4),'WM and Life'!$1:$1,0))  /
INDEX('WM and Life'!$8:$8,MATCH(LEFT(AA$1,4),'WM and Life'!$1:$1,0)) * AA433</f>
        <v>-348.26175258529707</v>
      </c>
      <c r="AC433" s="164">
        <f>INDEX('WM and Life'!$8:$8,MATCH(LEFT(AC$1,4),'WM and Life'!$1:$1,0))  /
INDEX('WM and Life'!$8:$8,MATCH(LEFT(AB$1,4),'WM and Life'!$1:$1,0)) * AB433</f>
        <v>-366.65721797241559</v>
      </c>
      <c r="AD433" s="164">
        <f>INDEX('WM and Life'!$8:$8,MATCH(LEFT(AD$1,4),'WM and Life'!$1:$1,0))  /
INDEX('WM and Life'!$8:$8,MATCH(LEFT(AC$1,4),'WM and Life'!$1:$1,0)) * AC433</f>
        <v>-369.07650938328345</v>
      </c>
      <c r="AE433" s="164">
        <f>(INDEX('WM and Life'!$8:$8,MATCH(LEFT(AE$1,4),'WM and Life'!$1:$1,0))-AE442)  /
INDEX('WM and Life'!$8:$8,MATCH(LEFT(AD$1,4),'WM and Life'!$1:$1,0)) * AD433</f>
        <v>-372.56817396660716</v>
      </c>
      <c r="AF433" s="164">
        <f>INDEX('WM and Life'!$8:$8,MATCH(LEFT(AF$1,4),'WM and Life'!$1:$1,0))  /
INDEX('WM and Life'!$8:$8,MATCH(LEFT(AE$1,4),'WM and Life'!$1:$1,0)) * AE433</f>
        <v>-330.62778496836881</v>
      </c>
      <c r="AG433" s="164">
        <f>INDEX('WM and Life'!$8:$8,MATCH(LEFT(AG$1,4),'WM and Life'!$1:$1,0))  /
INDEX('WM and Life'!$8:$8,MATCH(LEFT(AF$1,4),'WM and Life'!$1:$1,0)) * AF433</f>
        <v>-344.05084820815796</v>
      </c>
      <c r="AH433" s="164">
        <f>INDEX('WM and Life'!$8:$8,MATCH(LEFT(AH$1,4),'WM and Life'!$1:$1,0))  /
INDEX('WM and Life'!$8:$8,MATCH(LEFT(AG$1,4),'WM and Life'!$1:$1,0)) * AG433</f>
        <v>-294.77653271397458</v>
      </c>
      <c r="AI433" s="164">
        <f>INDEX('WM and Life'!$8:$8,MATCH(LEFT(AI$1,4),'WM and Life'!$1:$1,0))  /
INDEX('WM and Life'!$8:$8,MATCH(LEFT(AH$1,4),'WM and Life'!$1:$1,0)) * AH433</f>
        <v>-276.2499775721613</v>
      </c>
      <c r="AJ433" s="164">
        <f>INDEX('WM and Life'!$8:$8,MATCH(LEFT(AJ$1,4),'WM and Life'!$1:$1,0))  /
INDEX('WM and Life'!$8:$8,MATCH(LEFT(AI$1,4),'WM and Life'!$1:$1,0)) * AI433</f>
        <v>-275.22040119806087</v>
      </c>
      <c r="AK433" s="164">
        <f>INDEX('WM and Life'!$8:$8,MATCH(LEFT(AK$1,4),'WM and Life'!$1:$1,0))  /
INDEX('WM and Life'!$8:$8,MATCH(LEFT(AJ$1,4),'WM and Life'!$1:$1,0)) * AJ433</f>
        <v>-287.41596158032291</v>
      </c>
      <c r="AL433" s="164">
        <v>0</v>
      </c>
      <c r="AM433" s="164">
        <v>0</v>
      </c>
      <c r="AN433" s="164">
        <v>0</v>
      </c>
      <c r="AO433" s="164">
        <v>0</v>
      </c>
      <c r="AP433" s="164">
        <v>0</v>
      </c>
      <c r="AQ433" s="164">
        <v>0</v>
      </c>
      <c r="AR433" s="164">
        <v>0</v>
      </c>
      <c r="AS433" s="164">
        <v>0</v>
      </c>
      <c r="AT433" s="164">
        <v>0</v>
      </c>
      <c r="AU433" s="164">
        <v>0</v>
      </c>
      <c r="AV433" s="164">
        <v>0</v>
      </c>
      <c r="AW433" s="164">
        <v>0</v>
      </c>
      <c r="AX433" s="164">
        <v>0</v>
      </c>
      <c r="AY433" s="164">
        <v>0</v>
      </c>
      <c r="AZ433" s="171">
        <v>0</v>
      </c>
      <c r="BA433" s="54">
        <v>2</v>
      </c>
      <c r="BB433" s="54">
        <v>3</v>
      </c>
      <c r="BC433" s="54">
        <v>4</v>
      </c>
      <c r="BD433" s="54">
        <v>5</v>
      </c>
      <c r="BE433" s="54">
        <v>6</v>
      </c>
      <c r="BF433" s="54">
        <v>7</v>
      </c>
      <c r="BG433" s="54">
        <v>8</v>
      </c>
      <c r="BH433" s="54">
        <v>9</v>
      </c>
      <c r="BI433" s="54">
        <v>10</v>
      </c>
      <c r="BJ433" s="54">
        <v>0</v>
      </c>
      <c r="BK433" s="54">
        <v>0</v>
      </c>
      <c r="BL433" s="54">
        <v>0</v>
      </c>
      <c r="BM433" s="54">
        <v>0</v>
      </c>
      <c r="BN433" s="54">
        <v>0</v>
      </c>
      <c r="BO433" s="54">
        <v>0</v>
      </c>
      <c r="BP433" s="54">
        <v>0</v>
      </c>
      <c r="BQ433" s="54">
        <v>0</v>
      </c>
      <c r="BR433" s="54"/>
      <c r="BS433" s="53"/>
      <c r="BT433" s="53"/>
      <c r="BU433" s="53">
        <f t="shared" ref="BU433:BZ433" si="2748">BV433*BU398/BV398</f>
        <v>0</v>
      </c>
      <c r="BV433" s="53">
        <f t="shared" si="2748"/>
        <v>-19.303496503496486</v>
      </c>
      <c r="BW433" s="53">
        <f t="shared" si="2748"/>
        <v>-12.473136619478073</v>
      </c>
      <c r="BX433" s="53">
        <f t="shared" si="2748"/>
        <v>-17.304281084768874</v>
      </c>
      <c r="BY433" s="53">
        <f t="shared" si="2748"/>
        <v>-18.006993006992989</v>
      </c>
      <c r="BZ433" s="53">
        <f t="shared" si="2748"/>
        <v>-23.289044289044266</v>
      </c>
      <c r="CA433" s="53">
        <f>-103*(0.333333333333333)</f>
        <v>-34.3333333333333</v>
      </c>
      <c r="CB433" s="53">
        <f>-496*(0.333333333333333)</f>
        <v>-165.33333333333317</v>
      </c>
      <c r="CC433" s="55">
        <f>SUM(D433:E433)</f>
        <v>-428.33333333333331</v>
      </c>
      <c r="CD433" s="55">
        <f>SUM(F433:G433)</f>
        <v>-443.33333333333331</v>
      </c>
      <c r="CE433" s="55">
        <f>SUM(H433:I433)</f>
        <v>-436.33333333333331</v>
      </c>
      <c r="CF433" s="55">
        <f>SUM(J433:K433)</f>
        <v>-446.33333333333331</v>
      </c>
      <c r="CG433" s="55">
        <f>SUM(L433:M433)</f>
        <v>-478.66666666666663</v>
      </c>
      <c r="CH433" s="55">
        <f>SUM(N433:O433)</f>
        <v>-537</v>
      </c>
      <c r="CI433" s="55">
        <f>SUM(P433:Q433)</f>
        <v>-570.33333333333326</v>
      </c>
      <c r="CJ433" s="55">
        <f>SUM(R433:S433)</f>
        <v>-561</v>
      </c>
      <c r="CK433" s="55">
        <f>SUM(T433:U433)</f>
        <v>-568.66666666666663</v>
      </c>
      <c r="CL433" s="55">
        <f>SUM(V433:W433)</f>
        <v>-600.33333333333326</v>
      </c>
      <c r="CM433" s="55">
        <f>SUM(X433:Y433)</f>
        <v>-695.06560949934283</v>
      </c>
      <c r="CN433" s="55">
        <f>SUM(Z433:AA433)</f>
        <v>-694.08312102149125</v>
      </c>
      <c r="CO433" s="55">
        <f>SUM(AB433:AC433)</f>
        <v>-714.91897055771267</v>
      </c>
      <c r="CP433" s="55">
        <f>SUM(AD433:AE433)</f>
        <v>-741.64468334989056</v>
      </c>
      <c r="CQ433" s="55">
        <f>SUM(AF433:AG433)</f>
        <v>-674.67863317652677</v>
      </c>
      <c r="CR433" s="55">
        <f>SUM(AH433:AI433)</f>
        <v>-571.02651028613582</v>
      </c>
      <c r="CS433" s="55">
        <f>SUM(AJ433:AK433)</f>
        <v>-562.63636277838373</v>
      </c>
      <c r="CT433" s="55">
        <f>SUM(AL433:AM433)</f>
        <v>0</v>
      </c>
      <c r="CU433" s="55">
        <f>SUM(AN433:AO433)</f>
        <v>0</v>
      </c>
      <c r="CV433" s="55">
        <f>SUM(AP433:AQ433)</f>
        <v>0</v>
      </c>
      <c r="CW433" s="55">
        <f>SUM(AR433:AS433)</f>
        <v>0</v>
      </c>
      <c r="CX433" s="55">
        <f>SUM(AT433:AU433)</f>
        <v>0</v>
      </c>
      <c r="CY433" s="55">
        <f>SUM(AV433:AW433)</f>
        <v>0</v>
      </c>
      <c r="CZ433" s="56">
        <f>SUM(AX433:AY433)</f>
        <v>0</v>
      </c>
      <c r="DA433" s="55">
        <f>SUM(AZ433:BA433)</f>
        <v>2</v>
      </c>
      <c r="DB433" s="55">
        <f>SUM(BB433:BC433)</f>
        <v>7</v>
      </c>
      <c r="DC433" s="55">
        <f>SUM(BD433:BE433)</f>
        <v>11</v>
      </c>
      <c r="DD433" s="55">
        <f>SUM(BF433:BG433)</f>
        <v>15</v>
      </c>
      <c r="DE433" s="55">
        <f>SUM(BH433:BI433)</f>
        <v>19</v>
      </c>
      <c r="DF433" s="55">
        <f>SUM(BJ433:BK433)</f>
        <v>0</v>
      </c>
      <c r="DG433" s="55">
        <f>SUM(BL433:BM433)</f>
        <v>0</v>
      </c>
      <c r="DH433" s="55">
        <f>SUM(BN433:BO433)</f>
        <v>0</v>
      </c>
      <c r="DI433" s="55">
        <f>SUM(BP433:BQ433)</f>
        <v>0</v>
      </c>
    </row>
    <row r="434" spans="1:113" outlineLevel="1">
      <c r="A434" s="1" t="s">
        <v>671</v>
      </c>
      <c r="B434" s="19" t="s">
        <v>694</v>
      </c>
      <c r="C434" s="55">
        <f>C103</f>
        <v>-22</v>
      </c>
      <c r="D434" s="55">
        <f>D103</f>
        <v>-22</v>
      </c>
      <c r="E434" s="55">
        <f t="shared" ref="E434:L434" si="2749">E103</f>
        <v>-22</v>
      </c>
      <c r="F434" s="55">
        <f t="shared" si="2749"/>
        <v>-31</v>
      </c>
      <c r="G434" s="55">
        <f t="shared" si="2749"/>
        <v>-47</v>
      </c>
      <c r="H434" s="55">
        <f t="shared" si="2749"/>
        <v>-4</v>
      </c>
      <c r="I434" s="55">
        <f t="shared" si="2749"/>
        <v>-7</v>
      </c>
      <c r="J434" s="55">
        <f t="shared" si="2749"/>
        <v>-5</v>
      </c>
      <c r="K434" s="55">
        <f t="shared" si="2749"/>
        <v>-13</v>
      </c>
      <c r="L434" s="55">
        <f t="shared" si="2749"/>
        <v>-16</v>
      </c>
      <c r="M434" s="55">
        <f t="shared" ref="M434:AD434" si="2750">M103</f>
        <v>-27</v>
      </c>
      <c r="N434" s="55">
        <f t="shared" si="2750"/>
        <v>-30</v>
      </c>
      <c r="O434" s="55">
        <f t="shared" si="2750"/>
        <v>-32</v>
      </c>
      <c r="P434" s="55">
        <f t="shared" si="2750"/>
        <v>-42</v>
      </c>
      <c r="Q434" s="55">
        <f t="shared" si="2750"/>
        <v>-46</v>
      </c>
      <c r="R434" s="55">
        <f t="shared" si="2750"/>
        <v>-49</v>
      </c>
      <c r="S434" s="55">
        <f t="shared" si="2750"/>
        <v>-73</v>
      </c>
      <c r="T434" s="55">
        <f t="shared" si="2750"/>
        <v>-104</v>
      </c>
      <c r="U434" s="55">
        <f t="shared" si="2750"/>
        <v>-74</v>
      </c>
      <c r="V434" s="55">
        <f t="shared" si="2750"/>
        <v>-81</v>
      </c>
      <c r="W434" s="55">
        <f t="shared" si="2750"/>
        <v>-102</v>
      </c>
      <c r="X434" s="55">
        <f t="shared" si="2750"/>
        <v>-89</v>
      </c>
      <c r="Y434" s="55">
        <f>Y103</f>
        <v>-90</v>
      </c>
      <c r="Z434" s="55">
        <f>Z103</f>
        <v>-112</v>
      </c>
      <c r="AA434" s="55">
        <f t="shared" si="2750"/>
        <v>-133</v>
      </c>
      <c r="AB434" s="55">
        <f t="shared" si="2750"/>
        <v>-130</v>
      </c>
      <c r="AC434" s="55">
        <f t="shared" si="2750"/>
        <v>-198</v>
      </c>
      <c r="AD434" s="55">
        <f t="shared" si="2750"/>
        <v>-143</v>
      </c>
      <c r="AE434" s="55">
        <f t="shared" ref="AE434:AL434" si="2751">AE103</f>
        <v>-165</v>
      </c>
      <c r="AF434" s="55">
        <f t="shared" si="2751"/>
        <v>-177</v>
      </c>
      <c r="AG434" s="55">
        <f t="shared" si="2751"/>
        <v>-202</v>
      </c>
      <c r="AH434" s="55">
        <f t="shared" si="2751"/>
        <v>-220</v>
      </c>
      <c r="AI434" s="55">
        <f t="shared" si="2751"/>
        <v>-172</v>
      </c>
      <c r="AJ434" s="55">
        <f t="shared" si="2751"/>
        <v>-202</v>
      </c>
      <c r="AK434" s="164">
        <f>AK103+51</f>
        <v>-300</v>
      </c>
      <c r="AL434" s="55">
        <f t="shared" si="2751"/>
        <v>-231</v>
      </c>
      <c r="AM434" s="55">
        <f t="shared" ref="AM434:AR434" si="2752">AM103</f>
        <v>-219</v>
      </c>
      <c r="AN434" s="55">
        <f t="shared" si="2752"/>
        <v>-275</v>
      </c>
      <c r="AO434" s="55">
        <f t="shared" si="2752"/>
        <v>-274</v>
      </c>
      <c r="AP434" s="55">
        <f t="shared" si="2752"/>
        <v>-238</v>
      </c>
      <c r="AQ434" s="55">
        <f t="shared" si="2752"/>
        <v>-184</v>
      </c>
      <c r="AR434" s="55">
        <f t="shared" si="2752"/>
        <v>-160</v>
      </c>
      <c r="AS434" s="55">
        <f t="shared" ref="AS434:AT434" si="2753">AS103</f>
        <v>-212</v>
      </c>
      <c r="AT434" s="55">
        <f t="shared" si="2753"/>
        <v>-183</v>
      </c>
      <c r="AU434" s="55">
        <f t="shared" ref="AU434:AV434" si="2754">AU103</f>
        <v>-212</v>
      </c>
      <c r="AV434" s="55">
        <f t="shared" si="2754"/>
        <v>-314</v>
      </c>
      <c r="AW434" s="55">
        <f t="shared" ref="AW434:AX434" si="2755">AW103</f>
        <v>-371</v>
      </c>
      <c r="AX434" s="55">
        <f t="shared" si="2755"/>
        <v>-329</v>
      </c>
      <c r="AY434" s="55">
        <f t="shared" ref="AY434:AZ434" si="2756">AY103</f>
        <v>-354</v>
      </c>
      <c r="AZ434" s="56">
        <f t="shared" si="2756"/>
        <v>-358</v>
      </c>
      <c r="BA434" s="55">
        <f t="shared" ref="BA434:BI434" si="2757">BA103</f>
        <v>-389.99616417337933</v>
      </c>
      <c r="BB434" s="55">
        <f t="shared" si="2757"/>
        <v>-415.66398703624247</v>
      </c>
      <c r="BC434" s="55">
        <f t="shared" si="2757"/>
        <v>-436.18238162449461</v>
      </c>
      <c r="BD434" s="55">
        <f t="shared" si="2757"/>
        <v>-452.16180528713443</v>
      </c>
      <c r="BE434" s="55">
        <f t="shared" si="2757"/>
        <v>-464.12566862981197</v>
      </c>
      <c r="BF434" s="55">
        <f t="shared" si="2757"/>
        <v>-475.92774113392585</v>
      </c>
      <c r="BG434" s="55">
        <f t="shared" si="2757"/>
        <v>-487.61986269491786</v>
      </c>
      <c r="BH434" s="55">
        <f t="shared" si="2757"/>
        <v>-499.24734686652494</v>
      </c>
      <c r="BI434" s="55">
        <f t="shared" si="2757"/>
        <v>-510.8498889238889</v>
      </c>
      <c r="BJ434" s="55">
        <f t="shared" ref="BJ434:BM434" si="2758">BJ103</f>
        <v>-529.51815777616991</v>
      </c>
      <c r="BK434" s="55">
        <f t="shared" si="2758"/>
        <v>-530.67103371450264</v>
      </c>
      <c r="BL434" s="55">
        <f t="shared" si="2758"/>
        <v>-548.13324731520527</v>
      </c>
      <c r="BM434" s="55">
        <f t="shared" si="2758"/>
        <v>-552.10132103681701</v>
      </c>
      <c r="BN434" s="55">
        <f t="shared" ref="BN434:BO434" si="2759">BN103</f>
        <v>-569.83696897524965</v>
      </c>
      <c r="BO434" s="55">
        <f t="shared" si="2759"/>
        <v>-570.67083218374921</v>
      </c>
      <c r="BP434" s="55">
        <f t="shared" ref="BP434:BQ434" si="2760">BP103</f>
        <v>-590.00403734372253</v>
      </c>
      <c r="BQ434" s="55">
        <f t="shared" si="2760"/>
        <v>-589.8737006456463</v>
      </c>
      <c r="BR434" s="55"/>
      <c r="BS434" s="55">
        <f t="shared" ref="BS434:CA434" si="2761">BS103</f>
        <v>0</v>
      </c>
      <c r="BT434" s="55">
        <f t="shared" si="2761"/>
        <v>0</v>
      </c>
      <c r="BU434" s="55">
        <f t="shared" si="2761"/>
        <v>0</v>
      </c>
      <c r="BV434" s="55">
        <f t="shared" si="2761"/>
        <v>0</v>
      </c>
      <c r="BW434" s="55">
        <f t="shared" si="2761"/>
        <v>0</v>
      </c>
      <c r="BX434" s="55">
        <f t="shared" si="2761"/>
        <v>0</v>
      </c>
      <c r="BY434" s="55">
        <f t="shared" si="2761"/>
        <v>0</v>
      </c>
      <c r="BZ434" s="55">
        <f t="shared" si="2761"/>
        <v>0</v>
      </c>
      <c r="CA434" s="55">
        <f t="shared" si="2761"/>
        <v>0</v>
      </c>
      <c r="CB434" s="55">
        <f>CB103</f>
        <v>0</v>
      </c>
      <c r="CC434" s="55">
        <f>SUM(D434:E434)</f>
        <v>-44</v>
      </c>
      <c r="CD434" s="55">
        <f>SUM(F434:G434)</f>
        <v>-78</v>
      </c>
      <c r="CE434" s="55">
        <f>SUM(H434:I434)</f>
        <v>-11</v>
      </c>
      <c r="CF434" s="55">
        <f>SUM(J434:K434)</f>
        <v>-18</v>
      </c>
      <c r="CG434" s="55">
        <f>SUM(L434:M434)</f>
        <v>-43</v>
      </c>
      <c r="CH434" s="55">
        <f>SUM(N434:O434)</f>
        <v>-62</v>
      </c>
      <c r="CI434" s="55">
        <f>SUM(P434:Q434)</f>
        <v>-88</v>
      </c>
      <c r="CJ434" s="55">
        <f>SUM(R434:S434)</f>
        <v>-122</v>
      </c>
      <c r="CK434" s="55">
        <f>SUM(T434:U434)</f>
        <v>-178</v>
      </c>
      <c r="CL434" s="55">
        <f>SUM(V434:W434)</f>
        <v>-183</v>
      </c>
      <c r="CM434" s="55">
        <f>SUM(X434:Y434)</f>
        <v>-179</v>
      </c>
      <c r="CN434" s="55">
        <f>SUM(Z434:AA434)</f>
        <v>-245</v>
      </c>
      <c r="CO434" s="55">
        <f>SUM(AB434:AC434)</f>
        <v>-328</v>
      </c>
      <c r="CP434" s="55">
        <f>SUM(AD434:AE434)</f>
        <v>-308</v>
      </c>
      <c r="CQ434" s="55">
        <f>SUM(AF434:AG434)</f>
        <v>-379</v>
      </c>
      <c r="CR434" s="55">
        <f>SUM(AH434:AI434)</f>
        <v>-392</v>
      </c>
      <c r="CS434" s="55">
        <f>SUM(AJ434:AK434)</f>
        <v>-502</v>
      </c>
      <c r="CT434" s="55">
        <f>SUM(AL434:AM434)</f>
        <v>-450</v>
      </c>
      <c r="CU434" s="55">
        <f>SUM(AN434:AO434)</f>
        <v>-549</v>
      </c>
      <c r="CV434" s="55">
        <f>SUM(AP434:AQ434)</f>
        <v>-422</v>
      </c>
      <c r="CW434" s="55">
        <f>SUM(AR434:AS434)</f>
        <v>-372</v>
      </c>
      <c r="CX434" s="55">
        <f>SUM(AT434:AU434)</f>
        <v>-395</v>
      </c>
      <c r="CY434" s="55">
        <f>SUM(AV434:AW434)</f>
        <v>-685</v>
      </c>
      <c r="CZ434" s="56">
        <f>SUM(AX434:AY434)</f>
        <v>-683</v>
      </c>
      <c r="DA434" s="55">
        <f>SUM(AZ434:BA434)</f>
        <v>-747.99616417337938</v>
      </c>
      <c r="DB434" s="55">
        <f>SUM(BB434:BC434)</f>
        <v>-851.84636866073708</v>
      </c>
      <c r="DC434" s="55">
        <f>SUM(BD434:BE434)</f>
        <v>-916.2874739169464</v>
      </c>
      <c r="DD434" s="55">
        <f>SUM(BF434:BG434)</f>
        <v>-963.54760382884365</v>
      </c>
      <c r="DE434" s="55">
        <f>SUM(BH434:BI434)</f>
        <v>-1010.0972357904138</v>
      </c>
      <c r="DF434" s="55">
        <f>SUM(BJ434:BK434)</f>
        <v>-1060.1891914906726</v>
      </c>
      <c r="DG434" s="55">
        <f>SUM(BL434:BM434)</f>
        <v>-1100.2345683520223</v>
      </c>
      <c r="DH434" s="55">
        <f>SUM(BN434:BO434)</f>
        <v>-1140.507801158999</v>
      </c>
      <c r="DI434" s="55">
        <f>SUM(BP434:BQ434)</f>
        <v>-1179.8777379893688</v>
      </c>
    </row>
    <row r="435" spans="1:113" outlineLevel="1">
      <c r="A435" s="1" t="s">
        <v>672</v>
      </c>
      <c r="B435" s="19" t="s">
        <v>449</v>
      </c>
      <c r="C435" s="53">
        <v>0</v>
      </c>
      <c r="D435" s="53">
        <v>0</v>
      </c>
      <c r="E435" s="53">
        <v>0</v>
      </c>
      <c r="F435" s="53">
        <v>0</v>
      </c>
      <c r="G435" s="53">
        <v>0</v>
      </c>
      <c r="H435" s="53">
        <v>0</v>
      </c>
      <c r="I435" s="53">
        <v>0</v>
      </c>
      <c r="J435" s="53">
        <v>0</v>
      </c>
      <c r="K435" s="53">
        <v>0</v>
      </c>
      <c r="L435" s="53">
        <v>0</v>
      </c>
      <c r="M435" s="53">
        <v>0</v>
      </c>
      <c r="N435" s="53">
        <v>0</v>
      </c>
      <c r="O435" s="53">
        <v>0</v>
      </c>
      <c r="P435" s="53">
        <v>0</v>
      </c>
      <c r="Q435" s="53">
        <v>0</v>
      </c>
      <c r="R435" s="53">
        <v>0</v>
      </c>
      <c r="S435" s="53">
        <v>0</v>
      </c>
      <c r="T435" s="53">
        <v>0</v>
      </c>
      <c r="U435" s="53">
        <v>0</v>
      </c>
      <c r="V435" s="53">
        <v>0</v>
      </c>
      <c r="W435" s="53">
        <v>0</v>
      </c>
      <c r="X435" s="53">
        <v>0</v>
      </c>
      <c r="Y435" s="53">
        <v>0</v>
      </c>
      <c r="Z435" s="53">
        <v>0</v>
      </c>
      <c r="AA435" s="164">
        <v>0</v>
      </c>
      <c r="AB435" s="164">
        <v>0</v>
      </c>
      <c r="AC435" s="164">
        <v>0</v>
      </c>
      <c r="AD435" s="164">
        <v>0</v>
      </c>
      <c r="AE435" s="164">
        <v>0</v>
      </c>
      <c r="AF435" s="164">
        <v>0</v>
      </c>
      <c r="AG435" s="164">
        <v>0</v>
      </c>
      <c r="AH435" s="164">
        <v>0</v>
      </c>
      <c r="AI435" s="164">
        <v>0</v>
      </c>
      <c r="AJ435" s="164">
        <v>0</v>
      </c>
      <c r="AK435" s="164">
        <v>0</v>
      </c>
      <c r="AL435" s="164">
        <v>0</v>
      </c>
      <c r="AM435" s="164">
        <v>0</v>
      </c>
      <c r="AN435" s="164">
        <v>0</v>
      </c>
      <c r="AO435" s="164">
        <v>0</v>
      </c>
      <c r="AP435" s="164">
        <v>0</v>
      </c>
      <c r="AQ435" s="164">
        <v>0</v>
      </c>
      <c r="AR435" s="164">
        <v>0</v>
      </c>
      <c r="AS435" s="164">
        <v>0</v>
      </c>
      <c r="AT435" s="164">
        <v>0</v>
      </c>
      <c r="AU435" s="164">
        <v>0</v>
      </c>
      <c r="AV435" s="164">
        <v>0</v>
      </c>
      <c r="AW435" s="164">
        <v>0</v>
      </c>
      <c r="AX435" s="164">
        <v>0</v>
      </c>
      <c r="AY435" s="164">
        <v>0</v>
      </c>
      <c r="AZ435" s="171">
        <v>0</v>
      </c>
      <c r="BA435" s="54">
        <v>2</v>
      </c>
      <c r="BB435" s="54">
        <v>3</v>
      </c>
      <c r="BC435" s="54">
        <v>4</v>
      </c>
      <c r="BD435" s="54">
        <v>5</v>
      </c>
      <c r="BE435" s="54">
        <v>6</v>
      </c>
      <c r="BF435" s="54">
        <v>7</v>
      </c>
      <c r="BG435" s="54">
        <v>8</v>
      </c>
      <c r="BH435" s="54">
        <v>9</v>
      </c>
      <c r="BI435" s="54">
        <v>10</v>
      </c>
      <c r="BJ435" s="54">
        <v>0</v>
      </c>
      <c r="BK435" s="54">
        <v>0</v>
      </c>
      <c r="BL435" s="54">
        <v>0</v>
      </c>
      <c r="BM435" s="54">
        <v>0</v>
      </c>
      <c r="BN435" s="54">
        <v>0</v>
      </c>
      <c r="BO435" s="54">
        <v>0</v>
      </c>
      <c r="BP435" s="54">
        <v>0</v>
      </c>
      <c r="BQ435" s="54">
        <v>0</v>
      </c>
      <c r="BR435" s="55"/>
      <c r="BS435" s="53">
        <v>0</v>
      </c>
      <c r="BT435" s="53">
        <v>0</v>
      </c>
      <c r="BU435" s="53">
        <v>0</v>
      </c>
      <c r="BV435" s="53">
        <v>0</v>
      </c>
      <c r="BW435" s="53">
        <v>0</v>
      </c>
      <c r="BX435" s="53">
        <v>0</v>
      </c>
      <c r="BY435" s="53">
        <v>0</v>
      </c>
      <c r="BZ435" s="53">
        <v>0</v>
      </c>
      <c r="CA435" s="53">
        <v>0</v>
      </c>
      <c r="CB435" s="53">
        <v>0</v>
      </c>
      <c r="CC435" s="55">
        <f>SUM(D435:E435)</f>
        <v>0</v>
      </c>
      <c r="CD435" s="55">
        <f>SUM(F435:G435)</f>
        <v>0</v>
      </c>
      <c r="CE435" s="55">
        <f>SUM(H435:I435)</f>
        <v>0</v>
      </c>
      <c r="CF435" s="55">
        <f>SUM(J435:K435)</f>
        <v>0</v>
      </c>
      <c r="CG435" s="55">
        <f>SUM(L435:M435)</f>
        <v>0</v>
      </c>
      <c r="CH435" s="55">
        <f>SUM(N435:O435)</f>
        <v>0</v>
      </c>
      <c r="CI435" s="55">
        <f>SUM(P435:Q435)</f>
        <v>0</v>
      </c>
      <c r="CJ435" s="55">
        <f>SUM(R435:S435)</f>
        <v>0</v>
      </c>
      <c r="CK435" s="55">
        <f>SUM(T435:U435)</f>
        <v>0</v>
      </c>
      <c r="CL435" s="55">
        <f>SUM(V435:W435)</f>
        <v>0</v>
      </c>
      <c r="CM435" s="55">
        <f>SUM(X435:Y435)</f>
        <v>0</v>
      </c>
      <c r="CN435" s="55">
        <f>SUM(Z435:AA435)</f>
        <v>0</v>
      </c>
      <c r="CO435" s="55">
        <f>SUM(AB435:AC435)</f>
        <v>0</v>
      </c>
      <c r="CP435" s="55">
        <f>SUM(AD435:AE435)</f>
        <v>0</v>
      </c>
      <c r="CQ435" s="55">
        <f>SUM(AF435:AG435)</f>
        <v>0</v>
      </c>
      <c r="CR435" s="55">
        <f>SUM(AH435:AI435)</f>
        <v>0</v>
      </c>
      <c r="CS435" s="55">
        <f>SUM(AJ435:AK435)</f>
        <v>0</v>
      </c>
      <c r="CT435" s="55">
        <f>SUM(AL435:AM435)</f>
        <v>0</v>
      </c>
      <c r="CU435" s="55">
        <f>SUM(AN435:AO435)</f>
        <v>0</v>
      </c>
      <c r="CV435" s="55">
        <f>SUM(AP435:AQ435)</f>
        <v>0</v>
      </c>
      <c r="CW435" s="55">
        <f>SUM(AR435:AS435)</f>
        <v>0</v>
      </c>
      <c r="CX435" s="55">
        <f>SUM(AT435:AU435)</f>
        <v>0</v>
      </c>
      <c r="CY435" s="55">
        <f>SUM(AV435:AW435)</f>
        <v>0</v>
      </c>
      <c r="CZ435" s="56">
        <f>SUM(AX435:AY435)</f>
        <v>0</v>
      </c>
      <c r="DA435" s="55">
        <f>SUM(AZ435:BA435)</f>
        <v>2</v>
      </c>
      <c r="DB435" s="55">
        <f>SUM(BB435:BC435)</f>
        <v>7</v>
      </c>
      <c r="DC435" s="55">
        <f>SUM(BD435:BE435)</f>
        <v>11</v>
      </c>
      <c r="DD435" s="55">
        <f>SUM(BF435:BG435)</f>
        <v>15</v>
      </c>
      <c r="DE435" s="55">
        <f>SUM(BH435:BI435)</f>
        <v>19</v>
      </c>
      <c r="DF435" s="55">
        <f>SUM(BJ435:BK435)</f>
        <v>0</v>
      </c>
      <c r="DG435" s="55">
        <f>SUM(BL435:BM435)</f>
        <v>0</v>
      </c>
      <c r="DH435" s="55">
        <f>SUM(BN435:BO435)</f>
        <v>0</v>
      </c>
      <c r="DI435" s="55">
        <f>SUM(BP435:BQ435)</f>
        <v>0</v>
      </c>
    </row>
    <row r="436" spans="1:113" outlineLevel="2">
      <c r="A436" s="1" t="s">
        <v>673</v>
      </c>
      <c r="B436" s="19" t="s">
        <v>801</v>
      </c>
      <c r="C436" s="55"/>
      <c r="D436" s="55"/>
      <c r="E436" s="55"/>
      <c r="F436" s="55"/>
      <c r="G436" s="55"/>
      <c r="H436" s="55"/>
      <c r="I436" s="55"/>
      <c r="J436" s="55"/>
      <c r="K436" s="55"/>
      <c r="L436" s="55"/>
      <c r="M436" s="55"/>
      <c r="N436" s="55"/>
      <c r="O436" s="55"/>
      <c r="P436" s="55"/>
      <c r="Q436" s="55"/>
      <c r="R436" s="55"/>
      <c r="S436" s="55"/>
      <c r="T436" s="55"/>
      <c r="U436" s="55"/>
      <c r="V436" s="55"/>
      <c r="W436" s="55"/>
      <c r="X436" s="55"/>
      <c r="Y436" s="55"/>
      <c r="Z436" s="55"/>
      <c r="AA436" s="55"/>
      <c r="AB436" s="55"/>
      <c r="AC436" s="55"/>
      <c r="AD436" s="55"/>
      <c r="AE436" s="55"/>
      <c r="AF436" s="55"/>
      <c r="AG436" s="55"/>
      <c r="AH436" s="55"/>
      <c r="AI436" s="55"/>
      <c r="AJ436" s="55"/>
      <c r="AK436" s="55"/>
      <c r="AL436" s="55"/>
      <c r="AM436" s="55"/>
      <c r="AN436" s="55"/>
      <c r="AO436" s="55"/>
      <c r="AP436" s="55"/>
      <c r="AQ436" s="55"/>
      <c r="AR436" s="55"/>
      <c r="AS436" s="55"/>
      <c r="AT436" s="55"/>
      <c r="AU436" s="55"/>
      <c r="AV436" s="55"/>
      <c r="AW436" s="55"/>
      <c r="AX436" s="55"/>
      <c r="AY436" s="55"/>
      <c r="AZ436" s="56"/>
      <c r="BA436" s="55"/>
      <c r="BB436" s="55"/>
      <c r="BC436" s="55"/>
      <c r="BD436" s="55"/>
      <c r="BE436" s="55"/>
      <c r="BF436" s="55"/>
      <c r="BG436" s="55"/>
      <c r="BH436" s="55"/>
      <c r="BI436" s="55"/>
      <c r="BJ436" s="55"/>
      <c r="BK436" s="55"/>
      <c r="BL436" s="55"/>
      <c r="BM436" s="55"/>
      <c r="BN436" s="55"/>
      <c r="BO436" s="55"/>
      <c r="BP436" s="55"/>
      <c r="BQ436" s="55"/>
      <c r="BR436" s="55"/>
      <c r="BS436" s="55"/>
      <c r="BT436" s="55"/>
      <c r="BU436" s="55"/>
      <c r="BV436" s="55"/>
      <c r="BW436" s="55"/>
      <c r="BX436" s="55"/>
      <c r="BY436" s="55"/>
      <c r="BZ436" s="55"/>
      <c r="CA436" s="55"/>
      <c r="CB436" s="55"/>
      <c r="CC436" s="55"/>
      <c r="CD436" s="55"/>
      <c r="CE436" s="55"/>
      <c r="CF436" s="55"/>
      <c r="CG436" s="55"/>
      <c r="CH436" s="55"/>
      <c r="CI436" s="55"/>
      <c r="CJ436" s="55"/>
      <c r="CK436" s="55"/>
      <c r="CL436" s="55"/>
      <c r="CM436" s="55"/>
      <c r="CN436" s="55"/>
      <c r="CO436" s="55"/>
      <c r="CP436" s="55"/>
      <c r="CQ436" s="55"/>
      <c r="CR436" s="55"/>
      <c r="CS436" s="55"/>
      <c r="CT436" s="55"/>
      <c r="CU436" s="55"/>
      <c r="CV436" s="55"/>
      <c r="CW436" s="55"/>
      <c r="CX436" s="55"/>
      <c r="CY436" s="55"/>
      <c r="CZ436" s="56"/>
      <c r="DA436" s="55"/>
      <c r="DB436" s="55"/>
      <c r="DC436" s="55"/>
      <c r="DD436" s="55"/>
      <c r="DE436" s="55"/>
      <c r="DF436" s="55"/>
      <c r="DG436" s="55"/>
      <c r="DH436" s="55"/>
      <c r="DI436" s="55"/>
    </row>
    <row r="437" spans="1:113" outlineLevel="2">
      <c r="A437" s="1" t="s">
        <v>51</v>
      </c>
      <c r="B437" s="19" t="s">
        <v>801</v>
      </c>
      <c r="C437" s="55"/>
      <c r="D437" s="55"/>
      <c r="E437" s="55"/>
      <c r="F437" s="55"/>
      <c r="G437" s="55"/>
      <c r="H437" s="55"/>
      <c r="I437" s="55"/>
      <c r="J437" s="55"/>
      <c r="K437" s="55"/>
      <c r="L437" s="55"/>
      <c r="M437" s="55"/>
      <c r="N437" s="55"/>
      <c r="O437" s="55"/>
      <c r="P437" s="55"/>
      <c r="Q437" s="55"/>
      <c r="R437" s="55"/>
      <c r="S437" s="55"/>
      <c r="T437" s="55"/>
      <c r="U437" s="55"/>
      <c r="V437" s="55"/>
      <c r="W437" s="55"/>
      <c r="X437" s="55"/>
      <c r="Y437" s="55"/>
      <c r="Z437" s="55"/>
      <c r="AA437" s="55"/>
      <c r="AB437" s="55"/>
      <c r="AC437" s="55"/>
      <c r="AD437" s="55"/>
      <c r="AE437" s="55"/>
      <c r="AF437" s="55"/>
      <c r="AG437" s="55"/>
      <c r="AH437" s="55"/>
      <c r="AI437" s="55"/>
      <c r="AJ437" s="55"/>
      <c r="AK437" s="55"/>
      <c r="AL437" s="55"/>
      <c r="AM437" s="55"/>
      <c r="AN437" s="55"/>
      <c r="AO437" s="55"/>
      <c r="AP437" s="55"/>
      <c r="AQ437" s="55"/>
      <c r="AR437" s="55"/>
      <c r="AS437" s="55"/>
      <c r="AT437" s="55"/>
      <c r="AU437" s="55"/>
      <c r="AV437" s="55"/>
      <c r="AW437" s="55"/>
      <c r="AX437" s="55"/>
      <c r="AY437" s="55"/>
      <c r="AZ437" s="56"/>
      <c r="BA437" s="55"/>
      <c r="BB437" s="55"/>
      <c r="BC437" s="55"/>
      <c r="BD437" s="55"/>
      <c r="BE437" s="55"/>
      <c r="BF437" s="55"/>
      <c r="BG437" s="55"/>
      <c r="BH437" s="55"/>
      <c r="BI437" s="55"/>
      <c r="BJ437" s="55"/>
      <c r="BK437" s="55"/>
      <c r="BL437" s="55"/>
      <c r="BM437" s="55"/>
      <c r="BN437" s="55"/>
      <c r="BO437" s="55"/>
      <c r="BP437" s="55"/>
      <c r="BQ437" s="55"/>
      <c r="BR437" s="55"/>
      <c r="BS437" s="55"/>
      <c r="BT437" s="55"/>
      <c r="BU437" s="55"/>
      <c r="BV437" s="55"/>
      <c r="BW437" s="55"/>
      <c r="BX437" s="55"/>
      <c r="BY437" s="55"/>
      <c r="BZ437" s="55"/>
      <c r="CA437" s="55"/>
      <c r="CB437" s="55"/>
      <c r="CC437" s="55"/>
      <c r="CD437" s="55"/>
      <c r="CE437" s="55"/>
      <c r="CF437" s="55"/>
      <c r="CG437" s="55"/>
      <c r="CH437" s="55"/>
      <c r="CI437" s="55"/>
      <c r="CJ437" s="55"/>
      <c r="CK437" s="55"/>
      <c r="CL437" s="55"/>
      <c r="CM437" s="55"/>
      <c r="CN437" s="55"/>
      <c r="CO437" s="55"/>
      <c r="CP437" s="55"/>
      <c r="CQ437" s="55"/>
      <c r="CR437" s="55"/>
      <c r="CS437" s="55"/>
      <c r="CT437" s="55"/>
      <c r="CU437" s="55"/>
      <c r="CV437" s="55"/>
      <c r="CW437" s="55"/>
      <c r="CX437" s="55"/>
      <c r="CY437" s="55"/>
      <c r="CZ437" s="56"/>
      <c r="DA437" s="55"/>
      <c r="DB437" s="55"/>
      <c r="DC437" s="55"/>
      <c r="DD437" s="55"/>
      <c r="DE437" s="55"/>
      <c r="DF437" s="55"/>
      <c r="DG437" s="55"/>
      <c r="DH437" s="55"/>
      <c r="DI437" s="55"/>
    </row>
    <row r="438" spans="1:113" outlineLevel="2">
      <c r="A438" s="1" t="s">
        <v>52</v>
      </c>
      <c r="B438" s="19" t="s">
        <v>801</v>
      </c>
      <c r="C438" s="55"/>
      <c r="D438" s="55"/>
      <c r="E438" s="55"/>
      <c r="F438" s="55"/>
      <c r="G438" s="55"/>
      <c r="H438" s="55"/>
      <c r="I438" s="55"/>
      <c r="J438" s="55"/>
      <c r="K438" s="55"/>
      <c r="L438" s="55"/>
      <c r="M438" s="55"/>
      <c r="N438" s="55"/>
      <c r="O438" s="55"/>
      <c r="P438" s="55"/>
      <c r="Q438" s="55"/>
      <c r="R438" s="55"/>
      <c r="S438" s="55"/>
      <c r="T438" s="55"/>
      <c r="U438" s="55"/>
      <c r="V438" s="55"/>
      <c r="W438" s="55"/>
      <c r="X438" s="55"/>
      <c r="Y438" s="55"/>
      <c r="Z438" s="55"/>
      <c r="AA438" s="55"/>
      <c r="AB438" s="55"/>
      <c r="AC438" s="55"/>
      <c r="AD438" s="55"/>
      <c r="AE438" s="55"/>
      <c r="AF438" s="55"/>
      <c r="AG438" s="55"/>
      <c r="AH438" s="55"/>
      <c r="AI438" s="55"/>
      <c r="AJ438" s="55"/>
      <c r="AK438" s="55"/>
      <c r="AL438" s="55"/>
      <c r="AM438" s="55"/>
      <c r="AN438" s="55"/>
      <c r="AO438" s="55"/>
      <c r="AP438" s="55"/>
      <c r="AQ438" s="55"/>
      <c r="AR438" s="55"/>
      <c r="AS438" s="55"/>
      <c r="AT438" s="55"/>
      <c r="AU438" s="55"/>
      <c r="AV438" s="55"/>
      <c r="AW438" s="55"/>
      <c r="AX438" s="55"/>
      <c r="AY438" s="55"/>
      <c r="AZ438" s="56"/>
      <c r="BA438" s="55"/>
      <c r="BB438" s="55"/>
      <c r="BC438" s="55"/>
      <c r="BD438" s="55"/>
      <c r="BE438" s="55"/>
      <c r="BF438" s="55"/>
      <c r="BG438" s="55"/>
      <c r="BH438" s="55"/>
      <c r="BI438" s="55"/>
      <c r="BJ438" s="55"/>
      <c r="BK438" s="55"/>
      <c r="BL438" s="55"/>
      <c r="BM438" s="55"/>
      <c r="BN438" s="55"/>
      <c r="BO438" s="55"/>
      <c r="BP438" s="55"/>
      <c r="BQ438" s="55"/>
      <c r="BR438" s="55"/>
      <c r="BS438" s="55"/>
      <c r="BT438" s="55"/>
      <c r="BU438" s="55"/>
      <c r="BV438" s="55"/>
      <c r="BW438" s="55"/>
      <c r="BX438" s="55"/>
      <c r="BY438" s="55"/>
      <c r="BZ438" s="55"/>
      <c r="CA438" s="55"/>
      <c r="CB438" s="55"/>
      <c r="CC438" s="55"/>
      <c r="CD438" s="55"/>
      <c r="CE438" s="55"/>
      <c r="CF438" s="55"/>
      <c r="CG438" s="55"/>
      <c r="CH438" s="55"/>
      <c r="CI438" s="55"/>
      <c r="CJ438" s="55"/>
      <c r="CK438" s="55"/>
      <c r="CL438" s="55"/>
      <c r="CM438" s="55"/>
      <c r="CN438" s="55"/>
      <c r="CO438" s="55"/>
      <c r="CP438" s="55"/>
      <c r="CQ438" s="55"/>
      <c r="CR438" s="55"/>
      <c r="CS438" s="55"/>
      <c r="CT438" s="55"/>
      <c r="CU438" s="55"/>
      <c r="CV438" s="55"/>
      <c r="CW438" s="55"/>
      <c r="CX438" s="55"/>
      <c r="CY438" s="55"/>
      <c r="CZ438" s="56"/>
      <c r="DA438" s="55"/>
      <c r="DB438" s="55"/>
      <c r="DC438" s="55"/>
      <c r="DD438" s="55"/>
      <c r="DE438" s="55"/>
      <c r="DF438" s="55"/>
      <c r="DG438" s="55"/>
      <c r="DH438" s="55"/>
      <c r="DI438" s="55"/>
    </row>
    <row r="439" spans="1:113" outlineLevel="2">
      <c r="A439" s="1" t="s">
        <v>54</v>
      </c>
      <c r="B439" s="19" t="s">
        <v>801</v>
      </c>
      <c r="C439" s="55"/>
      <c r="D439" s="55"/>
      <c r="E439" s="55"/>
      <c r="F439" s="55"/>
      <c r="G439" s="55"/>
      <c r="H439" s="55"/>
      <c r="I439" s="55"/>
      <c r="J439" s="55"/>
      <c r="K439" s="55"/>
      <c r="L439" s="55"/>
      <c r="M439" s="55"/>
      <c r="N439" s="55"/>
      <c r="O439" s="55"/>
      <c r="P439" s="55"/>
      <c r="Q439" s="55"/>
      <c r="R439" s="55"/>
      <c r="S439" s="55"/>
      <c r="T439" s="55"/>
      <c r="U439" s="55"/>
      <c r="V439" s="55"/>
      <c r="W439" s="55"/>
      <c r="X439" s="55"/>
      <c r="Y439" s="55"/>
      <c r="Z439" s="55"/>
      <c r="AA439" s="55"/>
      <c r="AB439" s="55"/>
      <c r="AC439" s="55"/>
      <c r="AD439" s="55"/>
      <c r="AE439" s="55"/>
      <c r="AF439" s="55"/>
      <c r="AG439" s="55"/>
      <c r="AH439" s="55"/>
      <c r="AI439" s="55"/>
      <c r="AJ439" s="55"/>
      <c r="AK439" s="55"/>
      <c r="AL439" s="55"/>
      <c r="AM439" s="55"/>
      <c r="AN439" s="55"/>
      <c r="AO439" s="55"/>
      <c r="AP439" s="55"/>
      <c r="AQ439" s="55"/>
      <c r="AR439" s="55"/>
      <c r="AS439" s="55"/>
      <c r="AT439" s="55"/>
      <c r="AU439" s="55"/>
      <c r="AV439" s="55"/>
      <c r="AW439" s="55"/>
      <c r="AX439" s="55"/>
      <c r="AY439" s="55"/>
      <c r="AZ439" s="56"/>
      <c r="BA439" s="55"/>
      <c r="BB439" s="55"/>
      <c r="BC439" s="55"/>
      <c r="BD439" s="55"/>
      <c r="BE439" s="55"/>
      <c r="BF439" s="55"/>
      <c r="BG439" s="55"/>
      <c r="BH439" s="55"/>
      <c r="BI439" s="55"/>
      <c r="BJ439" s="55"/>
      <c r="BK439" s="55"/>
      <c r="BL439" s="55"/>
      <c r="BM439" s="55"/>
      <c r="BN439" s="55"/>
      <c r="BO439" s="55"/>
      <c r="BP439" s="55"/>
      <c r="BQ439" s="55"/>
      <c r="BR439" s="55"/>
      <c r="BS439" s="55"/>
      <c r="BT439" s="55"/>
      <c r="BU439" s="55"/>
      <c r="BV439" s="55"/>
      <c r="BW439" s="55"/>
      <c r="BX439" s="55"/>
      <c r="BY439" s="55"/>
      <c r="BZ439" s="55"/>
      <c r="CA439" s="55"/>
      <c r="CB439" s="55"/>
      <c r="CC439" s="55"/>
      <c r="CD439" s="55"/>
      <c r="CE439" s="55"/>
      <c r="CF439" s="55"/>
      <c r="CG439" s="55"/>
      <c r="CH439" s="55"/>
      <c r="CI439" s="55"/>
      <c r="CJ439" s="55"/>
      <c r="CK439" s="55"/>
      <c r="CL439" s="55"/>
      <c r="CM439" s="55"/>
      <c r="CN439" s="55"/>
      <c r="CO439" s="55"/>
      <c r="CP439" s="55"/>
      <c r="CQ439" s="55"/>
      <c r="CR439" s="55"/>
      <c r="CS439" s="55"/>
      <c r="CT439" s="55"/>
      <c r="CU439" s="55"/>
      <c r="CV439" s="55"/>
      <c r="CW439" s="55"/>
      <c r="CX439" s="55"/>
      <c r="CY439" s="55"/>
      <c r="CZ439" s="56"/>
      <c r="DA439" s="55"/>
      <c r="DB439" s="55"/>
      <c r="DC439" s="55"/>
      <c r="DD439" s="55"/>
      <c r="DE439" s="55"/>
      <c r="DF439" s="55"/>
      <c r="DG439" s="55"/>
      <c r="DH439" s="55"/>
      <c r="DI439" s="55"/>
    </row>
    <row r="440" spans="1:113" outlineLevel="1">
      <c r="A440" s="1" t="s">
        <v>675</v>
      </c>
      <c r="B440" s="19" t="s">
        <v>450</v>
      </c>
      <c r="C440" s="55">
        <f>C441-SUM(C432:C434,C435:C439)</f>
        <v>-1192</v>
      </c>
      <c r="D440" s="55">
        <f>D441-SUM(D432:D434,D435:D439)</f>
        <v>-1145.3333333333333</v>
      </c>
      <c r="E440" s="55">
        <f t="shared" ref="E440:L440" si="2762">E441-SUM(E432:E434,E435:E439)</f>
        <v>-1193.3333333333333</v>
      </c>
      <c r="F440" s="55">
        <f t="shared" si="2762"/>
        <v>-1239.6666666666667</v>
      </c>
      <c r="G440" s="55">
        <f t="shared" si="2762"/>
        <v>-1313</v>
      </c>
      <c r="H440" s="55">
        <f t="shared" si="2762"/>
        <v>-1579.6666666666667</v>
      </c>
      <c r="I440" s="55">
        <f t="shared" si="2762"/>
        <v>-1501</v>
      </c>
      <c r="J440" s="55">
        <f t="shared" si="2762"/>
        <v>-1302.3333333333333</v>
      </c>
      <c r="K440" s="55">
        <f t="shared" si="2762"/>
        <v>-1379.3333333333333</v>
      </c>
      <c r="L440" s="55">
        <f t="shared" si="2762"/>
        <v>-1329.3333333333333</v>
      </c>
      <c r="M440" s="55">
        <f t="shared" ref="M440:X440" si="2763">M441-SUM(M432:M434,M435:M439)</f>
        <v>-1320</v>
      </c>
      <c r="N440" s="55">
        <f t="shared" si="2763"/>
        <v>-1266.3333333333335</v>
      </c>
      <c r="O440" s="55">
        <f t="shared" si="2763"/>
        <v>-1332.6666666666667</v>
      </c>
      <c r="P440" s="55">
        <f t="shared" si="2763"/>
        <v>-1281.3333333333335</v>
      </c>
      <c r="Q440" s="55">
        <f t="shared" si="2763"/>
        <v>-1420.3333333333335</v>
      </c>
      <c r="R440" s="55">
        <f t="shared" si="2763"/>
        <v>-1521.3333333333335</v>
      </c>
      <c r="S440" s="55">
        <f t="shared" si="2763"/>
        <v>-1765.6666666666665</v>
      </c>
      <c r="T440" s="55">
        <f t="shared" si="2763"/>
        <v>-1591.3333333333335</v>
      </c>
      <c r="U440" s="55">
        <f t="shared" si="2763"/>
        <v>-1680</v>
      </c>
      <c r="V440" s="55">
        <f t="shared" si="2763"/>
        <v>-1620.3333333333335</v>
      </c>
      <c r="W440" s="55">
        <f t="shared" si="2763"/>
        <v>-1700.3333333333335</v>
      </c>
      <c r="X440" s="55">
        <f t="shared" si="2763"/>
        <v>-1682.1251583816074</v>
      </c>
      <c r="Y440" s="55">
        <f t="shared" ref="Y440:AD440" si="2764">Y441-SUM(Y432:Y434,Y435:Y439)</f>
        <v>-1692.8092321190493</v>
      </c>
      <c r="Z440" s="55">
        <f t="shared" si="2764"/>
        <v>-1404.8227594119667</v>
      </c>
      <c r="AA440" s="55">
        <f t="shared" si="2764"/>
        <v>-1434.0941195665423</v>
      </c>
      <c r="AB440" s="55">
        <f t="shared" si="2764"/>
        <v>-1419.738247414703</v>
      </c>
      <c r="AC440" s="55">
        <f t="shared" si="2764"/>
        <v>-1426.3427820275842</v>
      </c>
      <c r="AD440" s="55">
        <f t="shared" si="2764"/>
        <v>-1495.9234906167167</v>
      </c>
      <c r="AE440" s="55">
        <f t="shared" ref="AE440:AK440" si="2765">AE441-SUM(AE432:AE434,AE435:AE439)</f>
        <v>-1480.431826033393</v>
      </c>
      <c r="AF440" s="55">
        <f t="shared" si="2765"/>
        <v>-1623.3722150316312</v>
      </c>
      <c r="AG440" s="55">
        <f t="shared" si="2765"/>
        <v>-1587.9491517918423</v>
      </c>
      <c r="AH440" s="55">
        <f t="shared" si="2765"/>
        <v>-1570.2234672860254</v>
      </c>
      <c r="AI440" s="55">
        <f t="shared" si="2765"/>
        <v>-1699.7500224278388</v>
      </c>
      <c r="AJ440" s="55">
        <f t="shared" si="2765"/>
        <v>-1654.7795988019393</v>
      </c>
      <c r="AK440" s="55">
        <f t="shared" si="2765"/>
        <v>-1606.5840384196772</v>
      </c>
      <c r="AL440" s="55">
        <f t="shared" ref="AL440:AQ440" si="2766">AL441-SUM(AL432:AL434,AL435:AL439)</f>
        <v>-1811.1434022539706</v>
      </c>
      <c r="AM440" s="55">
        <f t="shared" si="2766"/>
        <v>-1854.8565977460285</v>
      </c>
      <c r="AN440" s="55">
        <f t="shared" si="2766"/>
        <v>-2093</v>
      </c>
      <c r="AO440" s="55">
        <f t="shared" si="2766"/>
        <v>-2162</v>
      </c>
      <c r="AP440" s="55">
        <f t="shared" si="2766"/>
        <v>-2148</v>
      </c>
      <c r="AQ440" s="55">
        <f t="shared" si="2766"/>
        <v>-2229</v>
      </c>
      <c r="AR440" s="55">
        <f t="shared" ref="AR440" si="2767">AR441-SUM(AR432:AR434,AR435:AR439)</f>
        <v>-1879</v>
      </c>
      <c r="AS440" s="55">
        <f t="shared" ref="AS440:AT440" si="2768">AS441-SUM(AS432:AS434,AS435:AS439)</f>
        <v>-1985</v>
      </c>
      <c r="AT440" s="55">
        <f t="shared" si="2768"/>
        <v>-2053</v>
      </c>
      <c r="AU440" s="55">
        <f t="shared" ref="AU440:AV440" si="2769">AU441-SUM(AU432:AU434,AU435:AU439)</f>
        <v>-2021</v>
      </c>
      <c r="AV440" s="55">
        <f t="shared" si="2769"/>
        <v>-1978</v>
      </c>
      <c r="AW440" s="55">
        <f t="shared" ref="AW440:AY440" si="2770">AW441-SUM(AW432:AW434,AW435:AW439)</f>
        <v>-1978</v>
      </c>
      <c r="AX440" s="55">
        <f t="shared" si="2770"/>
        <v>-2073</v>
      </c>
      <c r="AY440" s="55">
        <f t="shared" si="2770"/>
        <v>-2140</v>
      </c>
      <c r="AZ440" s="56">
        <f t="shared" ref="AZ440" si="2771">AZ441-SUM(AZ432:AZ434,AZ435:AZ439)</f>
        <v>-2223</v>
      </c>
      <c r="BA440" s="55">
        <f t="shared" ref="BA440:BI440" si="2772">BA441-SUM(BA432:BA434,BA435:BA439)</f>
        <v>-2278.6449070422541</v>
      </c>
      <c r="BB440" s="55">
        <f t="shared" si="2772"/>
        <v>-2318.0845631830989</v>
      </c>
      <c r="BC440" s="55">
        <f t="shared" si="2772"/>
        <v>-2369.310102940095</v>
      </c>
      <c r="BD440" s="55">
        <f t="shared" si="2772"/>
        <v>-2402.1397077876518</v>
      </c>
      <c r="BE440" s="55">
        <f t="shared" si="2772"/>
        <v>-2417.9579686428506</v>
      </c>
      <c r="BF440" s="55">
        <f t="shared" si="2772"/>
        <v>-2424.4878172024946</v>
      </c>
      <c r="BG440" s="55">
        <f t="shared" si="2772"/>
        <v>-2442.4511217466288</v>
      </c>
      <c r="BH440" s="55">
        <f t="shared" si="2772"/>
        <v>-2450.6863424378489</v>
      </c>
      <c r="BI440" s="55">
        <f t="shared" si="2772"/>
        <v>-2467.1670891956464</v>
      </c>
      <c r="BJ440" s="55">
        <f t="shared" ref="BJ440" si="2773">BI440*BJ94*(1+BJ95)+BI440*(1-BJ94)*(BJ327+BJ406)/(BI327+BI406)</f>
        <v>-2517.527159250053</v>
      </c>
      <c r="BK440" s="55">
        <f>BJ440*BK94*(1+BK95)+BJ440*(1-BK94)*(BK327+BK406)/(BJ327+BJ406)</f>
        <v>-2542.4481148997506</v>
      </c>
      <c r="BL440" s="55">
        <f t="shared" ref="BL440:BM440" si="2774">BK440*BL94*(1+BL95)+BK440*(1-BL94)*(BL327+BL406)/(BK327+BK406)</f>
        <v>-2593.021261959555</v>
      </c>
      <c r="BM440" s="55">
        <f t="shared" si="2774"/>
        <v>-2624.455888943402</v>
      </c>
      <c r="BN440" s="55">
        <f t="shared" ref="BN440" si="2775">BM440*BN94*(1+BN95)+BM440*(1-BN94)*(BN327+BN406)/(BM327+BM406)</f>
        <v>-2668.7130259249798</v>
      </c>
      <c r="BO440" s="55">
        <f t="shared" ref="BO440" si="2776">BN440*BO94*(1+BO95)+BN440*(1-BO94)*(BO327+BO406)/(BN327+BN406)</f>
        <v>-2683.1414249013487</v>
      </c>
      <c r="BP440" s="55">
        <f t="shared" ref="BP440" si="2777">BO440*BP94*(1+BP95)+BO440*(1-BP94)*(BP327+BP406)/(BO327+BO406)</f>
        <v>-2731.4147333440133</v>
      </c>
      <c r="BQ440" s="55">
        <f t="shared" ref="BQ440" si="2778">BP440*BQ94*(1+BQ95)+BP440*(1-BQ94)*(BQ327+BQ406)/(BP327+BP406)</f>
        <v>-2746.1550472344134</v>
      </c>
      <c r="BR440" s="55"/>
      <c r="BS440" s="55">
        <f t="shared" ref="BS440:CA440" si="2779">BS441-SUM(BS432:BS433,BS434:BS439)</f>
        <v>-1394.7</v>
      </c>
      <c r="BT440" s="55">
        <f t="shared" si="2779"/>
        <v>-1277.9000000000001</v>
      </c>
      <c r="BU440" s="55">
        <f t="shared" si="2779"/>
        <v>-1260</v>
      </c>
      <c r="BV440" s="55">
        <f t="shared" si="2779"/>
        <v>-1400.6965034965035</v>
      </c>
      <c r="BW440" s="55">
        <f t="shared" si="2779"/>
        <v>-1268.5268633805219</v>
      </c>
      <c r="BX440" s="55">
        <f t="shared" si="2779"/>
        <v>-1243.6957189152311</v>
      </c>
      <c r="BY440" s="55">
        <f t="shared" si="2779"/>
        <v>-1398.9930069930069</v>
      </c>
      <c r="BZ440" s="55">
        <f t="shared" si="2779"/>
        <v>-1442.7109557109557</v>
      </c>
      <c r="CA440" s="55">
        <f t="shared" si="2779"/>
        <v>-1667.6666666666667</v>
      </c>
      <c r="CB440" s="55">
        <f>CB441-SUM(CB432:CB433,CB434:CB439)</f>
        <v>-2644.666666666667</v>
      </c>
      <c r="CC440" s="55">
        <f t="shared" ref="CC440:CC449" si="2780">SUM(D440:E440)</f>
        <v>-2338.6666666666665</v>
      </c>
      <c r="CD440" s="55">
        <f t="shared" ref="CD440:CD449" si="2781">SUM(F440:G440)</f>
        <v>-2552.666666666667</v>
      </c>
      <c r="CE440" s="55">
        <f t="shared" ref="CE440:CE449" si="2782">SUM(H440:I440)</f>
        <v>-3080.666666666667</v>
      </c>
      <c r="CF440" s="55">
        <f t="shared" ref="CF440:CF449" si="2783">SUM(J440:K440)</f>
        <v>-2681.6666666666665</v>
      </c>
      <c r="CG440" s="55">
        <f t="shared" ref="CG440:CG449" si="2784">SUM(L440:M440)</f>
        <v>-2649.333333333333</v>
      </c>
      <c r="CH440" s="55">
        <f t="shared" ref="CH440:CH449" si="2785">SUM(N440:O440)</f>
        <v>-2599</v>
      </c>
      <c r="CI440" s="55">
        <f t="shared" ref="CI440:CI449" si="2786">SUM(P440:Q440)</f>
        <v>-2701.666666666667</v>
      </c>
      <c r="CJ440" s="55">
        <f t="shared" ref="CJ440:CJ450" si="2787">SUM(R440:S440)</f>
        <v>-3287</v>
      </c>
      <c r="CK440" s="55">
        <f t="shared" ref="CK440:CK450" si="2788">SUM(T440:U440)</f>
        <v>-3271.3333333333335</v>
      </c>
      <c r="CL440" s="55">
        <f t="shared" ref="CL440:CL450" si="2789">SUM(V440:W440)</f>
        <v>-3320.666666666667</v>
      </c>
      <c r="CM440" s="55">
        <f t="shared" ref="CM440:CM450" si="2790">SUM(X440:Y440)</f>
        <v>-3374.9343905006567</v>
      </c>
      <c r="CN440" s="55">
        <f t="shared" ref="CN440:CN450" si="2791">SUM(Z440:AA440)</f>
        <v>-2838.916878978509</v>
      </c>
      <c r="CO440" s="55">
        <f t="shared" ref="CO440:CO450" si="2792">SUM(AB440:AC440)</f>
        <v>-2846.0810294422872</v>
      </c>
      <c r="CP440" s="55">
        <f t="shared" ref="CP440:CP450" si="2793">SUM(AD440:AE440)</f>
        <v>-2976.3553166501097</v>
      </c>
      <c r="CQ440" s="55">
        <f t="shared" ref="CQ440:CQ450" si="2794">SUM(AF440:AG440)</f>
        <v>-3211.3213668234735</v>
      </c>
      <c r="CR440" s="55">
        <f t="shared" ref="CR440:CR450" si="2795">SUM(AH440:AI440)</f>
        <v>-3269.9734897138642</v>
      </c>
      <c r="CS440" s="55">
        <f t="shared" ref="CS440:CS450" si="2796">SUM(AJ440:AK440)</f>
        <v>-3261.3636372216165</v>
      </c>
      <c r="CT440" s="55">
        <f t="shared" ref="CT440:CT450" si="2797">SUM(AL440:AM440)</f>
        <v>-3665.9999999999991</v>
      </c>
      <c r="CU440" s="55">
        <f t="shared" ref="CU440:CU450" si="2798">SUM(AN440:AO440)</f>
        <v>-4255</v>
      </c>
      <c r="CV440" s="55">
        <f t="shared" ref="CV440:CV450" si="2799">SUM(AP440:AQ440)</f>
        <v>-4377</v>
      </c>
      <c r="CW440" s="55">
        <f t="shared" ref="CW440:CW450" si="2800">SUM(AR440:AS440)</f>
        <v>-3864</v>
      </c>
      <c r="CX440" s="55">
        <f t="shared" ref="CX440:CX450" si="2801">SUM(AT440:AU440)</f>
        <v>-4074</v>
      </c>
      <c r="CY440" s="55">
        <f t="shared" ref="CY440:CY450" si="2802">SUM(AV440:AW440)</f>
        <v>-3956</v>
      </c>
      <c r="CZ440" s="56">
        <f t="shared" ref="CZ440:CZ450" si="2803">SUM(AX440:AY440)</f>
        <v>-4213</v>
      </c>
      <c r="DA440" s="55">
        <f t="shared" ref="DA440:DA450" si="2804">SUM(AZ440:BA440)</f>
        <v>-4501.6449070422541</v>
      </c>
      <c r="DB440" s="55">
        <f t="shared" ref="DB440:DB450" si="2805">SUM(BB440:BC440)</f>
        <v>-4687.3946661231939</v>
      </c>
      <c r="DC440" s="55">
        <f t="shared" ref="DC440:DC450" si="2806">SUM(BD440:BE440)</f>
        <v>-4820.0976764305024</v>
      </c>
      <c r="DD440" s="55">
        <f t="shared" ref="DD440:DD450" si="2807">SUM(BF440:BG440)</f>
        <v>-4866.9389389491234</v>
      </c>
      <c r="DE440" s="55">
        <f t="shared" ref="DE440:DE450" si="2808">SUM(BH440:BI440)</f>
        <v>-4917.8534316334953</v>
      </c>
      <c r="DF440" s="55">
        <f>SUM(BJ440:BK440)</f>
        <v>-5059.9752741498032</v>
      </c>
      <c r="DG440" s="55">
        <f t="shared" ref="DG440:DG450" si="2809">SUM(BL440:BM440)</f>
        <v>-5217.477150902957</v>
      </c>
      <c r="DH440" s="55">
        <f t="shared" ref="DH440:DH450" si="2810">SUM(BN440:BO440)</f>
        <v>-5351.8544508263285</v>
      </c>
      <c r="DI440" s="55">
        <f t="shared" ref="DI440:DI450" si="2811">SUM(BP440:BQ440)</f>
        <v>-5477.5697805784266</v>
      </c>
    </row>
    <row r="441" spans="1:113" s="24" customFormat="1" outlineLevel="1">
      <c r="A441" s="1" t="s">
        <v>87</v>
      </c>
      <c r="B441" s="24" t="s">
        <v>375</v>
      </c>
      <c r="C441" s="82">
        <f>C443-C442</f>
        <v>-2585</v>
      </c>
      <c r="D441" s="82">
        <f>D443-D442</f>
        <v>-2594</v>
      </c>
      <c r="E441" s="82">
        <f>E443-E442</f>
        <v>-2607</v>
      </c>
      <c r="F441" s="82">
        <f t="shared" ref="F441:L441" si="2812">F443-F442</f>
        <v>-2710</v>
      </c>
      <c r="G441" s="82">
        <f t="shared" si="2812"/>
        <v>-2841</v>
      </c>
      <c r="H441" s="82">
        <f t="shared" si="2812"/>
        <v>-3203</v>
      </c>
      <c r="I441" s="82">
        <f t="shared" si="2812"/>
        <v>-3046</v>
      </c>
      <c r="J441" s="82">
        <f t="shared" si="2812"/>
        <v>-2869</v>
      </c>
      <c r="K441" s="82">
        <f t="shared" si="2812"/>
        <v>-3000</v>
      </c>
      <c r="L441" s="82">
        <f t="shared" si="2812"/>
        <v>-2967</v>
      </c>
      <c r="M441" s="82">
        <f t="shared" ref="M441:T441" si="2813">M443-M442</f>
        <v>-3027</v>
      </c>
      <c r="N441" s="82">
        <f t="shared" si="2813"/>
        <v>-3144</v>
      </c>
      <c r="O441" s="82">
        <f t="shared" si="2813"/>
        <v>-3283</v>
      </c>
      <c r="P441" s="82">
        <f t="shared" si="2813"/>
        <v>-3378</v>
      </c>
      <c r="Q441" s="82">
        <f t="shared" si="2813"/>
        <v>-3643</v>
      </c>
      <c r="R441" s="82">
        <f t="shared" si="2813"/>
        <v>-4008</v>
      </c>
      <c r="S441" s="82">
        <f t="shared" si="2813"/>
        <v>-4214</v>
      </c>
      <c r="T441" s="82">
        <f t="shared" si="2813"/>
        <v>-4268</v>
      </c>
      <c r="U441" s="82">
        <f t="shared" ref="U441:Z441" si="2814">U443-U442</f>
        <v>-4333</v>
      </c>
      <c r="V441" s="82">
        <f t="shared" si="2814"/>
        <v>-4408</v>
      </c>
      <c r="W441" s="82">
        <f t="shared" si="2814"/>
        <v>-4483</v>
      </c>
      <c r="X441" s="82">
        <f t="shared" si="2814"/>
        <v>-4602</v>
      </c>
      <c r="Y441" s="82">
        <f t="shared" si="2814"/>
        <v>-4594</v>
      </c>
      <c r="Z441" s="82">
        <f t="shared" si="2814"/>
        <v>-4467</v>
      </c>
      <c r="AA441" s="82">
        <f t="shared" ref="AA441:AK441" si="2815">AA443-AA442</f>
        <v>-4543</v>
      </c>
      <c r="AB441" s="82">
        <f t="shared" si="2815"/>
        <v>-4683</v>
      </c>
      <c r="AC441" s="82">
        <f t="shared" si="2815"/>
        <v>-4748</v>
      </c>
      <c r="AD441" s="82">
        <f t="shared" si="2815"/>
        <v>-4914</v>
      </c>
      <c r="AE441" s="82">
        <f t="shared" si="2815"/>
        <v>-4928</v>
      </c>
      <c r="AF441" s="82">
        <f t="shared" si="2815"/>
        <v>-5210</v>
      </c>
      <c r="AG441" s="82">
        <f t="shared" si="2815"/>
        <v>-5224</v>
      </c>
      <c r="AH441" s="82">
        <f t="shared" si="2815"/>
        <v>-5081</v>
      </c>
      <c r="AI441" s="82">
        <f t="shared" si="2815"/>
        <v>-5195</v>
      </c>
      <c r="AJ441" s="82">
        <f t="shared" si="2815"/>
        <v>-4871</v>
      </c>
      <c r="AK441" s="82">
        <f t="shared" si="2815"/>
        <v>-4894</v>
      </c>
      <c r="AL441" s="82">
        <f t="shared" ref="AL441:AQ441" si="2816">AL443-AL442</f>
        <v>-4804.1434022539706</v>
      </c>
      <c r="AM441" s="82">
        <f t="shared" si="2816"/>
        <v>-4888.8565977460285</v>
      </c>
      <c r="AN441" s="82">
        <f t="shared" si="2816"/>
        <v>-5253</v>
      </c>
      <c r="AO441" s="82">
        <f t="shared" si="2816"/>
        <v>-5282</v>
      </c>
      <c r="AP441" s="82">
        <f t="shared" si="2816"/>
        <v>-5349</v>
      </c>
      <c r="AQ441" s="82">
        <f t="shared" si="2816"/>
        <v>-5435</v>
      </c>
      <c r="AR441" s="82">
        <f t="shared" ref="AR441" si="2817">AR443-AR442</f>
        <v>-5397</v>
      </c>
      <c r="AS441" s="82">
        <f t="shared" ref="AS441:AT441" si="2818">AS443-AS442</f>
        <v>-5391</v>
      </c>
      <c r="AT441" s="82">
        <f t="shared" si="2818"/>
        <v>-5773</v>
      </c>
      <c r="AU441" s="82">
        <f t="shared" ref="AU441:AV441" si="2819">AU443-AU442</f>
        <v>-5873</v>
      </c>
      <c r="AV441" s="82">
        <f t="shared" si="2819"/>
        <v>-6011</v>
      </c>
      <c r="AW441" s="82">
        <f t="shared" ref="AW441:AY441" si="2820">AW443-AW442</f>
        <v>-6118</v>
      </c>
      <c r="AX441" s="82">
        <f t="shared" si="2820"/>
        <v>-6372</v>
      </c>
      <c r="AY441" s="82">
        <f t="shared" si="2820"/>
        <v>-6494</v>
      </c>
      <c r="AZ441" s="83">
        <f t="shared" ref="AZ441" si="2821">AZ443-AZ442</f>
        <v>-6720</v>
      </c>
      <c r="BA441" s="82">
        <f t="shared" ref="BA441:BI441" si="2822">BA443-BA442</f>
        <v>-6776.5310712156333</v>
      </c>
      <c r="BB441" s="82">
        <f t="shared" si="2822"/>
        <v>-7089.4686823558104</v>
      </c>
      <c r="BC441" s="82">
        <f t="shared" si="2822"/>
        <v>-7140.6921846890891</v>
      </c>
      <c r="BD441" s="82">
        <f t="shared" si="2822"/>
        <v>-7404.5081420974029</v>
      </c>
      <c r="BE441" s="82">
        <f t="shared" si="2822"/>
        <v>-7372.2547612797234</v>
      </c>
      <c r="BF441" s="82">
        <f t="shared" si="2822"/>
        <v>-7617.3714694099408</v>
      </c>
      <c r="BG441" s="82">
        <f t="shared" si="2822"/>
        <v>-7587.3702768486964</v>
      </c>
      <c r="BH441" s="82">
        <f t="shared" si="2822"/>
        <v>-7843.9599455534089</v>
      </c>
      <c r="BI441" s="82">
        <f t="shared" si="2822"/>
        <v>-7809.0784714519114</v>
      </c>
      <c r="BJ441" s="82">
        <f t="shared" ref="BJ441:BM441" si="2823">SUM(BJ432:BJ440)</f>
        <v>-8056.8625491886896</v>
      </c>
      <c r="BK441" s="82">
        <f t="shared" si="2823"/>
        <v>-8096.2637560382645</v>
      </c>
      <c r="BL441" s="82">
        <f t="shared" si="2823"/>
        <v>-8319.011560507628</v>
      </c>
      <c r="BM441" s="82">
        <f t="shared" si="2823"/>
        <v>-8396.8399645404315</v>
      </c>
      <c r="BN441" s="82">
        <f t="shared" ref="BN441:BO441" si="2824">SUM(BN432:BN440)</f>
        <v>-8592.875021339376</v>
      </c>
      <c r="BO441" s="82">
        <f t="shared" si="2824"/>
        <v>-8582.7447849099335</v>
      </c>
      <c r="BP441" s="82">
        <f t="shared" ref="BP441:BQ441" si="2825">SUM(BP432:BP440)</f>
        <v>-8802.3317114488455</v>
      </c>
      <c r="BQ441" s="82">
        <f t="shared" si="2825"/>
        <v>-8790.9161403822345</v>
      </c>
      <c r="BR441" s="82"/>
      <c r="BS441" s="82">
        <f t="shared" ref="BS441:CB441" si="2826">BS443-BS442</f>
        <v>-3149</v>
      </c>
      <c r="BT441" s="82">
        <f t="shared" si="2826"/>
        <v>-2954</v>
      </c>
      <c r="BU441" s="82">
        <f t="shared" si="2826"/>
        <v>-2884</v>
      </c>
      <c r="BV441" s="82">
        <f t="shared" si="2826"/>
        <v>-2943</v>
      </c>
      <c r="BW441" s="82">
        <f t="shared" si="2826"/>
        <v>-2863</v>
      </c>
      <c r="BX441" s="82">
        <f t="shared" si="2826"/>
        <v>-2924</v>
      </c>
      <c r="BY441" s="82">
        <f t="shared" si="2826"/>
        <v>-3039</v>
      </c>
      <c r="BZ441" s="82">
        <f t="shared" si="2826"/>
        <v>-3070</v>
      </c>
      <c r="CA441" s="82">
        <f t="shared" si="2826"/>
        <v>-3407</v>
      </c>
      <c r="CB441" s="82">
        <f t="shared" si="2826"/>
        <v>-5170</v>
      </c>
      <c r="CC441" s="82">
        <f t="shared" si="2780"/>
        <v>-5201</v>
      </c>
      <c r="CD441" s="82">
        <f t="shared" si="2781"/>
        <v>-5551</v>
      </c>
      <c r="CE441" s="82">
        <f t="shared" si="2782"/>
        <v>-6249</v>
      </c>
      <c r="CF441" s="82">
        <f t="shared" si="2783"/>
        <v>-5869</v>
      </c>
      <c r="CG441" s="82">
        <f t="shared" si="2784"/>
        <v>-5994</v>
      </c>
      <c r="CH441" s="82">
        <f t="shared" si="2785"/>
        <v>-6427</v>
      </c>
      <c r="CI441" s="82">
        <f t="shared" si="2786"/>
        <v>-7021</v>
      </c>
      <c r="CJ441" s="82">
        <f t="shared" si="2787"/>
        <v>-8222</v>
      </c>
      <c r="CK441" s="82">
        <f t="shared" si="2788"/>
        <v>-8601</v>
      </c>
      <c r="CL441" s="82">
        <f t="shared" si="2789"/>
        <v>-8891</v>
      </c>
      <c r="CM441" s="82">
        <f t="shared" si="2790"/>
        <v>-9196</v>
      </c>
      <c r="CN441" s="82">
        <f t="shared" si="2791"/>
        <v>-9010</v>
      </c>
      <c r="CO441" s="82">
        <f t="shared" si="2792"/>
        <v>-9431</v>
      </c>
      <c r="CP441" s="82">
        <f t="shared" si="2793"/>
        <v>-9842</v>
      </c>
      <c r="CQ441" s="82">
        <f t="shared" si="2794"/>
        <v>-10434</v>
      </c>
      <c r="CR441" s="82">
        <f t="shared" si="2795"/>
        <v>-10276</v>
      </c>
      <c r="CS441" s="82">
        <f t="shared" si="2796"/>
        <v>-9765</v>
      </c>
      <c r="CT441" s="82">
        <f t="shared" si="2797"/>
        <v>-9693</v>
      </c>
      <c r="CU441" s="82">
        <f t="shared" si="2798"/>
        <v>-10535</v>
      </c>
      <c r="CV441" s="82">
        <f t="shared" si="2799"/>
        <v>-10784</v>
      </c>
      <c r="CW441" s="82">
        <f t="shared" si="2800"/>
        <v>-10788</v>
      </c>
      <c r="CX441" s="82">
        <f t="shared" si="2801"/>
        <v>-11646</v>
      </c>
      <c r="CY441" s="82">
        <f t="shared" si="2802"/>
        <v>-12129</v>
      </c>
      <c r="CZ441" s="83">
        <f t="shared" si="2803"/>
        <v>-12866</v>
      </c>
      <c r="DA441" s="82">
        <f t="shared" si="2804"/>
        <v>-13496.531071215633</v>
      </c>
      <c r="DB441" s="82">
        <f t="shared" si="2805"/>
        <v>-14230.160867044899</v>
      </c>
      <c r="DC441" s="82">
        <f t="shared" si="2806"/>
        <v>-14776.762903377126</v>
      </c>
      <c r="DD441" s="82">
        <f t="shared" si="2807"/>
        <v>-15204.741746258638</v>
      </c>
      <c r="DE441" s="82">
        <f t="shared" si="2808"/>
        <v>-15653.03841700532</v>
      </c>
      <c r="DF441" s="82">
        <f t="shared" ref="DF441:DF450" si="2827">SUM(BJ441:BK441)</f>
        <v>-16153.126305226953</v>
      </c>
      <c r="DG441" s="82">
        <f t="shared" si="2809"/>
        <v>-16715.85152504806</v>
      </c>
      <c r="DH441" s="82">
        <f t="shared" si="2810"/>
        <v>-17175.619806249309</v>
      </c>
      <c r="DI441" s="82">
        <f t="shared" si="2811"/>
        <v>-17593.247851831082</v>
      </c>
    </row>
    <row r="442" spans="1:113" outlineLevel="1">
      <c r="A442" s="1" t="s">
        <v>0</v>
      </c>
      <c r="B442" s="19" t="s">
        <v>376</v>
      </c>
      <c r="C442" s="164">
        <v>0</v>
      </c>
      <c r="D442" s="164">
        <v>0</v>
      </c>
      <c r="E442" s="164">
        <v>0</v>
      </c>
      <c r="F442" s="164">
        <v>0</v>
      </c>
      <c r="G442" s="164">
        <v>0</v>
      </c>
      <c r="H442" s="164">
        <v>0</v>
      </c>
      <c r="I442" s="164">
        <v>0</v>
      </c>
      <c r="J442" s="164">
        <v>0</v>
      </c>
      <c r="K442" s="164">
        <v>0</v>
      </c>
      <c r="L442" s="164">
        <v>0</v>
      </c>
      <c r="M442" s="164">
        <v>0</v>
      </c>
      <c r="N442" s="164">
        <v>0</v>
      </c>
      <c r="O442" s="164">
        <v>0</v>
      </c>
      <c r="P442" s="164">
        <v>0</v>
      </c>
      <c r="Q442" s="164">
        <v>0</v>
      </c>
      <c r="R442" s="164">
        <v>0</v>
      </c>
      <c r="S442" s="164">
        <v>0</v>
      </c>
      <c r="T442" s="164">
        <v>0</v>
      </c>
      <c r="U442" s="164">
        <v>0</v>
      </c>
      <c r="V442" s="164">
        <v>0</v>
      </c>
      <c r="W442" s="164">
        <v>0</v>
      </c>
      <c r="X442" s="164">
        <v>0</v>
      </c>
      <c r="Y442" s="164">
        <v>0</v>
      </c>
      <c r="Z442" s="164">
        <v>0</v>
      </c>
      <c r="AA442" s="164">
        <v>0</v>
      </c>
      <c r="AB442" s="164">
        <v>-68</v>
      </c>
      <c r="AC442" s="164">
        <v>0</v>
      </c>
      <c r="AD442" s="164">
        <v>0</v>
      </c>
      <c r="AE442" s="164">
        <v>-151</v>
      </c>
      <c r="AF442" s="164">
        <v>0</v>
      </c>
      <c r="AG442" s="164">
        <v>0</v>
      </c>
      <c r="AH442" s="164">
        <f>AH104</f>
        <v>-393</v>
      </c>
      <c r="AI442" s="164">
        <f>AI104</f>
        <v>0</v>
      </c>
      <c r="AJ442" s="164">
        <f>-485-100</f>
        <v>-585</v>
      </c>
      <c r="AK442" s="164">
        <f>-370-51-25-199</f>
        <v>-645</v>
      </c>
      <c r="AL442" s="164">
        <f>145-279-142</f>
        <v>-276</v>
      </c>
      <c r="AM442" s="164">
        <f>-639-216</f>
        <v>-855</v>
      </c>
      <c r="AN442" s="164">
        <v>0</v>
      </c>
      <c r="AO442" s="164">
        <v>-461</v>
      </c>
      <c r="AP442" s="164">
        <v>-242</v>
      </c>
      <c r="AQ442" s="164">
        <v>-333</v>
      </c>
      <c r="AR442" s="164">
        <v>-93</v>
      </c>
      <c r="AS442" s="164">
        <f>-158-389</f>
        <v>-547</v>
      </c>
      <c r="AT442" s="164">
        <v>0</v>
      </c>
      <c r="AU442" s="164">
        <v>-212</v>
      </c>
      <c r="AV442" s="164">
        <v>0</v>
      </c>
      <c r="AW442" s="164">
        <v>-89</v>
      </c>
      <c r="AX442" s="164">
        <v>0</v>
      </c>
      <c r="AY442" s="164">
        <v>-130</v>
      </c>
      <c r="AZ442" s="171">
        <v>-170</v>
      </c>
      <c r="BA442" s="55">
        <f>-[5]CBA!L$184-[5]CBA!L$185</f>
        <v>0</v>
      </c>
      <c r="BB442" s="55">
        <f>-[5]CBA!M$184-[5]CBA!M$185</f>
        <v>0</v>
      </c>
      <c r="BC442" s="55">
        <f>-[5]CBA!N$184-[5]CBA!N$185</f>
        <v>0</v>
      </c>
      <c r="BD442" s="55">
        <f>-[5]CBA!O$184-[5]CBA!O$185</f>
        <v>0</v>
      </c>
      <c r="BE442" s="55">
        <f>-[5]CBA!P$184-[5]CBA!P$185</f>
        <v>0</v>
      </c>
      <c r="BF442" s="55">
        <f>-[5]CBA!Q$184-[5]CBA!Q$185</f>
        <v>0</v>
      </c>
      <c r="BG442" s="55">
        <f>-[5]CBA!R$184-[5]CBA!R$185</f>
        <v>0</v>
      </c>
      <c r="BH442" s="55">
        <f>-[5]CBA!S$184-[5]CBA!S$185</f>
        <v>0</v>
      </c>
      <c r="BI442" s="55">
        <f>-[5]CBA!T$184-[5]CBA!T$185</f>
        <v>0</v>
      </c>
      <c r="BJ442" s="54">
        <v>0</v>
      </c>
      <c r="BK442" s="54">
        <v>0</v>
      </c>
      <c r="BL442" s="54">
        <v>0</v>
      </c>
      <c r="BM442" s="54">
        <v>0</v>
      </c>
      <c r="BN442" s="54">
        <v>0</v>
      </c>
      <c r="BO442" s="54">
        <v>0</v>
      </c>
      <c r="BP442" s="54">
        <v>0</v>
      </c>
      <c r="BQ442" s="54">
        <v>0</v>
      </c>
      <c r="BR442" s="55"/>
      <c r="BS442" s="53">
        <v>0</v>
      </c>
      <c r="BT442" s="53">
        <v>0</v>
      </c>
      <c r="BU442" s="53">
        <v>0</v>
      </c>
      <c r="BV442" s="53">
        <v>0</v>
      </c>
      <c r="BW442" s="53">
        <v>0</v>
      </c>
      <c r="BX442" s="53">
        <v>0</v>
      </c>
      <c r="BY442" s="53">
        <v>0</v>
      </c>
      <c r="BZ442" s="53">
        <v>0</v>
      </c>
      <c r="CA442" s="53">
        <v>0</v>
      </c>
      <c r="CB442" s="53">
        <v>0</v>
      </c>
      <c r="CC442" s="55">
        <f t="shared" si="2780"/>
        <v>0</v>
      </c>
      <c r="CD442" s="55">
        <f t="shared" si="2781"/>
        <v>0</v>
      </c>
      <c r="CE442" s="55">
        <f t="shared" si="2782"/>
        <v>0</v>
      </c>
      <c r="CF442" s="55">
        <f t="shared" si="2783"/>
        <v>0</v>
      </c>
      <c r="CG442" s="55">
        <f t="shared" si="2784"/>
        <v>0</v>
      </c>
      <c r="CH442" s="55">
        <f t="shared" si="2785"/>
        <v>0</v>
      </c>
      <c r="CI442" s="55">
        <f t="shared" si="2786"/>
        <v>0</v>
      </c>
      <c r="CJ442" s="55">
        <f t="shared" si="2787"/>
        <v>0</v>
      </c>
      <c r="CK442" s="55">
        <f t="shared" si="2788"/>
        <v>0</v>
      </c>
      <c r="CL442" s="55">
        <f t="shared" si="2789"/>
        <v>0</v>
      </c>
      <c r="CM442" s="55">
        <f t="shared" si="2790"/>
        <v>0</v>
      </c>
      <c r="CN442" s="55">
        <f t="shared" si="2791"/>
        <v>0</v>
      </c>
      <c r="CO442" s="55">
        <f t="shared" si="2792"/>
        <v>-68</v>
      </c>
      <c r="CP442" s="55">
        <f t="shared" si="2793"/>
        <v>-151</v>
      </c>
      <c r="CQ442" s="55">
        <f t="shared" si="2794"/>
        <v>0</v>
      </c>
      <c r="CR442" s="55">
        <f t="shared" si="2795"/>
        <v>-393</v>
      </c>
      <c r="CS442" s="55">
        <f t="shared" si="2796"/>
        <v>-1230</v>
      </c>
      <c r="CT442" s="55">
        <f t="shared" si="2797"/>
        <v>-1131</v>
      </c>
      <c r="CU442" s="55">
        <f t="shared" si="2798"/>
        <v>-461</v>
      </c>
      <c r="CV442" s="55">
        <f t="shared" si="2799"/>
        <v>-575</v>
      </c>
      <c r="CW442" s="55">
        <f t="shared" si="2800"/>
        <v>-640</v>
      </c>
      <c r="CX442" s="55">
        <f t="shared" si="2801"/>
        <v>-212</v>
      </c>
      <c r="CY442" s="55">
        <f t="shared" si="2802"/>
        <v>-89</v>
      </c>
      <c r="CZ442" s="56">
        <f t="shared" si="2803"/>
        <v>-130</v>
      </c>
      <c r="DA442" s="55">
        <f t="shared" si="2804"/>
        <v>-170</v>
      </c>
      <c r="DB442" s="55">
        <f t="shared" si="2805"/>
        <v>0</v>
      </c>
      <c r="DC442" s="55">
        <f t="shared" si="2806"/>
        <v>0</v>
      </c>
      <c r="DD442" s="55">
        <f t="shared" si="2807"/>
        <v>0</v>
      </c>
      <c r="DE442" s="55">
        <f t="shared" si="2808"/>
        <v>0</v>
      </c>
      <c r="DF442" s="55">
        <f t="shared" si="2827"/>
        <v>0</v>
      </c>
      <c r="DG442" s="55">
        <f t="shared" si="2809"/>
        <v>0</v>
      </c>
      <c r="DH442" s="55">
        <f t="shared" si="2810"/>
        <v>0</v>
      </c>
      <c r="DI442" s="55">
        <f t="shared" si="2811"/>
        <v>0</v>
      </c>
    </row>
    <row r="443" spans="1:113" s="24" customFormat="1" outlineLevel="1">
      <c r="A443" s="1" t="s">
        <v>1</v>
      </c>
      <c r="B443" s="24" t="s">
        <v>168</v>
      </c>
      <c r="C443" s="82">
        <f>C449-SUM(C444:C448)</f>
        <v>-2585</v>
      </c>
      <c r="D443" s="82">
        <f>D449-SUM(D444:D448)</f>
        <v>-2594</v>
      </c>
      <c r="E443" s="82">
        <f>E449-SUM(E444:E448)</f>
        <v>-2607</v>
      </c>
      <c r="F443" s="82">
        <f t="shared" ref="F443:L443" si="2828">F449-SUM(F444:F448)</f>
        <v>-2710</v>
      </c>
      <c r="G443" s="82">
        <f t="shared" si="2828"/>
        <v>-2841</v>
      </c>
      <c r="H443" s="82">
        <f t="shared" si="2828"/>
        <v>-3203</v>
      </c>
      <c r="I443" s="82">
        <f t="shared" si="2828"/>
        <v>-3046</v>
      </c>
      <c r="J443" s="82">
        <f t="shared" si="2828"/>
        <v>-2869</v>
      </c>
      <c r="K443" s="82">
        <f t="shared" si="2828"/>
        <v>-3000</v>
      </c>
      <c r="L443" s="82">
        <f t="shared" si="2828"/>
        <v>-2967</v>
      </c>
      <c r="M443" s="82">
        <f t="shared" ref="M443:T443" si="2829">M449-SUM(M444:M448)</f>
        <v>-3027</v>
      </c>
      <c r="N443" s="82">
        <f t="shared" si="2829"/>
        <v>-3144</v>
      </c>
      <c r="O443" s="82">
        <f t="shared" si="2829"/>
        <v>-3283</v>
      </c>
      <c r="P443" s="82">
        <f t="shared" si="2829"/>
        <v>-3378</v>
      </c>
      <c r="Q443" s="82">
        <f t="shared" si="2829"/>
        <v>-3643</v>
      </c>
      <c r="R443" s="82">
        <f t="shared" si="2829"/>
        <v>-4008</v>
      </c>
      <c r="S443" s="82">
        <f t="shared" si="2829"/>
        <v>-4214</v>
      </c>
      <c r="T443" s="82">
        <f t="shared" si="2829"/>
        <v>-4268</v>
      </c>
      <c r="U443" s="82">
        <f t="shared" ref="U443:Z443" si="2830">U449-SUM(U444:U448)</f>
        <v>-4333</v>
      </c>
      <c r="V443" s="82">
        <f t="shared" si="2830"/>
        <v>-4408</v>
      </c>
      <c r="W443" s="82">
        <f t="shared" si="2830"/>
        <v>-4483</v>
      </c>
      <c r="X443" s="82">
        <f t="shared" si="2830"/>
        <v>-4602</v>
      </c>
      <c r="Y443" s="82">
        <f t="shared" si="2830"/>
        <v>-4594</v>
      </c>
      <c r="Z443" s="82">
        <f t="shared" si="2830"/>
        <v>-4467</v>
      </c>
      <c r="AA443" s="82">
        <f t="shared" ref="AA443:AK443" si="2831">AA449-SUM(AA444:AA448)</f>
        <v>-4543</v>
      </c>
      <c r="AB443" s="82">
        <f t="shared" si="2831"/>
        <v>-4751</v>
      </c>
      <c r="AC443" s="82">
        <f t="shared" si="2831"/>
        <v>-4748</v>
      </c>
      <c r="AD443" s="82">
        <f t="shared" si="2831"/>
        <v>-4914</v>
      </c>
      <c r="AE443" s="82">
        <f t="shared" si="2831"/>
        <v>-5079</v>
      </c>
      <c r="AF443" s="82">
        <f t="shared" si="2831"/>
        <v>-5210</v>
      </c>
      <c r="AG443" s="82">
        <f t="shared" si="2831"/>
        <v>-5224</v>
      </c>
      <c r="AH443" s="82">
        <f t="shared" si="2831"/>
        <v>-5474</v>
      </c>
      <c r="AI443" s="82">
        <f t="shared" si="2831"/>
        <v>-5195</v>
      </c>
      <c r="AJ443" s="82">
        <f t="shared" si="2831"/>
        <v>-5456</v>
      </c>
      <c r="AK443" s="82">
        <f t="shared" si="2831"/>
        <v>-5539</v>
      </c>
      <c r="AL443" s="82">
        <f t="shared" ref="AL443:AQ443" si="2832">AL449-SUM(AL444:AL448)</f>
        <v>-5080.1434022539706</v>
      </c>
      <c r="AM443" s="82">
        <f t="shared" si="2832"/>
        <v>-5743.8565977460285</v>
      </c>
      <c r="AN443" s="82">
        <f t="shared" si="2832"/>
        <v>-5253</v>
      </c>
      <c r="AO443" s="82">
        <f t="shared" si="2832"/>
        <v>-5743</v>
      </c>
      <c r="AP443" s="82">
        <f t="shared" si="2832"/>
        <v>-5591</v>
      </c>
      <c r="AQ443" s="82">
        <f t="shared" si="2832"/>
        <v>-5768</v>
      </c>
      <c r="AR443" s="82">
        <f t="shared" ref="AR443" si="2833">AR449-SUM(AR444:AR448)</f>
        <v>-5490</v>
      </c>
      <c r="AS443" s="82">
        <f t="shared" ref="AS443:AT443" si="2834">AS449-SUM(AS444:AS448)</f>
        <v>-5938</v>
      </c>
      <c r="AT443" s="82">
        <f t="shared" si="2834"/>
        <v>-5773</v>
      </c>
      <c r="AU443" s="82">
        <f t="shared" ref="AU443:AV443" si="2835">AU449-SUM(AU444:AU448)</f>
        <v>-6085</v>
      </c>
      <c r="AV443" s="82">
        <f t="shared" si="2835"/>
        <v>-6011</v>
      </c>
      <c r="AW443" s="82">
        <f t="shared" ref="AW443:AY443" si="2836">AW449-SUM(AW444:AW448)</f>
        <v>-6207</v>
      </c>
      <c r="AX443" s="82">
        <f t="shared" si="2836"/>
        <v>-6372</v>
      </c>
      <c r="AY443" s="82">
        <f t="shared" si="2836"/>
        <v>-6624</v>
      </c>
      <c r="AZ443" s="83">
        <f t="shared" ref="AZ443" si="2837">AZ449-SUM(AZ444:AZ448)</f>
        <v>-6890</v>
      </c>
      <c r="BA443" s="82">
        <f t="shared" ref="BA443:BI443" si="2838">BA449-SUM(BA444:BA448)</f>
        <v>-6776.5310712156333</v>
      </c>
      <c r="BB443" s="82">
        <f t="shared" si="2838"/>
        <v>-7089.4686823558104</v>
      </c>
      <c r="BC443" s="82">
        <f t="shared" si="2838"/>
        <v>-7140.6921846890891</v>
      </c>
      <c r="BD443" s="82">
        <f t="shared" si="2838"/>
        <v>-7404.5081420974029</v>
      </c>
      <c r="BE443" s="82">
        <f t="shared" si="2838"/>
        <v>-7372.2547612797234</v>
      </c>
      <c r="BF443" s="82">
        <f t="shared" si="2838"/>
        <v>-7617.3714694099408</v>
      </c>
      <c r="BG443" s="82">
        <f t="shared" si="2838"/>
        <v>-7587.3702768486964</v>
      </c>
      <c r="BH443" s="82">
        <f t="shared" si="2838"/>
        <v>-7843.9599455534089</v>
      </c>
      <c r="BI443" s="82">
        <f t="shared" si="2838"/>
        <v>-7809.0784714519114</v>
      </c>
      <c r="BJ443" s="82">
        <f t="shared" ref="BJ443:BM443" si="2839">BJ441+BJ442</f>
        <v>-8056.8625491886896</v>
      </c>
      <c r="BK443" s="82">
        <f t="shared" si="2839"/>
        <v>-8096.2637560382645</v>
      </c>
      <c r="BL443" s="82">
        <f t="shared" si="2839"/>
        <v>-8319.011560507628</v>
      </c>
      <c r="BM443" s="82">
        <f t="shared" si="2839"/>
        <v>-8396.8399645404315</v>
      </c>
      <c r="BN443" s="82">
        <f t="shared" ref="BN443:BO443" si="2840">BN441+BN442</f>
        <v>-8592.875021339376</v>
      </c>
      <c r="BO443" s="82">
        <f t="shared" si="2840"/>
        <v>-8582.7447849099335</v>
      </c>
      <c r="BP443" s="82">
        <f t="shared" ref="BP443:BQ443" si="2841">BP441+BP442</f>
        <v>-8802.3317114488455</v>
      </c>
      <c r="BQ443" s="82">
        <f t="shared" si="2841"/>
        <v>-8790.9161403822345</v>
      </c>
      <c r="BR443" s="82"/>
      <c r="BS443" s="82">
        <f t="shared" ref="BS443:CB443" si="2842">BS449-SUM(BS444:BS448)</f>
        <v>-3149</v>
      </c>
      <c r="BT443" s="82">
        <f t="shared" si="2842"/>
        <v>-2954</v>
      </c>
      <c r="BU443" s="82">
        <f t="shared" si="2842"/>
        <v>-2884</v>
      </c>
      <c r="BV443" s="82">
        <f t="shared" si="2842"/>
        <v>-2943</v>
      </c>
      <c r="BW443" s="82">
        <f t="shared" si="2842"/>
        <v>-2863</v>
      </c>
      <c r="BX443" s="82">
        <f t="shared" si="2842"/>
        <v>-2924</v>
      </c>
      <c r="BY443" s="82">
        <f t="shared" si="2842"/>
        <v>-3039</v>
      </c>
      <c r="BZ443" s="82">
        <f t="shared" si="2842"/>
        <v>-3070</v>
      </c>
      <c r="CA443" s="82">
        <f t="shared" si="2842"/>
        <v>-3407</v>
      </c>
      <c r="CB443" s="82">
        <f t="shared" si="2842"/>
        <v>-5170</v>
      </c>
      <c r="CC443" s="82">
        <f t="shared" si="2780"/>
        <v>-5201</v>
      </c>
      <c r="CD443" s="82">
        <f t="shared" si="2781"/>
        <v>-5551</v>
      </c>
      <c r="CE443" s="82">
        <f t="shared" si="2782"/>
        <v>-6249</v>
      </c>
      <c r="CF443" s="82">
        <f t="shared" si="2783"/>
        <v>-5869</v>
      </c>
      <c r="CG443" s="82">
        <f t="shared" si="2784"/>
        <v>-5994</v>
      </c>
      <c r="CH443" s="82">
        <f t="shared" si="2785"/>
        <v>-6427</v>
      </c>
      <c r="CI443" s="82">
        <f t="shared" si="2786"/>
        <v>-7021</v>
      </c>
      <c r="CJ443" s="82">
        <f t="shared" si="2787"/>
        <v>-8222</v>
      </c>
      <c r="CK443" s="82">
        <f t="shared" si="2788"/>
        <v>-8601</v>
      </c>
      <c r="CL443" s="82">
        <f t="shared" si="2789"/>
        <v>-8891</v>
      </c>
      <c r="CM443" s="82">
        <f t="shared" si="2790"/>
        <v>-9196</v>
      </c>
      <c r="CN443" s="82">
        <f t="shared" si="2791"/>
        <v>-9010</v>
      </c>
      <c r="CO443" s="82">
        <f t="shared" si="2792"/>
        <v>-9499</v>
      </c>
      <c r="CP443" s="82">
        <f t="shared" si="2793"/>
        <v>-9993</v>
      </c>
      <c r="CQ443" s="82">
        <f t="shared" si="2794"/>
        <v>-10434</v>
      </c>
      <c r="CR443" s="82">
        <f t="shared" si="2795"/>
        <v>-10669</v>
      </c>
      <c r="CS443" s="82">
        <f t="shared" si="2796"/>
        <v>-10995</v>
      </c>
      <c r="CT443" s="82">
        <f t="shared" si="2797"/>
        <v>-10824</v>
      </c>
      <c r="CU443" s="82">
        <f t="shared" si="2798"/>
        <v>-10996</v>
      </c>
      <c r="CV443" s="82">
        <f t="shared" si="2799"/>
        <v>-11359</v>
      </c>
      <c r="CW443" s="82">
        <f t="shared" si="2800"/>
        <v>-11428</v>
      </c>
      <c r="CX443" s="82">
        <f t="shared" si="2801"/>
        <v>-11858</v>
      </c>
      <c r="CY443" s="82">
        <f t="shared" si="2802"/>
        <v>-12218</v>
      </c>
      <c r="CZ443" s="83">
        <f t="shared" si="2803"/>
        <v>-12996</v>
      </c>
      <c r="DA443" s="82">
        <f t="shared" si="2804"/>
        <v>-13666.531071215633</v>
      </c>
      <c r="DB443" s="82">
        <f t="shared" si="2805"/>
        <v>-14230.160867044899</v>
      </c>
      <c r="DC443" s="82">
        <f t="shared" si="2806"/>
        <v>-14776.762903377126</v>
      </c>
      <c r="DD443" s="82">
        <f t="shared" si="2807"/>
        <v>-15204.741746258638</v>
      </c>
      <c r="DE443" s="82">
        <f t="shared" si="2808"/>
        <v>-15653.03841700532</v>
      </c>
      <c r="DF443" s="82">
        <f t="shared" si="2827"/>
        <v>-16153.126305226953</v>
      </c>
      <c r="DG443" s="82">
        <f t="shared" si="2809"/>
        <v>-16715.85152504806</v>
      </c>
      <c r="DH443" s="82">
        <f t="shared" si="2810"/>
        <v>-17175.619806249309</v>
      </c>
      <c r="DI443" s="82">
        <f t="shared" si="2811"/>
        <v>-17593.247851831082</v>
      </c>
    </row>
    <row r="444" spans="1:113" outlineLevel="2">
      <c r="A444" s="1" t="s">
        <v>2</v>
      </c>
      <c r="B444" s="19" t="s">
        <v>854</v>
      </c>
      <c r="C444" s="55">
        <f>-C383</f>
        <v>0</v>
      </c>
      <c r="D444" s="55">
        <f>-D383</f>
        <v>0</v>
      </c>
      <c r="E444" s="55">
        <f>-E383</f>
        <v>0</v>
      </c>
      <c r="F444" s="55">
        <f t="shared" ref="F444:L444" si="2843">-F383</f>
        <v>0</v>
      </c>
      <c r="G444" s="55">
        <f t="shared" si="2843"/>
        <v>0</v>
      </c>
      <c r="H444" s="55">
        <f t="shared" si="2843"/>
        <v>0</v>
      </c>
      <c r="I444" s="55">
        <f t="shared" si="2843"/>
        <v>0</v>
      </c>
      <c r="J444" s="55">
        <f t="shared" si="2843"/>
        <v>0</v>
      </c>
      <c r="K444" s="55">
        <f t="shared" si="2843"/>
        <v>0</v>
      </c>
      <c r="L444" s="55">
        <f t="shared" si="2843"/>
        <v>0</v>
      </c>
      <c r="M444" s="55">
        <f t="shared" ref="M444:AB444" si="2844">-M383</f>
        <v>0</v>
      </c>
      <c r="N444" s="55">
        <f t="shared" si="2844"/>
        <v>0</v>
      </c>
      <c r="O444" s="55">
        <f t="shared" si="2844"/>
        <v>0</v>
      </c>
      <c r="P444" s="55">
        <f t="shared" si="2844"/>
        <v>0</v>
      </c>
      <c r="Q444" s="55">
        <f t="shared" si="2844"/>
        <v>0</v>
      </c>
      <c r="R444" s="55">
        <f t="shared" si="2844"/>
        <v>0</v>
      </c>
      <c r="S444" s="55">
        <f t="shared" si="2844"/>
        <v>0</v>
      </c>
      <c r="T444" s="55">
        <f t="shared" si="2844"/>
        <v>0</v>
      </c>
      <c r="U444" s="55">
        <f t="shared" si="2844"/>
        <v>0</v>
      </c>
      <c r="V444" s="55">
        <f t="shared" si="2844"/>
        <v>0</v>
      </c>
      <c r="W444" s="55">
        <f t="shared" si="2844"/>
        <v>0</v>
      </c>
      <c r="X444" s="55">
        <f t="shared" si="2844"/>
        <v>0</v>
      </c>
      <c r="Y444" s="55">
        <f>-Y383</f>
        <v>0</v>
      </c>
      <c r="Z444" s="55">
        <f>-Z383</f>
        <v>0</v>
      </c>
      <c r="AA444" s="55">
        <f t="shared" si="2844"/>
        <v>0</v>
      </c>
      <c r="AB444" s="55">
        <f t="shared" si="2844"/>
        <v>0</v>
      </c>
      <c r="AC444" s="55">
        <f t="shared" ref="AC444:AK444" si="2845">-AC383</f>
        <v>0</v>
      </c>
      <c r="AD444" s="55">
        <f t="shared" si="2845"/>
        <v>0</v>
      </c>
      <c r="AE444" s="55">
        <f t="shared" si="2845"/>
        <v>0</v>
      </c>
      <c r="AF444" s="55">
        <f t="shared" si="2845"/>
        <v>0</v>
      </c>
      <c r="AG444" s="55">
        <f t="shared" si="2845"/>
        <v>0</v>
      </c>
      <c r="AH444" s="55">
        <f t="shared" si="2845"/>
        <v>0</v>
      </c>
      <c r="AI444" s="55">
        <f t="shared" si="2845"/>
        <v>0</v>
      </c>
      <c r="AJ444" s="55">
        <f t="shared" si="2845"/>
        <v>0</v>
      </c>
      <c r="AK444" s="55">
        <f t="shared" si="2845"/>
        <v>0</v>
      </c>
      <c r="AL444" s="55">
        <f t="shared" ref="AL444:AQ444" si="2846">-AL383</f>
        <v>0</v>
      </c>
      <c r="AM444" s="55">
        <f t="shared" si="2846"/>
        <v>0</v>
      </c>
      <c r="AN444" s="55">
        <f t="shared" si="2846"/>
        <v>0</v>
      </c>
      <c r="AO444" s="55">
        <f t="shared" si="2846"/>
        <v>0</v>
      </c>
      <c r="AP444" s="55">
        <f t="shared" si="2846"/>
        <v>0</v>
      </c>
      <c r="AQ444" s="55">
        <f t="shared" si="2846"/>
        <v>0</v>
      </c>
      <c r="AR444" s="55">
        <f t="shared" ref="AR444" si="2847">-AR383</f>
        <v>0</v>
      </c>
      <c r="AS444" s="55">
        <f t="shared" ref="AS444:AT444" si="2848">-AS383</f>
        <v>0</v>
      </c>
      <c r="AT444" s="55">
        <f t="shared" si="2848"/>
        <v>0</v>
      </c>
      <c r="AU444" s="55">
        <f t="shared" ref="AU444:AV444" si="2849">-AU383</f>
        <v>0</v>
      </c>
      <c r="AV444" s="55">
        <f t="shared" si="2849"/>
        <v>0</v>
      </c>
      <c r="AW444" s="55">
        <f t="shared" ref="AW444:AX444" si="2850">-AW383</f>
        <v>0</v>
      </c>
      <c r="AX444" s="55">
        <f t="shared" si="2850"/>
        <v>0</v>
      </c>
      <c r="AY444" s="55">
        <f t="shared" ref="AY444:AZ444" si="2851">-AY383</f>
        <v>0</v>
      </c>
      <c r="AZ444" s="56">
        <f t="shared" si="2851"/>
        <v>0</v>
      </c>
      <c r="BA444" s="55">
        <f t="shared" ref="BA444:BI444" si="2852">-BA383</f>
        <v>0</v>
      </c>
      <c r="BB444" s="55">
        <f t="shared" si="2852"/>
        <v>0</v>
      </c>
      <c r="BC444" s="55">
        <f t="shared" si="2852"/>
        <v>0</v>
      </c>
      <c r="BD444" s="55">
        <f t="shared" si="2852"/>
        <v>0</v>
      </c>
      <c r="BE444" s="55">
        <f t="shared" si="2852"/>
        <v>0</v>
      </c>
      <c r="BF444" s="55">
        <f t="shared" si="2852"/>
        <v>0</v>
      </c>
      <c r="BG444" s="55">
        <f t="shared" si="2852"/>
        <v>0</v>
      </c>
      <c r="BH444" s="55">
        <f t="shared" si="2852"/>
        <v>0</v>
      </c>
      <c r="BI444" s="55">
        <f t="shared" si="2852"/>
        <v>0</v>
      </c>
      <c r="BJ444" s="55">
        <f t="shared" ref="BJ444:BM444" si="2853">-BJ383</f>
        <v>0</v>
      </c>
      <c r="BK444" s="55">
        <f t="shared" si="2853"/>
        <v>0</v>
      </c>
      <c r="BL444" s="55">
        <f t="shared" si="2853"/>
        <v>0</v>
      </c>
      <c r="BM444" s="55">
        <f t="shared" si="2853"/>
        <v>0</v>
      </c>
      <c r="BN444" s="55">
        <f t="shared" ref="BN444:BO444" si="2854">-BN383</f>
        <v>0</v>
      </c>
      <c r="BO444" s="55">
        <f t="shared" si="2854"/>
        <v>0</v>
      </c>
      <c r="BP444" s="55">
        <f t="shared" ref="BP444:BQ444" si="2855">-BP383</f>
        <v>0</v>
      </c>
      <c r="BQ444" s="55">
        <f t="shared" si="2855"/>
        <v>0</v>
      </c>
      <c r="BR444" s="55"/>
      <c r="BS444" s="55">
        <f t="shared" ref="BS444:CB444" si="2856">-BS383</f>
        <v>0</v>
      </c>
      <c r="BT444" s="55">
        <f t="shared" si="2856"/>
        <v>0</v>
      </c>
      <c r="BU444" s="55">
        <f t="shared" si="2856"/>
        <v>0</v>
      </c>
      <c r="BV444" s="55">
        <f t="shared" si="2856"/>
        <v>0</v>
      </c>
      <c r="BW444" s="55">
        <f t="shared" si="2856"/>
        <v>0</v>
      </c>
      <c r="BX444" s="55">
        <f t="shared" si="2856"/>
        <v>0</v>
      </c>
      <c r="BY444" s="55">
        <f t="shared" si="2856"/>
        <v>0</v>
      </c>
      <c r="BZ444" s="55">
        <f t="shared" si="2856"/>
        <v>0</v>
      </c>
      <c r="CA444" s="55">
        <f t="shared" si="2856"/>
        <v>0</v>
      </c>
      <c r="CB444" s="55">
        <f t="shared" si="2856"/>
        <v>0</v>
      </c>
      <c r="CC444" s="55">
        <f t="shared" si="2780"/>
        <v>0</v>
      </c>
      <c r="CD444" s="55">
        <f t="shared" si="2781"/>
        <v>0</v>
      </c>
      <c r="CE444" s="55">
        <f t="shared" si="2782"/>
        <v>0</v>
      </c>
      <c r="CF444" s="55">
        <f t="shared" si="2783"/>
        <v>0</v>
      </c>
      <c r="CG444" s="55">
        <f t="shared" si="2784"/>
        <v>0</v>
      </c>
      <c r="CH444" s="55">
        <f t="shared" si="2785"/>
        <v>0</v>
      </c>
      <c r="CI444" s="55">
        <f t="shared" si="2786"/>
        <v>0</v>
      </c>
      <c r="CJ444" s="55">
        <f t="shared" si="2787"/>
        <v>0</v>
      </c>
      <c r="CK444" s="55">
        <f t="shared" si="2788"/>
        <v>0</v>
      </c>
      <c r="CL444" s="55">
        <f t="shared" si="2789"/>
        <v>0</v>
      </c>
      <c r="CM444" s="55">
        <f t="shared" si="2790"/>
        <v>0</v>
      </c>
      <c r="CN444" s="55">
        <f t="shared" si="2791"/>
        <v>0</v>
      </c>
      <c r="CO444" s="55">
        <f t="shared" si="2792"/>
        <v>0</v>
      </c>
      <c r="CP444" s="55">
        <f t="shared" si="2793"/>
        <v>0</v>
      </c>
      <c r="CQ444" s="55">
        <f t="shared" si="2794"/>
        <v>0</v>
      </c>
      <c r="CR444" s="55">
        <f t="shared" si="2795"/>
        <v>0</v>
      </c>
      <c r="CS444" s="55">
        <f t="shared" si="2796"/>
        <v>0</v>
      </c>
      <c r="CT444" s="55">
        <f t="shared" si="2797"/>
        <v>0</v>
      </c>
      <c r="CU444" s="55">
        <f t="shared" si="2798"/>
        <v>0</v>
      </c>
      <c r="CV444" s="55">
        <f t="shared" si="2799"/>
        <v>0</v>
      </c>
      <c r="CW444" s="55">
        <f t="shared" si="2800"/>
        <v>0</v>
      </c>
      <c r="CX444" s="55">
        <f t="shared" si="2801"/>
        <v>0</v>
      </c>
      <c r="CY444" s="55">
        <f t="shared" si="2802"/>
        <v>0</v>
      </c>
      <c r="CZ444" s="56">
        <f t="shared" si="2803"/>
        <v>0</v>
      </c>
      <c r="DA444" s="55">
        <f t="shared" si="2804"/>
        <v>0</v>
      </c>
      <c r="DB444" s="55">
        <f t="shared" si="2805"/>
        <v>0</v>
      </c>
      <c r="DC444" s="55">
        <f t="shared" si="2806"/>
        <v>0</v>
      </c>
      <c r="DD444" s="55">
        <f t="shared" si="2807"/>
        <v>0</v>
      </c>
      <c r="DE444" s="55">
        <f t="shared" si="2808"/>
        <v>0</v>
      </c>
      <c r="DF444" s="55">
        <f t="shared" si="2827"/>
        <v>0</v>
      </c>
      <c r="DG444" s="55">
        <f t="shared" si="2809"/>
        <v>0</v>
      </c>
      <c r="DH444" s="55">
        <f t="shared" si="2810"/>
        <v>0</v>
      </c>
      <c r="DI444" s="55">
        <f t="shared" si="2811"/>
        <v>0</v>
      </c>
    </row>
    <row r="445" spans="1:113" outlineLevel="2">
      <c r="A445" s="1" t="s">
        <v>676</v>
      </c>
      <c r="B445" s="19" t="s">
        <v>445</v>
      </c>
      <c r="C445" s="55">
        <f>-C410</f>
        <v>0</v>
      </c>
      <c r="D445" s="55">
        <f>-D410</f>
        <v>0</v>
      </c>
      <c r="E445" s="55">
        <f>-E410</f>
        <v>0</v>
      </c>
      <c r="F445" s="55">
        <f t="shared" ref="F445:L445" si="2857">-F410</f>
        <v>0</v>
      </c>
      <c r="G445" s="55">
        <f t="shared" si="2857"/>
        <v>0</v>
      </c>
      <c r="H445" s="55">
        <f t="shared" si="2857"/>
        <v>0</v>
      </c>
      <c r="I445" s="55">
        <f t="shared" si="2857"/>
        <v>0</v>
      </c>
      <c r="J445" s="55">
        <f t="shared" si="2857"/>
        <v>0</v>
      </c>
      <c r="K445" s="55">
        <f t="shared" si="2857"/>
        <v>0</v>
      </c>
      <c r="L445" s="55">
        <f t="shared" si="2857"/>
        <v>0</v>
      </c>
      <c r="M445" s="55">
        <f t="shared" ref="M445:AB445" si="2858">-M410</f>
        <v>0</v>
      </c>
      <c r="N445" s="55">
        <f t="shared" si="2858"/>
        <v>0</v>
      </c>
      <c r="O445" s="55">
        <f t="shared" si="2858"/>
        <v>0</v>
      </c>
      <c r="P445" s="55">
        <f t="shared" si="2858"/>
        <v>0</v>
      </c>
      <c r="Q445" s="55">
        <f t="shared" si="2858"/>
        <v>0</v>
      </c>
      <c r="R445" s="55">
        <f t="shared" si="2858"/>
        <v>0</v>
      </c>
      <c r="S445" s="55">
        <f t="shared" si="2858"/>
        <v>0</v>
      </c>
      <c r="T445" s="55">
        <f t="shared" si="2858"/>
        <v>0</v>
      </c>
      <c r="U445" s="55">
        <f t="shared" si="2858"/>
        <v>0</v>
      </c>
      <c r="V445" s="55">
        <f t="shared" si="2858"/>
        <v>0</v>
      </c>
      <c r="W445" s="55">
        <f t="shared" si="2858"/>
        <v>0</v>
      </c>
      <c r="X445" s="55">
        <f t="shared" si="2858"/>
        <v>0</v>
      </c>
      <c r="Y445" s="55">
        <f>-Y410</f>
        <v>0</v>
      </c>
      <c r="Z445" s="55">
        <f>-Z410</f>
        <v>0</v>
      </c>
      <c r="AA445" s="55">
        <f t="shared" si="2858"/>
        <v>0</v>
      </c>
      <c r="AB445" s="55">
        <f t="shared" si="2858"/>
        <v>0</v>
      </c>
      <c r="AC445" s="55">
        <f t="shared" ref="AC445:AK445" si="2859">-AC410</f>
        <v>0</v>
      </c>
      <c r="AD445" s="55">
        <f t="shared" si="2859"/>
        <v>0</v>
      </c>
      <c r="AE445" s="55">
        <f t="shared" si="2859"/>
        <v>0</v>
      </c>
      <c r="AF445" s="55">
        <f t="shared" si="2859"/>
        <v>0</v>
      </c>
      <c r="AG445" s="55">
        <f t="shared" si="2859"/>
        <v>0</v>
      </c>
      <c r="AH445" s="55">
        <f t="shared" si="2859"/>
        <v>0</v>
      </c>
      <c r="AI445" s="55">
        <f t="shared" si="2859"/>
        <v>0</v>
      </c>
      <c r="AJ445" s="55">
        <f t="shared" si="2859"/>
        <v>0</v>
      </c>
      <c r="AK445" s="55">
        <f t="shared" si="2859"/>
        <v>0</v>
      </c>
      <c r="AL445" s="55">
        <f t="shared" ref="AL445:AQ445" si="2860">-AL410</f>
        <v>0</v>
      </c>
      <c r="AM445" s="55">
        <f t="shared" si="2860"/>
        <v>0</v>
      </c>
      <c r="AN445" s="55">
        <f t="shared" si="2860"/>
        <v>0</v>
      </c>
      <c r="AO445" s="55">
        <f t="shared" si="2860"/>
        <v>0</v>
      </c>
      <c r="AP445" s="55">
        <f t="shared" si="2860"/>
        <v>0</v>
      </c>
      <c r="AQ445" s="55">
        <f t="shared" si="2860"/>
        <v>0</v>
      </c>
      <c r="AR445" s="55">
        <f t="shared" ref="AR445" si="2861">-AR410</f>
        <v>0</v>
      </c>
      <c r="AS445" s="55">
        <f t="shared" ref="AS445:AT445" si="2862">-AS410</f>
        <v>0</v>
      </c>
      <c r="AT445" s="55">
        <f t="shared" si="2862"/>
        <v>0</v>
      </c>
      <c r="AU445" s="55">
        <f t="shared" ref="AU445:AV445" si="2863">-AU410</f>
        <v>0</v>
      </c>
      <c r="AV445" s="55">
        <f t="shared" si="2863"/>
        <v>0</v>
      </c>
      <c r="AW445" s="55">
        <f t="shared" ref="AW445:AX445" si="2864">-AW410</f>
        <v>0</v>
      </c>
      <c r="AX445" s="55">
        <f t="shared" si="2864"/>
        <v>0</v>
      </c>
      <c r="AY445" s="55">
        <f t="shared" ref="AY445:AZ445" si="2865">-AY410</f>
        <v>0</v>
      </c>
      <c r="AZ445" s="56">
        <f t="shared" si="2865"/>
        <v>0</v>
      </c>
      <c r="BA445" s="55">
        <f t="shared" ref="BA445:BI445" si="2866">-BA410</f>
        <v>0</v>
      </c>
      <c r="BB445" s="55">
        <f t="shared" si="2866"/>
        <v>0</v>
      </c>
      <c r="BC445" s="55">
        <f t="shared" si="2866"/>
        <v>0</v>
      </c>
      <c r="BD445" s="55">
        <f t="shared" si="2866"/>
        <v>0</v>
      </c>
      <c r="BE445" s="55">
        <f t="shared" si="2866"/>
        <v>0</v>
      </c>
      <c r="BF445" s="55">
        <f t="shared" si="2866"/>
        <v>0</v>
      </c>
      <c r="BG445" s="55">
        <f t="shared" si="2866"/>
        <v>0</v>
      </c>
      <c r="BH445" s="55">
        <f t="shared" si="2866"/>
        <v>0</v>
      </c>
      <c r="BI445" s="55">
        <f t="shared" si="2866"/>
        <v>0</v>
      </c>
      <c r="BJ445" s="55">
        <f t="shared" ref="BJ445:BM445" si="2867">-BJ410</f>
        <v>0</v>
      </c>
      <c r="BK445" s="55">
        <f t="shared" si="2867"/>
        <v>0</v>
      </c>
      <c r="BL445" s="55">
        <f t="shared" si="2867"/>
        <v>0</v>
      </c>
      <c r="BM445" s="55">
        <f t="shared" si="2867"/>
        <v>0</v>
      </c>
      <c r="BN445" s="55">
        <f t="shared" ref="BN445:BO445" si="2868">-BN410</f>
        <v>0</v>
      </c>
      <c r="BO445" s="55">
        <f t="shared" si="2868"/>
        <v>0</v>
      </c>
      <c r="BP445" s="55">
        <f t="shared" ref="BP445:BQ445" si="2869">-BP410</f>
        <v>0</v>
      </c>
      <c r="BQ445" s="55">
        <f t="shared" si="2869"/>
        <v>0</v>
      </c>
      <c r="BR445" s="55"/>
      <c r="BS445" s="55">
        <f t="shared" ref="BS445:CB445" si="2870">-BS410</f>
        <v>0</v>
      </c>
      <c r="BT445" s="55">
        <f t="shared" si="2870"/>
        <v>0</v>
      </c>
      <c r="BU445" s="55">
        <f t="shared" si="2870"/>
        <v>0</v>
      </c>
      <c r="BV445" s="55">
        <f t="shared" si="2870"/>
        <v>0</v>
      </c>
      <c r="BW445" s="55">
        <f t="shared" si="2870"/>
        <v>0</v>
      </c>
      <c r="BX445" s="55">
        <f t="shared" si="2870"/>
        <v>0</v>
      </c>
      <c r="BY445" s="55">
        <f t="shared" si="2870"/>
        <v>0</v>
      </c>
      <c r="BZ445" s="55">
        <f t="shared" si="2870"/>
        <v>0</v>
      </c>
      <c r="CA445" s="55">
        <f t="shared" si="2870"/>
        <v>0</v>
      </c>
      <c r="CB445" s="55">
        <f t="shared" si="2870"/>
        <v>0</v>
      </c>
      <c r="CC445" s="55">
        <f t="shared" si="2780"/>
        <v>0</v>
      </c>
      <c r="CD445" s="55">
        <f t="shared" si="2781"/>
        <v>0</v>
      </c>
      <c r="CE445" s="55">
        <f t="shared" si="2782"/>
        <v>0</v>
      </c>
      <c r="CF445" s="55">
        <f t="shared" si="2783"/>
        <v>0</v>
      </c>
      <c r="CG445" s="55">
        <f t="shared" si="2784"/>
        <v>0</v>
      </c>
      <c r="CH445" s="55">
        <f t="shared" si="2785"/>
        <v>0</v>
      </c>
      <c r="CI445" s="55">
        <f t="shared" si="2786"/>
        <v>0</v>
      </c>
      <c r="CJ445" s="55">
        <f t="shared" si="2787"/>
        <v>0</v>
      </c>
      <c r="CK445" s="55">
        <f t="shared" si="2788"/>
        <v>0</v>
      </c>
      <c r="CL445" s="55">
        <f t="shared" si="2789"/>
        <v>0</v>
      </c>
      <c r="CM445" s="55">
        <f t="shared" si="2790"/>
        <v>0</v>
      </c>
      <c r="CN445" s="55">
        <f t="shared" si="2791"/>
        <v>0</v>
      </c>
      <c r="CO445" s="55">
        <f t="shared" si="2792"/>
        <v>0</v>
      </c>
      <c r="CP445" s="55">
        <f t="shared" si="2793"/>
        <v>0</v>
      </c>
      <c r="CQ445" s="55">
        <f t="shared" si="2794"/>
        <v>0</v>
      </c>
      <c r="CR445" s="55">
        <f t="shared" si="2795"/>
        <v>0</v>
      </c>
      <c r="CS445" s="55">
        <f t="shared" si="2796"/>
        <v>0</v>
      </c>
      <c r="CT445" s="55">
        <f t="shared" si="2797"/>
        <v>0</v>
      </c>
      <c r="CU445" s="55">
        <f t="shared" si="2798"/>
        <v>0</v>
      </c>
      <c r="CV445" s="55">
        <f t="shared" si="2799"/>
        <v>0</v>
      </c>
      <c r="CW445" s="55">
        <f t="shared" si="2800"/>
        <v>0</v>
      </c>
      <c r="CX445" s="55">
        <f t="shared" si="2801"/>
        <v>0</v>
      </c>
      <c r="CY445" s="55">
        <f t="shared" si="2802"/>
        <v>0</v>
      </c>
      <c r="CZ445" s="56">
        <f t="shared" si="2803"/>
        <v>0</v>
      </c>
      <c r="DA445" s="55">
        <f t="shared" si="2804"/>
        <v>0</v>
      </c>
      <c r="DB445" s="55">
        <f t="shared" si="2805"/>
        <v>0</v>
      </c>
      <c r="DC445" s="55">
        <f t="shared" si="2806"/>
        <v>0</v>
      </c>
      <c r="DD445" s="55">
        <f t="shared" si="2807"/>
        <v>0</v>
      </c>
      <c r="DE445" s="55">
        <f t="shared" si="2808"/>
        <v>0</v>
      </c>
      <c r="DF445" s="55">
        <f t="shared" si="2827"/>
        <v>0</v>
      </c>
      <c r="DG445" s="55">
        <f t="shared" si="2809"/>
        <v>0</v>
      </c>
      <c r="DH445" s="55">
        <f t="shared" si="2810"/>
        <v>0</v>
      </c>
      <c r="DI445" s="55">
        <f t="shared" si="2811"/>
        <v>0</v>
      </c>
    </row>
    <row r="446" spans="1:113" outlineLevel="2">
      <c r="A446" s="1" t="s">
        <v>3</v>
      </c>
      <c r="B446" s="19" t="s">
        <v>370</v>
      </c>
      <c r="C446" s="53"/>
      <c r="D446" s="53"/>
      <c r="E446" s="53"/>
      <c r="F446" s="53"/>
      <c r="G446" s="53"/>
      <c r="H446" s="53"/>
      <c r="I446" s="53"/>
      <c r="J446" s="53"/>
      <c r="K446" s="53"/>
      <c r="L446" s="53">
        <v>0</v>
      </c>
      <c r="M446" s="53">
        <v>0</v>
      </c>
      <c r="N446" s="53">
        <v>0</v>
      </c>
      <c r="O446" s="53">
        <v>0</v>
      </c>
      <c r="P446" s="53">
        <v>0</v>
      </c>
      <c r="Q446" s="53">
        <v>0</v>
      </c>
      <c r="R446" s="53">
        <v>0</v>
      </c>
      <c r="S446" s="53">
        <v>0</v>
      </c>
      <c r="T446" s="53">
        <v>0</v>
      </c>
      <c r="U446" s="53">
        <v>0</v>
      </c>
      <c r="V446" s="53">
        <v>0</v>
      </c>
      <c r="W446" s="53">
        <v>0</v>
      </c>
      <c r="X446" s="53">
        <v>0</v>
      </c>
      <c r="Y446" s="53">
        <v>0</v>
      </c>
      <c r="Z446" s="53">
        <v>0</v>
      </c>
      <c r="AA446" s="164">
        <v>0</v>
      </c>
      <c r="AB446" s="164">
        <v>0</v>
      </c>
      <c r="AC446" s="164">
        <v>0</v>
      </c>
      <c r="AD446" s="164">
        <v>0</v>
      </c>
      <c r="AE446" s="164">
        <v>0</v>
      </c>
      <c r="AF446" s="164">
        <v>0</v>
      </c>
      <c r="AG446" s="164">
        <v>0</v>
      </c>
      <c r="AH446" s="164">
        <v>0</v>
      </c>
      <c r="AI446" s="164">
        <v>0</v>
      </c>
      <c r="AJ446" s="164">
        <v>0</v>
      </c>
      <c r="AK446" s="164">
        <v>0</v>
      </c>
      <c r="AL446" s="164">
        <v>0</v>
      </c>
      <c r="AM446" s="164">
        <v>0</v>
      </c>
      <c r="AN446" s="164">
        <v>0</v>
      </c>
      <c r="AO446" s="164">
        <v>0</v>
      </c>
      <c r="AP446" s="164">
        <v>0</v>
      </c>
      <c r="AQ446" s="164">
        <v>0</v>
      </c>
      <c r="AR446" s="164">
        <v>0</v>
      </c>
      <c r="AS446" s="164">
        <v>0</v>
      </c>
      <c r="AT446" s="164">
        <v>0</v>
      </c>
      <c r="AU446" s="164">
        <v>0</v>
      </c>
      <c r="AV446" s="164">
        <v>0</v>
      </c>
      <c r="AW446" s="164">
        <v>0</v>
      </c>
      <c r="AX446" s="164">
        <v>0</v>
      </c>
      <c r="AY446" s="164">
        <v>0</v>
      </c>
      <c r="AZ446" s="171">
        <v>0</v>
      </c>
      <c r="BA446" s="54">
        <v>0</v>
      </c>
      <c r="BB446" s="54">
        <v>0</v>
      </c>
      <c r="BC446" s="54">
        <v>0</v>
      </c>
      <c r="BD446" s="54">
        <v>0</v>
      </c>
      <c r="BE446" s="54">
        <v>0</v>
      </c>
      <c r="BF446" s="54">
        <v>0</v>
      </c>
      <c r="BG446" s="54">
        <v>0</v>
      </c>
      <c r="BH446" s="54">
        <v>0</v>
      </c>
      <c r="BI446" s="54">
        <v>0</v>
      </c>
      <c r="BJ446" s="54">
        <v>0</v>
      </c>
      <c r="BK446" s="54">
        <v>0</v>
      </c>
      <c r="BL446" s="54">
        <v>0</v>
      </c>
      <c r="BM446" s="54">
        <v>0</v>
      </c>
      <c r="BN446" s="54">
        <v>0</v>
      </c>
      <c r="BO446" s="54">
        <v>0</v>
      </c>
      <c r="BP446" s="54">
        <v>0</v>
      </c>
      <c r="BQ446" s="54">
        <v>0</v>
      </c>
      <c r="BR446" s="55"/>
      <c r="BS446" s="53">
        <v>0</v>
      </c>
      <c r="BT446" s="53">
        <v>0</v>
      </c>
      <c r="BU446" s="53">
        <v>0</v>
      </c>
      <c r="BV446" s="53">
        <v>0</v>
      </c>
      <c r="BW446" s="53">
        <v>0</v>
      </c>
      <c r="BX446" s="53">
        <v>0</v>
      </c>
      <c r="BY446" s="53">
        <v>0</v>
      </c>
      <c r="BZ446" s="53">
        <v>0</v>
      </c>
      <c r="CA446" s="53">
        <v>0</v>
      </c>
      <c r="CB446" s="53">
        <v>0</v>
      </c>
      <c r="CC446" s="55">
        <f t="shared" si="2780"/>
        <v>0</v>
      </c>
      <c r="CD446" s="55">
        <f t="shared" si="2781"/>
        <v>0</v>
      </c>
      <c r="CE446" s="55">
        <f t="shared" si="2782"/>
        <v>0</v>
      </c>
      <c r="CF446" s="55">
        <f t="shared" si="2783"/>
        <v>0</v>
      </c>
      <c r="CG446" s="55">
        <f t="shared" si="2784"/>
        <v>0</v>
      </c>
      <c r="CH446" s="55">
        <f t="shared" si="2785"/>
        <v>0</v>
      </c>
      <c r="CI446" s="55">
        <f t="shared" si="2786"/>
        <v>0</v>
      </c>
      <c r="CJ446" s="55">
        <f t="shared" si="2787"/>
        <v>0</v>
      </c>
      <c r="CK446" s="55">
        <f t="shared" si="2788"/>
        <v>0</v>
      </c>
      <c r="CL446" s="55">
        <f t="shared" si="2789"/>
        <v>0</v>
      </c>
      <c r="CM446" s="55">
        <f t="shared" si="2790"/>
        <v>0</v>
      </c>
      <c r="CN446" s="55">
        <f t="shared" si="2791"/>
        <v>0</v>
      </c>
      <c r="CO446" s="55">
        <f t="shared" si="2792"/>
        <v>0</v>
      </c>
      <c r="CP446" s="55">
        <f t="shared" si="2793"/>
        <v>0</v>
      </c>
      <c r="CQ446" s="55">
        <f t="shared" si="2794"/>
        <v>0</v>
      </c>
      <c r="CR446" s="55">
        <f t="shared" si="2795"/>
        <v>0</v>
      </c>
      <c r="CS446" s="55">
        <f t="shared" si="2796"/>
        <v>0</v>
      </c>
      <c r="CT446" s="55">
        <f t="shared" si="2797"/>
        <v>0</v>
      </c>
      <c r="CU446" s="55">
        <f t="shared" si="2798"/>
        <v>0</v>
      </c>
      <c r="CV446" s="55">
        <f t="shared" si="2799"/>
        <v>0</v>
      </c>
      <c r="CW446" s="55">
        <f t="shared" si="2800"/>
        <v>0</v>
      </c>
      <c r="CX446" s="55">
        <f t="shared" si="2801"/>
        <v>0</v>
      </c>
      <c r="CY446" s="55">
        <f t="shared" si="2802"/>
        <v>0</v>
      </c>
      <c r="CZ446" s="56">
        <f t="shared" si="2803"/>
        <v>0</v>
      </c>
      <c r="DA446" s="55">
        <f t="shared" si="2804"/>
        <v>0</v>
      </c>
      <c r="DB446" s="55">
        <f t="shared" si="2805"/>
        <v>0</v>
      </c>
      <c r="DC446" s="55">
        <f t="shared" si="2806"/>
        <v>0</v>
      </c>
      <c r="DD446" s="55">
        <f t="shared" si="2807"/>
        <v>0</v>
      </c>
      <c r="DE446" s="55">
        <f t="shared" si="2808"/>
        <v>0</v>
      </c>
      <c r="DF446" s="55">
        <f t="shared" si="2827"/>
        <v>0</v>
      </c>
      <c r="DG446" s="55">
        <f t="shared" si="2809"/>
        <v>0</v>
      </c>
      <c r="DH446" s="55">
        <f t="shared" si="2810"/>
        <v>0</v>
      </c>
      <c r="DI446" s="55">
        <f t="shared" si="2811"/>
        <v>0</v>
      </c>
    </row>
    <row r="447" spans="1:113" outlineLevel="2">
      <c r="A447" s="1" t="s">
        <v>4</v>
      </c>
      <c r="B447" s="19" t="s">
        <v>360</v>
      </c>
      <c r="C447" s="53"/>
      <c r="D447" s="53"/>
      <c r="E447" s="53"/>
      <c r="F447" s="53"/>
      <c r="G447" s="53"/>
      <c r="H447" s="53"/>
      <c r="I447" s="53"/>
      <c r="J447" s="53"/>
      <c r="K447" s="53"/>
      <c r="L447" s="53">
        <v>0</v>
      </c>
      <c r="M447" s="53">
        <v>0</v>
      </c>
      <c r="N447" s="53">
        <v>0</v>
      </c>
      <c r="O447" s="53">
        <v>0</v>
      </c>
      <c r="P447" s="53">
        <v>0</v>
      </c>
      <c r="Q447" s="53">
        <v>0</v>
      </c>
      <c r="R447" s="53">
        <v>0</v>
      </c>
      <c r="S447" s="53">
        <v>0</v>
      </c>
      <c r="T447" s="53">
        <v>0</v>
      </c>
      <c r="U447" s="53">
        <v>0</v>
      </c>
      <c r="V447" s="53">
        <v>0</v>
      </c>
      <c r="W447" s="53">
        <v>0</v>
      </c>
      <c r="X447" s="53">
        <v>0</v>
      </c>
      <c r="Y447" s="53">
        <v>0</v>
      </c>
      <c r="Z447" s="53">
        <v>0</v>
      </c>
      <c r="AA447" s="164">
        <v>0</v>
      </c>
      <c r="AB447" s="164">
        <v>0</v>
      </c>
      <c r="AC447" s="164">
        <v>0</v>
      </c>
      <c r="AD447" s="164">
        <v>0</v>
      </c>
      <c r="AE447" s="164">
        <v>0</v>
      </c>
      <c r="AF447" s="164">
        <v>0</v>
      </c>
      <c r="AG447" s="164">
        <v>0</v>
      </c>
      <c r="AH447" s="164">
        <v>0</v>
      </c>
      <c r="AI447" s="164">
        <v>0</v>
      </c>
      <c r="AJ447" s="164">
        <v>0</v>
      </c>
      <c r="AK447" s="164">
        <v>0</v>
      </c>
      <c r="AL447" s="164">
        <v>0</v>
      </c>
      <c r="AM447" s="164">
        <v>0</v>
      </c>
      <c r="AN447" s="164">
        <v>0</v>
      </c>
      <c r="AO447" s="164">
        <v>0</v>
      </c>
      <c r="AP447" s="164">
        <v>0</v>
      </c>
      <c r="AQ447" s="164">
        <v>0</v>
      </c>
      <c r="AR447" s="164">
        <v>0</v>
      </c>
      <c r="AS447" s="164">
        <v>0</v>
      </c>
      <c r="AT447" s="164">
        <v>0</v>
      </c>
      <c r="AU447" s="164">
        <v>0</v>
      </c>
      <c r="AV447" s="164">
        <v>0</v>
      </c>
      <c r="AW447" s="164">
        <v>0</v>
      </c>
      <c r="AX447" s="164">
        <v>0</v>
      </c>
      <c r="AY447" s="164">
        <v>0</v>
      </c>
      <c r="AZ447" s="171">
        <v>0</v>
      </c>
      <c r="BA447" s="54">
        <v>0</v>
      </c>
      <c r="BB447" s="54">
        <v>0</v>
      </c>
      <c r="BC447" s="54">
        <v>0</v>
      </c>
      <c r="BD447" s="54">
        <v>0</v>
      </c>
      <c r="BE447" s="54">
        <v>0</v>
      </c>
      <c r="BF447" s="54">
        <v>0</v>
      </c>
      <c r="BG447" s="54">
        <v>0</v>
      </c>
      <c r="BH447" s="54">
        <v>0</v>
      </c>
      <c r="BI447" s="54">
        <v>0</v>
      </c>
      <c r="BJ447" s="54">
        <v>0</v>
      </c>
      <c r="BK447" s="54">
        <v>0</v>
      </c>
      <c r="BL447" s="54">
        <v>0</v>
      </c>
      <c r="BM447" s="54">
        <v>0</v>
      </c>
      <c r="BN447" s="54">
        <v>0</v>
      </c>
      <c r="BO447" s="54">
        <v>0</v>
      </c>
      <c r="BP447" s="54">
        <v>0</v>
      </c>
      <c r="BQ447" s="54">
        <v>0</v>
      </c>
      <c r="BR447" s="55"/>
      <c r="BS447" s="53">
        <v>0</v>
      </c>
      <c r="BT447" s="53">
        <v>0</v>
      </c>
      <c r="BU447" s="53">
        <v>0</v>
      </c>
      <c r="BV447" s="53">
        <v>0</v>
      </c>
      <c r="BW447" s="53">
        <v>0</v>
      </c>
      <c r="BX447" s="53">
        <v>0</v>
      </c>
      <c r="BY447" s="53">
        <v>0</v>
      </c>
      <c r="BZ447" s="53">
        <v>0</v>
      </c>
      <c r="CA447" s="53">
        <v>0</v>
      </c>
      <c r="CB447" s="53">
        <v>0</v>
      </c>
      <c r="CC447" s="55">
        <f t="shared" si="2780"/>
        <v>0</v>
      </c>
      <c r="CD447" s="55">
        <f t="shared" si="2781"/>
        <v>0</v>
      </c>
      <c r="CE447" s="55">
        <f t="shared" si="2782"/>
        <v>0</v>
      </c>
      <c r="CF447" s="55">
        <f t="shared" si="2783"/>
        <v>0</v>
      </c>
      <c r="CG447" s="55">
        <f t="shared" si="2784"/>
        <v>0</v>
      </c>
      <c r="CH447" s="55">
        <f t="shared" si="2785"/>
        <v>0</v>
      </c>
      <c r="CI447" s="55">
        <f t="shared" si="2786"/>
        <v>0</v>
      </c>
      <c r="CJ447" s="55">
        <f t="shared" si="2787"/>
        <v>0</v>
      </c>
      <c r="CK447" s="55">
        <f t="shared" si="2788"/>
        <v>0</v>
      </c>
      <c r="CL447" s="55">
        <f t="shared" si="2789"/>
        <v>0</v>
      </c>
      <c r="CM447" s="55">
        <f t="shared" si="2790"/>
        <v>0</v>
      </c>
      <c r="CN447" s="55">
        <f t="shared" si="2791"/>
        <v>0</v>
      </c>
      <c r="CO447" s="55">
        <f t="shared" si="2792"/>
        <v>0</v>
      </c>
      <c r="CP447" s="55">
        <f t="shared" si="2793"/>
        <v>0</v>
      </c>
      <c r="CQ447" s="55">
        <f t="shared" si="2794"/>
        <v>0</v>
      </c>
      <c r="CR447" s="55">
        <f t="shared" si="2795"/>
        <v>0</v>
      </c>
      <c r="CS447" s="55">
        <f t="shared" si="2796"/>
        <v>0</v>
      </c>
      <c r="CT447" s="55">
        <f t="shared" si="2797"/>
        <v>0</v>
      </c>
      <c r="CU447" s="55">
        <f t="shared" si="2798"/>
        <v>0</v>
      </c>
      <c r="CV447" s="55">
        <f t="shared" si="2799"/>
        <v>0</v>
      </c>
      <c r="CW447" s="55">
        <f t="shared" si="2800"/>
        <v>0</v>
      </c>
      <c r="CX447" s="55">
        <f t="shared" si="2801"/>
        <v>0</v>
      </c>
      <c r="CY447" s="55">
        <f t="shared" si="2802"/>
        <v>0</v>
      </c>
      <c r="CZ447" s="56">
        <f t="shared" si="2803"/>
        <v>0</v>
      </c>
      <c r="DA447" s="55">
        <f t="shared" si="2804"/>
        <v>0</v>
      </c>
      <c r="DB447" s="55">
        <f t="shared" si="2805"/>
        <v>0</v>
      </c>
      <c r="DC447" s="55">
        <f t="shared" si="2806"/>
        <v>0</v>
      </c>
      <c r="DD447" s="55">
        <f t="shared" si="2807"/>
        <v>0</v>
      </c>
      <c r="DE447" s="55">
        <f t="shared" si="2808"/>
        <v>0</v>
      </c>
      <c r="DF447" s="55">
        <f t="shared" si="2827"/>
        <v>0</v>
      </c>
      <c r="DG447" s="55">
        <f t="shared" si="2809"/>
        <v>0</v>
      </c>
      <c r="DH447" s="55">
        <f t="shared" si="2810"/>
        <v>0</v>
      </c>
      <c r="DI447" s="55">
        <f t="shared" si="2811"/>
        <v>0</v>
      </c>
    </row>
    <row r="448" spans="1:113" outlineLevel="2">
      <c r="A448" s="1" t="s">
        <v>5</v>
      </c>
      <c r="B448" s="19" t="s">
        <v>423</v>
      </c>
      <c r="C448" s="53"/>
      <c r="D448" s="53"/>
      <c r="E448" s="53"/>
      <c r="F448" s="53"/>
      <c r="G448" s="53"/>
      <c r="H448" s="53"/>
      <c r="I448" s="53"/>
      <c r="J448" s="53"/>
      <c r="K448" s="53"/>
      <c r="L448" s="53">
        <v>0</v>
      </c>
      <c r="M448" s="53">
        <v>0</v>
      </c>
      <c r="N448" s="53">
        <v>0</v>
      </c>
      <c r="O448" s="53">
        <v>0</v>
      </c>
      <c r="P448" s="53">
        <v>0</v>
      </c>
      <c r="Q448" s="53">
        <v>0</v>
      </c>
      <c r="R448" s="53">
        <v>0</v>
      </c>
      <c r="S448" s="53">
        <v>0</v>
      </c>
      <c r="T448" s="53">
        <v>0</v>
      </c>
      <c r="U448" s="53">
        <v>0</v>
      </c>
      <c r="V448" s="53">
        <v>0</v>
      </c>
      <c r="W448" s="53">
        <v>0</v>
      </c>
      <c r="X448" s="53">
        <v>0</v>
      </c>
      <c r="Y448" s="53">
        <v>0</v>
      </c>
      <c r="Z448" s="53">
        <v>0</v>
      </c>
      <c r="AA448" s="164">
        <v>0</v>
      </c>
      <c r="AB448" s="164">
        <v>0</v>
      </c>
      <c r="AC448" s="164">
        <v>0</v>
      </c>
      <c r="AD448" s="164">
        <v>0</v>
      </c>
      <c r="AE448" s="164">
        <v>0</v>
      </c>
      <c r="AF448" s="164">
        <v>0</v>
      </c>
      <c r="AG448" s="164">
        <v>0</v>
      </c>
      <c r="AH448" s="164">
        <v>0</v>
      </c>
      <c r="AI448" s="164">
        <v>0</v>
      </c>
      <c r="AJ448" s="164">
        <v>0</v>
      </c>
      <c r="AK448" s="164">
        <v>0</v>
      </c>
      <c r="AL448" s="164">
        <v>0</v>
      </c>
      <c r="AM448" s="164">
        <v>0</v>
      </c>
      <c r="AN448" s="164">
        <v>0</v>
      </c>
      <c r="AO448" s="164">
        <v>0</v>
      </c>
      <c r="AP448" s="164">
        <v>0</v>
      </c>
      <c r="AQ448" s="164">
        <v>0</v>
      </c>
      <c r="AR448" s="164">
        <v>0</v>
      </c>
      <c r="AS448" s="164">
        <v>0</v>
      </c>
      <c r="AT448" s="164">
        <v>0</v>
      </c>
      <c r="AU448" s="164">
        <v>0</v>
      </c>
      <c r="AV448" s="164">
        <v>0</v>
      </c>
      <c r="AW448" s="164">
        <v>0</v>
      </c>
      <c r="AX448" s="164">
        <v>0</v>
      </c>
      <c r="AY448" s="164">
        <v>0</v>
      </c>
      <c r="AZ448" s="171">
        <v>0</v>
      </c>
      <c r="BA448" s="54">
        <v>0</v>
      </c>
      <c r="BB448" s="54">
        <v>0</v>
      </c>
      <c r="BC448" s="54">
        <v>0</v>
      </c>
      <c r="BD448" s="54">
        <v>0</v>
      </c>
      <c r="BE448" s="54">
        <v>0</v>
      </c>
      <c r="BF448" s="54">
        <v>0</v>
      </c>
      <c r="BG448" s="54">
        <v>0</v>
      </c>
      <c r="BH448" s="54">
        <v>0</v>
      </c>
      <c r="BI448" s="54">
        <v>0</v>
      </c>
      <c r="BJ448" s="54">
        <v>0</v>
      </c>
      <c r="BK448" s="54">
        <v>0</v>
      </c>
      <c r="BL448" s="54">
        <v>0</v>
      </c>
      <c r="BM448" s="54">
        <v>0</v>
      </c>
      <c r="BN448" s="54">
        <v>0</v>
      </c>
      <c r="BO448" s="54">
        <v>0</v>
      </c>
      <c r="BP448" s="54">
        <v>0</v>
      </c>
      <c r="BQ448" s="54">
        <v>0</v>
      </c>
      <c r="BR448" s="55"/>
      <c r="BS448" s="53">
        <v>0</v>
      </c>
      <c r="BT448" s="53">
        <v>0</v>
      </c>
      <c r="BU448" s="53">
        <v>0</v>
      </c>
      <c r="BV448" s="53">
        <v>0</v>
      </c>
      <c r="BW448" s="53">
        <v>0</v>
      </c>
      <c r="BX448" s="53">
        <v>0</v>
      </c>
      <c r="BY448" s="53">
        <v>0</v>
      </c>
      <c r="BZ448" s="53">
        <v>0</v>
      </c>
      <c r="CA448" s="53">
        <v>0</v>
      </c>
      <c r="CB448" s="53">
        <v>0</v>
      </c>
      <c r="CC448" s="55">
        <f t="shared" si="2780"/>
        <v>0</v>
      </c>
      <c r="CD448" s="55">
        <f t="shared" si="2781"/>
        <v>0</v>
      </c>
      <c r="CE448" s="55">
        <f t="shared" si="2782"/>
        <v>0</v>
      </c>
      <c r="CF448" s="55">
        <f t="shared" si="2783"/>
        <v>0</v>
      </c>
      <c r="CG448" s="55">
        <f t="shared" si="2784"/>
        <v>0</v>
      </c>
      <c r="CH448" s="55">
        <f t="shared" si="2785"/>
        <v>0</v>
      </c>
      <c r="CI448" s="55">
        <f t="shared" si="2786"/>
        <v>0</v>
      </c>
      <c r="CJ448" s="55">
        <f t="shared" si="2787"/>
        <v>0</v>
      </c>
      <c r="CK448" s="55">
        <f t="shared" si="2788"/>
        <v>0</v>
      </c>
      <c r="CL448" s="55">
        <f t="shared" si="2789"/>
        <v>0</v>
      </c>
      <c r="CM448" s="55">
        <f t="shared" si="2790"/>
        <v>0</v>
      </c>
      <c r="CN448" s="55">
        <f t="shared" si="2791"/>
        <v>0</v>
      </c>
      <c r="CO448" s="55">
        <f t="shared" si="2792"/>
        <v>0</v>
      </c>
      <c r="CP448" s="55">
        <f t="shared" si="2793"/>
        <v>0</v>
      </c>
      <c r="CQ448" s="55">
        <f t="shared" si="2794"/>
        <v>0</v>
      </c>
      <c r="CR448" s="55">
        <f t="shared" si="2795"/>
        <v>0</v>
      </c>
      <c r="CS448" s="55">
        <f t="shared" si="2796"/>
        <v>0</v>
      </c>
      <c r="CT448" s="55">
        <f t="shared" si="2797"/>
        <v>0</v>
      </c>
      <c r="CU448" s="55">
        <f t="shared" si="2798"/>
        <v>0</v>
      </c>
      <c r="CV448" s="55">
        <f t="shared" si="2799"/>
        <v>0</v>
      </c>
      <c r="CW448" s="55">
        <f t="shared" si="2800"/>
        <v>0</v>
      </c>
      <c r="CX448" s="55">
        <f t="shared" si="2801"/>
        <v>0</v>
      </c>
      <c r="CY448" s="55">
        <f t="shared" si="2802"/>
        <v>0</v>
      </c>
      <c r="CZ448" s="56">
        <f t="shared" si="2803"/>
        <v>0</v>
      </c>
      <c r="DA448" s="55">
        <f t="shared" si="2804"/>
        <v>0</v>
      </c>
      <c r="DB448" s="55">
        <f t="shared" si="2805"/>
        <v>0</v>
      </c>
      <c r="DC448" s="55">
        <f t="shared" si="2806"/>
        <v>0</v>
      </c>
      <c r="DD448" s="55">
        <f t="shared" si="2807"/>
        <v>0</v>
      </c>
      <c r="DE448" s="55">
        <f t="shared" si="2808"/>
        <v>0</v>
      </c>
      <c r="DF448" s="55">
        <f t="shared" si="2827"/>
        <v>0</v>
      </c>
      <c r="DG448" s="55">
        <f t="shared" si="2809"/>
        <v>0</v>
      </c>
      <c r="DH448" s="55">
        <f t="shared" si="2810"/>
        <v>0</v>
      </c>
      <c r="DI448" s="55">
        <f t="shared" si="2811"/>
        <v>0</v>
      </c>
    </row>
    <row r="449" spans="1:113" s="24" customFormat="1" outlineLevel="2">
      <c r="A449" s="1" t="s">
        <v>84</v>
      </c>
      <c r="B449" s="24" t="s">
        <v>451</v>
      </c>
      <c r="C449" s="81">
        <v>-2585</v>
      </c>
      <c r="D449" s="81">
        <f>-2884+290</f>
        <v>-2594</v>
      </c>
      <c r="E449" s="81">
        <f>-2766+159</f>
        <v>-2607</v>
      </c>
      <c r="F449" s="81">
        <v>-2710</v>
      </c>
      <c r="G449" s="81">
        <v>-2841</v>
      </c>
      <c r="H449" s="81">
        <v>-3203</v>
      </c>
      <c r="I449" s="81">
        <v>-3046</v>
      </c>
      <c r="J449" s="81">
        <v>-2869</v>
      </c>
      <c r="K449" s="81">
        <v>-3000</v>
      </c>
      <c r="L449" s="81">
        <v>-2967</v>
      </c>
      <c r="M449" s="81">
        <v>-3027</v>
      </c>
      <c r="N449" s="81">
        <v>-3144</v>
      </c>
      <c r="O449" s="81">
        <v>-3283</v>
      </c>
      <c r="P449" s="81">
        <v>-3378</v>
      </c>
      <c r="Q449" s="81">
        <v>-3643</v>
      </c>
      <c r="R449" s="81">
        <v>-4008</v>
      </c>
      <c r="S449" s="81">
        <v>-4214</v>
      </c>
      <c r="T449" s="81">
        <v>-4268</v>
      </c>
      <c r="U449" s="81">
        <v>-4333</v>
      </c>
      <c r="V449" s="81">
        <v>-4408</v>
      </c>
      <c r="W449" s="81">
        <v>-4483</v>
      </c>
      <c r="X449" s="81">
        <v>-4602</v>
      </c>
      <c r="Y449" s="81">
        <v>-4594</v>
      </c>
      <c r="Z449" s="81">
        <v>-4467</v>
      </c>
      <c r="AA449" s="166">
        <v>-4543</v>
      </c>
      <c r="AB449" s="166">
        <v>-4751</v>
      </c>
      <c r="AC449" s="166">
        <v>-4748</v>
      </c>
      <c r="AD449" s="166">
        <v>-4914</v>
      </c>
      <c r="AE449" s="166">
        <v>-5079</v>
      </c>
      <c r="AF449" s="166">
        <v>-5210</v>
      </c>
      <c r="AG449" s="166">
        <v>-5224</v>
      </c>
      <c r="AH449" s="166">
        <v>-5474</v>
      </c>
      <c r="AI449" s="166">
        <v>-5195</v>
      </c>
      <c r="AJ449" s="166">
        <v>-5456</v>
      </c>
      <c r="AK449" s="166">
        <v>-5539</v>
      </c>
      <c r="AL449" s="166">
        <f>-10824/(-5980-5289)*-5289</f>
        <v>-5080.1434022539706</v>
      </c>
      <c r="AM449" s="166">
        <f>-10824/(-5980-5289)*-5980</f>
        <v>-5743.8565977460285</v>
      </c>
      <c r="AN449" s="166">
        <f>ROUND(-5206/(-10895--454)*-10535,0)</f>
        <v>-5253</v>
      </c>
      <c r="AO449" s="166">
        <f>-10996-AN449</f>
        <v>-5743</v>
      </c>
      <c r="AP449" s="166">
        <v>-5591</v>
      </c>
      <c r="AQ449" s="166">
        <v>-5768</v>
      </c>
      <c r="AR449" s="166">
        <v>-5490</v>
      </c>
      <c r="AS449" s="166">
        <v>-5938</v>
      </c>
      <c r="AT449" s="166">
        <v>-5773</v>
      </c>
      <c r="AU449" s="166">
        <v>-6085</v>
      </c>
      <c r="AV449" s="166">
        <v>-6011</v>
      </c>
      <c r="AW449" s="166">
        <v>-6207</v>
      </c>
      <c r="AX449" s="166">
        <v>-6372</v>
      </c>
      <c r="AY449" s="166">
        <f>-6494-130</f>
        <v>-6624</v>
      </c>
      <c r="AZ449" s="167">
        <v>-6890</v>
      </c>
      <c r="BA449" s="832">
        <f>-[5]CBA!L$186</f>
        <v>-6776.5310712156333</v>
      </c>
      <c r="BB449" s="832">
        <f>-[5]CBA!M$186</f>
        <v>-7089.4686823558104</v>
      </c>
      <c r="BC449" s="832">
        <f>-[5]CBA!N$186</f>
        <v>-7140.6921846890891</v>
      </c>
      <c r="BD449" s="832">
        <f>-[5]CBA!O$186</f>
        <v>-7404.5081420974029</v>
      </c>
      <c r="BE449" s="832">
        <f>-[5]CBA!P$186</f>
        <v>-7372.2547612797234</v>
      </c>
      <c r="BF449" s="832">
        <f>-[5]CBA!Q$186</f>
        <v>-7617.3714694099408</v>
      </c>
      <c r="BG449" s="832">
        <f>-[5]CBA!R$186</f>
        <v>-7587.3702768486964</v>
      </c>
      <c r="BH449" s="832">
        <f>-[5]CBA!S$186</f>
        <v>-7843.9599455534089</v>
      </c>
      <c r="BI449" s="832">
        <f>-[5]CBA!T$186</f>
        <v>-7809.0784714519114</v>
      </c>
      <c r="BJ449" s="82">
        <f t="shared" ref="BJ449:BM449" si="2871">SUM(BJ443:BJ448)</f>
        <v>-8056.8625491886896</v>
      </c>
      <c r="BK449" s="82">
        <f t="shared" si="2871"/>
        <v>-8096.2637560382645</v>
      </c>
      <c r="BL449" s="82">
        <f t="shared" si="2871"/>
        <v>-8319.011560507628</v>
      </c>
      <c r="BM449" s="82">
        <f t="shared" si="2871"/>
        <v>-8396.8399645404315</v>
      </c>
      <c r="BN449" s="82">
        <f t="shared" ref="BN449:BO449" si="2872">SUM(BN443:BN448)</f>
        <v>-8592.875021339376</v>
      </c>
      <c r="BO449" s="82">
        <f t="shared" si="2872"/>
        <v>-8582.7447849099335</v>
      </c>
      <c r="BP449" s="82">
        <f t="shared" ref="BP449:BQ449" si="2873">SUM(BP443:BP448)</f>
        <v>-8802.3317114488455</v>
      </c>
      <c r="BQ449" s="82">
        <f t="shared" si="2873"/>
        <v>-8790.9161403822345</v>
      </c>
      <c r="BR449" s="82"/>
      <c r="BS449" s="81">
        <v>-3149</v>
      </c>
      <c r="BT449" s="81">
        <f>-2954</f>
        <v>-2954</v>
      </c>
      <c r="BU449" s="81">
        <f>-2884</f>
        <v>-2884</v>
      </c>
      <c r="BV449" s="81">
        <f>-2943</f>
        <v>-2943</v>
      </c>
      <c r="BW449" s="81">
        <f>-2863</f>
        <v>-2863</v>
      </c>
      <c r="BX449" s="81">
        <f>-2967+43</f>
        <v>-2924</v>
      </c>
      <c r="BY449" s="81">
        <f>-3085+46</f>
        <v>-3039</v>
      </c>
      <c r="BZ449" s="81">
        <f>-3117+47</f>
        <v>-3070</v>
      </c>
      <c r="CA449" s="81">
        <v>-3407</v>
      </c>
      <c r="CB449" s="81">
        <v>-5170</v>
      </c>
      <c r="CC449" s="82">
        <f t="shared" si="2780"/>
        <v>-5201</v>
      </c>
      <c r="CD449" s="82">
        <f t="shared" si="2781"/>
        <v>-5551</v>
      </c>
      <c r="CE449" s="82">
        <f t="shared" si="2782"/>
        <v>-6249</v>
      </c>
      <c r="CF449" s="82">
        <f t="shared" si="2783"/>
        <v>-5869</v>
      </c>
      <c r="CG449" s="82">
        <f t="shared" si="2784"/>
        <v>-5994</v>
      </c>
      <c r="CH449" s="82">
        <f t="shared" si="2785"/>
        <v>-6427</v>
      </c>
      <c r="CI449" s="82">
        <f t="shared" si="2786"/>
        <v>-7021</v>
      </c>
      <c r="CJ449" s="82">
        <f t="shared" si="2787"/>
        <v>-8222</v>
      </c>
      <c r="CK449" s="82">
        <f t="shared" si="2788"/>
        <v>-8601</v>
      </c>
      <c r="CL449" s="82">
        <f t="shared" si="2789"/>
        <v>-8891</v>
      </c>
      <c r="CM449" s="82">
        <f t="shared" si="2790"/>
        <v>-9196</v>
      </c>
      <c r="CN449" s="82">
        <f t="shared" si="2791"/>
        <v>-9010</v>
      </c>
      <c r="CO449" s="82">
        <f t="shared" si="2792"/>
        <v>-9499</v>
      </c>
      <c r="CP449" s="82">
        <f t="shared" si="2793"/>
        <v>-9993</v>
      </c>
      <c r="CQ449" s="82">
        <f t="shared" si="2794"/>
        <v>-10434</v>
      </c>
      <c r="CR449" s="82">
        <f t="shared" si="2795"/>
        <v>-10669</v>
      </c>
      <c r="CS449" s="82">
        <f t="shared" si="2796"/>
        <v>-10995</v>
      </c>
      <c r="CT449" s="82">
        <f t="shared" si="2797"/>
        <v>-10824</v>
      </c>
      <c r="CU449" s="82">
        <f t="shared" si="2798"/>
        <v>-10996</v>
      </c>
      <c r="CV449" s="82">
        <f t="shared" si="2799"/>
        <v>-11359</v>
      </c>
      <c r="CW449" s="82">
        <f t="shared" si="2800"/>
        <v>-11428</v>
      </c>
      <c r="CX449" s="82">
        <f t="shared" si="2801"/>
        <v>-11858</v>
      </c>
      <c r="CY449" s="82">
        <f t="shared" si="2802"/>
        <v>-12218</v>
      </c>
      <c r="CZ449" s="83">
        <f t="shared" si="2803"/>
        <v>-12996</v>
      </c>
      <c r="DA449" s="82">
        <f t="shared" si="2804"/>
        <v>-13666.531071215633</v>
      </c>
      <c r="DB449" s="82">
        <f t="shared" si="2805"/>
        <v>-14230.160867044899</v>
      </c>
      <c r="DC449" s="82">
        <f t="shared" si="2806"/>
        <v>-14776.762903377126</v>
      </c>
      <c r="DD449" s="82">
        <f t="shared" si="2807"/>
        <v>-15204.741746258638</v>
      </c>
      <c r="DE449" s="82">
        <f t="shared" si="2808"/>
        <v>-15653.03841700532</v>
      </c>
      <c r="DF449" s="82">
        <f t="shared" si="2827"/>
        <v>-16153.126305226953</v>
      </c>
      <c r="DG449" s="82">
        <f t="shared" si="2809"/>
        <v>-16715.85152504806</v>
      </c>
      <c r="DH449" s="82">
        <f t="shared" si="2810"/>
        <v>-17175.619806249309</v>
      </c>
      <c r="DI449" s="82">
        <f t="shared" si="2811"/>
        <v>-17593.247851831082</v>
      </c>
    </row>
    <row r="450" spans="1:113" outlineLevel="2">
      <c r="A450" s="1" t="s">
        <v>85</v>
      </c>
      <c r="B450" s="19" t="s">
        <v>526</v>
      </c>
      <c r="C450" s="55">
        <f t="shared" ref="C450:L450" si="2874">C451-C449</f>
        <v>0</v>
      </c>
      <c r="D450" s="55">
        <f t="shared" si="2874"/>
        <v>0</v>
      </c>
      <c r="E450" s="55">
        <f t="shared" si="2874"/>
        <v>0</v>
      </c>
      <c r="F450" s="55">
        <f t="shared" si="2874"/>
        <v>0</v>
      </c>
      <c r="G450" s="55">
        <f t="shared" si="2874"/>
        <v>0</v>
      </c>
      <c r="H450" s="55">
        <f t="shared" si="2874"/>
        <v>0</v>
      </c>
      <c r="I450" s="55">
        <f t="shared" si="2874"/>
        <v>0</v>
      </c>
      <c r="J450" s="55">
        <f t="shared" si="2874"/>
        <v>-40</v>
      </c>
      <c r="K450" s="55">
        <f t="shared" si="2874"/>
        <v>-35</v>
      </c>
      <c r="L450" s="55">
        <f t="shared" si="2874"/>
        <v>-27</v>
      </c>
      <c r="M450" s="55">
        <f t="shared" ref="M450:X450" si="2875">M451-M449</f>
        <v>8</v>
      </c>
      <c r="N450" s="55">
        <f t="shared" si="2875"/>
        <v>5</v>
      </c>
      <c r="O450" s="55">
        <f t="shared" si="2875"/>
        <v>3</v>
      </c>
      <c r="P450" s="55">
        <f t="shared" si="2875"/>
        <v>-6</v>
      </c>
      <c r="Q450" s="55">
        <f t="shared" si="2875"/>
        <v>-357</v>
      </c>
      <c r="R450" s="55">
        <f t="shared" si="2875"/>
        <v>439</v>
      </c>
      <c r="S450" s="55">
        <f t="shared" si="2875"/>
        <v>-177</v>
      </c>
      <c r="T450" s="55">
        <f t="shared" si="2875"/>
        <v>-56</v>
      </c>
      <c r="U450" s="55">
        <f t="shared" si="2875"/>
        <v>-59</v>
      </c>
      <c r="V450" s="55">
        <f t="shared" si="2875"/>
        <v>-54</v>
      </c>
      <c r="W450" s="55">
        <f t="shared" si="2875"/>
        <v>-115</v>
      </c>
      <c r="X450" s="55">
        <f t="shared" si="2875"/>
        <v>-80</v>
      </c>
      <c r="Y450" s="55">
        <f t="shared" ref="Y450:AK450" si="2876">Y451-Y449</f>
        <v>-55</v>
      </c>
      <c r="Z450" s="55">
        <f t="shared" si="2876"/>
        <v>-37</v>
      </c>
      <c r="AA450" s="55">
        <f t="shared" si="2876"/>
        <v>-38</v>
      </c>
      <c r="AB450" s="55">
        <f t="shared" si="2876"/>
        <v>-37</v>
      </c>
      <c r="AC450" s="55">
        <f t="shared" si="2876"/>
        <v>-37</v>
      </c>
      <c r="AD450" s="55">
        <f t="shared" si="2876"/>
        <v>-37</v>
      </c>
      <c r="AE450" s="55">
        <f t="shared" si="2876"/>
        <v>-38</v>
      </c>
      <c r="AF450" s="55">
        <f t="shared" si="2876"/>
        <v>-37</v>
      </c>
      <c r="AG450" s="55">
        <f t="shared" si="2876"/>
        <v>-2</v>
      </c>
      <c r="AH450" s="55">
        <f t="shared" si="2876"/>
        <v>-2</v>
      </c>
      <c r="AI450" s="55">
        <f t="shared" si="2876"/>
        <v>-2</v>
      </c>
      <c r="AJ450" s="55">
        <f t="shared" si="2876"/>
        <v>-2</v>
      </c>
      <c r="AK450" s="55">
        <f t="shared" si="2876"/>
        <v>-32</v>
      </c>
      <c r="AL450" s="55">
        <f t="shared" ref="AL450:AQ450" si="2877">AL451-AL449</f>
        <v>-236.85659774602937</v>
      </c>
      <c r="AM450" s="55">
        <f t="shared" si="2877"/>
        <v>-312.14340225397154</v>
      </c>
      <c r="AN450" s="55">
        <f t="shared" si="2877"/>
        <v>-181</v>
      </c>
      <c r="AO450" s="55">
        <f t="shared" si="2877"/>
        <v>25</v>
      </c>
      <c r="AP450" s="55">
        <f t="shared" si="2877"/>
        <v>-61</v>
      </c>
      <c r="AQ450" s="55">
        <f t="shared" si="2877"/>
        <v>-65</v>
      </c>
      <c r="AR450" s="55">
        <f t="shared" ref="AR450" si="2878">AR451-AR449</f>
        <v>-106</v>
      </c>
      <c r="AS450" s="55">
        <f t="shared" ref="AS450:AT450" si="2879">AS451-AS449</f>
        <v>-75</v>
      </c>
      <c r="AT450" s="55">
        <f t="shared" si="2879"/>
        <v>-219</v>
      </c>
      <c r="AU450" s="55">
        <f t="shared" ref="AU450:AV450" si="2880">AU451-AU449</f>
        <v>-2</v>
      </c>
      <c r="AV450" s="55">
        <f t="shared" si="2880"/>
        <v>-87</v>
      </c>
      <c r="AW450" s="55">
        <f t="shared" ref="AW450:AY450" si="2881">AW451-AW449</f>
        <v>-32</v>
      </c>
      <c r="AX450" s="55">
        <f t="shared" si="2881"/>
        <v>0</v>
      </c>
      <c r="AY450" s="55">
        <f t="shared" si="2881"/>
        <v>-19</v>
      </c>
      <c r="AZ450" s="56">
        <f t="shared" ref="AZ450" si="2882">AZ451-AZ449</f>
        <v>-26</v>
      </c>
      <c r="BA450" s="54">
        <v>0</v>
      </c>
      <c r="BB450" s="54">
        <f t="shared" ref="BB450:BI450" si="2883">BA450</f>
        <v>0</v>
      </c>
      <c r="BC450" s="54">
        <f t="shared" si="2883"/>
        <v>0</v>
      </c>
      <c r="BD450" s="54">
        <f t="shared" si="2883"/>
        <v>0</v>
      </c>
      <c r="BE450" s="54">
        <f t="shared" si="2883"/>
        <v>0</v>
      </c>
      <c r="BF450" s="54">
        <f t="shared" si="2883"/>
        <v>0</v>
      </c>
      <c r="BG450" s="54">
        <f t="shared" si="2883"/>
        <v>0</v>
      </c>
      <c r="BH450" s="54">
        <f t="shared" si="2883"/>
        <v>0</v>
      </c>
      <c r="BI450" s="54">
        <f t="shared" si="2883"/>
        <v>0</v>
      </c>
      <c r="BJ450" s="54">
        <v>0</v>
      </c>
      <c r="BK450" s="54">
        <v>0</v>
      </c>
      <c r="BL450" s="54">
        <v>0</v>
      </c>
      <c r="BM450" s="54">
        <v>0</v>
      </c>
      <c r="BN450" s="54">
        <v>0</v>
      </c>
      <c r="BO450" s="54">
        <v>0</v>
      </c>
      <c r="BP450" s="54">
        <v>0</v>
      </c>
      <c r="BQ450" s="54">
        <v>0</v>
      </c>
      <c r="BR450" s="55"/>
      <c r="BS450" s="55">
        <f t="shared" ref="BS450:CB450" si="2884">BS451-BS449</f>
        <v>0</v>
      </c>
      <c r="BT450" s="55">
        <f t="shared" si="2884"/>
        <v>0</v>
      </c>
      <c r="BU450" s="55">
        <f t="shared" si="2884"/>
        <v>0</v>
      </c>
      <c r="BV450" s="55">
        <f t="shared" si="2884"/>
        <v>0</v>
      </c>
      <c r="BW450" s="55">
        <f t="shared" si="2884"/>
        <v>0</v>
      </c>
      <c r="BX450" s="55">
        <f t="shared" si="2884"/>
        <v>-43</v>
      </c>
      <c r="BY450" s="55">
        <f t="shared" si="2884"/>
        <v>-46</v>
      </c>
      <c r="BZ450" s="55">
        <f t="shared" si="2884"/>
        <v>-47</v>
      </c>
      <c r="CA450" s="55">
        <f t="shared" si="2884"/>
        <v>-163</v>
      </c>
      <c r="CB450" s="55">
        <f t="shared" si="2884"/>
        <v>-338</v>
      </c>
      <c r="CC450" s="55">
        <f t="shared" ref="CC450:CI450" si="2885">CC451-CC449</f>
        <v>0</v>
      </c>
      <c r="CD450" s="55">
        <f t="shared" si="2885"/>
        <v>0</v>
      </c>
      <c r="CE450" s="55">
        <f t="shared" si="2885"/>
        <v>0</v>
      </c>
      <c r="CF450" s="55">
        <f t="shared" si="2885"/>
        <v>-75</v>
      </c>
      <c r="CG450" s="55">
        <f t="shared" si="2885"/>
        <v>-19</v>
      </c>
      <c r="CH450" s="55">
        <f t="shared" si="2885"/>
        <v>8</v>
      </c>
      <c r="CI450" s="55">
        <f t="shared" si="2885"/>
        <v>-363</v>
      </c>
      <c r="CJ450" s="55">
        <f t="shared" si="2787"/>
        <v>262</v>
      </c>
      <c r="CK450" s="55">
        <f t="shared" si="2788"/>
        <v>-115</v>
      </c>
      <c r="CL450" s="55">
        <f t="shared" si="2789"/>
        <v>-169</v>
      </c>
      <c r="CM450" s="55">
        <f t="shared" si="2790"/>
        <v>-135</v>
      </c>
      <c r="CN450" s="55">
        <f t="shared" si="2791"/>
        <v>-75</v>
      </c>
      <c r="CO450" s="55">
        <f t="shared" si="2792"/>
        <v>-74</v>
      </c>
      <c r="CP450" s="55">
        <f t="shared" si="2793"/>
        <v>-75</v>
      </c>
      <c r="CQ450" s="55">
        <f t="shared" si="2794"/>
        <v>-39</v>
      </c>
      <c r="CR450" s="55">
        <f t="shared" si="2795"/>
        <v>-4</v>
      </c>
      <c r="CS450" s="55">
        <f t="shared" si="2796"/>
        <v>-34</v>
      </c>
      <c r="CT450" s="55">
        <f t="shared" si="2797"/>
        <v>-549.00000000000091</v>
      </c>
      <c r="CU450" s="55">
        <f t="shared" si="2798"/>
        <v>-156</v>
      </c>
      <c r="CV450" s="55">
        <f t="shared" si="2799"/>
        <v>-126</v>
      </c>
      <c r="CW450" s="55">
        <f t="shared" si="2800"/>
        <v>-181</v>
      </c>
      <c r="CX450" s="55">
        <f t="shared" si="2801"/>
        <v>-221</v>
      </c>
      <c r="CY450" s="55">
        <f t="shared" si="2802"/>
        <v>-119</v>
      </c>
      <c r="CZ450" s="56">
        <f t="shared" si="2803"/>
        <v>-19</v>
      </c>
      <c r="DA450" s="55">
        <f t="shared" si="2804"/>
        <v>-26</v>
      </c>
      <c r="DB450" s="55">
        <f t="shared" si="2805"/>
        <v>0</v>
      </c>
      <c r="DC450" s="55">
        <f t="shared" si="2806"/>
        <v>0</v>
      </c>
      <c r="DD450" s="55">
        <f t="shared" si="2807"/>
        <v>0</v>
      </c>
      <c r="DE450" s="55">
        <f t="shared" si="2808"/>
        <v>0</v>
      </c>
      <c r="DF450" s="55">
        <f t="shared" si="2827"/>
        <v>0</v>
      </c>
      <c r="DG450" s="55">
        <f t="shared" si="2809"/>
        <v>0</v>
      </c>
      <c r="DH450" s="55">
        <f t="shared" si="2810"/>
        <v>0</v>
      </c>
      <c r="DI450" s="55">
        <f t="shared" si="2811"/>
        <v>0</v>
      </c>
    </row>
    <row r="451" spans="1:113" s="24" customFormat="1" outlineLevel="2">
      <c r="A451" s="1" t="s">
        <v>86</v>
      </c>
      <c r="B451" s="24" t="s">
        <v>379</v>
      </c>
      <c r="C451" s="81">
        <v>-2585</v>
      </c>
      <c r="D451" s="81">
        <f>-2884+290</f>
        <v>-2594</v>
      </c>
      <c r="E451" s="81">
        <f>-2766+159</f>
        <v>-2607</v>
      </c>
      <c r="F451" s="81">
        <v>-2710</v>
      </c>
      <c r="G451" s="81">
        <v>-2841</v>
      </c>
      <c r="H451" s="81">
        <v>-3203</v>
      </c>
      <c r="I451" s="81">
        <v>-3046</v>
      </c>
      <c r="J451" s="81">
        <f>-2869-40</f>
        <v>-2909</v>
      </c>
      <c r="K451" s="81">
        <f>-3000-35</f>
        <v>-3035</v>
      </c>
      <c r="L451" s="81">
        <f>-(2967+27)</f>
        <v>-2994</v>
      </c>
      <c r="M451" s="81">
        <f>-(3027-8)</f>
        <v>-3019</v>
      </c>
      <c r="N451" s="81">
        <f>-3144+5</f>
        <v>-3139</v>
      </c>
      <c r="O451" s="81">
        <f>-3283+3</f>
        <v>-3280</v>
      </c>
      <c r="P451" s="81">
        <v>-3384</v>
      </c>
      <c r="Q451" s="81">
        <v>-4000</v>
      </c>
      <c r="R451" s="81">
        <v>-3569</v>
      </c>
      <c r="S451" s="81">
        <v>-4391</v>
      </c>
      <c r="T451" s="81">
        <v>-4324</v>
      </c>
      <c r="U451" s="81">
        <v>-4392</v>
      </c>
      <c r="V451" s="81">
        <v>-4462</v>
      </c>
      <c r="W451" s="81">
        <v>-4598</v>
      </c>
      <c r="X451" s="81">
        <v>-4682</v>
      </c>
      <c r="Y451" s="81">
        <v>-4649</v>
      </c>
      <c r="Z451" s="81">
        <v>-4504</v>
      </c>
      <c r="AA451" s="166">
        <v>-4581</v>
      </c>
      <c r="AB451" s="166">
        <v>-4788</v>
      </c>
      <c r="AC451" s="166">
        <v>-4785</v>
      </c>
      <c r="AD451" s="166">
        <v>-4951</v>
      </c>
      <c r="AE451" s="166">
        <v>-5117</v>
      </c>
      <c r="AF451" s="166">
        <v>-5247</v>
      </c>
      <c r="AG451" s="166">
        <v>-5226</v>
      </c>
      <c r="AH451" s="166">
        <v>-5476</v>
      </c>
      <c r="AI451" s="166">
        <v>-5197</v>
      </c>
      <c r="AJ451" s="166">
        <v>-5458</v>
      </c>
      <c r="AK451" s="166">
        <v>-5571</v>
      </c>
      <c r="AL451" s="166">
        <v>-5317</v>
      </c>
      <c r="AM451" s="166">
        <v>-6056</v>
      </c>
      <c r="AN451" s="166">
        <v>-5434</v>
      </c>
      <c r="AO451" s="166">
        <v>-5718</v>
      </c>
      <c r="AP451" s="166">
        <v>-5652</v>
      </c>
      <c r="AQ451" s="166">
        <v>-5833</v>
      </c>
      <c r="AR451" s="166">
        <v>-5596</v>
      </c>
      <c r="AS451" s="166">
        <v>-6013</v>
      </c>
      <c r="AT451" s="166">
        <v>-5992</v>
      </c>
      <c r="AU451" s="166">
        <v>-6087</v>
      </c>
      <c r="AV451" s="166">
        <v>-6098</v>
      </c>
      <c r="AW451" s="166">
        <v>-6239</v>
      </c>
      <c r="AX451" s="166">
        <v>-6372</v>
      </c>
      <c r="AY451" s="166">
        <f>-6643</f>
        <v>-6643</v>
      </c>
      <c r="AZ451" s="167">
        <v>-6916</v>
      </c>
      <c r="BA451" s="82">
        <f t="shared" ref="BA451:BI451" si="2886">BA449+BA450</f>
        <v>-6776.5310712156333</v>
      </c>
      <c r="BB451" s="82">
        <f t="shared" si="2886"/>
        <v>-7089.4686823558104</v>
      </c>
      <c r="BC451" s="82">
        <f t="shared" si="2886"/>
        <v>-7140.6921846890891</v>
      </c>
      <c r="BD451" s="82">
        <f t="shared" si="2886"/>
        <v>-7404.5081420974029</v>
      </c>
      <c r="BE451" s="82">
        <f t="shared" si="2886"/>
        <v>-7372.2547612797234</v>
      </c>
      <c r="BF451" s="82">
        <f t="shared" si="2886"/>
        <v>-7617.3714694099408</v>
      </c>
      <c r="BG451" s="82">
        <f t="shared" si="2886"/>
        <v>-7587.3702768486964</v>
      </c>
      <c r="BH451" s="82">
        <f t="shared" si="2886"/>
        <v>-7843.9599455534089</v>
      </c>
      <c r="BI451" s="82">
        <f t="shared" si="2886"/>
        <v>-7809.0784714519114</v>
      </c>
      <c r="BJ451" s="82">
        <f t="shared" ref="BJ451:BM451" si="2887">BJ449+BJ450</f>
        <v>-8056.8625491886896</v>
      </c>
      <c r="BK451" s="82">
        <f t="shared" si="2887"/>
        <v>-8096.2637560382645</v>
      </c>
      <c r="BL451" s="82">
        <f t="shared" si="2887"/>
        <v>-8319.011560507628</v>
      </c>
      <c r="BM451" s="82">
        <f t="shared" si="2887"/>
        <v>-8396.8399645404315</v>
      </c>
      <c r="BN451" s="82">
        <f t="shared" ref="BN451:BO451" si="2888">BN449+BN450</f>
        <v>-8592.875021339376</v>
      </c>
      <c r="BO451" s="82">
        <f t="shared" si="2888"/>
        <v>-8582.7447849099335</v>
      </c>
      <c r="BP451" s="82">
        <f t="shared" ref="BP451:BQ451" si="2889">BP449+BP450</f>
        <v>-8802.3317114488455</v>
      </c>
      <c r="BQ451" s="82">
        <f t="shared" si="2889"/>
        <v>-8790.9161403822345</v>
      </c>
      <c r="BR451" s="82"/>
      <c r="BS451" s="81">
        <v>-3149</v>
      </c>
      <c r="BT451" s="81">
        <v>-2954</v>
      </c>
      <c r="BU451" s="81">
        <v>-2884</v>
      </c>
      <c r="BV451" s="81">
        <v>-2943</v>
      </c>
      <c r="BW451" s="81">
        <v>-2863</v>
      </c>
      <c r="BX451" s="81">
        <v>-2967</v>
      </c>
      <c r="BY451" s="81">
        <v>-3085</v>
      </c>
      <c r="BZ451" s="81">
        <f>-3117</f>
        <v>-3117</v>
      </c>
      <c r="CA451" s="81">
        <f>CA449-57-106</f>
        <v>-3570</v>
      </c>
      <c r="CB451" s="81">
        <f>-5170-338</f>
        <v>-5508</v>
      </c>
      <c r="CC451" s="82">
        <f>SUM(D451:E451)</f>
        <v>-5201</v>
      </c>
      <c r="CD451" s="82">
        <f>SUM(F451:G451)</f>
        <v>-5551</v>
      </c>
      <c r="CE451" s="82">
        <f>SUM(H451:I451)</f>
        <v>-6249</v>
      </c>
      <c r="CF451" s="82">
        <f>SUM(J451:K451)</f>
        <v>-5944</v>
      </c>
      <c r="CG451" s="82">
        <f>SUM(L451:M451)</f>
        <v>-6013</v>
      </c>
      <c r="CH451" s="82">
        <f>SUM(N451:O451)</f>
        <v>-6419</v>
      </c>
      <c r="CI451" s="82">
        <f>SUM(P451:Q451)</f>
        <v>-7384</v>
      </c>
      <c r="CJ451" s="82">
        <f t="shared" ref="CJ451:CP451" si="2890">CJ449+CJ450</f>
        <v>-7960</v>
      </c>
      <c r="CK451" s="82">
        <f t="shared" si="2890"/>
        <v>-8716</v>
      </c>
      <c r="CL451" s="82">
        <f t="shared" si="2890"/>
        <v>-9060</v>
      </c>
      <c r="CM451" s="82">
        <f t="shared" si="2890"/>
        <v>-9331</v>
      </c>
      <c r="CN451" s="82">
        <f t="shared" si="2890"/>
        <v>-9085</v>
      </c>
      <c r="CO451" s="82">
        <f t="shared" si="2890"/>
        <v>-9573</v>
      </c>
      <c r="CP451" s="82">
        <f t="shared" si="2890"/>
        <v>-10068</v>
      </c>
      <c r="CQ451" s="82">
        <f t="shared" ref="CQ451:CX451" si="2891">CQ449+CQ450</f>
        <v>-10473</v>
      </c>
      <c r="CR451" s="82">
        <f t="shared" si="2891"/>
        <v>-10673</v>
      </c>
      <c r="CS451" s="82">
        <f t="shared" si="2891"/>
        <v>-11029</v>
      </c>
      <c r="CT451" s="82">
        <f t="shared" si="2891"/>
        <v>-11373</v>
      </c>
      <c r="CU451" s="82">
        <f t="shared" si="2891"/>
        <v>-11152</v>
      </c>
      <c r="CV451" s="82">
        <f t="shared" si="2891"/>
        <v>-11485</v>
      </c>
      <c r="CW451" s="82">
        <f t="shared" si="2891"/>
        <v>-11609</v>
      </c>
      <c r="CX451" s="82">
        <f t="shared" si="2891"/>
        <v>-12079</v>
      </c>
      <c r="CY451" s="82">
        <f t="shared" ref="CY451:DD451" si="2892">CY449+CY450</f>
        <v>-12337</v>
      </c>
      <c r="CZ451" s="83">
        <f t="shared" si="2892"/>
        <v>-13015</v>
      </c>
      <c r="DA451" s="82">
        <f t="shared" si="2892"/>
        <v>-13692.531071215633</v>
      </c>
      <c r="DB451" s="82">
        <f t="shared" si="2892"/>
        <v>-14230.160867044899</v>
      </c>
      <c r="DC451" s="82">
        <f t="shared" si="2892"/>
        <v>-14776.762903377126</v>
      </c>
      <c r="DD451" s="82">
        <f t="shared" si="2892"/>
        <v>-15204.741746258638</v>
      </c>
      <c r="DE451" s="82">
        <f>DE449+DE450</f>
        <v>-15653.03841700532</v>
      </c>
      <c r="DF451" s="82">
        <f>DF449+DF450</f>
        <v>-16153.126305226953</v>
      </c>
      <c r="DG451" s="82">
        <f>DG449+DG450</f>
        <v>-16715.85152504806</v>
      </c>
      <c r="DH451" s="82">
        <f>DH449+DH450</f>
        <v>-17175.619806249309</v>
      </c>
      <c r="DI451" s="82">
        <f>DI449+DI450</f>
        <v>-17593.247851831082</v>
      </c>
    </row>
    <row r="452" spans="1:113" outlineLevel="1">
      <c r="A452" s="96"/>
      <c r="C452" s="55"/>
      <c r="D452" s="55"/>
      <c r="E452" s="55"/>
      <c r="F452" s="55"/>
      <c r="G452" s="55"/>
      <c r="H452" s="55"/>
      <c r="I452" s="55"/>
      <c r="J452" s="55"/>
      <c r="K452" s="55"/>
      <c r="L452" s="55"/>
      <c r="M452" s="55"/>
      <c r="N452" s="55"/>
      <c r="O452" s="55"/>
      <c r="P452" s="55"/>
      <c r="Q452" s="55"/>
      <c r="R452" s="55"/>
      <c r="S452" s="55"/>
      <c r="T452" s="55"/>
      <c r="U452" s="55"/>
      <c r="V452" s="55"/>
      <c r="W452" s="55"/>
      <c r="X452" s="55"/>
      <c r="Y452" s="45"/>
      <c r="Z452" s="55"/>
      <c r="AA452" s="55"/>
      <c r="AB452" s="45"/>
      <c r="AC452" s="45"/>
      <c r="AD452" s="55"/>
      <c r="AE452" s="55"/>
      <c r="AF452" s="55"/>
      <c r="AG452" s="55"/>
      <c r="AH452" s="55"/>
      <c r="AI452" s="45"/>
      <c r="AJ452" s="55"/>
      <c r="AK452" s="166"/>
      <c r="AL452" s="42"/>
      <c r="AM452" s="42"/>
      <c r="AN452" s="55"/>
      <c r="AO452" s="166"/>
      <c r="AP452" s="82"/>
      <c r="AQ452" s="82"/>
      <c r="AR452" s="82"/>
      <c r="AS452" s="82"/>
      <c r="AT452" s="42"/>
      <c r="AU452" s="82"/>
      <c r="AV452" s="82"/>
      <c r="AW452" s="813"/>
      <c r="AX452" s="815"/>
      <c r="AY452" s="813"/>
      <c r="AZ452" s="814"/>
      <c r="BA452" s="813"/>
      <c r="BB452" s="813"/>
      <c r="BC452" s="813"/>
      <c r="BD452" s="813"/>
      <c r="BE452" s="813"/>
      <c r="BF452" s="813"/>
      <c r="BG452" s="813"/>
      <c r="BH452" s="813"/>
      <c r="BI452" s="813"/>
      <c r="BJ452" s="55"/>
      <c r="BK452" s="55"/>
      <c r="BL452" s="55"/>
      <c r="BM452" s="55"/>
      <c r="BN452" s="55"/>
      <c r="BO452" s="55"/>
      <c r="BP452" s="55"/>
      <c r="BQ452" s="55"/>
      <c r="BR452" s="55"/>
      <c r="BS452" s="55"/>
      <c r="BT452" s="55"/>
      <c r="BU452" s="55"/>
      <c r="BV452" s="55"/>
      <c r="BW452" s="55"/>
      <c r="BX452" s="55"/>
      <c r="BY452" s="55"/>
      <c r="BZ452" s="55"/>
      <c r="CA452" s="55"/>
      <c r="CB452" s="55"/>
      <c r="CC452" s="55"/>
      <c r="CD452" s="55"/>
      <c r="CE452" s="55"/>
      <c r="CF452" s="55"/>
      <c r="CG452" s="55"/>
      <c r="CH452" s="55"/>
      <c r="CI452" s="55"/>
      <c r="CJ452" s="55"/>
      <c r="CK452" s="55"/>
      <c r="CL452" s="55"/>
      <c r="CM452" s="55"/>
      <c r="CN452" s="55"/>
      <c r="CO452" s="45"/>
      <c r="CP452" s="45"/>
      <c r="CQ452" s="45"/>
      <c r="CR452" s="45"/>
      <c r="CS452" s="45"/>
      <c r="CT452" s="45"/>
      <c r="CU452" s="45"/>
      <c r="CX452" s="45"/>
      <c r="CZ452" s="22"/>
      <c r="DA452" s="42"/>
      <c r="DB452" s="42"/>
    </row>
    <row r="453" spans="1:113">
      <c r="C453" s="55"/>
      <c r="D453" s="55"/>
      <c r="E453" s="55"/>
      <c r="F453" s="55"/>
      <c r="G453" s="55"/>
      <c r="H453" s="55"/>
      <c r="I453" s="55"/>
      <c r="J453" s="55"/>
      <c r="K453" s="55"/>
      <c r="L453" s="55"/>
      <c r="M453" s="55"/>
      <c r="N453" s="55"/>
      <c r="O453" s="55"/>
      <c r="P453" s="55"/>
      <c r="Q453" s="55"/>
      <c r="R453" s="55"/>
      <c r="S453" s="55"/>
      <c r="T453" s="55"/>
      <c r="U453" s="55"/>
      <c r="V453" s="55"/>
      <c r="W453" s="55"/>
      <c r="X453" s="55"/>
      <c r="Y453" s="55"/>
      <c r="Z453" s="55"/>
      <c r="AA453" s="55"/>
      <c r="AB453" s="55"/>
      <c r="AC453" s="55"/>
      <c r="AD453" s="55"/>
      <c r="AE453" s="55"/>
      <c r="AF453" s="55"/>
      <c r="AG453" s="55"/>
      <c r="AH453" s="55"/>
      <c r="AI453" s="55"/>
      <c r="AJ453" s="55"/>
      <c r="AK453" s="55"/>
      <c r="AL453" s="55"/>
      <c r="AM453" s="55"/>
      <c r="AN453" s="55"/>
      <c r="AO453" s="55"/>
      <c r="AP453" s="55"/>
      <c r="AQ453" s="55"/>
      <c r="AR453" s="55"/>
      <c r="AS453" s="55"/>
      <c r="AT453" s="55"/>
      <c r="AU453" s="55"/>
      <c r="AV453" s="55"/>
      <c r="AW453" s="55"/>
      <c r="AX453" s="55"/>
      <c r="AY453" s="830"/>
      <c r="AZ453" s="849">
        <f>-AZ451-[5]CBA!K$186</f>
        <v>26</v>
      </c>
      <c r="BA453" s="830">
        <f>-BA451-[5]CBA!L$186</f>
        <v>0</v>
      </c>
      <c r="BB453" s="830">
        <f>-BB451-[5]CBA!M$186</f>
        <v>0</v>
      </c>
      <c r="BC453" s="830">
        <f>-BC451-[5]CBA!N$186</f>
        <v>0</v>
      </c>
      <c r="BD453" s="830">
        <f>-BD451-[5]CBA!O$186</f>
        <v>0</v>
      </c>
      <c r="BE453" s="830">
        <f>-BE451-[5]CBA!P$186</f>
        <v>0</v>
      </c>
      <c r="BF453" s="830">
        <f>-BF451-[5]CBA!Q$186</f>
        <v>0</v>
      </c>
      <c r="BG453" s="830">
        <f>-BG451-[5]CBA!R$186</f>
        <v>0</v>
      </c>
      <c r="BH453" s="830">
        <f>-BH451-[5]CBA!S$186</f>
        <v>0</v>
      </c>
      <c r="BI453" s="830">
        <f>-BI451-[5]CBA!T$186</f>
        <v>0</v>
      </c>
      <c r="BJ453" s="55"/>
      <c r="BK453" s="55"/>
      <c r="BL453" s="55"/>
      <c r="BM453" s="55"/>
      <c r="BN453" s="55"/>
      <c r="BO453" s="55"/>
      <c r="BP453" s="55"/>
      <c r="BQ453" s="55"/>
      <c r="BR453" s="55"/>
      <c r="BS453" s="55"/>
      <c r="BT453" s="55"/>
      <c r="BU453" s="55"/>
      <c r="BV453" s="55"/>
      <c r="BW453" s="55"/>
      <c r="BX453" s="55"/>
      <c r="BY453" s="55"/>
      <c r="BZ453" s="55"/>
      <c r="CA453" s="55"/>
      <c r="CB453" s="55"/>
      <c r="CC453" s="55"/>
      <c r="CD453" s="55"/>
      <c r="CE453" s="55"/>
      <c r="CF453" s="55"/>
      <c r="CG453" s="55"/>
      <c r="CH453" s="55"/>
      <c r="CI453" s="55"/>
      <c r="CJ453" s="55"/>
      <c r="CK453" s="55"/>
      <c r="CL453" s="55"/>
      <c r="CM453" s="55"/>
      <c r="CN453" s="55"/>
      <c r="CO453" s="55"/>
      <c r="CP453" s="45"/>
      <c r="CQ453" s="55"/>
      <c r="CR453" s="55"/>
      <c r="CS453" s="55"/>
      <c r="CT453" s="50"/>
      <c r="CU453" s="50"/>
      <c r="CV453" s="50"/>
      <c r="CW453" s="50"/>
      <c r="CX453" s="50"/>
      <c r="CY453" s="50"/>
      <c r="CZ453" s="49"/>
      <c r="DA453" s="48"/>
      <c r="DB453" s="48"/>
    </row>
    <row r="454" spans="1:113" s="36" customFormat="1" collapsed="1">
      <c r="A454" s="1" t="s">
        <v>100</v>
      </c>
      <c r="B454" s="2" t="s">
        <v>380</v>
      </c>
      <c r="C454" s="79">
        <f t="shared" ref="C454:L454" si="2893">C419+C443</f>
        <v>1858</v>
      </c>
      <c r="D454" s="79">
        <f t="shared" si="2893"/>
        <v>1952</v>
      </c>
      <c r="E454" s="79">
        <f t="shared" si="2893"/>
        <v>1915</v>
      </c>
      <c r="F454" s="79">
        <f t="shared" si="2893"/>
        <v>1775</v>
      </c>
      <c r="G454" s="79">
        <f t="shared" si="2893"/>
        <v>2073</v>
      </c>
      <c r="H454" s="79">
        <f t="shared" si="2893"/>
        <v>2008</v>
      </c>
      <c r="I454" s="79">
        <f t="shared" si="2893"/>
        <v>2234</v>
      </c>
      <c r="J454" s="79">
        <f t="shared" si="2893"/>
        <v>2586</v>
      </c>
      <c r="K454" s="79">
        <f t="shared" si="2893"/>
        <v>2647</v>
      </c>
      <c r="L454" s="79">
        <f t="shared" si="2893"/>
        <v>3043</v>
      </c>
      <c r="M454" s="79">
        <f t="shared" ref="M454:AG454" si="2894">M419+M443</f>
        <v>3044</v>
      </c>
      <c r="N454" s="79">
        <f t="shared" si="2894"/>
        <v>3413</v>
      </c>
      <c r="O454" s="79">
        <f t="shared" si="2894"/>
        <v>3357</v>
      </c>
      <c r="P454" s="79">
        <f t="shared" si="2894"/>
        <v>3638</v>
      </c>
      <c r="Q454" s="79">
        <f t="shared" si="2894"/>
        <v>3682</v>
      </c>
      <c r="R454" s="79">
        <f t="shared" si="2894"/>
        <v>4473</v>
      </c>
      <c r="S454" s="79">
        <f t="shared" si="2894"/>
        <v>4771</v>
      </c>
      <c r="T454" s="79">
        <f t="shared" si="2894"/>
        <v>5424</v>
      </c>
      <c r="U454" s="79">
        <f t="shared" si="2894"/>
        <v>5034</v>
      </c>
      <c r="V454" s="79">
        <f t="shared" si="2894"/>
        <v>5331</v>
      </c>
      <c r="W454" s="79">
        <f t="shared" si="2894"/>
        <v>5437</v>
      </c>
      <c r="X454" s="79">
        <f t="shared" si="2894"/>
        <v>5503</v>
      </c>
      <c r="Y454" s="79">
        <f>Y419+Y443</f>
        <v>5451</v>
      </c>
      <c r="Z454" s="79">
        <f>Z419+Z443</f>
        <v>5822</v>
      </c>
      <c r="AA454" s="79">
        <f t="shared" si="2894"/>
        <v>5989</v>
      </c>
      <c r="AB454" s="79">
        <f t="shared" si="2894"/>
        <v>6397</v>
      </c>
      <c r="AC454" s="79">
        <f t="shared" si="2894"/>
        <v>6505</v>
      </c>
      <c r="AD454" s="79">
        <f t="shared" si="2894"/>
        <v>6813</v>
      </c>
      <c r="AE454" s="79">
        <f>AE419+AE443</f>
        <v>6772</v>
      </c>
      <c r="AF454" s="79">
        <f>AF419+AF443</f>
        <v>7210</v>
      </c>
      <c r="AG454" s="79">
        <f t="shared" si="2894"/>
        <v>7103</v>
      </c>
      <c r="AH454" s="79">
        <f t="shared" ref="AH454:AM454" si="2895">AH419+AH443</f>
        <v>7361</v>
      </c>
      <c r="AI454" s="79">
        <f t="shared" si="2895"/>
        <v>7258</v>
      </c>
      <c r="AJ454" s="79">
        <f t="shared" si="2895"/>
        <v>7193</v>
      </c>
      <c r="AK454" s="79">
        <f t="shared" si="2895"/>
        <v>6734</v>
      </c>
      <c r="AL454" s="79">
        <f t="shared" si="2895"/>
        <v>6895.7162288178552</v>
      </c>
      <c r="AM454" s="79">
        <f t="shared" si="2895"/>
        <v>5859.2837711821476</v>
      </c>
      <c r="AN454" s="79">
        <f t="shared" ref="AN454:AO454" si="2896">AN419+AN443</f>
        <v>6770</v>
      </c>
      <c r="AO454" s="79">
        <f t="shared" si="2896"/>
        <v>5995</v>
      </c>
      <c r="AP454" s="79">
        <f t="shared" ref="AP454:AQ454" si="2897">AP419+AP443</f>
        <v>6370</v>
      </c>
      <c r="AQ454" s="79">
        <f t="shared" si="2897"/>
        <v>6427</v>
      </c>
      <c r="AR454" s="79">
        <f t="shared" ref="AR454" si="2898">AR419+AR443</f>
        <v>6617</v>
      </c>
      <c r="AS454" s="79">
        <f t="shared" ref="AS454:AT454" si="2899">AS419+AS443</f>
        <v>6644</v>
      </c>
      <c r="AT454" s="79">
        <f t="shared" si="2899"/>
        <v>7850</v>
      </c>
      <c r="AU454" s="79">
        <f t="shared" ref="AU454:AV454" si="2900">AU419+AU443</f>
        <v>7427</v>
      </c>
      <c r="AV454" s="79">
        <f t="shared" si="2900"/>
        <v>7638</v>
      </c>
      <c r="AW454" s="79">
        <f t="shared" ref="AW454:AX454" si="2901">AW419+AW443</f>
        <v>7318</v>
      </c>
      <c r="AX454" s="79">
        <f t="shared" si="2901"/>
        <v>7725</v>
      </c>
      <c r="AY454" s="79">
        <f t="shared" ref="AY454:BE454" si="2902">AY419+AY443</f>
        <v>7743.9999999999982</v>
      </c>
      <c r="AZ454" s="80">
        <f t="shared" si="2902"/>
        <v>8131</v>
      </c>
      <c r="BA454" s="79">
        <f t="shared" si="2902"/>
        <v>8401.3777030610745</v>
      </c>
      <c r="BB454" s="79">
        <f t="shared" si="2902"/>
        <v>8662.6725525248003</v>
      </c>
      <c r="BC454" s="79">
        <f t="shared" si="2902"/>
        <v>8679.4648954495606</v>
      </c>
      <c r="BD454" s="79">
        <f t="shared" si="2902"/>
        <v>8822.1278419913615</v>
      </c>
      <c r="BE454" s="79">
        <f t="shared" si="2902"/>
        <v>9071.494799422424</v>
      </c>
      <c r="BF454" s="79">
        <f t="shared" ref="BF454:BM454" si="2903">BF419+BF443</f>
        <v>9307.4208675063383</v>
      </c>
      <c r="BG454" s="79">
        <f t="shared" si="2903"/>
        <v>9383.3484566206116</v>
      </c>
      <c r="BH454" s="79">
        <f t="shared" si="2903"/>
        <v>9567.4941719473609</v>
      </c>
      <c r="BI454" s="79">
        <f t="shared" si="2903"/>
        <v>9589.0273152149603</v>
      </c>
      <c r="BJ454" s="79">
        <f t="shared" si="2903"/>
        <v>9837.6156987059185</v>
      </c>
      <c r="BK454" s="79">
        <f t="shared" si="2903"/>
        <v>9771.3272262096325</v>
      </c>
      <c r="BL454" s="79">
        <f t="shared" si="2903"/>
        <v>10035.092299185588</v>
      </c>
      <c r="BM454" s="79">
        <f t="shared" si="2903"/>
        <v>10031.725589012643</v>
      </c>
      <c r="BN454" s="79">
        <f t="shared" ref="BN454:BO454" si="2904">BN419+BN443</f>
        <v>10336.180755673224</v>
      </c>
      <c r="BO454" s="79">
        <f t="shared" si="2904"/>
        <v>10318.225041088532</v>
      </c>
      <c r="BP454" s="79">
        <f t="shared" ref="BP454:BQ454" si="2905">BP419+BP443</f>
        <v>10665.257982185372</v>
      </c>
      <c r="BQ454" s="79">
        <f t="shared" si="2905"/>
        <v>10647.30600179051</v>
      </c>
      <c r="BR454" s="79"/>
      <c r="BS454" s="79">
        <f t="shared" ref="BS454:CB454" si="2906">BS419+BS443</f>
        <v>1504</v>
      </c>
      <c r="BT454" s="79">
        <f t="shared" si="2906"/>
        <v>1413</v>
      </c>
      <c r="BU454" s="79">
        <f t="shared" si="2906"/>
        <v>1375</v>
      </c>
      <c r="BV454" s="79">
        <f t="shared" si="2906"/>
        <v>1705</v>
      </c>
      <c r="BW454" s="79">
        <f t="shared" si="2906"/>
        <v>1889</v>
      </c>
      <c r="BX454" s="79">
        <f t="shared" si="2906"/>
        <v>1957</v>
      </c>
      <c r="BY454" s="79">
        <f t="shared" si="2906"/>
        <v>2191</v>
      </c>
      <c r="BZ454" s="79">
        <f t="shared" si="2906"/>
        <v>2454</v>
      </c>
      <c r="CA454" s="79">
        <f t="shared" si="2906"/>
        <v>2732</v>
      </c>
      <c r="CB454" s="79">
        <f t="shared" si="2906"/>
        <v>3654</v>
      </c>
      <c r="CC454" s="79">
        <f t="shared" ref="CC454:CR454" si="2907">CC419+CC443</f>
        <v>3867</v>
      </c>
      <c r="CD454" s="79">
        <f t="shared" si="2907"/>
        <v>3848</v>
      </c>
      <c r="CE454" s="79">
        <f t="shared" si="2907"/>
        <v>4242</v>
      </c>
      <c r="CF454" s="79">
        <f t="shared" si="2907"/>
        <v>5233</v>
      </c>
      <c r="CG454" s="79">
        <f t="shared" si="2907"/>
        <v>6087</v>
      </c>
      <c r="CH454" s="79">
        <f t="shared" si="2907"/>
        <v>6770</v>
      </c>
      <c r="CI454" s="79">
        <f t="shared" si="2907"/>
        <v>7320</v>
      </c>
      <c r="CJ454" s="79">
        <f t="shared" si="2907"/>
        <v>9244</v>
      </c>
      <c r="CK454" s="79">
        <f t="shared" si="2907"/>
        <v>10458</v>
      </c>
      <c r="CL454" s="79">
        <f t="shared" si="2907"/>
        <v>10768</v>
      </c>
      <c r="CM454" s="79">
        <f t="shared" si="2907"/>
        <v>10954</v>
      </c>
      <c r="CN454" s="79">
        <f t="shared" si="2907"/>
        <v>11811</v>
      </c>
      <c r="CO454" s="79">
        <f t="shared" si="2907"/>
        <v>12902</v>
      </c>
      <c r="CP454" s="79">
        <f t="shared" si="2907"/>
        <v>13585</v>
      </c>
      <c r="CQ454" s="79">
        <f t="shared" si="2907"/>
        <v>14313</v>
      </c>
      <c r="CR454" s="79">
        <f t="shared" si="2907"/>
        <v>14619</v>
      </c>
      <c r="CS454" s="79">
        <f t="shared" ref="CS454:DC454" si="2908">CS419+CS443</f>
        <v>13927</v>
      </c>
      <c r="CT454" s="79">
        <f t="shared" si="2908"/>
        <v>12755</v>
      </c>
      <c r="CU454" s="79">
        <f t="shared" si="2908"/>
        <v>12765</v>
      </c>
      <c r="CV454" s="79">
        <f t="shared" si="2908"/>
        <v>12797</v>
      </c>
      <c r="CW454" s="79">
        <f t="shared" si="2908"/>
        <v>13261</v>
      </c>
      <c r="CX454" s="79">
        <f t="shared" si="2908"/>
        <v>15277</v>
      </c>
      <c r="CY454" s="79">
        <f t="shared" si="2908"/>
        <v>14956</v>
      </c>
      <c r="CZ454" s="80">
        <f t="shared" si="2908"/>
        <v>15469</v>
      </c>
      <c r="DA454" s="79">
        <f t="shared" si="2908"/>
        <v>16532.377703061073</v>
      </c>
      <c r="DB454" s="79">
        <f t="shared" si="2908"/>
        <v>17342.137447974361</v>
      </c>
      <c r="DC454" s="79">
        <f t="shared" si="2908"/>
        <v>17893.622641413789</v>
      </c>
      <c r="DD454" s="79">
        <f t="shared" ref="DD454:DI454" si="2909">DD419+DD443</f>
        <v>18690.769324126944</v>
      </c>
      <c r="DE454" s="79">
        <f t="shared" si="2909"/>
        <v>19156.521487162317</v>
      </c>
      <c r="DF454" s="79">
        <f t="shared" si="2909"/>
        <v>19608.942924915555</v>
      </c>
      <c r="DG454" s="79">
        <f t="shared" si="2909"/>
        <v>20066.817888198235</v>
      </c>
      <c r="DH454" s="79">
        <f t="shared" si="2909"/>
        <v>20654.405796761752</v>
      </c>
      <c r="DI454" s="79">
        <f t="shared" si="2909"/>
        <v>21312.563983975881</v>
      </c>
    </row>
    <row r="455" spans="1:113" outlineLevel="2">
      <c r="A455" s="1" t="s">
        <v>176</v>
      </c>
      <c r="B455" s="19" t="s">
        <v>854</v>
      </c>
      <c r="C455" s="55">
        <f>C444+C420</f>
        <v>0</v>
      </c>
      <c r="D455" s="55">
        <f>D444+D420</f>
        <v>0</v>
      </c>
      <c r="E455" s="55">
        <f t="shared" ref="E455:L455" si="2910">E444+E420</f>
        <v>0</v>
      </c>
      <c r="F455" s="55">
        <f t="shared" si="2910"/>
        <v>0</v>
      </c>
      <c r="G455" s="55">
        <f t="shared" si="2910"/>
        <v>0</v>
      </c>
      <c r="H455" s="55">
        <f t="shared" si="2910"/>
        <v>0</v>
      </c>
      <c r="I455" s="55">
        <f t="shared" si="2910"/>
        <v>0</v>
      </c>
      <c r="J455" s="55">
        <f t="shared" si="2910"/>
        <v>0</v>
      </c>
      <c r="K455" s="55">
        <f t="shared" si="2910"/>
        <v>0</v>
      </c>
      <c r="L455" s="55">
        <f t="shared" si="2910"/>
        <v>0</v>
      </c>
      <c r="M455" s="55">
        <f t="shared" ref="M455:AD455" si="2911">M444+M420</f>
        <v>0</v>
      </c>
      <c r="N455" s="55">
        <f t="shared" si="2911"/>
        <v>0</v>
      </c>
      <c r="O455" s="55">
        <f t="shared" si="2911"/>
        <v>0</v>
      </c>
      <c r="P455" s="55">
        <f t="shared" si="2911"/>
        <v>0</v>
      </c>
      <c r="Q455" s="55">
        <f t="shared" si="2911"/>
        <v>0</v>
      </c>
      <c r="R455" s="55">
        <f t="shared" si="2911"/>
        <v>0</v>
      </c>
      <c r="S455" s="55">
        <f t="shared" si="2911"/>
        <v>0</v>
      </c>
      <c r="T455" s="55">
        <f t="shared" si="2911"/>
        <v>0</v>
      </c>
      <c r="U455" s="55">
        <f t="shared" si="2911"/>
        <v>0</v>
      </c>
      <c r="V455" s="55">
        <f t="shared" si="2911"/>
        <v>0</v>
      </c>
      <c r="W455" s="55">
        <f t="shared" si="2911"/>
        <v>0</v>
      </c>
      <c r="X455" s="55">
        <f t="shared" si="2911"/>
        <v>0</v>
      </c>
      <c r="Y455" s="55">
        <f>Y444+Y420</f>
        <v>0</v>
      </c>
      <c r="Z455" s="55">
        <f>Z444+Z420</f>
        <v>0</v>
      </c>
      <c r="AA455" s="55">
        <f t="shared" si="2911"/>
        <v>0</v>
      </c>
      <c r="AB455" s="55">
        <f t="shared" si="2911"/>
        <v>0</v>
      </c>
      <c r="AC455" s="55">
        <f t="shared" si="2911"/>
        <v>0</v>
      </c>
      <c r="AD455" s="55">
        <f t="shared" si="2911"/>
        <v>0</v>
      </c>
      <c r="AE455" s="55">
        <f t="shared" ref="AE455:AK455" si="2912">AE444+AE420</f>
        <v>0</v>
      </c>
      <c r="AF455" s="55">
        <f t="shared" si="2912"/>
        <v>0</v>
      </c>
      <c r="AG455" s="55">
        <f t="shared" si="2912"/>
        <v>0</v>
      </c>
      <c r="AH455" s="55">
        <f t="shared" si="2912"/>
        <v>0</v>
      </c>
      <c r="AI455" s="55">
        <f t="shared" si="2912"/>
        <v>0</v>
      </c>
      <c r="AJ455" s="55">
        <f t="shared" si="2912"/>
        <v>0</v>
      </c>
      <c r="AK455" s="55">
        <f t="shared" si="2912"/>
        <v>0</v>
      </c>
      <c r="AL455" s="55">
        <f t="shared" ref="AL455:AQ455" si="2913">AL444+AL420</f>
        <v>0</v>
      </c>
      <c r="AM455" s="55">
        <f t="shared" si="2913"/>
        <v>0</v>
      </c>
      <c r="AN455" s="55">
        <f t="shared" si="2913"/>
        <v>0</v>
      </c>
      <c r="AO455" s="55">
        <f t="shared" si="2913"/>
        <v>0</v>
      </c>
      <c r="AP455" s="55">
        <f t="shared" si="2913"/>
        <v>0</v>
      </c>
      <c r="AQ455" s="55">
        <f t="shared" si="2913"/>
        <v>0</v>
      </c>
      <c r="AR455" s="55">
        <f t="shared" ref="AR455" si="2914">AR444+AR420</f>
        <v>0</v>
      </c>
      <c r="AS455" s="55">
        <f t="shared" ref="AS455:AT455" si="2915">AS444+AS420</f>
        <v>0</v>
      </c>
      <c r="AT455" s="55">
        <f t="shared" si="2915"/>
        <v>0</v>
      </c>
      <c r="AU455" s="55">
        <f t="shared" ref="AU455:AV455" si="2916">AU444+AU420</f>
        <v>0</v>
      </c>
      <c r="AV455" s="55">
        <f t="shared" si="2916"/>
        <v>0</v>
      </c>
      <c r="AW455" s="55">
        <f t="shared" ref="AW455:AX455" si="2917">AW444+AW420</f>
        <v>0</v>
      </c>
      <c r="AX455" s="55">
        <f t="shared" si="2917"/>
        <v>0</v>
      </c>
      <c r="AY455" s="55">
        <f t="shared" ref="AY455:BE455" si="2918">AY444+AY420</f>
        <v>0</v>
      </c>
      <c r="AZ455" s="56">
        <f t="shared" si="2918"/>
        <v>0</v>
      </c>
      <c r="BA455" s="55">
        <f t="shared" si="2918"/>
        <v>0</v>
      </c>
      <c r="BB455" s="55">
        <f t="shared" si="2918"/>
        <v>0</v>
      </c>
      <c r="BC455" s="55">
        <f t="shared" si="2918"/>
        <v>0</v>
      </c>
      <c r="BD455" s="55">
        <f t="shared" si="2918"/>
        <v>0</v>
      </c>
      <c r="BE455" s="55">
        <f t="shared" si="2918"/>
        <v>0</v>
      </c>
      <c r="BF455" s="55">
        <f t="shared" ref="BF455:BM455" si="2919">BF444+BF420</f>
        <v>0</v>
      </c>
      <c r="BG455" s="55">
        <f t="shared" si="2919"/>
        <v>0</v>
      </c>
      <c r="BH455" s="55">
        <f t="shared" si="2919"/>
        <v>0</v>
      </c>
      <c r="BI455" s="55">
        <f t="shared" si="2919"/>
        <v>0</v>
      </c>
      <c r="BJ455" s="55">
        <f t="shared" si="2919"/>
        <v>0</v>
      </c>
      <c r="BK455" s="55">
        <f t="shared" si="2919"/>
        <v>0</v>
      </c>
      <c r="BL455" s="55">
        <f t="shared" si="2919"/>
        <v>0</v>
      </c>
      <c r="BM455" s="55">
        <f t="shared" si="2919"/>
        <v>0</v>
      </c>
      <c r="BN455" s="55">
        <f t="shared" ref="BN455:BO455" si="2920">BN444+BN420</f>
        <v>0</v>
      </c>
      <c r="BO455" s="55">
        <f t="shared" si="2920"/>
        <v>0</v>
      </c>
      <c r="BP455" s="55">
        <f t="shared" ref="BP455:BQ455" si="2921">BP444+BP420</f>
        <v>0</v>
      </c>
      <c r="BQ455" s="55">
        <f t="shared" si="2921"/>
        <v>0</v>
      </c>
      <c r="BR455" s="55"/>
      <c r="BS455" s="55">
        <f t="shared" ref="BS455:CB455" si="2922">BS444+BS420</f>
        <v>0</v>
      </c>
      <c r="BT455" s="55">
        <f t="shared" si="2922"/>
        <v>0</v>
      </c>
      <c r="BU455" s="55">
        <f t="shared" si="2922"/>
        <v>0</v>
      </c>
      <c r="BV455" s="55">
        <f t="shared" si="2922"/>
        <v>0</v>
      </c>
      <c r="BW455" s="55">
        <f t="shared" si="2922"/>
        <v>0</v>
      </c>
      <c r="BX455" s="55">
        <f t="shared" si="2922"/>
        <v>0</v>
      </c>
      <c r="BY455" s="55">
        <f t="shared" si="2922"/>
        <v>0</v>
      </c>
      <c r="BZ455" s="55">
        <f t="shared" si="2922"/>
        <v>0</v>
      </c>
      <c r="CA455" s="55">
        <f t="shared" si="2922"/>
        <v>0</v>
      </c>
      <c r="CB455" s="55">
        <f t="shared" si="2922"/>
        <v>0</v>
      </c>
      <c r="CC455" s="55">
        <f t="shared" ref="CC455:CR455" si="2923">CC444+CC420</f>
        <v>0</v>
      </c>
      <c r="CD455" s="55">
        <f t="shared" si="2923"/>
        <v>0</v>
      </c>
      <c r="CE455" s="55">
        <f t="shared" si="2923"/>
        <v>0</v>
      </c>
      <c r="CF455" s="55">
        <f t="shared" si="2923"/>
        <v>0</v>
      </c>
      <c r="CG455" s="55">
        <f t="shared" si="2923"/>
        <v>0</v>
      </c>
      <c r="CH455" s="55">
        <f t="shared" si="2923"/>
        <v>0</v>
      </c>
      <c r="CI455" s="55">
        <f t="shared" si="2923"/>
        <v>0</v>
      </c>
      <c r="CJ455" s="55">
        <f t="shared" si="2923"/>
        <v>0</v>
      </c>
      <c r="CK455" s="55">
        <f t="shared" si="2923"/>
        <v>0</v>
      </c>
      <c r="CL455" s="55">
        <f t="shared" si="2923"/>
        <v>0</v>
      </c>
      <c r="CM455" s="55">
        <f t="shared" si="2923"/>
        <v>0</v>
      </c>
      <c r="CN455" s="55">
        <f t="shared" si="2923"/>
        <v>0</v>
      </c>
      <c r="CO455" s="55">
        <f t="shared" si="2923"/>
        <v>0</v>
      </c>
      <c r="CP455" s="55">
        <f t="shared" si="2923"/>
        <v>0</v>
      </c>
      <c r="CQ455" s="55">
        <f t="shared" si="2923"/>
        <v>0</v>
      </c>
      <c r="CR455" s="55">
        <f t="shared" si="2923"/>
        <v>0</v>
      </c>
      <c r="CS455" s="55">
        <f t="shared" ref="CS455:DC455" si="2924">CS444+CS420</f>
        <v>0</v>
      </c>
      <c r="CT455" s="55">
        <f t="shared" si="2924"/>
        <v>0</v>
      </c>
      <c r="CU455" s="55">
        <f t="shared" si="2924"/>
        <v>0</v>
      </c>
      <c r="CV455" s="55">
        <f t="shared" si="2924"/>
        <v>0</v>
      </c>
      <c r="CW455" s="55">
        <f t="shared" si="2924"/>
        <v>0</v>
      </c>
      <c r="CX455" s="55">
        <f t="shared" si="2924"/>
        <v>0</v>
      </c>
      <c r="CY455" s="55">
        <f t="shared" si="2924"/>
        <v>0</v>
      </c>
      <c r="CZ455" s="56">
        <f t="shared" si="2924"/>
        <v>0</v>
      </c>
      <c r="DA455" s="55">
        <f t="shared" si="2924"/>
        <v>0</v>
      </c>
      <c r="DB455" s="55">
        <f t="shared" si="2924"/>
        <v>0</v>
      </c>
      <c r="DC455" s="55">
        <f t="shared" si="2924"/>
        <v>0</v>
      </c>
      <c r="DD455" s="55">
        <f t="shared" ref="DD455:DI455" si="2925">DD444+DD420</f>
        <v>0</v>
      </c>
      <c r="DE455" s="55">
        <f t="shared" si="2925"/>
        <v>0</v>
      </c>
      <c r="DF455" s="55">
        <f t="shared" si="2925"/>
        <v>0</v>
      </c>
      <c r="DG455" s="55">
        <f t="shared" si="2925"/>
        <v>0</v>
      </c>
      <c r="DH455" s="55">
        <f t="shared" si="2925"/>
        <v>0</v>
      </c>
      <c r="DI455" s="55">
        <f t="shared" si="2925"/>
        <v>0</v>
      </c>
    </row>
    <row r="456" spans="1:113" outlineLevel="2">
      <c r="A456" s="1" t="s">
        <v>677</v>
      </c>
      <c r="B456" s="19" t="s">
        <v>445</v>
      </c>
      <c r="C456" s="55">
        <f>C421+C445</f>
        <v>0</v>
      </c>
      <c r="D456" s="55">
        <f>D421+D445</f>
        <v>0</v>
      </c>
      <c r="E456" s="55">
        <f t="shared" ref="E456:L456" si="2926">E421+E445</f>
        <v>0</v>
      </c>
      <c r="F456" s="55">
        <f t="shared" si="2926"/>
        <v>0</v>
      </c>
      <c r="G456" s="55">
        <f t="shared" si="2926"/>
        <v>0</v>
      </c>
      <c r="H456" s="55">
        <f t="shared" si="2926"/>
        <v>0</v>
      </c>
      <c r="I456" s="55">
        <f t="shared" si="2926"/>
        <v>0</v>
      </c>
      <c r="J456" s="55">
        <f t="shared" si="2926"/>
        <v>0</v>
      </c>
      <c r="K456" s="55">
        <f t="shared" si="2926"/>
        <v>0</v>
      </c>
      <c r="L456" s="55">
        <f t="shared" si="2926"/>
        <v>0</v>
      </c>
      <c r="M456" s="55">
        <f t="shared" ref="M456:AD456" si="2927">M421+M445</f>
        <v>0</v>
      </c>
      <c r="N456" s="55">
        <f t="shared" si="2927"/>
        <v>0</v>
      </c>
      <c r="O456" s="55">
        <f t="shared" si="2927"/>
        <v>0</v>
      </c>
      <c r="P456" s="55">
        <f t="shared" si="2927"/>
        <v>0</v>
      </c>
      <c r="Q456" s="55">
        <f t="shared" si="2927"/>
        <v>0</v>
      </c>
      <c r="R456" s="55">
        <f t="shared" si="2927"/>
        <v>0</v>
      </c>
      <c r="S456" s="55">
        <f t="shared" si="2927"/>
        <v>0</v>
      </c>
      <c r="T456" s="55">
        <f t="shared" si="2927"/>
        <v>0</v>
      </c>
      <c r="U456" s="55">
        <f t="shared" si="2927"/>
        <v>0</v>
      </c>
      <c r="V456" s="55">
        <f t="shared" si="2927"/>
        <v>0</v>
      </c>
      <c r="W456" s="55">
        <f t="shared" si="2927"/>
        <v>0</v>
      </c>
      <c r="X456" s="55">
        <f t="shared" si="2927"/>
        <v>0</v>
      </c>
      <c r="Y456" s="55">
        <f>Y421+Y445</f>
        <v>0</v>
      </c>
      <c r="Z456" s="55">
        <f>Z421+Z445</f>
        <v>0</v>
      </c>
      <c r="AA456" s="55">
        <f t="shared" si="2927"/>
        <v>0</v>
      </c>
      <c r="AB456" s="55">
        <f t="shared" si="2927"/>
        <v>0</v>
      </c>
      <c r="AC456" s="55">
        <f t="shared" si="2927"/>
        <v>0</v>
      </c>
      <c r="AD456" s="55">
        <f t="shared" si="2927"/>
        <v>0</v>
      </c>
      <c r="AE456" s="55">
        <f t="shared" ref="AE456:AK456" si="2928">AE421+AE445</f>
        <v>0</v>
      </c>
      <c r="AF456" s="55">
        <f t="shared" si="2928"/>
        <v>0</v>
      </c>
      <c r="AG456" s="55">
        <f t="shared" si="2928"/>
        <v>0</v>
      </c>
      <c r="AH456" s="55">
        <f t="shared" si="2928"/>
        <v>0</v>
      </c>
      <c r="AI456" s="55">
        <f t="shared" si="2928"/>
        <v>0</v>
      </c>
      <c r="AJ456" s="55">
        <f t="shared" si="2928"/>
        <v>0</v>
      </c>
      <c r="AK456" s="55">
        <f t="shared" si="2928"/>
        <v>0</v>
      </c>
      <c r="AL456" s="55">
        <f t="shared" ref="AL456:AQ456" si="2929">AL421+AL445</f>
        <v>0</v>
      </c>
      <c r="AM456" s="55">
        <f t="shared" si="2929"/>
        <v>0</v>
      </c>
      <c r="AN456" s="55">
        <f t="shared" si="2929"/>
        <v>0</v>
      </c>
      <c r="AO456" s="55">
        <f t="shared" si="2929"/>
        <v>0</v>
      </c>
      <c r="AP456" s="55">
        <f t="shared" si="2929"/>
        <v>0</v>
      </c>
      <c r="AQ456" s="55">
        <f t="shared" si="2929"/>
        <v>0</v>
      </c>
      <c r="AR456" s="55">
        <f t="shared" ref="AR456" si="2930">AR421+AR445</f>
        <v>0</v>
      </c>
      <c r="AS456" s="55">
        <f t="shared" ref="AS456:AT456" si="2931">AS421+AS445</f>
        <v>0</v>
      </c>
      <c r="AT456" s="55">
        <f t="shared" si="2931"/>
        <v>0</v>
      </c>
      <c r="AU456" s="55">
        <f t="shared" ref="AU456:AV456" si="2932">AU421+AU445</f>
        <v>0</v>
      </c>
      <c r="AV456" s="55">
        <f t="shared" si="2932"/>
        <v>0</v>
      </c>
      <c r="AW456" s="55">
        <f t="shared" ref="AW456:AX456" si="2933">AW421+AW445</f>
        <v>0</v>
      </c>
      <c r="AX456" s="55">
        <f t="shared" si="2933"/>
        <v>0</v>
      </c>
      <c r="AY456" s="55">
        <f t="shared" ref="AY456:BE456" si="2934">AY421+AY445</f>
        <v>0</v>
      </c>
      <c r="AZ456" s="56">
        <f t="shared" si="2934"/>
        <v>0</v>
      </c>
      <c r="BA456" s="55">
        <f t="shared" si="2934"/>
        <v>0</v>
      </c>
      <c r="BB456" s="55">
        <f t="shared" si="2934"/>
        <v>0</v>
      </c>
      <c r="BC456" s="55">
        <f t="shared" si="2934"/>
        <v>0</v>
      </c>
      <c r="BD456" s="55">
        <f t="shared" si="2934"/>
        <v>0</v>
      </c>
      <c r="BE456" s="55">
        <f t="shared" si="2934"/>
        <v>0</v>
      </c>
      <c r="BF456" s="55">
        <f t="shared" ref="BF456:BM456" si="2935">BF421+BF445</f>
        <v>0</v>
      </c>
      <c r="BG456" s="55">
        <f t="shared" si="2935"/>
        <v>0</v>
      </c>
      <c r="BH456" s="55">
        <f t="shared" si="2935"/>
        <v>0</v>
      </c>
      <c r="BI456" s="55">
        <f t="shared" si="2935"/>
        <v>0</v>
      </c>
      <c r="BJ456" s="55">
        <f t="shared" si="2935"/>
        <v>0</v>
      </c>
      <c r="BK456" s="55">
        <f t="shared" si="2935"/>
        <v>0</v>
      </c>
      <c r="BL456" s="55">
        <f t="shared" si="2935"/>
        <v>0</v>
      </c>
      <c r="BM456" s="55">
        <f t="shared" si="2935"/>
        <v>0</v>
      </c>
      <c r="BN456" s="55">
        <f t="shared" ref="BN456:BO456" si="2936">BN421+BN445</f>
        <v>0</v>
      </c>
      <c r="BO456" s="55">
        <f t="shared" si="2936"/>
        <v>0</v>
      </c>
      <c r="BP456" s="55">
        <f t="shared" ref="BP456:BQ456" si="2937">BP421+BP445</f>
        <v>0</v>
      </c>
      <c r="BQ456" s="55">
        <f t="shared" si="2937"/>
        <v>0</v>
      </c>
      <c r="BR456" s="55"/>
      <c r="BS456" s="55">
        <f t="shared" ref="BS456:CB456" si="2938">BS421+BS445</f>
        <v>0</v>
      </c>
      <c r="BT456" s="55">
        <f t="shared" si="2938"/>
        <v>0</v>
      </c>
      <c r="BU456" s="55">
        <f t="shared" si="2938"/>
        <v>0</v>
      </c>
      <c r="BV456" s="55">
        <f t="shared" si="2938"/>
        <v>0</v>
      </c>
      <c r="BW456" s="55">
        <f t="shared" si="2938"/>
        <v>0</v>
      </c>
      <c r="BX456" s="55">
        <f t="shared" si="2938"/>
        <v>0</v>
      </c>
      <c r="BY456" s="55">
        <f t="shared" si="2938"/>
        <v>0</v>
      </c>
      <c r="BZ456" s="55">
        <f t="shared" si="2938"/>
        <v>0</v>
      </c>
      <c r="CA456" s="55">
        <f t="shared" si="2938"/>
        <v>0</v>
      </c>
      <c r="CB456" s="55">
        <f t="shared" si="2938"/>
        <v>0</v>
      </c>
      <c r="CC456" s="55">
        <f t="shared" ref="CC456:CR456" si="2939">CC421+CC445</f>
        <v>0</v>
      </c>
      <c r="CD456" s="55">
        <f t="shared" si="2939"/>
        <v>0</v>
      </c>
      <c r="CE456" s="55">
        <f t="shared" si="2939"/>
        <v>0</v>
      </c>
      <c r="CF456" s="55">
        <f t="shared" si="2939"/>
        <v>0</v>
      </c>
      <c r="CG456" s="55">
        <f t="shared" si="2939"/>
        <v>0</v>
      </c>
      <c r="CH456" s="55">
        <f t="shared" si="2939"/>
        <v>0</v>
      </c>
      <c r="CI456" s="55">
        <f t="shared" si="2939"/>
        <v>0</v>
      </c>
      <c r="CJ456" s="55">
        <f t="shared" si="2939"/>
        <v>0</v>
      </c>
      <c r="CK456" s="55">
        <f t="shared" si="2939"/>
        <v>0</v>
      </c>
      <c r="CL456" s="55">
        <f t="shared" si="2939"/>
        <v>0</v>
      </c>
      <c r="CM456" s="55">
        <f t="shared" si="2939"/>
        <v>0</v>
      </c>
      <c r="CN456" s="55">
        <f t="shared" si="2939"/>
        <v>0</v>
      </c>
      <c r="CO456" s="55">
        <f t="shared" si="2939"/>
        <v>0</v>
      </c>
      <c r="CP456" s="55">
        <f t="shared" si="2939"/>
        <v>0</v>
      </c>
      <c r="CQ456" s="55">
        <f t="shared" si="2939"/>
        <v>0</v>
      </c>
      <c r="CR456" s="55">
        <f t="shared" si="2939"/>
        <v>0</v>
      </c>
      <c r="CS456" s="55">
        <f t="shared" ref="CS456:DC456" si="2940">CS421+CS445</f>
        <v>0</v>
      </c>
      <c r="CT456" s="55">
        <f t="shared" si="2940"/>
        <v>0</v>
      </c>
      <c r="CU456" s="55">
        <f t="shared" si="2940"/>
        <v>0</v>
      </c>
      <c r="CV456" s="55">
        <f t="shared" si="2940"/>
        <v>0</v>
      </c>
      <c r="CW456" s="55">
        <f t="shared" si="2940"/>
        <v>0</v>
      </c>
      <c r="CX456" s="55">
        <f t="shared" si="2940"/>
        <v>0</v>
      </c>
      <c r="CY456" s="55">
        <f t="shared" si="2940"/>
        <v>0</v>
      </c>
      <c r="CZ456" s="56">
        <f t="shared" si="2940"/>
        <v>0</v>
      </c>
      <c r="DA456" s="55">
        <f t="shared" si="2940"/>
        <v>0</v>
      </c>
      <c r="DB456" s="55">
        <f t="shared" si="2940"/>
        <v>0</v>
      </c>
      <c r="DC456" s="55">
        <f t="shared" si="2940"/>
        <v>0</v>
      </c>
      <c r="DD456" s="55">
        <f t="shared" ref="DD456:DI456" si="2941">DD421+DD445</f>
        <v>0</v>
      </c>
      <c r="DE456" s="55">
        <f t="shared" si="2941"/>
        <v>0</v>
      </c>
      <c r="DF456" s="55">
        <f t="shared" si="2941"/>
        <v>0</v>
      </c>
      <c r="DG456" s="55">
        <f t="shared" si="2941"/>
        <v>0</v>
      </c>
      <c r="DH456" s="55">
        <f t="shared" si="2941"/>
        <v>0</v>
      </c>
      <c r="DI456" s="55">
        <f t="shared" si="2941"/>
        <v>0</v>
      </c>
    </row>
    <row r="457" spans="1:113" outlineLevel="2">
      <c r="A457" s="1" t="s">
        <v>678</v>
      </c>
      <c r="B457" s="19" t="s">
        <v>369</v>
      </c>
      <c r="C457" s="55">
        <f>C422</f>
        <v>0</v>
      </c>
      <c r="D457" s="55">
        <f>D422</f>
        <v>0</v>
      </c>
      <c r="E457" s="55">
        <f t="shared" ref="E457:L457" si="2942">E422</f>
        <v>0</v>
      </c>
      <c r="F457" s="55">
        <f t="shared" si="2942"/>
        <v>0</v>
      </c>
      <c r="G457" s="55">
        <f t="shared" si="2942"/>
        <v>0</v>
      </c>
      <c r="H457" s="55">
        <f t="shared" si="2942"/>
        <v>0</v>
      </c>
      <c r="I457" s="55">
        <f t="shared" si="2942"/>
        <v>0</v>
      </c>
      <c r="J457" s="55">
        <f t="shared" si="2942"/>
        <v>0</v>
      </c>
      <c r="K457" s="55">
        <f t="shared" si="2942"/>
        <v>0</v>
      </c>
      <c r="L457" s="55">
        <f t="shared" si="2942"/>
        <v>0</v>
      </c>
      <c r="M457" s="55">
        <f t="shared" ref="M457:AD457" si="2943">M422</f>
        <v>0</v>
      </c>
      <c r="N457" s="55">
        <f t="shared" si="2943"/>
        <v>0</v>
      </c>
      <c r="O457" s="55">
        <f t="shared" si="2943"/>
        <v>0</v>
      </c>
      <c r="P457" s="55">
        <f t="shared" si="2943"/>
        <v>0</v>
      </c>
      <c r="Q457" s="55">
        <f t="shared" si="2943"/>
        <v>0</v>
      </c>
      <c r="R457" s="55">
        <f t="shared" si="2943"/>
        <v>0</v>
      </c>
      <c r="S457" s="55">
        <f t="shared" si="2943"/>
        <v>0</v>
      </c>
      <c r="T457" s="55">
        <f t="shared" si="2943"/>
        <v>0</v>
      </c>
      <c r="U457" s="55">
        <f t="shared" si="2943"/>
        <v>0</v>
      </c>
      <c r="V457" s="55">
        <f t="shared" si="2943"/>
        <v>0</v>
      </c>
      <c r="W457" s="55">
        <f t="shared" si="2943"/>
        <v>0</v>
      </c>
      <c r="X457" s="55">
        <f t="shared" si="2943"/>
        <v>0</v>
      </c>
      <c r="Y457" s="55">
        <f>Y422</f>
        <v>0</v>
      </c>
      <c r="Z457" s="55">
        <f>Z422</f>
        <v>0</v>
      </c>
      <c r="AA457" s="55">
        <f t="shared" si="2943"/>
        <v>0</v>
      </c>
      <c r="AB457" s="55">
        <f t="shared" si="2943"/>
        <v>0</v>
      </c>
      <c r="AC457" s="55">
        <f t="shared" si="2943"/>
        <v>0</v>
      </c>
      <c r="AD457" s="55">
        <f t="shared" si="2943"/>
        <v>0</v>
      </c>
      <c r="AE457" s="55">
        <f t="shared" ref="AE457:AK457" si="2944">AE422</f>
        <v>0</v>
      </c>
      <c r="AF457" s="55">
        <f t="shared" si="2944"/>
        <v>0</v>
      </c>
      <c r="AG457" s="55">
        <f t="shared" si="2944"/>
        <v>0</v>
      </c>
      <c r="AH457" s="55">
        <f t="shared" si="2944"/>
        <v>0</v>
      </c>
      <c r="AI457" s="55">
        <f t="shared" si="2944"/>
        <v>0</v>
      </c>
      <c r="AJ457" s="55">
        <f t="shared" si="2944"/>
        <v>0</v>
      </c>
      <c r="AK457" s="55">
        <f t="shared" si="2944"/>
        <v>0</v>
      </c>
      <c r="AL457" s="55">
        <f t="shared" ref="AL457:AQ457" si="2945">AL422</f>
        <v>0</v>
      </c>
      <c r="AM457" s="55">
        <f t="shared" si="2945"/>
        <v>0</v>
      </c>
      <c r="AN457" s="55">
        <f t="shared" si="2945"/>
        <v>0</v>
      </c>
      <c r="AO457" s="55">
        <f t="shared" si="2945"/>
        <v>0</v>
      </c>
      <c r="AP457" s="55">
        <f t="shared" si="2945"/>
        <v>0</v>
      </c>
      <c r="AQ457" s="55">
        <f t="shared" si="2945"/>
        <v>0</v>
      </c>
      <c r="AR457" s="55">
        <f t="shared" ref="AR457" si="2946">AR422</f>
        <v>0</v>
      </c>
      <c r="AS457" s="55">
        <f t="shared" ref="AS457:AT457" si="2947">AS422</f>
        <v>0</v>
      </c>
      <c r="AT457" s="55">
        <f t="shared" si="2947"/>
        <v>0</v>
      </c>
      <c r="AU457" s="55">
        <f t="shared" ref="AU457:AV457" si="2948">AU422</f>
        <v>0</v>
      </c>
      <c r="AV457" s="55">
        <f t="shared" si="2948"/>
        <v>0</v>
      </c>
      <c r="AW457" s="55">
        <f t="shared" ref="AW457:AX457" si="2949">AW422</f>
        <v>0</v>
      </c>
      <c r="AX457" s="55">
        <f t="shared" si="2949"/>
        <v>0</v>
      </c>
      <c r="AY457" s="55">
        <f t="shared" ref="AY457:BE457" si="2950">AY422</f>
        <v>0</v>
      </c>
      <c r="AZ457" s="56">
        <f t="shared" si="2950"/>
        <v>0</v>
      </c>
      <c r="BA457" s="55">
        <f t="shared" si="2950"/>
        <v>0</v>
      </c>
      <c r="BB457" s="55">
        <f t="shared" si="2950"/>
        <v>0</v>
      </c>
      <c r="BC457" s="55">
        <f t="shared" si="2950"/>
        <v>0</v>
      </c>
      <c r="BD457" s="55">
        <f t="shared" si="2950"/>
        <v>0</v>
      </c>
      <c r="BE457" s="55">
        <f t="shared" si="2950"/>
        <v>0</v>
      </c>
      <c r="BF457" s="55">
        <f t="shared" ref="BF457:BM457" si="2951">BF422</f>
        <v>0</v>
      </c>
      <c r="BG457" s="55">
        <f t="shared" si="2951"/>
        <v>0</v>
      </c>
      <c r="BH457" s="55">
        <f t="shared" si="2951"/>
        <v>0</v>
      </c>
      <c r="BI457" s="55">
        <f t="shared" si="2951"/>
        <v>0</v>
      </c>
      <c r="BJ457" s="55">
        <f t="shared" si="2951"/>
        <v>0</v>
      </c>
      <c r="BK457" s="55">
        <f t="shared" si="2951"/>
        <v>0</v>
      </c>
      <c r="BL457" s="55">
        <f t="shared" si="2951"/>
        <v>0</v>
      </c>
      <c r="BM457" s="55">
        <f t="shared" si="2951"/>
        <v>0</v>
      </c>
      <c r="BN457" s="55">
        <f t="shared" ref="BN457:BO457" si="2952">BN422</f>
        <v>0</v>
      </c>
      <c r="BO457" s="55">
        <f t="shared" si="2952"/>
        <v>0</v>
      </c>
      <c r="BP457" s="55">
        <f t="shared" ref="BP457:BQ457" si="2953">BP422</f>
        <v>0</v>
      </c>
      <c r="BQ457" s="55">
        <f t="shared" si="2953"/>
        <v>0</v>
      </c>
      <c r="BR457" s="55"/>
      <c r="BS457" s="55">
        <f t="shared" ref="BS457:CB457" si="2954">BS422</f>
        <v>0</v>
      </c>
      <c r="BT457" s="55">
        <f t="shared" si="2954"/>
        <v>0</v>
      </c>
      <c r="BU457" s="55">
        <f t="shared" si="2954"/>
        <v>0</v>
      </c>
      <c r="BV457" s="55">
        <f t="shared" si="2954"/>
        <v>0</v>
      </c>
      <c r="BW457" s="55">
        <f t="shared" si="2954"/>
        <v>0</v>
      </c>
      <c r="BX457" s="55">
        <f t="shared" si="2954"/>
        <v>0</v>
      </c>
      <c r="BY457" s="55">
        <f t="shared" si="2954"/>
        <v>0</v>
      </c>
      <c r="BZ457" s="55">
        <f t="shared" si="2954"/>
        <v>0</v>
      </c>
      <c r="CA457" s="55">
        <f t="shared" si="2954"/>
        <v>0</v>
      </c>
      <c r="CB457" s="55">
        <f t="shared" si="2954"/>
        <v>0</v>
      </c>
      <c r="CC457" s="55">
        <f t="shared" ref="CC457:CR457" si="2955">CC422</f>
        <v>0</v>
      </c>
      <c r="CD457" s="55">
        <f t="shared" si="2955"/>
        <v>0</v>
      </c>
      <c r="CE457" s="55">
        <f t="shared" si="2955"/>
        <v>0</v>
      </c>
      <c r="CF457" s="55">
        <f t="shared" si="2955"/>
        <v>0</v>
      </c>
      <c r="CG457" s="55">
        <f t="shared" si="2955"/>
        <v>0</v>
      </c>
      <c r="CH457" s="55">
        <f t="shared" si="2955"/>
        <v>0</v>
      </c>
      <c r="CI457" s="55">
        <f t="shared" si="2955"/>
        <v>0</v>
      </c>
      <c r="CJ457" s="55">
        <f t="shared" si="2955"/>
        <v>0</v>
      </c>
      <c r="CK457" s="55">
        <f t="shared" si="2955"/>
        <v>0</v>
      </c>
      <c r="CL457" s="55">
        <f t="shared" si="2955"/>
        <v>0</v>
      </c>
      <c r="CM457" s="55">
        <f t="shared" si="2955"/>
        <v>0</v>
      </c>
      <c r="CN457" s="55">
        <f t="shared" si="2955"/>
        <v>0</v>
      </c>
      <c r="CO457" s="55">
        <f t="shared" si="2955"/>
        <v>0</v>
      </c>
      <c r="CP457" s="55">
        <f t="shared" si="2955"/>
        <v>0</v>
      </c>
      <c r="CQ457" s="55">
        <f t="shared" si="2955"/>
        <v>0</v>
      </c>
      <c r="CR457" s="55">
        <f t="shared" si="2955"/>
        <v>0</v>
      </c>
      <c r="CS457" s="55">
        <f t="shared" ref="CS457:DC457" si="2956">CS422</f>
        <v>0</v>
      </c>
      <c r="CT457" s="55">
        <f t="shared" si="2956"/>
        <v>0</v>
      </c>
      <c r="CU457" s="55">
        <f t="shared" si="2956"/>
        <v>0</v>
      </c>
      <c r="CV457" s="55">
        <f t="shared" si="2956"/>
        <v>0</v>
      </c>
      <c r="CW457" s="55">
        <f t="shared" si="2956"/>
        <v>0</v>
      </c>
      <c r="CX457" s="55">
        <f t="shared" si="2956"/>
        <v>0</v>
      </c>
      <c r="CY457" s="55">
        <f t="shared" si="2956"/>
        <v>0</v>
      </c>
      <c r="CZ457" s="56">
        <f t="shared" si="2956"/>
        <v>0</v>
      </c>
      <c r="DA457" s="55">
        <f t="shared" si="2956"/>
        <v>0</v>
      </c>
      <c r="DB457" s="55">
        <f t="shared" si="2956"/>
        <v>0</v>
      </c>
      <c r="DC457" s="55">
        <f t="shared" si="2956"/>
        <v>0</v>
      </c>
      <c r="DD457" s="55">
        <f t="shared" ref="DD457:DI457" si="2957">DD422</f>
        <v>0</v>
      </c>
      <c r="DE457" s="55">
        <f t="shared" si="2957"/>
        <v>0</v>
      </c>
      <c r="DF457" s="55">
        <f t="shared" si="2957"/>
        <v>0</v>
      </c>
      <c r="DG457" s="55">
        <f t="shared" si="2957"/>
        <v>0</v>
      </c>
      <c r="DH457" s="55">
        <f t="shared" si="2957"/>
        <v>0</v>
      </c>
      <c r="DI457" s="55">
        <f t="shared" si="2957"/>
        <v>0</v>
      </c>
    </row>
    <row r="458" spans="1:113" outlineLevel="2">
      <c r="A458" s="1" t="s">
        <v>177</v>
      </c>
      <c r="B458" s="19" t="s">
        <v>370</v>
      </c>
      <c r="C458" s="55">
        <f t="shared" ref="C458:L460" si="2958">C423+C446</f>
        <v>0</v>
      </c>
      <c r="D458" s="55">
        <f t="shared" si="2958"/>
        <v>0</v>
      </c>
      <c r="E458" s="55">
        <f t="shared" si="2958"/>
        <v>0</v>
      </c>
      <c r="F458" s="55">
        <f t="shared" si="2958"/>
        <v>0</v>
      </c>
      <c r="G458" s="55">
        <f t="shared" si="2958"/>
        <v>0</v>
      </c>
      <c r="H458" s="55">
        <f t="shared" si="2958"/>
        <v>0</v>
      </c>
      <c r="I458" s="55">
        <f t="shared" si="2958"/>
        <v>0</v>
      </c>
      <c r="J458" s="55">
        <f t="shared" si="2958"/>
        <v>0</v>
      </c>
      <c r="K458" s="55">
        <f t="shared" si="2958"/>
        <v>0</v>
      </c>
      <c r="L458" s="55">
        <f t="shared" si="2958"/>
        <v>0</v>
      </c>
      <c r="M458" s="55">
        <f t="shared" ref="M458:AD458" si="2959">M423+M446</f>
        <v>0</v>
      </c>
      <c r="N458" s="55">
        <f t="shared" si="2959"/>
        <v>0</v>
      </c>
      <c r="O458" s="55">
        <f t="shared" si="2959"/>
        <v>0</v>
      </c>
      <c r="P458" s="55">
        <f t="shared" si="2959"/>
        <v>0</v>
      </c>
      <c r="Q458" s="55">
        <f t="shared" si="2959"/>
        <v>0</v>
      </c>
      <c r="R458" s="55">
        <f t="shared" si="2959"/>
        <v>0</v>
      </c>
      <c r="S458" s="55">
        <f t="shared" si="2959"/>
        <v>0</v>
      </c>
      <c r="T458" s="55">
        <f t="shared" si="2959"/>
        <v>0</v>
      </c>
      <c r="U458" s="55">
        <f t="shared" si="2959"/>
        <v>0</v>
      </c>
      <c r="V458" s="55">
        <f t="shared" si="2959"/>
        <v>0</v>
      </c>
      <c r="W458" s="55">
        <f t="shared" si="2959"/>
        <v>0</v>
      </c>
      <c r="X458" s="55">
        <f t="shared" si="2959"/>
        <v>0</v>
      </c>
      <c r="Y458" s="55">
        <f t="shared" ref="Y458:Z460" si="2960">Y423+Y446</f>
        <v>0</v>
      </c>
      <c r="Z458" s="55">
        <f t="shared" si="2960"/>
        <v>0</v>
      </c>
      <c r="AA458" s="55">
        <f t="shared" si="2959"/>
        <v>0</v>
      </c>
      <c r="AB458" s="55">
        <f t="shared" si="2959"/>
        <v>0</v>
      </c>
      <c r="AC458" s="55">
        <f t="shared" si="2959"/>
        <v>0</v>
      </c>
      <c r="AD458" s="55">
        <f t="shared" si="2959"/>
        <v>0</v>
      </c>
      <c r="AE458" s="55">
        <f t="shared" ref="AE458:AK460" si="2961">AE423+AE446</f>
        <v>0</v>
      </c>
      <c r="AF458" s="55">
        <f t="shared" si="2961"/>
        <v>0</v>
      </c>
      <c r="AG458" s="55">
        <f t="shared" si="2961"/>
        <v>0</v>
      </c>
      <c r="AH458" s="55">
        <f t="shared" si="2961"/>
        <v>0</v>
      </c>
      <c r="AI458" s="55">
        <f t="shared" si="2961"/>
        <v>0</v>
      </c>
      <c r="AJ458" s="55">
        <f t="shared" si="2961"/>
        <v>0</v>
      </c>
      <c r="AK458" s="55">
        <f t="shared" si="2961"/>
        <v>0</v>
      </c>
      <c r="AL458" s="55">
        <f t="shared" ref="AL458:AM460" si="2962">AL423+AL446</f>
        <v>0</v>
      </c>
      <c r="AM458" s="55">
        <f t="shared" si="2962"/>
        <v>0</v>
      </c>
      <c r="AN458" s="55">
        <f t="shared" ref="AN458:AO460" si="2963">AN423+AN446</f>
        <v>0</v>
      </c>
      <c r="AO458" s="55">
        <f t="shared" si="2963"/>
        <v>0</v>
      </c>
      <c r="AP458" s="55">
        <f t="shared" ref="AP458:AQ458" si="2964">AP423+AP446</f>
        <v>0</v>
      </c>
      <c r="AQ458" s="55">
        <f t="shared" si="2964"/>
        <v>0</v>
      </c>
      <c r="AR458" s="55">
        <f t="shared" ref="AR458" si="2965">AR423+AR446</f>
        <v>0</v>
      </c>
      <c r="AS458" s="55">
        <f t="shared" ref="AS458:AT458" si="2966">AS423+AS446</f>
        <v>0</v>
      </c>
      <c r="AT458" s="55">
        <f t="shared" si="2966"/>
        <v>0</v>
      </c>
      <c r="AU458" s="55">
        <f t="shared" ref="AU458:AV458" si="2967">AU423+AU446</f>
        <v>0</v>
      </c>
      <c r="AV458" s="55">
        <f t="shared" si="2967"/>
        <v>0</v>
      </c>
      <c r="AW458" s="55">
        <f t="shared" ref="AW458:AX458" si="2968">AW423+AW446</f>
        <v>0</v>
      </c>
      <c r="AX458" s="55">
        <f t="shared" si="2968"/>
        <v>0</v>
      </c>
      <c r="AY458" s="55">
        <f t="shared" ref="AY458:BE458" si="2969">AY423+AY446</f>
        <v>0</v>
      </c>
      <c r="AZ458" s="56">
        <f t="shared" si="2969"/>
        <v>0</v>
      </c>
      <c r="BA458" s="55">
        <f t="shared" si="2969"/>
        <v>0</v>
      </c>
      <c r="BB458" s="55">
        <f t="shared" si="2969"/>
        <v>0</v>
      </c>
      <c r="BC458" s="55">
        <f t="shared" si="2969"/>
        <v>0</v>
      </c>
      <c r="BD458" s="55">
        <f t="shared" si="2969"/>
        <v>0</v>
      </c>
      <c r="BE458" s="55">
        <f t="shared" si="2969"/>
        <v>0</v>
      </c>
      <c r="BF458" s="55">
        <f t="shared" ref="BF458:BI460" si="2970">BF423+BF446</f>
        <v>0</v>
      </c>
      <c r="BG458" s="55">
        <f t="shared" si="2970"/>
        <v>0</v>
      </c>
      <c r="BH458" s="55">
        <f t="shared" si="2970"/>
        <v>0</v>
      </c>
      <c r="BI458" s="55">
        <f t="shared" si="2970"/>
        <v>0</v>
      </c>
      <c r="BJ458" s="55">
        <f t="shared" ref="BJ458:BM460" si="2971">BJ423+BJ446</f>
        <v>0</v>
      </c>
      <c r="BK458" s="55">
        <f t="shared" si="2971"/>
        <v>0</v>
      </c>
      <c r="BL458" s="55">
        <f t="shared" si="2971"/>
        <v>0</v>
      </c>
      <c r="BM458" s="55">
        <f t="shared" si="2971"/>
        <v>0</v>
      </c>
      <c r="BN458" s="55">
        <f t="shared" ref="BN458:BO458" si="2972">BN423+BN446</f>
        <v>0</v>
      </c>
      <c r="BO458" s="55">
        <f t="shared" si="2972"/>
        <v>0</v>
      </c>
      <c r="BP458" s="55">
        <f t="shared" ref="BP458:BQ458" si="2973">BP423+BP446</f>
        <v>0</v>
      </c>
      <c r="BQ458" s="55">
        <f t="shared" si="2973"/>
        <v>0</v>
      </c>
      <c r="BR458" s="55"/>
      <c r="BS458" s="55">
        <f t="shared" ref="BS458:CB460" si="2974">BS423+BS446</f>
        <v>0</v>
      </c>
      <c r="BT458" s="55">
        <f t="shared" si="2974"/>
        <v>0</v>
      </c>
      <c r="BU458" s="55">
        <f t="shared" si="2974"/>
        <v>0</v>
      </c>
      <c r="BV458" s="55">
        <f t="shared" si="2974"/>
        <v>0</v>
      </c>
      <c r="BW458" s="55">
        <f t="shared" si="2974"/>
        <v>0</v>
      </c>
      <c r="BX458" s="55">
        <f t="shared" si="2974"/>
        <v>0</v>
      </c>
      <c r="BY458" s="55">
        <f t="shared" si="2974"/>
        <v>0</v>
      </c>
      <c r="BZ458" s="55">
        <f t="shared" si="2974"/>
        <v>0</v>
      </c>
      <c r="CA458" s="55">
        <f t="shared" si="2974"/>
        <v>0</v>
      </c>
      <c r="CB458" s="55">
        <f t="shared" si="2974"/>
        <v>0</v>
      </c>
      <c r="CC458" s="55">
        <f t="shared" ref="CC458:CR458" si="2975">CC423+CC446</f>
        <v>0</v>
      </c>
      <c r="CD458" s="55">
        <f t="shared" si="2975"/>
        <v>0</v>
      </c>
      <c r="CE458" s="55">
        <f t="shared" si="2975"/>
        <v>0</v>
      </c>
      <c r="CF458" s="55">
        <f t="shared" si="2975"/>
        <v>0</v>
      </c>
      <c r="CG458" s="55">
        <f t="shared" si="2975"/>
        <v>0</v>
      </c>
      <c r="CH458" s="55">
        <f t="shared" si="2975"/>
        <v>0</v>
      </c>
      <c r="CI458" s="55">
        <f t="shared" si="2975"/>
        <v>0</v>
      </c>
      <c r="CJ458" s="55">
        <f t="shared" si="2975"/>
        <v>0</v>
      </c>
      <c r="CK458" s="55">
        <f t="shared" si="2975"/>
        <v>0</v>
      </c>
      <c r="CL458" s="55">
        <f t="shared" si="2975"/>
        <v>0</v>
      </c>
      <c r="CM458" s="55">
        <f t="shared" si="2975"/>
        <v>0</v>
      </c>
      <c r="CN458" s="55">
        <f t="shared" si="2975"/>
        <v>0</v>
      </c>
      <c r="CO458" s="55">
        <f t="shared" si="2975"/>
        <v>0</v>
      </c>
      <c r="CP458" s="55">
        <f t="shared" si="2975"/>
        <v>0</v>
      </c>
      <c r="CQ458" s="55">
        <f t="shared" si="2975"/>
        <v>0</v>
      </c>
      <c r="CR458" s="55">
        <f t="shared" si="2975"/>
        <v>0</v>
      </c>
      <c r="CS458" s="55">
        <f t="shared" ref="CS458:DC458" si="2976">CS423+CS446</f>
        <v>0</v>
      </c>
      <c r="CT458" s="55">
        <f t="shared" si="2976"/>
        <v>0</v>
      </c>
      <c r="CU458" s="55">
        <f t="shared" si="2976"/>
        <v>0</v>
      </c>
      <c r="CV458" s="55">
        <f t="shared" si="2976"/>
        <v>0</v>
      </c>
      <c r="CW458" s="55">
        <f t="shared" si="2976"/>
        <v>0</v>
      </c>
      <c r="CX458" s="55">
        <f t="shared" si="2976"/>
        <v>0</v>
      </c>
      <c r="CY458" s="55">
        <f t="shared" si="2976"/>
        <v>0</v>
      </c>
      <c r="CZ458" s="56">
        <f t="shared" si="2976"/>
        <v>0</v>
      </c>
      <c r="DA458" s="55">
        <f t="shared" si="2976"/>
        <v>0</v>
      </c>
      <c r="DB458" s="55">
        <f t="shared" si="2976"/>
        <v>0</v>
      </c>
      <c r="DC458" s="55">
        <f t="shared" si="2976"/>
        <v>0</v>
      </c>
      <c r="DD458" s="55">
        <f t="shared" ref="DD458:DE460" si="2977">DD423+DD446</f>
        <v>0</v>
      </c>
      <c r="DE458" s="55">
        <f t="shared" si="2977"/>
        <v>0</v>
      </c>
      <c r="DF458" s="55">
        <f>DF423+DF446</f>
        <v>0</v>
      </c>
      <c r="DG458" s="55">
        <f t="shared" ref="DG458:DG460" si="2978">DG423+DG446</f>
        <v>0</v>
      </c>
      <c r="DH458" s="55">
        <f t="shared" ref="DH458:DI460" si="2979">DH423+DH446</f>
        <v>0</v>
      </c>
      <c r="DI458" s="55">
        <f t="shared" si="2979"/>
        <v>0</v>
      </c>
    </row>
    <row r="459" spans="1:113" outlineLevel="2">
      <c r="A459" s="1" t="s">
        <v>95</v>
      </c>
      <c r="B459" s="19" t="s">
        <v>360</v>
      </c>
      <c r="C459" s="55">
        <f t="shared" si="2958"/>
        <v>0</v>
      </c>
      <c r="D459" s="55">
        <f t="shared" si="2958"/>
        <v>0</v>
      </c>
      <c r="E459" s="55">
        <f t="shared" si="2958"/>
        <v>0</v>
      </c>
      <c r="F459" s="55">
        <f t="shared" si="2958"/>
        <v>0</v>
      </c>
      <c r="G459" s="55">
        <f t="shared" si="2958"/>
        <v>0</v>
      </c>
      <c r="H459" s="55">
        <f t="shared" si="2958"/>
        <v>0</v>
      </c>
      <c r="I459" s="55">
        <f t="shared" si="2958"/>
        <v>0</v>
      </c>
      <c r="J459" s="55">
        <f t="shared" si="2958"/>
        <v>0</v>
      </c>
      <c r="K459" s="55">
        <f t="shared" si="2958"/>
        <v>0</v>
      </c>
      <c r="L459" s="55">
        <f t="shared" si="2958"/>
        <v>0</v>
      </c>
      <c r="M459" s="55">
        <f t="shared" ref="M459:AD459" si="2980">M424+M447</f>
        <v>0</v>
      </c>
      <c r="N459" s="55">
        <f t="shared" si="2980"/>
        <v>0</v>
      </c>
      <c r="O459" s="55">
        <f t="shared" si="2980"/>
        <v>0</v>
      </c>
      <c r="P459" s="55">
        <f t="shared" si="2980"/>
        <v>0</v>
      </c>
      <c r="Q459" s="55">
        <f t="shared" si="2980"/>
        <v>0</v>
      </c>
      <c r="R459" s="55">
        <f t="shared" si="2980"/>
        <v>0</v>
      </c>
      <c r="S459" s="55">
        <f t="shared" si="2980"/>
        <v>0</v>
      </c>
      <c r="T459" s="55">
        <f t="shared" si="2980"/>
        <v>0</v>
      </c>
      <c r="U459" s="55">
        <f t="shared" si="2980"/>
        <v>0</v>
      </c>
      <c r="V459" s="55">
        <f t="shared" si="2980"/>
        <v>0</v>
      </c>
      <c r="W459" s="55">
        <f t="shared" si="2980"/>
        <v>0</v>
      </c>
      <c r="X459" s="55">
        <f t="shared" si="2980"/>
        <v>0</v>
      </c>
      <c r="Y459" s="55">
        <f t="shared" si="2960"/>
        <v>0</v>
      </c>
      <c r="Z459" s="55">
        <f t="shared" si="2960"/>
        <v>0</v>
      </c>
      <c r="AA459" s="55">
        <f t="shared" si="2980"/>
        <v>0</v>
      </c>
      <c r="AB459" s="55">
        <f t="shared" si="2980"/>
        <v>0</v>
      </c>
      <c r="AC459" s="55">
        <f t="shared" si="2980"/>
        <v>0</v>
      </c>
      <c r="AD459" s="55">
        <f t="shared" si="2980"/>
        <v>0</v>
      </c>
      <c r="AE459" s="55">
        <f t="shared" si="2961"/>
        <v>0</v>
      </c>
      <c r="AF459" s="55">
        <f t="shared" si="2961"/>
        <v>0</v>
      </c>
      <c r="AG459" s="55">
        <f t="shared" si="2961"/>
        <v>0</v>
      </c>
      <c r="AH459" s="55">
        <f t="shared" si="2961"/>
        <v>0</v>
      </c>
      <c r="AI459" s="55">
        <f t="shared" si="2961"/>
        <v>0</v>
      </c>
      <c r="AJ459" s="55">
        <f t="shared" si="2961"/>
        <v>0</v>
      </c>
      <c r="AK459" s="55">
        <f t="shared" si="2961"/>
        <v>0</v>
      </c>
      <c r="AL459" s="55">
        <f t="shared" si="2962"/>
        <v>0</v>
      </c>
      <c r="AM459" s="55">
        <f t="shared" si="2962"/>
        <v>0</v>
      </c>
      <c r="AN459" s="55">
        <f t="shared" si="2963"/>
        <v>0</v>
      </c>
      <c r="AO459" s="55">
        <f t="shared" si="2963"/>
        <v>0</v>
      </c>
      <c r="AP459" s="55">
        <f t="shared" ref="AP459:AQ459" si="2981">AP424+AP447</f>
        <v>0</v>
      </c>
      <c r="AQ459" s="55">
        <f t="shared" si="2981"/>
        <v>0</v>
      </c>
      <c r="AR459" s="55">
        <f t="shared" ref="AR459" si="2982">AR424+AR447</f>
        <v>0</v>
      </c>
      <c r="AS459" s="55">
        <f t="shared" ref="AS459:AT459" si="2983">AS424+AS447</f>
        <v>0</v>
      </c>
      <c r="AT459" s="55">
        <f t="shared" si="2983"/>
        <v>0</v>
      </c>
      <c r="AU459" s="55">
        <f t="shared" ref="AU459:AV459" si="2984">AU424+AU447</f>
        <v>0</v>
      </c>
      <c r="AV459" s="55">
        <f t="shared" si="2984"/>
        <v>0</v>
      </c>
      <c r="AW459" s="55">
        <f t="shared" ref="AW459:AX459" si="2985">AW424+AW447</f>
        <v>0</v>
      </c>
      <c r="AX459" s="55">
        <f t="shared" si="2985"/>
        <v>0</v>
      </c>
      <c r="AY459" s="55">
        <f t="shared" ref="AY459:BE459" si="2986">AY424+AY447</f>
        <v>0</v>
      </c>
      <c r="AZ459" s="56">
        <f t="shared" si="2986"/>
        <v>0</v>
      </c>
      <c r="BA459" s="55">
        <f t="shared" si="2986"/>
        <v>0</v>
      </c>
      <c r="BB459" s="55">
        <f t="shared" si="2986"/>
        <v>0</v>
      </c>
      <c r="BC459" s="55">
        <f t="shared" si="2986"/>
        <v>0</v>
      </c>
      <c r="BD459" s="55">
        <f t="shared" si="2986"/>
        <v>0</v>
      </c>
      <c r="BE459" s="55">
        <f t="shared" si="2986"/>
        <v>0</v>
      </c>
      <c r="BF459" s="55">
        <f t="shared" si="2970"/>
        <v>0</v>
      </c>
      <c r="BG459" s="55">
        <f t="shared" si="2970"/>
        <v>0</v>
      </c>
      <c r="BH459" s="55">
        <f t="shared" si="2970"/>
        <v>0</v>
      </c>
      <c r="BI459" s="55">
        <f t="shared" si="2970"/>
        <v>0</v>
      </c>
      <c r="BJ459" s="55">
        <f t="shared" ref="BJ459:BK459" si="2987">BJ424+BJ447</f>
        <v>0</v>
      </c>
      <c r="BK459" s="55">
        <f t="shared" si="2987"/>
        <v>0</v>
      </c>
      <c r="BL459" s="55">
        <f t="shared" si="2971"/>
        <v>0</v>
      </c>
      <c r="BM459" s="55">
        <f t="shared" si="2971"/>
        <v>0</v>
      </c>
      <c r="BN459" s="55">
        <f t="shared" ref="BN459:BO459" si="2988">BN424+BN447</f>
        <v>0</v>
      </c>
      <c r="BO459" s="55">
        <f t="shared" si="2988"/>
        <v>0</v>
      </c>
      <c r="BP459" s="55">
        <f t="shared" ref="BP459:BQ459" si="2989">BP424+BP447</f>
        <v>0</v>
      </c>
      <c r="BQ459" s="55">
        <f t="shared" si="2989"/>
        <v>0</v>
      </c>
      <c r="BR459" s="55"/>
      <c r="BS459" s="55">
        <f t="shared" si="2974"/>
        <v>0</v>
      </c>
      <c r="BT459" s="55">
        <f t="shared" si="2974"/>
        <v>0</v>
      </c>
      <c r="BU459" s="55">
        <f t="shared" si="2974"/>
        <v>0</v>
      </c>
      <c r="BV459" s="55">
        <f t="shared" si="2974"/>
        <v>0</v>
      </c>
      <c r="BW459" s="55">
        <f t="shared" si="2974"/>
        <v>0</v>
      </c>
      <c r="BX459" s="55">
        <f t="shared" si="2974"/>
        <v>0</v>
      </c>
      <c r="BY459" s="55">
        <f t="shared" si="2974"/>
        <v>0</v>
      </c>
      <c r="BZ459" s="55">
        <f t="shared" si="2974"/>
        <v>0</v>
      </c>
      <c r="CA459" s="55">
        <f t="shared" si="2974"/>
        <v>0</v>
      </c>
      <c r="CB459" s="55">
        <f t="shared" si="2974"/>
        <v>0</v>
      </c>
      <c r="CC459" s="55">
        <f t="shared" ref="CC459:CR459" si="2990">CC424+CC447</f>
        <v>0</v>
      </c>
      <c r="CD459" s="55">
        <f t="shared" si="2990"/>
        <v>0</v>
      </c>
      <c r="CE459" s="55">
        <f t="shared" si="2990"/>
        <v>0</v>
      </c>
      <c r="CF459" s="55">
        <f t="shared" si="2990"/>
        <v>0</v>
      </c>
      <c r="CG459" s="55">
        <f t="shared" si="2990"/>
        <v>0</v>
      </c>
      <c r="CH459" s="55">
        <f t="shared" si="2990"/>
        <v>0</v>
      </c>
      <c r="CI459" s="55">
        <f t="shared" si="2990"/>
        <v>0</v>
      </c>
      <c r="CJ459" s="55">
        <f t="shared" si="2990"/>
        <v>0</v>
      </c>
      <c r="CK459" s="55">
        <f t="shared" si="2990"/>
        <v>0</v>
      </c>
      <c r="CL459" s="55">
        <f t="shared" si="2990"/>
        <v>0</v>
      </c>
      <c r="CM459" s="55">
        <f t="shared" si="2990"/>
        <v>0</v>
      </c>
      <c r="CN459" s="55">
        <f t="shared" si="2990"/>
        <v>0</v>
      </c>
      <c r="CO459" s="55">
        <f t="shared" si="2990"/>
        <v>0</v>
      </c>
      <c r="CP459" s="55">
        <f t="shared" si="2990"/>
        <v>0</v>
      </c>
      <c r="CQ459" s="55">
        <f t="shared" si="2990"/>
        <v>0</v>
      </c>
      <c r="CR459" s="55">
        <f t="shared" si="2990"/>
        <v>0</v>
      </c>
      <c r="CS459" s="55">
        <f t="shared" ref="CS459:DC459" si="2991">CS424+CS447</f>
        <v>0</v>
      </c>
      <c r="CT459" s="55">
        <f t="shared" si="2991"/>
        <v>0</v>
      </c>
      <c r="CU459" s="55">
        <f t="shared" si="2991"/>
        <v>0</v>
      </c>
      <c r="CV459" s="55">
        <f t="shared" si="2991"/>
        <v>0</v>
      </c>
      <c r="CW459" s="55">
        <f t="shared" si="2991"/>
        <v>0</v>
      </c>
      <c r="CX459" s="55">
        <f t="shared" si="2991"/>
        <v>0</v>
      </c>
      <c r="CY459" s="55">
        <f t="shared" si="2991"/>
        <v>0</v>
      </c>
      <c r="CZ459" s="56">
        <f t="shared" si="2991"/>
        <v>0</v>
      </c>
      <c r="DA459" s="55">
        <f t="shared" si="2991"/>
        <v>0</v>
      </c>
      <c r="DB459" s="55">
        <f t="shared" si="2991"/>
        <v>0</v>
      </c>
      <c r="DC459" s="55">
        <f t="shared" si="2991"/>
        <v>0</v>
      </c>
      <c r="DD459" s="55">
        <f t="shared" si="2977"/>
        <v>0</v>
      </c>
      <c r="DE459" s="55">
        <f t="shared" si="2977"/>
        <v>0</v>
      </c>
      <c r="DF459" s="55">
        <f>DF424+DF447</f>
        <v>0</v>
      </c>
      <c r="DG459" s="55">
        <f t="shared" si="2978"/>
        <v>0</v>
      </c>
      <c r="DH459" s="55">
        <f t="shared" si="2979"/>
        <v>0</v>
      </c>
      <c r="DI459" s="55">
        <f t="shared" si="2979"/>
        <v>0</v>
      </c>
    </row>
    <row r="460" spans="1:113" outlineLevel="2">
      <c r="A460" s="1" t="s">
        <v>96</v>
      </c>
      <c r="B460" s="19" t="s">
        <v>423</v>
      </c>
      <c r="C460" s="55">
        <f t="shared" si="2958"/>
        <v>0</v>
      </c>
      <c r="D460" s="55">
        <f t="shared" si="2958"/>
        <v>0</v>
      </c>
      <c r="E460" s="55">
        <f t="shared" si="2958"/>
        <v>0</v>
      </c>
      <c r="F460" s="55">
        <f t="shared" si="2958"/>
        <v>0</v>
      </c>
      <c r="G460" s="55">
        <f t="shared" si="2958"/>
        <v>0</v>
      </c>
      <c r="H460" s="55">
        <f t="shared" si="2958"/>
        <v>0</v>
      </c>
      <c r="I460" s="55">
        <f t="shared" si="2958"/>
        <v>0</v>
      </c>
      <c r="J460" s="55">
        <f t="shared" si="2958"/>
        <v>0</v>
      </c>
      <c r="K460" s="55">
        <f t="shared" si="2958"/>
        <v>0</v>
      </c>
      <c r="L460" s="55">
        <f t="shared" si="2958"/>
        <v>0</v>
      </c>
      <c r="M460" s="55">
        <f t="shared" ref="M460:AD460" si="2992">M425+M448</f>
        <v>0</v>
      </c>
      <c r="N460" s="55">
        <f t="shared" si="2992"/>
        <v>0</v>
      </c>
      <c r="O460" s="55">
        <f t="shared" si="2992"/>
        <v>0</v>
      </c>
      <c r="P460" s="55">
        <f t="shared" si="2992"/>
        <v>0</v>
      </c>
      <c r="Q460" s="55">
        <f t="shared" si="2992"/>
        <v>0</v>
      </c>
      <c r="R460" s="55">
        <f t="shared" si="2992"/>
        <v>0</v>
      </c>
      <c r="S460" s="55">
        <f t="shared" si="2992"/>
        <v>0</v>
      </c>
      <c r="T460" s="55">
        <f t="shared" si="2992"/>
        <v>0</v>
      </c>
      <c r="U460" s="55">
        <f t="shared" si="2992"/>
        <v>0</v>
      </c>
      <c r="V460" s="55">
        <f t="shared" si="2992"/>
        <v>0</v>
      </c>
      <c r="W460" s="55">
        <f t="shared" si="2992"/>
        <v>0</v>
      </c>
      <c r="X460" s="55">
        <f t="shared" si="2992"/>
        <v>0</v>
      </c>
      <c r="Y460" s="55">
        <f t="shared" si="2960"/>
        <v>0</v>
      </c>
      <c r="Z460" s="55">
        <f t="shared" si="2960"/>
        <v>0</v>
      </c>
      <c r="AA460" s="55">
        <f t="shared" si="2992"/>
        <v>0</v>
      </c>
      <c r="AB460" s="55">
        <f t="shared" si="2992"/>
        <v>0</v>
      </c>
      <c r="AC460" s="55">
        <f t="shared" si="2992"/>
        <v>0</v>
      </c>
      <c r="AD460" s="55">
        <f t="shared" si="2992"/>
        <v>0</v>
      </c>
      <c r="AE460" s="55">
        <f t="shared" si="2961"/>
        <v>0</v>
      </c>
      <c r="AF460" s="55">
        <f t="shared" si="2961"/>
        <v>0</v>
      </c>
      <c r="AG460" s="55">
        <f t="shared" si="2961"/>
        <v>0</v>
      </c>
      <c r="AH460" s="55">
        <f t="shared" si="2961"/>
        <v>0</v>
      </c>
      <c r="AI460" s="55">
        <f t="shared" si="2961"/>
        <v>0</v>
      </c>
      <c r="AJ460" s="55">
        <f t="shared" si="2961"/>
        <v>0</v>
      </c>
      <c r="AK460" s="55">
        <f t="shared" si="2961"/>
        <v>0</v>
      </c>
      <c r="AL460" s="55">
        <f t="shared" si="2962"/>
        <v>0</v>
      </c>
      <c r="AM460" s="55">
        <f t="shared" si="2962"/>
        <v>0</v>
      </c>
      <c r="AN460" s="55">
        <f t="shared" si="2963"/>
        <v>0</v>
      </c>
      <c r="AO460" s="55">
        <f t="shared" si="2963"/>
        <v>0</v>
      </c>
      <c r="AP460" s="55">
        <f t="shared" ref="AP460:AQ460" si="2993">AP425+AP448</f>
        <v>0</v>
      </c>
      <c r="AQ460" s="55">
        <f t="shared" si="2993"/>
        <v>0</v>
      </c>
      <c r="AR460" s="55">
        <f t="shared" ref="AR460" si="2994">AR425+AR448</f>
        <v>0</v>
      </c>
      <c r="AS460" s="55">
        <f t="shared" ref="AS460:AT460" si="2995">AS425+AS448</f>
        <v>0</v>
      </c>
      <c r="AT460" s="55">
        <f t="shared" si="2995"/>
        <v>0</v>
      </c>
      <c r="AU460" s="55">
        <f t="shared" ref="AU460:AV460" si="2996">AU425+AU448</f>
        <v>0</v>
      </c>
      <c r="AV460" s="55">
        <f t="shared" si="2996"/>
        <v>0</v>
      </c>
      <c r="AW460" s="55">
        <f t="shared" ref="AW460:AX460" si="2997">AW425+AW448</f>
        <v>0</v>
      </c>
      <c r="AX460" s="55">
        <f t="shared" si="2997"/>
        <v>0</v>
      </c>
      <c r="AY460" s="55">
        <f t="shared" ref="AY460:BE460" si="2998">AY425+AY448</f>
        <v>0</v>
      </c>
      <c r="AZ460" s="56">
        <f t="shared" si="2998"/>
        <v>0</v>
      </c>
      <c r="BA460" s="55">
        <f t="shared" si="2998"/>
        <v>0</v>
      </c>
      <c r="BB460" s="55">
        <f t="shared" si="2998"/>
        <v>0</v>
      </c>
      <c r="BC460" s="55">
        <f t="shared" si="2998"/>
        <v>0</v>
      </c>
      <c r="BD460" s="55">
        <f t="shared" si="2998"/>
        <v>0</v>
      </c>
      <c r="BE460" s="55">
        <f t="shared" si="2998"/>
        <v>0</v>
      </c>
      <c r="BF460" s="55">
        <f t="shared" si="2970"/>
        <v>0</v>
      </c>
      <c r="BG460" s="55">
        <f t="shared" si="2970"/>
        <v>0</v>
      </c>
      <c r="BH460" s="55">
        <f t="shared" si="2970"/>
        <v>0</v>
      </c>
      <c r="BI460" s="55">
        <f t="shared" si="2970"/>
        <v>0</v>
      </c>
      <c r="BJ460" s="55">
        <f t="shared" ref="BJ460:BK460" si="2999">BJ425+BJ448</f>
        <v>0</v>
      </c>
      <c r="BK460" s="55">
        <f t="shared" si="2999"/>
        <v>0</v>
      </c>
      <c r="BL460" s="55">
        <f t="shared" si="2971"/>
        <v>0</v>
      </c>
      <c r="BM460" s="55">
        <f t="shared" si="2971"/>
        <v>0</v>
      </c>
      <c r="BN460" s="55">
        <f t="shared" ref="BN460:BO460" si="3000">BN425+BN448</f>
        <v>0</v>
      </c>
      <c r="BO460" s="55">
        <f t="shared" si="3000"/>
        <v>0</v>
      </c>
      <c r="BP460" s="55">
        <f t="shared" ref="BP460:BQ460" si="3001">BP425+BP448</f>
        <v>0</v>
      </c>
      <c r="BQ460" s="55">
        <f t="shared" si="3001"/>
        <v>0</v>
      </c>
      <c r="BR460" s="55"/>
      <c r="BS460" s="55">
        <f t="shared" si="2974"/>
        <v>0</v>
      </c>
      <c r="BT460" s="55">
        <f t="shared" si="2974"/>
        <v>0</v>
      </c>
      <c r="BU460" s="55">
        <f t="shared" si="2974"/>
        <v>0</v>
      </c>
      <c r="BV460" s="55">
        <f t="shared" si="2974"/>
        <v>0</v>
      </c>
      <c r="BW460" s="55">
        <f t="shared" si="2974"/>
        <v>0</v>
      </c>
      <c r="BX460" s="55">
        <f t="shared" si="2974"/>
        <v>0</v>
      </c>
      <c r="BY460" s="55">
        <f t="shared" si="2974"/>
        <v>0</v>
      </c>
      <c r="BZ460" s="55">
        <f t="shared" si="2974"/>
        <v>0</v>
      </c>
      <c r="CA460" s="55">
        <f t="shared" si="2974"/>
        <v>0</v>
      </c>
      <c r="CB460" s="55">
        <f t="shared" si="2974"/>
        <v>0</v>
      </c>
      <c r="CC460" s="55">
        <f t="shared" ref="CC460:CR460" si="3002">CC425+CC448</f>
        <v>0</v>
      </c>
      <c r="CD460" s="55">
        <f t="shared" si="3002"/>
        <v>0</v>
      </c>
      <c r="CE460" s="55">
        <f t="shared" si="3002"/>
        <v>0</v>
      </c>
      <c r="CF460" s="55">
        <f t="shared" si="3002"/>
        <v>0</v>
      </c>
      <c r="CG460" s="55">
        <f t="shared" si="3002"/>
        <v>0</v>
      </c>
      <c r="CH460" s="55">
        <f t="shared" si="3002"/>
        <v>0</v>
      </c>
      <c r="CI460" s="55">
        <f t="shared" si="3002"/>
        <v>0</v>
      </c>
      <c r="CJ460" s="55">
        <f t="shared" si="3002"/>
        <v>0</v>
      </c>
      <c r="CK460" s="55">
        <f t="shared" si="3002"/>
        <v>0</v>
      </c>
      <c r="CL460" s="55">
        <f t="shared" si="3002"/>
        <v>0</v>
      </c>
      <c r="CM460" s="55">
        <f t="shared" si="3002"/>
        <v>0</v>
      </c>
      <c r="CN460" s="55">
        <f t="shared" si="3002"/>
        <v>0</v>
      </c>
      <c r="CO460" s="55">
        <f t="shared" si="3002"/>
        <v>0</v>
      </c>
      <c r="CP460" s="55">
        <f t="shared" si="3002"/>
        <v>0</v>
      </c>
      <c r="CQ460" s="55">
        <f t="shared" si="3002"/>
        <v>0</v>
      </c>
      <c r="CR460" s="55">
        <f t="shared" si="3002"/>
        <v>0</v>
      </c>
      <c r="CS460" s="55">
        <f t="shared" ref="CS460:DC460" si="3003">CS425+CS448</f>
        <v>0</v>
      </c>
      <c r="CT460" s="55">
        <f t="shared" si="3003"/>
        <v>0</v>
      </c>
      <c r="CU460" s="55">
        <f t="shared" si="3003"/>
        <v>0</v>
      </c>
      <c r="CV460" s="55">
        <f t="shared" si="3003"/>
        <v>0</v>
      </c>
      <c r="CW460" s="55">
        <f t="shared" si="3003"/>
        <v>0</v>
      </c>
      <c r="CX460" s="55">
        <f t="shared" si="3003"/>
        <v>0</v>
      </c>
      <c r="CY460" s="55">
        <f t="shared" si="3003"/>
        <v>0</v>
      </c>
      <c r="CZ460" s="56">
        <f t="shared" si="3003"/>
        <v>0</v>
      </c>
      <c r="DA460" s="55">
        <f t="shared" si="3003"/>
        <v>0</v>
      </c>
      <c r="DB460" s="55">
        <f t="shared" si="3003"/>
        <v>0</v>
      </c>
      <c r="DC460" s="55">
        <f t="shared" si="3003"/>
        <v>0</v>
      </c>
      <c r="DD460" s="55">
        <f t="shared" si="2977"/>
        <v>0</v>
      </c>
      <c r="DE460" s="55">
        <f t="shared" si="2977"/>
        <v>0</v>
      </c>
      <c r="DF460" s="55">
        <f>DF425+DF448</f>
        <v>0</v>
      </c>
      <c r="DG460" s="55">
        <f t="shared" si="2978"/>
        <v>0</v>
      </c>
      <c r="DH460" s="55">
        <f t="shared" si="2979"/>
        <v>0</v>
      </c>
      <c r="DI460" s="55">
        <f t="shared" si="2979"/>
        <v>0</v>
      </c>
    </row>
    <row r="461" spans="1:113" s="24" customFormat="1" outlineLevel="2">
      <c r="A461" s="1" t="s">
        <v>97</v>
      </c>
      <c r="B461" s="24" t="s">
        <v>320</v>
      </c>
      <c r="C461" s="82">
        <f t="shared" ref="C461:L461" si="3004">SUM(C454:C460)</f>
        <v>1858</v>
      </c>
      <c r="D461" s="82">
        <f t="shared" si="3004"/>
        <v>1952</v>
      </c>
      <c r="E461" s="82">
        <f t="shared" si="3004"/>
        <v>1915</v>
      </c>
      <c r="F461" s="82">
        <f t="shared" si="3004"/>
        <v>1775</v>
      </c>
      <c r="G461" s="82">
        <f t="shared" si="3004"/>
        <v>2073</v>
      </c>
      <c r="H461" s="82">
        <f t="shared" si="3004"/>
        <v>2008</v>
      </c>
      <c r="I461" s="82">
        <f t="shared" si="3004"/>
        <v>2234</v>
      </c>
      <c r="J461" s="82">
        <f t="shared" si="3004"/>
        <v>2586</v>
      </c>
      <c r="K461" s="82">
        <f t="shared" si="3004"/>
        <v>2647</v>
      </c>
      <c r="L461" s="82">
        <f t="shared" si="3004"/>
        <v>3043</v>
      </c>
      <c r="M461" s="82">
        <f t="shared" ref="M461:AD461" si="3005">SUM(M454:M460)</f>
        <v>3044</v>
      </c>
      <c r="N461" s="82">
        <f t="shared" si="3005"/>
        <v>3413</v>
      </c>
      <c r="O461" s="82">
        <f t="shared" si="3005"/>
        <v>3357</v>
      </c>
      <c r="P461" s="82">
        <f t="shared" si="3005"/>
        <v>3638</v>
      </c>
      <c r="Q461" s="82">
        <f t="shared" si="3005"/>
        <v>3682</v>
      </c>
      <c r="R461" s="82">
        <f t="shared" si="3005"/>
        <v>4473</v>
      </c>
      <c r="S461" s="82">
        <f t="shared" si="3005"/>
        <v>4771</v>
      </c>
      <c r="T461" s="82">
        <f t="shared" si="3005"/>
        <v>5424</v>
      </c>
      <c r="U461" s="82">
        <f t="shared" si="3005"/>
        <v>5034</v>
      </c>
      <c r="V461" s="82">
        <f t="shared" si="3005"/>
        <v>5331</v>
      </c>
      <c r="W461" s="82">
        <f t="shared" si="3005"/>
        <v>5437</v>
      </c>
      <c r="X461" s="82">
        <f t="shared" si="3005"/>
        <v>5503</v>
      </c>
      <c r="Y461" s="82">
        <f>SUM(Y454:Y460)</f>
        <v>5451</v>
      </c>
      <c r="Z461" s="82">
        <f>SUM(Z454:Z460)</f>
        <v>5822</v>
      </c>
      <c r="AA461" s="82">
        <f t="shared" si="3005"/>
        <v>5989</v>
      </c>
      <c r="AB461" s="82">
        <f t="shared" si="3005"/>
        <v>6397</v>
      </c>
      <c r="AC461" s="82">
        <f t="shared" si="3005"/>
        <v>6505</v>
      </c>
      <c r="AD461" s="82">
        <f t="shared" si="3005"/>
        <v>6813</v>
      </c>
      <c r="AE461" s="82">
        <f t="shared" ref="AE461:AK461" si="3006">SUM(AE454:AE460)</f>
        <v>6772</v>
      </c>
      <c r="AF461" s="82">
        <f t="shared" si="3006"/>
        <v>7210</v>
      </c>
      <c r="AG461" s="82">
        <f t="shared" si="3006"/>
        <v>7103</v>
      </c>
      <c r="AH461" s="82">
        <f t="shared" si="3006"/>
        <v>7361</v>
      </c>
      <c r="AI461" s="82">
        <f t="shared" si="3006"/>
        <v>7258</v>
      </c>
      <c r="AJ461" s="82">
        <f t="shared" si="3006"/>
        <v>7193</v>
      </c>
      <c r="AK461" s="82">
        <f t="shared" si="3006"/>
        <v>6734</v>
      </c>
      <c r="AL461" s="82">
        <f t="shared" ref="AL461:AQ461" si="3007">SUM(AL454:AL460)</f>
        <v>6895.7162288178552</v>
      </c>
      <c r="AM461" s="82">
        <f t="shared" si="3007"/>
        <v>5859.2837711821476</v>
      </c>
      <c r="AN461" s="82">
        <f t="shared" si="3007"/>
        <v>6770</v>
      </c>
      <c r="AO461" s="82">
        <f t="shared" si="3007"/>
        <v>5995</v>
      </c>
      <c r="AP461" s="82">
        <f t="shared" si="3007"/>
        <v>6370</v>
      </c>
      <c r="AQ461" s="82">
        <f t="shared" si="3007"/>
        <v>6427</v>
      </c>
      <c r="AR461" s="82">
        <f t="shared" ref="AR461" si="3008">SUM(AR454:AR460)</f>
        <v>6617</v>
      </c>
      <c r="AS461" s="82">
        <f t="shared" ref="AS461:AT461" si="3009">SUM(AS454:AS460)</f>
        <v>6644</v>
      </c>
      <c r="AT461" s="82">
        <f t="shared" si="3009"/>
        <v>7850</v>
      </c>
      <c r="AU461" s="82">
        <f t="shared" ref="AU461:AV461" si="3010">SUM(AU454:AU460)</f>
        <v>7427</v>
      </c>
      <c r="AV461" s="82">
        <f t="shared" si="3010"/>
        <v>7638</v>
      </c>
      <c r="AW461" s="82">
        <f t="shared" ref="AW461:AX461" si="3011">SUM(AW454:AW460)</f>
        <v>7318</v>
      </c>
      <c r="AX461" s="82">
        <f t="shared" si="3011"/>
        <v>7725</v>
      </c>
      <c r="AY461" s="82">
        <f t="shared" ref="AY461:BE461" si="3012">SUM(AY454:AY460)</f>
        <v>7743.9999999999982</v>
      </c>
      <c r="AZ461" s="83">
        <f t="shared" si="3012"/>
        <v>8131</v>
      </c>
      <c r="BA461" s="82">
        <f t="shared" si="3012"/>
        <v>8401.3777030610745</v>
      </c>
      <c r="BB461" s="82">
        <f t="shared" si="3012"/>
        <v>8662.6725525248003</v>
      </c>
      <c r="BC461" s="82">
        <f t="shared" si="3012"/>
        <v>8679.4648954495606</v>
      </c>
      <c r="BD461" s="82">
        <f t="shared" si="3012"/>
        <v>8822.1278419913615</v>
      </c>
      <c r="BE461" s="82">
        <f t="shared" si="3012"/>
        <v>9071.494799422424</v>
      </c>
      <c r="BF461" s="82">
        <f t="shared" ref="BF461:BM461" si="3013">SUM(BF454:BF460)</f>
        <v>9307.4208675063383</v>
      </c>
      <c r="BG461" s="82">
        <f t="shared" si="3013"/>
        <v>9383.3484566206116</v>
      </c>
      <c r="BH461" s="82">
        <f t="shared" si="3013"/>
        <v>9567.4941719473609</v>
      </c>
      <c r="BI461" s="82">
        <f t="shared" si="3013"/>
        <v>9589.0273152149603</v>
      </c>
      <c r="BJ461" s="82">
        <f t="shared" si="3013"/>
        <v>9837.6156987059185</v>
      </c>
      <c r="BK461" s="82">
        <f t="shared" si="3013"/>
        <v>9771.3272262096325</v>
      </c>
      <c r="BL461" s="82">
        <f t="shared" si="3013"/>
        <v>10035.092299185588</v>
      </c>
      <c r="BM461" s="82">
        <f t="shared" si="3013"/>
        <v>10031.725589012643</v>
      </c>
      <c r="BN461" s="82">
        <f t="shared" ref="BN461:BO461" si="3014">SUM(BN454:BN460)</f>
        <v>10336.180755673224</v>
      </c>
      <c r="BO461" s="82">
        <f t="shared" si="3014"/>
        <v>10318.225041088532</v>
      </c>
      <c r="BP461" s="82">
        <f t="shared" ref="BP461:BQ461" si="3015">SUM(BP454:BP460)</f>
        <v>10665.257982185372</v>
      </c>
      <c r="BQ461" s="82">
        <f t="shared" si="3015"/>
        <v>10647.30600179051</v>
      </c>
      <c r="BR461" s="82"/>
      <c r="BS461" s="82">
        <f t="shared" ref="BS461:CB461" si="3016">SUM(BS454:BS460)</f>
        <v>1504</v>
      </c>
      <c r="BT461" s="82">
        <f t="shared" si="3016"/>
        <v>1413</v>
      </c>
      <c r="BU461" s="82">
        <f t="shared" si="3016"/>
        <v>1375</v>
      </c>
      <c r="BV461" s="82">
        <f t="shared" si="3016"/>
        <v>1705</v>
      </c>
      <c r="BW461" s="82">
        <f t="shared" si="3016"/>
        <v>1889</v>
      </c>
      <c r="BX461" s="82">
        <f t="shared" si="3016"/>
        <v>1957</v>
      </c>
      <c r="BY461" s="82">
        <f t="shared" si="3016"/>
        <v>2191</v>
      </c>
      <c r="BZ461" s="82">
        <f t="shared" si="3016"/>
        <v>2454</v>
      </c>
      <c r="CA461" s="82">
        <f t="shared" si="3016"/>
        <v>2732</v>
      </c>
      <c r="CB461" s="82">
        <f t="shared" si="3016"/>
        <v>3654</v>
      </c>
      <c r="CC461" s="82">
        <f t="shared" ref="CC461:CP461" si="3017">SUM(CC454:CC460)</f>
        <v>3867</v>
      </c>
      <c r="CD461" s="82">
        <f t="shared" si="3017"/>
        <v>3848</v>
      </c>
      <c r="CE461" s="82">
        <f t="shared" si="3017"/>
        <v>4242</v>
      </c>
      <c r="CF461" s="82">
        <f t="shared" si="3017"/>
        <v>5233</v>
      </c>
      <c r="CG461" s="82">
        <f t="shared" si="3017"/>
        <v>6087</v>
      </c>
      <c r="CH461" s="82">
        <f t="shared" si="3017"/>
        <v>6770</v>
      </c>
      <c r="CI461" s="82">
        <f t="shared" si="3017"/>
        <v>7320</v>
      </c>
      <c r="CJ461" s="82">
        <f>SUM(CJ454:CJ460)</f>
        <v>9244</v>
      </c>
      <c r="CK461" s="82">
        <f t="shared" si="3017"/>
        <v>10458</v>
      </c>
      <c r="CL461" s="82">
        <f t="shared" si="3017"/>
        <v>10768</v>
      </c>
      <c r="CM461" s="82">
        <f t="shared" si="3017"/>
        <v>10954</v>
      </c>
      <c r="CN461" s="82">
        <f t="shared" si="3017"/>
        <v>11811</v>
      </c>
      <c r="CO461" s="82">
        <f t="shared" si="3017"/>
        <v>12902</v>
      </c>
      <c r="CP461" s="82">
        <f t="shared" si="3017"/>
        <v>13585</v>
      </c>
      <c r="CQ461" s="82">
        <f t="shared" ref="CQ461:CX461" si="3018">SUM(CQ454:CQ460)</f>
        <v>14313</v>
      </c>
      <c r="CR461" s="82">
        <f t="shared" si="3018"/>
        <v>14619</v>
      </c>
      <c r="CS461" s="82">
        <f t="shared" si="3018"/>
        <v>13927</v>
      </c>
      <c r="CT461" s="82">
        <f t="shared" si="3018"/>
        <v>12755</v>
      </c>
      <c r="CU461" s="82">
        <f t="shared" si="3018"/>
        <v>12765</v>
      </c>
      <c r="CV461" s="82">
        <f t="shared" si="3018"/>
        <v>12797</v>
      </c>
      <c r="CW461" s="82">
        <f t="shared" si="3018"/>
        <v>13261</v>
      </c>
      <c r="CX461" s="82">
        <f t="shared" si="3018"/>
        <v>15277</v>
      </c>
      <c r="CY461" s="82">
        <f t="shared" ref="CY461:DD461" si="3019">SUM(CY454:CY460)</f>
        <v>14956</v>
      </c>
      <c r="CZ461" s="83">
        <f t="shared" si="3019"/>
        <v>15469</v>
      </c>
      <c r="DA461" s="82">
        <f t="shared" si="3019"/>
        <v>16532.377703061073</v>
      </c>
      <c r="DB461" s="82">
        <f t="shared" si="3019"/>
        <v>17342.137447974361</v>
      </c>
      <c r="DC461" s="82">
        <f t="shared" si="3019"/>
        <v>17893.622641413789</v>
      </c>
      <c r="DD461" s="82">
        <f t="shared" si="3019"/>
        <v>18690.769324126944</v>
      </c>
      <c r="DE461" s="82">
        <f>SUM(DE454:DE460)</f>
        <v>19156.521487162317</v>
      </c>
      <c r="DF461" s="82">
        <f>SUM(DF454:DF460)</f>
        <v>19608.942924915555</v>
      </c>
      <c r="DG461" s="82">
        <f>SUM(DG454:DG460)</f>
        <v>20066.817888198235</v>
      </c>
      <c r="DH461" s="82">
        <f>SUM(DH454:DH460)</f>
        <v>20654.405796761752</v>
      </c>
      <c r="DI461" s="82">
        <f>SUM(DI454:DI460)</f>
        <v>21312.563983975881</v>
      </c>
    </row>
    <row r="462" spans="1:113" outlineLevel="2">
      <c r="A462" s="1" t="s">
        <v>98</v>
      </c>
      <c r="B462" s="19" t="s">
        <v>526</v>
      </c>
      <c r="C462" s="55">
        <f t="shared" ref="C462:L462" si="3020">C427+C450</f>
        <v>0</v>
      </c>
      <c r="D462" s="55">
        <f t="shared" si="3020"/>
        <v>0</v>
      </c>
      <c r="E462" s="55">
        <f t="shared" si="3020"/>
        <v>0</v>
      </c>
      <c r="F462" s="55">
        <f t="shared" si="3020"/>
        <v>0</v>
      </c>
      <c r="G462" s="55">
        <f t="shared" si="3020"/>
        <v>0</v>
      </c>
      <c r="H462" s="55">
        <f t="shared" si="3020"/>
        <v>0</v>
      </c>
      <c r="I462" s="55">
        <f t="shared" si="3020"/>
        <v>0</v>
      </c>
      <c r="J462" s="55">
        <f t="shared" si="3020"/>
        <v>82</v>
      </c>
      <c r="K462" s="55">
        <f t="shared" si="3020"/>
        <v>19</v>
      </c>
      <c r="L462" s="55">
        <f t="shared" si="3020"/>
        <v>116</v>
      </c>
      <c r="M462" s="55">
        <f t="shared" ref="M462:T462" si="3021">M427+M450</f>
        <v>70</v>
      </c>
      <c r="N462" s="55">
        <f t="shared" si="3021"/>
        <v>-11</v>
      </c>
      <c r="O462" s="55">
        <f t="shared" si="3021"/>
        <v>213</v>
      </c>
      <c r="P462" s="55">
        <f t="shared" si="3021"/>
        <v>22</v>
      </c>
      <c r="Q462" s="55">
        <f t="shared" si="3021"/>
        <v>-157</v>
      </c>
      <c r="R462" s="55">
        <f t="shared" si="3021"/>
        <v>417</v>
      </c>
      <c r="S462" s="55">
        <f t="shared" si="3021"/>
        <v>-164</v>
      </c>
      <c r="T462" s="55">
        <f t="shared" si="3021"/>
        <v>382</v>
      </c>
      <c r="U462" s="55">
        <f t="shared" ref="U462:AD462" si="3022">U427+U450</f>
        <v>-268</v>
      </c>
      <c r="V462" s="55">
        <f t="shared" si="3022"/>
        <v>-287</v>
      </c>
      <c r="W462" s="55">
        <f t="shared" si="3022"/>
        <v>-144</v>
      </c>
      <c r="X462" s="55">
        <f t="shared" si="3022"/>
        <v>103</v>
      </c>
      <c r="Y462" s="55">
        <f>Y427+Y450</f>
        <v>-4</v>
      </c>
      <c r="Z462" s="55">
        <f>Z427+Z450</f>
        <v>-17</v>
      </c>
      <c r="AA462" s="55">
        <f t="shared" si="3022"/>
        <v>-3</v>
      </c>
      <c r="AB462" s="55">
        <f t="shared" si="3022"/>
        <v>-25</v>
      </c>
      <c r="AC462" s="55">
        <f t="shared" si="3022"/>
        <v>38</v>
      </c>
      <c r="AD462" s="55">
        <f t="shared" si="3022"/>
        <v>-53</v>
      </c>
      <c r="AE462" s="55">
        <f t="shared" ref="AE462:AK462" si="3023">AE427+AE450</f>
        <v>68</v>
      </c>
      <c r="AF462" s="55">
        <f t="shared" si="3023"/>
        <v>-251</v>
      </c>
      <c r="AG462" s="55">
        <f t="shared" si="3023"/>
        <v>43</v>
      </c>
      <c r="AH462" s="55">
        <f t="shared" si="3023"/>
        <v>8</v>
      </c>
      <c r="AI462" s="55">
        <f t="shared" si="3023"/>
        <v>94</v>
      </c>
      <c r="AJ462" s="55">
        <f t="shared" si="3023"/>
        <v>200</v>
      </c>
      <c r="AK462" s="55">
        <f t="shared" si="3023"/>
        <v>-26</v>
      </c>
      <c r="AL462" s="55">
        <f t="shared" ref="AL462:AQ462" si="3024">AL427+AL450</f>
        <v>93.283771182144847</v>
      </c>
      <c r="AM462" s="55">
        <f t="shared" si="3024"/>
        <v>115.71622881785242</v>
      </c>
      <c r="AN462" s="55">
        <f t="shared" si="3024"/>
        <v>266</v>
      </c>
      <c r="AO462" s="55">
        <f t="shared" si="3024"/>
        <v>139</v>
      </c>
      <c r="AP462" s="55">
        <f t="shared" si="3024"/>
        <v>-126</v>
      </c>
      <c r="AQ462" s="55">
        <f t="shared" si="3024"/>
        <v>258</v>
      </c>
      <c r="AR462" s="55">
        <f t="shared" ref="AR462" si="3025">AR427+AR450</f>
        <v>-46</v>
      </c>
      <c r="AS462" s="55">
        <f t="shared" ref="AS462:AT462" si="3026">AS427+AS450</f>
        <v>112</v>
      </c>
      <c r="AT462" s="55">
        <f t="shared" si="3026"/>
        <v>136</v>
      </c>
      <c r="AU462" s="55">
        <f t="shared" ref="AU462:AV462" si="3027">AU427+AU450</f>
        <v>-64</v>
      </c>
      <c r="AV462" s="55">
        <f t="shared" si="3027"/>
        <v>-158</v>
      </c>
      <c r="AW462" s="55">
        <f t="shared" ref="AW462:AX462" si="3028">AW427+AW450</f>
        <v>-214</v>
      </c>
      <c r="AX462" s="55">
        <f t="shared" si="3028"/>
        <v>1</v>
      </c>
      <c r="AY462" s="55">
        <f>AY427+AY450</f>
        <v>-195</v>
      </c>
      <c r="AZ462" s="56">
        <f t="shared" ref="AZ462:BE462" si="3029">AZ427+AZ450</f>
        <v>-47</v>
      </c>
      <c r="BA462" s="55">
        <f t="shared" si="3029"/>
        <v>0</v>
      </c>
      <c r="BB462" s="55">
        <f t="shared" si="3029"/>
        <v>0</v>
      </c>
      <c r="BC462" s="55">
        <f t="shared" si="3029"/>
        <v>0</v>
      </c>
      <c r="BD462" s="55">
        <f t="shared" si="3029"/>
        <v>0</v>
      </c>
      <c r="BE462" s="55">
        <f t="shared" si="3029"/>
        <v>0</v>
      </c>
      <c r="BF462" s="55">
        <f t="shared" ref="BF462:BM462" si="3030">BF427+BF450</f>
        <v>0</v>
      </c>
      <c r="BG462" s="55">
        <f t="shared" si="3030"/>
        <v>0</v>
      </c>
      <c r="BH462" s="55">
        <f t="shared" si="3030"/>
        <v>0</v>
      </c>
      <c r="BI462" s="55">
        <f t="shared" si="3030"/>
        <v>0</v>
      </c>
      <c r="BJ462" s="55">
        <f t="shared" si="3030"/>
        <v>0</v>
      </c>
      <c r="BK462" s="55">
        <f t="shared" si="3030"/>
        <v>0</v>
      </c>
      <c r="BL462" s="55">
        <f t="shared" si="3030"/>
        <v>0</v>
      </c>
      <c r="BM462" s="55">
        <f t="shared" si="3030"/>
        <v>0</v>
      </c>
      <c r="BN462" s="55">
        <f t="shared" ref="BN462:BO462" si="3031">BN427+BN450</f>
        <v>0</v>
      </c>
      <c r="BO462" s="55">
        <f t="shared" si="3031"/>
        <v>0</v>
      </c>
      <c r="BP462" s="55">
        <f t="shared" ref="BP462:BQ462" si="3032">BP427+BP450</f>
        <v>0</v>
      </c>
      <c r="BQ462" s="55">
        <f t="shared" si="3032"/>
        <v>0</v>
      </c>
      <c r="BR462" s="55"/>
      <c r="BS462" s="55">
        <f t="shared" ref="BS462:CB462" si="3033">BS427+BS450</f>
        <v>0</v>
      </c>
      <c r="BT462" s="55">
        <f t="shared" si="3033"/>
        <v>-136</v>
      </c>
      <c r="BU462" s="55">
        <f t="shared" si="3033"/>
        <v>0</v>
      </c>
      <c r="BV462" s="55">
        <f t="shared" si="3033"/>
        <v>-28</v>
      </c>
      <c r="BW462" s="55">
        <f t="shared" si="3033"/>
        <v>0</v>
      </c>
      <c r="BX462" s="55">
        <f t="shared" si="3033"/>
        <v>-171</v>
      </c>
      <c r="BY462" s="55">
        <f t="shared" si="3033"/>
        <v>-207</v>
      </c>
      <c r="BZ462" s="55">
        <f t="shared" si="3033"/>
        <v>-47</v>
      </c>
      <c r="CA462" s="55">
        <f t="shared" si="3033"/>
        <v>1002</v>
      </c>
      <c r="CB462" s="55">
        <f t="shared" si="3033"/>
        <v>136</v>
      </c>
      <c r="CC462" s="55">
        <f t="shared" ref="CC462:CO462" si="3034">CC427+CC450</f>
        <v>0</v>
      </c>
      <c r="CD462" s="55">
        <f t="shared" si="3034"/>
        <v>0</v>
      </c>
      <c r="CE462" s="55">
        <f t="shared" si="3034"/>
        <v>0</v>
      </c>
      <c r="CF462" s="55">
        <f t="shared" si="3034"/>
        <v>101</v>
      </c>
      <c r="CG462" s="55">
        <f t="shared" si="3034"/>
        <v>186</v>
      </c>
      <c r="CH462" s="55">
        <f t="shared" si="3034"/>
        <v>202</v>
      </c>
      <c r="CI462" s="55">
        <f t="shared" si="3034"/>
        <v>-135</v>
      </c>
      <c r="CJ462" s="55">
        <f t="shared" si="3034"/>
        <v>253</v>
      </c>
      <c r="CK462" s="55">
        <f t="shared" si="3034"/>
        <v>114</v>
      </c>
      <c r="CL462" s="55">
        <f t="shared" si="3034"/>
        <v>-431</v>
      </c>
      <c r="CM462" s="55">
        <f t="shared" si="3034"/>
        <v>99</v>
      </c>
      <c r="CN462" s="55">
        <f t="shared" si="3034"/>
        <v>-20</v>
      </c>
      <c r="CO462" s="55">
        <f t="shared" si="3034"/>
        <v>13</v>
      </c>
      <c r="CP462" s="55">
        <f t="shared" ref="CP462:CX462" si="3035">CP427+CP450</f>
        <v>15</v>
      </c>
      <c r="CQ462" s="55">
        <f t="shared" si="3035"/>
        <v>-208</v>
      </c>
      <c r="CR462" s="55">
        <f t="shared" si="3035"/>
        <v>102</v>
      </c>
      <c r="CS462" s="55">
        <f t="shared" si="3035"/>
        <v>174</v>
      </c>
      <c r="CT462" s="55">
        <f t="shared" si="3035"/>
        <v>208.99999999999727</v>
      </c>
      <c r="CU462" s="55">
        <f t="shared" si="3035"/>
        <v>405</v>
      </c>
      <c r="CV462" s="55">
        <f t="shared" si="3035"/>
        <v>132</v>
      </c>
      <c r="CW462" s="55">
        <f t="shared" si="3035"/>
        <v>66</v>
      </c>
      <c r="CX462" s="55">
        <f t="shared" si="3035"/>
        <v>72</v>
      </c>
      <c r="CY462" s="55">
        <f t="shared" ref="CY462:DD462" si="3036">CY427+CY450</f>
        <v>-372</v>
      </c>
      <c r="CZ462" s="56">
        <f t="shared" si="3036"/>
        <v>-194</v>
      </c>
      <c r="DA462" s="55">
        <f t="shared" si="3036"/>
        <v>-47</v>
      </c>
      <c r="DB462" s="55">
        <f t="shared" si="3036"/>
        <v>0</v>
      </c>
      <c r="DC462" s="55">
        <f t="shared" si="3036"/>
        <v>0</v>
      </c>
      <c r="DD462" s="55">
        <f t="shared" si="3036"/>
        <v>0</v>
      </c>
      <c r="DE462" s="55">
        <f>DE427+DE450</f>
        <v>0</v>
      </c>
      <c r="DF462" s="55">
        <f>DF427+DF450</f>
        <v>0</v>
      </c>
      <c r="DG462" s="55">
        <f>DG427+DG450</f>
        <v>0</v>
      </c>
      <c r="DH462" s="55">
        <f>DH427+DH450</f>
        <v>0</v>
      </c>
      <c r="DI462" s="55">
        <f>DI427+DI450</f>
        <v>0</v>
      </c>
    </row>
    <row r="463" spans="1:113" s="24" customFormat="1" outlineLevel="2">
      <c r="A463" s="1" t="s">
        <v>99</v>
      </c>
      <c r="B463" s="24" t="s">
        <v>476</v>
      </c>
      <c r="C463" s="82">
        <f>C461+C462</f>
        <v>1858</v>
      </c>
      <c r="D463" s="82">
        <f>D461+D462</f>
        <v>1952</v>
      </c>
      <c r="E463" s="82">
        <f t="shared" ref="E463:L463" si="3037">E461+E462</f>
        <v>1915</v>
      </c>
      <c r="F463" s="82">
        <f t="shared" si="3037"/>
        <v>1775</v>
      </c>
      <c r="G463" s="82">
        <f t="shared" si="3037"/>
        <v>2073</v>
      </c>
      <c r="H463" s="82">
        <f t="shared" si="3037"/>
        <v>2008</v>
      </c>
      <c r="I463" s="82">
        <f t="shared" si="3037"/>
        <v>2234</v>
      </c>
      <c r="J463" s="82">
        <f t="shared" si="3037"/>
        <v>2668</v>
      </c>
      <c r="K463" s="82">
        <f t="shared" si="3037"/>
        <v>2666</v>
      </c>
      <c r="L463" s="82">
        <f t="shared" si="3037"/>
        <v>3159</v>
      </c>
      <c r="M463" s="82">
        <f t="shared" ref="M463:AD463" si="3038">M461+M462</f>
        <v>3114</v>
      </c>
      <c r="N463" s="82">
        <f t="shared" si="3038"/>
        <v>3402</v>
      </c>
      <c r="O463" s="82">
        <f t="shared" si="3038"/>
        <v>3570</v>
      </c>
      <c r="P463" s="82">
        <f t="shared" si="3038"/>
        <v>3660</v>
      </c>
      <c r="Q463" s="82">
        <f t="shared" si="3038"/>
        <v>3525</v>
      </c>
      <c r="R463" s="82">
        <f t="shared" si="3038"/>
        <v>4890</v>
      </c>
      <c r="S463" s="82">
        <f t="shared" si="3038"/>
        <v>4607</v>
      </c>
      <c r="T463" s="82">
        <f t="shared" si="3038"/>
        <v>5806</v>
      </c>
      <c r="U463" s="82">
        <f t="shared" si="3038"/>
        <v>4766</v>
      </c>
      <c r="V463" s="82">
        <f t="shared" si="3038"/>
        <v>5044</v>
      </c>
      <c r="W463" s="82">
        <f t="shared" si="3038"/>
        <v>5293</v>
      </c>
      <c r="X463" s="82">
        <f t="shared" si="3038"/>
        <v>5606</v>
      </c>
      <c r="Y463" s="82">
        <f>Y461+Y462</f>
        <v>5447</v>
      </c>
      <c r="Z463" s="82">
        <f>Z461+Z462</f>
        <v>5805</v>
      </c>
      <c r="AA463" s="82">
        <f t="shared" si="3038"/>
        <v>5986</v>
      </c>
      <c r="AB463" s="82">
        <f t="shared" si="3038"/>
        <v>6372</v>
      </c>
      <c r="AC463" s="82">
        <f t="shared" si="3038"/>
        <v>6543</v>
      </c>
      <c r="AD463" s="82">
        <f t="shared" si="3038"/>
        <v>6760</v>
      </c>
      <c r="AE463" s="82">
        <f t="shared" ref="AE463:AK463" si="3039">AE461+AE462</f>
        <v>6840</v>
      </c>
      <c r="AF463" s="82">
        <f t="shared" si="3039"/>
        <v>6959</v>
      </c>
      <c r="AG463" s="82">
        <f t="shared" si="3039"/>
        <v>7146</v>
      </c>
      <c r="AH463" s="82">
        <f t="shared" si="3039"/>
        <v>7369</v>
      </c>
      <c r="AI463" s="82">
        <f t="shared" si="3039"/>
        <v>7352</v>
      </c>
      <c r="AJ463" s="82">
        <f t="shared" si="3039"/>
        <v>7393</v>
      </c>
      <c r="AK463" s="82">
        <f t="shared" si="3039"/>
        <v>6708</v>
      </c>
      <c r="AL463" s="82">
        <f t="shared" ref="AL463:AQ463" si="3040">AL461+AL462</f>
        <v>6989</v>
      </c>
      <c r="AM463" s="82">
        <f t="shared" si="3040"/>
        <v>5975</v>
      </c>
      <c r="AN463" s="82">
        <f t="shared" si="3040"/>
        <v>7036</v>
      </c>
      <c r="AO463" s="82">
        <f t="shared" si="3040"/>
        <v>6134</v>
      </c>
      <c r="AP463" s="82">
        <f t="shared" si="3040"/>
        <v>6244</v>
      </c>
      <c r="AQ463" s="82">
        <f t="shared" si="3040"/>
        <v>6685</v>
      </c>
      <c r="AR463" s="82">
        <f t="shared" ref="AR463" si="3041">AR461+AR462</f>
        <v>6571</v>
      </c>
      <c r="AS463" s="82">
        <f t="shared" ref="AS463:AT463" si="3042">AS461+AS462</f>
        <v>6756</v>
      </c>
      <c r="AT463" s="82">
        <f t="shared" si="3042"/>
        <v>7986</v>
      </c>
      <c r="AU463" s="82">
        <f t="shared" ref="AU463:AV463" si="3043">AU461+AU462</f>
        <v>7363</v>
      </c>
      <c r="AV463" s="82">
        <f t="shared" si="3043"/>
        <v>7480</v>
      </c>
      <c r="AW463" s="82">
        <f t="shared" ref="AW463:AX463" si="3044">AW461+AW462</f>
        <v>7104</v>
      </c>
      <c r="AX463" s="82">
        <f t="shared" si="3044"/>
        <v>7726</v>
      </c>
      <c r="AY463" s="82">
        <f t="shared" ref="AY463:BE463" si="3045">AY461+AY462</f>
        <v>7548.9999999999982</v>
      </c>
      <c r="AZ463" s="83">
        <f t="shared" si="3045"/>
        <v>8084</v>
      </c>
      <c r="BA463" s="82">
        <f t="shared" si="3045"/>
        <v>8401.3777030610745</v>
      </c>
      <c r="BB463" s="82">
        <f t="shared" si="3045"/>
        <v>8662.6725525248003</v>
      </c>
      <c r="BC463" s="82">
        <f t="shared" si="3045"/>
        <v>8679.4648954495606</v>
      </c>
      <c r="BD463" s="82">
        <f t="shared" si="3045"/>
        <v>8822.1278419913615</v>
      </c>
      <c r="BE463" s="82">
        <f t="shared" si="3045"/>
        <v>9071.494799422424</v>
      </c>
      <c r="BF463" s="82">
        <f t="shared" ref="BF463:BM463" si="3046">BF461+BF462</f>
        <v>9307.4208675063383</v>
      </c>
      <c r="BG463" s="82">
        <f t="shared" si="3046"/>
        <v>9383.3484566206116</v>
      </c>
      <c r="BH463" s="82">
        <f t="shared" si="3046"/>
        <v>9567.4941719473609</v>
      </c>
      <c r="BI463" s="82">
        <f t="shared" si="3046"/>
        <v>9589.0273152149603</v>
      </c>
      <c r="BJ463" s="82">
        <f t="shared" si="3046"/>
        <v>9837.6156987059185</v>
      </c>
      <c r="BK463" s="82">
        <f t="shared" si="3046"/>
        <v>9771.3272262096325</v>
      </c>
      <c r="BL463" s="82">
        <f t="shared" si="3046"/>
        <v>10035.092299185588</v>
      </c>
      <c r="BM463" s="82">
        <f t="shared" si="3046"/>
        <v>10031.725589012643</v>
      </c>
      <c r="BN463" s="82">
        <f t="shared" ref="BN463:BO463" si="3047">BN461+BN462</f>
        <v>10336.180755673224</v>
      </c>
      <c r="BO463" s="82">
        <f t="shared" si="3047"/>
        <v>10318.225041088532</v>
      </c>
      <c r="BP463" s="82">
        <f t="shared" ref="BP463:BQ463" si="3048">BP461+BP462</f>
        <v>10665.257982185372</v>
      </c>
      <c r="BQ463" s="82">
        <f t="shared" si="3048"/>
        <v>10647.30600179051</v>
      </c>
      <c r="BR463" s="82"/>
      <c r="BS463" s="82">
        <f t="shared" ref="BS463:CB463" si="3049">BS461+BS462</f>
        <v>1504</v>
      </c>
      <c r="BT463" s="82">
        <f t="shared" si="3049"/>
        <v>1277</v>
      </c>
      <c r="BU463" s="82">
        <f t="shared" si="3049"/>
        <v>1375</v>
      </c>
      <c r="BV463" s="82">
        <f t="shared" si="3049"/>
        <v>1677</v>
      </c>
      <c r="BW463" s="82">
        <f t="shared" si="3049"/>
        <v>1889</v>
      </c>
      <c r="BX463" s="82">
        <f t="shared" si="3049"/>
        <v>1786</v>
      </c>
      <c r="BY463" s="82">
        <f t="shared" si="3049"/>
        <v>1984</v>
      </c>
      <c r="BZ463" s="82">
        <f t="shared" si="3049"/>
        <v>2407</v>
      </c>
      <c r="CA463" s="82">
        <f t="shared" si="3049"/>
        <v>3734</v>
      </c>
      <c r="CB463" s="82">
        <f t="shared" si="3049"/>
        <v>3790</v>
      </c>
      <c r="CC463" s="82">
        <f t="shared" ref="CC463:CP463" si="3050">CC461+CC462</f>
        <v>3867</v>
      </c>
      <c r="CD463" s="82">
        <f t="shared" si="3050"/>
        <v>3848</v>
      </c>
      <c r="CE463" s="82">
        <f t="shared" si="3050"/>
        <v>4242</v>
      </c>
      <c r="CF463" s="82">
        <f t="shared" si="3050"/>
        <v>5334</v>
      </c>
      <c r="CG463" s="82">
        <f t="shared" si="3050"/>
        <v>6273</v>
      </c>
      <c r="CH463" s="82">
        <f t="shared" si="3050"/>
        <v>6972</v>
      </c>
      <c r="CI463" s="82">
        <f t="shared" si="3050"/>
        <v>7185</v>
      </c>
      <c r="CJ463" s="82">
        <f>CJ461+CJ462</f>
        <v>9497</v>
      </c>
      <c r="CK463" s="82">
        <f t="shared" si="3050"/>
        <v>10572</v>
      </c>
      <c r="CL463" s="82">
        <f t="shared" si="3050"/>
        <v>10337</v>
      </c>
      <c r="CM463" s="82">
        <f t="shared" si="3050"/>
        <v>11053</v>
      </c>
      <c r="CN463" s="82">
        <f t="shared" si="3050"/>
        <v>11791</v>
      </c>
      <c r="CO463" s="82">
        <f t="shared" si="3050"/>
        <v>12915</v>
      </c>
      <c r="CP463" s="82">
        <f t="shared" si="3050"/>
        <v>13600</v>
      </c>
      <c r="CQ463" s="82">
        <f t="shared" ref="CQ463:CX463" si="3051">CQ461+CQ462</f>
        <v>14105</v>
      </c>
      <c r="CR463" s="82">
        <f t="shared" si="3051"/>
        <v>14721</v>
      </c>
      <c r="CS463" s="82">
        <f t="shared" si="3051"/>
        <v>14101</v>
      </c>
      <c r="CT463" s="82">
        <f t="shared" si="3051"/>
        <v>12963.999999999996</v>
      </c>
      <c r="CU463" s="82">
        <f t="shared" si="3051"/>
        <v>13170</v>
      </c>
      <c r="CV463" s="82">
        <f t="shared" si="3051"/>
        <v>12929</v>
      </c>
      <c r="CW463" s="82">
        <f t="shared" si="3051"/>
        <v>13327</v>
      </c>
      <c r="CX463" s="82">
        <f t="shared" si="3051"/>
        <v>15349</v>
      </c>
      <c r="CY463" s="82">
        <f t="shared" ref="CY463:DD463" si="3052">CY461+CY462</f>
        <v>14584</v>
      </c>
      <c r="CZ463" s="83">
        <f t="shared" si="3052"/>
        <v>15275</v>
      </c>
      <c r="DA463" s="82">
        <f t="shared" si="3052"/>
        <v>16485.377703061073</v>
      </c>
      <c r="DB463" s="82">
        <f t="shared" si="3052"/>
        <v>17342.137447974361</v>
      </c>
      <c r="DC463" s="82">
        <f t="shared" si="3052"/>
        <v>17893.622641413789</v>
      </c>
      <c r="DD463" s="82">
        <f t="shared" si="3052"/>
        <v>18690.769324126944</v>
      </c>
      <c r="DE463" s="82">
        <f>DE461+DE462</f>
        <v>19156.521487162317</v>
      </c>
      <c r="DF463" s="82">
        <f>DF461+DF462</f>
        <v>19608.942924915555</v>
      </c>
      <c r="DG463" s="82">
        <f>DG461+DG462</f>
        <v>20066.817888198235</v>
      </c>
      <c r="DH463" s="82">
        <f>DH461+DH462</f>
        <v>20654.405796761752</v>
      </c>
      <c r="DI463" s="82">
        <f>DI461+DI462</f>
        <v>21312.563983975881</v>
      </c>
    </row>
    <row r="464" spans="1:113">
      <c r="C464" s="55"/>
      <c r="D464" s="55"/>
      <c r="E464" s="55"/>
      <c r="F464" s="55"/>
      <c r="G464" s="55"/>
      <c r="H464" s="55"/>
      <c r="I464" s="55"/>
      <c r="J464" s="55"/>
      <c r="K464" s="55"/>
      <c r="L464" s="55"/>
      <c r="M464" s="55"/>
      <c r="N464" s="55"/>
      <c r="O464" s="55"/>
      <c r="P464" s="55"/>
      <c r="Q464" s="55"/>
      <c r="R464" s="55"/>
      <c r="S464" s="55"/>
      <c r="T464" s="55"/>
      <c r="U464" s="55"/>
      <c r="V464" s="55"/>
      <c r="W464" s="55"/>
      <c r="X464" s="55"/>
      <c r="Y464" s="55"/>
      <c r="Z464" s="55"/>
      <c r="AA464" s="55"/>
      <c r="AB464" s="55"/>
      <c r="AC464" s="55"/>
      <c r="AD464" s="55"/>
      <c r="AE464" s="55"/>
      <c r="AF464" s="55"/>
      <c r="AG464" s="55"/>
      <c r="AH464" s="55"/>
      <c r="AI464" s="55"/>
      <c r="AJ464" s="55"/>
      <c r="AK464" s="55"/>
      <c r="AL464" s="55"/>
      <c r="AM464" s="45"/>
      <c r="AN464" s="55"/>
      <c r="AO464" s="55"/>
      <c r="AP464" s="82"/>
      <c r="AQ464" s="82"/>
      <c r="AR464" s="82"/>
      <c r="AS464" s="82"/>
      <c r="AT464" s="82"/>
      <c r="AU464" s="82"/>
      <c r="AV464" s="82"/>
      <c r="AW464" s="82"/>
      <c r="AX464" s="82"/>
      <c r="AY464" s="55"/>
      <c r="AZ464" s="56"/>
      <c r="BA464" s="55"/>
      <c r="BB464" s="55"/>
      <c r="BC464" s="55"/>
      <c r="BD464" s="55"/>
      <c r="BE464" s="55"/>
      <c r="BF464" s="55"/>
      <c r="BG464" s="55"/>
      <c r="BH464" s="55"/>
      <c r="BI464" s="55"/>
      <c r="BJ464" s="55"/>
      <c r="BK464" s="55"/>
      <c r="BL464" s="55"/>
      <c r="BM464" s="55"/>
      <c r="BN464" s="55"/>
      <c r="BO464" s="55"/>
      <c r="BP464" s="55"/>
      <c r="BQ464" s="55"/>
      <c r="BR464" s="55"/>
      <c r="BS464" s="55"/>
      <c r="BT464" s="55"/>
      <c r="BU464" s="55"/>
      <c r="BV464" s="55"/>
      <c r="BW464" s="55"/>
      <c r="BX464" s="55"/>
      <c r="BY464" s="55"/>
      <c r="BZ464" s="55"/>
      <c r="CA464" s="55"/>
      <c r="CB464" s="55"/>
      <c r="CC464" s="55"/>
      <c r="CD464" s="55"/>
      <c r="CE464" s="55"/>
      <c r="CF464" s="55"/>
      <c r="CG464" s="55"/>
      <c r="CH464" s="55"/>
      <c r="CI464" s="55"/>
      <c r="CJ464" s="55"/>
      <c r="CK464" s="55"/>
      <c r="CL464" s="55"/>
      <c r="CM464" s="55"/>
      <c r="CN464" s="55"/>
      <c r="CO464" s="55"/>
      <c r="CP464" s="55"/>
      <c r="CQ464" s="55"/>
      <c r="CR464" s="55"/>
      <c r="CS464" s="55"/>
      <c r="CT464" s="50"/>
      <c r="CU464" s="50"/>
      <c r="CV464" s="50"/>
      <c r="CW464" s="50"/>
      <c r="CX464" s="50"/>
      <c r="CY464" s="50"/>
      <c r="CZ464" s="49"/>
      <c r="DA464" s="48"/>
      <c r="DB464" s="48"/>
    </row>
    <row r="465" spans="1:113" s="36" customFormat="1" collapsed="1">
      <c r="A465" s="1" t="s">
        <v>679</v>
      </c>
      <c r="B465" s="2" t="s">
        <v>477</v>
      </c>
      <c r="C465" s="79">
        <f>C472</f>
        <v>-203</v>
      </c>
      <c r="D465" s="79">
        <f>D472</f>
        <v>-290</v>
      </c>
      <c r="E465" s="79">
        <f>E472</f>
        <v>-159</v>
      </c>
      <c r="F465" s="79">
        <f t="shared" ref="F465:L465" si="3053">F472</f>
        <v>-151</v>
      </c>
      <c r="G465" s="79">
        <f t="shared" si="3053"/>
        <v>-154</v>
      </c>
      <c r="H465" s="79">
        <f t="shared" si="3053"/>
        <v>-150</v>
      </c>
      <c r="I465" s="79">
        <f t="shared" si="3053"/>
        <v>-126</v>
      </c>
      <c r="J465" s="79">
        <f t="shared" si="3053"/>
        <v>-146</v>
      </c>
      <c r="K465" s="79">
        <f t="shared" si="3053"/>
        <v>-176</v>
      </c>
      <c r="L465" s="79">
        <f t="shared" si="3053"/>
        <v>-188</v>
      </c>
      <c r="M465" s="79">
        <f t="shared" ref="M465:AG465" si="3054">M472</f>
        <v>-210</v>
      </c>
      <c r="N465" s="79">
        <f t="shared" si="3054"/>
        <v>-195</v>
      </c>
      <c r="O465" s="79">
        <f t="shared" si="3054"/>
        <v>-239</v>
      </c>
      <c r="P465" s="79">
        <f t="shared" si="3054"/>
        <v>-333</v>
      </c>
      <c r="Q465" s="79">
        <f t="shared" si="3054"/>
        <v>-597</v>
      </c>
      <c r="R465" s="79">
        <f t="shared" si="3054"/>
        <v>-1951</v>
      </c>
      <c r="S465" s="79">
        <f t="shared" si="3054"/>
        <v>-1441</v>
      </c>
      <c r="T465" s="79">
        <f t="shared" si="3054"/>
        <v>-1383</v>
      </c>
      <c r="U465" s="79">
        <f t="shared" si="3054"/>
        <v>-692</v>
      </c>
      <c r="V465" s="79">
        <f t="shared" si="3054"/>
        <v>-722</v>
      </c>
      <c r="W465" s="79">
        <f t="shared" si="3054"/>
        <v>-558</v>
      </c>
      <c r="X465" s="79">
        <f t="shared" si="3054"/>
        <v>-545</v>
      </c>
      <c r="Y465" s="79">
        <f>Y472</f>
        <v>-544</v>
      </c>
      <c r="Z465" s="79">
        <f>Z472</f>
        <v>-616</v>
      </c>
      <c r="AA465" s="79">
        <f t="shared" si="3054"/>
        <v>-466</v>
      </c>
      <c r="AB465" s="79">
        <f t="shared" si="3054"/>
        <v>-457</v>
      </c>
      <c r="AC465" s="79">
        <f t="shared" si="3054"/>
        <v>-496</v>
      </c>
      <c r="AD465" s="79">
        <f t="shared" si="3054"/>
        <v>-440</v>
      </c>
      <c r="AE465" s="79">
        <f>AE472</f>
        <v>-548</v>
      </c>
      <c r="AF465" s="79">
        <f>AF472</f>
        <v>-564</v>
      </c>
      <c r="AG465" s="79">
        <f t="shared" si="3054"/>
        <v>-692</v>
      </c>
      <c r="AH465" s="79">
        <f t="shared" ref="AH465:AM465" si="3055">AH472</f>
        <v>-599</v>
      </c>
      <c r="AI465" s="79">
        <f t="shared" si="3055"/>
        <v>-496</v>
      </c>
      <c r="AJ465" s="79">
        <f t="shared" si="3055"/>
        <v>-596</v>
      </c>
      <c r="AK465" s="79">
        <f t="shared" si="3055"/>
        <v>-483</v>
      </c>
      <c r="AL465" s="79">
        <f t="shared" si="3055"/>
        <v>-577</v>
      </c>
      <c r="AM465" s="79">
        <f t="shared" si="3055"/>
        <v>-624</v>
      </c>
      <c r="AN465" s="79">
        <f t="shared" ref="AN465:AS465" si="3056">AN472</f>
        <v>-649</v>
      </c>
      <c r="AO465" s="79">
        <f t="shared" si="3056"/>
        <v>-1869</v>
      </c>
      <c r="AP465" s="79">
        <f t="shared" si="3056"/>
        <v>-882</v>
      </c>
      <c r="AQ465" s="79">
        <f t="shared" si="3056"/>
        <v>328</v>
      </c>
      <c r="AR465" s="79">
        <f t="shared" si="3056"/>
        <v>75</v>
      </c>
      <c r="AS465" s="79">
        <f t="shared" si="3056"/>
        <v>282</v>
      </c>
      <c r="AT465" s="79">
        <f t="shared" ref="AT465:AU465" si="3057">AT472</f>
        <v>-511</v>
      </c>
      <c r="AU465" s="79">
        <f t="shared" si="3057"/>
        <v>-597</v>
      </c>
      <c r="AV465" s="79">
        <f t="shared" ref="AV465:AW465" si="3058">AV472</f>
        <v>-415</v>
      </c>
      <c r="AW465" s="79">
        <f t="shared" si="3058"/>
        <v>-387</v>
      </c>
      <c r="AX465" s="79">
        <f t="shared" ref="AX465" si="3059">AX472</f>
        <v>-320</v>
      </c>
      <c r="AY465" s="79">
        <f t="shared" ref="AY465:BE465" si="3060">AY472</f>
        <v>-406</v>
      </c>
      <c r="AZ465" s="80">
        <f t="shared" si="3060"/>
        <v>-319</v>
      </c>
      <c r="BA465" s="79">
        <f t="shared" si="3060"/>
        <v>-398.98216418378195</v>
      </c>
      <c r="BB465" s="79">
        <f t="shared" si="3060"/>
        <v>-436.05551444817377</v>
      </c>
      <c r="BC465" s="79">
        <f t="shared" si="3060"/>
        <v>-469.66538917092953</v>
      </c>
      <c r="BD465" s="79">
        <f t="shared" si="3060"/>
        <v>-546.73993403828672</v>
      </c>
      <c r="BE465" s="79">
        <f t="shared" si="3060"/>
        <v>-557.29643846965223</v>
      </c>
      <c r="BF465" s="79">
        <f t="shared" ref="BF465:BM465" si="3061">BF472</f>
        <v>-514.52491278756179</v>
      </c>
      <c r="BG465" s="79">
        <f t="shared" si="3061"/>
        <v>-428.51542511175859</v>
      </c>
      <c r="BH465" s="79">
        <f t="shared" si="3061"/>
        <v>-378.40203092634636</v>
      </c>
      <c r="BI465" s="79">
        <f t="shared" si="3061"/>
        <v>-369.5447010210296</v>
      </c>
      <c r="BJ465" s="79">
        <f t="shared" si="3061"/>
        <v>-528.6206273002183</v>
      </c>
      <c r="BK465" s="79">
        <f t="shared" si="3061"/>
        <v>-620.68860828773177</v>
      </c>
      <c r="BL465" s="79">
        <f t="shared" si="3061"/>
        <v>-721.56025332984518</v>
      </c>
      <c r="BM465" s="79">
        <f t="shared" si="3061"/>
        <v>-725.13013605797335</v>
      </c>
      <c r="BN465" s="79">
        <f t="shared" ref="BN465:BO465" si="3062">BN472</f>
        <v>-745.31313284054545</v>
      </c>
      <c r="BO465" s="79">
        <f t="shared" si="3062"/>
        <v>-745.26440684666022</v>
      </c>
      <c r="BP465" s="79">
        <f t="shared" ref="BP465:BQ465" si="3063">BP472</f>
        <v>-767.99918399634225</v>
      </c>
      <c r="BQ465" s="79">
        <f t="shared" si="3063"/>
        <v>-767.97719982865874</v>
      </c>
      <c r="BR465" s="79"/>
      <c r="BS465" s="79">
        <f t="shared" ref="BS465:CB465" si="3064">BS472</f>
        <v>-843</v>
      </c>
      <c r="BT465" s="79">
        <f t="shared" si="3064"/>
        <v>-468</v>
      </c>
      <c r="BU465" s="79">
        <f t="shared" si="3064"/>
        <v>-321</v>
      </c>
      <c r="BV465" s="79">
        <f t="shared" si="3064"/>
        <v>-182</v>
      </c>
      <c r="BW465" s="79">
        <f t="shared" si="3064"/>
        <v>-113</v>
      </c>
      <c r="BX465" s="79">
        <f t="shared" si="3064"/>
        <v>-98</v>
      </c>
      <c r="BY465" s="79">
        <f t="shared" si="3064"/>
        <v>-233</v>
      </c>
      <c r="BZ465" s="79">
        <f t="shared" si="3064"/>
        <v>-247</v>
      </c>
      <c r="CA465" s="79">
        <f t="shared" si="3064"/>
        <v>-196</v>
      </c>
      <c r="CB465" s="79">
        <f t="shared" si="3064"/>
        <v>-385</v>
      </c>
      <c r="CC465" s="79">
        <f t="shared" ref="CC465:CO465" si="3065">CC472</f>
        <v>-449</v>
      </c>
      <c r="CD465" s="79">
        <f t="shared" si="3065"/>
        <v>-305</v>
      </c>
      <c r="CE465" s="79">
        <f t="shared" si="3065"/>
        <v>-276</v>
      </c>
      <c r="CF465" s="79">
        <f t="shared" si="3065"/>
        <v>-322</v>
      </c>
      <c r="CG465" s="79">
        <f t="shared" si="3065"/>
        <v>-398</v>
      </c>
      <c r="CH465" s="79">
        <f t="shared" si="3065"/>
        <v>-434</v>
      </c>
      <c r="CI465" s="79">
        <f t="shared" si="3065"/>
        <v>-930</v>
      </c>
      <c r="CJ465" s="79">
        <f t="shared" si="3065"/>
        <v>-3392</v>
      </c>
      <c r="CK465" s="79">
        <f t="shared" si="3065"/>
        <v>-2075</v>
      </c>
      <c r="CL465" s="79">
        <f t="shared" si="3065"/>
        <v>-1280</v>
      </c>
      <c r="CM465" s="79">
        <f t="shared" si="3065"/>
        <v>-1089</v>
      </c>
      <c r="CN465" s="79">
        <f t="shared" si="3065"/>
        <v>-1082</v>
      </c>
      <c r="CO465" s="79">
        <f t="shared" si="3065"/>
        <v>-953</v>
      </c>
      <c r="CP465" s="79">
        <f t="shared" ref="CP465:CX465" si="3066">CP472</f>
        <v>-988</v>
      </c>
      <c r="CQ465" s="79">
        <f t="shared" si="3066"/>
        <v>-1256</v>
      </c>
      <c r="CR465" s="79">
        <f t="shared" si="3066"/>
        <v>-1095</v>
      </c>
      <c r="CS465" s="79">
        <f t="shared" si="3066"/>
        <v>-1079</v>
      </c>
      <c r="CT465" s="79">
        <f t="shared" si="3066"/>
        <v>-1201</v>
      </c>
      <c r="CU465" s="79">
        <f t="shared" si="3066"/>
        <v>-2518</v>
      </c>
      <c r="CV465" s="79">
        <f t="shared" si="3066"/>
        <v>-554</v>
      </c>
      <c r="CW465" s="79">
        <f t="shared" si="3066"/>
        <v>357</v>
      </c>
      <c r="CX465" s="79">
        <f t="shared" si="3066"/>
        <v>-1108</v>
      </c>
      <c r="CY465" s="79">
        <f t="shared" ref="CY465:DD465" si="3067">CY472</f>
        <v>-802</v>
      </c>
      <c r="CZ465" s="80">
        <f t="shared" si="3067"/>
        <v>-726</v>
      </c>
      <c r="DA465" s="79">
        <f t="shared" si="3067"/>
        <v>-717.98216418378195</v>
      </c>
      <c r="DB465" s="79">
        <f t="shared" si="3067"/>
        <v>-905.7209036191033</v>
      </c>
      <c r="DC465" s="79">
        <f t="shared" si="3067"/>
        <v>-1104.0363725079389</v>
      </c>
      <c r="DD465" s="79">
        <f t="shared" si="3067"/>
        <v>-943.04033789932032</v>
      </c>
      <c r="DE465" s="79">
        <f>DE472</f>
        <v>-747.94673194737595</v>
      </c>
      <c r="DF465" s="79">
        <f>DF472</f>
        <v>-1149.3092355879501</v>
      </c>
      <c r="DG465" s="79">
        <f>DG472</f>
        <v>-1446.6903893878184</v>
      </c>
      <c r="DH465" s="79">
        <f>DH472</f>
        <v>-1490.5775396872057</v>
      </c>
      <c r="DI465" s="79">
        <f>DI472</f>
        <v>-1535.976383825001</v>
      </c>
    </row>
    <row r="466" spans="1:113" outlineLevel="1">
      <c r="C466" s="55"/>
      <c r="D466" s="55"/>
      <c r="E466" s="55"/>
      <c r="F466" s="55"/>
      <c r="G466" s="55"/>
      <c r="H466" s="55"/>
      <c r="I466" s="55"/>
      <c r="J466" s="55"/>
      <c r="K466" s="55"/>
      <c r="L466" s="55"/>
      <c r="M466" s="55"/>
      <c r="N466" s="55"/>
      <c r="O466" s="55"/>
      <c r="P466" s="55"/>
      <c r="Q466" s="55"/>
      <c r="R466" s="55"/>
      <c r="S466" s="55"/>
      <c r="T466" s="55"/>
      <c r="U466" s="55"/>
      <c r="V466" s="55"/>
      <c r="W466" s="55"/>
      <c r="X466" s="55"/>
      <c r="Y466" s="55"/>
      <c r="Z466" s="55"/>
      <c r="AA466" s="55"/>
      <c r="AB466" s="55"/>
      <c r="AC466" s="55"/>
      <c r="AD466" s="55"/>
      <c r="AE466" s="55"/>
      <c r="AF466" s="55"/>
      <c r="AG466" s="55"/>
      <c r="AH466" s="55"/>
      <c r="AI466" s="55"/>
      <c r="AJ466" s="55"/>
      <c r="AK466" s="55"/>
      <c r="AY466" s="55"/>
      <c r="AZ466" s="56"/>
      <c r="BA466" s="55"/>
      <c r="BB466" s="55"/>
      <c r="BC466" s="55"/>
      <c r="BD466" s="55"/>
      <c r="BE466" s="55"/>
      <c r="BF466" s="55"/>
      <c r="BG466" s="55"/>
      <c r="BH466" s="55"/>
      <c r="BI466" s="55"/>
      <c r="BJ466" s="55"/>
      <c r="BK466" s="55"/>
      <c r="BL466" s="55"/>
      <c r="BM466" s="55"/>
      <c r="BN466" s="55"/>
      <c r="BO466" s="55"/>
      <c r="BP466" s="55"/>
      <c r="BQ466" s="55"/>
      <c r="BR466" s="55"/>
      <c r="BS466" s="55"/>
      <c r="BT466" s="55"/>
      <c r="BU466" s="55"/>
      <c r="BV466" s="55"/>
      <c r="BW466" s="55"/>
      <c r="BX466" s="55"/>
      <c r="BY466" s="55"/>
      <c r="BZ466" s="55"/>
      <c r="CA466" s="55"/>
      <c r="CB466" s="55"/>
      <c r="CC466" s="55"/>
      <c r="CD466" s="55"/>
      <c r="CE466" s="55"/>
      <c r="CF466" s="55"/>
      <c r="CG466" s="55"/>
      <c r="CH466" s="55"/>
      <c r="CI466" s="55"/>
      <c r="CJ466" s="55"/>
      <c r="CK466" s="55"/>
      <c r="CL466" s="55"/>
      <c r="CM466" s="55"/>
      <c r="CN466" s="55"/>
      <c r="CO466" s="55"/>
      <c r="CP466" s="55"/>
      <c r="CQ466" s="55"/>
      <c r="CR466" s="55"/>
      <c r="CS466" s="55"/>
      <c r="CT466" s="55"/>
      <c r="CU466" s="55"/>
      <c r="CV466" s="55"/>
      <c r="CW466" s="55"/>
      <c r="CX466" s="55"/>
      <c r="CY466" s="55"/>
      <c r="CZ466" s="56"/>
      <c r="DA466" s="55"/>
      <c r="DB466" s="55"/>
    </row>
    <row r="467" spans="1:113" outlineLevel="1">
      <c r="A467" s="1" t="s">
        <v>680</v>
      </c>
      <c r="B467" s="19" t="s">
        <v>486</v>
      </c>
      <c r="C467" s="53">
        <f>-(10+1-1-0)/2</f>
        <v>-5</v>
      </c>
      <c r="D467" s="53">
        <f>-(10+2)/2</f>
        <v>-6</v>
      </c>
      <c r="E467" s="53">
        <f>-(10+2)/2</f>
        <v>-6</v>
      </c>
      <c r="F467" s="53">
        <f>-(8+2)/2</f>
        <v>-5</v>
      </c>
      <c r="G467" s="53">
        <f>-(8+2)/2</f>
        <v>-5</v>
      </c>
      <c r="H467" s="53">
        <f>-(4+1)/2</f>
        <v>-2.5</v>
      </c>
      <c r="I467" s="53">
        <f>-(4+1)/2</f>
        <v>-2.5</v>
      </c>
      <c r="J467" s="53">
        <f>-(7+6)/2</f>
        <v>-6.5</v>
      </c>
      <c r="K467" s="53">
        <f>-(7+6)/2</f>
        <v>-6.5</v>
      </c>
      <c r="L467" s="53">
        <f>-(9+0-1-0)/2</f>
        <v>-4</v>
      </c>
      <c r="M467" s="53"/>
      <c r="N467" s="53"/>
      <c r="O467" s="53"/>
      <c r="P467" s="53">
        <f>-23/2</f>
        <v>-11.5</v>
      </c>
      <c r="Q467" s="53">
        <f>-23/2</f>
        <v>-11.5</v>
      </c>
      <c r="R467" s="53">
        <v>-14</v>
      </c>
      <c r="S467" s="53">
        <f>-53-R467</f>
        <v>-39</v>
      </c>
      <c r="T467" s="53">
        <v>-41</v>
      </c>
      <c r="U467" s="53">
        <v>-76</v>
      </c>
      <c r="V467" s="53">
        <v>-46</v>
      </c>
      <c r="W467" s="53">
        <f>-67-V467</f>
        <v>-21</v>
      </c>
      <c r="X467" s="53">
        <v>-39</v>
      </c>
      <c r="Y467" s="53">
        <f>-107-X467</f>
        <v>-68</v>
      </c>
      <c r="Z467" s="53">
        <v>-104</v>
      </c>
      <c r="AA467" s="164">
        <f>-233+104</f>
        <v>-129</v>
      </c>
      <c r="AB467" s="164">
        <v>-57</v>
      </c>
      <c r="AC467" s="164">
        <f>-121-AB467</f>
        <v>-64</v>
      </c>
      <c r="AD467" s="164">
        <v>-35</v>
      </c>
      <c r="AE467" s="164">
        <f>-76-AD467</f>
        <v>-41</v>
      </c>
      <c r="AF467" s="164">
        <v>-51</v>
      </c>
      <c r="AG467" s="164">
        <f>-85-AF467</f>
        <v>-34</v>
      </c>
      <c r="AH467" s="164">
        <v>-54</v>
      </c>
      <c r="AI467" s="164">
        <f>-115-AH467</f>
        <v>-61</v>
      </c>
      <c r="AJ467" s="164">
        <v>-55</v>
      </c>
      <c r="AK467" s="164">
        <f>-125-AJ467</f>
        <v>-70</v>
      </c>
      <c r="AL467" s="164">
        <v>-60</v>
      </c>
      <c r="AM467" s="164">
        <f>-131-AL467</f>
        <v>-71</v>
      </c>
      <c r="AN467" s="164">
        <v>-55</v>
      </c>
      <c r="AO467" s="164">
        <f>-116-AN467</f>
        <v>-61</v>
      </c>
      <c r="AP467" s="164">
        <v>-36</v>
      </c>
      <c r="AQ467" s="164">
        <f>-63-AP467</f>
        <v>-27</v>
      </c>
      <c r="AR467" s="164">
        <v>-22</v>
      </c>
      <c r="AS467" s="164">
        <f>-38-AR467</f>
        <v>-16</v>
      </c>
      <c r="AT467" s="164">
        <v>-15</v>
      </c>
      <c r="AU467" s="164">
        <v>-13</v>
      </c>
      <c r="AV467" s="164">
        <v>-4</v>
      </c>
      <c r="AW467" s="164">
        <f>-23-AV467</f>
        <v>-19</v>
      </c>
      <c r="AX467" s="164">
        <v>-9</v>
      </c>
      <c r="AY467" s="164">
        <v>-8</v>
      </c>
      <c r="AZ467" s="171">
        <v>-13</v>
      </c>
      <c r="BA467" s="55">
        <f t="shared" ref="BA467:BI467" si="3068">-BA109*BA232/BA$5</f>
        <v>-21.644195415701873</v>
      </c>
      <c r="BB467" s="55">
        <f t="shared" si="3068"/>
        <v>-31.182589403491466</v>
      </c>
      <c r="BC467" s="55">
        <f t="shared" si="3068"/>
        <v>-40.283545209090725</v>
      </c>
      <c r="BD467" s="55">
        <f t="shared" si="3068"/>
        <v>-51.105645544496184</v>
      </c>
      <c r="BE467" s="55">
        <f t="shared" si="3068"/>
        <v>-61.180680842232903</v>
      </c>
      <c r="BF467" s="55">
        <f t="shared" si="3068"/>
        <v>-73.344052670356405</v>
      </c>
      <c r="BG467" s="55">
        <f t="shared" si="3068"/>
        <v>-83.568615228512442</v>
      </c>
      <c r="BH467" s="55">
        <f t="shared" si="3068"/>
        <v>-97.075672158545459</v>
      </c>
      <c r="BI467" s="55">
        <f t="shared" si="3068"/>
        <v>-97.31594317792883</v>
      </c>
      <c r="BJ467" s="55">
        <f t="shared" ref="BJ467:BM467" si="3069">-BJ109*BJ232/BJ$5</f>
        <v>-121.84919969015417</v>
      </c>
      <c r="BK467" s="55">
        <f t="shared" si="3069"/>
        <v>-122.27176476799265</v>
      </c>
      <c r="BL467" s="55">
        <f t="shared" si="3069"/>
        <v>-126.45032656201035</v>
      </c>
      <c r="BM467" s="55">
        <f t="shared" si="3069"/>
        <v>-127.58989140714692</v>
      </c>
      <c r="BN467" s="55">
        <f t="shared" ref="BN467:BO467" si="3070">-BN109*BN232/BN$5</f>
        <v>-131.94522295989839</v>
      </c>
      <c r="BO467" s="55">
        <f t="shared" si="3070"/>
        <v>-132.40280038800009</v>
      </c>
      <c r="BP467" s="55">
        <f t="shared" ref="BP467:BQ467" si="3071">-BP109*BP232/BP$5</f>
        <v>-137.30272811241434</v>
      </c>
      <c r="BQ467" s="55">
        <f t="shared" si="3071"/>
        <v>-137.77888501898244</v>
      </c>
      <c r="BR467" s="55"/>
      <c r="BS467" s="164">
        <f>-3-0</f>
        <v>-3</v>
      </c>
      <c r="BT467" s="164">
        <f>-9.7-1.6</f>
        <v>-11.299999999999999</v>
      </c>
      <c r="BU467" s="164">
        <f>-9.9-0.7</f>
        <v>-10.6</v>
      </c>
      <c r="BV467" s="164">
        <f>-7</f>
        <v>-7</v>
      </c>
      <c r="BW467" s="164">
        <f>-5</f>
        <v>-5</v>
      </c>
      <c r="BX467" s="164">
        <f>-9-1</f>
        <v>-10</v>
      </c>
      <c r="BY467" s="164">
        <f>-11-1</f>
        <v>-12</v>
      </c>
      <c r="BZ467" s="164">
        <f>-9+1-1</f>
        <v>-9</v>
      </c>
      <c r="CA467" s="164">
        <f>-8+1-1</f>
        <v>-8</v>
      </c>
      <c r="CB467" s="164">
        <f>-10+1-1</f>
        <v>-10</v>
      </c>
      <c r="CC467" s="55">
        <f t="shared" ref="CC467:CH467" si="3072">-CC109*CC232/CC$5</f>
        <v>-18.410954339544027</v>
      </c>
      <c r="CD467" s="55">
        <f t="shared" si="3072"/>
        <v>-10.678494367802719</v>
      </c>
      <c r="CE467" s="55">
        <f t="shared" si="3072"/>
        <v>-7.9360510707937042</v>
      </c>
      <c r="CF467" s="55">
        <f t="shared" si="3072"/>
        <v>-4.5881644029989648</v>
      </c>
      <c r="CG467" s="55">
        <f t="shared" si="3072"/>
        <v>-6.0533215125789628</v>
      </c>
      <c r="CH467" s="55">
        <f t="shared" si="3072"/>
        <v>-13.61817831286613</v>
      </c>
      <c r="CI467" s="55">
        <f t="shared" ref="CI467:CI478" si="3073">SUM(P467:Q467)</f>
        <v>-23</v>
      </c>
      <c r="CJ467" s="55">
        <f t="shared" ref="CJ467:CJ479" si="3074">SUM(R467:S467)</f>
        <v>-53</v>
      </c>
      <c r="CK467" s="55">
        <f t="shared" ref="CK467:CK479" si="3075">SUM(T467:U467)</f>
        <v>-117</v>
      </c>
      <c r="CL467" s="55">
        <f t="shared" ref="CL467:CL479" si="3076">SUM(V467:W467)</f>
        <v>-67</v>
      </c>
      <c r="CM467" s="55">
        <f t="shared" ref="CM467:CM479" si="3077">SUM(X467:Y467)</f>
        <v>-107</v>
      </c>
      <c r="CN467" s="55">
        <f t="shared" ref="CN467:CN479" si="3078">SUM(Z467:AA467)</f>
        <v>-233</v>
      </c>
      <c r="CO467" s="55">
        <f t="shared" ref="CO467:CO479" si="3079">SUM(AB467:AC467)</f>
        <v>-121</v>
      </c>
      <c r="CP467" s="55">
        <f t="shared" ref="CP467:CP479" si="3080">SUM(AD467:AE467)</f>
        <v>-76</v>
      </c>
      <c r="CQ467" s="55">
        <f t="shared" ref="CQ467:CQ479" si="3081">SUM(AF467:AG467)</f>
        <v>-85</v>
      </c>
      <c r="CR467" s="55">
        <f t="shared" ref="CR467:CR479" si="3082">SUM(AH467:AI467)</f>
        <v>-115</v>
      </c>
      <c r="CS467" s="55">
        <f t="shared" ref="CS467:CS479" si="3083">SUM(AJ467:AK467)</f>
        <v>-125</v>
      </c>
      <c r="CT467" s="55">
        <f t="shared" ref="CT467:CT479" si="3084">SUM(AL467:AM467)</f>
        <v>-131</v>
      </c>
      <c r="CU467" s="55">
        <f t="shared" ref="CU467:CU479" si="3085">SUM(AN467:AO467)</f>
        <v>-116</v>
      </c>
      <c r="CV467" s="55">
        <f t="shared" ref="CV467:CV479" si="3086">SUM(AP467:AQ467)</f>
        <v>-63</v>
      </c>
      <c r="CW467" s="55">
        <f t="shared" ref="CW467:CW479" si="3087">SUM(AR467:AS467)</f>
        <v>-38</v>
      </c>
      <c r="CX467" s="55">
        <f t="shared" ref="CX467:CX479" si="3088">SUM(AT467:AU467)</f>
        <v>-28</v>
      </c>
      <c r="CY467" s="55">
        <f t="shared" ref="CY467:CY479" si="3089">SUM(AV467:AW467)</f>
        <v>-23</v>
      </c>
      <c r="CZ467" s="56">
        <f t="shared" ref="CZ467:CZ479" si="3090">SUM(AX467:AY467)</f>
        <v>-17</v>
      </c>
      <c r="DA467" s="55">
        <f t="shared" ref="DA467:DA479" si="3091">SUM(AZ467:BA467)</f>
        <v>-34.644195415701873</v>
      </c>
      <c r="DB467" s="55">
        <f t="shared" ref="DB467:DB479" si="3092">SUM(BB467:BC467)</f>
        <v>-71.466134612582195</v>
      </c>
      <c r="DC467" s="55">
        <f t="shared" ref="DC467:DC479" si="3093">SUM(BD467:BE467)</f>
        <v>-112.28632638672909</v>
      </c>
      <c r="DD467" s="55">
        <f t="shared" ref="DD467:DD479" si="3094">SUM(BF467:BG467)</f>
        <v>-156.91266789886885</v>
      </c>
      <c r="DE467" s="55">
        <f t="shared" ref="DE467:DE479" si="3095">SUM(BH467:BI467)</f>
        <v>-194.39161533647427</v>
      </c>
      <c r="DF467" s="55">
        <f t="shared" ref="DF467:DF479" si="3096">SUM(BJ467:BK467)</f>
        <v>-244.12096445814683</v>
      </c>
      <c r="DG467" s="55">
        <f t="shared" ref="DG467:DG479" si="3097">SUM(BL467:BM467)</f>
        <v>-254.04021796915725</v>
      </c>
      <c r="DH467" s="55">
        <f t="shared" ref="DH467:DH479" si="3098">SUM(BN467:BO467)</f>
        <v>-264.34802334789845</v>
      </c>
      <c r="DI467" s="55">
        <f t="shared" ref="DI467:DI479" si="3099">SUM(BP467:BQ467)</f>
        <v>-275.08161313139681</v>
      </c>
    </row>
    <row r="468" spans="1:113" outlineLevel="1">
      <c r="A468" s="1" t="s">
        <v>681</v>
      </c>
      <c r="B468" s="19" t="s">
        <v>488</v>
      </c>
      <c r="C468" s="53">
        <f>C470-C467+(142+38-30-3)/2</f>
        <v>-186.5</v>
      </c>
      <c r="D468" s="53">
        <f>D470-D467+(147+6)/2</f>
        <v>-196.5</v>
      </c>
      <c r="E468" s="53">
        <f>E470-E467+(147+6)/2</f>
        <v>-84.5</v>
      </c>
      <c r="F468" s="53">
        <f>F470-F467+(171+3)/2</f>
        <v>-94</v>
      </c>
      <c r="G468" s="53">
        <f>G470-G467+(171+3)/2</f>
        <v>-103</v>
      </c>
      <c r="H468" s="53">
        <f>H470-H467+(178+3)/2</f>
        <v>-28</v>
      </c>
      <c r="I468" s="53">
        <f>I470-I467+(178+3)/2</f>
        <v>-61</v>
      </c>
      <c r="J468" s="53">
        <f>J470-J467+(220+6)/2</f>
        <v>-0.5</v>
      </c>
      <c r="K468" s="53">
        <f>K470-K467+(220+6)/2</f>
        <v>-70.5</v>
      </c>
      <c r="L468" s="53">
        <f>L470-L467+(388+7-100-5)/2</f>
        <v>-29</v>
      </c>
      <c r="M468" s="53"/>
      <c r="N468" s="53"/>
      <c r="O468" s="53"/>
      <c r="P468" s="53">
        <f>P470-P467+313/2</f>
        <v>-33</v>
      </c>
      <c r="Q468" s="53">
        <f>Q470-Q467+313/2</f>
        <v>-57</v>
      </c>
      <c r="R468" s="53">
        <f>R470-R467+167</f>
        <v>-51</v>
      </c>
      <c r="S468" s="53">
        <f>S470-S467+288</f>
        <v>-511</v>
      </c>
      <c r="T468" s="53">
        <f>T470-T467+243</f>
        <v>-834</v>
      </c>
      <c r="U468" s="53">
        <f>U470-U467+361</f>
        <v>-441</v>
      </c>
      <c r="V468" s="53">
        <f>V470-V467+254</f>
        <v>-474</v>
      </c>
      <c r="W468" s="53">
        <f>W470-W467+194</f>
        <v>-780</v>
      </c>
      <c r="X468" s="53">
        <f>X470-X467+261</f>
        <v>-442</v>
      </c>
      <c r="Y468" s="53">
        <f>Y470-Y467+260</f>
        <v>-579</v>
      </c>
      <c r="Z468" s="53">
        <f>Z470-Z467+262</f>
        <v>-570</v>
      </c>
      <c r="AA468" s="164">
        <f>AA470-AA467+(526-262)</f>
        <v>-406</v>
      </c>
      <c r="AB468" s="164">
        <f>AB470-AB467+(294)</f>
        <v>-406</v>
      </c>
      <c r="AC468" s="164">
        <f>AC470-AC467+(593-294)</f>
        <v>-528</v>
      </c>
      <c r="AD468" s="164">
        <f>AD470-AD467+(292)</f>
        <v>-187</v>
      </c>
      <c r="AE468" s="164">
        <f>AE470-AE467+(593)</f>
        <v>-155</v>
      </c>
      <c r="AF468" s="164">
        <f>AF470-AF467+(314)</f>
        <v>-162</v>
      </c>
      <c r="AG468" s="164">
        <f>AG470-AG467+(323)</f>
        <v>-308</v>
      </c>
      <c r="AH468" s="164">
        <f>AH470-AH467+(327)</f>
        <v>-162</v>
      </c>
      <c r="AI468" s="164">
        <f>AI470-AI467+(671-327)</f>
        <v>-190</v>
      </c>
      <c r="AJ468" s="164">
        <f>AJ470-AJ467+(321)</f>
        <v>-188</v>
      </c>
      <c r="AK468" s="164">
        <f>AK470-AK467+(654-321)</f>
        <v>-251</v>
      </c>
      <c r="AL468" s="164">
        <f>AL470-AL467+(318)</f>
        <v>-200</v>
      </c>
      <c r="AM468" s="164">
        <f>AM470-AM467+(677-318)</f>
        <v>-187</v>
      </c>
      <c r="AN468" s="164">
        <f>AN470-AN467+(282)</f>
        <v>-131</v>
      </c>
      <c r="AO468" s="164">
        <f>AO470-AO467+(552-318)</f>
        <v>-259</v>
      </c>
      <c r="AP468" s="164">
        <f>AP470-AP467+(225)</f>
        <v>-172</v>
      </c>
      <c r="AQ468" s="164">
        <f>-278-AP468</f>
        <v>-106</v>
      </c>
      <c r="AR468" s="164">
        <f>AR470-AR467+(44+70)</f>
        <v>-190</v>
      </c>
      <c r="AS468" s="164">
        <f>-310-AR468</f>
        <v>-120</v>
      </c>
      <c r="AT468" s="164">
        <v>-258</v>
      </c>
      <c r="AU468" s="164">
        <f>-28-20</f>
        <v>-48</v>
      </c>
      <c r="AV468" s="164">
        <f>-109-26</f>
        <v>-135</v>
      </c>
      <c r="AW468" s="164">
        <f>-218-54-AV468</f>
        <v>-137</v>
      </c>
      <c r="AX468" s="164">
        <f>-59-18</f>
        <v>-77</v>
      </c>
      <c r="AY468" s="164">
        <f>-59-18</f>
        <v>-77</v>
      </c>
      <c r="AZ468" s="171">
        <f>+-77-33</f>
        <v>-110</v>
      </c>
      <c r="BA468" s="55">
        <f t="shared" ref="BA468" si="3100">-BA110*(BA237-BA232-((SUM(AVERAGE(AZ160:BA160),AVERAGE(AZ166:BA166),AVERAGE(AZ172:BA172))/AVERAGE(AZ178:BA178))*BA234))/BA$5</f>
        <v>-140.56328356651005</v>
      </c>
      <c r="BB468" s="55">
        <f t="shared" ref="BB468" si="3101">-BB110*(BB237-BB232-((SUM(AVERAGE(BA160:BB160),AVERAGE(BA166:BB166),AVERAGE(BA172:BB172))/AVERAGE(BA178:BB178))*BB234))/BB$5</f>
        <v>-175.56609268544796</v>
      </c>
      <c r="BC468" s="55">
        <f t="shared" ref="BC468" si="3102">-BC110*(BC237-BC232-((SUM(AVERAGE(BB160:BC160),AVERAGE(BB166:BC166),AVERAGE(BB172:BC172))/AVERAGE(BB178:BC178))*BC234))/BC$5</f>
        <v>-234.52926169432519</v>
      </c>
      <c r="BD468" s="55">
        <f t="shared" ref="BD468" si="3103">-BD110*(BD237-BD232-((SUM(AVERAGE(BC160:BD160),AVERAGE(BC166:BD166),AVERAGE(BC172:BD172))/AVERAGE(BC178:BD178))*BD234))/BD$5</f>
        <v>-211.27322583389355</v>
      </c>
      <c r="BE468" s="55">
        <f t="shared" ref="BE468" si="3104">-BE110*(BE237-BE232-((SUM(AVERAGE(BD160:BE160),AVERAGE(BD166:BE166),AVERAGE(BD172:BE172))/AVERAGE(BD178:BE178))*BE234))/BE$5</f>
        <v>-181.83699259833895</v>
      </c>
      <c r="BF468" s="55">
        <f t="shared" ref="BF468" si="3105">-BF110*(BF237-BF232-((SUM(AVERAGE(BE160:BF160),AVERAGE(BE166:BF166),AVERAGE(BE172:BF172))/AVERAGE(BE178:BF178))*BF234))/BF$5</f>
        <v>-140.67324083454187</v>
      </c>
      <c r="BG468" s="55">
        <f t="shared" ref="BG468" si="3106">-BG110*(BG237-BG232-((SUM(AVERAGE(BF160:BG160),AVERAGE(BF166:BG166),AVERAGE(BF172:BG172))/AVERAGE(BF178:BG178))*BG234))/BG$5</f>
        <v>-94.181498415254595</v>
      </c>
      <c r="BH468" s="55">
        <f t="shared" ref="BH468" si="3107">-BH110*(BH237-BH232-((SUM(AVERAGE(BG160:BH160),AVERAGE(BG166:BH166),AVERAGE(BG172:BH172))/AVERAGE(BG178:BH178))*BH234))/BH$5</f>
        <v>-97.047883662992689</v>
      </c>
      <c r="BI468" s="55">
        <f t="shared" ref="BI468" si="3108">-BI110*(BI237-BI232-((SUM(AVERAGE(BH160:BI160),AVERAGE(BH166:BI166),AVERAGE(BH172:BI172))/AVERAGE(BH178:BI178))*BI234))/BI$5</f>
        <v>-96.800680345915623</v>
      </c>
      <c r="BJ468" s="55">
        <f t="shared" ref="BJ468:BM468" si="3109">-BJ110*(BJ237-BJ232-((SUM(AVERAGE(BI160:BJ160),AVERAGE(BI166:BJ166),AVERAGE(BI172:BJ172))/AVERAGE(BI178:BJ178))*BJ234))/BJ$5</f>
        <v>-181.13346735849689</v>
      </c>
      <c r="BK468" s="55">
        <f t="shared" si="3109"/>
        <v>-262.51761492519546</v>
      </c>
      <c r="BL468" s="55">
        <f t="shared" si="3109"/>
        <v>-354.46594366300957</v>
      </c>
      <c r="BM468" s="55">
        <f t="shared" si="3109"/>
        <v>-356.5041312919497</v>
      </c>
      <c r="BN468" s="55">
        <f t="shared" ref="BN468" si="3110">-BN110*(BN237-BN232-((SUM(AVERAGE(BM160:BN160),AVERAGE(BM166:BN166),AVERAGE(BM172:BN172))/AVERAGE(BM178:BN178))*BN234))/BN$5</f>
        <v>-367.48759263259893</v>
      </c>
      <c r="BO468" s="55">
        <f t="shared" ref="BO468" si="3111">-BO110*(BO237-BO232-((SUM(AVERAGE(BN160:BO160),AVERAGE(BN166:BO166),AVERAGE(BN172:BO172))/AVERAGE(BN178:BO178))*BO234))/BO$5</f>
        <v>-367.58167290456703</v>
      </c>
      <c r="BP468" s="55">
        <f t="shared" ref="BP468" si="3112">-BP110*(BP237-BP232-((SUM(AVERAGE(BO160:BP160),AVERAGE(BO166:BP166),AVERAGE(BO172:BP172))/AVERAGE(BO178:BP178))*BP234))/BP$5</f>
        <v>-379.97100993351478</v>
      </c>
      <c r="BQ468" s="55">
        <f t="shared" ref="BQ468" si="3113">-BQ110*(BQ237-BQ232-((SUM(AVERAGE(BP160:BQ160),AVERAGE(BP166:BQ166),AVERAGE(BP172:BQ172))/AVERAGE(BP178:BQ178))*BQ234))/BQ$5</f>
        <v>-380.08043611309921</v>
      </c>
      <c r="BR468" s="55"/>
      <c r="BS468" s="55">
        <f>BS470-BS467-BS469</f>
        <v>-531</v>
      </c>
      <c r="BT468" s="55">
        <f>BT470-BT467-BT469</f>
        <v>-1334</v>
      </c>
      <c r="BU468" s="55">
        <f t="shared" ref="BU468:CB468" si="3114">BU470-BU467-BU469</f>
        <v>-237.19655172413792</v>
      </c>
      <c r="BV468" s="55">
        <f t="shared" si="3114"/>
        <v>-243</v>
      </c>
      <c r="BW468" s="55">
        <f t="shared" si="3114"/>
        <v>-119</v>
      </c>
      <c r="BX468" s="55">
        <f t="shared" si="3114"/>
        <v>320</v>
      </c>
      <c r="BY468" s="55">
        <f t="shared" si="3114"/>
        <v>-92</v>
      </c>
      <c r="BZ468" s="55">
        <f t="shared" si="3114"/>
        <v>-158</v>
      </c>
      <c r="CA468" s="55">
        <f t="shared" si="3114"/>
        <v>-112</v>
      </c>
      <c r="CB468" s="55">
        <f t="shared" si="3114"/>
        <v>-396</v>
      </c>
      <c r="CC468" s="55">
        <f t="shared" ref="CC468:CH468" si="3115">CC470-CC467-CC469</f>
        <v>-300.72882051974301</v>
      </c>
      <c r="CD468" s="55">
        <f t="shared" si="3115"/>
        <v>-263.18567425046427</v>
      </c>
      <c r="CE468" s="55">
        <f t="shared" si="3115"/>
        <v>-165.16355052283177</v>
      </c>
      <c r="CF468" s="55">
        <f t="shared" si="3115"/>
        <v>-187.05231921433491</v>
      </c>
      <c r="CG468" s="55">
        <f t="shared" si="3115"/>
        <v>-171.53508010631558</v>
      </c>
      <c r="CH468" s="55">
        <f t="shared" si="3115"/>
        <v>-153.79321455740214</v>
      </c>
      <c r="CI468" s="55">
        <f t="shared" si="3073"/>
        <v>-90</v>
      </c>
      <c r="CJ468" s="55">
        <f t="shared" si="3074"/>
        <v>-562</v>
      </c>
      <c r="CK468" s="55">
        <f t="shared" si="3075"/>
        <v>-1275</v>
      </c>
      <c r="CL468" s="55">
        <f t="shared" si="3076"/>
        <v>-1254</v>
      </c>
      <c r="CM468" s="55">
        <f t="shared" si="3077"/>
        <v>-1021</v>
      </c>
      <c r="CN468" s="55">
        <f t="shared" si="3078"/>
        <v>-976</v>
      </c>
      <c r="CO468" s="55">
        <f t="shared" si="3079"/>
        <v>-934</v>
      </c>
      <c r="CP468" s="55">
        <f t="shared" si="3080"/>
        <v>-342</v>
      </c>
      <c r="CQ468" s="55">
        <f t="shared" si="3081"/>
        <v>-470</v>
      </c>
      <c r="CR468" s="55">
        <f t="shared" si="3082"/>
        <v>-352</v>
      </c>
      <c r="CS468" s="55">
        <f t="shared" si="3083"/>
        <v>-439</v>
      </c>
      <c r="CT468" s="55">
        <f t="shared" si="3084"/>
        <v>-387</v>
      </c>
      <c r="CU468" s="55">
        <f t="shared" si="3085"/>
        <v>-390</v>
      </c>
      <c r="CV468" s="55">
        <f t="shared" si="3086"/>
        <v>-278</v>
      </c>
      <c r="CW468" s="55">
        <f t="shared" si="3087"/>
        <v>-310</v>
      </c>
      <c r="CX468" s="55">
        <f t="shared" si="3088"/>
        <v>-306</v>
      </c>
      <c r="CY468" s="55">
        <f t="shared" si="3089"/>
        <v>-272</v>
      </c>
      <c r="CZ468" s="56">
        <f t="shared" si="3090"/>
        <v>-154</v>
      </c>
      <c r="DA468" s="55">
        <f t="shared" si="3091"/>
        <v>-250.56328356651005</v>
      </c>
      <c r="DB468" s="55">
        <f t="shared" si="3092"/>
        <v>-410.09535437977314</v>
      </c>
      <c r="DC468" s="55">
        <f t="shared" si="3093"/>
        <v>-393.1102184322325</v>
      </c>
      <c r="DD468" s="55">
        <f t="shared" si="3094"/>
        <v>-234.85473924979647</v>
      </c>
      <c r="DE468" s="55">
        <f t="shared" si="3095"/>
        <v>-193.84856400890831</v>
      </c>
      <c r="DF468" s="55">
        <f t="shared" si="3096"/>
        <v>-443.65108228369235</v>
      </c>
      <c r="DG468" s="55">
        <f t="shared" si="3097"/>
        <v>-710.97007495495927</v>
      </c>
      <c r="DH468" s="55">
        <f t="shared" si="3098"/>
        <v>-735.06926553716596</v>
      </c>
      <c r="DI468" s="55">
        <f t="shared" si="3099"/>
        <v>-760.05144604661405</v>
      </c>
    </row>
    <row r="469" spans="1:113" outlineLevel="1">
      <c r="A469" s="1" t="s">
        <v>682</v>
      </c>
      <c r="B469" s="19" t="s">
        <v>487</v>
      </c>
      <c r="C469" s="55">
        <f t="shared" ref="C469:L469" si="3116">C470-C467-C468</f>
        <v>-73.5</v>
      </c>
      <c r="D469" s="55">
        <f t="shared" si="3116"/>
        <v>-76.5</v>
      </c>
      <c r="E469" s="55">
        <f t="shared" si="3116"/>
        <v>-76.5</v>
      </c>
      <c r="F469" s="55">
        <f t="shared" si="3116"/>
        <v>-87</v>
      </c>
      <c r="G469" s="55">
        <f t="shared" si="3116"/>
        <v>-87</v>
      </c>
      <c r="H469" s="55">
        <f t="shared" si="3116"/>
        <v>-90.5</v>
      </c>
      <c r="I469" s="55">
        <f t="shared" si="3116"/>
        <v>-90.5</v>
      </c>
      <c r="J469" s="55">
        <f t="shared" si="3116"/>
        <v>-113</v>
      </c>
      <c r="K469" s="55">
        <f t="shared" si="3116"/>
        <v>-113</v>
      </c>
      <c r="L469" s="55">
        <f t="shared" si="3116"/>
        <v>-145</v>
      </c>
      <c r="M469" s="55">
        <f t="shared" ref="M469:V469" si="3117">M470-M467-M468</f>
        <v>-192</v>
      </c>
      <c r="N469" s="55">
        <f t="shared" si="3117"/>
        <v>-204</v>
      </c>
      <c r="O469" s="55">
        <f t="shared" si="3117"/>
        <v>-212</v>
      </c>
      <c r="P469" s="55">
        <f t="shared" si="3117"/>
        <v>-156.5</v>
      </c>
      <c r="Q469" s="55">
        <f t="shared" si="3117"/>
        <v>-156.5</v>
      </c>
      <c r="R469" s="55">
        <f t="shared" si="3117"/>
        <v>-167</v>
      </c>
      <c r="S469" s="55">
        <f t="shared" si="3117"/>
        <v>-288</v>
      </c>
      <c r="T469" s="55">
        <f t="shared" si="3117"/>
        <v>-243</v>
      </c>
      <c r="U469" s="55">
        <f t="shared" si="3117"/>
        <v>-361</v>
      </c>
      <c r="V469" s="55">
        <f t="shared" si="3117"/>
        <v>-254</v>
      </c>
      <c r="W469" s="55">
        <f t="shared" ref="W469:AK469" si="3118">W470-W467-W468</f>
        <v>-194</v>
      </c>
      <c r="X469" s="55">
        <f t="shared" si="3118"/>
        <v>-261</v>
      </c>
      <c r="Y469" s="55">
        <f t="shared" si="3118"/>
        <v>-260</v>
      </c>
      <c r="Z469" s="55">
        <f t="shared" si="3118"/>
        <v>-262</v>
      </c>
      <c r="AA469" s="55">
        <f t="shared" si="3118"/>
        <v>-264</v>
      </c>
      <c r="AB469" s="55">
        <f t="shared" si="3118"/>
        <v>-294</v>
      </c>
      <c r="AC469" s="55">
        <f t="shared" si="3118"/>
        <v>-299</v>
      </c>
      <c r="AD469" s="55">
        <f t="shared" si="3118"/>
        <v>-292</v>
      </c>
      <c r="AE469" s="55">
        <f t="shared" si="3118"/>
        <v>-593</v>
      </c>
      <c r="AF469" s="55">
        <f t="shared" si="3118"/>
        <v>-314</v>
      </c>
      <c r="AG469" s="55">
        <f t="shared" si="3118"/>
        <v>-323</v>
      </c>
      <c r="AH469" s="55">
        <f t="shared" si="3118"/>
        <v>-327</v>
      </c>
      <c r="AI469" s="55">
        <f t="shared" si="3118"/>
        <v>-344</v>
      </c>
      <c r="AJ469" s="55">
        <f t="shared" si="3118"/>
        <v>-321</v>
      </c>
      <c r="AK469" s="55">
        <f t="shared" si="3118"/>
        <v>-333</v>
      </c>
      <c r="AL469" s="55">
        <f t="shared" ref="AL469:AQ469" si="3119">AL470-AL467-AL468</f>
        <v>-318</v>
      </c>
      <c r="AM469" s="55">
        <f t="shared" si="3119"/>
        <v>-359</v>
      </c>
      <c r="AN469" s="55">
        <f t="shared" si="3119"/>
        <v>-282</v>
      </c>
      <c r="AO469" s="55">
        <f t="shared" si="3119"/>
        <v>-234</v>
      </c>
      <c r="AP469" s="55">
        <f t="shared" si="3119"/>
        <v>-225</v>
      </c>
      <c r="AQ469" s="55">
        <f t="shared" si="3119"/>
        <v>-162</v>
      </c>
      <c r="AR469" s="55">
        <f t="shared" ref="AR469" si="3120">AR470-AR467-AR468</f>
        <v>-114</v>
      </c>
      <c r="AS469" s="55">
        <f t="shared" ref="AS469:AT469" si="3121">AS470-AS467-AS468</f>
        <v>-96</v>
      </c>
      <c r="AT469" s="55">
        <f t="shared" si="3121"/>
        <v>-91</v>
      </c>
      <c r="AU469" s="55">
        <f t="shared" ref="AU469:AV469" si="3122">AU470-AU467-AU468</f>
        <v>-151</v>
      </c>
      <c r="AV469" s="55">
        <f t="shared" si="3122"/>
        <v>-185</v>
      </c>
      <c r="AW469" s="55">
        <f t="shared" ref="AW469:AY469" si="3123">AW470-AW467-AW468</f>
        <v>-198</v>
      </c>
      <c r="AX469" s="55">
        <f t="shared" si="3123"/>
        <v>-204</v>
      </c>
      <c r="AY469" s="55">
        <f t="shared" si="3123"/>
        <v>-236</v>
      </c>
      <c r="AZ469" s="56">
        <f t="shared" ref="AZ469" si="3124">AZ470-AZ467-AZ468</f>
        <v>-237</v>
      </c>
      <c r="BA469" s="55">
        <f t="shared" ref="BA469:BI469" si="3125">-BA111*((SUM(AVERAGE(AZ160:BA160),AVERAGE(AZ166:BA166),AVERAGE(AZ172:BA172))/AVERAGE(AZ178:BA178))*BA234)/BA$5</f>
        <v>-231.34731410748557</v>
      </c>
      <c r="BB469" s="55">
        <f t="shared" si="3125"/>
        <v>-247.00624549856045</v>
      </c>
      <c r="BC469" s="55">
        <f t="shared" si="3125"/>
        <v>-262.95522078604603</v>
      </c>
      <c r="BD469" s="55">
        <f t="shared" si="3125"/>
        <v>-286.00532593514407</v>
      </c>
      <c r="BE469" s="55">
        <f t="shared" si="3125"/>
        <v>-309.49013766514537</v>
      </c>
      <c r="BF469" s="55">
        <f t="shared" si="3125"/>
        <v>-249.97207266427648</v>
      </c>
      <c r="BG469" s="55">
        <f t="shared" si="3125"/>
        <v>-196.36695041515949</v>
      </c>
      <c r="BH469" s="55">
        <f t="shared" si="3125"/>
        <v>-169.9976742165523</v>
      </c>
      <c r="BI469" s="55">
        <f t="shared" si="3125"/>
        <v>-171.69765095871784</v>
      </c>
      <c r="BJ469" s="55">
        <f t="shared" ref="BJ469:BM469" si="3126">-BJ111*((SUM(AVERAGE(BI160:BJ160),AVERAGE(BI166:BJ166),AVERAGE(BI172:BJ172))/AVERAGE(BI178:BJ178))*BJ234)/BJ$5</f>
        <v>-176.06152757618639</v>
      </c>
      <c r="BK469" s="55">
        <f t="shared" si="3126"/>
        <v>-174.88488079952515</v>
      </c>
      <c r="BL469" s="55">
        <f t="shared" si="3126"/>
        <v>-178.98159478207998</v>
      </c>
      <c r="BM469" s="55">
        <f t="shared" si="3126"/>
        <v>-178.71827586918846</v>
      </c>
      <c r="BN469" s="55">
        <f t="shared" ref="BN469" si="3127">-BN111*((SUM(AVERAGE(BM160:BN160),AVERAGE(BM166:BN166),AVERAGE(BM172:BN172))/AVERAGE(BM178:BN178))*BN234)/BN$5</f>
        <v>-182.89952838084935</v>
      </c>
      <c r="BO469" s="55">
        <f t="shared" ref="BO469" si="3128">-BO111*((SUM(AVERAGE(BN160:BO160),AVERAGE(BN166:BO166),AVERAGE(BN172:BO172))/AVERAGE(BN178:BO178))*BO234)/BO$5</f>
        <v>-181.62859619449551</v>
      </c>
      <c r="BP469" s="55">
        <f t="shared" ref="BP469" si="3129">-BP111*((SUM(AVERAGE(BO160:BP160),AVERAGE(BO166:BP166),AVERAGE(BO172:BP172))/AVERAGE(BO178:BP178))*BP234)/BP$5</f>
        <v>-186.39586672491524</v>
      </c>
      <c r="BQ469" s="55">
        <f t="shared" ref="BQ469" si="3130">-BQ111*((SUM(AVERAGE(BP160:BQ160),AVERAGE(BP166:BQ166),AVERAGE(BP172:BQ172))/AVERAGE(BP178:BQ178))*BQ234)/BQ$5</f>
        <v>-185.10226659701999</v>
      </c>
      <c r="BR469" s="55"/>
      <c r="BS469" s="164">
        <f>-49-0</f>
        <v>-49</v>
      </c>
      <c r="BT469" s="164">
        <f>-56.4-1.8</f>
        <v>-58.199999999999996</v>
      </c>
      <c r="BU469" s="164">
        <f>-43.9-0.5+(8+1)*103.2/104.4</f>
        <v>-35.50344827586207</v>
      </c>
      <c r="BV469" s="164">
        <f>-79-2+8+1</f>
        <v>-72</v>
      </c>
      <c r="BW469" s="164">
        <f>-52+16-3+1</f>
        <v>-38</v>
      </c>
      <c r="BX469" s="164">
        <f>-58+16-3+1</f>
        <v>-44</v>
      </c>
      <c r="BY469" s="164">
        <f>-86+21-6+2</f>
        <v>-69</v>
      </c>
      <c r="BZ469" s="164">
        <f>-94+27-0+3</f>
        <v>-64</v>
      </c>
      <c r="CA469" s="164">
        <f>-104+28-4+3</f>
        <v>-77</v>
      </c>
      <c r="CB469" s="164">
        <f>-142+30-38+3</f>
        <v>-147</v>
      </c>
      <c r="CC469" s="55">
        <f t="shared" ref="CC469:CH469" si="3131">-CC111*((SUM(AVERAGE(CB160:CC160),AVERAGE(CB166:CC166),AVERAGE(CB172:CC172))/AVERAGE(CB178:CC178))*CC234)/CC$5</f>
        <v>-126.86022514071296</v>
      </c>
      <c r="CD469" s="55">
        <f t="shared" si="3131"/>
        <v>-107.13583138173301</v>
      </c>
      <c r="CE469" s="55">
        <f t="shared" si="3131"/>
        <v>-101.90039840637451</v>
      </c>
      <c r="CF469" s="55">
        <f t="shared" si="3131"/>
        <v>-118.3595163826661</v>
      </c>
      <c r="CG469" s="55">
        <f t="shared" si="3131"/>
        <v>-192.41159838110545</v>
      </c>
      <c r="CH469" s="55">
        <f t="shared" si="3131"/>
        <v>-248.58860712973174</v>
      </c>
      <c r="CI469" s="55">
        <f t="shared" si="3073"/>
        <v>-313</v>
      </c>
      <c r="CJ469" s="55">
        <f t="shared" si="3074"/>
        <v>-455</v>
      </c>
      <c r="CK469" s="55">
        <f t="shared" si="3075"/>
        <v>-604</v>
      </c>
      <c r="CL469" s="55">
        <f t="shared" si="3076"/>
        <v>-448</v>
      </c>
      <c r="CM469" s="55">
        <f t="shared" si="3077"/>
        <v>-521</v>
      </c>
      <c r="CN469" s="55">
        <f t="shared" si="3078"/>
        <v>-526</v>
      </c>
      <c r="CO469" s="55">
        <f t="shared" si="3079"/>
        <v>-593</v>
      </c>
      <c r="CP469" s="55">
        <f t="shared" si="3080"/>
        <v>-885</v>
      </c>
      <c r="CQ469" s="55">
        <f t="shared" si="3081"/>
        <v>-637</v>
      </c>
      <c r="CR469" s="55">
        <f t="shared" si="3082"/>
        <v>-671</v>
      </c>
      <c r="CS469" s="55">
        <f t="shared" si="3083"/>
        <v>-654</v>
      </c>
      <c r="CT469" s="55">
        <f t="shared" si="3084"/>
        <v>-677</v>
      </c>
      <c r="CU469" s="55">
        <f t="shared" si="3085"/>
        <v>-516</v>
      </c>
      <c r="CV469" s="55">
        <f t="shared" si="3086"/>
        <v>-387</v>
      </c>
      <c r="CW469" s="55">
        <f t="shared" si="3087"/>
        <v>-210</v>
      </c>
      <c r="CX469" s="55">
        <f t="shared" si="3088"/>
        <v>-242</v>
      </c>
      <c r="CY469" s="55">
        <f t="shared" si="3089"/>
        <v>-383</v>
      </c>
      <c r="CZ469" s="56">
        <f t="shared" si="3090"/>
        <v>-440</v>
      </c>
      <c r="DA469" s="55">
        <f t="shared" si="3091"/>
        <v>-468.34731410748554</v>
      </c>
      <c r="DB469" s="55">
        <f t="shared" si="3092"/>
        <v>-509.96146628460644</v>
      </c>
      <c r="DC469" s="55">
        <f t="shared" si="3093"/>
        <v>-595.49546360028944</v>
      </c>
      <c r="DD469" s="55">
        <f t="shared" si="3094"/>
        <v>-446.33902307943595</v>
      </c>
      <c r="DE469" s="55">
        <f t="shared" si="3095"/>
        <v>-341.69532517527011</v>
      </c>
      <c r="DF469" s="55">
        <f t="shared" si="3096"/>
        <v>-350.94640837571154</v>
      </c>
      <c r="DG469" s="55">
        <f t="shared" si="3097"/>
        <v>-357.69987065126844</v>
      </c>
      <c r="DH469" s="55">
        <f t="shared" si="3098"/>
        <v>-364.52812457534486</v>
      </c>
      <c r="DI469" s="55">
        <f t="shared" si="3099"/>
        <v>-371.49813332193526</v>
      </c>
    </row>
    <row r="470" spans="1:113" s="24" customFormat="1" outlineLevel="1">
      <c r="A470" s="1" t="s">
        <v>683</v>
      </c>
      <c r="B470" s="24" t="s">
        <v>478</v>
      </c>
      <c r="C470" s="81">
        <f>-25+52-292</f>
        <v>-265</v>
      </c>
      <c r="D470" s="81">
        <f>-27+28-280</f>
        <v>-279</v>
      </c>
      <c r="E470" s="81">
        <f>-27+28-168</f>
        <v>-167</v>
      </c>
      <c r="F470" s="81">
        <f>-23+33-196</f>
        <v>-186</v>
      </c>
      <c r="G470" s="81">
        <f>-28+41-208</f>
        <v>-195</v>
      </c>
      <c r="H470" s="81">
        <f>-34+37-124</f>
        <v>-121</v>
      </c>
      <c r="I470" s="81">
        <f>-53+42-143</f>
        <v>-154</v>
      </c>
      <c r="J470" s="81">
        <f>-28+40-132</f>
        <v>-120</v>
      </c>
      <c r="K470" s="81">
        <f>-28+41-203</f>
        <v>-190</v>
      </c>
      <c r="L470" s="81">
        <f>-26+57-209</f>
        <v>-178</v>
      </c>
      <c r="M470" s="81">
        <f>-27+70-235</f>
        <v>-192</v>
      </c>
      <c r="N470" s="81">
        <f>-27+55-232</f>
        <v>-204</v>
      </c>
      <c r="O470" s="81">
        <f>-24+48-236</f>
        <v>-212</v>
      </c>
      <c r="P470" s="81">
        <f>-192+40-49</f>
        <v>-201</v>
      </c>
      <c r="Q470" s="81">
        <f>-189+37-73</f>
        <v>-225</v>
      </c>
      <c r="R470" s="81">
        <f>-205+39-66</f>
        <v>-232</v>
      </c>
      <c r="S470" s="81">
        <f>-267+34-605</f>
        <v>-838</v>
      </c>
      <c r="T470" s="81">
        <f>-308+41-851</f>
        <v>-1118</v>
      </c>
      <c r="U470" s="81">
        <f>-426+36-488</f>
        <v>-878</v>
      </c>
      <c r="V470" s="81">
        <f>-326+54-502</f>
        <v>-774</v>
      </c>
      <c r="W470" s="81">
        <f>-320+152-827</f>
        <v>-995</v>
      </c>
      <c r="X470" s="81">
        <f>-356+101-487</f>
        <v>-742</v>
      </c>
      <c r="Y470" s="81">
        <f>-384+127-650</f>
        <v>-907</v>
      </c>
      <c r="Z470" s="81">
        <f>-349+74-661</f>
        <v>-936</v>
      </c>
      <c r="AA470" s="166">
        <f>-346-533+80</f>
        <v>-799</v>
      </c>
      <c r="AB470" s="166">
        <f>-369-479+91</f>
        <v>-757</v>
      </c>
      <c r="AC470" s="166">
        <f>-384-581+74</f>
        <v>-891</v>
      </c>
      <c r="AD470" s="166">
        <f>-383-229+98</f>
        <v>-514</v>
      </c>
      <c r="AE470" s="166">
        <f>-387-480+78</f>
        <v>-789</v>
      </c>
      <c r="AF470" s="166">
        <f>-415-232+120</f>
        <v>-527</v>
      </c>
      <c r="AG470" s="166">
        <f>-431-339+105</f>
        <v>-665</v>
      </c>
      <c r="AH470" s="166">
        <f>-443-207+107</f>
        <v>-543</v>
      </c>
      <c r="AI470" s="166">
        <f>-451-247+103</f>
        <v>-595</v>
      </c>
      <c r="AJ470" s="166">
        <f>-433-235+104</f>
        <v>-564</v>
      </c>
      <c r="AK470" s="166">
        <f>-438-313+97</f>
        <v>-654</v>
      </c>
      <c r="AL470" s="166">
        <f>-438-244+104</f>
        <v>-578</v>
      </c>
      <c r="AM470" s="166">
        <f>-463-256+102</f>
        <v>-617</v>
      </c>
      <c r="AN470" s="166">
        <f>-406-163+101</f>
        <v>-468</v>
      </c>
      <c r="AO470" s="166">
        <f>-357-281+84</f>
        <v>-554</v>
      </c>
      <c r="AP470" s="166">
        <v>-433</v>
      </c>
      <c r="AQ470" s="166">
        <f>-236-121+62</f>
        <v>-295</v>
      </c>
      <c r="AR470" s="166">
        <v>-326</v>
      </c>
      <c r="AS470" s="166">
        <f>-155-137+60</f>
        <v>-232</v>
      </c>
      <c r="AT470" s="166">
        <f>-161-267+64</f>
        <v>-364</v>
      </c>
      <c r="AU470" s="166">
        <f>-193-63+44</f>
        <v>-212</v>
      </c>
      <c r="AV470" s="166">
        <v>-324</v>
      </c>
      <c r="AW470" s="166">
        <f>-678-AV470</f>
        <v>-354</v>
      </c>
      <c r="AX470" s="166">
        <v>-290</v>
      </c>
      <c r="AY470" s="166">
        <f>-119-267+65</f>
        <v>-321</v>
      </c>
      <c r="AZ470" s="167">
        <f>+-141-274+55</f>
        <v>-360</v>
      </c>
      <c r="BA470" s="82">
        <f t="shared" ref="BA470:BI470" si="3132">SUM(BA467:BA469)</f>
        <v>-393.55479308969745</v>
      </c>
      <c r="BB470" s="82">
        <f t="shared" si="3132"/>
        <v>-453.75492758749988</v>
      </c>
      <c r="BC470" s="82">
        <f t="shared" si="3132"/>
        <v>-537.76802768946186</v>
      </c>
      <c r="BD470" s="82">
        <f t="shared" si="3132"/>
        <v>-548.38419731353383</v>
      </c>
      <c r="BE470" s="82">
        <f t="shared" si="3132"/>
        <v>-552.50781110571722</v>
      </c>
      <c r="BF470" s="82">
        <f t="shared" si="3132"/>
        <v>-463.98936616917479</v>
      </c>
      <c r="BG470" s="82">
        <f t="shared" si="3132"/>
        <v>-374.11706405892653</v>
      </c>
      <c r="BH470" s="82">
        <f t="shared" si="3132"/>
        <v>-364.12123003809046</v>
      </c>
      <c r="BI470" s="82">
        <f t="shared" si="3132"/>
        <v>-365.81427448256227</v>
      </c>
      <c r="BJ470" s="82">
        <f t="shared" ref="BJ470:BM470" si="3133">SUM(BJ467:BJ469)</f>
        <v>-479.04419462483742</v>
      </c>
      <c r="BK470" s="82">
        <f t="shared" si="3133"/>
        <v>-559.6742604927133</v>
      </c>
      <c r="BL470" s="82">
        <f t="shared" si="3133"/>
        <v>-659.89786500709988</v>
      </c>
      <c r="BM470" s="82">
        <f t="shared" si="3133"/>
        <v>-662.81229856828509</v>
      </c>
      <c r="BN470" s="82">
        <f t="shared" ref="BN470:BO470" si="3134">SUM(BN467:BN469)</f>
        <v>-682.33234397334672</v>
      </c>
      <c r="BO470" s="82">
        <f t="shared" si="3134"/>
        <v>-681.6130694870626</v>
      </c>
      <c r="BP470" s="82">
        <f t="shared" ref="BP470:BQ470" si="3135">SUM(BP467:BP469)</f>
        <v>-703.66960477084433</v>
      </c>
      <c r="BQ470" s="82">
        <f t="shared" si="3135"/>
        <v>-702.96158772910167</v>
      </c>
      <c r="BR470" s="82"/>
      <c r="BS470" s="81">
        <f>-634.3+51.3</f>
        <v>-583</v>
      </c>
      <c r="BT470" s="81">
        <f>-1432.4+28.9</f>
        <v>-1403.5</v>
      </c>
      <c r="BU470" s="81">
        <f>-386.5+103.2</f>
        <v>-283.3</v>
      </c>
      <c r="BV470" s="81">
        <f>-427+105</f>
        <v>-322</v>
      </c>
      <c r="BW470" s="81">
        <f>-236+74</f>
        <v>-162</v>
      </c>
      <c r="BX470" s="81">
        <f>186+80</f>
        <v>266</v>
      </c>
      <c r="BY470" s="81">
        <f>-221+48</f>
        <v>-173</v>
      </c>
      <c r="BZ470" s="81">
        <f>-282+51</f>
        <v>-231</v>
      </c>
      <c r="CA470" s="81">
        <f>-251+54</f>
        <v>-197</v>
      </c>
      <c r="CB470" s="81">
        <f>-641+88</f>
        <v>-553</v>
      </c>
      <c r="CC470" s="82">
        <f t="shared" ref="CC470:CC478" si="3136">SUM(D470:E470)</f>
        <v>-446</v>
      </c>
      <c r="CD470" s="82">
        <f t="shared" ref="CD470:CD478" si="3137">SUM(F470:G470)</f>
        <v>-381</v>
      </c>
      <c r="CE470" s="82">
        <f t="shared" ref="CE470:CE478" si="3138">SUM(H470:I470)</f>
        <v>-275</v>
      </c>
      <c r="CF470" s="82">
        <f t="shared" ref="CF470:CF478" si="3139">SUM(J470:K470)</f>
        <v>-310</v>
      </c>
      <c r="CG470" s="82">
        <f t="shared" ref="CG470:CG478" si="3140">SUM(L470:M470)</f>
        <v>-370</v>
      </c>
      <c r="CH470" s="82">
        <f t="shared" ref="CH470:CH478" si="3141">SUM(N470:O470)</f>
        <v>-416</v>
      </c>
      <c r="CI470" s="82">
        <f t="shared" si="3073"/>
        <v>-426</v>
      </c>
      <c r="CJ470" s="82">
        <f t="shared" si="3074"/>
        <v>-1070</v>
      </c>
      <c r="CK470" s="82">
        <f t="shared" si="3075"/>
        <v>-1996</v>
      </c>
      <c r="CL470" s="82">
        <f t="shared" si="3076"/>
        <v>-1769</v>
      </c>
      <c r="CM470" s="82">
        <f t="shared" si="3077"/>
        <v>-1649</v>
      </c>
      <c r="CN470" s="82">
        <f t="shared" si="3078"/>
        <v>-1735</v>
      </c>
      <c r="CO470" s="82">
        <f t="shared" si="3079"/>
        <v>-1648</v>
      </c>
      <c r="CP470" s="82">
        <f t="shared" si="3080"/>
        <v>-1303</v>
      </c>
      <c r="CQ470" s="82">
        <f t="shared" si="3081"/>
        <v>-1192</v>
      </c>
      <c r="CR470" s="82">
        <f t="shared" si="3082"/>
        <v>-1138</v>
      </c>
      <c r="CS470" s="82">
        <f t="shared" si="3083"/>
        <v>-1218</v>
      </c>
      <c r="CT470" s="82">
        <f t="shared" si="3084"/>
        <v>-1195</v>
      </c>
      <c r="CU470" s="82">
        <f t="shared" si="3085"/>
        <v>-1022</v>
      </c>
      <c r="CV470" s="82">
        <f t="shared" si="3086"/>
        <v>-728</v>
      </c>
      <c r="CW470" s="82">
        <f t="shared" si="3087"/>
        <v>-558</v>
      </c>
      <c r="CX470" s="82">
        <f t="shared" si="3088"/>
        <v>-576</v>
      </c>
      <c r="CY470" s="82">
        <f t="shared" si="3089"/>
        <v>-678</v>
      </c>
      <c r="CZ470" s="83">
        <f t="shared" si="3090"/>
        <v>-611</v>
      </c>
      <c r="DA470" s="82">
        <f t="shared" si="3091"/>
        <v>-753.55479308969745</v>
      </c>
      <c r="DB470" s="82">
        <f t="shared" si="3092"/>
        <v>-991.52295527696174</v>
      </c>
      <c r="DC470" s="82">
        <f t="shared" si="3093"/>
        <v>-1100.8920084192509</v>
      </c>
      <c r="DD470" s="82">
        <f t="shared" si="3094"/>
        <v>-838.10643022810132</v>
      </c>
      <c r="DE470" s="82">
        <f t="shared" si="3095"/>
        <v>-729.93550452065278</v>
      </c>
      <c r="DF470" s="82">
        <f t="shared" si="3096"/>
        <v>-1038.7184551175508</v>
      </c>
      <c r="DG470" s="82">
        <f t="shared" si="3097"/>
        <v>-1322.710163575385</v>
      </c>
      <c r="DH470" s="82">
        <f t="shared" si="3098"/>
        <v>-1363.9454134604093</v>
      </c>
      <c r="DI470" s="82">
        <f t="shared" si="3099"/>
        <v>-1406.6311924999459</v>
      </c>
    </row>
    <row r="471" spans="1:113" outlineLevel="1">
      <c r="A471" s="1" t="s">
        <v>684</v>
      </c>
      <c r="B471" s="19" t="s">
        <v>479</v>
      </c>
      <c r="C471" s="55">
        <f t="shared" ref="C471:L471" si="3142">C472-C470</f>
        <v>62</v>
      </c>
      <c r="D471" s="55">
        <f t="shared" si="3142"/>
        <v>-11</v>
      </c>
      <c r="E471" s="55">
        <f t="shared" si="3142"/>
        <v>8</v>
      </c>
      <c r="F471" s="55">
        <f t="shared" si="3142"/>
        <v>35</v>
      </c>
      <c r="G471" s="55">
        <f t="shared" si="3142"/>
        <v>41</v>
      </c>
      <c r="H471" s="55">
        <f t="shared" si="3142"/>
        <v>-29</v>
      </c>
      <c r="I471" s="55">
        <f t="shared" si="3142"/>
        <v>28</v>
      </c>
      <c r="J471" s="55">
        <f t="shared" si="3142"/>
        <v>-26</v>
      </c>
      <c r="K471" s="55">
        <f t="shared" si="3142"/>
        <v>14</v>
      </c>
      <c r="L471" s="55">
        <f t="shared" si="3142"/>
        <v>-10</v>
      </c>
      <c r="M471" s="55">
        <f t="shared" ref="M471:X471" si="3143">M472-M470</f>
        <v>-18</v>
      </c>
      <c r="N471" s="55">
        <f t="shared" si="3143"/>
        <v>9</v>
      </c>
      <c r="O471" s="55">
        <f t="shared" si="3143"/>
        <v>-27</v>
      </c>
      <c r="P471" s="55">
        <f t="shared" si="3143"/>
        <v>-132</v>
      </c>
      <c r="Q471" s="55">
        <f t="shared" si="3143"/>
        <v>-372</v>
      </c>
      <c r="R471" s="55">
        <f t="shared" si="3143"/>
        <v>-1719</v>
      </c>
      <c r="S471" s="55">
        <f t="shared" si="3143"/>
        <v>-603</v>
      </c>
      <c r="T471" s="55">
        <f t="shared" si="3143"/>
        <v>-265</v>
      </c>
      <c r="U471" s="55">
        <f t="shared" si="3143"/>
        <v>186</v>
      </c>
      <c r="V471" s="55">
        <f t="shared" si="3143"/>
        <v>52</v>
      </c>
      <c r="W471" s="55">
        <f t="shared" si="3143"/>
        <v>437</v>
      </c>
      <c r="X471" s="55">
        <f t="shared" si="3143"/>
        <v>197</v>
      </c>
      <c r="Y471" s="55">
        <f t="shared" ref="Y471:AK471" si="3144">Y472-Y470</f>
        <v>363</v>
      </c>
      <c r="Z471" s="55">
        <f t="shared" si="3144"/>
        <v>320</v>
      </c>
      <c r="AA471" s="55">
        <f t="shared" si="3144"/>
        <v>333</v>
      </c>
      <c r="AB471" s="55">
        <f t="shared" si="3144"/>
        <v>300</v>
      </c>
      <c r="AC471" s="55">
        <f t="shared" si="3144"/>
        <v>395</v>
      </c>
      <c r="AD471" s="55">
        <f t="shared" si="3144"/>
        <v>74</v>
      </c>
      <c r="AE471" s="55">
        <f t="shared" si="3144"/>
        <v>241</v>
      </c>
      <c r="AF471" s="55">
        <f t="shared" si="3144"/>
        <v>-37</v>
      </c>
      <c r="AG471" s="55">
        <f t="shared" si="3144"/>
        <v>-27</v>
      </c>
      <c r="AH471" s="55">
        <f t="shared" si="3144"/>
        <v>-56</v>
      </c>
      <c r="AI471" s="55">
        <f t="shared" si="3144"/>
        <v>99</v>
      </c>
      <c r="AJ471" s="55">
        <f t="shared" si="3144"/>
        <v>-32</v>
      </c>
      <c r="AK471" s="55">
        <f t="shared" si="3144"/>
        <v>171</v>
      </c>
      <c r="AL471" s="55">
        <f t="shared" ref="AL471:AQ471" si="3145">AL472-AL470</f>
        <v>1</v>
      </c>
      <c r="AM471" s="55">
        <f t="shared" si="3145"/>
        <v>-7</v>
      </c>
      <c r="AN471" s="55">
        <f t="shared" si="3145"/>
        <v>-181</v>
      </c>
      <c r="AO471" s="55">
        <f t="shared" si="3145"/>
        <v>-1315</v>
      </c>
      <c r="AP471" s="55">
        <f t="shared" si="3145"/>
        <v>-449</v>
      </c>
      <c r="AQ471" s="55">
        <f t="shared" si="3145"/>
        <v>623</v>
      </c>
      <c r="AR471" s="55">
        <f t="shared" ref="AR471" si="3146">AR472-AR470</f>
        <v>401</v>
      </c>
      <c r="AS471" s="55">
        <f t="shared" ref="AS471:AT471" si="3147">AS472-AS470</f>
        <v>514</v>
      </c>
      <c r="AT471" s="55">
        <f t="shared" si="3147"/>
        <v>-147</v>
      </c>
      <c r="AU471" s="55">
        <f t="shared" ref="AU471:AV471" si="3148">AU472-AU470</f>
        <v>-385</v>
      </c>
      <c r="AV471" s="55">
        <f t="shared" si="3148"/>
        <v>-91</v>
      </c>
      <c r="AW471" s="55">
        <f t="shared" ref="AW471:AY471" si="3149">AW472-AW470</f>
        <v>-33</v>
      </c>
      <c r="AX471" s="55">
        <f t="shared" si="3149"/>
        <v>-30</v>
      </c>
      <c r="AY471" s="55">
        <f t="shared" si="3149"/>
        <v>-85</v>
      </c>
      <c r="AZ471" s="56">
        <f t="shared" ref="AZ471" si="3150">AZ472-AZ470</f>
        <v>41</v>
      </c>
      <c r="BA471" s="55">
        <f t="shared" ref="BA471:BI471" si="3151">(AZ120-BA120)+(AZ121-BA121)</f>
        <v>-5.4273710940844921</v>
      </c>
      <c r="BB471" s="55">
        <f t="shared" si="3151"/>
        <v>17.699413139326111</v>
      </c>
      <c r="BC471" s="55">
        <f t="shared" si="3151"/>
        <v>68.102638518532331</v>
      </c>
      <c r="BD471" s="55">
        <f t="shared" si="3151"/>
        <v>1.6442632752471127</v>
      </c>
      <c r="BE471" s="55">
        <f t="shared" si="3151"/>
        <v>-4.7886273639350065</v>
      </c>
      <c r="BF471" s="55">
        <f t="shared" si="3151"/>
        <v>-50.535546618387002</v>
      </c>
      <c r="BG471" s="55">
        <f t="shared" si="3151"/>
        <v>-54.398361052832058</v>
      </c>
      <c r="BH471" s="55">
        <f t="shared" si="3151"/>
        <v>-14.280800888255897</v>
      </c>
      <c r="BI471" s="55">
        <f t="shared" si="3151"/>
        <v>-3.7304265384673272</v>
      </c>
      <c r="BJ471" s="55">
        <f t="shared" ref="BJ471:BM471" si="3152">(BI120-BJ120)+(BI121-BJ121)</f>
        <v>-49.576432675380886</v>
      </c>
      <c r="BK471" s="55">
        <f t="shared" si="3152"/>
        <v>-61.014347795018523</v>
      </c>
      <c r="BL471" s="55">
        <f t="shared" si="3152"/>
        <v>-61.662388322745358</v>
      </c>
      <c r="BM471" s="55">
        <f t="shared" si="3152"/>
        <v>-62.317837489688259</v>
      </c>
      <c r="BN471" s="55">
        <f t="shared" ref="BN471" si="3153">(BM120-BN120)+(BM121-BN121)</f>
        <v>-62.980788867198783</v>
      </c>
      <c r="BO471" s="55">
        <f t="shared" ref="BO471" si="3154">(BN120-BO120)+(BN121-BO121)</f>
        <v>-63.651337359597676</v>
      </c>
      <c r="BP471" s="55">
        <f t="shared" ref="BP471" si="3155">(BO120-BP120)+(BO121-BP121)</f>
        <v>-64.32957922549798</v>
      </c>
      <c r="BQ471" s="55">
        <f t="shared" ref="BQ471" si="3156">(BP120-BQ120)+(BP121-BQ121)</f>
        <v>-65.015612099557075</v>
      </c>
      <c r="BR471" s="55"/>
      <c r="BS471" s="55">
        <f t="shared" ref="BS471:CB471" si="3157">BS472-BS470</f>
        <v>-260</v>
      </c>
      <c r="BT471" s="55">
        <f t="shared" si="3157"/>
        <v>935.5</v>
      </c>
      <c r="BU471" s="55">
        <f t="shared" si="3157"/>
        <v>-37.699999999999989</v>
      </c>
      <c r="BV471" s="55">
        <f t="shared" si="3157"/>
        <v>140</v>
      </c>
      <c r="BW471" s="55">
        <f t="shared" si="3157"/>
        <v>49</v>
      </c>
      <c r="BX471" s="55">
        <f t="shared" si="3157"/>
        <v>-364</v>
      </c>
      <c r="BY471" s="55">
        <f t="shared" si="3157"/>
        <v>-60</v>
      </c>
      <c r="BZ471" s="55">
        <f t="shared" si="3157"/>
        <v>-16</v>
      </c>
      <c r="CA471" s="55">
        <f t="shared" si="3157"/>
        <v>1</v>
      </c>
      <c r="CB471" s="55">
        <f t="shared" si="3157"/>
        <v>168</v>
      </c>
      <c r="CC471" s="55">
        <f t="shared" si="3136"/>
        <v>-3</v>
      </c>
      <c r="CD471" s="55">
        <f t="shared" si="3137"/>
        <v>76</v>
      </c>
      <c r="CE471" s="55">
        <f t="shared" si="3138"/>
        <v>-1</v>
      </c>
      <c r="CF471" s="55">
        <f t="shared" si="3139"/>
        <v>-12</v>
      </c>
      <c r="CG471" s="55">
        <f t="shared" si="3140"/>
        <v>-28</v>
      </c>
      <c r="CH471" s="55">
        <f t="shared" si="3141"/>
        <v>-18</v>
      </c>
      <c r="CI471" s="55">
        <f t="shared" si="3073"/>
        <v>-504</v>
      </c>
      <c r="CJ471" s="55">
        <f t="shared" si="3074"/>
        <v>-2322</v>
      </c>
      <c r="CK471" s="55">
        <f t="shared" si="3075"/>
        <v>-79</v>
      </c>
      <c r="CL471" s="55">
        <f t="shared" si="3076"/>
        <v>489</v>
      </c>
      <c r="CM471" s="55">
        <f t="shared" si="3077"/>
        <v>560</v>
      </c>
      <c r="CN471" s="55">
        <f t="shared" si="3078"/>
        <v>653</v>
      </c>
      <c r="CO471" s="55">
        <f t="shared" si="3079"/>
        <v>695</v>
      </c>
      <c r="CP471" s="55">
        <f t="shared" si="3080"/>
        <v>315</v>
      </c>
      <c r="CQ471" s="55">
        <f t="shared" si="3081"/>
        <v>-64</v>
      </c>
      <c r="CR471" s="55">
        <f t="shared" si="3082"/>
        <v>43</v>
      </c>
      <c r="CS471" s="55">
        <f t="shared" si="3083"/>
        <v>139</v>
      </c>
      <c r="CT471" s="55">
        <f t="shared" si="3084"/>
        <v>-6</v>
      </c>
      <c r="CU471" s="55">
        <f t="shared" si="3085"/>
        <v>-1496</v>
      </c>
      <c r="CV471" s="55">
        <f t="shared" si="3086"/>
        <v>174</v>
      </c>
      <c r="CW471" s="55">
        <f t="shared" si="3087"/>
        <v>915</v>
      </c>
      <c r="CX471" s="55">
        <f t="shared" si="3088"/>
        <v>-532</v>
      </c>
      <c r="CY471" s="55">
        <f t="shared" si="3089"/>
        <v>-124</v>
      </c>
      <c r="CZ471" s="56">
        <f t="shared" si="3090"/>
        <v>-115</v>
      </c>
      <c r="DA471" s="55">
        <f t="shared" si="3091"/>
        <v>35.572628905915508</v>
      </c>
      <c r="DB471" s="55">
        <f t="shared" si="3092"/>
        <v>85.802051657858442</v>
      </c>
      <c r="DC471" s="55">
        <f t="shared" si="3093"/>
        <v>-3.1443640886878939</v>
      </c>
      <c r="DD471" s="55">
        <f t="shared" si="3094"/>
        <v>-104.93390767121906</v>
      </c>
      <c r="DE471" s="55">
        <f t="shared" si="3095"/>
        <v>-18.011227426723224</v>
      </c>
      <c r="DF471" s="55">
        <f t="shared" si="3096"/>
        <v>-110.59078047039941</v>
      </c>
      <c r="DG471" s="55">
        <f t="shared" si="3097"/>
        <v>-123.98022581243362</v>
      </c>
      <c r="DH471" s="55">
        <f t="shared" si="3098"/>
        <v>-126.63212622679646</v>
      </c>
      <c r="DI471" s="55">
        <f t="shared" si="3099"/>
        <v>-129.34519132505505</v>
      </c>
    </row>
    <row r="472" spans="1:113" s="24" customFormat="1" outlineLevel="1">
      <c r="A472" s="1" t="s">
        <v>106</v>
      </c>
      <c r="B472" s="24" t="s">
        <v>168</v>
      </c>
      <c r="C472" s="82">
        <f t="shared" ref="C472:L472" si="3158">C478-SUM(C473:C477)</f>
        <v>-203</v>
      </c>
      <c r="D472" s="82">
        <f t="shared" si="3158"/>
        <v>-290</v>
      </c>
      <c r="E472" s="82">
        <f t="shared" si="3158"/>
        <v>-159</v>
      </c>
      <c r="F472" s="82">
        <f t="shared" si="3158"/>
        <v>-151</v>
      </c>
      <c r="G472" s="82">
        <f t="shared" si="3158"/>
        <v>-154</v>
      </c>
      <c r="H472" s="82">
        <f t="shared" si="3158"/>
        <v>-150</v>
      </c>
      <c r="I472" s="82">
        <f t="shared" si="3158"/>
        <v>-126</v>
      </c>
      <c r="J472" s="82">
        <f t="shared" si="3158"/>
        <v>-146</v>
      </c>
      <c r="K472" s="82">
        <f t="shared" si="3158"/>
        <v>-176</v>
      </c>
      <c r="L472" s="82">
        <f t="shared" si="3158"/>
        <v>-188</v>
      </c>
      <c r="M472" s="82">
        <f t="shared" ref="M472:T472" si="3159">M478-SUM(M473:M477)</f>
        <v>-210</v>
      </c>
      <c r="N472" s="82">
        <f t="shared" si="3159"/>
        <v>-195</v>
      </c>
      <c r="O472" s="82">
        <f t="shared" si="3159"/>
        <v>-239</v>
      </c>
      <c r="P472" s="82">
        <f t="shared" si="3159"/>
        <v>-333</v>
      </c>
      <c r="Q472" s="82">
        <f t="shared" si="3159"/>
        <v>-597</v>
      </c>
      <c r="R472" s="82">
        <f t="shared" si="3159"/>
        <v>-1951</v>
      </c>
      <c r="S472" s="82">
        <f t="shared" si="3159"/>
        <v>-1441</v>
      </c>
      <c r="T472" s="82">
        <f t="shared" si="3159"/>
        <v>-1383</v>
      </c>
      <c r="U472" s="82">
        <f t="shared" ref="U472:AK472" si="3160">U478-SUM(U473:U477)</f>
        <v>-692</v>
      </c>
      <c r="V472" s="82">
        <f t="shared" si="3160"/>
        <v>-722</v>
      </c>
      <c r="W472" s="82">
        <f t="shared" si="3160"/>
        <v>-558</v>
      </c>
      <c r="X472" s="82">
        <f t="shared" si="3160"/>
        <v>-545</v>
      </c>
      <c r="Y472" s="82">
        <f t="shared" si="3160"/>
        <v>-544</v>
      </c>
      <c r="Z472" s="82">
        <f t="shared" si="3160"/>
        <v>-616</v>
      </c>
      <c r="AA472" s="82">
        <f t="shared" si="3160"/>
        <v>-466</v>
      </c>
      <c r="AB472" s="82">
        <f t="shared" si="3160"/>
        <v>-457</v>
      </c>
      <c r="AC472" s="82">
        <f t="shared" si="3160"/>
        <v>-496</v>
      </c>
      <c r="AD472" s="82">
        <f t="shared" si="3160"/>
        <v>-440</v>
      </c>
      <c r="AE472" s="82">
        <f t="shared" si="3160"/>
        <v>-548</v>
      </c>
      <c r="AF472" s="82">
        <f t="shared" si="3160"/>
        <v>-564</v>
      </c>
      <c r="AG472" s="82">
        <f t="shared" si="3160"/>
        <v>-692</v>
      </c>
      <c r="AH472" s="82">
        <f t="shared" si="3160"/>
        <v>-599</v>
      </c>
      <c r="AI472" s="82">
        <f t="shared" si="3160"/>
        <v>-496</v>
      </c>
      <c r="AJ472" s="82">
        <f t="shared" si="3160"/>
        <v>-596</v>
      </c>
      <c r="AK472" s="82">
        <f t="shared" si="3160"/>
        <v>-483</v>
      </c>
      <c r="AL472" s="82">
        <f t="shared" ref="AL472:AQ472" si="3161">AL478-SUM(AL473:AL477)</f>
        <v>-577</v>
      </c>
      <c r="AM472" s="82">
        <f t="shared" si="3161"/>
        <v>-624</v>
      </c>
      <c r="AN472" s="82">
        <f t="shared" si="3161"/>
        <v>-649</v>
      </c>
      <c r="AO472" s="82">
        <f t="shared" si="3161"/>
        <v>-1869</v>
      </c>
      <c r="AP472" s="82">
        <f t="shared" si="3161"/>
        <v>-882</v>
      </c>
      <c r="AQ472" s="82">
        <f t="shared" si="3161"/>
        <v>328</v>
      </c>
      <c r="AR472" s="82">
        <f t="shared" ref="AR472" si="3162">AR478-SUM(AR473:AR477)</f>
        <v>75</v>
      </c>
      <c r="AS472" s="82">
        <f t="shared" ref="AS472:AT472" si="3163">AS478-SUM(AS473:AS477)</f>
        <v>282</v>
      </c>
      <c r="AT472" s="82">
        <f t="shared" si="3163"/>
        <v>-511</v>
      </c>
      <c r="AU472" s="82">
        <f t="shared" ref="AU472:AV472" si="3164">AU478-SUM(AU473:AU477)</f>
        <v>-597</v>
      </c>
      <c r="AV472" s="82">
        <f t="shared" si="3164"/>
        <v>-415</v>
      </c>
      <c r="AW472" s="82">
        <f t="shared" ref="AW472:AY472" si="3165">AW478-SUM(AW473:AW477)</f>
        <v>-387</v>
      </c>
      <c r="AX472" s="82">
        <f t="shared" si="3165"/>
        <v>-320</v>
      </c>
      <c r="AY472" s="82">
        <f t="shared" si="3165"/>
        <v>-406</v>
      </c>
      <c r="AZ472" s="83">
        <f t="shared" ref="AZ472" si="3166">AZ478-SUM(AZ473:AZ477)</f>
        <v>-319</v>
      </c>
      <c r="BA472" s="82">
        <f t="shared" ref="BA472:BI472" si="3167">BA470+BA471</f>
        <v>-398.98216418378195</v>
      </c>
      <c r="BB472" s="82">
        <f t="shared" si="3167"/>
        <v>-436.05551444817377</v>
      </c>
      <c r="BC472" s="82">
        <f t="shared" si="3167"/>
        <v>-469.66538917092953</v>
      </c>
      <c r="BD472" s="82">
        <f t="shared" si="3167"/>
        <v>-546.73993403828672</v>
      </c>
      <c r="BE472" s="82">
        <f t="shared" si="3167"/>
        <v>-557.29643846965223</v>
      </c>
      <c r="BF472" s="82">
        <f t="shared" si="3167"/>
        <v>-514.52491278756179</v>
      </c>
      <c r="BG472" s="82">
        <f t="shared" si="3167"/>
        <v>-428.51542511175859</v>
      </c>
      <c r="BH472" s="82">
        <f t="shared" si="3167"/>
        <v>-378.40203092634636</v>
      </c>
      <c r="BI472" s="82">
        <f t="shared" si="3167"/>
        <v>-369.5447010210296</v>
      </c>
      <c r="BJ472" s="82">
        <f t="shared" ref="BJ472:BM472" si="3168">BJ470+BJ471</f>
        <v>-528.6206273002183</v>
      </c>
      <c r="BK472" s="82">
        <f t="shared" si="3168"/>
        <v>-620.68860828773177</v>
      </c>
      <c r="BL472" s="82">
        <f t="shared" si="3168"/>
        <v>-721.56025332984518</v>
      </c>
      <c r="BM472" s="82">
        <f t="shared" si="3168"/>
        <v>-725.13013605797335</v>
      </c>
      <c r="BN472" s="82">
        <f t="shared" ref="BN472:BO472" si="3169">BN470+BN471</f>
        <v>-745.31313284054545</v>
      </c>
      <c r="BO472" s="82">
        <f t="shared" si="3169"/>
        <v>-745.26440684666022</v>
      </c>
      <c r="BP472" s="82">
        <f t="shared" ref="BP472:BQ472" si="3170">BP470+BP471</f>
        <v>-767.99918399634225</v>
      </c>
      <c r="BQ472" s="82">
        <f t="shared" si="3170"/>
        <v>-767.97719982865874</v>
      </c>
      <c r="BR472" s="82"/>
      <c r="BS472" s="82">
        <f t="shared" ref="BS472:CB472" si="3171">BS478-SUM(BS473:BS477)</f>
        <v>-843</v>
      </c>
      <c r="BT472" s="82">
        <f t="shared" si="3171"/>
        <v>-468</v>
      </c>
      <c r="BU472" s="82">
        <f t="shared" si="3171"/>
        <v>-321</v>
      </c>
      <c r="BV472" s="82">
        <f t="shared" si="3171"/>
        <v>-182</v>
      </c>
      <c r="BW472" s="82">
        <f t="shared" si="3171"/>
        <v>-113</v>
      </c>
      <c r="BX472" s="82">
        <f t="shared" si="3171"/>
        <v>-98</v>
      </c>
      <c r="BY472" s="82">
        <f t="shared" si="3171"/>
        <v>-233</v>
      </c>
      <c r="BZ472" s="82">
        <f t="shared" si="3171"/>
        <v>-247</v>
      </c>
      <c r="CA472" s="82">
        <f t="shared" si="3171"/>
        <v>-196</v>
      </c>
      <c r="CB472" s="82">
        <f t="shared" si="3171"/>
        <v>-385</v>
      </c>
      <c r="CC472" s="82">
        <f t="shared" si="3136"/>
        <v>-449</v>
      </c>
      <c r="CD472" s="82">
        <f t="shared" si="3137"/>
        <v>-305</v>
      </c>
      <c r="CE472" s="82">
        <f t="shared" si="3138"/>
        <v>-276</v>
      </c>
      <c r="CF472" s="82">
        <f t="shared" si="3139"/>
        <v>-322</v>
      </c>
      <c r="CG472" s="82">
        <f t="shared" si="3140"/>
        <v>-398</v>
      </c>
      <c r="CH472" s="82">
        <f t="shared" si="3141"/>
        <v>-434</v>
      </c>
      <c r="CI472" s="82">
        <f t="shared" si="3073"/>
        <v>-930</v>
      </c>
      <c r="CJ472" s="82">
        <f t="shared" si="3074"/>
        <v>-3392</v>
      </c>
      <c r="CK472" s="82">
        <f t="shared" si="3075"/>
        <v>-2075</v>
      </c>
      <c r="CL472" s="82">
        <f t="shared" si="3076"/>
        <v>-1280</v>
      </c>
      <c r="CM472" s="82">
        <f t="shared" si="3077"/>
        <v>-1089</v>
      </c>
      <c r="CN472" s="82">
        <f t="shared" si="3078"/>
        <v>-1082</v>
      </c>
      <c r="CO472" s="82">
        <f t="shared" si="3079"/>
        <v>-953</v>
      </c>
      <c r="CP472" s="82">
        <f t="shared" si="3080"/>
        <v>-988</v>
      </c>
      <c r="CQ472" s="82">
        <f t="shared" si="3081"/>
        <v>-1256</v>
      </c>
      <c r="CR472" s="82">
        <f t="shared" si="3082"/>
        <v>-1095</v>
      </c>
      <c r="CS472" s="82">
        <f t="shared" si="3083"/>
        <v>-1079</v>
      </c>
      <c r="CT472" s="82">
        <f t="shared" si="3084"/>
        <v>-1201</v>
      </c>
      <c r="CU472" s="82">
        <f t="shared" si="3085"/>
        <v>-2518</v>
      </c>
      <c r="CV472" s="82">
        <f t="shared" si="3086"/>
        <v>-554</v>
      </c>
      <c r="CW472" s="82">
        <f t="shared" si="3087"/>
        <v>357</v>
      </c>
      <c r="CX472" s="82">
        <f t="shared" si="3088"/>
        <v>-1108</v>
      </c>
      <c r="CY472" s="82">
        <f t="shared" si="3089"/>
        <v>-802</v>
      </c>
      <c r="CZ472" s="83">
        <f t="shared" si="3090"/>
        <v>-726</v>
      </c>
      <c r="DA472" s="82">
        <f t="shared" si="3091"/>
        <v>-717.98216418378195</v>
      </c>
      <c r="DB472" s="82">
        <f>SUM(BB472:BC472)</f>
        <v>-905.7209036191033</v>
      </c>
      <c r="DC472" s="82">
        <f t="shared" si="3093"/>
        <v>-1104.0363725079389</v>
      </c>
      <c r="DD472" s="82">
        <f t="shared" si="3094"/>
        <v>-943.04033789932032</v>
      </c>
      <c r="DE472" s="82">
        <f t="shared" si="3095"/>
        <v>-747.94673194737595</v>
      </c>
      <c r="DF472" s="82">
        <f t="shared" si="3096"/>
        <v>-1149.3092355879501</v>
      </c>
      <c r="DG472" s="82">
        <f t="shared" si="3097"/>
        <v>-1446.6903893878184</v>
      </c>
      <c r="DH472" s="82">
        <f t="shared" si="3098"/>
        <v>-1490.5775396872057</v>
      </c>
      <c r="DI472" s="82">
        <f t="shared" si="3099"/>
        <v>-1535.976383825001</v>
      </c>
    </row>
    <row r="473" spans="1:113" outlineLevel="2">
      <c r="A473" s="1" t="s">
        <v>362</v>
      </c>
      <c r="B473" s="19" t="s">
        <v>854</v>
      </c>
      <c r="C473" s="55">
        <f>-C384</f>
        <v>0</v>
      </c>
      <c r="D473" s="55">
        <f>-D384</f>
        <v>0</v>
      </c>
      <c r="E473" s="55">
        <f>-E384</f>
        <v>0</v>
      </c>
      <c r="F473" s="55">
        <f t="shared" ref="F473:L473" si="3172">-F384</f>
        <v>0</v>
      </c>
      <c r="G473" s="55">
        <f t="shared" si="3172"/>
        <v>0</v>
      </c>
      <c r="H473" s="55">
        <f t="shared" si="3172"/>
        <v>0</v>
      </c>
      <c r="I473" s="55">
        <f t="shared" si="3172"/>
        <v>0</v>
      </c>
      <c r="J473" s="55">
        <f t="shared" si="3172"/>
        <v>0</v>
      </c>
      <c r="K473" s="55">
        <f t="shared" si="3172"/>
        <v>0</v>
      </c>
      <c r="L473" s="55">
        <f t="shared" si="3172"/>
        <v>0</v>
      </c>
      <c r="M473" s="55">
        <f t="shared" ref="M473:AB473" si="3173">-M384</f>
        <v>0</v>
      </c>
      <c r="N473" s="55">
        <f t="shared" si="3173"/>
        <v>0</v>
      </c>
      <c r="O473" s="55">
        <f t="shared" si="3173"/>
        <v>0</v>
      </c>
      <c r="P473" s="55">
        <f t="shared" si="3173"/>
        <v>0</v>
      </c>
      <c r="Q473" s="55">
        <f t="shared" si="3173"/>
        <v>0</v>
      </c>
      <c r="R473" s="55">
        <f t="shared" si="3173"/>
        <v>0</v>
      </c>
      <c r="S473" s="55">
        <f t="shared" si="3173"/>
        <v>0</v>
      </c>
      <c r="T473" s="55">
        <f t="shared" si="3173"/>
        <v>0</v>
      </c>
      <c r="U473" s="55">
        <f t="shared" si="3173"/>
        <v>0</v>
      </c>
      <c r="V473" s="55">
        <f t="shared" si="3173"/>
        <v>0</v>
      </c>
      <c r="W473" s="55">
        <f t="shared" si="3173"/>
        <v>0</v>
      </c>
      <c r="X473" s="55">
        <f t="shared" si="3173"/>
        <v>0</v>
      </c>
      <c r="Y473" s="55">
        <f>-Y384</f>
        <v>0</v>
      </c>
      <c r="Z473" s="55">
        <f>-Z384</f>
        <v>0</v>
      </c>
      <c r="AA473" s="55">
        <f t="shared" si="3173"/>
        <v>0</v>
      </c>
      <c r="AB473" s="55">
        <f t="shared" si="3173"/>
        <v>0</v>
      </c>
      <c r="AC473" s="55">
        <f t="shared" ref="AC473:AK473" si="3174">-AC384</f>
        <v>0</v>
      </c>
      <c r="AD473" s="55">
        <f t="shared" si="3174"/>
        <v>0</v>
      </c>
      <c r="AE473" s="55">
        <f t="shared" si="3174"/>
        <v>0</v>
      </c>
      <c r="AF473" s="55">
        <f t="shared" si="3174"/>
        <v>0</v>
      </c>
      <c r="AG473" s="55">
        <f t="shared" si="3174"/>
        <v>0</v>
      </c>
      <c r="AH473" s="55">
        <f t="shared" si="3174"/>
        <v>0</v>
      </c>
      <c r="AI473" s="55">
        <f t="shared" si="3174"/>
        <v>0</v>
      </c>
      <c r="AJ473" s="55">
        <f t="shared" si="3174"/>
        <v>0</v>
      </c>
      <c r="AK473" s="55">
        <f t="shared" si="3174"/>
        <v>0</v>
      </c>
      <c r="AL473" s="55">
        <f t="shared" ref="AL473:AQ473" si="3175">-AL384</f>
        <v>0</v>
      </c>
      <c r="AM473" s="55">
        <f t="shared" si="3175"/>
        <v>0</v>
      </c>
      <c r="AN473" s="55">
        <f t="shared" si="3175"/>
        <v>0</v>
      </c>
      <c r="AO473" s="55">
        <f t="shared" si="3175"/>
        <v>0</v>
      </c>
      <c r="AP473" s="55">
        <f t="shared" si="3175"/>
        <v>0</v>
      </c>
      <c r="AQ473" s="55">
        <f t="shared" si="3175"/>
        <v>0</v>
      </c>
      <c r="AR473" s="55">
        <f t="shared" ref="AR473" si="3176">-AR384</f>
        <v>0</v>
      </c>
      <c r="AS473" s="55">
        <f t="shared" ref="AS473:AT473" si="3177">-AS384</f>
        <v>0</v>
      </c>
      <c r="AT473" s="55">
        <f t="shared" si="3177"/>
        <v>0</v>
      </c>
      <c r="AU473" s="55">
        <f t="shared" ref="AU473:AV473" si="3178">-AU384</f>
        <v>0</v>
      </c>
      <c r="AV473" s="55">
        <f t="shared" si="3178"/>
        <v>0</v>
      </c>
      <c r="AW473" s="55">
        <f t="shared" ref="AW473:AX473" si="3179">-AW384</f>
        <v>0</v>
      </c>
      <c r="AX473" s="55">
        <f t="shared" si="3179"/>
        <v>0</v>
      </c>
      <c r="AY473" s="55">
        <f t="shared" ref="AY473:BE473" si="3180">-AY384</f>
        <v>0</v>
      </c>
      <c r="AZ473" s="56">
        <f t="shared" si="3180"/>
        <v>0</v>
      </c>
      <c r="BA473" s="55">
        <f t="shared" si="3180"/>
        <v>0</v>
      </c>
      <c r="BB473" s="55">
        <f t="shared" si="3180"/>
        <v>0</v>
      </c>
      <c r="BC473" s="55">
        <f t="shared" si="3180"/>
        <v>0</v>
      </c>
      <c r="BD473" s="55">
        <f t="shared" si="3180"/>
        <v>0</v>
      </c>
      <c r="BE473" s="55">
        <f t="shared" si="3180"/>
        <v>0</v>
      </c>
      <c r="BF473" s="55">
        <f t="shared" ref="BF473:BM473" si="3181">-BF384</f>
        <v>0</v>
      </c>
      <c r="BG473" s="55">
        <f t="shared" si="3181"/>
        <v>0</v>
      </c>
      <c r="BH473" s="55">
        <f t="shared" si="3181"/>
        <v>0</v>
      </c>
      <c r="BI473" s="55">
        <f t="shared" si="3181"/>
        <v>0</v>
      </c>
      <c r="BJ473" s="55">
        <f t="shared" si="3181"/>
        <v>0</v>
      </c>
      <c r="BK473" s="55">
        <f t="shared" si="3181"/>
        <v>0</v>
      </c>
      <c r="BL473" s="55">
        <f t="shared" si="3181"/>
        <v>0</v>
      </c>
      <c r="BM473" s="55">
        <f t="shared" si="3181"/>
        <v>0</v>
      </c>
      <c r="BN473" s="55">
        <f t="shared" ref="BN473:BO473" si="3182">-BN384</f>
        <v>0</v>
      </c>
      <c r="BO473" s="55">
        <f t="shared" si="3182"/>
        <v>0</v>
      </c>
      <c r="BP473" s="55">
        <f t="shared" ref="BP473:BQ473" si="3183">-BP384</f>
        <v>0</v>
      </c>
      <c r="BQ473" s="55">
        <f t="shared" si="3183"/>
        <v>0</v>
      </c>
      <c r="BR473" s="55"/>
      <c r="BS473" s="55">
        <f t="shared" ref="BS473:CB473" si="3184">-BS384</f>
        <v>0</v>
      </c>
      <c r="BT473" s="55">
        <f t="shared" si="3184"/>
        <v>0</v>
      </c>
      <c r="BU473" s="55">
        <f t="shared" si="3184"/>
        <v>0</v>
      </c>
      <c r="BV473" s="55">
        <f t="shared" si="3184"/>
        <v>0</v>
      </c>
      <c r="BW473" s="55">
        <f t="shared" si="3184"/>
        <v>0</v>
      </c>
      <c r="BX473" s="55">
        <f t="shared" si="3184"/>
        <v>0</v>
      </c>
      <c r="BY473" s="55">
        <f t="shared" si="3184"/>
        <v>0</v>
      </c>
      <c r="BZ473" s="55">
        <f t="shared" si="3184"/>
        <v>0</v>
      </c>
      <c r="CA473" s="55">
        <f t="shared" si="3184"/>
        <v>0</v>
      </c>
      <c r="CB473" s="55">
        <f t="shared" si="3184"/>
        <v>0</v>
      </c>
      <c r="CC473" s="55">
        <f t="shared" si="3136"/>
        <v>0</v>
      </c>
      <c r="CD473" s="55">
        <f t="shared" si="3137"/>
        <v>0</v>
      </c>
      <c r="CE473" s="55">
        <f t="shared" si="3138"/>
        <v>0</v>
      </c>
      <c r="CF473" s="55">
        <f t="shared" si="3139"/>
        <v>0</v>
      </c>
      <c r="CG473" s="55">
        <f t="shared" si="3140"/>
        <v>0</v>
      </c>
      <c r="CH473" s="55">
        <f t="shared" si="3141"/>
        <v>0</v>
      </c>
      <c r="CI473" s="55">
        <f t="shared" si="3073"/>
        <v>0</v>
      </c>
      <c r="CJ473" s="55">
        <f t="shared" si="3074"/>
        <v>0</v>
      </c>
      <c r="CK473" s="55">
        <f t="shared" si="3075"/>
        <v>0</v>
      </c>
      <c r="CL473" s="55">
        <f t="shared" si="3076"/>
        <v>0</v>
      </c>
      <c r="CM473" s="55">
        <f t="shared" si="3077"/>
        <v>0</v>
      </c>
      <c r="CN473" s="55">
        <f t="shared" si="3078"/>
        <v>0</v>
      </c>
      <c r="CO473" s="55">
        <f t="shared" si="3079"/>
        <v>0</v>
      </c>
      <c r="CP473" s="55">
        <f t="shared" si="3080"/>
        <v>0</v>
      </c>
      <c r="CQ473" s="55">
        <f t="shared" si="3081"/>
        <v>0</v>
      </c>
      <c r="CR473" s="55">
        <f t="shared" si="3082"/>
        <v>0</v>
      </c>
      <c r="CS473" s="55">
        <f t="shared" si="3083"/>
        <v>0</v>
      </c>
      <c r="CT473" s="55">
        <f t="shared" si="3084"/>
        <v>0</v>
      </c>
      <c r="CU473" s="55">
        <f t="shared" si="3085"/>
        <v>0</v>
      </c>
      <c r="CV473" s="55">
        <f t="shared" si="3086"/>
        <v>0</v>
      </c>
      <c r="CW473" s="55">
        <f t="shared" si="3087"/>
        <v>0</v>
      </c>
      <c r="CX473" s="55">
        <f t="shared" si="3088"/>
        <v>0</v>
      </c>
      <c r="CY473" s="55">
        <f t="shared" si="3089"/>
        <v>0</v>
      </c>
      <c r="CZ473" s="56">
        <f t="shared" si="3090"/>
        <v>0</v>
      </c>
      <c r="DA473" s="55">
        <f t="shared" si="3091"/>
        <v>0</v>
      </c>
      <c r="DB473" s="55">
        <f t="shared" si="3092"/>
        <v>0</v>
      </c>
      <c r="DC473" s="55">
        <f t="shared" si="3093"/>
        <v>0</v>
      </c>
      <c r="DD473" s="55">
        <f t="shared" si="3094"/>
        <v>0</v>
      </c>
      <c r="DE473" s="55">
        <f t="shared" si="3095"/>
        <v>0</v>
      </c>
      <c r="DF473" s="55">
        <f t="shared" si="3096"/>
        <v>0</v>
      </c>
      <c r="DG473" s="55">
        <f t="shared" si="3097"/>
        <v>0</v>
      </c>
      <c r="DH473" s="55">
        <f t="shared" si="3098"/>
        <v>0</v>
      </c>
      <c r="DI473" s="55">
        <f t="shared" si="3099"/>
        <v>0</v>
      </c>
    </row>
    <row r="474" spans="1:113" outlineLevel="2">
      <c r="A474" s="1" t="s">
        <v>363</v>
      </c>
      <c r="B474" s="19" t="s">
        <v>445</v>
      </c>
      <c r="C474" s="55">
        <f>-C411</f>
        <v>0</v>
      </c>
      <c r="D474" s="55">
        <f>-D411</f>
        <v>0</v>
      </c>
      <c r="E474" s="55">
        <f>-E411</f>
        <v>0</v>
      </c>
      <c r="F474" s="55">
        <f t="shared" ref="F474:L474" si="3185">-F411</f>
        <v>0</v>
      </c>
      <c r="G474" s="55">
        <f t="shared" si="3185"/>
        <v>0</v>
      </c>
      <c r="H474" s="55">
        <f t="shared" si="3185"/>
        <v>0</v>
      </c>
      <c r="I474" s="55">
        <f t="shared" si="3185"/>
        <v>0</v>
      </c>
      <c r="J474" s="55">
        <f t="shared" si="3185"/>
        <v>0</v>
      </c>
      <c r="K474" s="55">
        <f t="shared" si="3185"/>
        <v>0</v>
      </c>
      <c r="L474" s="55">
        <f t="shared" si="3185"/>
        <v>0</v>
      </c>
      <c r="M474" s="55">
        <f t="shared" ref="M474:AB474" si="3186">-M411</f>
        <v>0</v>
      </c>
      <c r="N474" s="55">
        <f t="shared" si="3186"/>
        <v>0</v>
      </c>
      <c r="O474" s="55">
        <f t="shared" si="3186"/>
        <v>0</v>
      </c>
      <c r="P474" s="55">
        <f t="shared" si="3186"/>
        <v>0</v>
      </c>
      <c r="Q474" s="55">
        <f t="shared" si="3186"/>
        <v>0</v>
      </c>
      <c r="R474" s="55">
        <f t="shared" si="3186"/>
        <v>0</v>
      </c>
      <c r="S474" s="55">
        <f t="shared" si="3186"/>
        <v>0</v>
      </c>
      <c r="T474" s="55">
        <f t="shared" si="3186"/>
        <v>0</v>
      </c>
      <c r="U474" s="55">
        <f t="shared" si="3186"/>
        <v>0</v>
      </c>
      <c r="V474" s="55">
        <f t="shared" si="3186"/>
        <v>0</v>
      </c>
      <c r="W474" s="55">
        <f t="shared" si="3186"/>
        <v>0</v>
      </c>
      <c r="X474" s="55">
        <f t="shared" si="3186"/>
        <v>0</v>
      </c>
      <c r="Y474" s="55">
        <f>-Y411</f>
        <v>0</v>
      </c>
      <c r="Z474" s="55">
        <f>-Z411</f>
        <v>0</v>
      </c>
      <c r="AA474" s="55">
        <f t="shared" si="3186"/>
        <v>0</v>
      </c>
      <c r="AB474" s="55">
        <f t="shared" si="3186"/>
        <v>0</v>
      </c>
      <c r="AC474" s="55">
        <f t="shared" ref="AC474:AK474" si="3187">-AC411</f>
        <v>0</v>
      </c>
      <c r="AD474" s="55">
        <f t="shared" si="3187"/>
        <v>0</v>
      </c>
      <c r="AE474" s="55">
        <f t="shared" si="3187"/>
        <v>0</v>
      </c>
      <c r="AF474" s="55">
        <f t="shared" si="3187"/>
        <v>0</v>
      </c>
      <c r="AG474" s="55">
        <f t="shared" si="3187"/>
        <v>0</v>
      </c>
      <c r="AH474" s="55">
        <f t="shared" si="3187"/>
        <v>0</v>
      </c>
      <c r="AI474" s="55">
        <f t="shared" si="3187"/>
        <v>0</v>
      </c>
      <c r="AJ474" s="55">
        <f t="shared" si="3187"/>
        <v>0</v>
      </c>
      <c r="AK474" s="55">
        <f t="shared" si="3187"/>
        <v>0</v>
      </c>
      <c r="AL474" s="55">
        <f t="shared" ref="AL474:AQ474" si="3188">-AL411</f>
        <v>0</v>
      </c>
      <c r="AM474" s="55">
        <f t="shared" si="3188"/>
        <v>0</v>
      </c>
      <c r="AN474" s="55">
        <f t="shared" si="3188"/>
        <v>0</v>
      </c>
      <c r="AO474" s="55">
        <f t="shared" si="3188"/>
        <v>0</v>
      </c>
      <c r="AP474" s="55">
        <f t="shared" si="3188"/>
        <v>0</v>
      </c>
      <c r="AQ474" s="55">
        <f t="shared" si="3188"/>
        <v>0</v>
      </c>
      <c r="AR474" s="55">
        <f t="shared" ref="AR474" si="3189">-AR411</f>
        <v>0</v>
      </c>
      <c r="AS474" s="55">
        <f t="shared" ref="AS474:AT474" si="3190">-AS411</f>
        <v>0</v>
      </c>
      <c r="AT474" s="55">
        <f t="shared" si="3190"/>
        <v>0</v>
      </c>
      <c r="AU474" s="55">
        <f t="shared" ref="AU474:AV474" si="3191">-AU411</f>
        <v>0</v>
      </c>
      <c r="AV474" s="55">
        <f t="shared" si="3191"/>
        <v>0</v>
      </c>
      <c r="AW474" s="55">
        <f t="shared" ref="AW474:AX474" si="3192">-AW411</f>
        <v>0</v>
      </c>
      <c r="AX474" s="55">
        <f t="shared" si="3192"/>
        <v>0</v>
      </c>
      <c r="AY474" s="55">
        <f t="shared" ref="AY474:BE474" si="3193">-AY411</f>
        <v>0</v>
      </c>
      <c r="AZ474" s="56">
        <f t="shared" si="3193"/>
        <v>0</v>
      </c>
      <c r="BA474" s="55">
        <f t="shared" si="3193"/>
        <v>0</v>
      </c>
      <c r="BB474" s="55">
        <f t="shared" si="3193"/>
        <v>0</v>
      </c>
      <c r="BC474" s="55">
        <f t="shared" si="3193"/>
        <v>0</v>
      </c>
      <c r="BD474" s="55">
        <f t="shared" si="3193"/>
        <v>0</v>
      </c>
      <c r="BE474" s="55">
        <f t="shared" si="3193"/>
        <v>0</v>
      </c>
      <c r="BF474" s="55">
        <f t="shared" ref="BF474:BM474" si="3194">-BF411</f>
        <v>0</v>
      </c>
      <c r="BG474" s="55">
        <f t="shared" si="3194"/>
        <v>0</v>
      </c>
      <c r="BH474" s="55">
        <f t="shared" si="3194"/>
        <v>0</v>
      </c>
      <c r="BI474" s="55">
        <f t="shared" si="3194"/>
        <v>0</v>
      </c>
      <c r="BJ474" s="55">
        <f t="shared" si="3194"/>
        <v>0</v>
      </c>
      <c r="BK474" s="55">
        <f t="shared" si="3194"/>
        <v>0</v>
      </c>
      <c r="BL474" s="55">
        <f t="shared" si="3194"/>
        <v>0</v>
      </c>
      <c r="BM474" s="55">
        <f t="shared" si="3194"/>
        <v>0</v>
      </c>
      <c r="BN474" s="55">
        <f t="shared" ref="BN474:BO474" si="3195">-BN411</f>
        <v>0</v>
      </c>
      <c r="BO474" s="55">
        <f t="shared" si="3195"/>
        <v>0</v>
      </c>
      <c r="BP474" s="55">
        <f t="shared" ref="BP474:BQ474" si="3196">-BP411</f>
        <v>0</v>
      </c>
      <c r="BQ474" s="55">
        <f t="shared" si="3196"/>
        <v>0</v>
      </c>
      <c r="BR474" s="55"/>
      <c r="BS474" s="55">
        <f t="shared" ref="BS474:CB474" si="3197">-BS411</f>
        <v>0</v>
      </c>
      <c r="BT474" s="55">
        <f t="shared" si="3197"/>
        <v>0</v>
      </c>
      <c r="BU474" s="55">
        <f t="shared" si="3197"/>
        <v>0</v>
      </c>
      <c r="BV474" s="55">
        <f t="shared" si="3197"/>
        <v>0</v>
      </c>
      <c r="BW474" s="55">
        <f t="shared" si="3197"/>
        <v>0</v>
      </c>
      <c r="BX474" s="55">
        <f t="shared" si="3197"/>
        <v>0</v>
      </c>
      <c r="BY474" s="55">
        <f t="shared" si="3197"/>
        <v>0</v>
      </c>
      <c r="BZ474" s="55">
        <f t="shared" si="3197"/>
        <v>0</v>
      </c>
      <c r="CA474" s="55">
        <f t="shared" si="3197"/>
        <v>0</v>
      </c>
      <c r="CB474" s="55">
        <f t="shared" si="3197"/>
        <v>0</v>
      </c>
      <c r="CC474" s="55">
        <f t="shared" si="3136"/>
        <v>0</v>
      </c>
      <c r="CD474" s="55">
        <f t="shared" si="3137"/>
        <v>0</v>
      </c>
      <c r="CE474" s="55">
        <f t="shared" si="3138"/>
        <v>0</v>
      </c>
      <c r="CF474" s="55">
        <f t="shared" si="3139"/>
        <v>0</v>
      </c>
      <c r="CG474" s="55">
        <f t="shared" si="3140"/>
        <v>0</v>
      </c>
      <c r="CH474" s="55">
        <f t="shared" si="3141"/>
        <v>0</v>
      </c>
      <c r="CI474" s="55">
        <f t="shared" si="3073"/>
        <v>0</v>
      </c>
      <c r="CJ474" s="55">
        <f t="shared" si="3074"/>
        <v>0</v>
      </c>
      <c r="CK474" s="55">
        <f t="shared" si="3075"/>
        <v>0</v>
      </c>
      <c r="CL474" s="55">
        <f t="shared" si="3076"/>
        <v>0</v>
      </c>
      <c r="CM474" s="55">
        <f t="shared" si="3077"/>
        <v>0</v>
      </c>
      <c r="CN474" s="55">
        <f t="shared" si="3078"/>
        <v>0</v>
      </c>
      <c r="CO474" s="55">
        <f t="shared" si="3079"/>
        <v>0</v>
      </c>
      <c r="CP474" s="55">
        <f t="shared" si="3080"/>
        <v>0</v>
      </c>
      <c r="CQ474" s="55">
        <f t="shared" si="3081"/>
        <v>0</v>
      </c>
      <c r="CR474" s="55">
        <f t="shared" si="3082"/>
        <v>0</v>
      </c>
      <c r="CS474" s="55">
        <f t="shared" si="3083"/>
        <v>0</v>
      </c>
      <c r="CT474" s="55">
        <f t="shared" si="3084"/>
        <v>0</v>
      </c>
      <c r="CU474" s="55">
        <f t="shared" si="3085"/>
        <v>0</v>
      </c>
      <c r="CV474" s="55">
        <f t="shared" si="3086"/>
        <v>0</v>
      </c>
      <c r="CW474" s="55">
        <f t="shared" si="3087"/>
        <v>0</v>
      </c>
      <c r="CX474" s="55">
        <f t="shared" si="3088"/>
        <v>0</v>
      </c>
      <c r="CY474" s="55">
        <f t="shared" si="3089"/>
        <v>0</v>
      </c>
      <c r="CZ474" s="56">
        <f t="shared" si="3090"/>
        <v>0</v>
      </c>
      <c r="DA474" s="55">
        <f t="shared" si="3091"/>
        <v>0</v>
      </c>
      <c r="DB474" s="55">
        <f t="shared" si="3092"/>
        <v>0</v>
      </c>
      <c r="DC474" s="55">
        <f t="shared" si="3093"/>
        <v>0</v>
      </c>
      <c r="DD474" s="55">
        <f t="shared" si="3094"/>
        <v>0</v>
      </c>
      <c r="DE474" s="55">
        <f t="shared" si="3095"/>
        <v>0</v>
      </c>
      <c r="DF474" s="55">
        <f t="shared" si="3096"/>
        <v>0</v>
      </c>
      <c r="DG474" s="55">
        <f t="shared" si="3097"/>
        <v>0</v>
      </c>
      <c r="DH474" s="55">
        <f t="shared" si="3098"/>
        <v>0</v>
      </c>
      <c r="DI474" s="55">
        <f t="shared" si="3099"/>
        <v>0</v>
      </c>
    </row>
    <row r="475" spans="1:113" outlineLevel="2">
      <c r="A475" s="1" t="s">
        <v>685</v>
      </c>
      <c r="B475" s="19" t="s">
        <v>369</v>
      </c>
      <c r="C475" s="55">
        <f>-C446</f>
        <v>0</v>
      </c>
      <c r="D475" s="55">
        <f>-D446</f>
        <v>0</v>
      </c>
      <c r="E475" s="55">
        <f>-E446</f>
        <v>0</v>
      </c>
      <c r="F475" s="55">
        <f t="shared" ref="F475:L475" si="3198">-F446</f>
        <v>0</v>
      </c>
      <c r="G475" s="55">
        <f t="shared" si="3198"/>
        <v>0</v>
      </c>
      <c r="H475" s="55">
        <f t="shared" si="3198"/>
        <v>0</v>
      </c>
      <c r="I475" s="55">
        <f t="shared" si="3198"/>
        <v>0</v>
      </c>
      <c r="J475" s="55">
        <f t="shared" si="3198"/>
        <v>0</v>
      </c>
      <c r="K475" s="55">
        <f t="shared" si="3198"/>
        <v>0</v>
      </c>
      <c r="L475" s="55">
        <f t="shared" si="3198"/>
        <v>0</v>
      </c>
      <c r="M475" s="55">
        <f t="shared" ref="M475:AB475" si="3199">-M446</f>
        <v>0</v>
      </c>
      <c r="N475" s="55">
        <f t="shared" si="3199"/>
        <v>0</v>
      </c>
      <c r="O475" s="55">
        <f t="shared" si="3199"/>
        <v>0</v>
      </c>
      <c r="P475" s="55">
        <f t="shared" si="3199"/>
        <v>0</v>
      </c>
      <c r="Q475" s="55">
        <f t="shared" si="3199"/>
        <v>0</v>
      </c>
      <c r="R475" s="55">
        <f t="shared" si="3199"/>
        <v>0</v>
      </c>
      <c r="S475" s="55">
        <f t="shared" si="3199"/>
        <v>0</v>
      </c>
      <c r="T475" s="55">
        <f t="shared" si="3199"/>
        <v>0</v>
      </c>
      <c r="U475" s="55">
        <f t="shared" si="3199"/>
        <v>0</v>
      </c>
      <c r="V475" s="55">
        <f t="shared" si="3199"/>
        <v>0</v>
      </c>
      <c r="W475" s="55">
        <f t="shared" si="3199"/>
        <v>0</v>
      </c>
      <c r="X475" s="55">
        <f t="shared" si="3199"/>
        <v>0</v>
      </c>
      <c r="Y475" s="55">
        <f>-Y446</f>
        <v>0</v>
      </c>
      <c r="Z475" s="55">
        <f>-Z446</f>
        <v>0</v>
      </c>
      <c r="AA475" s="55">
        <f t="shared" si="3199"/>
        <v>0</v>
      </c>
      <c r="AB475" s="55">
        <f t="shared" si="3199"/>
        <v>0</v>
      </c>
      <c r="AC475" s="55">
        <f t="shared" ref="AC475:AK475" si="3200">-AC446</f>
        <v>0</v>
      </c>
      <c r="AD475" s="55">
        <f t="shared" si="3200"/>
        <v>0</v>
      </c>
      <c r="AE475" s="55">
        <f t="shared" si="3200"/>
        <v>0</v>
      </c>
      <c r="AF475" s="55">
        <f t="shared" si="3200"/>
        <v>0</v>
      </c>
      <c r="AG475" s="55">
        <f t="shared" si="3200"/>
        <v>0</v>
      </c>
      <c r="AH475" s="55">
        <f t="shared" si="3200"/>
        <v>0</v>
      </c>
      <c r="AI475" s="55">
        <f t="shared" si="3200"/>
        <v>0</v>
      </c>
      <c r="AJ475" s="55">
        <f t="shared" si="3200"/>
        <v>0</v>
      </c>
      <c r="AK475" s="55">
        <f t="shared" si="3200"/>
        <v>0</v>
      </c>
      <c r="AL475" s="55">
        <f t="shared" ref="AL475:AQ475" si="3201">-AL446</f>
        <v>0</v>
      </c>
      <c r="AM475" s="55">
        <f t="shared" si="3201"/>
        <v>0</v>
      </c>
      <c r="AN475" s="55">
        <f t="shared" si="3201"/>
        <v>0</v>
      </c>
      <c r="AO475" s="55">
        <f t="shared" si="3201"/>
        <v>0</v>
      </c>
      <c r="AP475" s="55">
        <f t="shared" si="3201"/>
        <v>0</v>
      </c>
      <c r="AQ475" s="55">
        <f t="shared" si="3201"/>
        <v>0</v>
      </c>
      <c r="AR475" s="55">
        <f t="shared" ref="AR475" si="3202">-AR446</f>
        <v>0</v>
      </c>
      <c r="AS475" s="55">
        <f t="shared" ref="AS475:AT475" si="3203">-AS446</f>
        <v>0</v>
      </c>
      <c r="AT475" s="55">
        <f t="shared" si="3203"/>
        <v>0</v>
      </c>
      <c r="AU475" s="55">
        <f t="shared" ref="AU475:AV475" si="3204">-AU446</f>
        <v>0</v>
      </c>
      <c r="AV475" s="55">
        <f t="shared" si="3204"/>
        <v>0</v>
      </c>
      <c r="AW475" s="55">
        <f t="shared" ref="AW475:AX475" si="3205">-AW446</f>
        <v>0</v>
      </c>
      <c r="AX475" s="55">
        <f t="shared" si="3205"/>
        <v>0</v>
      </c>
      <c r="AY475" s="55">
        <f t="shared" ref="AY475:BE475" si="3206">-AY446</f>
        <v>0</v>
      </c>
      <c r="AZ475" s="56">
        <f t="shared" si="3206"/>
        <v>0</v>
      </c>
      <c r="BA475" s="55">
        <f t="shared" si="3206"/>
        <v>0</v>
      </c>
      <c r="BB475" s="55">
        <f t="shared" si="3206"/>
        <v>0</v>
      </c>
      <c r="BC475" s="55">
        <f t="shared" si="3206"/>
        <v>0</v>
      </c>
      <c r="BD475" s="55">
        <f t="shared" si="3206"/>
        <v>0</v>
      </c>
      <c r="BE475" s="55">
        <f t="shared" si="3206"/>
        <v>0</v>
      </c>
      <c r="BF475" s="55">
        <f t="shared" ref="BF475:BM475" si="3207">-BF446</f>
        <v>0</v>
      </c>
      <c r="BG475" s="55">
        <f t="shared" si="3207"/>
        <v>0</v>
      </c>
      <c r="BH475" s="55">
        <f t="shared" si="3207"/>
        <v>0</v>
      </c>
      <c r="BI475" s="55">
        <f t="shared" si="3207"/>
        <v>0</v>
      </c>
      <c r="BJ475" s="55">
        <f t="shared" si="3207"/>
        <v>0</v>
      </c>
      <c r="BK475" s="55">
        <f t="shared" si="3207"/>
        <v>0</v>
      </c>
      <c r="BL475" s="55">
        <f t="shared" si="3207"/>
        <v>0</v>
      </c>
      <c r="BM475" s="55">
        <f t="shared" si="3207"/>
        <v>0</v>
      </c>
      <c r="BN475" s="55">
        <f t="shared" ref="BN475:BO475" si="3208">-BN446</f>
        <v>0</v>
      </c>
      <c r="BO475" s="55">
        <f t="shared" si="3208"/>
        <v>0</v>
      </c>
      <c r="BP475" s="55">
        <f t="shared" ref="BP475:BQ475" si="3209">-BP446</f>
        <v>0</v>
      </c>
      <c r="BQ475" s="55">
        <f t="shared" si="3209"/>
        <v>0</v>
      </c>
      <c r="BR475" s="55"/>
      <c r="BS475" s="55">
        <f t="shared" ref="BS475:CB475" si="3210">-BS446</f>
        <v>0</v>
      </c>
      <c r="BT475" s="55">
        <f t="shared" si="3210"/>
        <v>0</v>
      </c>
      <c r="BU475" s="55">
        <f t="shared" si="3210"/>
        <v>0</v>
      </c>
      <c r="BV475" s="55">
        <f t="shared" si="3210"/>
        <v>0</v>
      </c>
      <c r="BW475" s="55">
        <f t="shared" si="3210"/>
        <v>0</v>
      </c>
      <c r="BX475" s="55">
        <f t="shared" si="3210"/>
        <v>0</v>
      </c>
      <c r="BY475" s="55">
        <f t="shared" si="3210"/>
        <v>0</v>
      </c>
      <c r="BZ475" s="55">
        <f t="shared" si="3210"/>
        <v>0</v>
      </c>
      <c r="CA475" s="55">
        <f t="shared" si="3210"/>
        <v>0</v>
      </c>
      <c r="CB475" s="55">
        <f t="shared" si="3210"/>
        <v>0</v>
      </c>
      <c r="CC475" s="55">
        <f t="shared" si="3136"/>
        <v>0</v>
      </c>
      <c r="CD475" s="55">
        <f t="shared" si="3137"/>
        <v>0</v>
      </c>
      <c r="CE475" s="55">
        <f t="shared" si="3138"/>
        <v>0</v>
      </c>
      <c r="CF475" s="55">
        <f t="shared" si="3139"/>
        <v>0</v>
      </c>
      <c r="CG475" s="55">
        <f t="shared" si="3140"/>
        <v>0</v>
      </c>
      <c r="CH475" s="55">
        <f t="shared" si="3141"/>
        <v>0</v>
      </c>
      <c r="CI475" s="55">
        <f t="shared" si="3073"/>
        <v>0</v>
      </c>
      <c r="CJ475" s="55">
        <f t="shared" si="3074"/>
        <v>0</v>
      </c>
      <c r="CK475" s="55">
        <f t="shared" si="3075"/>
        <v>0</v>
      </c>
      <c r="CL475" s="55">
        <f t="shared" si="3076"/>
        <v>0</v>
      </c>
      <c r="CM475" s="55">
        <f t="shared" si="3077"/>
        <v>0</v>
      </c>
      <c r="CN475" s="55">
        <f t="shared" si="3078"/>
        <v>0</v>
      </c>
      <c r="CO475" s="55">
        <f t="shared" si="3079"/>
        <v>0</v>
      </c>
      <c r="CP475" s="55">
        <f t="shared" si="3080"/>
        <v>0</v>
      </c>
      <c r="CQ475" s="55">
        <f t="shared" si="3081"/>
        <v>0</v>
      </c>
      <c r="CR475" s="55">
        <f t="shared" si="3082"/>
        <v>0</v>
      </c>
      <c r="CS475" s="55">
        <f t="shared" si="3083"/>
        <v>0</v>
      </c>
      <c r="CT475" s="55">
        <f t="shared" si="3084"/>
        <v>0</v>
      </c>
      <c r="CU475" s="55">
        <f t="shared" si="3085"/>
        <v>0</v>
      </c>
      <c r="CV475" s="55">
        <f t="shared" si="3086"/>
        <v>0</v>
      </c>
      <c r="CW475" s="55">
        <f t="shared" si="3087"/>
        <v>0</v>
      </c>
      <c r="CX475" s="55">
        <f t="shared" si="3088"/>
        <v>0</v>
      </c>
      <c r="CY475" s="55">
        <f t="shared" si="3089"/>
        <v>0</v>
      </c>
      <c r="CZ475" s="56">
        <f t="shared" si="3090"/>
        <v>0</v>
      </c>
      <c r="DA475" s="55">
        <f t="shared" si="3091"/>
        <v>0</v>
      </c>
      <c r="DB475" s="55">
        <f t="shared" si="3092"/>
        <v>0</v>
      </c>
      <c r="DC475" s="55">
        <f t="shared" si="3093"/>
        <v>0</v>
      </c>
      <c r="DD475" s="55">
        <f t="shared" si="3094"/>
        <v>0</v>
      </c>
      <c r="DE475" s="55">
        <f t="shared" si="3095"/>
        <v>0</v>
      </c>
      <c r="DF475" s="55">
        <f t="shared" si="3096"/>
        <v>0</v>
      </c>
      <c r="DG475" s="55">
        <f t="shared" si="3097"/>
        <v>0</v>
      </c>
      <c r="DH475" s="55">
        <f t="shared" si="3098"/>
        <v>0</v>
      </c>
      <c r="DI475" s="55">
        <f t="shared" si="3099"/>
        <v>0</v>
      </c>
    </row>
    <row r="476" spans="1:113" outlineLevel="2">
      <c r="A476" s="1" t="s">
        <v>101</v>
      </c>
      <c r="B476" s="19" t="s">
        <v>360</v>
      </c>
      <c r="C476" s="53"/>
      <c r="D476" s="53"/>
      <c r="E476" s="53"/>
      <c r="F476" s="53"/>
      <c r="G476" s="53"/>
      <c r="H476" s="53"/>
      <c r="I476" s="53"/>
      <c r="J476" s="53"/>
      <c r="K476" s="53"/>
      <c r="L476" s="53">
        <v>0</v>
      </c>
      <c r="M476" s="53">
        <v>0</v>
      </c>
      <c r="N476" s="53">
        <v>0</v>
      </c>
      <c r="O476" s="53">
        <v>0</v>
      </c>
      <c r="P476" s="53">
        <v>0</v>
      </c>
      <c r="Q476" s="53">
        <v>0</v>
      </c>
      <c r="R476" s="53">
        <v>0</v>
      </c>
      <c r="S476" s="53">
        <v>0</v>
      </c>
      <c r="T476" s="53">
        <v>0</v>
      </c>
      <c r="U476" s="53">
        <v>0</v>
      </c>
      <c r="V476" s="53">
        <v>0</v>
      </c>
      <c r="W476" s="53">
        <v>0</v>
      </c>
      <c r="X476" s="53">
        <v>0</v>
      </c>
      <c r="Y476" s="53">
        <v>0</v>
      </c>
      <c r="Z476" s="53">
        <v>0</v>
      </c>
      <c r="AA476" s="164">
        <v>0</v>
      </c>
      <c r="AB476" s="164">
        <v>0</v>
      </c>
      <c r="AC476" s="164">
        <v>0</v>
      </c>
      <c r="AD476" s="164">
        <v>0</v>
      </c>
      <c r="AE476" s="164">
        <v>0</v>
      </c>
      <c r="AF476" s="164">
        <v>0</v>
      </c>
      <c r="AG476" s="164">
        <v>0</v>
      </c>
      <c r="AH476" s="164">
        <v>0</v>
      </c>
      <c r="AI476" s="164">
        <v>0</v>
      </c>
      <c r="AJ476" s="164">
        <v>0</v>
      </c>
      <c r="AK476" s="164">
        <v>0</v>
      </c>
      <c r="AL476" s="164">
        <v>0</v>
      </c>
      <c r="AM476" s="164">
        <v>0</v>
      </c>
      <c r="AN476" s="164">
        <v>0</v>
      </c>
      <c r="AO476" s="164">
        <v>0</v>
      </c>
      <c r="AP476" s="164">
        <v>0</v>
      </c>
      <c r="AQ476" s="164">
        <v>0</v>
      </c>
      <c r="AR476" s="164">
        <v>0</v>
      </c>
      <c r="AS476" s="164">
        <v>0</v>
      </c>
      <c r="AT476" s="164">
        <v>0</v>
      </c>
      <c r="AU476" s="164">
        <v>0</v>
      </c>
      <c r="AV476" s="164">
        <v>0</v>
      </c>
      <c r="AW476" s="164">
        <v>0</v>
      </c>
      <c r="AX476" s="164">
        <v>0</v>
      </c>
      <c r="AY476" s="164">
        <v>0</v>
      </c>
      <c r="AZ476" s="171">
        <v>0</v>
      </c>
      <c r="BA476" s="54">
        <v>0</v>
      </c>
      <c r="BB476" s="54">
        <v>0</v>
      </c>
      <c r="BC476" s="54">
        <v>0</v>
      </c>
      <c r="BD476" s="54">
        <v>0</v>
      </c>
      <c r="BE476" s="54">
        <v>0</v>
      </c>
      <c r="BF476" s="54">
        <v>0</v>
      </c>
      <c r="BG476" s="54">
        <v>0</v>
      </c>
      <c r="BH476" s="54">
        <v>0</v>
      </c>
      <c r="BI476" s="54">
        <v>0</v>
      </c>
      <c r="BJ476" s="54">
        <v>0</v>
      </c>
      <c r="BK476" s="54">
        <v>0</v>
      </c>
      <c r="BL476" s="54">
        <v>0</v>
      </c>
      <c r="BM476" s="54">
        <v>0</v>
      </c>
      <c r="BN476" s="54">
        <v>0</v>
      </c>
      <c r="BO476" s="54">
        <v>0</v>
      </c>
      <c r="BP476" s="54">
        <v>0</v>
      </c>
      <c r="BQ476" s="54">
        <v>0</v>
      </c>
      <c r="BR476" s="55"/>
      <c r="BS476" s="53">
        <v>0</v>
      </c>
      <c r="BT476" s="53">
        <v>0</v>
      </c>
      <c r="BU476" s="53">
        <v>0</v>
      </c>
      <c r="BV476" s="53">
        <v>0</v>
      </c>
      <c r="BW476" s="53">
        <v>0</v>
      </c>
      <c r="BX476" s="53">
        <v>0</v>
      </c>
      <c r="BY476" s="53">
        <v>0</v>
      </c>
      <c r="BZ476" s="53">
        <v>0</v>
      </c>
      <c r="CA476" s="53">
        <v>0</v>
      </c>
      <c r="CB476" s="53">
        <v>0</v>
      </c>
      <c r="CC476" s="55">
        <f t="shared" si="3136"/>
        <v>0</v>
      </c>
      <c r="CD476" s="55">
        <f t="shared" si="3137"/>
        <v>0</v>
      </c>
      <c r="CE476" s="55">
        <f t="shared" si="3138"/>
        <v>0</v>
      </c>
      <c r="CF476" s="55">
        <f t="shared" si="3139"/>
        <v>0</v>
      </c>
      <c r="CG476" s="55">
        <f t="shared" si="3140"/>
        <v>0</v>
      </c>
      <c r="CH476" s="55">
        <f t="shared" si="3141"/>
        <v>0</v>
      </c>
      <c r="CI476" s="55">
        <f t="shared" si="3073"/>
        <v>0</v>
      </c>
      <c r="CJ476" s="55">
        <f t="shared" si="3074"/>
        <v>0</v>
      </c>
      <c r="CK476" s="55">
        <f t="shared" si="3075"/>
        <v>0</v>
      </c>
      <c r="CL476" s="55">
        <f t="shared" si="3076"/>
        <v>0</v>
      </c>
      <c r="CM476" s="55">
        <f t="shared" si="3077"/>
        <v>0</v>
      </c>
      <c r="CN476" s="55">
        <f t="shared" si="3078"/>
        <v>0</v>
      </c>
      <c r="CO476" s="55">
        <f t="shared" si="3079"/>
        <v>0</v>
      </c>
      <c r="CP476" s="55">
        <f t="shared" si="3080"/>
        <v>0</v>
      </c>
      <c r="CQ476" s="55">
        <f t="shared" si="3081"/>
        <v>0</v>
      </c>
      <c r="CR476" s="55">
        <f t="shared" si="3082"/>
        <v>0</v>
      </c>
      <c r="CS476" s="55">
        <f t="shared" si="3083"/>
        <v>0</v>
      </c>
      <c r="CT476" s="55">
        <f t="shared" si="3084"/>
        <v>0</v>
      </c>
      <c r="CU476" s="55">
        <f t="shared" si="3085"/>
        <v>0</v>
      </c>
      <c r="CV476" s="55">
        <f t="shared" si="3086"/>
        <v>0</v>
      </c>
      <c r="CW476" s="55">
        <f t="shared" si="3087"/>
        <v>0</v>
      </c>
      <c r="CX476" s="55">
        <f t="shared" si="3088"/>
        <v>0</v>
      </c>
      <c r="CY476" s="55">
        <f t="shared" si="3089"/>
        <v>0</v>
      </c>
      <c r="CZ476" s="56">
        <f t="shared" si="3090"/>
        <v>0</v>
      </c>
      <c r="DA476" s="55">
        <f t="shared" si="3091"/>
        <v>0</v>
      </c>
      <c r="DB476" s="55">
        <f t="shared" si="3092"/>
        <v>0</v>
      </c>
      <c r="DC476" s="55">
        <f t="shared" si="3093"/>
        <v>0</v>
      </c>
      <c r="DD476" s="55">
        <f t="shared" si="3094"/>
        <v>0</v>
      </c>
      <c r="DE476" s="55">
        <f t="shared" si="3095"/>
        <v>0</v>
      </c>
      <c r="DF476" s="55">
        <f t="shared" si="3096"/>
        <v>0</v>
      </c>
      <c r="DG476" s="55">
        <f t="shared" si="3097"/>
        <v>0</v>
      </c>
      <c r="DH476" s="55">
        <f t="shared" si="3098"/>
        <v>0</v>
      </c>
      <c r="DI476" s="55">
        <f t="shared" si="3099"/>
        <v>0</v>
      </c>
    </row>
    <row r="477" spans="1:113" outlineLevel="2">
      <c r="A477" s="1" t="s">
        <v>102</v>
      </c>
      <c r="B477" s="19" t="s">
        <v>423</v>
      </c>
      <c r="C477" s="53"/>
      <c r="D477" s="53"/>
      <c r="E477" s="53"/>
      <c r="F477" s="53"/>
      <c r="G477" s="53"/>
      <c r="H477" s="53"/>
      <c r="I477" s="53"/>
      <c r="J477" s="53"/>
      <c r="K477" s="53"/>
      <c r="L477" s="53">
        <v>0</v>
      </c>
      <c r="M477" s="53">
        <v>0</v>
      </c>
      <c r="N477" s="53">
        <v>0</v>
      </c>
      <c r="O477" s="53">
        <v>0</v>
      </c>
      <c r="P477" s="53">
        <v>0</v>
      </c>
      <c r="Q477" s="53">
        <v>0</v>
      </c>
      <c r="R477" s="53">
        <v>0</v>
      </c>
      <c r="S477" s="53">
        <v>0</v>
      </c>
      <c r="T477" s="53">
        <v>0</v>
      </c>
      <c r="U477" s="53">
        <v>0</v>
      </c>
      <c r="V477" s="53">
        <v>0</v>
      </c>
      <c r="W477" s="53">
        <v>0</v>
      </c>
      <c r="X477" s="53">
        <v>0</v>
      </c>
      <c r="Y477" s="53">
        <v>0</v>
      </c>
      <c r="Z477" s="53">
        <v>0</v>
      </c>
      <c r="AA477" s="164">
        <v>0</v>
      </c>
      <c r="AB477" s="164">
        <v>0</v>
      </c>
      <c r="AC477" s="164">
        <v>0</v>
      </c>
      <c r="AD477" s="164">
        <v>0</v>
      </c>
      <c r="AE477" s="164">
        <v>0</v>
      </c>
      <c r="AF477" s="164">
        <v>0</v>
      </c>
      <c r="AG477" s="164">
        <v>0</v>
      </c>
      <c r="AH477" s="164">
        <v>0</v>
      </c>
      <c r="AI477" s="164">
        <v>0</v>
      </c>
      <c r="AJ477" s="164">
        <v>0</v>
      </c>
      <c r="AK477" s="164">
        <v>0</v>
      </c>
      <c r="AL477" s="164">
        <v>0</v>
      </c>
      <c r="AM477" s="164">
        <v>0</v>
      </c>
      <c r="AN477" s="164">
        <v>0</v>
      </c>
      <c r="AO477" s="164">
        <v>0</v>
      </c>
      <c r="AP477" s="164">
        <v>0</v>
      </c>
      <c r="AQ477" s="164">
        <v>0</v>
      </c>
      <c r="AR477" s="164">
        <v>0</v>
      </c>
      <c r="AS477" s="164">
        <v>0</v>
      </c>
      <c r="AT477" s="164">
        <v>0</v>
      </c>
      <c r="AU477" s="164">
        <v>0</v>
      </c>
      <c r="AV477" s="164">
        <v>0</v>
      </c>
      <c r="AW477" s="164">
        <v>0</v>
      </c>
      <c r="AX477" s="164">
        <v>0</v>
      </c>
      <c r="AY477" s="164">
        <v>0</v>
      </c>
      <c r="AZ477" s="171">
        <v>0</v>
      </c>
      <c r="BA477" s="54">
        <v>0</v>
      </c>
      <c r="BB477" s="54">
        <v>0</v>
      </c>
      <c r="BC477" s="54">
        <v>0</v>
      </c>
      <c r="BD477" s="54">
        <v>0</v>
      </c>
      <c r="BE477" s="54">
        <v>0</v>
      </c>
      <c r="BF477" s="54">
        <v>0</v>
      </c>
      <c r="BG477" s="54">
        <v>0</v>
      </c>
      <c r="BH477" s="54">
        <v>0</v>
      </c>
      <c r="BI477" s="54">
        <v>0</v>
      </c>
      <c r="BJ477" s="54">
        <v>0</v>
      </c>
      <c r="BK477" s="54">
        <v>0</v>
      </c>
      <c r="BL477" s="54">
        <v>0</v>
      </c>
      <c r="BM477" s="54">
        <v>0</v>
      </c>
      <c r="BN477" s="54">
        <v>0</v>
      </c>
      <c r="BO477" s="54">
        <v>0</v>
      </c>
      <c r="BP477" s="54">
        <v>0</v>
      </c>
      <c r="BQ477" s="54">
        <v>0</v>
      </c>
      <c r="BR477" s="55"/>
      <c r="BS477" s="53">
        <v>0</v>
      </c>
      <c r="BT477" s="53">
        <v>0</v>
      </c>
      <c r="BU477" s="53">
        <v>0</v>
      </c>
      <c r="BV477" s="53">
        <v>0</v>
      </c>
      <c r="BW477" s="53">
        <v>0</v>
      </c>
      <c r="BX477" s="53">
        <v>0</v>
      </c>
      <c r="BY477" s="53">
        <v>0</v>
      </c>
      <c r="BZ477" s="53">
        <v>0</v>
      </c>
      <c r="CA477" s="53">
        <v>0</v>
      </c>
      <c r="CB477" s="53">
        <v>0</v>
      </c>
      <c r="CC477" s="55">
        <f t="shared" si="3136"/>
        <v>0</v>
      </c>
      <c r="CD477" s="55">
        <f t="shared" si="3137"/>
        <v>0</v>
      </c>
      <c r="CE477" s="55">
        <f t="shared" si="3138"/>
        <v>0</v>
      </c>
      <c r="CF477" s="55">
        <f t="shared" si="3139"/>
        <v>0</v>
      </c>
      <c r="CG477" s="55">
        <f t="shared" si="3140"/>
        <v>0</v>
      </c>
      <c r="CH477" s="55">
        <f t="shared" si="3141"/>
        <v>0</v>
      </c>
      <c r="CI477" s="55">
        <f t="shared" si="3073"/>
        <v>0</v>
      </c>
      <c r="CJ477" s="55">
        <f t="shared" si="3074"/>
        <v>0</v>
      </c>
      <c r="CK477" s="55">
        <f t="shared" si="3075"/>
        <v>0</v>
      </c>
      <c r="CL477" s="55">
        <f t="shared" si="3076"/>
        <v>0</v>
      </c>
      <c r="CM477" s="55">
        <f t="shared" si="3077"/>
        <v>0</v>
      </c>
      <c r="CN477" s="55">
        <f t="shared" si="3078"/>
        <v>0</v>
      </c>
      <c r="CO477" s="55">
        <f t="shared" si="3079"/>
        <v>0</v>
      </c>
      <c r="CP477" s="55">
        <f t="shared" si="3080"/>
        <v>0</v>
      </c>
      <c r="CQ477" s="55">
        <f t="shared" si="3081"/>
        <v>0</v>
      </c>
      <c r="CR477" s="55">
        <f t="shared" si="3082"/>
        <v>0</v>
      </c>
      <c r="CS477" s="55">
        <f t="shared" si="3083"/>
        <v>0</v>
      </c>
      <c r="CT477" s="55">
        <f t="shared" si="3084"/>
        <v>0</v>
      </c>
      <c r="CU477" s="55">
        <f t="shared" si="3085"/>
        <v>0</v>
      </c>
      <c r="CV477" s="55">
        <f t="shared" si="3086"/>
        <v>0</v>
      </c>
      <c r="CW477" s="55">
        <f t="shared" si="3087"/>
        <v>0</v>
      </c>
      <c r="CX477" s="55">
        <f t="shared" si="3088"/>
        <v>0</v>
      </c>
      <c r="CY477" s="55">
        <f t="shared" si="3089"/>
        <v>0</v>
      </c>
      <c r="CZ477" s="56">
        <f t="shared" si="3090"/>
        <v>0</v>
      </c>
      <c r="DA477" s="55">
        <f t="shared" si="3091"/>
        <v>0</v>
      </c>
      <c r="DB477" s="55">
        <f t="shared" si="3092"/>
        <v>0</v>
      </c>
      <c r="DC477" s="55">
        <f t="shared" si="3093"/>
        <v>0</v>
      </c>
      <c r="DD477" s="55">
        <f t="shared" si="3094"/>
        <v>0</v>
      </c>
      <c r="DE477" s="55">
        <f t="shared" si="3095"/>
        <v>0</v>
      </c>
      <c r="DF477" s="55">
        <f t="shared" si="3096"/>
        <v>0</v>
      </c>
      <c r="DG477" s="55">
        <f t="shared" si="3097"/>
        <v>0</v>
      </c>
      <c r="DH477" s="55">
        <f t="shared" si="3098"/>
        <v>0</v>
      </c>
      <c r="DI477" s="55">
        <f t="shared" si="3099"/>
        <v>0</v>
      </c>
    </row>
    <row r="478" spans="1:113" s="24" customFormat="1" outlineLevel="2">
      <c r="A478" s="1" t="s">
        <v>103</v>
      </c>
      <c r="B478" s="24" t="s">
        <v>495</v>
      </c>
      <c r="C478" s="81">
        <v>-203</v>
      </c>
      <c r="D478" s="81">
        <v>-290</v>
      </c>
      <c r="E478" s="81">
        <v>-159</v>
      </c>
      <c r="F478" s="81">
        <v>-151</v>
      </c>
      <c r="G478" s="81">
        <v>-154</v>
      </c>
      <c r="H478" s="81">
        <v>-150</v>
      </c>
      <c r="I478" s="81">
        <v>-126</v>
      </c>
      <c r="J478" s="81">
        <v>-146</v>
      </c>
      <c r="K478" s="81">
        <v>-176</v>
      </c>
      <c r="L478" s="81">
        <v>-188</v>
      </c>
      <c r="M478" s="81">
        <v>-210</v>
      </c>
      <c r="N478" s="81">
        <v>-195</v>
      </c>
      <c r="O478" s="81">
        <v>-239</v>
      </c>
      <c r="P478" s="81">
        <v>-333</v>
      </c>
      <c r="Q478" s="81">
        <v>-597</v>
      </c>
      <c r="R478" s="81">
        <v>-1951</v>
      </c>
      <c r="S478" s="81">
        <v>-1441</v>
      </c>
      <c r="T478" s="81">
        <v>-1383</v>
      </c>
      <c r="U478" s="81">
        <v>-692</v>
      </c>
      <c r="V478" s="81">
        <v>-722</v>
      </c>
      <c r="W478" s="81">
        <v>-558</v>
      </c>
      <c r="X478" s="81">
        <v>-545</v>
      </c>
      <c r="Y478" s="81">
        <v>-544</v>
      </c>
      <c r="Z478" s="81">
        <v>-616</v>
      </c>
      <c r="AA478" s="166">
        <v>-466</v>
      </c>
      <c r="AB478" s="166">
        <v>-457</v>
      </c>
      <c r="AC478" s="166">
        <v>-496</v>
      </c>
      <c r="AD478" s="166">
        <v>-440</v>
      </c>
      <c r="AE478" s="166">
        <v>-548</v>
      </c>
      <c r="AF478" s="166">
        <v>-564</v>
      </c>
      <c r="AG478" s="166">
        <v>-692</v>
      </c>
      <c r="AH478" s="166">
        <v>-599</v>
      </c>
      <c r="AI478" s="166">
        <v>-496</v>
      </c>
      <c r="AJ478" s="166">
        <v>-596</v>
      </c>
      <c r="AK478" s="166">
        <v>-483</v>
      </c>
      <c r="AL478" s="166">
        <v>-577</v>
      </c>
      <c r="AM478" s="166">
        <v>-624</v>
      </c>
      <c r="AN478" s="166">
        <v>-649</v>
      </c>
      <c r="AO478" s="166">
        <v>-1869</v>
      </c>
      <c r="AP478" s="166">
        <v>-882</v>
      </c>
      <c r="AQ478" s="166">
        <v>328</v>
      </c>
      <c r="AR478" s="166">
        <v>75</v>
      </c>
      <c r="AS478" s="166">
        <v>282</v>
      </c>
      <c r="AT478" s="166">
        <v>-511</v>
      </c>
      <c r="AU478" s="166">
        <v>-597</v>
      </c>
      <c r="AV478" s="166">
        <v>-415</v>
      </c>
      <c r="AW478" s="166">
        <v>-387</v>
      </c>
      <c r="AX478" s="166">
        <v>-320</v>
      </c>
      <c r="AY478" s="166">
        <v>-406</v>
      </c>
      <c r="AZ478" s="167">
        <v>-319</v>
      </c>
      <c r="BA478" s="82">
        <f t="shared" ref="BA478:BE478" si="3211">SUM(BA472:BA477)</f>
        <v>-398.98216418378195</v>
      </c>
      <c r="BB478" s="82">
        <f t="shared" si="3211"/>
        <v>-436.05551444817377</v>
      </c>
      <c r="BC478" s="82">
        <f t="shared" si="3211"/>
        <v>-469.66538917092953</v>
      </c>
      <c r="BD478" s="82">
        <f t="shared" si="3211"/>
        <v>-546.73993403828672</v>
      </c>
      <c r="BE478" s="82">
        <f t="shared" si="3211"/>
        <v>-557.29643846965223</v>
      </c>
      <c r="BF478" s="82">
        <f t="shared" ref="BF478:BM478" si="3212">SUM(BF472:BF477)</f>
        <v>-514.52491278756179</v>
      </c>
      <c r="BG478" s="82">
        <f t="shared" si="3212"/>
        <v>-428.51542511175859</v>
      </c>
      <c r="BH478" s="82">
        <f t="shared" si="3212"/>
        <v>-378.40203092634636</v>
      </c>
      <c r="BI478" s="82">
        <f t="shared" si="3212"/>
        <v>-369.5447010210296</v>
      </c>
      <c r="BJ478" s="82">
        <f t="shared" si="3212"/>
        <v>-528.6206273002183</v>
      </c>
      <c r="BK478" s="82">
        <f t="shared" si="3212"/>
        <v>-620.68860828773177</v>
      </c>
      <c r="BL478" s="82">
        <f t="shared" si="3212"/>
        <v>-721.56025332984518</v>
      </c>
      <c r="BM478" s="82">
        <f t="shared" si="3212"/>
        <v>-725.13013605797335</v>
      </c>
      <c r="BN478" s="82">
        <f t="shared" ref="BN478:BO478" si="3213">SUM(BN472:BN477)</f>
        <v>-745.31313284054545</v>
      </c>
      <c r="BO478" s="82">
        <f t="shared" si="3213"/>
        <v>-745.26440684666022</v>
      </c>
      <c r="BP478" s="82">
        <f t="shared" ref="BP478:BQ478" si="3214">SUM(BP472:BP477)</f>
        <v>-767.99918399634225</v>
      </c>
      <c r="BQ478" s="82">
        <f t="shared" si="3214"/>
        <v>-767.97719982865874</v>
      </c>
      <c r="BR478" s="82"/>
      <c r="BS478" s="81">
        <v>-843</v>
      </c>
      <c r="BT478" s="81">
        <v>-468</v>
      </c>
      <c r="BU478" s="81">
        <v>-321</v>
      </c>
      <c r="BV478" s="81">
        <v>-182</v>
      </c>
      <c r="BW478" s="81">
        <v>-113</v>
      </c>
      <c r="BX478" s="81">
        <v>-98</v>
      </c>
      <c r="BY478" s="81">
        <v>-233</v>
      </c>
      <c r="BZ478" s="81">
        <v>-247</v>
      </c>
      <c r="CA478" s="81">
        <v>-196</v>
      </c>
      <c r="CB478" s="81">
        <v>-385</v>
      </c>
      <c r="CC478" s="82">
        <f t="shared" si="3136"/>
        <v>-449</v>
      </c>
      <c r="CD478" s="82">
        <f t="shared" si="3137"/>
        <v>-305</v>
      </c>
      <c r="CE478" s="82">
        <f t="shared" si="3138"/>
        <v>-276</v>
      </c>
      <c r="CF478" s="82">
        <f t="shared" si="3139"/>
        <v>-322</v>
      </c>
      <c r="CG478" s="82">
        <f t="shared" si="3140"/>
        <v>-398</v>
      </c>
      <c r="CH478" s="82">
        <f t="shared" si="3141"/>
        <v>-434</v>
      </c>
      <c r="CI478" s="82">
        <f t="shared" si="3073"/>
        <v>-930</v>
      </c>
      <c r="CJ478" s="82">
        <f t="shared" si="3074"/>
        <v>-3392</v>
      </c>
      <c r="CK478" s="82">
        <f t="shared" si="3075"/>
        <v>-2075</v>
      </c>
      <c r="CL478" s="82">
        <f t="shared" si="3076"/>
        <v>-1280</v>
      </c>
      <c r="CM478" s="82">
        <f t="shared" si="3077"/>
        <v>-1089</v>
      </c>
      <c r="CN478" s="82">
        <f t="shared" si="3078"/>
        <v>-1082</v>
      </c>
      <c r="CO478" s="82">
        <f t="shared" si="3079"/>
        <v>-953</v>
      </c>
      <c r="CP478" s="82">
        <f t="shared" si="3080"/>
        <v>-988</v>
      </c>
      <c r="CQ478" s="82">
        <f t="shared" si="3081"/>
        <v>-1256</v>
      </c>
      <c r="CR478" s="82">
        <f t="shared" si="3082"/>
        <v>-1095</v>
      </c>
      <c r="CS478" s="82">
        <f t="shared" si="3083"/>
        <v>-1079</v>
      </c>
      <c r="CT478" s="82">
        <f t="shared" si="3084"/>
        <v>-1201</v>
      </c>
      <c r="CU478" s="82">
        <f t="shared" si="3085"/>
        <v>-2518</v>
      </c>
      <c r="CV478" s="82">
        <f t="shared" si="3086"/>
        <v>-554</v>
      </c>
      <c r="CW478" s="82">
        <f t="shared" si="3087"/>
        <v>357</v>
      </c>
      <c r="CX478" s="82">
        <f t="shared" si="3088"/>
        <v>-1108</v>
      </c>
      <c r="CY478" s="82">
        <f t="shared" si="3089"/>
        <v>-802</v>
      </c>
      <c r="CZ478" s="83">
        <f t="shared" si="3090"/>
        <v>-726</v>
      </c>
      <c r="DA478" s="82">
        <f t="shared" si="3091"/>
        <v>-717.98216418378195</v>
      </c>
      <c r="DB478" s="82">
        <f t="shared" si="3092"/>
        <v>-905.7209036191033</v>
      </c>
      <c r="DC478" s="82">
        <f t="shared" si="3093"/>
        <v>-1104.0363725079389</v>
      </c>
      <c r="DD478" s="82">
        <f t="shared" si="3094"/>
        <v>-943.04033789932032</v>
      </c>
      <c r="DE478" s="82">
        <f t="shared" si="3095"/>
        <v>-747.94673194737595</v>
      </c>
      <c r="DF478" s="82">
        <f t="shared" si="3096"/>
        <v>-1149.3092355879501</v>
      </c>
      <c r="DG478" s="82">
        <f t="shared" si="3097"/>
        <v>-1446.6903893878184</v>
      </c>
      <c r="DH478" s="82">
        <f t="shared" si="3098"/>
        <v>-1490.5775396872057</v>
      </c>
      <c r="DI478" s="82">
        <f t="shared" si="3099"/>
        <v>-1535.976383825001</v>
      </c>
    </row>
    <row r="479" spans="1:113" outlineLevel="2">
      <c r="A479" s="1" t="s">
        <v>104</v>
      </c>
      <c r="B479" s="19" t="s">
        <v>526</v>
      </c>
      <c r="C479" s="55">
        <f t="shared" ref="C479:L479" si="3215">C480-C478</f>
        <v>0</v>
      </c>
      <c r="D479" s="55">
        <f t="shared" si="3215"/>
        <v>0</v>
      </c>
      <c r="E479" s="55">
        <f t="shared" si="3215"/>
        <v>0</v>
      </c>
      <c r="F479" s="55">
        <f t="shared" si="3215"/>
        <v>0</v>
      </c>
      <c r="G479" s="55">
        <f t="shared" si="3215"/>
        <v>0</v>
      </c>
      <c r="H479" s="55">
        <f t="shared" si="3215"/>
        <v>0</v>
      </c>
      <c r="I479" s="55">
        <f t="shared" si="3215"/>
        <v>0</v>
      </c>
      <c r="J479" s="55">
        <f t="shared" si="3215"/>
        <v>0</v>
      </c>
      <c r="K479" s="55">
        <f t="shared" si="3215"/>
        <v>0</v>
      </c>
      <c r="L479" s="55">
        <f t="shared" si="3215"/>
        <v>0</v>
      </c>
      <c r="M479" s="55">
        <f t="shared" ref="M479:X479" si="3216">M480-M478</f>
        <v>0</v>
      </c>
      <c r="N479" s="55">
        <f t="shared" si="3216"/>
        <v>0</v>
      </c>
      <c r="O479" s="55">
        <f t="shared" si="3216"/>
        <v>0</v>
      </c>
      <c r="P479" s="55">
        <f t="shared" si="3216"/>
        <v>0</v>
      </c>
      <c r="Q479" s="55">
        <f t="shared" si="3216"/>
        <v>0</v>
      </c>
      <c r="R479" s="55">
        <f t="shared" si="3216"/>
        <v>344</v>
      </c>
      <c r="S479" s="55">
        <f t="shared" si="3216"/>
        <v>0</v>
      </c>
      <c r="T479" s="55">
        <f t="shared" si="3216"/>
        <v>0</v>
      </c>
      <c r="U479" s="55">
        <f t="shared" si="3216"/>
        <v>-304</v>
      </c>
      <c r="V479" s="55">
        <f t="shared" si="3216"/>
        <v>0</v>
      </c>
      <c r="W479" s="55">
        <f t="shared" si="3216"/>
        <v>0</v>
      </c>
      <c r="X479" s="55">
        <f t="shared" si="3216"/>
        <v>0</v>
      </c>
      <c r="Y479" s="55">
        <f t="shared" ref="Y479:AK479" si="3217">Y480-Y478</f>
        <v>0</v>
      </c>
      <c r="Z479" s="55">
        <f t="shared" si="3217"/>
        <v>-64</v>
      </c>
      <c r="AA479" s="55">
        <f t="shared" si="3217"/>
        <v>0</v>
      </c>
      <c r="AB479" s="55">
        <f t="shared" si="3217"/>
        <v>0</v>
      </c>
      <c r="AC479" s="55">
        <f t="shared" si="3217"/>
        <v>35</v>
      </c>
      <c r="AD479" s="55">
        <f t="shared" si="3217"/>
        <v>0</v>
      </c>
      <c r="AE479" s="55">
        <f t="shared" si="3217"/>
        <v>0</v>
      </c>
      <c r="AF479" s="55">
        <f t="shared" si="3217"/>
        <v>0</v>
      </c>
      <c r="AG479" s="55">
        <f t="shared" si="3217"/>
        <v>0</v>
      </c>
      <c r="AH479" s="55">
        <f t="shared" si="3217"/>
        <v>0</v>
      </c>
      <c r="AI479" s="55">
        <f t="shared" si="3217"/>
        <v>0</v>
      </c>
      <c r="AJ479" s="55">
        <f t="shared" si="3217"/>
        <v>0</v>
      </c>
      <c r="AK479" s="55">
        <f t="shared" si="3217"/>
        <v>0</v>
      </c>
      <c r="AL479" s="55">
        <f t="shared" ref="AL479:AQ479" si="3218">AL480-AL478</f>
        <v>0</v>
      </c>
      <c r="AM479" s="55">
        <f t="shared" si="3218"/>
        <v>0</v>
      </c>
      <c r="AN479" s="55">
        <f t="shared" si="3218"/>
        <v>0</v>
      </c>
      <c r="AO479" s="55">
        <f t="shared" si="3218"/>
        <v>0</v>
      </c>
      <c r="AP479" s="55">
        <f t="shared" si="3218"/>
        <v>0</v>
      </c>
      <c r="AQ479" s="55">
        <f t="shared" si="3218"/>
        <v>0</v>
      </c>
      <c r="AR479" s="55">
        <f t="shared" ref="AR479" si="3219">AR480-AR478</f>
        <v>0</v>
      </c>
      <c r="AS479" s="55">
        <f t="shared" ref="AS479:AT479" si="3220">AS480-AS478</f>
        <v>0</v>
      </c>
      <c r="AT479" s="55">
        <f t="shared" si="3220"/>
        <v>0</v>
      </c>
      <c r="AU479" s="55">
        <f t="shared" ref="AU479:AV479" si="3221">AU480-AU478</f>
        <v>0</v>
      </c>
      <c r="AV479" s="55">
        <f t="shared" si="3221"/>
        <v>0</v>
      </c>
      <c r="AW479" s="55">
        <f t="shared" ref="AW479:AY479" si="3222">AW480-AW478</f>
        <v>0</v>
      </c>
      <c r="AX479" s="55">
        <f t="shared" si="3222"/>
        <v>0</v>
      </c>
      <c r="AY479" s="55">
        <f t="shared" si="3222"/>
        <v>0</v>
      </c>
      <c r="AZ479" s="56">
        <f t="shared" ref="AZ479" si="3223">AZ480-AZ478</f>
        <v>0</v>
      </c>
      <c r="BA479" s="54">
        <v>0</v>
      </c>
      <c r="BB479" s="54">
        <v>0</v>
      </c>
      <c r="BC479" s="54">
        <v>0</v>
      </c>
      <c r="BD479" s="54">
        <v>0</v>
      </c>
      <c r="BE479" s="54">
        <v>0</v>
      </c>
      <c r="BF479" s="54">
        <v>0</v>
      </c>
      <c r="BG479" s="54">
        <v>0</v>
      </c>
      <c r="BH479" s="54">
        <v>0</v>
      </c>
      <c r="BI479" s="54">
        <v>0</v>
      </c>
      <c r="BJ479" s="54">
        <v>0</v>
      </c>
      <c r="BK479" s="54">
        <v>0</v>
      </c>
      <c r="BL479" s="54">
        <v>0</v>
      </c>
      <c r="BM479" s="54">
        <v>0</v>
      </c>
      <c r="BN479" s="54">
        <v>0</v>
      </c>
      <c r="BO479" s="54">
        <v>0</v>
      </c>
      <c r="BP479" s="54">
        <v>0</v>
      </c>
      <c r="BQ479" s="54">
        <v>0</v>
      </c>
      <c r="BR479" s="55"/>
      <c r="BS479" s="55">
        <f t="shared" ref="BS479:CB479" si="3224">BS480-BS478</f>
        <v>0</v>
      </c>
      <c r="BT479" s="55">
        <f t="shared" si="3224"/>
        <v>0</v>
      </c>
      <c r="BU479" s="55">
        <f t="shared" si="3224"/>
        <v>0</v>
      </c>
      <c r="BV479" s="55">
        <f t="shared" si="3224"/>
        <v>0</v>
      </c>
      <c r="BW479" s="55">
        <f t="shared" si="3224"/>
        <v>0</v>
      </c>
      <c r="BX479" s="55">
        <f t="shared" si="3224"/>
        <v>0</v>
      </c>
      <c r="BY479" s="55">
        <f t="shared" si="3224"/>
        <v>0</v>
      </c>
      <c r="BZ479" s="55">
        <f t="shared" si="3224"/>
        <v>0</v>
      </c>
      <c r="CA479" s="55">
        <f t="shared" si="3224"/>
        <v>0</v>
      </c>
      <c r="CB479" s="55">
        <f t="shared" si="3224"/>
        <v>0</v>
      </c>
      <c r="CC479" s="55">
        <f t="shared" ref="CC479:CI479" si="3225">CC480-CC478</f>
        <v>0</v>
      </c>
      <c r="CD479" s="55">
        <f t="shared" si="3225"/>
        <v>0</v>
      </c>
      <c r="CE479" s="55">
        <f t="shared" si="3225"/>
        <v>0</v>
      </c>
      <c r="CF479" s="55">
        <f t="shared" si="3225"/>
        <v>0</v>
      </c>
      <c r="CG479" s="55">
        <f t="shared" si="3225"/>
        <v>0</v>
      </c>
      <c r="CH479" s="55">
        <f t="shared" si="3225"/>
        <v>0</v>
      </c>
      <c r="CI479" s="55">
        <f t="shared" si="3225"/>
        <v>0</v>
      </c>
      <c r="CJ479" s="55">
        <f t="shared" si="3074"/>
        <v>344</v>
      </c>
      <c r="CK479" s="55">
        <f t="shared" si="3075"/>
        <v>-304</v>
      </c>
      <c r="CL479" s="55">
        <f t="shared" si="3076"/>
        <v>0</v>
      </c>
      <c r="CM479" s="55">
        <f t="shared" si="3077"/>
        <v>0</v>
      </c>
      <c r="CN479" s="55">
        <f t="shared" si="3078"/>
        <v>-64</v>
      </c>
      <c r="CO479" s="55">
        <f t="shared" si="3079"/>
        <v>35</v>
      </c>
      <c r="CP479" s="55">
        <f t="shared" si="3080"/>
        <v>0</v>
      </c>
      <c r="CQ479" s="55">
        <f t="shared" si="3081"/>
        <v>0</v>
      </c>
      <c r="CR479" s="55">
        <f t="shared" si="3082"/>
        <v>0</v>
      </c>
      <c r="CS479" s="55">
        <f t="shared" si="3083"/>
        <v>0</v>
      </c>
      <c r="CT479" s="55">
        <f t="shared" si="3084"/>
        <v>0</v>
      </c>
      <c r="CU479" s="55">
        <f t="shared" si="3085"/>
        <v>0</v>
      </c>
      <c r="CV479" s="55">
        <f t="shared" si="3086"/>
        <v>0</v>
      </c>
      <c r="CW479" s="55">
        <f t="shared" si="3087"/>
        <v>0</v>
      </c>
      <c r="CX479" s="55">
        <f t="shared" si="3088"/>
        <v>0</v>
      </c>
      <c r="CY479" s="55">
        <f t="shared" si="3089"/>
        <v>0</v>
      </c>
      <c r="CZ479" s="56">
        <f t="shared" si="3090"/>
        <v>0</v>
      </c>
      <c r="DA479" s="55">
        <f t="shared" si="3091"/>
        <v>0</v>
      </c>
      <c r="DB479" s="55">
        <f t="shared" si="3092"/>
        <v>0</v>
      </c>
      <c r="DC479" s="55">
        <f t="shared" si="3093"/>
        <v>0</v>
      </c>
      <c r="DD479" s="55">
        <f t="shared" si="3094"/>
        <v>0</v>
      </c>
      <c r="DE479" s="55">
        <f t="shared" si="3095"/>
        <v>0</v>
      </c>
      <c r="DF479" s="55">
        <f t="shared" si="3096"/>
        <v>0</v>
      </c>
      <c r="DG479" s="55">
        <f t="shared" si="3097"/>
        <v>0</v>
      </c>
      <c r="DH479" s="55">
        <f t="shared" si="3098"/>
        <v>0</v>
      </c>
      <c r="DI479" s="55">
        <f t="shared" si="3099"/>
        <v>0</v>
      </c>
    </row>
    <row r="480" spans="1:113" s="24" customFormat="1" outlineLevel="2">
      <c r="A480" s="1" t="s">
        <v>105</v>
      </c>
      <c r="B480" s="24" t="s">
        <v>504</v>
      </c>
      <c r="C480" s="81">
        <v>-203</v>
      </c>
      <c r="D480" s="81">
        <v>-290</v>
      </c>
      <c r="E480" s="81">
        <v>-159</v>
      </c>
      <c r="F480" s="81">
        <v>-151</v>
      </c>
      <c r="G480" s="81">
        <v>-154</v>
      </c>
      <c r="H480" s="81">
        <v>-150</v>
      </c>
      <c r="I480" s="81">
        <v>-126</v>
      </c>
      <c r="J480" s="81">
        <v>-146</v>
      </c>
      <c r="K480" s="81">
        <v>-176</v>
      </c>
      <c r="L480" s="81">
        <v>-188</v>
      </c>
      <c r="M480" s="81">
        <v>-210</v>
      </c>
      <c r="N480" s="81">
        <v>-195</v>
      </c>
      <c r="O480" s="81">
        <v>-239</v>
      </c>
      <c r="P480" s="81">
        <v>-333</v>
      </c>
      <c r="Q480" s="81">
        <v>-597</v>
      </c>
      <c r="R480" s="81">
        <v>-1607</v>
      </c>
      <c r="S480" s="81">
        <v>-1441</v>
      </c>
      <c r="T480" s="81">
        <v>-1383</v>
      </c>
      <c r="U480" s="81">
        <v>-996</v>
      </c>
      <c r="V480" s="81">
        <v>-722</v>
      </c>
      <c r="W480" s="81">
        <v>-558</v>
      </c>
      <c r="X480" s="81">
        <v>-545</v>
      </c>
      <c r="Y480" s="81">
        <v>-544</v>
      </c>
      <c r="Z480" s="81">
        <v>-680</v>
      </c>
      <c r="AA480" s="166">
        <v>-466</v>
      </c>
      <c r="AB480" s="166">
        <v>-457</v>
      </c>
      <c r="AC480" s="166">
        <v>-461</v>
      </c>
      <c r="AD480" s="166">
        <v>-440</v>
      </c>
      <c r="AE480" s="166">
        <v>-548</v>
      </c>
      <c r="AF480" s="166">
        <v>-564</v>
      </c>
      <c r="AG480" s="166">
        <v>-692</v>
      </c>
      <c r="AH480" s="166">
        <v>-599</v>
      </c>
      <c r="AI480" s="166">
        <v>-496</v>
      </c>
      <c r="AJ480" s="166">
        <v>-596</v>
      </c>
      <c r="AK480" s="166">
        <v>-483</v>
      </c>
      <c r="AL480" s="166">
        <v>-577</v>
      </c>
      <c r="AM480" s="166">
        <v>-624</v>
      </c>
      <c r="AN480" s="166">
        <v>-649</v>
      </c>
      <c r="AO480" s="166">
        <v>-1869</v>
      </c>
      <c r="AP480" s="166">
        <v>-882</v>
      </c>
      <c r="AQ480" s="166">
        <v>328</v>
      </c>
      <c r="AR480" s="166">
        <v>75</v>
      </c>
      <c r="AS480" s="166">
        <v>282</v>
      </c>
      <c r="AT480" s="166">
        <v>-511</v>
      </c>
      <c r="AU480" s="166">
        <v>-597</v>
      </c>
      <c r="AV480" s="166">
        <v>-415</v>
      </c>
      <c r="AW480" s="166">
        <v>-387</v>
      </c>
      <c r="AX480" s="166">
        <v>-320</v>
      </c>
      <c r="AY480" s="166">
        <v>-406</v>
      </c>
      <c r="AZ480" s="167">
        <v>-319</v>
      </c>
      <c r="BA480" s="82">
        <f t="shared" ref="BA480:BE480" si="3226">BA478+BA479</f>
        <v>-398.98216418378195</v>
      </c>
      <c r="BB480" s="82">
        <f t="shared" si="3226"/>
        <v>-436.05551444817377</v>
      </c>
      <c r="BC480" s="82">
        <f t="shared" si="3226"/>
        <v>-469.66538917092953</v>
      </c>
      <c r="BD480" s="82">
        <f t="shared" si="3226"/>
        <v>-546.73993403828672</v>
      </c>
      <c r="BE480" s="82">
        <f t="shared" si="3226"/>
        <v>-557.29643846965223</v>
      </c>
      <c r="BF480" s="82">
        <f t="shared" ref="BF480:BM480" si="3227">BF478+BF479</f>
        <v>-514.52491278756179</v>
      </c>
      <c r="BG480" s="82">
        <f t="shared" si="3227"/>
        <v>-428.51542511175859</v>
      </c>
      <c r="BH480" s="82">
        <f t="shared" si="3227"/>
        <v>-378.40203092634636</v>
      </c>
      <c r="BI480" s="82">
        <f t="shared" si="3227"/>
        <v>-369.5447010210296</v>
      </c>
      <c r="BJ480" s="82">
        <f t="shared" si="3227"/>
        <v>-528.6206273002183</v>
      </c>
      <c r="BK480" s="82">
        <f t="shared" si="3227"/>
        <v>-620.68860828773177</v>
      </c>
      <c r="BL480" s="82">
        <f t="shared" si="3227"/>
        <v>-721.56025332984518</v>
      </c>
      <c r="BM480" s="82">
        <f t="shared" si="3227"/>
        <v>-725.13013605797335</v>
      </c>
      <c r="BN480" s="82">
        <f t="shared" ref="BN480:BO480" si="3228">BN478+BN479</f>
        <v>-745.31313284054545</v>
      </c>
      <c r="BO480" s="82">
        <f t="shared" si="3228"/>
        <v>-745.26440684666022</v>
      </c>
      <c r="BP480" s="82">
        <f t="shared" ref="BP480:BQ480" si="3229">BP478+BP479</f>
        <v>-767.99918399634225</v>
      </c>
      <c r="BQ480" s="82">
        <f t="shared" si="3229"/>
        <v>-767.97719982865874</v>
      </c>
      <c r="BR480" s="82"/>
      <c r="BS480" s="81">
        <v>-843</v>
      </c>
      <c r="BT480" s="81">
        <v>-468</v>
      </c>
      <c r="BU480" s="81">
        <v>-321</v>
      </c>
      <c r="BV480" s="81">
        <v>-182</v>
      </c>
      <c r="BW480" s="81">
        <v>-113</v>
      </c>
      <c r="BX480" s="81">
        <v>-98</v>
      </c>
      <c r="BY480" s="81">
        <v>-233</v>
      </c>
      <c r="BZ480" s="81">
        <v>-247</v>
      </c>
      <c r="CA480" s="81">
        <v>-196</v>
      </c>
      <c r="CB480" s="81">
        <v>-385</v>
      </c>
      <c r="CC480" s="82">
        <f>SUM(D480:E480)</f>
        <v>-449</v>
      </c>
      <c r="CD480" s="82">
        <f>SUM(F480:G480)</f>
        <v>-305</v>
      </c>
      <c r="CE480" s="82">
        <f>SUM(H480:I480)</f>
        <v>-276</v>
      </c>
      <c r="CF480" s="82">
        <f>SUM(J480:K480)</f>
        <v>-322</v>
      </c>
      <c r="CG480" s="82">
        <f>SUM(L480:M480)</f>
        <v>-398</v>
      </c>
      <c r="CH480" s="82">
        <f>SUM(N480:O480)</f>
        <v>-434</v>
      </c>
      <c r="CI480" s="82">
        <f>SUM(P480:Q480)</f>
        <v>-930</v>
      </c>
      <c r="CJ480" s="82">
        <f t="shared" ref="CJ480:CP480" si="3230">CJ478+CJ479</f>
        <v>-3048</v>
      </c>
      <c r="CK480" s="82">
        <f t="shared" si="3230"/>
        <v>-2379</v>
      </c>
      <c r="CL480" s="82">
        <f t="shared" si="3230"/>
        <v>-1280</v>
      </c>
      <c r="CM480" s="82">
        <f t="shared" si="3230"/>
        <v>-1089</v>
      </c>
      <c r="CN480" s="82">
        <f t="shared" si="3230"/>
        <v>-1146</v>
      </c>
      <c r="CO480" s="82">
        <f t="shared" si="3230"/>
        <v>-918</v>
      </c>
      <c r="CP480" s="82">
        <f t="shared" si="3230"/>
        <v>-988</v>
      </c>
      <c r="CQ480" s="82">
        <f t="shared" ref="CQ480:CX480" si="3231">CQ478+CQ479</f>
        <v>-1256</v>
      </c>
      <c r="CR480" s="82">
        <f t="shared" si="3231"/>
        <v>-1095</v>
      </c>
      <c r="CS480" s="82">
        <f t="shared" si="3231"/>
        <v>-1079</v>
      </c>
      <c r="CT480" s="82">
        <f t="shared" si="3231"/>
        <v>-1201</v>
      </c>
      <c r="CU480" s="82">
        <f t="shared" si="3231"/>
        <v>-2518</v>
      </c>
      <c r="CV480" s="82">
        <f t="shared" si="3231"/>
        <v>-554</v>
      </c>
      <c r="CW480" s="82">
        <f t="shared" si="3231"/>
        <v>357</v>
      </c>
      <c r="CX480" s="82">
        <f t="shared" si="3231"/>
        <v>-1108</v>
      </c>
      <c r="CY480" s="82">
        <f t="shared" ref="CY480:DD480" si="3232">CY478+CY479</f>
        <v>-802</v>
      </c>
      <c r="CZ480" s="83">
        <f t="shared" si="3232"/>
        <v>-726</v>
      </c>
      <c r="DA480" s="82">
        <f t="shared" si="3232"/>
        <v>-717.98216418378195</v>
      </c>
      <c r="DB480" s="82">
        <f t="shared" si="3232"/>
        <v>-905.7209036191033</v>
      </c>
      <c r="DC480" s="82">
        <f t="shared" si="3232"/>
        <v>-1104.0363725079389</v>
      </c>
      <c r="DD480" s="82">
        <f t="shared" si="3232"/>
        <v>-943.04033789932032</v>
      </c>
      <c r="DE480" s="82">
        <f>DE478+DE479</f>
        <v>-747.94673194737595</v>
      </c>
      <c r="DF480" s="82">
        <f>DF478+DF479</f>
        <v>-1149.3092355879501</v>
      </c>
      <c r="DG480" s="82">
        <f>DG478+DG479</f>
        <v>-1446.6903893878184</v>
      </c>
      <c r="DH480" s="82">
        <f>DH478+DH479</f>
        <v>-1490.5775396872057</v>
      </c>
      <c r="DI480" s="82">
        <f>DI478+DI479</f>
        <v>-1535.976383825001</v>
      </c>
    </row>
    <row r="481" spans="1:113" outlineLevel="1">
      <c r="A481" s="96"/>
      <c r="C481" s="55"/>
      <c r="D481" s="55"/>
      <c r="E481" s="55"/>
      <c r="F481" s="55"/>
      <c r="G481" s="55"/>
      <c r="H481" s="55"/>
      <c r="I481" s="55"/>
      <c r="J481" s="55"/>
      <c r="K481" s="55"/>
      <c r="L481" s="55"/>
      <c r="M481" s="55"/>
      <c r="N481" s="55"/>
      <c r="O481" s="55"/>
      <c r="P481" s="55"/>
      <c r="Q481" s="55"/>
      <c r="R481" s="55"/>
      <c r="S481" s="55"/>
      <c r="T481" s="55"/>
      <c r="U481" s="55"/>
      <c r="V481" s="55"/>
      <c r="W481" s="55"/>
      <c r="X481" s="55"/>
      <c r="Y481" s="55"/>
      <c r="Z481" s="55"/>
      <c r="AA481" s="55"/>
      <c r="AB481" s="55"/>
      <c r="AC481" s="55"/>
      <c r="AD481" s="55"/>
      <c r="AE481" s="55"/>
      <c r="AF481" s="55"/>
      <c r="AG481" s="55"/>
      <c r="AH481" s="55"/>
      <c r="AI481" s="55"/>
      <c r="AJ481" s="55"/>
      <c r="AK481" s="55"/>
      <c r="AL481" s="55"/>
      <c r="AM481" s="55"/>
      <c r="AN481" s="55"/>
      <c r="AO481" s="55"/>
      <c r="AP481" s="55"/>
      <c r="AQ481" s="55"/>
      <c r="AR481" s="55"/>
      <c r="AS481" s="55"/>
      <c r="AT481" s="55"/>
      <c r="AU481" s="55"/>
      <c r="AV481" s="55"/>
      <c r="AW481" s="819"/>
      <c r="AX481" s="813"/>
      <c r="AY481" s="813"/>
      <c r="AZ481" s="814"/>
      <c r="BA481" s="813"/>
      <c r="BB481" s="813"/>
      <c r="BC481" s="813"/>
      <c r="BD481" s="813"/>
      <c r="BE481" s="813"/>
      <c r="BF481" s="813"/>
      <c r="BG481" s="813"/>
      <c r="BH481" s="813"/>
      <c r="BI481" s="813"/>
      <c r="BJ481" s="55"/>
      <c r="BK481" s="55"/>
      <c r="BL481" s="55"/>
      <c r="BM481" s="55"/>
      <c r="BN481" s="55"/>
      <c r="BO481" s="55"/>
      <c r="BP481" s="55"/>
      <c r="BQ481" s="55"/>
      <c r="BR481" s="55"/>
      <c r="BS481" s="55"/>
      <c r="BT481" s="55"/>
      <c r="BU481" s="55"/>
      <c r="BV481" s="55"/>
      <c r="BW481" s="55"/>
      <c r="BX481" s="55"/>
      <c r="BY481" s="55"/>
      <c r="BZ481" s="55"/>
      <c r="CA481" s="55"/>
      <c r="CB481" s="55"/>
      <c r="CC481" s="55"/>
      <c r="CD481" s="55"/>
      <c r="CE481" s="55"/>
      <c r="CF481" s="55"/>
      <c r="CG481" s="55"/>
      <c r="CH481" s="55"/>
      <c r="CI481" s="55"/>
      <c r="CJ481" s="55"/>
      <c r="CK481" s="55"/>
      <c r="CL481" s="55"/>
      <c r="CM481" s="55"/>
      <c r="CN481" s="55"/>
      <c r="CO481" s="55"/>
      <c r="CP481" s="55"/>
      <c r="CQ481" s="55"/>
      <c r="CR481" s="55"/>
      <c r="CS481" s="55"/>
      <c r="CT481" s="55"/>
      <c r="CU481" s="55"/>
      <c r="CV481" s="55"/>
      <c r="CW481" s="55"/>
      <c r="CX481" s="55"/>
      <c r="CY481" s="55"/>
      <c r="CZ481" s="56"/>
      <c r="DA481" s="55"/>
      <c r="DB481" s="55"/>
    </row>
    <row r="482" spans="1:113">
      <c r="C482" s="55"/>
      <c r="D482" s="55"/>
      <c r="E482" s="55"/>
      <c r="F482" s="55"/>
      <c r="G482" s="55"/>
      <c r="H482" s="55"/>
      <c r="I482" s="55"/>
      <c r="J482" s="55"/>
      <c r="K482" s="55"/>
      <c r="L482" s="55"/>
      <c r="M482" s="55"/>
      <c r="N482" s="55"/>
      <c r="O482" s="55"/>
      <c r="P482" s="55"/>
      <c r="Q482" s="55"/>
      <c r="R482" s="55"/>
      <c r="S482" s="55"/>
      <c r="T482" s="55"/>
      <c r="U482" s="55"/>
      <c r="V482" s="55"/>
      <c r="W482" s="55"/>
      <c r="X482" s="55"/>
      <c r="Y482" s="55"/>
      <c r="Z482" s="55"/>
      <c r="AA482" s="55"/>
      <c r="AB482" s="55"/>
      <c r="AC482" s="55"/>
      <c r="AD482" s="55"/>
      <c r="AE482" s="55"/>
      <c r="AF482" s="58"/>
      <c r="AG482" s="55"/>
      <c r="AH482" s="55"/>
      <c r="AI482" s="55"/>
      <c r="AJ482" s="55"/>
      <c r="AK482" s="55"/>
      <c r="AL482" s="55"/>
      <c r="AM482" s="55"/>
      <c r="AN482" s="55"/>
      <c r="AO482" s="55"/>
      <c r="AP482" s="55"/>
      <c r="AQ482" s="55"/>
      <c r="AR482" s="55"/>
      <c r="AS482" s="55"/>
      <c r="AT482" s="55"/>
      <c r="AU482" s="55"/>
      <c r="AV482" s="55"/>
      <c r="AW482" s="55"/>
      <c r="AX482" s="55"/>
      <c r="AY482" s="830"/>
      <c r="AZ482" s="849">
        <f>AZ472+[5]CBA!K$253</f>
        <v>0</v>
      </c>
      <c r="BA482" s="830">
        <f>BA472+[5]CBA!L$253</f>
        <v>0</v>
      </c>
      <c r="BB482" s="830">
        <f>BB472+[5]CBA!M$253</f>
        <v>0</v>
      </c>
      <c r="BC482" s="830">
        <f>BC472+[5]CBA!N$253</f>
        <v>0</v>
      </c>
      <c r="BD482" s="830">
        <f>BD472+[5]CBA!O$253</f>
        <v>0</v>
      </c>
      <c r="BE482" s="830">
        <f>BE472+[5]CBA!P$253</f>
        <v>0</v>
      </c>
      <c r="BF482" s="830">
        <f>BF472+[5]CBA!Q$253</f>
        <v>0</v>
      </c>
      <c r="BG482" s="830">
        <f>BG472+[5]CBA!R$253</f>
        <v>0</v>
      </c>
      <c r="BH482" s="830">
        <f>BH472+[5]CBA!S$253</f>
        <v>0</v>
      </c>
      <c r="BI482" s="830">
        <f>BI472+[5]CBA!T$253</f>
        <v>0</v>
      </c>
      <c r="BJ482" s="55"/>
      <c r="BK482" s="55"/>
      <c r="BL482" s="55"/>
      <c r="BM482" s="55"/>
      <c r="BN482" s="55"/>
      <c r="BO482" s="55"/>
      <c r="BP482" s="55"/>
      <c r="BQ482" s="48"/>
      <c r="BR482" s="55"/>
      <c r="BS482" s="55"/>
      <c r="BT482" s="55"/>
      <c r="BU482" s="55"/>
      <c r="BV482" s="55"/>
      <c r="BW482" s="55"/>
      <c r="BX482" s="55"/>
      <c r="BY482" s="55"/>
      <c r="BZ482" s="55"/>
      <c r="CA482" s="55"/>
      <c r="CB482" s="55"/>
      <c r="CC482" s="55"/>
      <c r="CD482" s="55"/>
      <c r="CE482" s="55"/>
      <c r="CF482" s="55"/>
      <c r="CG482" s="55"/>
      <c r="CH482" s="55"/>
      <c r="CI482" s="55"/>
      <c r="CJ482" s="55"/>
      <c r="CK482" s="55"/>
      <c r="CL482" s="55"/>
      <c r="CM482" s="55"/>
      <c r="CN482" s="55"/>
      <c r="CO482" s="55"/>
      <c r="CP482" s="55"/>
      <c r="CQ482" s="55"/>
      <c r="CR482" s="55"/>
      <c r="CS482" s="55"/>
      <c r="CT482" s="50"/>
      <c r="CU482" s="50"/>
      <c r="CV482" s="50"/>
      <c r="CW482" s="50"/>
      <c r="CX482" s="50"/>
      <c r="CY482" s="50"/>
      <c r="CZ482" s="49"/>
      <c r="DA482" s="48"/>
      <c r="DB482" s="48"/>
    </row>
    <row r="483" spans="1:113" s="36" customFormat="1" collapsed="1">
      <c r="A483" s="1" t="s">
        <v>288</v>
      </c>
      <c r="B483" s="2" t="s">
        <v>348</v>
      </c>
      <c r="C483" s="79">
        <f t="shared" ref="C483:L486" si="3233">C454+C472</f>
        <v>1655</v>
      </c>
      <c r="D483" s="79">
        <f t="shared" si="3233"/>
        <v>1662</v>
      </c>
      <c r="E483" s="79">
        <f t="shared" si="3233"/>
        <v>1756</v>
      </c>
      <c r="F483" s="79">
        <f t="shared" si="3233"/>
        <v>1624</v>
      </c>
      <c r="G483" s="79">
        <f t="shared" si="3233"/>
        <v>1919</v>
      </c>
      <c r="H483" s="79">
        <f t="shared" si="3233"/>
        <v>1858</v>
      </c>
      <c r="I483" s="79">
        <f t="shared" si="3233"/>
        <v>2108</v>
      </c>
      <c r="J483" s="79">
        <f t="shared" si="3233"/>
        <v>2440</v>
      </c>
      <c r="K483" s="79">
        <f t="shared" si="3233"/>
        <v>2471</v>
      </c>
      <c r="L483" s="79">
        <f t="shared" si="3233"/>
        <v>2855</v>
      </c>
      <c r="M483" s="79">
        <f t="shared" ref="M483:AG483" si="3234">M454+M472</f>
        <v>2834</v>
      </c>
      <c r="N483" s="79">
        <f t="shared" si="3234"/>
        <v>3218</v>
      </c>
      <c r="O483" s="79">
        <f t="shared" si="3234"/>
        <v>3118</v>
      </c>
      <c r="P483" s="79">
        <f t="shared" si="3234"/>
        <v>3305</v>
      </c>
      <c r="Q483" s="79">
        <f t="shared" si="3234"/>
        <v>3085</v>
      </c>
      <c r="R483" s="79">
        <f t="shared" si="3234"/>
        <v>2522</v>
      </c>
      <c r="S483" s="79">
        <f t="shared" si="3234"/>
        <v>3330</v>
      </c>
      <c r="T483" s="79">
        <f t="shared" si="3234"/>
        <v>4041</v>
      </c>
      <c r="U483" s="79">
        <f t="shared" si="3234"/>
        <v>4342</v>
      </c>
      <c r="V483" s="79">
        <f t="shared" si="3234"/>
        <v>4609</v>
      </c>
      <c r="W483" s="79">
        <f t="shared" si="3234"/>
        <v>4879</v>
      </c>
      <c r="X483" s="79">
        <f t="shared" si="3234"/>
        <v>4958</v>
      </c>
      <c r="Y483" s="79">
        <f t="shared" ref="Y483:Z486" si="3235">Y454+Y472</f>
        <v>4907</v>
      </c>
      <c r="Z483" s="79">
        <f t="shared" si="3235"/>
        <v>5206</v>
      </c>
      <c r="AA483" s="79">
        <f t="shared" si="3234"/>
        <v>5523</v>
      </c>
      <c r="AB483" s="79">
        <f t="shared" si="3234"/>
        <v>5940</v>
      </c>
      <c r="AC483" s="79">
        <f t="shared" si="3234"/>
        <v>6009</v>
      </c>
      <c r="AD483" s="79">
        <f t="shared" si="3234"/>
        <v>6373</v>
      </c>
      <c r="AE483" s="79">
        <f t="shared" ref="AE483:AF486" si="3236">AE454+AE472</f>
        <v>6224</v>
      </c>
      <c r="AF483" s="79">
        <f t="shared" si="3236"/>
        <v>6646</v>
      </c>
      <c r="AG483" s="79">
        <f t="shared" si="3234"/>
        <v>6411</v>
      </c>
      <c r="AH483" s="79">
        <f t="shared" ref="AH483:AK486" si="3237">AH454+AH472</f>
        <v>6762</v>
      </c>
      <c r="AI483" s="79">
        <f t="shared" si="3237"/>
        <v>6762</v>
      </c>
      <c r="AJ483" s="79">
        <f t="shared" si="3237"/>
        <v>6597</v>
      </c>
      <c r="AK483" s="79">
        <f t="shared" si="3237"/>
        <v>6251</v>
      </c>
      <c r="AL483" s="79">
        <f t="shared" ref="AL483:AO483" si="3238">AL454+AL472</f>
        <v>6318.7162288178552</v>
      </c>
      <c r="AM483" s="79">
        <f t="shared" si="3238"/>
        <v>5235.2837711821476</v>
      </c>
      <c r="AN483" s="79">
        <f t="shared" si="3238"/>
        <v>6121</v>
      </c>
      <c r="AO483" s="79">
        <f t="shared" si="3238"/>
        <v>4126</v>
      </c>
      <c r="AP483" s="79">
        <f t="shared" ref="AP483:AQ483" si="3239">AP454+AP472</f>
        <v>5488</v>
      </c>
      <c r="AQ483" s="79">
        <f t="shared" si="3239"/>
        <v>6755</v>
      </c>
      <c r="AR483" s="79">
        <f t="shared" ref="AR483" si="3240">AR454+AR472</f>
        <v>6692</v>
      </c>
      <c r="AS483" s="79">
        <f t="shared" ref="AS483:AT483" si="3241">AS454+AS472</f>
        <v>6926</v>
      </c>
      <c r="AT483" s="79">
        <f t="shared" si="3241"/>
        <v>7339</v>
      </c>
      <c r="AU483" s="79">
        <f t="shared" ref="AU483:AV483" si="3242">AU454+AU472</f>
        <v>6830</v>
      </c>
      <c r="AV483" s="79">
        <f t="shared" si="3242"/>
        <v>7223</v>
      </c>
      <c r="AW483" s="79">
        <f t="shared" ref="AW483:AX483" si="3243">AW454+AW472</f>
        <v>6931</v>
      </c>
      <c r="AX483" s="79">
        <f t="shared" si="3243"/>
        <v>7405</v>
      </c>
      <c r="AY483" s="79">
        <f t="shared" ref="AY483:BE483" si="3244">AY454+AY472</f>
        <v>7337.9999999999982</v>
      </c>
      <c r="AZ483" s="80">
        <f t="shared" si="3244"/>
        <v>7812</v>
      </c>
      <c r="BA483" s="79">
        <f t="shared" si="3244"/>
        <v>8002.3955388772929</v>
      </c>
      <c r="BB483" s="79">
        <f t="shared" si="3244"/>
        <v>8226.6170380766271</v>
      </c>
      <c r="BC483" s="79">
        <f t="shared" si="3244"/>
        <v>8209.7995062786304</v>
      </c>
      <c r="BD483" s="79">
        <f t="shared" si="3244"/>
        <v>8275.3879079530743</v>
      </c>
      <c r="BE483" s="79">
        <f t="shared" si="3244"/>
        <v>8514.1983609527724</v>
      </c>
      <c r="BF483" s="79">
        <f t="shared" ref="BF483:BI486" si="3245">BF454+BF472</f>
        <v>8792.8959547187769</v>
      </c>
      <c r="BG483" s="79">
        <f t="shared" si="3245"/>
        <v>8954.8330315088533</v>
      </c>
      <c r="BH483" s="79">
        <f t="shared" si="3245"/>
        <v>9189.092141021014</v>
      </c>
      <c r="BI483" s="79">
        <f t="shared" si="3245"/>
        <v>9219.4826141939302</v>
      </c>
      <c r="BJ483" s="79">
        <f t="shared" ref="BJ483:BM486" si="3246">BJ454+BJ472</f>
        <v>9308.9950714056995</v>
      </c>
      <c r="BK483" s="79">
        <f t="shared" si="3246"/>
        <v>9150.6386179219007</v>
      </c>
      <c r="BL483" s="79">
        <f t="shared" si="3246"/>
        <v>9313.5320458557435</v>
      </c>
      <c r="BM483" s="79">
        <f t="shared" si="3246"/>
        <v>9306.5954529546707</v>
      </c>
      <c r="BN483" s="79">
        <f t="shared" ref="BN483:BO483" si="3247">BN454+BN472</f>
        <v>9590.8676228326785</v>
      </c>
      <c r="BO483" s="79">
        <f t="shared" si="3247"/>
        <v>9572.960634241872</v>
      </c>
      <c r="BP483" s="79">
        <f t="shared" ref="BP483:BQ483" si="3248">BP454+BP472</f>
        <v>9897.2587981890301</v>
      </c>
      <c r="BQ483" s="79">
        <f t="shared" si="3248"/>
        <v>9879.3288019618522</v>
      </c>
      <c r="BR483" s="79"/>
      <c r="BS483" s="79">
        <f t="shared" ref="BS483:CB486" si="3249">BS454+BS472</f>
        <v>661</v>
      </c>
      <c r="BT483" s="79">
        <f t="shared" si="3249"/>
        <v>945</v>
      </c>
      <c r="BU483" s="79">
        <f t="shared" si="3249"/>
        <v>1054</v>
      </c>
      <c r="BV483" s="79">
        <f t="shared" si="3249"/>
        <v>1523</v>
      </c>
      <c r="BW483" s="79">
        <f t="shared" si="3249"/>
        <v>1776</v>
      </c>
      <c r="BX483" s="79">
        <f t="shared" si="3249"/>
        <v>1859</v>
      </c>
      <c r="BY483" s="79">
        <f t="shared" si="3249"/>
        <v>1958</v>
      </c>
      <c r="BZ483" s="79">
        <f t="shared" si="3249"/>
        <v>2207</v>
      </c>
      <c r="CA483" s="79">
        <f t="shared" si="3249"/>
        <v>2536</v>
      </c>
      <c r="CB483" s="79">
        <f t="shared" si="3249"/>
        <v>3269</v>
      </c>
      <c r="CC483" s="79">
        <f t="shared" ref="CC483:CR483" si="3250">CC454+CC472</f>
        <v>3418</v>
      </c>
      <c r="CD483" s="79">
        <f t="shared" si="3250"/>
        <v>3543</v>
      </c>
      <c r="CE483" s="79">
        <f t="shared" si="3250"/>
        <v>3966</v>
      </c>
      <c r="CF483" s="79">
        <f t="shared" si="3250"/>
        <v>4911</v>
      </c>
      <c r="CG483" s="79">
        <f t="shared" si="3250"/>
        <v>5689</v>
      </c>
      <c r="CH483" s="79">
        <f t="shared" si="3250"/>
        <v>6336</v>
      </c>
      <c r="CI483" s="79">
        <f t="shared" si="3250"/>
        <v>6390</v>
      </c>
      <c r="CJ483" s="79">
        <f t="shared" si="3250"/>
        <v>5852</v>
      </c>
      <c r="CK483" s="79">
        <f t="shared" si="3250"/>
        <v>8383</v>
      </c>
      <c r="CL483" s="79">
        <f t="shared" si="3250"/>
        <v>9488</v>
      </c>
      <c r="CM483" s="79">
        <f t="shared" si="3250"/>
        <v>9865</v>
      </c>
      <c r="CN483" s="79">
        <f t="shared" si="3250"/>
        <v>10729</v>
      </c>
      <c r="CO483" s="79">
        <f t="shared" si="3250"/>
        <v>11949</v>
      </c>
      <c r="CP483" s="79">
        <f t="shared" si="3250"/>
        <v>12597</v>
      </c>
      <c r="CQ483" s="79">
        <f t="shared" si="3250"/>
        <v>13057</v>
      </c>
      <c r="CR483" s="79">
        <f t="shared" si="3250"/>
        <v>13524</v>
      </c>
      <c r="CS483" s="79">
        <f t="shared" ref="CS483:DC483" si="3251">CS454+CS472</f>
        <v>12848</v>
      </c>
      <c r="CT483" s="79">
        <f t="shared" si="3251"/>
        <v>11554</v>
      </c>
      <c r="CU483" s="79">
        <f t="shared" si="3251"/>
        <v>10247</v>
      </c>
      <c r="CV483" s="79">
        <f t="shared" si="3251"/>
        <v>12243</v>
      </c>
      <c r="CW483" s="79">
        <f t="shared" si="3251"/>
        <v>13618</v>
      </c>
      <c r="CX483" s="79">
        <f t="shared" si="3251"/>
        <v>14169</v>
      </c>
      <c r="CY483" s="79">
        <f t="shared" si="3251"/>
        <v>14154</v>
      </c>
      <c r="CZ483" s="80">
        <f t="shared" si="3251"/>
        <v>14743</v>
      </c>
      <c r="DA483" s="79">
        <f t="shared" si="3251"/>
        <v>15814.39553887729</v>
      </c>
      <c r="DB483" s="79">
        <f t="shared" si="3251"/>
        <v>16436.416544355259</v>
      </c>
      <c r="DC483" s="79">
        <f t="shared" si="3251"/>
        <v>16789.586268905849</v>
      </c>
      <c r="DD483" s="79">
        <f t="shared" ref="DD483:DE486" si="3252">DD454+DD472</f>
        <v>17747.728986227623</v>
      </c>
      <c r="DE483" s="79">
        <f t="shared" si="3252"/>
        <v>18408.574755214941</v>
      </c>
      <c r="DF483" s="79">
        <f>DF454+DF472</f>
        <v>18459.633689327606</v>
      </c>
      <c r="DG483" s="79">
        <f t="shared" ref="DG483:DG486" si="3253">DG454+DG472</f>
        <v>18620.127498810416</v>
      </c>
      <c r="DH483" s="79">
        <f t="shared" ref="DH483:DI486" si="3254">DH454+DH472</f>
        <v>19163.828257074547</v>
      </c>
      <c r="DI483" s="79">
        <f t="shared" si="3254"/>
        <v>19776.58760015088</v>
      </c>
    </row>
    <row r="484" spans="1:113" outlineLevel="2">
      <c r="A484" s="1" t="s">
        <v>107</v>
      </c>
      <c r="B484" s="19" t="s">
        <v>854</v>
      </c>
      <c r="C484" s="55">
        <f t="shared" si="3233"/>
        <v>0</v>
      </c>
      <c r="D484" s="55">
        <f t="shared" si="3233"/>
        <v>0</v>
      </c>
      <c r="E484" s="55">
        <f t="shared" si="3233"/>
        <v>0</v>
      </c>
      <c r="F484" s="55">
        <f t="shared" si="3233"/>
        <v>0</v>
      </c>
      <c r="G484" s="55">
        <f t="shared" si="3233"/>
        <v>0</v>
      </c>
      <c r="H484" s="55">
        <f t="shared" si="3233"/>
        <v>0</v>
      </c>
      <c r="I484" s="55">
        <f t="shared" si="3233"/>
        <v>0</v>
      </c>
      <c r="J484" s="55">
        <f t="shared" si="3233"/>
        <v>0</v>
      </c>
      <c r="K484" s="55">
        <f t="shared" si="3233"/>
        <v>0</v>
      </c>
      <c r="L484" s="55">
        <f t="shared" si="3233"/>
        <v>0</v>
      </c>
      <c r="M484" s="55">
        <f t="shared" ref="M484:AG484" si="3255">M455+M473</f>
        <v>0</v>
      </c>
      <c r="N484" s="55">
        <f t="shared" si="3255"/>
        <v>0</v>
      </c>
      <c r="O484" s="55">
        <f t="shared" si="3255"/>
        <v>0</v>
      </c>
      <c r="P484" s="55">
        <f t="shared" si="3255"/>
        <v>0</v>
      </c>
      <c r="Q484" s="55">
        <f t="shared" si="3255"/>
        <v>0</v>
      </c>
      <c r="R484" s="55">
        <f t="shared" si="3255"/>
        <v>0</v>
      </c>
      <c r="S484" s="55">
        <f t="shared" si="3255"/>
        <v>0</v>
      </c>
      <c r="T484" s="55">
        <f t="shared" si="3255"/>
        <v>0</v>
      </c>
      <c r="U484" s="55">
        <f t="shared" si="3255"/>
        <v>0</v>
      </c>
      <c r="V484" s="55">
        <f t="shared" si="3255"/>
        <v>0</v>
      </c>
      <c r="W484" s="55">
        <f t="shared" si="3255"/>
        <v>0</v>
      </c>
      <c r="X484" s="55">
        <f t="shared" si="3255"/>
        <v>0</v>
      </c>
      <c r="Y484" s="55">
        <f t="shared" si="3235"/>
        <v>0</v>
      </c>
      <c r="Z484" s="55">
        <f t="shared" si="3235"/>
        <v>0</v>
      </c>
      <c r="AA484" s="55">
        <f t="shared" si="3255"/>
        <v>0</v>
      </c>
      <c r="AB484" s="55">
        <f t="shared" si="3255"/>
        <v>0</v>
      </c>
      <c r="AC484" s="55">
        <f t="shared" si="3255"/>
        <v>0</v>
      </c>
      <c r="AD484" s="55">
        <f t="shared" si="3255"/>
        <v>0</v>
      </c>
      <c r="AE484" s="55">
        <f t="shared" si="3236"/>
        <v>0</v>
      </c>
      <c r="AF484" s="55">
        <f t="shared" si="3236"/>
        <v>0</v>
      </c>
      <c r="AG484" s="55">
        <f t="shared" si="3255"/>
        <v>0</v>
      </c>
      <c r="AH484" s="55">
        <f t="shared" si="3237"/>
        <v>0</v>
      </c>
      <c r="AI484" s="55">
        <f t="shared" si="3237"/>
        <v>0</v>
      </c>
      <c r="AJ484" s="55">
        <f t="shared" si="3237"/>
        <v>0</v>
      </c>
      <c r="AK484" s="55">
        <f t="shared" si="3237"/>
        <v>0</v>
      </c>
      <c r="AL484" s="55">
        <f t="shared" ref="AL484:AM486" si="3256">AL455+AL473</f>
        <v>0</v>
      </c>
      <c r="AM484" s="55">
        <f t="shared" si="3256"/>
        <v>0</v>
      </c>
      <c r="AN484" s="55">
        <f t="shared" ref="AN484:AO486" si="3257">AN455+AN473</f>
        <v>0</v>
      </c>
      <c r="AO484" s="55">
        <f t="shared" si="3257"/>
        <v>0</v>
      </c>
      <c r="AP484" s="55">
        <f t="shared" ref="AP484:AQ484" si="3258">AP455+AP473</f>
        <v>0</v>
      </c>
      <c r="AQ484" s="55">
        <f t="shared" si="3258"/>
        <v>0</v>
      </c>
      <c r="AR484" s="55">
        <f t="shared" ref="AR484" si="3259">AR455+AR473</f>
        <v>0</v>
      </c>
      <c r="AS484" s="55">
        <f t="shared" ref="AS484:AT484" si="3260">AS455+AS473</f>
        <v>0</v>
      </c>
      <c r="AT484" s="55">
        <f t="shared" si="3260"/>
        <v>0</v>
      </c>
      <c r="AU484" s="55">
        <f t="shared" ref="AU484:AV484" si="3261">AU455+AU473</f>
        <v>0</v>
      </c>
      <c r="AV484" s="55">
        <f t="shared" si="3261"/>
        <v>0</v>
      </c>
      <c r="AW484" s="55">
        <f t="shared" ref="AW484:AX484" si="3262">AW455+AW473</f>
        <v>0</v>
      </c>
      <c r="AX484" s="55">
        <f t="shared" si="3262"/>
        <v>0</v>
      </c>
      <c r="AY484" s="55">
        <f t="shared" ref="AY484:BE484" si="3263">AY455+AY473</f>
        <v>0</v>
      </c>
      <c r="AZ484" s="56">
        <f t="shared" si="3263"/>
        <v>0</v>
      </c>
      <c r="BA484" s="55">
        <f t="shared" si="3263"/>
        <v>0</v>
      </c>
      <c r="BB484" s="55">
        <f t="shared" si="3263"/>
        <v>0</v>
      </c>
      <c r="BC484" s="55">
        <f t="shared" si="3263"/>
        <v>0</v>
      </c>
      <c r="BD484" s="55">
        <f t="shared" si="3263"/>
        <v>0</v>
      </c>
      <c r="BE484" s="55">
        <f t="shared" si="3263"/>
        <v>0</v>
      </c>
      <c r="BF484" s="55">
        <f t="shared" si="3245"/>
        <v>0</v>
      </c>
      <c r="BG484" s="55">
        <f t="shared" si="3245"/>
        <v>0</v>
      </c>
      <c r="BH484" s="55">
        <f t="shared" si="3245"/>
        <v>0</v>
      </c>
      <c r="BI484" s="55">
        <f t="shared" si="3245"/>
        <v>0</v>
      </c>
      <c r="BJ484" s="55">
        <f t="shared" ref="BJ484:BK484" si="3264">BJ455+BJ473</f>
        <v>0</v>
      </c>
      <c r="BK484" s="55">
        <f t="shared" si="3264"/>
        <v>0</v>
      </c>
      <c r="BL484" s="55">
        <f t="shared" si="3246"/>
        <v>0</v>
      </c>
      <c r="BM484" s="55">
        <f t="shared" si="3246"/>
        <v>0</v>
      </c>
      <c r="BN484" s="55">
        <f t="shared" ref="BN484:BO484" si="3265">BN455+BN473</f>
        <v>0</v>
      </c>
      <c r="BO484" s="55">
        <f t="shared" si="3265"/>
        <v>0</v>
      </c>
      <c r="BP484" s="55">
        <f t="shared" ref="BP484:BQ484" si="3266">BP455+BP473</f>
        <v>0</v>
      </c>
      <c r="BQ484" s="55">
        <f t="shared" si="3266"/>
        <v>0</v>
      </c>
      <c r="BR484" s="55"/>
      <c r="BS484" s="55">
        <f t="shared" si="3249"/>
        <v>0</v>
      </c>
      <c r="BT484" s="55">
        <f t="shared" si="3249"/>
        <v>0</v>
      </c>
      <c r="BU484" s="55">
        <f t="shared" si="3249"/>
        <v>0</v>
      </c>
      <c r="BV484" s="55">
        <f t="shared" si="3249"/>
        <v>0</v>
      </c>
      <c r="BW484" s="55">
        <f t="shared" si="3249"/>
        <v>0</v>
      </c>
      <c r="BX484" s="55">
        <f t="shared" si="3249"/>
        <v>0</v>
      </c>
      <c r="BY484" s="55">
        <f t="shared" si="3249"/>
        <v>0</v>
      </c>
      <c r="BZ484" s="55">
        <f t="shared" si="3249"/>
        <v>0</v>
      </c>
      <c r="CA484" s="55">
        <f t="shared" si="3249"/>
        <v>0</v>
      </c>
      <c r="CB484" s="55">
        <f t="shared" si="3249"/>
        <v>0</v>
      </c>
      <c r="CC484" s="55">
        <f t="shared" ref="CC484:CR484" si="3267">CC455+CC473</f>
        <v>0</v>
      </c>
      <c r="CD484" s="55">
        <f t="shared" si="3267"/>
        <v>0</v>
      </c>
      <c r="CE484" s="55">
        <f t="shared" si="3267"/>
        <v>0</v>
      </c>
      <c r="CF484" s="55">
        <f t="shared" si="3267"/>
        <v>0</v>
      </c>
      <c r="CG484" s="55">
        <f t="shared" si="3267"/>
        <v>0</v>
      </c>
      <c r="CH484" s="55">
        <f t="shared" si="3267"/>
        <v>0</v>
      </c>
      <c r="CI484" s="55">
        <f t="shared" si="3267"/>
        <v>0</v>
      </c>
      <c r="CJ484" s="55">
        <f t="shared" si="3267"/>
        <v>0</v>
      </c>
      <c r="CK484" s="55">
        <f t="shared" si="3267"/>
        <v>0</v>
      </c>
      <c r="CL484" s="55">
        <f t="shared" si="3267"/>
        <v>0</v>
      </c>
      <c r="CM484" s="55">
        <f t="shared" si="3267"/>
        <v>0</v>
      </c>
      <c r="CN484" s="55">
        <f t="shared" si="3267"/>
        <v>0</v>
      </c>
      <c r="CO484" s="55">
        <f t="shared" si="3267"/>
        <v>0</v>
      </c>
      <c r="CP484" s="55">
        <f t="shared" si="3267"/>
        <v>0</v>
      </c>
      <c r="CQ484" s="55">
        <f t="shared" si="3267"/>
        <v>0</v>
      </c>
      <c r="CR484" s="55">
        <f t="shared" si="3267"/>
        <v>0</v>
      </c>
      <c r="CS484" s="55">
        <f t="shared" ref="CS484:DC484" si="3268">CS455+CS473</f>
        <v>0</v>
      </c>
      <c r="CT484" s="55">
        <f t="shared" si="3268"/>
        <v>0</v>
      </c>
      <c r="CU484" s="55">
        <f t="shared" si="3268"/>
        <v>0</v>
      </c>
      <c r="CV484" s="55">
        <f t="shared" si="3268"/>
        <v>0</v>
      </c>
      <c r="CW484" s="55">
        <f t="shared" si="3268"/>
        <v>0</v>
      </c>
      <c r="CX484" s="55">
        <f t="shared" si="3268"/>
        <v>0</v>
      </c>
      <c r="CY484" s="55">
        <f t="shared" si="3268"/>
        <v>0</v>
      </c>
      <c r="CZ484" s="56">
        <f t="shared" si="3268"/>
        <v>0</v>
      </c>
      <c r="DA484" s="55">
        <f t="shared" si="3268"/>
        <v>0</v>
      </c>
      <c r="DB484" s="55">
        <f t="shared" si="3268"/>
        <v>0</v>
      </c>
      <c r="DC484" s="55">
        <f t="shared" si="3268"/>
        <v>0</v>
      </c>
      <c r="DD484" s="55">
        <f t="shared" si="3252"/>
        <v>0</v>
      </c>
      <c r="DE484" s="55">
        <f t="shared" si="3252"/>
        <v>0</v>
      </c>
      <c r="DF484" s="55">
        <f>DF455+DF473</f>
        <v>0</v>
      </c>
      <c r="DG484" s="55">
        <f t="shared" si="3253"/>
        <v>0</v>
      </c>
      <c r="DH484" s="55">
        <f t="shared" si="3254"/>
        <v>0</v>
      </c>
      <c r="DI484" s="55">
        <f t="shared" si="3254"/>
        <v>0</v>
      </c>
    </row>
    <row r="485" spans="1:113" outlineLevel="2">
      <c r="A485" s="1" t="s">
        <v>181</v>
      </c>
      <c r="B485" s="19" t="s">
        <v>445</v>
      </c>
      <c r="C485" s="55">
        <f t="shared" si="3233"/>
        <v>0</v>
      </c>
      <c r="D485" s="55">
        <f t="shared" si="3233"/>
        <v>0</v>
      </c>
      <c r="E485" s="55">
        <f t="shared" si="3233"/>
        <v>0</v>
      </c>
      <c r="F485" s="55">
        <f t="shared" si="3233"/>
        <v>0</v>
      </c>
      <c r="G485" s="55">
        <f t="shared" si="3233"/>
        <v>0</v>
      </c>
      <c r="H485" s="55">
        <f t="shared" si="3233"/>
        <v>0</v>
      </c>
      <c r="I485" s="55">
        <f t="shared" si="3233"/>
        <v>0</v>
      </c>
      <c r="J485" s="55">
        <f t="shared" si="3233"/>
        <v>0</v>
      </c>
      <c r="K485" s="55">
        <f t="shared" si="3233"/>
        <v>0</v>
      </c>
      <c r="L485" s="55">
        <f t="shared" si="3233"/>
        <v>0</v>
      </c>
      <c r="M485" s="55">
        <f t="shared" ref="M485:AG485" si="3269">M456+M474</f>
        <v>0</v>
      </c>
      <c r="N485" s="55">
        <f t="shared" si="3269"/>
        <v>0</v>
      </c>
      <c r="O485" s="55">
        <f t="shared" si="3269"/>
        <v>0</v>
      </c>
      <c r="P485" s="55">
        <f t="shared" si="3269"/>
        <v>0</v>
      </c>
      <c r="Q485" s="55">
        <f t="shared" si="3269"/>
        <v>0</v>
      </c>
      <c r="R485" s="55">
        <f t="shared" si="3269"/>
        <v>0</v>
      </c>
      <c r="S485" s="55">
        <f t="shared" si="3269"/>
        <v>0</v>
      </c>
      <c r="T485" s="55">
        <f t="shared" si="3269"/>
        <v>0</v>
      </c>
      <c r="U485" s="55">
        <f t="shared" si="3269"/>
        <v>0</v>
      </c>
      <c r="V485" s="55">
        <f t="shared" si="3269"/>
        <v>0</v>
      </c>
      <c r="W485" s="55">
        <f t="shared" si="3269"/>
        <v>0</v>
      </c>
      <c r="X485" s="55">
        <f t="shared" si="3269"/>
        <v>0</v>
      </c>
      <c r="Y485" s="55">
        <f t="shared" si="3235"/>
        <v>0</v>
      </c>
      <c r="Z485" s="55">
        <f t="shared" si="3235"/>
        <v>0</v>
      </c>
      <c r="AA485" s="55">
        <f t="shared" si="3269"/>
        <v>0</v>
      </c>
      <c r="AB485" s="55">
        <f t="shared" si="3269"/>
        <v>0</v>
      </c>
      <c r="AC485" s="55">
        <f t="shared" si="3269"/>
        <v>0</v>
      </c>
      <c r="AD485" s="55">
        <f t="shared" si="3269"/>
        <v>0</v>
      </c>
      <c r="AE485" s="55">
        <f t="shared" si="3236"/>
        <v>0</v>
      </c>
      <c r="AF485" s="55">
        <f t="shared" si="3236"/>
        <v>0</v>
      </c>
      <c r="AG485" s="55">
        <f t="shared" si="3269"/>
        <v>0</v>
      </c>
      <c r="AH485" s="55">
        <f t="shared" si="3237"/>
        <v>0</v>
      </c>
      <c r="AI485" s="55">
        <f t="shared" si="3237"/>
        <v>0</v>
      </c>
      <c r="AJ485" s="55">
        <f t="shared" si="3237"/>
        <v>0</v>
      </c>
      <c r="AK485" s="55">
        <f t="shared" si="3237"/>
        <v>0</v>
      </c>
      <c r="AL485" s="55">
        <f t="shared" si="3256"/>
        <v>0</v>
      </c>
      <c r="AM485" s="55">
        <f t="shared" si="3256"/>
        <v>0</v>
      </c>
      <c r="AN485" s="55">
        <f t="shared" si="3257"/>
        <v>0</v>
      </c>
      <c r="AO485" s="55">
        <f t="shared" si="3257"/>
        <v>0</v>
      </c>
      <c r="AP485" s="55">
        <f t="shared" ref="AP485:AQ485" si="3270">AP456+AP474</f>
        <v>0</v>
      </c>
      <c r="AQ485" s="55">
        <f t="shared" si="3270"/>
        <v>0</v>
      </c>
      <c r="AR485" s="55">
        <f t="shared" ref="AR485" si="3271">AR456+AR474</f>
        <v>0</v>
      </c>
      <c r="AS485" s="55">
        <f t="shared" ref="AS485:AT485" si="3272">AS456+AS474</f>
        <v>0</v>
      </c>
      <c r="AT485" s="55">
        <f t="shared" si="3272"/>
        <v>0</v>
      </c>
      <c r="AU485" s="55">
        <f t="shared" ref="AU485:AV485" si="3273">AU456+AU474</f>
        <v>0</v>
      </c>
      <c r="AV485" s="55">
        <f t="shared" si="3273"/>
        <v>0</v>
      </c>
      <c r="AW485" s="55">
        <f t="shared" ref="AW485:AX485" si="3274">AW456+AW474</f>
        <v>0</v>
      </c>
      <c r="AX485" s="55">
        <f t="shared" si="3274"/>
        <v>0</v>
      </c>
      <c r="AY485" s="55">
        <f t="shared" ref="AY485:BE485" si="3275">AY456+AY474</f>
        <v>0</v>
      </c>
      <c r="AZ485" s="56">
        <f t="shared" si="3275"/>
        <v>0</v>
      </c>
      <c r="BA485" s="55">
        <f t="shared" si="3275"/>
        <v>0</v>
      </c>
      <c r="BB485" s="55">
        <f t="shared" si="3275"/>
        <v>0</v>
      </c>
      <c r="BC485" s="55">
        <f t="shared" si="3275"/>
        <v>0</v>
      </c>
      <c r="BD485" s="55">
        <f t="shared" si="3275"/>
        <v>0</v>
      </c>
      <c r="BE485" s="55">
        <f t="shared" si="3275"/>
        <v>0</v>
      </c>
      <c r="BF485" s="55">
        <f t="shared" si="3245"/>
        <v>0</v>
      </c>
      <c r="BG485" s="55">
        <f t="shared" si="3245"/>
        <v>0</v>
      </c>
      <c r="BH485" s="55">
        <f t="shared" si="3245"/>
        <v>0</v>
      </c>
      <c r="BI485" s="55">
        <f t="shared" si="3245"/>
        <v>0</v>
      </c>
      <c r="BJ485" s="55">
        <f t="shared" ref="BJ485:BK485" si="3276">BJ456+BJ474</f>
        <v>0</v>
      </c>
      <c r="BK485" s="55">
        <f t="shared" si="3276"/>
        <v>0</v>
      </c>
      <c r="BL485" s="55">
        <f t="shared" si="3246"/>
        <v>0</v>
      </c>
      <c r="BM485" s="55">
        <f t="shared" si="3246"/>
        <v>0</v>
      </c>
      <c r="BN485" s="55">
        <f t="shared" ref="BN485:BO485" si="3277">BN456+BN474</f>
        <v>0</v>
      </c>
      <c r="BO485" s="55">
        <f t="shared" si="3277"/>
        <v>0</v>
      </c>
      <c r="BP485" s="55">
        <f t="shared" ref="BP485:BQ485" si="3278">BP456+BP474</f>
        <v>0</v>
      </c>
      <c r="BQ485" s="55">
        <f t="shared" si="3278"/>
        <v>0</v>
      </c>
      <c r="BR485" s="55"/>
      <c r="BS485" s="55">
        <f t="shared" si="3249"/>
        <v>0</v>
      </c>
      <c r="BT485" s="55">
        <f t="shared" si="3249"/>
        <v>0</v>
      </c>
      <c r="BU485" s="55">
        <f t="shared" si="3249"/>
        <v>0</v>
      </c>
      <c r="BV485" s="55">
        <f t="shared" si="3249"/>
        <v>0</v>
      </c>
      <c r="BW485" s="55">
        <f t="shared" si="3249"/>
        <v>0</v>
      </c>
      <c r="BX485" s="55">
        <f t="shared" si="3249"/>
        <v>0</v>
      </c>
      <c r="BY485" s="55">
        <f t="shared" si="3249"/>
        <v>0</v>
      </c>
      <c r="BZ485" s="55">
        <f t="shared" si="3249"/>
        <v>0</v>
      </c>
      <c r="CA485" s="55">
        <f t="shared" si="3249"/>
        <v>0</v>
      </c>
      <c r="CB485" s="55">
        <f t="shared" si="3249"/>
        <v>0</v>
      </c>
      <c r="CC485" s="55">
        <f t="shared" ref="CC485:CR485" si="3279">CC456+CC474</f>
        <v>0</v>
      </c>
      <c r="CD485" s="55">
        <f t="shared" si="3279"/>
        <v>0</v>
      </c>
      <c r="CE485" s="55">
        <f t="shared" si="3279"/>
        <v>0</v>
      </c>
      <c r="CF485" s="55">
        <f t="shared" si="3279"/>
        <v>0</v>
      </c>
      <c r="CG485" s="55">
        <f t="shared" si="3279"/>
        <v>0</v>
      </c>
      <c r="CH485" s="55">
        <f t="shared" si="3279"/>
        <v>0</v>
      </c>
      <c r="CI485" s="55">
        <f t="shared" si="3279"/>
        <v>0</v>
      </c>
      <c r="CJ485" s="55">
        <f t="shared" si="3279"/>
        <v>0</v>
      </c>
      <c r="CK485" s="55">
        <f t="shared" si="3279"/>
        <v>0</v>
      </c>
      <c r="CL485" s="55">
        <f t="shared" si="3279"/>
        <v>0</v>
      </c>
      <c r="CM485" s="55">
        <f t="shared" si="3279"/>
        <v>0</v>
      </c>
      <c r="CN485" s="55">
        <f t="shared" si="3279"/>
        <v>0</v>
      </c>
      <c r="CO485" s="55">
        <f t="shared" si="3279"/>
        <v>0</v>
      </c>
      <c r="CP485" s="55">
        <f t="shared" si="3279"/>
        <v>0</v>
      </c>
      <c r="CQ485" s="55">
        <f t="shared" si="3279"/>
        <v>0</v>
      </c>
      <c r="CR485" s="55">
        <f t="shared" si="3279"/>
        <v>0</v>
      </c>
      <c r="CS485" s="55">
        <f t="shared" ref="CS485:DC485" si="3280">CS456+CS474</f>
        <v>0</v>
      </c>
      <c r="CT485" s="55">
        <f t="shared" si="3280"/>
        <v>0</v>
      </c>
      <c r="CU485" s="55">
        <f t="shared" si="3280"/>
        <v>0</v>
      </c>
      <c r="CV485" s="55">
        <f t="shared" si="3280"/>
        <v>0</v>
      </c>
      <c r="CW485" s="55">
        <f t="shared" si="3280"/>
        <v>0</v>
      </c>
      <c r="CX485" s="55">
        <f t="shared" si="3280"/>
        <v>0</v>
      </c>
      <c r="CY485" s="55">
        <f t="shared" si="3280"/>
        <v>0</v>
      </c>
      <c r="CZ485" s="56">
        <f t="shared" si="3280"/>
        <v>0</v>
      </c>
      <c r="DA485" s="55">
        <f t="shared" si="3280"/>
        <v>0</v>
      </c>
      <c r="DB485" s="55">
        <f t="shared" si="3280"/>
        <v>0</v>
      </c>
      <c r="DC485" s="55">
        <f t="shared" si="3280"/>
        <v>0</v>
      </c>
      <c r="DD485" s="55">
        <f t="shared" si="3252"/>
        <v>0</v>
      </c>
      <c r="DE485" s="55">
        <f t="shared" si="3252"/>
        <v>0</v>
      </c>
      <c r="DF485" s="55">
        <f>DF456+DF474</f>
        <v>0</v>
      </c>
      <c r="DG485" s="55">
        <f t="shared" si="3253"/>
        <v>0</v>
      </c>
      <c r="DH485" s="55">
        <f t="shared" si="3254"/>
        <v>0</v>
      </c>
      <c r="DI485" s="55">
        <f t="shared" si="3254"/>
        <v>0</v>
      </c>
    </row>
    <row r="486" spans="1:113" outlineLevel="2">
      <c r="A486" s="1" t="s">
        <v>282</v>
      </c>
      <c r="B486" s="19" t="s">
        <v>369</v>
      </c>
      <c r="C486" s="55">
        <f t="shared" si="3233"/>
        <v>0</v>
      </c>
      <c r="D486" s="55">
        <f t="shared" si="3233"/>
        <v>0</v>
      </c>
      <c r="E486" s="55">
        <f t="shared" si="3233"/>
        <v>0</v>
      </c>
      <c r="F486" s="55">
        <f t="shared" si="3233"/>
        <v>0</v>
      </c>
      <c r="G486" s="55">
        <f t="shared" si="3233"/>
        <v>0</v>
      </c>
      <c r="H486" s="55">
        <f t="shared" si="3233"/>
        <v>0</v>
      </c>
      <c r="I486" s="55">
        <f t="shared" si="3233"/>
        <v>0</v>
      </c>
      <c r="J486" s="55">
        <f t="shared" si="3233"/>
        <v>0</v>
      </c>
      <c r="K486" s="55">
        <f t="shared" si="3233"/>
        <v>0</v>
      </c>
      <c r="L486" s="55">
        <f t="shared" si="3233"/>
        <v>0</v>
      </c>
      <c r="M486" s="55">
        <f t="shared" ref="M486:AG486" si="3281">M457+M475</f>
        <v>0</v>
      </c>
      <c r="N486" s="55">
        <f t="shared" si="3281"/>
        <v>0</v>
      </c>
      <c r="O486" s="55">
        <f t="shared" si="3281"/>
        <v>0</v>
      </c>
      <c r="P486" s="55">
        <f t="shared" si="3281"/>
        <v>0</v>
      </c>
      <c r="Q486" s="55">
        <f t="shared" si="3281"/>
        <v>0</v>
      </c>
      <c r="R486" s="55">
        <f t="shared" si="3281"/>
        <v>0</v>
      </c>
      <c r="S486" s="55">
        <f t="shared" si="3281"/>
        <v>0</v>
      </c>
      <c r="T486" s="55">
        <f t="shared" si="3281"/>
        <v>0</v>
      </c>
      <c r="U486" s="55">
        <f t="shared" si="3281"/>
        <v>0</v>
      </c>
      <c r="V486" s="55">
        <f t="shared" si="3281"/>
        <v>0</v>
      </c>
      <c r="W486" s="55">
        <f t="shared" si="3281"/>
        <v>0</v>
      </c>
      <c r="X486" s="55">
        <f t="shared" si="3281"/>
        <v>0</v>
      </c>
      <c r="Y486" s="55">
        <f t="shared" si="3235"/>
        <v>0</v>
      </c>
      <c r="Z486" s="55">
        <f t="shared" si="3235"/>
        <v>0</v>
      </c>
      <c r="AA486" s="55">
        <f t="shared" si="3281"/>
        <v>0</v>
      </c>
      <c r="AB486" s="55">
        <f t="shared" si="3281"/>
        <v>0</v>
      </c>
      <c r="AC486" s="55">
        <f t="shared" si="3281"/>
        <v>0</v>
      </c>
      <c r="AD486" s="55">
        <f t="shared" si="3281"/>
        <v>0</v>
      </c>
      <c r="AE486" s="55">
        <f t="shared" si="3236"/>
        <v>0</v>
      </c>
      <c r="AF486" s="55">
        <f t="shared" si="3236"/>
        <v>0</v>
      </c>
      <c r="AG486" s="55">
        <f t="shared" si="3281"/>
        <v>0</v>
      </c>
      <c r="AH486" s="55">
        <f t="shared" si="3237"/>
        <v>0</v>
      </c>
      <c r="AI486" s="55">
        <f t="shared" si="3237"/>
        <v>0</v>
      </c>
      <c r="AJ486" s="55">
        <f t="shared" si="3237"/>
        <v>0</v>
      </c>
      <c r="AK486" s="55">
        <f t="shared" si="3237"/>
        <v>0</v>
      </c>
      <c r="AL486" s="55">
        <f t="shared" si="3256"/>
        <v>0</v>
      </c>
      <c r="AM486" s="55">
        <f t="shared" si="3256"/>
        <v>0</v>
      </c>
      <c r="AN486" s="55">
        <f t="shared" si="3257"/>
        <v>0</v>
      </c>
      <c r="AO486" s="55">
        <f t="shared" si="3257"/>
        <v>0</v>
      </c>
      <c r="AP486" s="55">
        <f t="shared" ref="AP486:AQ486" si="3282">AP457+AP475</f>
        <v>0</v>
      </c>
      <c r="AQ486" s="55">
        <f t="shared" si="3282"/>
        <v>0</v>
      </c>
      <c r="AR486" s="55">
        <f t="shared" ref="AR486" si="3283">AR457+AR475</f>
        <v>0</v>
      </c>
      <c r="AS486" s="55">
        <f t="shared" ref="AS486:AT486" si="3284">AS457+AS475</f>
        <v>0</v>
      </c>
      <c r="AT486" s="55">
        <f t="shared" si="3284"/>
        <v>0</v>
      </c>
      <c r="AU486" s="55">
        <f t="shared" ref="AU486:AV486" si="3285">AU457+AU475</f>
        <v>0</v>
      </c>
      <c r="AV486" s="55">
        <f t="shared" si="3285"/>
        <v>0</v>
      </c>
      <c r="AW486" s="55">
        <f t="shared" ref="AW486:AX486" si="3286">AW457+AW475</f>
        <v>0</v>
      </c>
      <c r="AX486" s="55">
        <f t="shared" si="3286"/>
        <v>0</v>
      </c>
      <c r="AY486" s="55">
        <f t="shared" ref="AY486:BE486" si="3287">AY457+AY475</f>
        <v>0</v>
      </c>
      <c r="AZ486" s="56">
        <f t="shared" si="3287"/>
        <v>0</v>
      </c>
      <c r="BA486" s="55">
        <f t="shared" si="3287"/>
        <v>0</v>
      </c>
      <c r="BB486" s="55">
        <f t="shared" si="3287"/>
        <v>0</v>
      </c>
      <c r="BC486" s="55">
        <f t="shared" si="3287"/>
        <v>0</v>
      </c>
      <c r="BD486" s="55">
        <f t="shared" si="3287"/>
        <v>0</v>
      </c>
      <c r="BE486" s="55">
        <f t="shared" si="3287"/>
        <v>0</v>
      </c>
      <c r="BF486" s="55">
        <f t="shared" si="3245"/>
        <v>0</v>
      </c>
      <c r="BG486" s="55">
        <f t="shared" si="3245"/>
        <v>0</v>
      </c>
      <c r="BH486" s="55">
        <f t="shared" si="3245"/>
        <v>0</v>
      </c>
      <c r="BI486" s="55">
        <f t="shared" si="3245"/>
        <v>0</v>
      </c>
      <c r="BJ486" s="55">
        <f t="shared" ref="BJ486:BK486" si="3288">BJ457+BJ475</f>
        <v>0</v>
      </c>
      <c r="BK486" s="55">
        <f t="shared" si="3288"/>
        <v>0</v>
      </c>
      <c r="BL486" s="55">
        <f t="shared" si="3246"/>
        <v>0</v>
      </c>
      <c r="BM486" s="55">
        <f t="shared" si="3246"/>
        <v>0</v>
      </c>
      <c r="BN486" s="55">
        <f t="shared" ref="BN486:BO486" si="3289">BN457+BN475</f>
        <v>0</v>
      </c>
      <c r="BO486" s="55">
        <f t="shared" si="3289"/>
        <v>0</v>
      </c>
      <c r="BP486" s="55">
        <f t="shared" ref="BP486:BQ486" si="3290">BP457+BP475</f>
        <v>0</v>
      </c>
      <c r="BQ486" s="55">
        <f t="shared" si="3290"/>
        <v>0</v>
      </c>
      <c r="BR486" s="55"/>
      <c r="BS486" s="55">
        <f t="shared" si="3249"/>
        <v>0</v>
      </c>
      <c r="BT486" s="55">
        <f t="shared" si="3249"/>
        <v>0</v>
      </c>
      <c r="BU486" s="55">
        <f t="shared" si="3249"/>
        <v>0</v>
      </c>
      <c r="BV486" s="55">
        <f t="shared" si="3249"/>
        <v>0</v>
      </c>
      <c r="BW486" s="55">
        <f t="shared" si="3249"/>
        <v>0</v>
      </c>
      <c r="BX486" s="55">
        <f t="shared" si="3249"/>
        <v>0</v>
      </c>
      <c r="BY486" s="55">
        <f t="shared" si="3249"/>
        <v>0</v>
      </c>
      <c r="BZ486" s="55">
        <f t="shared" si="3249"/>
        <v>0</v>
      </c>
      <c r="CA486" s="55">
        <f t="shared" si="3249"/>
        <v>0</v>
      </c>
      <c r="CB486" s="55">
        <f t="shared" si="3249"/>
        <v>0</v>
      </c>
      <c r="CC486" s="55">
        <f t="shared" ref="CC486:CR486" si="3291">CC457+CC475</f>
        <v>0</v>
      </c>
      <c r="CD486" s="55">
        <f t="shared" si="3291"/>
        <v>0</v>
      </c>
      <c r="CE486" s="55">
        <f t="shared" si="3291"/>
        <v>0</v>
      </c>
      <c r="CF486" s="55">
        <f t="shared" si="3291"/>
        <v>0</v>
      </c>
      <c r="CG486" s="55">
        <f t="shared" si="3291"/>
        <v>0</v>
      </c>
      <c r="CH486" s="55">
        <f t="shared" si="3291"/>
        <v>0</v>
      </c>
      <c r="CI486" s="55">
        <f t="shared" si="3291"/>
        <v>0</v>
      </c>
      <c r="CJ486" s="55">
        <f t="shared" si="3291"/>
        <v>0</v>
      </c>
      <c r="CK486" s="55">
        <f t="shared" si="3291"/>
        <v>0</v>
      </c>
      <c r="CL486" s="55">
        <f t="shared" si="3291"/>
        <v>0</v>
      </c>
      <c r="CM486" s="55">
        <f t="shared" si="3291"/>
        <v>0</v>
      </c>
      <c r="CN486" s="55">
        <f t="shared" si="3291"/>
        <v>0</v>
      </c>
      <c r="CO486" s="55">
        <f t="shared" si="3291"/>
        <v>0</v>
      </c>
      <c r="CP486" s="55">
        <f t="shared" si="3291"/>
        <v>0</v>
      </c>
      <c r="CQ486" s="55">
        <f t="shared" si="3291"/>
        <v>0</v>
      </c>
      <c r="CR486" s="55">
        <f t="shared" si="3291"/>
        <v>0</v>
      </c>
      <c r="CS486" s="55">
        <f t="shared" ref="CS486:DC486" si="3292">CS457+CS475</f>
        <v>0</v>
      </c>
      <c r="CT486" s="55">
        <f t="shared" si="3292"/>
        <v>0</v>
      </c>
      <c r="CU486" s="55">
        <f t="shared" si="3292"/>
        <v>0</v>
      </c>
      <c r="CV486" s="55">
        <f t="shared" si="3292"/>
        <v>0</v>
      </c>
      <c r="CW486" s="55">
        <f t="shared" si="3292"/>
        <v>0</v>
      </c>
      <c r="CX486" s="55">
        <f t="shared" si="3292"/>
        <v>0</v>
      </c>
      <c r="CY486" s="55">
        <f t="shared" si="3292"/>
        <v>0</v>
      </c>
      <c r="CZ486" s="56">
        <f t="shared" si="3292"/>
        <v>0</v>
      </c>
      <c r="DA486" s="55">
        <f t="shared" si="3292"/>
        <v>0</v>
      </c>
      <c r="DB486" s="55">
        <f t="shared" si="3292"/>
        <v>0</v>
      </c>
      <c r="DC486" s="55">
        <f t="shared" si="3292"/>
        <v>0</v>
      </c>
      <c r="DD486" s="55">
        <f t="shared" si="3252"/>
        <v>0</v>
      </c>
      <c r="DE486" s="55">
        <f t="shared" si="3252"/>
        <v>0</v>
      </c>
      <c r="DF486" s="55">
        <f>DF457+DF475</f>
        <v>0</v>
      </c>
      <c r="DG486" s="55">
        <f t="shared" si="3253"/>
        <v>0</v>
      </c>
      <c r="DH486" s="55">
        <f t="shared" si="3254"/>
        <v>0</v>
      </c>
      <c r="DI486" s="55">
        <f t="shared" si="3254"/>
        <v>0</v>
      </c>
    </row>
    <row r="487" spans="1:113" outlineLevel="2">
      <c r="A487" s="1" t="s">
        <v>283</v>
      </c>
      <c r="B487" s="19" t="s">
        <v>370</v>
      </c>
      <c r="C487" s="55">
        <f>C458</f>
        <v>0</v>
      </c>
      <c r="D487" s="55">
        <f>D458</f>
        <v>0</v>
      </c>
      <c r="E487" s="55">
        <f t="shared" ref="E487:L487" si="3293">E458</f>
        <v>0</v>
      </c>
      <c r="F487" s="55">
        <f t="shared" si="3293"/>
        <v>0</v>
      </c>
      <c r="G487" s="55">
        <f t="shared" si="3293"/>
        <v>0</v>
      </c>
      <c r="H487" s="55">
        <f t="shared" si="3293"/>
        <v>0</v>
      </c>
      <c r="I487" s="55">
        <f t="shared" si="3293"/>
        <v>0</v>
      </c>
      <c r="J487" s="55">
        <f t="shared" si="3293"/>
        <v>0</v>
      </c>
      <c r="K487" s="55">
        <f t="shared" si="3293"/>
        <v>0</v>
      </c>
      <c r="L487" s="55">
        <f t="shared" si="3293"/>
        <v>0</v>
      </c>
      <c r="M487" s="55">
        <f t="shared" ref="M487:AG487" si="3294">M458</f>
        <v>0</v>
      </c>
      <c r="N487" s="55">
        <f t="shared" si="3294"/>
        <v>0</v>
      </c>
      <c r="O487" s="55">
        <f t="shared" si="3294"/>
        <v>0</v>
      </c>
      <c r="P487" s="55">
        <f t="shared" si="3294"/>
        <v>0</v>
      </c>
      <c r="Q487" s="55">
        <f t="shared" si="3294"/>
        <v>0</v>
      </c>
      <c r="R487" s="55">
        <f t="shared" si="3294"/>
        <v>0</v>
      </c>
      <c r="S487" s="55">
        <f t="shared" si="3294"/>
        <v>0</v>
      </c>
      <c r="T487" s="55">
        <f t="shared" si="3294"/>
        <v>0</v>
      </c>
      <c r="U487" s="55">
        <f t="shared" si="3294"/>
        <v>0</v>
      </c>
      <c r="V487" s="55">
        <f t="shared" si="3294"/>
        <v>0</v>
      </c>
      <c r="W487" s="55">
        <f t="shared" si="3294"/>
        <v>0</v>
      </c>
      <c r="X487" s="55">
        <f t="shared" si="3294"/>
        <v>0</v>
      </c>
      <c r="Y487" s="55">
        <f>Y458</f>
        <v>0</v>
      </c>
      <c r="Z487" s="55">
        <f>Z458</f>
        <v>0</v>
      </c>
      <c r="AA487" s="55">
        <f t="shared" si="3294"/>
        <v>0</v>
      </c>
      <c r="AB487" s="55">
        <f t="shared" si="3294"/>
        <v>0</v>
      </c>
      <c r="AC487" s="55">
        <f t="shared" si="3294"/>
        <v>0</v>
      </c>
      <c r="AD487" s="55">
        <f t="shared" si="3294"/>
        <v>0</v>
      </c>
      <c r="AE487" s="55">
        <f>AE458</f>
        <v>0</v>
      </c>
      <c r="AF487" s="55">
        <f>AF458</f>
        <v>0</v>
      </c>
      <c r="AG487" s="55">
        <f t="shared" si="3294"/>
        <v>0</v>
      </c>
      <c r="AH487" s="55">
        <f t="shared" ref="AH487:AM487" si="3295">AH458</f>
        <v>0</v>
      </c>
      <c r="AI487" s="55">
        <f t="shared" si="3295"/>
        <v>0</v>
      </c>
      <c r="AJ487" s="55">
        <f t="shared" si="3295"/>
        <v>0</v>
      </c>
      <c r="AK487" s="55">
        <f t="shared" si="3295"/>
        <v>0</v>
      </c>
      <c r="AL487" s="55">
        <f t="shared" si="3295"/>
        <v>0</v>
      </c>
      <c r="AM487" s="55">
        <f t="shared" si="3295"/>
        <v>0</v>
      </c>
      <c r="AN487" s="55">
        <f t="shared" ref="AN487:AS487" si="3296">AN458</f>
        <v>0</v>
      </c>
      <c r="AO487" s="55">
        <f t="shared" si="3296"/>
        <v>0</v>
      </c>
      <c r="AP487" s="55">
        <f t="shared" si="3296"/>
        <v>0</v>
      </c>
      <c r="AQ487" s="55">
        <f t="shared" si="3296"/>
        <v>0</v>
      </c>
      <c r="AR487" s="55">
        <f t="shared" si="3296"/>
        <v>0</v>
      </c>
      <c r="AS487" s="55">
        <f t="shared" si="3296"/>
        <v>0</v>
      </c>
      <c r="AT487" s="55">
        <f t="shared" ref="AT487:AU487" si="3297">AT458</f>
        <v>0</v>
      </c>
      <c r="AU487" s="55">
        <f t="shared" si="3297"/>
        <v>0</v>
      </c>
      <c r="AV487" s="55">
        <f t="shared" ref="AV487:AW487" si="3298">AV458</f>
        <v>0</v>
      </c>
      <c r="AW487" s="55">
        <f t="shared" si="3298"/>
        <v>0</v>
      </c>
      <c r="AX487" s="55">
        <f t="shared" ref="AX487" si="3299">AX458</f>
        <v>0</v>
      </c>
      <c r="AY487" s="55">
        <f t="shared" ref="AY487:BE487" si="3300">AY458</f>
        <v>0</v>
      </c>
      <c r="AZ487" s="56">
        <f t="shared" si="3300"/>
        <v>0</v>
      </c>
      <c r="BA487" s="55">
        <f t="shared" si="3300"/>
        <v>0</v>
      </c>
      <c r="BB487" s="55">
        <f t="shared" si="3300"/>
        <v>0</v>
      </c>
      <c r="BC487" s="55">
        <f t="shared" si="3300"/>
        <v>0</v>
      </c>
      <c r="BD487" s="55">
        <f t="shared" si="3300"/>
        <v>0</v>
      </c>
      <c r="BE487" s="55">
        <f t="shared" si="3300"/>
        <v>0</v>
      </c>
      <c r="BF487" s="55">
        <f t="shared" ref="BF487:BM487" si="3301">BF458</f>
        <v>0</v>
      </c>
      <c r="BG487" s="55">
        <f t="shared" si="3301"/>
        <v>0</v>
      </c>
      <c r="BH487" s="55">
        <f t="shared" si="3301"/>
        <v>0</v>
      </c>
      <c r="BI487" s="55">
        <f t="shared" si="3301"/>
        <v>0</v>
      </c>
      <c r="BJ487" s="55">
        <f t="shared" si="3301"/>
        <v>0</v>
      </c>
      <c r="BK487" s="55">
        <f t="shared" si="3301"/>
        <v>0</v>
      </c>
      <c r="BL487" s="55">
        <f t="shared" si="3301"/>
        <v>0</v>
      </c>
      <c r="BM487" s="55">
        <f t="shared" si="3301"/>
        <v>0</v>
      </c>
      <c r="BN487" s="55">
        <f t="shared" ref="BN487:BO487" si="3302">BN458</f>
        <v>0</v>
      </c>
      <c r="BO487" s="55">
        <f t="shared" si="3302"/>
        <v>0</v>
      </c>
      <c r="BP487" s="55">
        <f t="shared" ref="BP487:BQ487" si="3303">BP458</f>
        <v>0</v>
      </c>
      <c r="BQ487" s="55">
        <f t="shared" si="3303"/>
        <v>0</v>
      </c>
      <c r="BR487" s="55"/>
      <c r="BS487" s="55">
        <f t="shared" ref="BS487:CB487" si="3304">BS458</f>
        <v>0</v>
      </c>
      <c r="BT487" s="55">
        <f t="shared" si="3304"/>
        <v>0</v>
      </c>
      <c r="BU487" s="55">
        <f t="shared" si="3304"/>
        <v>0</v>
      </c>
      <c r="BV487" s="55">
        <f t="shared" si="3304"/>
        <v>0</v>
      </c>
      <c r="BW487" s="55">
        <f t="shared" si="3304"/>
        <v>0</v>
      </c>
      <c r="BX487" s="55">
        <f t="shared" si="3304"/>
        <v>0</v>
      </c>
      <c r="BY487" s="55">
        <f t="shared" si="3304"/>
        <v>0</v>
      </c>
      <c r="BZ487" s="55">
        <f t="shared" si="3304"/>
        <v>0</v>
      </c>
      <c r="CA487" s="55">
        <f t="shared" si="3304"/>
        <v>0</v>
      </c>
      <c r="CB487" s="55">
        <f t="shared" si="3304"/>
        <v>0</v>
      </c>
      <c r="CC487" s="55">
        <f t="shared" ref="CC487:CR487" si="3305">CC458</f>
        <v>0</v>
      </c>
      <c r="CD487" s="55">
        <f t="shared" si="3305"/>
        <v>0</v>
      </c>
      <c r="CE487" s="55">
        <f t="shared" si="3305"/>
        <v>0</v>
      </c>
      <c r="CF487" s="55">
        <f t="shared" si="3305"/>
        <v>0</v>
      </c>
      <c r="CG487" s="55">
        <f t="shared" si="3305"/>
        <v>0</v>
      </c>
      <c r="CH487" s="55">
        <f t="shared" si="3305"/>
        <v>0</v>
      </c>
      <c r="CI487" s="55">
        <f t="shared" si="3305"/>
        <v>0</v>
      </c>
      <c r="CJ487" s="55">
        <f t="shared" si="3305"/>
        <v>0</v>
      </c>
      <c r="CK487" s="55">
        <f t="shared" si="3305"/>
        <v>0</v>
      </c>
      <c r="CL487" s="55">
        <f t="shared" si="3305"/>
        <v>0</v>
      </c>
      <c r="CM487" s="55">
        <f t="shared" si="3305"/>
        <v>0</v>
      </c>
      <c r="CN487" s="55">
        <f t="shared" si="3305"/>
        <v>0</v>
      </c>
      <c r="CO487" s="55">
        <f t="shared" si="3305"/>
        <v>0</v>
      </c>
      <c r="CP487" s="55">
        <f t="shared" si="3305"/>
        <v>0</v>
      </c>
      <c r="CQ487" s="55">
        <f t="shared" si="3305"/>
        <v>0</v>
      </c>
      <c r="CR487" s="55">
        <f t="shared" si="3305"/>
        <v>0</v>
      </c>
      <c r="CS487" s="55">
        <f t="shared" ref="CS487:DC487" si="3306">CS458</f>
        <v>0</v>
      </c>
      <c r="CT487" s="55">
        <f t="shared" si="3306"/>
        <v>0</v>
      </c>
      <c r="CU487" s="55">
        <f t="shared" si="3306"/>
        <v>0</v>
      </c>
      <c r="CV487" s="55">
        <f t="shared" si="3306"/>
        <v>0</v>
      </c>
      <c r="CW487" s="55">
        <f t="shared" si="3306"/>
        <v>0</v>
      </c>
      <c r="CX487" s="55">
        <f t="shared" si="3306"/>
        <v>0</v>
      </c>
      <c r="CY487" s="55">
        <f t="shared" si="3306"/>
        <v>0</v>
      </c>
      <c r="CZ487" s="56">
        <f t="shared" si="3306"/>
        <v>0</v>
      </c>
      <c r="DA487" s="55">
        <f t="shared" si="3306"/>
        <v>0</v>
      </c>
      <c r="DB487" s="55">
        <f t="shared" si="3306"/>
        <v>0</v>
      </c>
      <c r="DC487" s="55">
        <f t="shared" si="3306"/>
        <v>0</v>
      </c>
      <c r="DD487" s="55">
        <f t="shared" ref="DD487:DI487" si="3307">DD458</f>
        <v>0</v>
      </c>
      <c r="DE487" s="55">
        <f t="shared" si="3307"/>
        <v>0</v>
      </c>
      <c r="DF487" s="55">
        <f t="shared" si="3307"/>
        <v>0</v>
      </c>
      <c r="DG487" s="55">
        <f t="shared" si="3307"/>
        <v>0</v>
      </c>
      <c r="DH487" s="55">
        <f t="shared" si="3307"/>
        <v>0</v>
      </c>
      <c r="DI487" s="55">
        <f t="shared" si="3307"/>
        <v>0</v>
      </c>
    </row>
    <row r="488" spans="1:113" outlineLevel="2">
      <c r="A488" s="1" t="s">
        <v>686</v>
      </c>
      <c r="B488" s="19" t="s">
        <v>360</v>
      </c>
      <c r="C488" s="55">
        <f>C459+C476</f>
        <v>0</v>
      </c>
      <c r="D488" s="55">
        <f>D459+D476</f>
        <v>0</v>
      </c>
      <c r="E488" s="55">
        <f t="shared" ref="E488:L489" si="3308">E459+E476</f>
        <v>0</v>
      </c>
      <c r="F488" s="55">
        <f t="shared" si="3308"/>
        <v>0</v>
      </c>
      <c r="G488" s="55">
        <f t="shared" si="3308"/>
        <v>0</v>
      </c>
      <c r="H488" s="55">
        <f t="shared" si="3308"/>
        <v>0</v>
      </c>
      <c r="I488" s="55">
        <f t="shared" si="3308"/>
        <v>0</v>
      </c>
      <c r="J488" s="55">
        <f t="shared" si="3308"/>
        <v>0</v>
      </c>
      <c r="K488" s="55">
        <f t="shared" si="3308"/>
        <v>0</v>
      </c>
      <c r="L488" s="55">
        <f t="shared" si="3308"/>
        <v>0</v>
      </c>
      <c r="M488" s="55">
        <f t="shared" ref="M488:AG488" si="3309">M459+M476</f>
        <v>0</v>
      </c>
      <c r="N488" s="55">
        <f t="shared" si="3309"/>
        <v>0</v>
      </c>
      <c r="O488" s="55">
        <f t="shared" si="3309"/>
        <v>0</v>
      </c>
      <c r="P488" s="55">
        <f t="shared" si="3309"/>
        <v>0</v>
      </c>
      <c r="Q488" s="55">
        <f t="shared" si="3309"/>
        <v>0</v>
      </c>
      <c r="R488" s="55">
        <f t="shared" si="3309"/>
        <v>0</v>
      </c>
      <c r="S488" s="55">
        <f t="shared" si="3309"/>
        <v>0</v>
      </c>
      <c r="T488" s="55">
        <f t="shared" si="3309"/>
        <v>0</v>
      </c>
      <c r="U488" s="55">
        <f t="shared" si="3309"/>
        <v>0</v>
      </c>
      <c r="V488" s="55">
        <f t="shared" si="3309"/>
        <v>0</v>
      </c>
      <c r="W488" s="55">
        <f t="shared" si="3309"/>
        <v>0</v>
      </c>
      <c r="X488" s="55">
        <f t="shared" si="3309"/>
        <v>0</v>
      </c>
      <c r="Y488" s="55">
        <f>Y459+Y476</f>
        <v>0</v>
      </c>
      <c r="Z488" s="55">
        <f>Z459+Z476</f>
        <v>0</v>
      </c>
      <c r="AA488" s="55">
        <f t="shared" si="3309"/>
        <v>0</v>
      </c>
      <c r="AB488" s="55">
        <f t="shared" si="3309"/>
        <v>0</v>
      </c>
      <c r="AC488" s="55">
        <f t="shared" si="3309"/>
        <v>0</v>
      </c>
      <c r="AD488" s="55">
        <f t="shared" si="3309"/>
        <v>0</v>
      </c>
      <c r="AE488" s="55">
        <f>AE459+AE476</f>
        <v>0</v>
      </c>
      <c r="AF488" s="55">
        <f>AF459+AF476</f>
        <v>0</v>
      </c>
      <c r="AG488" s="55">
        <f t="shared" si="3309"/>
        <v>0</v>
      </c>
      <c r="AH488" s="55">
        <f t="shared" ref="AH488:AK489" si="3310">AH459+AH476</f>
        <v>0</v>
      </c>
      <c r="AI488" s="55">
        <f t="shared" si="3310"/>
        <v>0</v>
      </c>
      <c r="AJ488" s="55">
        <f t="shared" si="3310"/>
        <v>0</v>
      </c>
      <c r="AK488" s="55">
        <f t="shared" si="3310"/>
        <v>0</v>
      </c>
      <c r="AL488" s="55">
        <f t="shared" ref="AL488:AN489" si="3311">AL459+AL476</f>
        <v>0</v>
      </c>
      <c r="AM488" s="55">
        <f t="shared" si="3311"/>
        <v>0</v>
      </c>
      <c r="AN488" s="55">
        <f t="shared" si="3311"/>
        <v>0</v>
      </c>
      <c r="AO488" s="55">
        <f t="shared" ref="AO488:AQ489" si="3312">AO459+AO476</f>
        <v>0</v>
      </c>
      <c r="AP488" s="55">
        <f t="shared" si="3312"/>
        <v>0</v>
      </c>
      <c r="AQ488" s="55">
        <f t="shared" si="3312"/>
        <v>0</v>
      </c>
      <c r="AR488" s="55">
        <f t="shared" ref="AR488" si="3313">AR459+AR476</f>
        <v>0</v>
      </c>
      <c r="AS488" s="55">
        <f t="shared" ref="AS488:AT488" si="3314">AS459+AS476</f>
        <v>0</v>
      </c>
      <c r="AT488" s="55">
        <f t="shared" si="3314"/>
        <v>0</v>
      </c>
      <c r="AU488" s="55">
        <f t="shared" ref="AU488:AV488" si="3315">AU459+AU476</f>
        <v>0</v>
      </c>
      <c r="AV488" s="55">
        <f t="shared" si="3315"/>
        <v>0</v>
      </c>
      <c r="AW488" s="55">
        <f t="shared" ref="AW488:AX488" si="3316">AW459+AW476</f>
        <v>0</v>
      </c>
      <c r="AX488" s="55">
        <f t="shared" si="3316"/>
        <v>0</v>
      </c>
      <c r="AY488" s="55">
        <f t="shared" ref="AY488:BE488" si="3317">AY459+AY476</f>
        <v>0</v>
      </c>
      <c r="AZ488" s="56">
        <f t="shared" si="3317"/>
        <v>0</v>
      </c>
      <c r="BA488" s="55">
        <f t="shared" si="3317"/>
        <v>0</v>
      </c>
      <c r="BB488" s="55">
        <f t="shared" si="3317"/>
        <v>0</v>
      </c>
      <c r="BC488" s="55">
        <f t="shared" si="3317"/>
        <v>0</v>
      </c>
      <c r="BD488" s="55">
        <f t="shared" si="3317"/>
        <v>0</v>
      </c>
      <c r="BE488" s="55">
        <f t="shared" si="3317"/>
        <v>0</v>
      </c>
      <c r="BF488" s="55">
        <f t="shared" ref="BF488:BI489" si="3318">BF459+BF476</f>
        <v>0</v>
      </c>
      <c r="BG488" s="55">
        <f t="shared" si="3318"/>
        <v>0</v>
      </c>
      <c r="BH488" s="55">
        <f t="shared" si="3318"/>
        <v>0</v>
      </c>
      <c r="BI488" s="55">
        <f t="shared" si="3318"/>
        <v>0</v>
      </c>
      <c r="BJ488" s="55">
        <f t="shared" ref="BJ488:BM489" si="3319">BJ459+BJ476</f>
        <v>0</v>
      </c>
      <c r="BK488" s="55">
        <f t="shared" si="3319"/>
        <v>0</v>
      </c>
      <c r="BL488" s="55">
        <f t="shared" si="3319"/>
        <v>0</v>
      </c>
      <c r="BM488" s="55">
        <f t="shared" si="3319"/>
        <v>0</v>
      </c>
      <c r="BN488" s="55">
        <f t="shared" ref="BN488:BO488" si="3320">BN459+BN476</f>
        <v>0</v>
      </c>
      <c r="BO488" s="55">
        <f t="shared" si="3320"/>
        <v>0</v>
      </c>
      <c r="BP488" s="55">
        <f t="shared" ref="BP488:BQ488" si="3321">BP459+BP476</f>
        <v>0</v>
      </c>
      <c r="BQ488" s="55">
        <f t="shared" si="3321"/>
        <v>0</v>
      </c>
      <c r="BR488" s="55"/>
      <c r="BS488" s="55">
        <f t="shared" ref="BS488:CB489" si="3322">BS459+BS476</f>
        <v>0</v>
      </c>
      <c r="BT488" s="55">
        <f t="shared" si="3322"/>
        <v>0</v>
      </c>
      <c r="BU488" s="55">
        <f t="shared" si="3322"/>
        <v>0</v>
      </c>
      <c r="BV488" s="55">
        <f t="shared" si="3322"/>
        <v>0</v>
      </c>
      <c r="BW488" s="55">
        <f t="shared" si="3322"/>
        <v>0</v>
      </c>
      <c r="BX488" s="55">
        <f t="shared" si="3322"/>
        <v>0</v>
      </c>
      <c r="BY488" s="55">
        <f t="shared" si="3322"/>
        <v>0</v>
      </c>
      <c r="BZ488" s="55">
        <f t="shared" si="3322"/>
        <v>0</v>
      </c>
      <c r="CA488" s="55">
        <f t="shared" si="3322"/>
        <v>0</v>
      </c>
      <c r="CB488" s="55">
        <f t="shared" si="3322"/>
        <v>0</v>
      </c>
      <c r="CC488" s="55">
        <f t="shared" ref="CC488:CR488" si="3323">CC459+CC476</f>
        <v>0</v>
      </c>
      <c r="CD488" s="55">
        <f t="shared" si="3323"/>
        <v>0</v>
      </c>
      <c r="CE488" s="55">
        <f t="shared" si="3323"/>
        <v>0</v>
      </c>
      <c r="CF488" s="55">
        <f t="shared" si="3323"/>
        <v>0</v>
      </c>
      <c r="CG488" s="55">
        <f t="shared" si="3323"/>
        <v>0</v>
      </c>
      <c r="CH488" s="55">
        <f t="shared" si="3323"/>
        <v>0</v>
      </c>
      <c r="CI488" s="55">
        <f t="shared" si="3323"/>
        <v>0</v>
      </c>
      <c r="CJ488" s="55">
        <f t="shared" si="3323"/>
        <v>0</v>
      </c>
      <c r="CK488" s="55">
        <f t="shared" si="3323"/>
        <v>0</v>
      </c>
      <c r="CL488" s="55">
        <f t="shared" si="3323"/>
        <v>0</v>
      </c>
      <c r="CM488" s="55">
        <f t="shared" si="3323"/>
        <v>0</v>
      </c>
      <c r="CN488" s="55">
        <f t="shared" si="3323"/>
        <v>0</v>
      </c>
      <c r="CO488" s="55">
        <f t="shared" si="3323"/>
        <v>0</v>
      </c>
      <c r="CP488" s="55">
        <f t="shared" si="3323"/>
        <v>0</v>
      </c>
      <c r="CQ488" s="55">
        <f t="shared" si="3323"/>
        <v>0</v>
      </c>
      <c r="CR488" s="55">
        <f t="shared" si="3323"/>
        <v>0</v>
      </c>
      <c r="CS488" s="55">
        <f t="shared" ref="CS488:DC488" si="3324">CS459+CS476</f>
        <v>0</v>
      </c>
      <c r="CT488" s="55">
        <f t="shared" si="3324"/>
        <v>0</v>
      </c>
      <c r="CU488" s="55">
        <f t="shared" si="3324"/>
        <v>0</v>
      </c>
      <c r="CV488" s="55">
        <f t="shared" si="3324"/>
        <v>0</v>
      </c>
      <c r="CW488" s="55">
        <f t="shared" si="3324"/>
        <v>0</v>
      </c>
      <c r="CX488" s="55">
        <f t="shared" si="3324"/>
        <v>0</v>
      </c>
      <c r="CY488" s="55">
        <f t="shared" si="3324"/>
        <v>0</v>
      </c>
      <c r="CZ488" s="56">
        <f t="shared" si="3324"/>
        <v>0</v>
      </c>
      <c r="DA488" s="55">
        <f t="shared" si="3324"/>
        <v>0</v>
      </c>
      <c r="DB488" s="55">
        <f t="shared" si="3324"/>
        <v>0</v>
      </c>
      <c r="DC488" s="55">
        <f t="shared" si="3324"/>
        <v>0</v>
      </c>
      <c r="DD488" s="55">
        <f t="shared" ref="DD488:DG489" si="3325">DD459+DD476</f>
        <v>0</v>
      </c>
      <c r="DE488" s="55">
        <f t="shared" si="3325"/>
        <v>0</v>
      </c>
      <c r="DF488" s="55">
        <f t="shared" si="3325"/>
        <v>0</v>
      </c>
      <c r="DG488" s="55">
        <f t="shared" si="3325"/>
        <v>0</v>
      </c>
      <c r="DH488" s="55">
        <f t="shared" ref="DH488" si="3326">DH459+DH476</f>
        <v>0</v>
      </c>
      <c r="DI488" s="55">
        <f t="shared" ref="DI488" si="3327">DI459+DI476</f>
        <v>0</v>
      </c>
    </row>
    <row r="489" spans="1:113" outlineLevel="2">
      <c r="A489" s="1" t="s">
        <v>284</v>
      </c>
      <c r="B489" s="19" t="s">
        <v>423</v>
      </c>
      <c r="C489" s="55">
        <f>C460+C477</f>
        <v>0</v>
      </c>
      <c r="D489" s="55">
        <f>D460+D477</f>
        <v>0</v>
      </c>
      <c r="E489" s="55">
        <f t="shared" si="3308"/>
        <v>0</v>
      </c>
      <c r="F489" s="55">
        <f t="shared" si="3308"/>
        <v>0</v>
      </c>
      <c r="G489" s="55">
        <f t="shared" si="3308"/>
        <v>0</v>
      </c>
      <c r="H489" s="55">
        <f t="shared" si="3308"/>
        <v>0</v>
      </c>
      <c r="I489" s="55">
        <f t="shared" si="3308"/>
        <v>0</v>
      </c>
      <c r="J489" s="55">
        <f t="shared" si="3308"/>
        <v>0</v>
      </c>
      <c r="K489" s="55">
        <f t="shared" si="3308"/>
        <v>0</v>
      </c>
      <c r="L489" s="55">
        <f t="shared" si="3308"/>
        <v>0</v>
      </c>
      <c r="M489" s="55">
        <f t="shared" ref="M489:AG489" si="3328">M460+M477</f>
        <v>0</v>
      </c>
      <c r="N489" s="55">
        <f t="shared" si="3328"/>
        <v>0</v>
      </c>
      <c r="O489" s="55">
        <f t="shared" si="3328"/>
        <v>0</v>
      </c>
      <c r="P489" s="55">
        <f t="shared" si="3328"/>
        <v>0</v>
      </c>
      <c r="Q489" s="55">
        <f t="shared" si="3328"/>
        <v>0</v>
      </c>
      <c r="R489" s="55">
        <f t="shared" si="3328"/>
        <v>0</v>
      </c>
      <c r="S489" s="55">
        <f t="shared" si="3328"/>
        <v>0</v>
      </c>
      <c r="T489" s="55">
        <f t="shared" si="3328"/>
        <v>0</v>
      </c>
      <c r="U489" s="55">
        <f t="shared" si="3328"/>
        <v>0</v>
      </c>
      <c r="V489" s="55">
        <f t="shared" si="3328"/>
        <v>0</v>
      </c>
      <c r="W489" s="55">
        <f t="shared" si="3328"/>
        <v>0</v>
      </c>
      <c r="X489" s="55">
        <f t="shared" si="3328"/>
        <v>0</v>
      </c>
      <c r="Y489" s="55">
        <f>Y460+Y477</f>
        <v>0</v>
      </c>
      <c r="Z489" s="55">
        <f>Z460+Z477</f>
        <v>0</v>
      </c>
      <c r="AA489" s="55">
        <f t="shared" si="3328"/>
        <v>0</v>
      </c>
      <c r="AB489" s="55">
        <f t="shared" si="3328"/>
        <v>0</v>
      </c>
      <c r="AC489" s="55">
        <f t="shared" si="3328"/>
        <v>0</v>
      </c>
      <c r="AD489" s="55">
        <f t="shared" si="3328"/>
        <v>0</v>
      </c>
      <c r="AE489" s="55">
        <f>AE460+AE477</f>
        <v>0</v>
      </c>
      <c r="AF489" s="55">
        <f>AF460+AF477</f>
        <v>0</v>
      </c>
      <c r="AG489" s="55">
        <f t="shared" si="3328"/>
        <v>0</v>
      </c>
      <c r="AH489" s="55">
        <f t="shared" si="3310"/>
        <v>0</v>
      </c>
      <c r="AI489" s="55">
        <f t="shared" si="3310"/>
        <v>0</v>
      </c>
      <c r="AJ489" s="55">
        <f t="shared" si="3310"/>
        <v>0</v>
      </c>
      <c r="AK489" s="55">
        <f t="shared" si="3310"/>
        <v>0</v>
      </c>
      <c r="AL489" s="55">
        <f t="shared" si="3311"/>
        <v>0</v>
      </c>
      <c r="AM489" s="55">
        <f t="shared" si="3311"/>
        <v>0</v>
      </c>
      <c r="AN489" s="55">
        <f t="shared" si="3311"/>
        <v>0</v>
      </c>
      <c r="AO489" s="55">
        <f t="shared" si="3312"/>
        <v>0</v>
      </c>
      <c r="AP489" s="55">
        <f t="shared" si="3312"/>
        <v>0</v>
      </c>
      <c r="AQ489" s="55">
        <f t="shared" si="3312"/>
        <v>0</v>
      </c>
      <c r="AR489" s="55">
        <f t="shared" ref="AR489" si="3329">AR460+AR477</f>
        <v>0</v>
      </c>
      <c r="AS489" s="55">
        <f t="shared" ref="AS489:AT489" si="3330">AS460+AS477</f>
        <v>0</v>
      </c>
      <c r="AT489" s="55">
        <f t="shared" si="3330"/>
        <v>0</v>
      </c>
      <c r="AU489" s="55">
        <f t="shared" ref="AU489:AV489" si="3331">AU460+AU477</f>
        <v>0</v>
      </c>
      <c r="AV489" s="55">
        <f t="shared" si="3331"/>
        <v>0</v>
      </c>
      <c r="AW489" s="55">
        <f t="shared" ref="AW489:AX489" si="3332">AW460+AW477</f>
        <v>0</v>
      </c>
      <c r="AX489" s="55">
        <f t="shared" si="3332"/>
        <v>0</v>
      </c>
      <c r="AY489" s="55">
        <f t="shared" ref="AY489:BE489" si="3333">AY460+AY477</f>
        <v>0</v>
      </c>
      <c r="AZ489" s="56">
        <f t="shared" si="3333"/>
        <v>0</v>
      </c>
      <c r="BA489" s="55">
        <f t="shared" si="3333"/>
        <v>0</v>
      </c>
      <c r="BB489" s="55">
        <f t="shared" si="3333"/>
        <v>0</v>
      </c>
      <c r="BC489" s="55">
        <f t="shared" si="3333"/>
        <v>0</v>
      </c>
      <c r="BD489" s="55">
        <f t="shared" si="3333"/>
        <v>0</v>
      </c>
      <c r="BE489" s="55">
        <f t="shared" si="3333"/>
        <v>0</v>
      </c>
      <c r="BF489" s="55">
        <f t="shared" si="3318"/>
        <v>0</v>
      </c>
      <c r="BG489" s="55">
        <f t="shared" si="3318"/>
        <v>0</v>
      </c>
      <c r="BH489" s="55">
        <f t="shared" si="3318"/>
        <v>0</v>
      </c>
      <c r="BI489" s="55">
        <f t="shared" si="3318"/>
        <v>0</v>
      </c>
      <c r="BJ489" s="55">
        <f t="shared" ref="BJ489:BK489" si="3334">BJ460+BJ477</f>
        <v>0</v>
      </c>
      <c r="BK489" s="55">
        <f t="shared" si="3334"/>
        <v>0</v>
      </c>
      <c r="BL489" s="55">
        <f t="shared" si="3319"/>
        <v>0</v>
      </c>
      <c r="BM489" s="55">
        <f t="shared" si="3319"/>
        <v>0</v>
      </c>
      <c r="BN489" s="55">
        <f t="shared" ref="BN489:BO489" si="3335">BN460+BN477</f>
        <v>0</v>
      </c>
      <c r="BO489" s="55">
        <f t="shared" si="3335"/>
        <v>0</v>
      </c>
      <c r="BP489" s="55">
        <f t="shared" ref="BP489:BQ489" si="3336">BP460+BP477</f>
        <v>0</v>
      </c>
      <c r="BQ489" s="55">
        <f t="shared" si="3336"/>
        <v>0</v>
      </c>
      <c r="BR489" s="55"/>
      <c r="BS489" s="55">
        <f t="shared" si="3322"/>
        <v>0</v>
      </c>
      <c r="BT489" s="55">
        <f t="shared" si="3322"/>
        <v>0</v>
      </c>
      <c r="BU489" s="55">
        <f t="shared" si="3322"/>
        <v>0</v>
      </c>
      <c r="BV489" s="55">
        <f t="shared" si="3322"/>
        <v>0</v>
      </c>
      <c r="BW489" s="55">
        <f t="shared" si="3322"/>
        <v>0</v>
      </c>
      <c r="BX489" s="55">
        <f t="shared" si="3322"/>
        <v>0</v>
      </c>
      <c r="BY489" s="55">
        <f t="shared" si="3322"/>
        <v>0</v>
      </c>
      <c r="BZ489" s="55">
        <f t="shared" si="3322"/>
        <v>0</v>
      </c>
      <c r="CA489" s="55">
        <f t="shared" si="3322"/>
        <v>0</v>
      </c>
      <c r="CB489" s="55">
        <f t="shared" si="3322"/>
        <v>0</v>
      </c>
      <c r="CC489" s="55">
        <f t="shared" ref="CC489:CR489" si="3337">CC460+CC477</f>
        <v>0</v>
      </c>
      <c r="CD489" s="55">
        <f t="shared" si="3337"/>
        <v>0</v>
      </c>
      <c r="CE489" s="55">
        <f t="shared" si="3337"/>
        <v>0</v>
      </c>
      <c r="CF489" s="55">
        <f t="shared" si="3337"/>
        <v>0</v>
      </c>
      <c r="CG489" s="55">
        <f t="shared" si="3337"/>
        <v>0</v>
      </c>
      <c r="CH489" s="55">
        <f t="shared" si="3337"/>
        <v>0</v>
      </c>
      <c r="CI489" s="55">
        <f t="shared" si="3337"/>
        <v>0</v>
      </c>
      <c r="CJ489" s="55">
        <f t="shared" si="3337"/>
        <v>0</v>
      </c>
      <c r="CK489" s="55">
        <f t="shared" si="3337"/>
        <v>0</v>
      </c>
      <c r="CL489" s="55">
        <f t="shared" si="3337"/>
        <v>0</v>
      </c>
      <c r="CM489" s="55">
        <f t="shared" si="3337"/>
        <v>0</v>
      </c>
      <c r="CN489" s="55">
        <f t="shared" si="3337"/>
        <v>0</v>
      </c>
      <c r="CO489" s="55">
        <f t="shared" si="3337"/>
        <v>0</v>
      </c>
      <c r="CP489" s="55">
        <f t="shared" si="3337"/>
        <v>0</v>
      </c>
      <c r="CQ489" s="55">
        <f t="shared" si="3337"/>
        <v>0</v>
      </c>
      <c r="CR489" s="55">
        <f t="shared" si="3337"/>
        <v>0</v>
      </c>
      <c r="CS489" s="55">
        <f t="shared" ref="CS489:DC489" si="3338">CS460+CS477</f>
        <v>0</v>
      </c>
      <c r="CT489" s="55">
        <f t="shared" si="3338"/>
        <v>0</v>
      </c>
      <c r="CU489" s="55">
        <f t="shared" si="3338"/>
        <v>0</v>
      </c>
      <c r="CV489" s="55">
        <f t="shared" si="3338"/>
        <v>0</v>
      </c>
      <c r="CW489" s="55">
        <f t="shared" si="3338"/>
        <v>0</v>
      </c>
      <c r="CX489" s="55">
        <f t="shared" si="3338"/>
        <v>0</v>
      </c>
      <c r="CY489" s="55">
        <f t="shared" si="3338"/>
        <v>0</v>
      </c>
      <c r="CZ489" s="56">
        <f t="shared" si="3338"/>
        <v>0</v>
      </c>
      <c r="DA489" s="55">
        <f t="shared" si="3338"/>
        <v>0</v>
      </c>
      <c r="DB489" s="55">
        <f t="shared" si="3338"/>
        <v>0</v>
      </c>
      <c r="DC489" s="55">
        <f t="shared" si="3338"/>
        <v>0</v>
      </c>
      <c r="DD489" s="55">
        <f t="shared" si="3325"/>
        <v>0</v>
      </c>
      <c r="DE489" s="55">
        <f t="shared" si="3325"/>
        <v>0</v>
      </c>
      <c r="DF489" s="55">
        <f t="shared" si="3325"/>
        <v>0</v>
      </c>
      <c r="DG489" s="55">
        <f t="shared" si="3325"/>
        <v>0</v>
      </c>
      <c r="DH489" s="55">
        <f t="shared" ref="DH489" si="3339">DH460+DH477</f>
        <v>0</v>
      </c>
      <c r="DI489" s="55">
        <f t="shared" ref="DI489" si="3340">DI460+DI477</f>
        <v>0</v>
      </c>
    </row>
    <row r="490" spans="1:113" s="24" customFormat="1" outlineLevel="2">
      <c r="A490" s="1" t="s">
        <v>285</v>
      </c>
      <c r="B490" s="24" t="s">
        <v>349</v>
      </c>
      <c r="C490" s="82">
        <f t="shared" ref="C490:L490" si="3341">SUM(C483:C489)</f>
        <v>1655</v>
      </c>
      <c r="D490" s="82">
        <f t="shared" si="3341"/>
        <v>1662</v>
      </c>
      <c r="E490" s="82">
        <f t="shared" si="3341"/>
        <v>1756</v>
      </c>
      <c r="F490" s="82">
        <f t="shared" si="3341"/>
        <v>1624</v>
      </c>
      <c r="G490" s="82">
        <f t="shared" si="3341"/>
        <v>1919</v>
      </c>
      <c r="H490" s="82">
        <f t="shared" si="3341"/>
        <v>1858</v>
      </c>
      <c r="I490" s="82">
        <f t="shared" si="3341"/>
        <v>2108</v>
      </c>
      <c r="J490" s="82">
        <f t="shared" si="3341"/>
        <v>2440</v>
      </c>
      <c r="K490" s="82">
        <f t="shared" si="3341"/>
        <v>2471</v>
      </c>
      <c r="L490" s="82">
        <f t="shared" si="3341"/>
        <v>2855</v>
      </c>
      <c r="M490" s="82">
        <f t="shared" ref="M490:AG490" si="3342">SUM(M483:M489)</f>
        <v>2834</v>
      </c>
      <c r="N490" s="82">
        <f t="shared" si="3342"/>
        <v>3218</v>
      </c>
      <c r="O490" s="82">
        <f t="shared" si="3342"/>
        <v>3118</v>
      </c>
      <c r="P490" s="82">
        <f t="shared" si="3342"/>
        <v>3305</v>
      </c>
      <c r="Q490" s="82">
        <f t="shared" si="3342"/>
        <v>3085</v>
      </c>
      <c r="R490" s="82">
        <f t="shared" si="3342"/>
        <v>2522</v>
      </c>
      <c r="S490" s="82">
        <f t="shared" si="3342"/>
        <v>3330</v>
      </c>
      <c r="T490" s="82">
        <f t="shared" si="3342"/>
        <v>4041</v>
      </c>
      <c r="U490" s="82">
        <f t="shared" si="3342"/>
        <v>4342</v>
      </c>
      <c r="V490" s="82">
        <f t="shared" si="3342"/>
        <v>4609</v>
      </c>
      <c r="W490" s="82">
        <f t="shared" si="3342"/>
        <v>4879</v>
      </c>
      <c r="X490" s="82">
        <f t="shared" si="3342"/>
        <v>4958</v>
      </c>
      <c r="Y490" s="82">
        <f>SUM(Y483:Y489)</f>
        <v>4907</v>
      </c>
      <c r="Z490" s="82">
        <f>SUM(Z483:Z489)</f>
        <v>5206</v>
      </c>
      <c r="AA490" s="82">
        <f t="shared" si="3342"/>
        <v>5523</v>
      </c>
      <c r="AB490" s="82">
        <f t="shared" si="3342"/>
        <v>5940</v>
      </c>
      <c r="AC490" s="82">
        <f t="shared" si="3342"/>
        <v>6009</v>
      </c>
      <c r="AD490" s="82">
        <f t="shared" si="3342"/>
        <v>6373</v>
      </c>
      <c r="AE490" s="82">
        <f>SUM(AE483:AE489)</f>
        <v>6224</v>
      </c>
      <c r="AF490" s="82">
        <f>SUM(AF483:AF489)</f>
        <v>6646</v>
      </c>
      <c r="AG490" s="82">
        <f t="shared" si="3342"/>
        <v>6411</v>
      </c>
      <c r="AH490" s="82">
        <f t="shared" ref="AH490:AM490" si="3343">SUM(AH483:AH489)</f>
        <v>6762</v>
      </c>
      <c r="AI490" s="82">
        <f t="shared" si="3343"/>
        <v>6762</v>
      </c>
      <c r="AJ490" s="82">
        <f t="shared" si="3343"/>
        <v>6597</v>
      </c>
      <c r="AK490" s="82">
        <f t="shared" si="3343"/>
        <v>6251</v>
      </c>
      <c r="AL490" s="82">
        <f t="shared" si="3343"/>
        <v>6318.7162288178552</v>
      </c>
      <c r="AM490" s="82">
        <f t="shared" si="3343"/>
        <v>5235.2837711821476</v>
      </c>
      <c r="AN490" s="82">
        <f t="shared" ref="AN490:AS490" si="3344">SUM(AN483:AN489)</f>
        <v>6121</v>
      </c>
      <c r="AO490" s="82">
        <f t="shared" si="3344"/>
        <v>4126</v>
      </c>
      <c r="AP490" s="82">
        <f t="shared" si="3344"/>
        <v>5488</v>
      </c>
      <c r="AQ490" s="82">
        <f t="shared" si="3344"/>
        <v>6755</v>
      </c>
      <c r="AR490" s="82">
        <f t="shared" si="3344"/>
        <v>6692</v>
      </c>
      <c r="AS490" s="82">
        <f t="shared" si="3344"/>
        <v>6926</v>
      </c>
      <c r="AT490" s="82">
        <f t="shared" ref="AT490:AU490" si="3345">SUM(AT483:AT489)</f>
        <v>7339</v>
      </c>
      <c r="AU490" s="82">
        <f t="shared" si="3345"/>
        <v>6830</v>
      </c>
      <c r="AV490" s="82">
        <f t="shared" ref="AV490:AW490" si="3346">SUM(AV483:AV489)</f>
        <v>7223</v>
      </c>
      <c r="AW490" s="82">
        <f t="shared" si="3346"/>
        <v>6931</v>
      </c>
      <c r="AX490" s="82">
        <f t="shared" ref="AX490" si="3347">SUM(AX483:AX489)</f>
        <v>7405</v>
      </c>
      <c r="AY490" s="82">
        <f t="shared" ref="AY490:BE490" si="3348">SUM(AY483:AY489)</f>
        <v>7337.9999999999982</v>
      </c>
      <c r="AZ490" s="83">
        <f t="shared" si="3348"/>
        <v>7812</v>
      </c>
      <c r="BA490" s="82">
        <f t="shared" si="3348"/>
        <v>8002.3955388772929</v>
      </c>
      <c r="BB490" s="82">
        <f t="shared" si="3348"/>
        <v>8226.6170380766271</v>
      </c>
      <c r="BC490" s="82">
        <f t="shared" si="3348"/>
        <v>8209.7995062786304</v>
      </c>
      <c r="BD490" s="82">
        <f t="shared" si="3348"/>
        <v>8275.3879079530743</v>
      </c>
      <c r="BE490" s="82">
        <f t="shared" si="3348"/>
        <v>8514.1983609527724</v>
      </c>
      <c r="BF490" s="82">
        <f t="shared" ref="BF490:BM490" si="3349">SUM(BF483:BF489)</f>
        <v>8792.8959547187769</v>
      </c>
      <c r="BG490" s="82">
        <f t="shared" si="3349"/>
        <v>8954.8330315088533</v>
      </c>
      <c r="BH490" s="82">
        <f t="shared" si="3349"/>
        <v>9189.092141021014</v>
      </c>
      <c r="BI490" s="82">
        <f t="shared" si="3349"/>
        <v>9219.4826141939302</v>
      </c>
      <c r="BJ490" s="82">
        <f t="shared" si="3349"/>
        <v>9308.9950714056995</v>
      </c>
      <c r="BK490" s="82">
        <f t="shared" si="3349"/>
        <v>9150.6386179219007</v>
      </c>
      <c r="BL490" s="82">
        <f t="shared" si="3349"/>
        <v>9313.5320458557435</v>
      </c>
      <c r="BM490" s="82">
        <f t="shared" si="3349"/>
        <v>9306.5954529546707</v>
      </c>
      <c r="BN490" s="82">
        <f t="shared" ref="BN490:BO490" si="3350">SUM(BN483:BN489)</f>
        <v>9590.8676228326785</v>
      </c>
      <c r="BO490" s="82">
        <f t="shared" si="3350"/>
        <v>9572.960634241872</v>
      </c>
      <c r="BP490" s="82">
        <f t="shared" ref="BP490:BQ490" si="3351">SUM(BP483:BP489)</f>
        <v>9897.2587981890301</v>
      </c>
      <c r="BQ490" s="82">
        <f t="shared" si="3351"/>
        <v>9879.3288019618522</v>
      </c>
      <c r="BR490" s="82"/>
      <c r="BS490" s="82">
        <f t="shared" ref="BS490:CB490" si="3352">SUM(BS483:BS489)</f>
        <v>661</v>
      </c>
      <c r="BT490" s="82">
        <f t="shared" si="3352"/>
        <v>945</v>
      </c>
      <c r="BU490" s="82">
        <f t="shared" si="3352"/>
        <v>1054</v>
      </c>
      <c r="BV490" s="82">
        <f t="shared" si="3352"/>
        <v>1523</v>
      </c>
      <c r="BW490" s="82">
        <f t="shared" si="3352"/>
        <v>1776</v>
      </c>
      <c r="BX490" s="82">
        <f t="shared" si="3352"/>
        <v>1859</v>
      </c>
      <c r="BY490" s="82">
        <f t="shared" si="3352"/>
        <v>1958</v>
      </c>
      <c r="BZ490" s="82">
        <f t="shared" si="3352"/>
        <v>2207</v>
      </c>
      <c r="CA490" s="82">
        <f t="shared" si="3352"/>
        <v>2536</v>
      </c>
      <c r="CB490" s="82">
        <f t="shared" si="3352"/>
        <v>3269</v>
      </c>
      <c r="CC490" s="82">
        <f t="shared" ref="CC490:CR490" si="3353">SUM(CC483:CC489)</f>
        <v>3418</v>
      </c>
      <c r="CD490" s="82">
        <f t="shared" si="3353"/>
        <v>3543</v>
      </c>
      <c r="CE490" s="82">
        <f t="shared" si="3353"/>
        <v>3966</v>
      </c>
      <c r="CF490" s="82">
        <f t="shared" si="3353"/>
        <v>4911</v>
      </c>
      <c r="CG490" s="82">
        <f t="shared" si="3353"/>
        <v>5689</v>
      </c>
      <c r="CH490" s="82">
        <f t="shared" si="3353"/>
        <v>6336</v>
      </c>
      <c r="CI490" s="82">
        <f t="shared" si="3353"/>
        <v>6390</v>
      </c>
      <c r="CJ490" s="82">
        <f t="shared" si="3353"/>
        <v>5852</v>
      </c>
      <c r="CK490" s="82">
        <f t="shared" si="3353"/>
        <v>8383</v>
      </c>
      <c r="CL490" s="82">
        <f t="shared" si="3353"/>
        <v>9488</v>
      </c>
      <c r="CM490" s="82">
        <f t="shared" si="3353"/>
        <v>9865</v>
      </c>
      <c r="CN490" s="82">
        <f t="shared" si="3353"/>
        <v>10729</v>
      </c>
      <c r="CO490" s="82">
        <f t="shared" si="3353"/>
        <v>11949</v>
      </c>
      <c r="CP490" s="82">
        <f t="shared" si="3353"/>
        <v>12597</v>
      </c>
      <c r="CQ490" s="82">
        <f t="shared" si="3353"/>
        <v>13057</v>
      </c>
      <c r="CR490" s="82">
        <f t="shared" si="3353"/>
        <v>13524</v>
      </c>
      <c r="CS490" s="82">
        <f t="shared" ref="CS490:DC490" si="3354">SUM(CS483:CS489)</f>
        <v>12848</v>
      </c>
      <c r="CT490" s="82">
        <f t="shared" si="3354"/>
        <v>11554</v>
      </c>
      <c r="CU490" s="82">
        <f t="shared" si="3354"/>
        <v>10247</v>
      </c>
      <c r="CV490" s="82">
        <f t="shared" si="3354"/>
        <v>12243</v>
      </c>
      <c r="CW490" s="82">
        <f t="shared" si="3354"/>
        <v>13618</v>
      </c>
      <c r="CX490" s="82">
        <f t="shared" si="3354"/>
        <v>14169</v>
      </c>
      <c r="CY490" s="82">
        <f t="shared" si="3354"/>
        <v>14154</v>
      </c>
      <c r="CZ490" s="83">
        <f t="shared" si="3354"/>
        <v>14743</v>
      </c>
      <c r="DA490" s="82">
        <f t="shared" si="3354"/>
        <v>15814.39553887729</v>
      </c>
      <c r="DB490" s="82">
        <f t="shared" si="3354"/>
        <v>16436.416544355259</v>
      </c>
      <c r="DC490" s="82">
        <f t="shared" si="3354"/>
        <v>16789.586268905849</v>
      </c>
      <c r="DD490" s="82">
        <f t="shared" ref="DD490:DI490" si="3355">SUM(DD483:DD489)</f>
        <v>17747.728986227623</v>
      </c>
      <c r="DE490" s="82">
        <f t="shared" si="3355"/>
        <v>18408.574755214941</v>
      </c>
      <c r="DF490" s="82">
        <f t="shared" si="3355"/>
        <v>18459.633689327606</v>
      </c>
      <c r="DG490" s="82">
        <f t="shared" si="3355"/>
        <v>18620.127498810416</v>
      </c>
      <c r="DH490" s="82">
        <f t="shared" si="3355"/>
        <v>19163.828257074547</v>
      </c>
      <c r="DI490" s="82">
        <f t="shared" si="3355"/>
        <v>19776.58760015088</v>
      </c>
    </row>
    <row r="491" spans="1:113" outlineLevel="2">
      <c r="A491" s="1" t="s">
        <v>286</v>
      </c>
      <c r="B491" s="19" t="s">
        <v>526</v>
      </c>
      <c r="C491" s="55">
        <f t="shared" ref="C491:L491" si="3356">C462+C479</f>
        <v>0</v>
      </c>
      <c r="D491" s="55">
        <f t="shared" si="3356"/>
        <v>0</v>
      </c>
      <c r="E491" s="55">
        <f t="shared" si="3356"/>
        <v>0</v>
      </c>
      <c r="F491" s="55">
        <f t="shared" si="3356"/>
        <v>0</v>
      </c>
      <c r="G491" s="55">
        <f t="shared" si="3356"/>
        <v>0</v>
      </c>
      <c r="H491" s="55">
        <f t="shared" si="3356"/>
        <v>0</v>
      </c>
      <c r="I491" s="55">
        <f t="shared" si="3356"/>
        <v>0</v>
      </c>
      <c r="J491" s="55">
        <f t="shared" si="3356"/>
        <v>82</v>
      </c>
      <c r="K491" s="55">
        <f t="shared" si="3356"/>
        <v>19</v>
      </c>
      <c r="L491" s="55">
        <f t="shared" si="3356"/>
        <v>116</v>
      </c>
      <c r="M491" s="55">
        <f t="shared" ref="M491:AG491" si="3357">M462+M479</f>
        <v>70</v>
      </c>
      <c r="N491" s="55">
        <f t="shared" si="3357"/>
        <v>-11</v>
      </c>
      <c r="O491" s="55">
        <f t="shared" si="3357"/>
        <v>213</v>
      </c>
      <c r="P491" s="55">
        <f t="shared" si="3357"/>
        <v>22</v>
      </c>
      <c r="Q491" s="55">
        <f t="shared" si="3357"/>
        <v>-157</v>
      </c>
      <c r="R491" s="55">
        <f t="shared" si="3357"/>
        <v>761</v>
      </c>
      <c r="S491" s="55">
        <f t="shared" si="3357"/>
        <v>-164</v>
      </c>
      <c r="T491" s="55">
        <f t="shared" si="3357"/>
        <v>382</v>
      </c>
      <c r="U491" s="55">
        <f t="shared" si="3357"/>
        <v>-572</v>
      </c>
      <c r="V491" s="55">
        <f t="shared" si="3357"/>
        <v>-287</v>
      </c>
      <c r="W491" s="55">
        <f t="shared" si="3357"/>
        <v>-144</v>
      </c>
      <c r="X491" s="55">
        <f t="shared" si="3357"/>
        <v>103</v>
      </c>
      <c r="Y491" s="55">
        <f>Y462+Y479</f>
        <v>-4</v>
      </c>
      <c r="Z491" s="55">
        <f t="shared" si="3357"/>
        <v>-81</v>
      </c>
      <c r="AA491" s="55">
        <f t="shared" si="3357"/>
        <v>-3</v>
      </c>
      <c r="AB491" s="55">
        <f t="shared" si="3357"/>
        <v>-25</v>
      </c>
      <c r="AC491" s="55">
        <f t="shared" si="3357"/>
        <v>73</v>
      </c>
      <c r="AD491" s="55">
        <f t="shared" si="3357"/>
        <v>-53</v>
      </c>
      <c r="AE491" s="55">
        <f>AE462+AE479</f>
        <v>68</v>
      </c>
      <c r="AF491" s="55">
        <f>AF462+AF479</f>
        <v>-251</v>
      </c>
      <c r="AG491" s="55">
        <f t="shared" si="3357"/>
        <v>43</v>
      </c>
      <c r="AH491" s="55">
        <f t="shared" ref="AH491:AM491" si="3358">AH462+AH479</f>
        <v>8</v>
      </c>
      <c r="AI491" s="55">
        <f t="shared" si="3358"/>
        <v>94</v>
      </c>
      <c r="AJ491" s="55">
        <f t="shared" si="3358"/>
        <v>200</v>
      </c>
      <c r="AK491" s="55">
        <f t="shared" si="3358"/>
        <v>-26</v>
      </c>
      <c r="AL491" s="55">
        <f t="shared" si="3358"/>
        <v>93.283771182144847</v>
      </c>
      <c r="AM491" s="55">
        <f t="shared" si="3358"/>
        <v>115.71622881785242</v>
      </c>
      <c r="AN491" s="55">
        <f t="shared" ref="AN491:AS491" si="3359">AN462+AN479</f>
        <v>266</v>
      </c>
      <c r="AO491" s="55">
        <f t="shared" si="3359"/>
        <v>139</v>
      </c>
      <c r="AP491" s="55">
        <f t="shared" si="3359"/>
        <v>-126</v>
      </c>
      <c r="AQ491" s="55">
        <f t="shared" si="3359"/>
        <v>258</v>
      </c>
      <c r="AR491" s="55">
        <f t="shared" si="3359"/>
        <v>-46</v>
      </c>
      <c r="AS491" s="55">
        <f t="shared" si="3359"/>
        <v>112</v>
      </c>
      <c r="AT491" s="55">
        <f t="shared" ref="AT491" si="3360">AT462+AT479</f>
        <v>136</v>
      </c>
      <c r="AU491" s="55">
        <f>AU462+AU479</f>
        <v>-64</v>
      </c>
      <c r="AV491" s="55">
        <f>AV462+AV479</f>
        <v>-158</v>
      </c>
      <c r="AW491" s="55">
        <f>AW462+AW479</f>
        <v>-214</v>
      </c>
      <c r="AX491" s="55">
        <f>AX462+AX479</f>
        <v>1</v>
      </c>
      <c r="AY491" s="55">
        <f t="shared" ref="AY491:BE491" si="3361">AY462+AY479</f>
        <v>-195</v>
      </c>
      <c r="AZ491" s="56">
        <f t="shared" si="3361"/>
        <v>-47</v>
      </c>
      <c r="BA491" s="55">
        <f t="shared" si="3361"/>
        <v>0</v>
      </c>
      <c r="BB491" s="55">
        <f t="shared" si="3361"/>
        <v>0</v>
      </c>
      <c r="BC491" s="55">
        <f t="shared" si="3361"/>
        <v>0</v>
      </c>
      <c r="BD491" s="55">
        <f t="shared" si="3361"/>
        <v>0</v>
      </c>
      <c r="BE491" s="55">
        <f t="shared" si="3361"/>
        <v>0</v>
      </c>
      <c r="BF491" s="55">
        <f t="shared" ref="BF491:BM491" si="3362">BF462+BF479</f>
        <v>0</v>
      </c>
      <c r="BG491" s="55">
        <f t="shared" si="3362"/>
        <v>0</v>
      </c>
      <c r="BH491" s="55">
        <f t="shared" si="3362"/>
        <v>0</v>
      </c>
      <c r="BI491" s="55">
        <f t="shared" si="3362"/>
        <v>0</v>
      </c>
      <c r="BJ491" s="55">
        <f t="shared" si="3362"/>
        <v>0</v>
      </c>
      <c r="BK491" s="55">
        <f t="shared" si="3362"/>
        <v>0</v>
      </c>
      <c r="BL491" s="55">
        <f t="shared" si="3362"/>
        <v>0</v>
      </c>
      <c r="BM491" s="55">
        <f t="shared" si="3362"/>
        <v>0</v>
      </c>
      <c r="BN491" s="55">
        <f t="shared" ref="BN491:BO491" si="3363">BN462+BN479</f>
        <v>0</v>
      </c>
      <c r="BO491" s="55">
        <f t="shared" si="3363"/>
        <v>0</v>
      </c>
      <c r="BP491" s="55">
        <f t="shared" ref="BP491:BQ491" si="3364">BP462+BP479</f>
        <v>0</v>
      </c>
      <c r="BQ491" s="55">
        <f t="shared" si="3364"/>
        <v>0</v>
      </c>
      <c r="BR491" s="55"/>
      <c r="BS491" s="55">
        <f t="shared" ref="BS491:CB491" si="3365">BS462+BS479</f>
        <v>0</v>
      </c>
      <c r="BT491" s="55">
        <f t="shared" si="3365"/>
        <v>-136</v>
      </c>
      <c r="BU491" s="55">
        <f t="shared" si="3365"/>
        <v>0</v>
      </c>
      <c r="BV491" s="55">
        <f t="shared" si="3365"/>
        <v>-28</v>
      </c>
      <c r="BW491" s="55">
        <f t="shared" si="3365"/>
        <v>0</v>
      </c>
      <c r="BX491" s="55">
        <f t="shared" si="3365"/>
        <v>-171</v>
      </c>
      <c r="BY491" s="55">
        <f t="shared" si="3365"/>
        <v>-207</v>
      </c>
      <c r="BZ491" s="55">
        <f t="shared" si="3365"/>
        <v>-47</v>
      </c>
      <c r="CA491" s="55">
        <f t="shared" si="3365"/>
        <v>1002</v>
      </c>
      <c r="CB491" s="55">
        <f t="shared" si="3365"/>
        <v>136</v>
      </c>
      <c r="CC491" s="55">
        <f t="shared" ref="CC491:CR491" si="3366">CC462+CC479</f>
        <v>0</v>
      </c>
      <c r="CD491" s="55">
        <f t="shared" si="3366"/>
        <v>0</v>
      </c>
      <c r="CE491" s="55">
        <f t="shared" si="3366"/>
        <v>0</v>
      </c>
      <c r="CF491" s="55">
        <f t="shared" si="3366"/>
        <v>101</v>
      </c>
      <c r="CG491" s="55">
        <f t="shared" si="3366"/>
        <v>186</v>
      </c>
      <c r="CH491" s="55">
        <f t="shared" si="3366"/>
        <v>202</v>
      </c>
      <c r="CI491" s="55">
        <f t="shared" si="3366"/>
        <v>-135</v>
      </c>
      <c r="CJ491" s="55">
        <f t="shared" si="3366"/>
        <v>597</v>
      </c>
      <c r="CK491" s="55">
        <f t="shared" si="3366"/>
        <v>-190</v>
      </c>
      <c r="CL491" s="55">
        <f t="shared" si="3366"/>
        <v>-431</v>
      </c>
      <c r="CM491" s="55">
        <f t="shared" si="3366"/>
        <v>99</v>
      </c>
      <c r="CN491" s="55">
        <f t="shared" si="3366"/>
        <v>-84</v>
      </c>
      <c r="CO491" s="55">
        <f t="shared" si="3366"/>
        <v>48</v>
      </c>
      <c r="CP491" s="55">
        <f t="shared" si="3366"/>
        <v>15</v>
      </c>
      <c r="CQ491" s="55">
        <f t="shared" si="3366"/>
        <v>-208</v>
      </c>
      <c r="CR491" s="55">
        <f t="shared" si="3366"/>
        <v>102</v>
      </c>
      <c r="CS491" s="55">
        <f t="shared" ref="CS491:DC491" si="3367">CS462+CS479</f>
        <v>174</v>
      </c>
      <c r="CT491" s="55">
        <f t="shared" si="3367"/>
        <v>208.99999999999727</v>
      </c>
      <c r="CU491" s="55">
        <f t="shared" si="3367"/>
        <v>405</v>
      </c>
      <c r="CV491" s="55">
        <f t="shared" si="3367"/>
        <v>132</v>
      </c>
      <c r="CW491" s="55">
        <f t="shared" si="3367"/>
        <v>66</v>
      </c>
      <c r="CX491" s="55">
        <f t="shared" si="3367"/>
        <v>72</v>
      </c>
      <c r="CY491" s="55">
        <f t="shared" si="3367"/>
        <v>-372</v>
      </c>
      <c r="CZ491" s="56">
        <f t="shared" si="3367"/>
        <v>-194</v>
      </c>
      <c r="DA491" s="55">
        <f t="shared" si="3367"/>
        <v>-47</v>
      </c>
      <c r="DB491" s="55">
        <f t="shared" si="3367"/>
        <v>0</v>
      </c>
      <c r="DC491" s="55">
        <f t="shared" si="3367"/>
        <v>0</v>
      </c>
      <c r="DD491" s="55">
        <f t="shared" ref="DD491:DI491" si="3368">DD462+DD479</f>
        <v>0</v>
      </c>
      <c r="DE491" s="55">
        <f t="shared" si="3368"/>
        <v>0</v>
      </c>
      <c r="DF491" s="55">
        <f t="shared" si="3368"/>
        <v>0</v>
      </c>
      <c r="DG491" s="55">
        <f t="shared" si="3368"/>
        <v>0</v>
      </c>
      <c r="DH491" s="55">
        <f t="shared" si="3368"/>
        <v>0</v>
      </c>
      <c r="DI491" s="55">
        <f t="shared" si="3368"/>
        <v>0</v>
      </c>
    </row>
    <row r="492" spans="1:113" outlineLevel="2">
      <c r="A492" s="1" t="s">
        <v>687</v>
      </c>
      <c r="B492" s="19" t="s">
        <v>252</v>
      </c>
      <c r="C492" s="53">
        <f>285-175</f>
        <v>110</v>
      </c>
      <c r="D492" s="53">
        <f>174-162</f>
        <v>12</v>
      </c>
      <c r="E492" s="53">
        <f>303-161</f>
        <v>142</v>
      </c>
      <c r="F492" s="53">
        <f>-426-160</f>
        <v>-586</v>
      </c>
      <c r="G492" s="53">
        <f>181-162</f>
        <v>19</v>
      </c>
      <c r="H492" s="53">
        <f>165-162</f>
        <v>3</v>
      </c>
      <c r="I492" s="53">
        <f>36-162</f>
        <v>-126</v>
      </c>
      <c r="J492" s="53">
        <v>0</v>
      </c>
      <c r="K492" s="53">
        <v>0</v>
      </c>
      <c r="L492" s="53">
        <v>0</v>
      </c>
      <c r="M492" s="53">
        <v>0</v>
      </c>
      <c r="N492" s="53">
        <v>0</v>
      </c>
      <c r="O492" s="53">
        <v>0</v>
      </c>
      <c r="P492" s="53">
        <v>0</v>
      </c>
      <c r="Q492" s="53">
        <v>0</v>
      </c>
      <c r="R492" s="53">
        <v>0</v>
      </c>
      <c r="S492" s="53">
        <v>0</v>
      </c>
      <c r="T492" s="53">
        <v>0</v>
      </c>
      <c r="U492" s="53">
        <v>0</v>
      </c>
      <c r="V492" s="53">
        <v>0</v>
      </c>
      <c r="W492" s="53">
        <v>0</v>
      </c>
      <c r="X492" s="53">
        <v>0</v>
      </c>
      <c r="Y492" s="53">
        <v>0</v>
      </c>
      <c r="Z492" s="53">
        <v>0</v>
      </c>
      <c r="AA492" s="164">
        <v>0</v>
      </c>
      <c r="AB492" s="164">
        <v>0</v>
      </c>
      <c r="AC492" s="164">
        <v>0</v>
      </c>
      <c r="AD492" s="164">
        <v>0</v>
      </c>
      <c r="AE492" s="164">
        <v>0</v>
      </c>
      <c r="AF492" s="164">
        <v>0</v>
      </c>
      <c r="AG492" s="54">
        <v>0</v>
      </c>
      <c r="AH492" s="54">
        <v>0</v>
      </c>
      <c r="AI492" s="54">
        <v>0</v>
      </c>
      <c r="AJ492" s="54">
        <v>0</v>
      </c>
      <c r="AK492" s="54">
        <v>0</v>
      </c>
      <c r="AL492" s="54">
        <v>0</v>
      </c>
      <c r="AM492" s="54">
        <v>0</v>
      </c>
      <c r="AN492" s="54">
        <v>0</v>
      </c>
      <c r="AO492" s="54">
        <v>0</v>
      </c>
      <c r="AP492" s="54">
        <v>0</v>
      </c>
      <c r="AQ492" s="54">
        <v>0</v>
      </c>
      <c r="AR492" s="54">
        <v>0</v>
      </c>
      <c r="AS492" s="54">
        <v>0</v>
      </c>
      <c r="AT492" s="54">
        <v>0</v>
      </c>
      <c r="AU492" s="54">
        <v>0</v>
      </c>
      <c r="AV492" s="54">
        <v>0</v>
      </c>
      <c r="AW492" s="54">
        <v>0</v>
      </c>
      <c r="AX492" s="54">
        <v>0</v>
      </c>
      <c r="AY492" s="54">
        <v>-9</v>
      </c>
      <c r="AZ492" s="388">
        <v>0</v>
      </c>
      <c r="BA492" s="54">
        <v>0</v>
      </c>
      <c r="BB492" s="54">
        <v>0</v>
      </c>
      <c r="BC492" s="54">
        <v>0</v>
      </c>
      <c r="BD492" s="54">
        <v>0</v>
      </c>
      <c r="BE492" s="54">
        <v>0</v>
      </c>
      <c r="BF492" s="54">
        <v>0</v>
      </c>
      <c r="BG492" s="54">
        <v>0</v>
      </c>
      <c r="BH492" s="54">
        <v>0</v>
      </c>
      <c r="BI492" s="54">
        <v>0</v>
      </c>
      <c r="BJ492" s="54">
        <v>0</v>
      </c>
      <c r="BK492" s="54">
        <v>0</v>
      </c>
      <c r="BL492" s="54">
        <v>0</v>
      </c>
      <c r="BM492" s="54">
        <v>0</v>
      </c>
      <c r="BN492" s="54">
        <v>0</v>
      </c>
      <c r="BO492" s="54">
        <v>0</v>
      </c>
      <c r="BP492" s="54">
        <v>0</v>
      </c>
      <c r="BQ492" s="54">
        <v>0</v>
      </c>
      <c r="BR492" s="55"/>
      <c r="BS492" s="53">
        <v>0</v>
      </c>
      <c r="BT492" s="53">
        <v>0</v>
      </c>
      <c r="BU492" s="53">
        <v>0</v>
      </c>
      <c r="BV492" s="53">
        <v>0</v>
      </c>
      <c r="BW492" s="53">
        <v>0</v>
      </c>
      <c r="BX492" s="53">
        <v>0</v>
      </c>
      <c r="BY492" s="53">
        <v>0</v>
      </c>
      <c r="BZ492" s="53">
        <v>0</v>
      </c>
      <c r="CA492" s="53">
        <v>0</v>
      </c>
      <c r="CB492" s="53">
        <v>0</v>
      </c>
      <c r="CC492" s="55">
        <f>SUM(D492:E492)</f>
        <v>154</v>
      </c>
      <c r="CD492" s="55">
        <f>SUM(F492:G492)</f>
        <v>-567</v>
      </c>
      <c r="CE492" s="55">
        <f>SUM(H492:I492)</f>
        <v>-123</v>
      </c>
      <c r="CF492" s="55">
        <f>SUM(J492:K492)</f>
        <v>0</v>
      </c>
      <c r="CG492" s="55">
        <f>SUM(L492:M492)</f>
        <v>0</v>
      </c>
      <c r="CH492" s="55">
        <f>SUM(N492:O492)</f>
        <v>0</v>
      </c>
      <c r="CI492" s="55">
        <f>SUM(P492:Q492)</f>
        <v>0</v>
      </c>
      <c r="CJ492" s="55">
        <f>SUM(R492:S492)</f>
        <v>0</v>
      </c>
      <c r="CK492" s="55">
        <f>SUM(T492:U492)</f>
        <v>0</v>
      </c>
      <c r="CL492" s="55">
        <f>SUM(V492:W492)</f>
        <v>0</v>
      </c>
      <c r="CM492" s="55">
        <f>SUM(X492:Y492)</f>
        <v>0</v>
      </c>
      <c r="CN492" s="55">
        <f>SUM(Z492:AA492)</f>
        <v>0</v>
      </c>
      <c r="CO492" s="55">
        <f>SUM(AB492:AC492)</f>
        <v>0</v>
      </c>
      <c r="CP492" s="55">
        <f>SUM(AD492:AE492)</f>
        <v>0</v>
      </c>
      <c r="CQ492" s="55">
        <f>SUM(AF492:AG492)</f>
        <v>0</v>
      </c>
      <c r="CR492" s="55">
        <f>SUM(AH492:AI492)</f>
        <v>0</v>
      </c>
      <c r="CS492" s="55">
        <f>SUM(AJ492:AK492)</f>
        <v>0</v>
      </c>
      <c r="CT492" s="55">
        <f>SUM(AL492:AM492)</f>
        <v>0</v>
      </c>
      <c r="CU492" s="55">
        <f>SUM(AN492:AO492)</f>
        <v>0</v>
      </c>
      <c r="CV492" s="55">
        <f>SUM(AP492:AQ492)</f>
        <v>0</v>
      </c>
      <c r="CW492" s="55">
        <f>SUM(AR492:AS492)</f>
        <v>0</v>
      </c>
      <c r="CX492" s="55">
        <f>SUM(AT492:AU492)</f>
        <v>0</v>
      </c>
      <c r="CY492" s="55">
        <f>SUM(AV492:AW492)</f>
        <v>0</v>
      </c>
      <c r="CZ492" s="56">
        <f>SUM(AX492:AY492)</f>
        <v>-9</v>
      </c>
      <c r="DA492" s="55">
        <f>SUM(AZ492:BA492)</f>
        <v>0</v>
      </c>
      <c r="DB492" s="55">
        <f>SUM(BB492:BC492)</f>
        <v>0</v>
      </c>
      <c r="DC492" s="55">
        <f>SUM(BD492:BE492)</f>
        <v>0</v>
      </c>
      <c r="DD492" s="55">
        <f>SUM(BF492:BG492)</f>
        <v>0</v>
      </c>
      <c r="DE492" s="55">
        <f>SUM(BH492:BI492)</f>
        <v>0</v>
      </c>
      <c r="DF492" s="55">
        <f>SUM(BJ492:BK492)</f>
        <v>0</v>
      </c>
      <c r="DG492" s="55">
        <f>SUM(BK492:BL492)</f>
        <v>0</v>
      </c>
      <c r="DH492" s="55">
        <f>SUM(BM492:BN492)</f>
        <v>0</v>
      </c>
      <c r="DI492" s="55">
        <f>SUM(BO492:BP492)</f>
        <v>0</v>
      </c>
    </row>
    <row r="493" spans="1:113" s="24" customFormat="1" outlineLevel="2">
      <c r="A493" s="1" t="s">
        <v>287</v>
      </c>
      <c r="B493" s="24" t="s">
        <v>157</v>
      </c>
      <c r="C493" s="82">
        <f>C490+C491+C492</f>
        <v>1765</v>
      </c>
      <c r="D493" s="82">
        <f>D490+D491+D492</f>
        <v>1674</v>
      </c>
      <c r="E493" s="82">
        <f t="shared" ref="E493:L493" si="3369">E490+E491+E492</f>
        <v>1898</v>
      </c>
      <c r="F493" s="82">
        <f t="shared" si="3369"/>
        <v>1038</v>
      </c>
      <c r="G493" s="82">
        <f t="shared" si="3369"/>
        <v>1938</v>
      </c>
      <c r="H493" s="82">
        <f t="shared" si="3369"/>
        <v>1861</v>
      </c>
      <c r="I493" s="82">
        <f t="shared" si="3369"/>
        <v>1982</v>
      </c>
      <c r="J493" s="82">
        <f t="shared" si="3369"/>
        <v>2522</v>
      </c>
      <c r="K493" s="82">
        <f t="shared" si="3369"/>
        <v>2490</v>
      </c>
      <c r="L493" s="82">
        <f t="shared" si="3369"/>
        <v>2971</v>
      </c>
      <c r="M493" s="82">
        <f t="shared" ref="M493:AG493" si="3370">M490+M491+M492</f>
        <v>2904</v>
      </c>
      <c r="N493" s="82">
        <f t="shared" si="3370"/>
        <v>3207</v>
      </c>
      <c r="O493" s="82">
        <f t="shared" si="3370"/>
        <v>3331</v>
      </c>
      <c r="P493" s="82">
        <f t="shared" si="3370"/>
        <v>3327</v>
      </c>
      <c r="Q493" s="82">
        <f t="shared" si="3370"/>
        <v>2928</v>
      </c>
      <c r="R493" s="82">
        <f t="shared" si="3370"/>
        <v>3283</v>
      </c>
      <c r="S493" s="82">
        <f t="shared" si="3370"/>
        <v>3166</v>
      </c>
      <c r="T493" s="82">
        <f t="shared" si="3370"/>
        <v>4423</v>
      </c>
      <c r="U493" s="82">
        <f t="shared" si="3370"/>
        <v>3770</v>
      </c>
      <c r="V493" s="82">
        <f t="shared" si="3370"/>
        <v>4322</v>
      </c>
      <c r="W493" s="82">
        <f t="shared" si="3370"/>
        <v>4735</v>
      </c>
      <c r="X493" s="82">
        <f t="shared" si="3370"/>
        <v>5061</v>
      </c>
      <c r="Y493" s="82">
        <f>Y490+Y491+Y492</f>
        <v>4903</v>
      </c>
      <c r="Z493" s="82">
        <f>Z490+Z491+Z492</f>
        <v>5125</v>
      </c>
      <c r="AA493" s="82">
        <f t="shared" si="3370"/>
        <v>5520</v>
      </c>
      <c r="AB493" s="82">
        <f t="shared" si="3370"/>
        <v>5915</v>
      </c>
      <c r="AC493" s="82">
        <f t="shared" si="3370"/>
        <v>6082</v>
      </c>
      <c r="AD493" s="82">
        <f t="shared" si="3370"/>
        <v>6320</v>
      </c>
      <c r="AE493" s="82">
        <f>AE490+AE491+AE492</f>
        <v>6292</v>
      </c>
      <c r="AF493" s="82">
        <f>AF490+AF491+AF492</f>
        <v>6395</v>
      </c>
      <c r="AG493" s="82">
        <f t="shared" si="3370"/>
        <v>6454</v>
      </c>
      <c r="AH493" s="82">
        <f t="shared" ref="AH493:AM493" si="3371">AH490+AH491+AH492</f>
        <v>6770</v>
      </c>
      <c r="AI493" s="82">
        <f t="shared" si="3371"/>
        <v>6856</v>
      </c>
      <c r="AJ493" s="82">
        <f t="shared" si="3371"/>
        <v>6797</v>
      </c>
      <c r="AK493" s="82">
        <f t="shared" si="3371"/>
        <v>6225</v>
      </c>
      <c r="AL493" s="82">
        <f t="shared" si="3371"/>
        <v>6412</v>
      </c>
      <c r="AM493" s="82">
        <f t="shared" si="3371"/>
        <v>5351</v>
      </c>
      <c r="AN493" s="82">
        <f t="shared" ref="AN493:AS493" si="3372">AN490+AN491+AN492</f>
        <v>6387</v>
      </c>
      <c r="AO493" s="82">
        <f t="shared" si="3372"/>
        <v>4265</v>
      </c>
      <c r="AP493" s="82">
        <f t="shared" si="3372"/>
        <v>5362</v>
      </c>
      <c r="AQ493" s="82">
        <f t="shared" si="3372"/>
        <v>7013</v>
      </c>
      <c r="AR493" s="82">
        <f t="shared" si="3372"/>
        <v>6646</v>
      </c>
      <c r="AS493" s="82">
        <f t="shared" si="3372"/>
        <v>7038</v>
      </c>
      <c r="AT493" s="82">
        <f t="shared" ref="AT493:AU493" si="3373">AT490+AT491+AT492</f>
        <v>7475</v>
      </c>
      <c r="AU493" s="82">
        <f t="shared" si="3373"/>
        <v>6766</v>
      </c>
      <c r="AV493" s="82">
        <f t="shared" ref="AV493:AW493" si="3374">AV490+AV491+AV492</f>
        <v>7065</v>
      </c>
      <c r="AW493" s="82">
        <f t="shared" si="3374"/>
        <v>6717</v>
      </c>
      <c r="AX493" s="82">
        <f t="shared" ref="AX493" si="3375">AX490+AX491+AX492</f>
        <v>7406</v>
      </c>
      <c r="AY493" s="82">
        <f t="shared" ref="AY493:BE493" si="3376">AY490+AY491+AY492</f>
        <v>7133.9999999999982</v>
      </c>
      <c r="AZ493" s="83">
        <f t="shared" si="3376"/>
        <v>7765</v>
      </c>
      <c r="BA493" s="82">
        <f t="shared" si="3376"/>
        <v>8002.3955388772929</v>
      </c>
      <c r="BB493" s="82">
        <f t="shared" si="3376"/>
        <v>8226.6170380766271</v>
      </c>
      <c r="BC493" s="82">
        <f t="shared" si="3376"/>
        <v>8209.7995062786304</v>
      </c>
      <c r="BD493" s="82">
        <f t="shared" si="3376"/>
        <v>8275.3879079530743</v>
      </c>
      <c r="BE493" s="82">
        <f t="shared" si="3376"/>
        <v>8514.1983609527724</v>
      </c>
      <c r="BF493" s="82">
        <f t="shared" ref="BF493:BM493" si="3377">BF490+BF491+BF492</f>
        <v>8792.8959547187769</v>
      </c>
      <c r="BG493" s="82">
        <f t="shared" si="3377"/>
        <v>8954.8330315088533</v>
      </c>
      <c r="BH493" s="82">
        <f t="shared" si="3377"/>
        <v>9189.092141021014</v>
      </c>
      <c r="BI493" s="82">
        <f t="shared" si="3377"/>
        <v>9219.4826141939302</v>
      </c>
      <c r="BJ493" s="82">
        <f t="shared" si="3377"/>
        <v>9308.9950714056995</v>
      </c>
      <c r="BK493" s="82">
        <f t="shared" si="3377"/>
        <v>9150.6386179219007</v>
      </c>
      <c r="BL493" s="82">
        <f t="shared" si="3377"/>
        <v>9313.5320458557435</v>
      </c>
      <c r="BM493" s="82">
        <f t="shared" si="3377"/>
        <v>9306.5954529546707</v>
      </c>
      <c r="BN493" s="82">
        <f t="shared" ref="BN493:BO493" si="3378">BN490+BN491+BN492</f>
        <v>9590.8676228326785</v>
      </c>
      <c r="BO493" s="82">
        <f t="shared" si="3378"/>
        <v>9572.960634241872</v>
      </c>
      <c r="BP493" s="82">
        <f t="shared" ref="BP493:BQ493" si="3379">BP490+BP491+BP492</f>
        <v>9897.2587981890301</v>
      </c>
      <c r="BQ493" s="82">
        <f t="shared" si="3379"/>
        <v>9879.3288019618522</v>
      </c>
      <c r="BR493" s="82"/>
      <c r="BS493" s="82">
        <f t="shared" ref="BS493:CB493" si="3380">BS490+BS491+BS492</f>
        <v>661</v>
      </c>
      <c r="BT493" s="82">
        <f t="shared" si="3380"/>
        <v>809</v>
      </c>
      <c r="BU493" s="82">
        <f t="shared" si="3380"/>
        <v>1054</v>
      </c>
      <c r="BV493" s="82">
        <f t="shared" si="3380"/>
        <v>1495</v>
      </c>
      <c r="BW493" s="82">
        <f t="shared" si="3380"/>
        <v>1776</v>
      </c>
      <c r="BX493" s="82">
        <f t="shared" si="3380"/>
        <v>1688</v>
      </c>
      <c r="BY493" s="82">
        <f t="shared" si="3380"/>
        <v>1751</v>
      </c>
      <c r="BZ493" s="82">
        <f t="shared" si="3380"/>
        <v>2160</v>
      </c>
      <c r="CA493" s="82">
        <f t="shared" si="3380"/>
        <v>3538</v>
      </c>
      <c r="CB493" s="82">
        <f t="shared" si="3380"/>
        <v>3405</v>
      </c>
      <c r="CC493" s="82">
        <f t="shared" ref="CC493:CP493" si="3381">CC490+CC491+CC492</f>
        <v>3572</v>
      </c>
      <c r="CD493" s="82">
        <f t="shared" si="3381"/>
        <v>2976</v>
      </c>
      <c r="CE493" s="82">
        <f t="shared" si="3381"/>
        <v>3843</v>
      </c>
      <c r="CF493" s="82">
        <f t="shared" si="3381"/>
        <v>5012</v>
      </c>
      <c r="CG493" s="82">
        <f t="shared" si="3381"/>
        <v>5875</v>
      </c>
      <c r="CH493" s="82">
        <f t="shared" si="3381"/>
        <v>6538</v>
      </c>
      <c r="CI493" s="82">
        <f t="shared" si="3381"/>
        <v>6255</v>
      </c>
      <c r="CJ493" s="82">
        <f t="shared" si="3381"/>
        <v>6449</v>
      </c>
      <c r="CK493" s="82">
        <f t="shared" si="3381"/>
        <v>8193</v>
      </c>
      <c r="CL493" s="82">
        <f t="shared" si="3381"/>
        <v>9057</v>
      </c>
      <c r="CM493" s="82">
        <f t="shared" si="3381"/>
        <v>9964</v>
      </c>
      <c r="CN493" s="82">
        <f t="shared" si="3381"/>
        <v>10645</v>
      </c>
      <c r="CO493" s="82">
        <f t="shared" si="3381"/>
        <v>11997</v>
      </c>
      <c r="CP493" s="82">
        <f t="shared" si="3381"/>
        <v>12612</v>
      </c>
      <c r="CQ493" s="82">
        <f t="shared" ref="CQ493:CX493" si="3382">CQ490+CQ491+CQ492</f>
        <v>12849</v>
      </c>
      <c r="CR493" s="82">
        <f t="shared" si="3382"/>
        <v>13626</v>
      </c>
      <c r="CS493" s="82">
        <f t="shared" si="3382"/>
        <v>13022</v>
      </c>
      <c r="CT493" s="82">
        <f t="shared" si="3382"/>
        <v>11762.999999999996</v>
      </c>
      <c r="CU493" s="82">
        <f t="shared" si="3382"/>
        <v>10652</v>
      </c>
      <c r="CV493" s="82">
        <f t="shared" si="3382"/>
        <v>12375</v>
      </c>
      <c r="CW493" s="82">
        <f t="shared" si="3382"/>
        <v>13684</v>
      </c>
      <c r="CX493" s="82">
        <f t="shared" si="3382"/>
        <v>14241</v>
      </c>
      <c r="CY493" s="82">
        <f t="shared" ref="CY493:DD493" si="3383">CY490+CY491+CY492</f>
        <v>13782</v>
      </c>
      <c r="CZ493" s="83">
        <f t="shared" si="3383"/>
        <v>14540</v>
      </c>
      <c r="DA493" s="82">
        <f t="shared" si="3383"/>
        <v>15767.39553887729</v>
      </c>
      <c r="DB493" s="82">
        <f t="shared" si="3383"/>
        <v>16436.416544355259</v>
      </c>
      <c r="DC493" s="82">
        <f t="shared" si="3383"/>
        <v>16789.586268905849</v>
      </c>
      <c r="DD493" s="82">
        <f t="shared" si="3383"/>
        <v>17747.728986227623</v>
      </c>
      <c r="DE493" s="82">
        <f>DE490+DE491+DE492</f>
        <v>18408.574755214941</v>
      </c>
      <c r="DF493" s="82">
        <f>DF490+DF491+DF492</f>
        <v>18459.633689327606</v>
      </c>
      <c r="DG493" s="82">
        <f>DG490+DG491+DG492</f>
        <v>18620.127498810416</v>
      </c>
      <c r="DH493" s="82">
        <f>DH490+DH491+DH492</f>
        <v>19163.828257074547</v>
      </c>
      <c r="DI493" s="82">
        <f>DI490+DI491+DI492</f>
        <v>19776.58760015088</v>
      </c>
    </row>
    <row r="494" spans="1:113">
      <c r="C494" s="55"/>
      <c r="D494" s="55"/>
      <c r="E494" s="55"/>
      <c r="F494" s="55"/>
      <c r="G494" s="55"/>
      <c r="H494" s="55"/>
      <c r="I494" s="55"/>
      <c r="J494" s="55"/>
      <c r="K494" s="55"/>
      <c r="L494" s="55"/>
      <c r="M494" s="55"/>
      <c r="N494" s="55"/>
      <c r="O494" s="55"/>
      <c r="P494" s="55"/>
      <c r="Q494" s="55"/>
      <c r="R494" s="55"/>
      <c r="S494" s="55"/>
      <c r="T494" s="55"/>
      <c r="U494" s="55"/>
      <c r="V494" s="55"/>
      <c r="W494" s="55"/>
      <c r="X494" s="55"/>
      <c r="Y494" s="55"/>
      <c r="Z494" s="55"/>
      <c r="AA494" s="55"/>
      <c r="AB494" s="55"/>
      <c r="AC494" s="55"/>
      <c r="AD494" s="55"/>
      <c r="AE494" s="55"/>
      <c r="AF494" s="55"/>
      <c r="AG494" s="55"/>
      <c r="AH494" s="55"/>
      <c r="AI494" s="55"/>
      <c r="AJ494" s="55"/>
      <c r="AK494" s="55"/>
      <c r="AL494" s="55"/>
      <c r="AM494" s="55"/>
      <c r="AN494" s="55"/>
      <c r="AO494" s="55"/>
      <c r="AP494" s="55"/>
      <c r="AQ494" s="55"/>
      <c r="AR494" s="55"/>
      <c r="AS494" s="55"/>
      <c r="AT494" s="55"/>
      <c r="AU494" s="55"/>
      <c r="AV494" s="55"/>
      <c r="AW494" s="55"/>
      <c r="AX494" s="55"/>
      <c r="AY494" s="55"/>
      <c r="AZ494" s="56"/>
      <c r="BA494" s="55"/>
      <c r="BB494" s="55"/>
      <c r="BC494" s="55"/>
      <c r="BD494" s="55"/>
      <c r="BE494" s="55"/>
      <c r="BF494" s="55"/>
      <c r="BG494" s="55"/>
      <c r="BH494" s="55"/>
      <c r="BI494" s="55"/>
      <c r="BJ494" s="55"/>
      <c r="BK494" s="55"/>
      <c r="BL494" s="55"/>
      <c r="BM494" s="55"/>
      <c r="BN494" s="55"/>
      <c r="BO494" s="55"/>
      <c r="BP494" s="55"/>
      <c r="BQ494" s="55"/>
      <c r="BR494" s="55"/>
      <c r="BS494" s="55"/>
      <c r="BT494" s="55"/>
      <c r="BU494" s="55"/>
      <c r="BV494" s="55"/>
      <c r="BW494" s="55"/>
      <c r="BX494" s="55"/>
      <c r="BY494" s="55"/>
      <c r="BZ494" s="55"/>
      <c r="CA494" s="55"/>
      <c r="CB494" s="55"/>
      <c r="CC494" s="55"/>
      <c r="CD494" s="55"/>
      <c r="CE494" s="55"/>
      <c r="CF494" s="55"/>
      <c r="CG494" s="55"/>
      <c r="CH494" s="55"/>
      <c r="CI494" s="55"/>
      <c r="CJ494" s="55"/>
      <c r="CK494" s="55"/>
      <c r="CL494" s="55"/>
      <c r="CM494" s="55"/>
      <c r="CN494" s="55"/>
      <c r="CO494" s="55"/>
      <c r="CP494" s="55"/>
      <c r="CQ494" s="55"/>
      <c r="CR494" s="55"/>
      <c r="CS494" s="55"/>
      <c r="CT494" s="55"/>
      <c r="CU494" s="55"/>
      <c r="CV494" s="55"/>
      <c r="CW494" s="55"/>
      <c r="CX494" s="55"/>
      <c r="CY494" s="55"/>
      <c r="CZ494" s="56"/>
      <c r="DA494" s="55"/>
      <c r="DB494" s="55"/>
    </row>
    <row r="495" spans="1:113" s="36" customFormat="1" collapsed="1">
      <c r="A495" s="1" t="s">
        <v>361</v>
      </c>
      <c r="B495" s="2" t="s">
        <v>76</v>
      </c>
      <c r="C495" s="79">
        <f>C500</f>
        <v>-506.5</v>
      </c>
      <c r="D495" s="79">
        <f>D500</f>
        <v>-487</v>
      </c>
      <c r="E495" s="79">
        <f>E500</f>
        <v>-464</v>
      </c>
      <c r="F495" s="79">
        <f t="shared" ref="F495:L495" si="3384">F500</f>
        <v>-436</v>
      </c>
      <c r="G495" s="79">
        <f t="shared" si="3384"/>
        <v>-568</v>
      </c>
      <c r="H495" s="79">
        <f t="shared" si="3384"/>
        <v>-657</v>
      </c>
      <c r="I495" s="79">
        <f t="shared" si="3384"/>
        <v>-715</v>
      </c>
      <c r="J495" s="79">
        <f t="shared" si="3384"/>
        <v>-768</v>
      </c>
      <c r="K495" s="79">
        <f t="shared" si="3384"/>
        <v>-782</v>
      </c>
      <c r="L495" s="79">
        <f t="shared" si="3384"/>
        <v>-794</v>
      </c>
      <c r="M495" s="79">
        <f t="shared" ref="M495:AG495" si="3385">M500</f>
        <v>-842</v>
      </c>
      <c r="N495" s="79">
        <f t="shared" si="3385"/>
        <v>-950</v>
      </c>
      <c r="O495" s="79">
        <f t="shared" si="3385"/>
        <v>-914</v>
      </c>
      <c r="P495" s="79">
        <f t="shared" si="3385"/>
        <v>-945</v>
      </c>
      <c r="Q495" s="79">
        <f t="shared" si="3385"/>
        <v>-760</v>
      </c>
      <c r="R495" s="79">
        <f t="shared" si="3385"/>
        <v>-642</v>
      </c>
      <c r="S495" s="79">
        <f t="shared" si="3385"/>
        <v>-959</v>
      </c>
      <c r="T495" s="79">
        <f t="shared" si="3385"/>
        <v>-1122</v>
      </c>
      <c r="U495" s="79">
        <f t="shared" si="3385"/>
        <v>-1207</v>
      </c>
      <c r="V495" s="79">
        <f t="shared" si="3385"/>
        <v>-1296</v>
      </c>
      <c r="W495" s="79">
        <f t="shared" si="3385"/>
        <v>-1399</v>
      </c>
      <c r="X495" s="79">
        <f t="shared" si="3385"/>
        <v>-1402</v>
      </c>
      <c r="Y495" s="79">
        <f>Y500</f>
        <v>-1392</v>
      </c>
      <c r="Z495" s="79">
        <f>Z500</f>
        <v>-1476</v>
      </c>
      <c r="AA495" s="79">
        <f t="shared" si="3385"/>
        <v>-1533</v>
      </c>
      <c r="AB495" s="79">
        <f t="shared" si="3385"/>
        <v>-1695</v>
      </c>
      <c r="AC495" s="79">
        <f t="shared" si="3385"/>
        <v>-1619</v>
      </c>
      <c r="AD495" s="79">
        <f t="shared" si="3385"/>
        <v>-1774</v>
      </c>
      <c r="AE495" s="79">
        <f>AE500</f>
        <v>-1738</v>
      </c>
      <c r="AF495" s="79">
        <f>AF500</f>
        <v>-1870</v>
      </c>
      <c r="AG495" s="79">
        <f t="shared" si="3385"/>
        <v>-1792</v>
      </c>
      <c r="AH495" s="79">
        <f t="shared" ref="AH495:AM495" si="3386">AH500</f>
        <v>-1934</v>
      </c>
      <c r="AI495" s="79">
        <f t="shared" si="3386"/>
        <v>-1935</v>
      </c>
      <c r="AJ495" s="79">
        <f t="shared" si="3386"/>
        <v>-1999</v>
      </c>
      <c r="AK495" s="79">
        <f t="shared" si="3386"/>
        <v>-1934</v>
      </c>
      <c r="AL495" s="79">
        <f t="shared" si="3386"/>
        <v>-1806.1230724469015</v>
      </c>
      <c r="AM495" s="79">
        <f t="shared" si="3386"/>
        <v>-1526.8769275530988</v>
      </c>
      <c r="AN495" s="79">
        <f t="shared" ref="AN495:AS495" si="3387">AN500</f>
        <v>-1794</v>
      </c>
      <c r="AO495" s="79">
        <f t="shared" si="3387"/>
        <v>-1228</v>
      </c>
      <c r="AP495" s="79">
        <f t="shared" si="3387"/>
        <v>-1620</v>
      </c>
      <c r="AQ495" s="79">
        <f t="shared" si="3387"/>
        <v>-1970</v>
      </c>
      <c r="AR495" s="79">
        <f t="shared" si="3387"/>
        <v>-1946</v>
      </c>
      <c r="AS495" s="79">
        <f t="shared" si="3387"/>
        <v>-2077</v>
      </c>
      <c r="AT495" s="79">
        <f t="shared" ref="AT495:AU495" si="3388">AT500</f>
        <v>-2159</v>
      </c>
      <c r="AU495" s="79">
        <f t="shared" si="3388"/>
        <v>-1938</v>
      </c>
      <c r="AV495" s="79">
        <f t="shared" ref="AV495:AW495" si="3389">AV500</f>
        <v>-2204</v>
      </c>
      <c r="AW495" s="79">
        <f t="shared" si="3389"/>
        <v>-2114</v>
      </c>
      <c r="AX495" s="79">
        <f t="shared" ref="AX495" si="3390">AX500</f>
        <v>-2273</v>
      </c>
      <c r="AY495" s="79">
        <f t="shared" ref="AY495:BE495" si="3391">AY500</f>
        <v>-2218</v>
      </c>
      <c r="AZ495" s="80">
        <f t="shared" si="3391"/>
        <v>-2367</v>
      </c>
      <c r="BA495" s="79">
        <f t="shared" si="3391"/>
        <v>-2376.7114750465557</v>
      </c>
      <c r="BB495" s="79">
        <f t="shared" si="3391"/>
        <v>-2467.9851114229882</v>
      </c>
      <c r="BC495" s="79">
        <f t="shared" si="3391"/>
        <v>-2462.9398518835892</v>
      </c>
      <c r="BD495" s="79">
        <f t="shared" si="3391"/>
        <v>-2482.6163723859222</v>
      </c>
      <c r="BE495" s="79">
        <f t="shared" si="3391"/>
        <v>-2554.2595082858315</v>
      </c>
      <c r="BF495" s="79">
        <f t="shared" ref="BF495:BM495" si="3392">BF500</f>
        <v>-2637.8687864156332</v>
      </c>
      <c r="BG495" s="79">
        <f t="shared" si="3392"/>
        <v>-2686.4499094526559</v>
      </c>
      <c r="BH495" s="79">
        <f t="shared" si="3392"/>
        <v>-2756.727642306304</v>
      </c>
      <c r="BI495" s="79">
        <f t="shared" si="3392"/>
        <v>-2765.8447842581791</v>
      </c>
      <c r="BJ495" s="79">
        <f t="shared" si="3392"/>
        <v>-2792.6985214217098</v>
      </c>
      <c r="BK495" s="79">
        <f t="shared" si="3392"/>
        <v>-2745.1915853765699</v>
      </c>
      <c r="BL495" s="79">
        <f t="shared" si="3392"/>
        <v>-2794.0596137567231</v>
      </c>
      <c r="BM495" s="79">
        <f t="shared" si="3392"/>
        <v>-2791.9786358864012</v>
      </c>
      <c r="BN495" s="79">
        <f t="shared" ref="BN495:BO495" si="3393">BN500</f>
        <v>-2877.2602868498034</v>
      </c>
      <c r="BO495" s="79">
        <f t="shared" si="3393"/>
        <v>-2871.8881902725616</v>
      </c>
      <c r="BP495" s="79">
        <f t="shared" ref="BP495:BQ495" si="3394">BP500</f>
        <v>-2969.1776394567091</v>
      </c>
      <c r="BQ495" s="79">
        <f t="shared" si="3394"/>
        <v>-2963.7986405885554</v>
      </c>
      <c r="BR495" s="79"/>
      <c r="BS495" s="79">
        <f t="shared" ref="BS495:CB495" si="3395">BS500</f>
        <v>-252.1</v>
      </c>
      <c r="BT495" s="79">
        <f t="shared" si="3395"/>
        <v>-366</v>
      </c>
      <c r="BU495" s="79">
        <f t="shared" si="3395"/>
        <v>-372</v>
      </c>
      <c r="BV495" s="79">
        <f t="shared" si="3395"/>
        <v>-512</v>
      </c>
      <c r="BW495" s="79">
        <f t="shared" si="3395"/>
        <v>-657</v>
      </c>
      <c r="BX495" s="79">
        <f t="shared" si="3395"/>
        <v>-610</v>
      </c>
      <c r="BY495" s="79">
        <f t="shared" si="3395"/>
        <v>-661</v>
      </c>
      <c r="BZ495" s="79">
        <f t="shared" si="3395"/>
        <v>-738</v>
      </c>
      <c r="CA495" s="79">
        <f t="shared" si="3395"/>
        <v>-858</v>
      </c>
      <c r="CB495" s="79">
        <f t="shared" si="3395"/>
        <v>-1016</v>
      </c>
      <c r="CC495" s="79">
        <f t="shared" ref="CC495:CO495" si="3396">CC500</f>
        <v>-951</v>
      </c>
      <c r="CD495" s="79">
        <f t="shared" si="3396"/>
        <v>-1004</v>
      </c>
      <c r="CE495" s="79">
        <f t="shared" si="3396"/>
        <v>-1372</v>
      </c>
      <c r="CF495" s="79">
        <f t="shared" si="3396"/>
        <v>-1550</v>
      </c>
      <c r="CG495" s="79">
        <f t="shared" si="3396"/>
        <v>-1636</v>
      </c>
      <c r="CH495" s="79">
        <f t="shared" si="3396"/>
        <v>-1864</v>
      </c>
      <c r="CI495" s="79">
        <f t="shared" si="3396"/>
        <v>-1705</v>
      </c>
      <c r="CJ495" s="79">
        <f t="shared" si="3396"/>
        <v>-1601</v>
      </c>
      <c r="CK495" s="79">
        <f t="shared" si="3396"/>
        <v>-2329</v>
      </c>
      <c r="CL495" s="79">
        <f t="shared" si="3396"/>
        <v>-2695</v>
      </c>
      <c r="CM495" s="79">
        <f t="shared" si="3396"/>
        <v>-2794</v>
      </c>
      <c r="CN495" s="79">
        <f t="shared" si="3396"/>
        <v>-3009</v>
      </c>
      <c r="CO495" s="79">
        <f t="shared" si="3396"/>
        <v>-3314</v>
      </c>
      <c r="CP495" s="79">
        <f t="shared" ref="CP495:CX495" si="3397">CP500</f>
        <v>-3512</v>
      </c>
      <c r="CQ495" s="79">
        <f t="shared" si="3397"/>
        <v>-3662</v>
      </c>
      <c r="CR495" s="79">
        <f t="shared" si="3397"/>
        <v>-3869</v>
      </c>
      <c r="CS495" s="79">
        <f t="shared" si="3397"/>
        <v>-3933</v>
      </c>
      <c r="CT495" s="79">
        <f t="shared" si="3397"/>
        <v>-3333</v>
      </c>
      <c r="CU495" s="79">
        <f t="shared" si="3397"/>
        <v>-3022</v>
      </c>
      <c r="CV495" s="79">
        <f t="shared" si="3397"/>
        <v>-3590</v>
      </c>
      <c r="CW495" s="79">
        <f t="shared" si="3397"/>
        <v>-4023</v>
      </c>
      <c r="CX495" s="79">
        <f t="shared" si="3397"/>
        <v>-4097</v>
      </c>
      <c r="CY495" s="79">
        <f t="shared" ref="CY495:DD495" si="3398">CY500</f>
        <v>-4318</v>
      </c>
      <c r="CZ495" s="80">
        <f t="shared" si="3398"/>
        <v>-4491</v>
      </c>
      <c r="DA495" s="79">
        <f t="shared" si="3398"/>
        <v>-4743.7114750465553</v>
      </c>
      <c r="DB495" s="79">
        <f t="shared" si="3398"/>
        <v>-4930.9249633065774</v>
      </c>
      <c r="DC495" s="79">
        <f t="shared" si="3398"/>
        <v>-5036.8758806717542</v>
      </c>
      <c r="DD495" s="79">
        <f t="shared" si="3398"/>
        <v>-5324.3186958682891</v>
      </c>
      <c r="DE495" s="79">
        <f>DE500</f>
        <v>-5522.5724265644831</v>
      </c>
      <c r="DF495" s="79">
        <f>DF500</f>
        <v>-5537.8901067982797</v>
      </c>
      <c r="DG495" s="79">
        <f>DG500</f>
        <v>-5586.0382496431248</v>
      </c>
      <c r="DH495" s="79">
        <f>DH500</f>
        <v>-5749.148477122365</v>
      </c>
      <c r="DI495" s="79">
        <f>DI500</f>
        <v>-5932.9762800452645</v>
      </c>
    </row>
    <row r="496" spans="1:113" outlineLevel="1">
      <c r="C496" s="55"/>
      <c r="D496" s="55"/>
      <c r="E496" s="55"/>
      <c r="F496" s="55"/>
      <c r="G496" s="55"/>
      <c r="H496" s="55"/>
      <c r="I496" s="55"/>
      <c r="J496" s="55"/>
      <c r="K496" s="55"/>
      <c r="L496" s="55"/>
      <c r="M496" s="55"/>
      <c r="N496" s="55"/>
      <c r="O496" s="55"/>
      <c r="P496" s="55"/>
      <c r="Q496" s="55"/>
      <c r="R496" s="55"/>
      <c r="S496" s="55"/>
      <c r="T496" s="55"/>
      <c r="U496" s="55"/>
      <c r="V496" s="55"/>
      <c r="W496" s="55"/>
      <c r="X496" s="55"/>
      <c r="Y496" s="55"/>
      <c r="Z496" s="55"/>
      <c r="AA496" s="55"/>
      <c r="AB496" s="55"/>
      <c r="AC496" s="55"/>
      <c r="AD496" s="55"/>
      <c r="AE496" s="55"/>
      <c r="AF496" s="55"/>
      <c r="AG496" s="55"/>
      <c r="AH496" s="55"/>
      <c r="AI496" s="55"/>
      <c r="AJ496" s="55"/>
      <c r="AK496" s="55"/>
      <c r="AL496" s="55"/>
      <c r="AM496" s="55"/>
      <c r="AN496" s="55"/>
      <c r="AO496" s="55"/>
      <c r="AP496" s="55"/>
      <c r="AQ496" s="55"/>
      <c r="AR496" s="55"/>
      <c r="AS496" s="55"/>
      <c r="AT496" s="55"/>
      <c r="AU496" s="55"/>
      <c r="AV496" s="55"/>
      <c r="AW496" s="55"/>
      <c r="AX496" s="55"/>
      <c r="AY496" s="55"/>
      <c r="AZ496" s="56"/>
      <c r="BA496" s="55"/>
      <c r="BB496" s="55"/>
      <c r="BC496" s="55"/>
      <c r="BD496" s="55"/>
      <c r="BE496" s="55"/>
      <c r="BF496" s="55"/>
      <c r="BG496" s="55"/>
      <c r="BH496" s="55"/>
      <c r="BI496" s="55"/>
      <c r="BJ496" s="55"/>
      <c r="BK496" s="55"/>
      <c r="BL496" s="55"/>
      <c r="BM496" s="55"/>
      <c r="BN496" s="55"/>
      <c r="BO496" s="55"/>
      <c r="BP496" s="55"/>
      <c r="BQ496" s="55"/>
      <c r="BR496" s="55"/>
      <c r="BS496" s="55"/>
      <c r="BT496" s="55"/>
      <c r="BU496" s="55"/>
      <c r="BV496" s="55"/>
      <c r="BW496" s="55"/>
      <c r="BX496" s="55"/>
      <c r="BY496" s="55"/>
      <c r="BZ496" s="55"/>
      <c r="CA496" s="55"/>
      <c r="CB496" s="55"/>
      <c r="CC496" s="55"/>
      <c r="CD496" s="55"/>
      <c r="CE496" s="55"/>
      <c r="CF496" s="55"/>
      <c r="CG496" s="55"/>
      <c r="CH496" s="55"/>
      <c r="CI496" s="55"/>
      <c r="CJ496" s="55"/>
      <c r="CK496" s="55"/>
      <c r="CL496" s="55"/>
      <c r="CM496" s="55"/>
      <c r="CN496" s="55"/>
      <c r="CO496" s="55"/>
      <c r="CP496" s="55"/>
      <c r="CQ496" s="55"/>
      <c r="CR496" s="55"/>
      <c r="CS496" s="55"/>
      <c r="CT496" s="55"/>
      <c r="CU496" s="55"/>
      <c r="CV496" s="55"/>
      <c r="CW496" s="55"/>
      <c r="CX496" s="55"/>
      <c r="CY496" s="55"/>
      <c r="CZ496" s="56"/>
      <c r="DA496" s="55"/>
      <c r="DB496" s="55"/>
    </row>
    <row r="497" spans="1:113" outlineLevel="1">
      <c r="A497" s="1" t="s">
        <v>688</v>
      </c>
      <c r="B497" s="19" t="s">
        <v>77</v>
      </c>
      <c r="C497" s="53">
        <f>-443-56</f>
        <v>-499</v>
      </c>
      <c r="D497" s="53">
        <f>-444-25</f>
        <v>-469</v>
      </c>
      <c r="E497" s="53">
        <f>-508+61</f>
        <v>-447</v>
      </c>
      <c r="F497" s="53">
        <f>-503+90</f>
        <v>-413</v>
      </c>
      <c r="G497" s="53">
        <f>-513-32</f>
        <v>-545</v>
      </c>
      <c r="H497" s="53">
        <f>-494-120</f>
        <v>-614</v>
      </c>
      <c r="I497" s="53">
        <f>-565-83</f>
        <v>-648</v>
      </c>
      <c r="J497" s="53">
        <v>-702</v>
      </c>
      <c r="K497" s="53">
        <v>-707</v>
      </c>
      <c r="L497" s="53">
        <v>-776</v>
      </c>
      <c r="M497" s="53">
        <v>-829</v>
      </c>
      <c r="N497" s="53">
        <v>-909</v>
      </c>
      <c r="O497" s="53">
        <v>-873</v>
      </c>
      <c r="P497" s="53">
        <f>-905</f>
        <v>-905</v>
      </c>
      <c r="Q497" s="53">
        <v>-721</v>
      </c>
      <c r="R497" s="53">
        <v>-600</v>
      </c>
      <c r="S497" s="53">
        <v>-914</v>
      </c>
      <c r="T497" s="53">
        <v>-1089</v>
      </c>
      <c r="U497" s="53">
        <v>-1177</v>
      </c>
      <c r="V497" s="53">
        <v>-1265</v>
      </c>
      <c r="W497" s="53">
        <v>-1372</v>
      </c>
      <c r="X497" s="53">
        <v>-1373</v>
      </c>
      <c r="Y497" s="53">
        <v>-1363</v>
      </c>
      <c r="Z497" s="53">
        <v>-1448</v>
      </c>
      <c r="AA497" s="164">
        <v>-1505</v>
      </c>
      <c r="AB497" s="164">
        <v>-1662</v>
      </c>
      <c r="AC497" s="164">
        <v>-1588</v>
      </c>
      <c r="AD497" s="164">
        <v>-1740</v>
      </c>
      <c r="AE497" s="164">
        <v>-1699</v>
      </c>
      <c r="AF497" s="164">
        <v>-1827</v>
      </c>
      <c r="AG497" s="164">
        <v>-1765</v>
      </c>
      <c r="AH497" s="164">
        <v>-1925</v>
      </c>
      <c r="AI497" s="164">
        <v>-1924</v>
      </c>
      <c r="AJ497" s="164">
        <v>-1993</v>
      </c>
      <c r="AK497" s="164">
        <v>-1927</v>
      </c>
      <c r="AL497" s="164">
        <f>-3321/(-1574-1863)*-1863</f>
        <v>-1800.1230724469015</v>
      </c>
      <c r="AM497" s="164">
        <f>-3321/(-1574-1863)*-1574</f>
        <v>-1520.8769275530988</v>
      </c>
      <c r="AN497" s="164">
        <f>ROUND(-1812/-3052*-3022,0)</f>
        <v>-1794</v>
      </c>
      <c r="AO497" s="164">
        <f>-3022-AN497</f>
        <v>-1228</v>
      </c>
      <c r="AP497" s="164">
        <v>-1620</v>
      </c>
      <c r="AQ497" s="164">
        <v>-1970</v>
      </c>
      <c r="AR497" s="164">
        <v>-1946</v>
      </c>
      <c r="AS497" s="164">
        <v>-2077</v>
      </c>
      <c r="AT497" s="164">
        <v>-2159</v>
      </c>
      <c r="AU497" s="164">
        <v>-1938</v>
      </c>
      <c r="AV497" s="164">
        <v>-2204</v>
      </c>
      <c r="AW497" s="164">
        <v>-2114</v>
      </c>
      <c r="AX497" s="164">
        <v>-2273</v>
      </c>
      <c r="AY497" s="164">
        <v>-2218</v>
      </c>
      <c r="AZ497" s="171">
        <v>-2367</v>
      </c>
      <c r="BA497" s="55">
        <f t="shared" ref="BA497:BE497" si="3399">-BA483*BA129</f>
        <v>-2376.7114750465557</v>
      </c>
      <c r="BB497" s="55">
        <f t="shared" si="3399"/>
        <v>-2467.9851114229882</v>
      </c>
      <c r="BC497" s="55">
        <f t="shared" si="3399"/>
        <v>-2462.9398518835892</v>
      </c>
      <c r="BD497" s="55">
        <f t="shared" si="3399"/>
        <v>-2482.6163723859222</v>
      </c>
      <c r="BE497" s="55">
        <f t="shared" si="3399"/>
        <v>-2554.2595082858315</v>
      </c>
      <c r="BF497" s="55">
        <f t="shared" ref="BF497:BM497" si="3400">-BF483*BF129</f>
        <v>-2637.8687864156332</v>
      </c>
      <c r="BG497" s="55">
        <f t="shared" si="3400"/>
        <v>-2686.4499094526559</v>
      </c>
      <c r="BH497" s="55">
        <f t="shared" si="3400"/>
        <v>-2756.727642306304</v>
      </c>
      <c r="BI497" s="55">
        <f t="shared" si="3400"/>
        <v>-2765.8447842581791</v>
      </c>
      <c r="BJ497" s="55">
        <f t="shared" si="3400"/>
        <v>-2792.6985214217098</v>
      </c>
      <c r="BK497" s="55">
        <f t="shared" si="3400"/>
        <v>-2745.1915853765699</v>
      </c>
      <c r="BL497" s="55">
        <f t="shared" si="3400"/>
        <v>-2794.0596137567231</v>
      </c>
      <c r="BM497" s="55">
        <f t="shared" si="3400"/>
        <v>-2791.9786358864012</v>
      </c>
      <c r="BN497" s="55">
        <f t="shared" ref="BN497:BO497" si="3401">-BN483*BN129</f>
        <v>-2877.2602868498034</v>
      </c>
      <c r="BO497" s="55">
        <f t="shared" si="3401"/>
        <v>-2871.8881902725616</v>
      </c>
      <c r="BP497" s="55">
        <f t="shared" ref="BP497:BQ497" si="3402">-BP483*BP129</f>
        <v>-2969.1776394567091</v>
      </c>
      <c r="BQ497" s="55">
        <f t="shared" si="3402"/>
        <v>-2963.7986405885554</v>
      </c>
      <c r="BR497" s="55"/>
      <c r="BS497" s="53">
        <v>-245</v>
      </c>
      <c r="BT497" s="53">
        <v>-356</v>
      </c>
      <c r="BU497" s="53">
        <v>-358</v>
      </c>
      <c r="BV497" s="53">
        <v>-493</v>
      </c>
      <c r="BW497" s="53">
        <v>-635</v>
      </c>
      <c r="BX497" s="53">
        <v>-588</v>
      </c>
      <c r="BY497" s="53">
        <v>-641</v>
      </c>
      <c r="BZ497" s="53">
        <v>-714</v>
      </c>
      <c r="CA497" s="53">
        <f>-820</f>
        <v>-820</v>
      </c>
      <c r="CB497" s="53">
        <v>-993</v>
      </c>
      <c r="CC497" s="55">
        <f t="shared" ref="CC497:CC506" si="3403">SUM(D497:E497)</f>
        <v>-916</v>
      </c>
      <c r="CD497" s="55">
        <f t="shared" ref="CD497:CD506" si="3404">SUM(F497:G497)</f>
        <v>-958</v>
      </c>
      <c r="CE497" s="55">
        <f t="shared" ref="CE497:CE506" si="3405">SUM(H497:I497)</f>
        <v>-1262</v>
      </c>
      <c r="CF497" s="55">
        <f t="shared" ref="CF497:CF506" si="3406">SUM(J497:K497)</f>
        <v>-1409</v>
      </c>
      <c r="CG497" s="55">
        <f t="shared" ref="CG497:CG506" si="3407">SUM(L497:M497)</f>
        <v>-1605</v>
      </c>
      <c r="CH497" s="55">
        <f t="shared" ref="CH497:CH506" si="3408">SUM(N497:O497)</f>
        <v>-1782</v>
      </c>
      <c r="CI497" s="55">
        <f t="shared" ref="CI497:CI506" si="3409">SUM(P497:Q497)</f>
        <v>-1626</v>
      </c>
      <c r="CJ497" s="55">
        <f t="shared" ref="CJ497:CJ508" si="3410">SUM(R497:S497)</f>
        <v>-1514</v>
      </c>
      <c r="CK497" s="55">
        <f t="shared" ref="CK497:CK508" si="3411">SUM(T497:U497)</f>
        <v>-2266</v>
      </c>
      <c r="CL497" s="55">
        <f t="shared" ref="CL497:CL508" si="3412">SUM(V497:W497)</f>
        <v>-2637</v>
      </c>
      <c r="CM497" s="55">
        <f t="shared" ref="CM497:CM508" si="3413">SUM(X497:Y497)</f>
        <v>-2736</v>
      </c>
      <c r="CN497" s="55">
        <f t="shared" ref="CN497:CN508" si="3414">SUM(Z497:AA497)</f>
        <v>-2953</v>
      </c>
      <c r="CO497" s="55">
        <f t="shared" ref="CO497:CO508" si="3415">SUM(AB497:AC497)</f>
        <v>-3250</v>
      </c>
      <c r="CP497" s="55">
        <f t="shared" ref="CP497:CP508" si="3416">SUM(AD497:AE497)</f>
        <v>-3439</v>
      </c>
      <c r="CQ497" s="55">
        <f t="shared" ref="CQ497:CQ508" si="3417">SUM(AF497:AG497)</f>
        <v>-3592</v>
      </c>
      <c r="CR497" s="55">
        <f t="shared" ref="CR497:CR508" si="3418">SUM(AH497:AI497)</f>
        <v>-3849</v>
      </c>
      <c r="CS497" s="55">
        <f t="shared" ref="CS497:CS508" si="3419">SUM(AJ497:AK497)</f>
        <v>-3920</v>
      </c>
      <c r="CT497" s="55">
        <f t="shared" ref="CT497:CT507" si="3420">SUM(AL497:AM497)</f>
        <v>-3321</v>
      </c>
      <c r="CU497" s="55">
        <f t="shared" ref="CU497:CU508" si="3421">SUM(AN497:AO497)</f>
        <v>-3022</v>
      </c>
      <c r="CV497" s="55">
        <f t="shared" ref="CV497:CV508" si="3422">SUM(AP497:AQ497)</f>
        <v>-3590</v>
      </c>
      <c r="CW497" s="55">
        <f t="shared" ref="CW497:CW508" si="3423">SUM(AR497:AS497)</f>
        <v>-4023</v>
      </c>
      <c r="CX497" s="55">
        <f t="shared" ref="CX497:CX508" si="3424">SUM(AT497:AU497)</f>
        <v>-4097</v>
      </c>
      <c r="CY497" s="55">
        <f t="shared" ref="CY497:CY508" si="3425">SUM(AV497:AW497)</f>
        <v>-4318</v>
      </c>
      <c r="CZ497" s="56">
        <f t="shared" ref="CZ497:CZ508" si="3426">SUM(AX497:AY497)</f>
        <v>-4491</v>
      </c>
      <c r="DA497" s="55">
        <f t="shared" ref="DA497:DA508" si="3427">SUM(AZ497:BA497)</f>
        <v>-4743.7114750465553</v>
      </c>
      <c r="DB497" s="55">
        <f t="shared" ref="DB497:DB508" si="3428">SUM(BB497:BC497)</f>
        <v>-4930.9249633065774</v>
      </c>
      <c r="DC497" s="55">
        <f t="shared" ref="DC497:DC508" si="3429">SUM(BD497:BE497)</f>
        <v>-5036.8758806717542</v>
      </c>
      <c r="DD497" s="55">
        <f t="shared" ref="DD497:DD508" si="3430">SUM(BF497:BG497)</f>
        <v>-5324.3186958682891</v>
      </c>
      <c r="DE497" s="55">
        <f t="shared" ref="DE497:DE508" si="3431">SUM(BH497:BI497)</f>
        <v>-5522.5724265644831</v>
      </c>
      <c r="DF497" s="55">
        <f t="shared" ref="DF497:DF508" si="3432">SUM(BJ497:BK497)</f>
        <v>-5537.8901067982797</v>
      </c>
      <c r="DG497" s="55">
        <f t="shared" ref="DG497:DG508" si="3433">SUM(BL497:BM497)</f>
        <v>-5586.0382496431248</v>
      </c>
      <c r="DH497" s="55">
        <f t="shared" ref="DH497:DH508" si="3434">SUM(BN497:BO497)</f>
        <v>-5749.148477122365</v>
      </c>
      <c r="DI497" s="55">
        <f t="shared" ref="DI497:DI508" si="3435">SUM(BP497:BQ497)</f>
        <v>-5932.9762800452645</v>
      </c>
    </row>
    <row r="498" spans="1:113" outlineLevel="1">
      <c r="A498" s="1" t="s">
        <v>689</v>
      </c>
      <c r="B498" s="19" t="s">
        <v>160</v>
      </c>
      <c r="C498" s="55">
        <f t="shared" ref="C498:L498" si="3436">C500-SUM(C497,C499)</f>
        <v>-3</v>
      </c>
      <c r="D498" s="55">
        <f t="shared" si="3436"/>
        <v>-1</v>
      </c>
      <c r="E498" s="55">
        <f t="shared" si="3436"/>
        <v>0</v>
      </c>
      <c r="F498" s="55">
        <f t="shared" si="3436"/>
        <v>-3</v>
      </c>
      <c r="G498" s="55">
        <f t="shared" si="3436"/>
        <v>-3</v>
      </c>
      <c r="H498" s="55">
        <f t="shared" si="3436"/>
        <v>-4</v>
      </c>
      <c r="I498" s="55">
        <f t="shared" si="3436"/>
        <v>-5</v>
      </c>
      <c r="J498" s="55">
        <f t="shared" si="3436"/>
        <v>-5</v>
      </c>
      <c r="K498" s="55">
        <f t="shared" si="3436"/>
        <v>-5</v>
      </c>
      <c r="L498" s="55">
        <f t="shared" si="3436"/>
        <v>-18</v>
      </c>
      <c r="M498" s="55">
        <f t="shared" ref="M498:X498" si="3437">M500-SUM(M497,M499)</f>
        <v>-13</v>
      </c>
      <c r="N498" s="55">
        <f t="shared" si="3437"/>
        <v>-13</v>
      </c>
      <c r="O498" s="55">
        <f t="shared" si="3437"/>
        <v>-14</v>
      </c>
      <c r="P498" s="55">
        <f t="shared" si="3437"/>
        <v>-15</v>
      </c>
      <c r="Q498" s="55">
        <f t="shared" si="3437"/>
        <v>-16</v>
      </c>
      <c r="R498" s="55">
        <f t="shared" si="3437"/>
        <v>-16</v>
      </c>
      <c r="S498" s="55">
        <f t="shared" si="3437"/>
        <v>-14</v>
      </c>
      <c r="T498" s="55">
        <f t="shared" si="3437"/>
        <v>-9</v>
      </c>
      <c r="U498" s="55">
        <f t="shared" si="3437"/>
        <v>-7</v>
      </c>
      <c r="V498" s="55">
        <f t="shared" si="3437"/>
        <v>-9</v>
      </c>
      <c r="W498" s="55">
        <f t="shared" si="3437"/>
        <v>-7</v>
      </c>
      <c r="X498" s="55">
        <f t="shared" si="3437"/>
        <v>-9</v>
      </c>
      <c r="Y498" s="55">
        <f t="shared" ref="Y498:AK498" si="3438">Y500-SUM(Y497,Y499)</f>
        <v>-7</v>
      </c>
      <c r="Z498" s="55">
        <f t="shared" si="3438"/>
        <v>-8</v>
      </c>
      <c r="AA498" s="55">
        <f t="shared" si="3438"/>
        <v>-8</v>
      </c>
      <c r="AB498" s="55">
        <f t="shared" si="3438"/>
        <v>-10</v>
      </c>
      <c r="AC498" s="55">
        <f t="shared" si="3438"/>
        <v>-9</v>
      </c>
      <c r="AD498" s="55">
        <f t="shared" si="3438"/>
        <v>-10</v>
      </c>
      <c r="AE498" s="55">
        <f t="shared" si="3438"/>
        <v>-11</v>
      </c>
      <c r="AF498" s="55">
        <f t="shared" si="3438"/>
        <v>-11</v>
      </c>
      <c r="AG498" s="55">
        <f t="shared" si="3438"/>
        <v>-9</v>
      </c>
      <c r="AH498" s="55">
        <f t="shared" si="3438"/>
        <v>-9</v>
      </c>
      <c r="AI498" s="55">
        <f t="shared" si="3438"/>
        <v>-11</v>
      </c>
      <c r="AJ498" s="55">
        <f t="shared" si="3438"/>
        <v>-6</v>
      </c>
      <c r="AK498" s="55">
        <f t="shared" si="3438"/>
        <v>-7</v>
      </c>
      <c r="AL498" s="55">
        <f t="shared" ref="AL498:AQ498" si="3439">AL500-SUM(AL497,AL499)</f>
        <v>-6</v>
      </c>
      <c r="AM498" s="55">
        <f t="shared" si="3439"/>
        <v>-6</v>
      </c>
      <c r="AN498" s="55">
        <f t="shared" si="3439"/>
        <v>0</v>
      </c>
      <c r="AO498" s="55">
        <f t="shared" si="3439"/>
        <v>0</v>
      </c>
      <c r="AP498" s="55">
        <f t="shared" si="3439"/>
        <v>0</v>
      </c>
      <c r="AQ498" s="55">
        <f t="shared" si="3439"/>
        <v>0</v>
      </c>
      <c r="AR498" s="55">
        <f t="shared" ref="AR498" si="3440">AR500-SUM(AR497,AR499)</f>
        <v>0</v>
      </c>
      <c r="AS498" s="55">
        <f t="shared" ref="AS498:AT498" si="3441">AS500-SUM(AS497,AS499)</f>
        <v>0</v>
      </c>
      <c r="AT498" s="55">
        <f t="shared" si="3441"/>
        <v>0</v>
      </c>
      <c r="AU498" s="55">
        <f t="shared" ref="AU498:AV498" si="3442">AU500-SUM(AU497,AU499)</f>
        <v>0</v>
      </c>
      <c r="AV498" s="55">
        <f t="shared" si="3442"/>
        <v>0</v>
      </c>
      <c r="AW498" s="55">
        <f t="shared" ref="AW498:AX498" si="3443">AW500-SUM(AW497,AW499)</f>
        <v>0</v>
      </c>
      <c r="AX498" s="55">
        <f t="shared" si="3443"/>
        <v>0</v>
      </c>
      <c r="AY498" s="55">
        <f t="shared" ref="AY498:BE498" si="3444">AX498</f>
        <v>0</v>
      </c>
      <c r="AZ498" s="56">
        <f t="shared" ref="AZ498" si="3445">AZ500-SUM(AZ497,AZ499)</f>
        <v>0</v>
      </c>
      <c r="BA498" s="55">
        <f t="shared" si="3444"/>
        <v>0</v>
      </c>
      <c r="BB498" s="55">
        <f t="shared" si="3444"/>
        <v>0</v>
      </c>
      <c r="BC498" s="55">
        <f t="shared" si="3444"/>
        <v>0</v>
      </c>
      <c r="BD498" s="55">
        <f t="shared" si="3444"/>
        <v>0</v>
      </c>
      <c r="BE498" s="55">
        <f t="shared" si="3444"/>
        <v>0</v>
      </c>
      <c r="BF498" s="55">
        <f t="shared" ref="BF498:BM499" si="3446">BE498</f>
        <v>0</v>
      </c>
      <c r="BG498" s="55">
        <f t="shared" si="3446"/>
        <v>0</v>
      </c>
      <c r="BH498" s="55">
        <f t="shared" si="3446"/>
        <v>0</v>
      </c>
      <c r="BI498" s="55">
        <f t="shared" si="3446"/>
        <v>0</v>
      </c>
      <c r="BJ498" s="55">
        <f t="shared" si="3446"/>
        <v>0</v>
      </c>
      <c r="BK498" s="55">
        <f t="shared" si="3446"/>
        <v>0</v>
      </c>
      <c r="BL498" s="55">
        <f t="shared" si="3446"/>
        <v>0</v>
      </c>
      <c r="BM498" s="55">
        <f t="shared" si="3446"/>
        <v>0</v>
      </c>
      <c r="BN498" s="55">
        <f t="shared" ref="BN498:BN499" si="3447">BM498</f>
        <v>0</v>
      </c>
      <c r="BO498" s="55">
        <f t="shared" ref="BO498:BO499" si="3448">BN498</f>
        <v>0</v>
      </c>
      <c r="BP498" s="55">
        <f t="shared" ref="BP498:BP499" si="3449">BO498</f>
        <v>0</v>
      </c>
      <c r="BQ498" s="55">
        <f t="shared" ref="BQ498:BQ499" si="3450">BP498</f>
        <v>0</v>
      </c>
      <c r="BR498" s="55"/>
      <c r="BS498" s="55">
        <f t="shared" ref="BS498:CB498" si="3451">BS500-SUM(BS497,BS499)</f>
        <v>-7.0999999999999943</v>
      </c>
      <c r="BT498" s="55">
        <f t="shared" si="3451"/>
        <v>-10</v>
      </c>
      <c r="BU498" s="55">
        <f t="shared" si="3451"/>
        <v>-14</v>
      </c>
      <c r="BV498" s="55">
        <f t="shared" si="3451"/>
        <v>-19</v>
      </c>
      <c r="BW498" s="55">
        <f t="shared" si="3451"/>
        <v>-22</v>
      </c>
      <c r="BX498" s="55">
        <f t="shared" si="3451"/>
        <v>-22</v>
      </c>
      <c r="BY498" s="55">
        <f t="shared" si="3451"/>
        <v>-20</v>
      </c>
      <c r="BZ498" s="55">
        <f t="shared" si="3451"/>
        <v>-24</v>
      </c>
      <c r="CA498" s="55">
        <f t="shared" si="3451"/>
        <v>-38</v>
      </c>
      <c r="CB498" s="55">
        <f t="shared" si="3451"/>
        <v>-14</v>
      </c>
      <c r="CC498" s="55">
        <f t="shared" si="3403"/>
        <v>-1</v>
      </c>
      <c r="CD498" s="55">
        <f t="shared" si="3404"/>
        <v>-6</v>
      </c>
      <c r="CE498" s="55">
        <f t="shared" si="3405"/>
        <v>-9</v>
      </c>
      <c r="CF498" s="55">
        <f t="shared" si="3406"/>
        <v>-10</v>
      </c>
      <c r="CG498" s="55">
        <f t="shared" si="3407"/>
        <v>-31</v>
      </c>
      <c r="CH498" s="55">
        <f t="shared" si="3408"/>
        <v>-27</v>
      </c>
      <c r="CI498" s="55">
        <f t="shared" si="3409"/>
        <v>-31</v>
      </c>
      <c r="CJ498" s="55">
        <f t="shared" si="3410"/>
        <v>-30</v>
      </c>
      <c r="CK498" s="55">
        <f t="shared" si="3411"/>
        <v>-16</v>
      </c>
      <c r="CL498" s="55">
        <f t="shared" si="3412"/>
        <v>-16</v>
      </c>
      <c r="CM498" s="55">
        <f t="shared" si="3413"/>
        <v>-16</v>
      </c>
      <c r="CN498" s="55">
        <f t="shared" si="3414"/>
        <v>-16</v>
      </c>
      <c r="CO498" s="55">
        <f t="shared" si="3415"/>
        <v>-19</v>
      </c>
      <c r="CP498" s="55">
        <f t="shared" si="3416"/>
        <v>-21</v>
      </c>
      <c r="CQ498" s="55">
        <f t="shared" si="3417"/>
        <v>-20</v>
      </c>
      <c r="CR498" s="55">
        <f t="shared" si="3418"/>
        <v>-20</v>
      </c>
      <c r="CS498" s="55">
        <f t="shared" si="3419"/>
        <v>-13</v>
      </c>
      <c r="CT498" s="55">
        <f t="shared" si="3420"/>
        <v>-12</v>
      </c>
      <c r="CU498" s="55">
        <f t="shared" si="3421"/>
        <v>0</v>
      </c>
      <c r="CV498" s="55">
        <f t="shared" si="3422"/>
        <v>0</v>
      </c>
      <c r="CW498" s="55">
        <f t="shared" si="3423"/>
        <v>0</v>
      </c>
      <c r="CX498" s="55">
        <f t="shared" si="3424"/>
        <v>0</v>
      </c>
      <c r="CY498" s="55">
        <f t="shared" si="3425"/>
        <v>0</v>
      </c>
      <c r="CZ498" s="56">
        <f t="shared" si="3426"/>
        <v>0</v>
      </c>
      <c r="DA498" s="55">
        <f t="shared" si="3427"/>
        <v>0</v>
      </c>
      <c r="DB498" s="55">
        <f t="shared" si="3428"/>
        <v>0</v>
      </c>
      <c r="DC498" s="55">
        <f t="shared" si="3429"/>
        <v>0</v>
      </c>
      <c r="DD498" s="55">
        <f t="shared" si="3430"/>
        <v>0</v>
      </c>
      <c r="DE498" s="55">
        <f t="shared" si="3431"/>
        <v>0</v>
      </c>
      <c r="DF498" s="55">
        <f t="shared" si="3432"/>
        <v>0</v>
      </c>
      <c r="DG498" s="55">
        <f t="shared" si="3433"/>
        <v>0</v>
      </c>
      <c r="DH498" s="55">
        <f t="shared" si="3434"/>
        <v>0</v>
      </c>
      <c r="DI498" s="55">
        <f t="shared" si="3435"/>
        <v>0</v>
      </c>
    </row>
    <row r="499" spans="1:113" outlineLevel="1">
      <c r="A499" s="1" t="s">
        <v>690</v>
      </c>
      <c r="B499" s="19" t="s">
        <v>258</v>
      </c>
      <c r="C499" s="53">
        <f>-9/2</f>
        <v>-4.5</v>
      </c>
      <c r="D499" s="53">
        <f>-34/2</f>
        <v>-17</v>
      </c>
      <c r="E499" s="53">
        <v>-17</v>
      </c>
      <c r="F499" s="53">
        <v>-20</v>
      </c>
      <c r="G499" s="53">
        <f>-40/2</f>
        <v>-20</v>
      </c>
      <c r="H499" s="53">
        <v>-39</v>
      </c>
      <c r="I499" s="53">
        <v>-62</v>
      </c>
      <c r="J499" s="53">
        <v>-61</v>
      </c>
      <c r="K499" s="53">
        <v>-70</v>
      </c>
      <c r="L499" s="53">
        <v>0</v>
      </c>
      <c r="M499" s="53">
        <v>0</v>
      </c>
      <c r="N499" s="53">
        <v>-28</v>
      </c>
      <c r="O499" s="53">
        <v>-27</v>
      </c>
      <c r="P499" s="53">
        <v>-25</v>
      </c>
      <c r="Q499" s="53">
        <v>-23</v>
      </c>
      <c r="R499" s="53">
        <v>-26</v>
      </c>
      <c r="S499" s="53">
        <v>-31</v>
      </c>
      <c r="T499" s="53">
        <v>-24</v>
      </c>
      <c r="U499" s="53">
        <v>-23</v>
      </c>
      <c r="V499" s="53">
        <v>-22</v>
      </c>
      <c r="W499" s="53">
        <v>-20</v>
      </c>
      <c r="X499" s="53">
        <v>-20</v>
      </c>
      <c r="Y499" s="53">
        <v>-22</v>
      </c>
      <c r="Z499" s="53">
        <v>-20</v>
      </c>
      <c r="AA499" s="164">
        <v>-20</v>
      </c>
      <c r="AB499" s="164">
        <v>-23</v>
      </c>
      <c r="AC499" s="164">
        <v>-22</v>
      </c>
      <c r="AD499" s="164">
        <v>-24</v>
      </c>
      <c r="AE499" s="164">
        <v>-28</v>
      </c>
      <c r="AF499" s="164">
        <v>-32</v>
      </c>
      <c r="AG499" s="164">
        <v>-18</v>
      </c>
      <c r="AH499" s="164">
        <v>0</v>
      </c>
      <c r="AI499" s="164">
        <v>0</v>
      </c>
      <c r="AJ499" s="164">
        <v>0</v>
      </c>
      <c r="AK499" s="164">
        <v>0</v>
      </c>
      <c r="AL499" s="164">
        <v>0</v>
      </c>
      <c r="AM499" s="164">
        <v>0</v>
      </c>
      <c r="AN499" s="164">
        <v>0</v>
      </c>
      <c r="AO499" s="164">
        <v>0</v>
      </c>
      <c r="AP499" s="164">
        <v>0</v>
      </c>
      <c r="AQ499" s="164">
        <v>0</v>
      </c>
      <c r="AR499" s="164">
        <v>0</v>
      </c>
      <c r="AS499" s="164">
        <v>0</v>
      </c>
      <c r="AT499" s="164">
        <v>0</v>
      </c>
      <c r="AU499" s="164">
        <v>0</v>
      </c>
      <c r="AV499" s="164">
        <v>0</v>
      </c>
      <c r="AW499" s="164">
        <v>0</v>
      </c>
      <c r="AX499" s="164">
        <v>0</v>
      </c>
      <c r="AY499" s="164">
        <v>0</v>
      </c>
      <c r="AZ499" s="171">
        <v>0</v>
      </c>
      <c r="BA499" s="55">
        <f t="shared" ref="BA499:BE499" si="3452">AZ499</f>
        <v>0</v>
      </c>
      <c r="BB499" s="55">
        <f t="shared" si="3452"/>
        <v>0</v>
      </c>
      <c r="BC499" s="55">
        <f t="shared" si="3452"/>
        <v>0</v>
      </c>
      <c r="BD499" s="55">
        <f t="shared" si="3452"/>
        <v>0</v>
      </c>
      <c r="BE499" s="55">
        <f t="shared" si="3452"/>
        <v>0</v>
      </c>
      <c r="BF499" s="55">
        <f t="shared" si="3446"/>
        <v>0</v>
      </c>
      <c r="BG499" s="55">
        <f t="shared" si="3446"/>
        <v>0</v>
      </c>
      <c r="BH499" s="55">
        <f t="shared" si="3446"/>
        <v>0</v>
      </c>
      <c r="BI499" s="55">
        <f t="shared" si="3446"/>
        <v>0</v>
      </c>
      <c r="BJ499" s="55">
        <f t="shared" si="3446"/>
        <v>0</v>
      </c>
      <c r="BK499" s="55">
        <f t="shared" si="3446"/>
        <v>0</v>
      </c>
      <c r="BL499" s="55">
        <f t="shared" si="3446"/>
        <v>0</v>
      </c>
      <c r="BM499" s="55">
        <f t="shared" si="3446"/>
        <v>0</v>
      </c>
      <c r="BN499" s="55">
        <f t="shared" si="3447"/>
        <v>0</v>
      </c>
      <c r="BO499" s="55">
        <f t="shared" si="3448"/>
        <v>0</v>
      </c>
      <c r="BP499" s="55">
        <f t="shared" si="3449"/>
        <v>0</v>
      </c>
      <c r="BQ499" s="55">
        <f t="shared" si="3450"/>
        <v>0</v>
      </c>
      <c r="BR499" s="55"/>
      <c r="BS499" s="53">
        <v>0</v>
      </c>
      <c r="BT499" s="53">
        <v>0</v>
      </c>
      <c r="BU499" s="53">
        <v>0</v>
      </c>
      <c r="BV499" s="53">
        <v>0</v>
      </c>
      <c r="BW499" s="53">
        <v>0</v>
      </c>
      <c r="BX499" s="53">
        <v>0</v>
      </c>
      <c r="BY499" s="53">
        <v>0</v>
      </c>
      <c r="BZ499" s="53">
        <v>0</v>
      </c>
      <c r="CA499" s="53">
        <v>0</v>
      </c>
      <c r="CB499" s="53">
        <v>-9</v>
      </c>
      <c r="CC499" s="55">
        <f t="shared" si="3403"/>
        <v>-34</v>
      </c>
      <c r="CD499" s="55">
        <f t="shared" si="3404"/>
        <v>-40</v>
      </c>
      <c r="CE499" s="55">
        <f t="shared" si="3405"/>
        <v>-101</v>
      </c>
      <c r="CF499" s="55">
        <f t="shared" si="3406"/>
        <v>-131</v>
      </c>
      <c r="CG499" s="55">
        <f t="shared" si="3407"/>
        <v>0</v>
      </c>
      <c r="CH499" s="55">
        <f t="shared" si="3408"/>
        <v>-55</v>
      </c>
      <c r="CI499" s="55">
        <f t="shared" si="3409"/>
        <v>-48</v>
      </c>
      <c r="CJ499" s="55">
        <f t="shared" si="3410"/>
        <v>-57</v>
      </c>
      <c r="CK499" s="55">
        <f t="shared" si="3411"/>
        <v>-47</v>
      </c>
      <c r="CL499" s="55">
        <f t="shared" si="3412"/>
        <v>-42</v>
      </c>
      <c r="CM499" s="55">
        <f t="shared" si="3413"/>
        <v>-42</v>
      </c>
      <c r="CN499" s="55">
        <f t="shared" si="3414"/>
        <v>-40</v>
      </c>
      <c r="CO499" s="55">
        <f t="shared" si="3415"/>
        <v>-45</v>
      </c>
      <c r="CP499" s="55">
        <f t="shared" si="3416"/>
        <v>-52</v>
      </c>
      <c r="CQ499" s="55">
        <f t="shared" si="3417"/>
        <v>-50</v>
      </c>
      <c r="CR499" s="55">
        <f t="shared" si="3418"/>
        <v>0</v>
      </c>
      <c r="CS499" s="55">
        <f t="shared" si="3419"/>
        <v>0</v>
      </c>
      <c r="CT499" s="55">
        <f t="shared" si="3420"/>
        <v>0</v>
      </c>
      <c r="CU499" s="55">
        <f t="shared" si="3421"/>
        <v>0</v>
      </c>
      <c r="CV499" s="55">
        <f t="shared" si="3422"/>
        <v>0</v>
      </c>
      <c r="CW499" s="55">
        <f t="shared" si="3423"/>
        <v>0</v>
      </c>
      <c r="CX499" s="55">
        <f t="shared" si="3424"/>
        <v>0</v>
      </c>
      <c r="CY499" s="55">
        <f t="shared" si="3425"/>
        <v>0</v>
      </c>
      <c r="CZ499" s="56">
        <f t="shared" si="3426"/>
        <v>0</v>
      </c>
      <c r="DA499" s="55">
        <f t="shared" si="3427"/>
        <v>0</v>
      </c>
      <c r="DB499" s="55">
        <f t="shared" si="3428"/>
        <v>0</v>
      </c>
      <c r="DC499" s="55">
        <f t="shared" si="3429"/>
        <v>0</v>
      </c>
      <c r="DD499" s="55">
        <f t="shared" si="3430"/>
        <v>0</v>
      </c>
      <c r="DE499" s="55">
        <f t="shared" si="3431"/>
        <v>0</v>
      </c>
      <c r="DF499" s="55">
        <f t="shared" si="3432"/>
        <v>0</v>
      </c>
      <c r="DG499" s="55">
        <f t="shared" si="3433"/>
        <v>0</v>
      </c>
      <c r="DH499" s="55">
        <f t="shared" si="3434"/>
        <v>0</v>
      </c>
      <c r="DI499" s="55">
        <f t="shared" si="3435"/>
        <v>0</v>
      </c>
    </row>
    <row r="500" spans="1:113" s="24" customFormat="1" outlineLevel="1">
      <c r="A500" s="1" t="s">
        <v>329</v>
      </c>
      <c r="B500" s="24" t="s">
        <v>168</v>
      </c>
      <c r="C500" s="82">
        <f t="shared" ref="C500:L500" si="3453">C506-SUM(C501:C505)</f>
        <v>-506.5</v>
      </c>
      <c r="D500" s="82">
        <f t="shared" si="3453"/>
        <v>-487</v>
      </c>
      <c r="E500" s="82">
        <f t="shared" si="3453"/>
        <v>-464</v>
      </c>
      <c r="F500" s="82">
        <f t="shared" si="3453"/>
        <v>-436</v>
      </c>
      <c r="G500" s="82">
        <f t="shared" si="3453"/>
        <v>-568</v>
      </c>
      <c r="H500" s="82">
        <f t="shared" si="3453"/>
        <v>-657</v>
      </c>
      <c r="I500" s="82">
        <f t="shared" si="3453"/>
        <v>-715</v>
      </c>
      <c r="J500" s="82">
        <f t="shared" si="3453"/>
        <v>-768</v>
      </c>
      <c r="K500" s="82">
        <f t="shared" si="3453"/>
        <v>-782</v>
      </c>
      <c r="L500" s="82">
        <f t="shared" si="3453"/>
        <v>-794</v>
      </c>
      <c r="M500" s="82">
        <f t="shared" ref="M500:T500" si="3454">M506-SUM(M501:M505)</f>
        <v>-842</v>
      </c>
      <c r="N500" s="82">
        <f t="shared" si="3454"/>
        <v>-950</v>
      </c>
      <c r="O500" s="82">
        <f t="shared" si="3454"/>
        <v>-914</v>
      </c>
      <c r="P500" s="82">
        <f t="shared" si="3454"/>
        <v>-945</v>
      </c>
      <c r="Q500" s="82">
        <f t="shared" si="3454"/>
        <v>-760</v>
      </c>
      <c r="R500" s="82">
        <f t="shared" si="3454"/>
        <v>-642</v>
      </c>
      <c r="S500" s="82">
        <f t="shared" si="3454"/>
        <v>-959</v>
      </c>
      <c r="T500" s="82">
        <f t="shared" si="3454"/>
        <v>-1122</v>
      </c>
      <c r="U500" s="82">
        <f t="shared" ref="U500:AK500" si="3455">U506-SUM(U501:U505)</f>
        <v>-1207</v>
      </c>
      <c r="V500" s="82">
        <f t="shared" si="3455"/>
        <v>-1296</v>
      </c>
      <c r="W500" s="82">
        <f t="shared" si="3455"/>
        <v>-1399</v>
      </c>
      <c r="X500" s="82">
        <f t="shared" si="3455"/>
        <v>-1402</v>
      </c>
      <c r="Y500" s="82">
        <f t="shared" si="3455"/>
        <v>-1392</v>
      </c>
      <c r="Z500" s="82">
        <f t="shared" si="3455"/>
        <v>-1476</v>
      </c>
      <c r="AA500" s="82">
        <f t="shared" si="3455"/>
        <v>-1533</v>
      </c>
      <c r="AB500" s="82">
        <f t="shared" si="3455"/>
        <v>-1695</v>
      </c>
      <c r="AC500" s="82">
        <f t="shared" si="3455"/>
        <v>-1619</v>
      </c>
      <c r="AD500" s="82">
        <f t="shared" si="3455"/>
        <v>-1774</v>
      </c>
      <c r="AE500" s="82">
        <f t="shared" si="3455"/>
        <v>-1738</v>
      </c>
      <c r="AF500" s="82">
        <f t="shared" si="3455"/>
        <v>-1870</v>
      </c>
      <c r="AG500" s="82">
        <f t="shared" si="3455"/>
        <v>-1792</v>
      </c>
      <c r="AH500" s="82">
        <f t="shared" si="3455"/>
        <v>-1934</v>
      </c>
      <c r="AI500" s="82">
        <f t="shared" si="3455"/>
        <v>-1935</v>
      </c>
      <c r="AJ500" s="82">
        <f t="shared" si="3455"/>
        <v>-1999</v>
      </c>
      <c r="AK500" s="82">
        <f t="shared" si="3455"/>
        <v>-1934</v>
      </c>
      <c r="AL500" s="82">
        <f t="shared" ref="AL500:AQ500" si="3456">AL506-SUM(AL501:AL505)</f>
        <v>-1806.1230724469015</v>
      </c>
      <c r="AM500" s="82">
        <f t="shared" si="3456"/>
        <v>-1526.8769275530988</v>
      </c>
      <c r="AN500" s="82">
        <f t="shared" si="3456"/>
        <v>-1794</v>
      </c>
      <c r="AO500" s="82">
        <f t="shared" si="3456"/>
        <v>-1228</v>
      </c>
      <c r="AP500" s="82">
        <f t="shared" si="3456"/>
        <v>-1620</v>
      </c>
      <c r="AQ500" s="82">
        <f t="shared" si="3456"/>
        <v>-1970</v>
      </c>
      <c r="AR500" s="82">
        <f t="shared" ref="AR500" si="3457">AR506-SUM(AR501:AR505)</f>
        <v>-1946</v>
      </c>
      <c r="AS500" s="82">
        <f t="shared" ref="AS500:AT500" si="3458">AS506-SUM(AS501:AS505)</f>
        <v>-2077</v>
      </c>
      <c r="AT500" s="82">
        <f t="shared" si="3458"/>
        <v>-2159</v>
      </c>
      <c r="AU500" s="82">
        <f t="shared" ref="AU500:AV500" si="3459">AU506-SUM(AU501:AU505)</f>
        <v>-1938</v>
      </c>
      <c r="AV500" s="82">
        <f t="shared" si="3459"/>
        <v>-2204</v>
      </c>
      <c r="AW500" s="82">
        <f t="shared" ref="AW500:AY500" si="3460">AW506-SUM(AW501:AW505)</f>
        <v>-2114</v>
      </c>
      <c r="AX500" s="82">
        <f t="shared" si="3460"/>
        <v>-2273</v>
      </c>
      <c r="AY500" s="82">
        <f t="shared" si="3460"/>
        <v>-2218</v>
      </c>
      <c r="AZ500" s="83">
        <f t="shared" ref="AZ500" si="3461">AZ506-SUM(AZ501:AZ505)</f>
        <v>-2367</v>
      </c>
      <c r="BA500" s="82">
        <f t="shared" ref="BA500:BE500" si="3462">BA497+BA498+BA499</f>
        <v>-2376.7114750465557</v>
      </c>
      <c r="BB500" s="82">
        <f t="shared" si="3462"/>
        <v>-2467.9851114229882</v>
      </c>
      <c r="BC500" s="82">
        <f t="shared" si="3462"/>
        <v>-2462.9398518835892</v>
      </c>
      <c r="BD500" s="82">
        <f t="shared" si="3462"/>
        <v>-2482.6163723859222</v>
      </c>
      <c r="BE500" s="82">
        <f t="shared" si="3462"/>
        <v>-2554.2595082858315</v>
      </c>
      <c r="BF500" s="82">
        <f t="shared" ref="BF500:BM500" si="3463">BF497+BF498+BF499</f>
        <v>-2637.8687864156332</v>
      </c>
      <c r="BG500" s="82">
        <f t="shared" si="3463"/>
        <v>-2686.4499094526559</v>
      </c>
      <c r="BH500" s="82">
        <f t="shared" si="3463"/>
        <v>-2756.727642306304</v>
      </c>
      <c r="BI500" s="82">
        <f t="shared" si="3463"/>
        <v>-2765.8447842581791</v>
      </c>
      <c r="BJ500" s="82">
        <f t="shared" si="3463"/>
        <v>-2792.6985214217098</v>
      </c>
      <c r="BK500" s="82">
        <f t="shared" si="3463"/>
        <v>-2745.1915853765699</v>
      </c>
      <c r="BL500" s="82">
        <f t="shared" si="3463"/>
        <v>-2794.0596137567231</v>
      </c>
      <c r="BM500" s="82">
        <f t="shared" si="3463"/>
        <v>-2791.9786358864012</v>
      </c>
      <c r="BN500" s="82">
        <f t="shared" ref="BN500:BO500" si="3464">BN497+BN498+BN499</f>
        <v>-2877.2602868498034</v>
      </c>
      <c r="BO500" s="82">
        <f t="shared" si="3464"/>
        <v>-2871.8881902725616</v>
      </c>
      <c r="BP500" s="82">
        <f t="shared" ref="BP500:BQ500" si="3465">BP497+BP498+BP499</f>
        <v>-2969.1776394567091</v>
      </c>
      <c r="BQ500" s="82">
        <f t="shared" si="3465"/>
        <v>-2963.7986405885554</v>
      </c>
      <c r="BR500" s="82"/>
      <c r="BS500" s="82">
        <f t="shared" ref="BS500:CB500" si="3466">BS506-SUM(BS501:BS505)</f>
        <v>-252.1</v>
      </c>
      <c r="BT500" s="82">
        <f t="shared" si="3466"/>
        <v>-366</v>
      </c>
      <c r="BU500" s="82">
        <f t="shared" si="3466"/>
        <v>-372</v>
      </c>
      <c r="BV500" s="82">
        <f t="shared" si="3466"/>
        <v>-512</v>
      </c>
      <c r="BW500" s="82">
        <f t="shared" si="3466"/>
        <v>-657</v>
      </c>
      <c r="BX500" s="82">
        <f t="shared" si="3466"/>
        <v>-610</v>
      </c>
      <c r="BY500" s="82">
        <f t="shared" si="3466"/>
        <v>-661</v>
      </c>
      <c r="BZ500" s="82">
        <f t="shared" si="3466"/>
        <v>-738</v>
      </c>
      <c r="CA500" s="82">
        <f t="shared" si="3466"/>
        <v>-858</v>
      </c>
      <c r="CB500" s="82">
        <f t="shared" si="3466"/>
        <v>-1016</v>
      </c>
      <c r="CC500" s="82">
        <f t="shared" si="3403"/>
        <v>-951</v>
      </c>
      <c r="CD500" s="82">
        <f t="shared" si="3404"/>
        <v>-1004</v>
      </c>
      <c r="CE500" s="82">
        <f t="shared" si="3405"/>
        <v>-1372</v>
      </c>
      <c r="CF500" s="82">
        <f t="shared" si="3406"/>
        <v>-1550</v>
      </c>
      <c r="CG500" s="82">
        <f t="shared" si="3407"/>
        <v>-1636</v>
      </c>
      <c r="CH500" s="82">
        <f t="shared" si="3408"/>
        <v>-1864</v>
      </c>
      <c r="CI500" s="82">
        <f t="shared" si="3409"/>
        <v>-1705</v>
      </c>
      <c r="CJ500" s="82">
        <f t="shared" si="3410"/>
        <v>-1601</v>
      </c>
      <c r="CK500" s="82">
        <f t="shared" si="3411"/>
        <v>-2329</v>
      </c>
      <c r="CL500" s="82">
        <f t="shared" si="3412"/>
        <v>-2695</v>
      </c>
      <c r="CM500" s="82">
        <f t="shared" si="3413"/>
        <v>-2794</v>
      </c>
      <c r="CN500" s="82">
        <f t="shared" si="3414"/>
        <v>-3009</v>
      </c>
      <c r="CO500" s="82">
        <f t="shared" si="3415"/>
        <v>-3314</v>
      </c>
      <c r="CP500" s="82">
        <f t="shared" si="3416"/>
        <v>-3512</v>
      </c>
      <c r="CQ500" s="82">
        <f t="shared" si="3417"/>
        <v>-3662</v>
      </c>
      <c r="CR500" s="82">
        <f t="shared" si="3418"/>
        <v>-3869</v>
      </c>
      <c r="CS500" s="82">
        <f t="shared" si="3419"/>
        <v>-3933</v>
      </c>
      <c r="CT500" s="82">
        <f t="shared" si="3420"/>
        <v>-3333</v>
      </c>
      <c r="CU500" s="82">
        <f t="shared" si="3421"/>
        <v>-3022</v>
      </c>
      <c r="CV500" s="82">
        <f t="shared" si="3422"/>
        <v>-3590</v>
      </c>
      <c r="CW500" s="82">
        <f t="shared" si="3423"/>
        <v>-4023</v>
      </c>
      <c r="CX500" s="82">
        <f t="shared" si="3424"/>
        <v>-4097</v>
      </c>
      <c r="CY500" s="82">
        <f t="shared" si="3425"/>
        <v>-4318</v>
      </c>
      <c r="CZ500" s="83">
        <f t="shared" si="3426"/>
        <v>-4491</v>
      </c>
      <c r="DA500" s="82">
        <f t="shared" si="3427"/>
        <v>-4743.7114750465553</v>
      </c>
      <c r="DB500" s="82">
        <f t="shared" si="3428"/>
        <v>-4930.9249633065774</v>
      </c>
      <c r="DC500" s="82">
        <f t="shared" si="3429"/>
        <v>-5036.8758806717542</v>
      </c>
      <c r="DD500" s="82">
        <f t="shared" si="3430"/>
        <v>-5324.3186958682891</v>
      </c>
      <c r="DE500" s="82">
        <f t="shared" si="3431"/>
        <v>-5522.5724265644831</v>
      </c>
      <c r="DF500" s="82">
        <f t="shared" si="3432"/>
        <v>-5537.8901067982797</v>
      </c>
      <c r="DG500" s="82">
        <f t="shared" si="3433"/>
        <v>-5586.0382496431248</v>
      </c>
      <c r="DH500" s="82">
        <f t="shared" si="3434"/>
        <v>-5749.148477122365</v>
      </c>
      <c r="DI500" s="82">
        <f t="shared" si="3435"/>
        <v>-5932.9762800452645</v>
      </c>
    </row>
    <row r="501" spans="1:113" outlineLevel="2">
      <c r="A501" s="1" t="s">
        <v>431</v>
      </c>
      <c r="B501" s="19" t="s">
        <v>854</v>
      </c>
      <c r="C501" s="55">
        <f>-C385</f>
        <v>0</v>
      </c>
      <c r="D501" s="55">
        <f>-D385</f>
        <v>0</v>
      </c>
      <c r="E501" s="55">
        <f>-E385</f>
        <v>0</v>
      </c>
      <c r="F501" s="55">
        <f t="shared" ref="F501:L501" si="3467">-F385</f>
        <v>0</v>
      </c>
      <c r="G501" s="55">
        <f t="shared" si="3467"/>
        <v>0</v>
      </c>
      <c r="H501" s="55">
        <f t="shared" si="3467"/>
        <v>0</v>
      </c>
      <c r="I501" s="55">
        <f t="shared" si="3467"/>
        <v>0</v>
      </c>
      <c r="J501" s="55">
        <f t="shared" si="3467"/>
        <v>0</v>
      </c>
      <c r="K501" s="55">
        <f t="shared" si="3467"/>
        <v>0</v>
      </c>
      <c r="L501" s="55">
        <f t="shared" si="3467"/>
        <v>0</v>
      </c>
      <c r="M501" s="55">
        <f t="shared" ref="M501:AB501" si="3468">-M385</f>
        <v>0</v>
      </c>
      <c r="N501" s="55">
        <f t="shared" si="3468"/>
        <v>0</v>
      </c>
      <c r="O501" s="55">
        <f t="shared" si="3468"/>
        <v>0</v>
      </c>
      <c r="P501" s="55">
        <f t="shared" si="3468"/>
        <v>0</v>
      </c>
      <c r="Q501" s="55">
        <f t="shared" si="3468"/>
        <v>0</v>
      </c>
      <c r="R501" s="55">
        <f t="shared" si="3468"/>
        <v>0</v>
      </c>
      <c r="S501" s="55">
        <f t="shared" si="3468"/>
        <v>0</v>
      </c>
      <c r="T501" s="55">
        <f t="shared" si="3468"/>
        <v>0</v>
      </c>
      <c r="U501" s="55">
        <f t="shared" si="3468"/>
        <v>0</v>
      </c>
      <c r="V501" s="55">
        <f t="shared" si="3468"/>
        <v>0</v>
      </c>
      <c r="W501" s="55">
        <f t="shared" si="3468"/>
        <v>0</v>
      </c>
      <c r="X501" s="55">
        <f t="shared" si="3468"/>
        <v>0</v>
      </c>
      <c r="Y501" s="55">
        <f>-Y385</f>
        <v>0</v>
      </c>
      <c r="Z501" s="55">
        <f>-Z385</f>
        <v>0</v>
      </c>
      <c r="AA501" s="55">
        <f t="shared" si="3468"/>
        <v>0</v>
      </c>
      <c r="AB501" s="55">
        <f t="shared" si="3468"/>
        <v>0</v>
      </c>
      <c r="AC501" s="55">
        <f t="shared" ref="AC501:AK501" si="3469">-AC385</f>
        <v>0</v>
      </c>
      <c r="AD501" s="55">
        <f t="shared" si="3469"/>
        <v>0</v>
      </c>
      <c r="AE501" s="55">
        <f t="shared" si="3469"/>
        <v>0</v>
      </c>
      <c r="AF501" s="55">
        <f t="shared" si="3469"/>
        <v>0</v>
      </c>
      <c r="AG501" s="55">
        <f t="shared" si="3469"/>
        <v>0</v>
      </c>
      <c r="AH501" s="55">
        <f t="shared" si="3469"/>
        <v>0</v>
      </c>
      <c r="AI501" s="55">
        <f t="shared" si="3469"/>
        <v>0</v>
      </c>
      <c r="AJ501" s="55">
        <f t="shared" si="3469"/>
        <v>0</v>
      </c>
      <c r="AK501" s="55">
        <f t="shared" si="3469"/>
        <v>0</v>
      </c>
      <c r="AL501" s="55">
        <f t="shared" ref="AL501:AQ501" si="3470">-AL385</f>
        <v>0</v>
      </c>
      <c r="AM501" s="55">
        <f t="shared" si="3470"/>
        <v>0</v>
      </c>
      <c r="AN501" s="55">
        <f t="shared" si="3470"/>
        <v>0</v>
      </c>
      <c r="AO501" s="55">
        <f t="shared" si="3470"/>
        <v>0</v>
      </c>
      <c r="AP501" s="55">
        <f t="shared" si="3470"/>
        <v>0</v>
      </c>
      <c r="AQ501" s="55">
        <f t="shared" si="3470"/>
        <v>0</v>
      </c>
      <c r="AR501" s="55">
        <f t="shared" ref="AR501" si="3471">-AR385</f>
        <v>0</v>
      </c>
      <c r="AS501" s="55">
        <f t="shared" ref="AS501:AT501" si="3472">-AS385</f>
        <v>0</v>
      </c>
      <c r="AT501" s="55">
        <f t="shared" si="3472"/>
        <v>0</v>
      </c>
      <c r="AU501" s="55">
        <f t="shared" ref="AU501:AV501" si="3473">-AU385</f>
        <v>0</v>
      </c>
      <c r="AV501" s="55">
        <f t="shared" si="3473"/>
        <v>0</v>
      </c>
      <c r="AW501" s="55">
        <f t="shared" ref="AW501:AX501" si="3474">-AW385</f>
        <v>0</v>
      </c>
      <c r="AX501" s="55">
        <f t="shared" si="3474"/>
        <v>0</v>
      </c>
      <c r="AY501" s="55">
        <f t="shared" ref="AY501:BE501" si="3475">-AY385</f>
        <v>0</v>
      </c>
      <c r="AZ501" s="56">
        <f t="shared" si="3475"/>
        <v>0</v>
      </c>
      <c r="BA501" s="55">
        <f t="shared" si="3475"/>
        <v>0</v>
      </c>
      <c r="BB501" s="55">
        <f t="shared" si="3475"/>
        <v>0</v>
      </c>
      <c r="BC501" s="55">
        <f t="shared" si="3475"/>
        <v>0</v>
      </c>
      <c r="BD501" s="55">
        <f t="shared" si="3475"/>
        <v>0</v>
      </c>
      <c r="BE501" s="55">
        <f t="shared" si="3475"/>
        <v>0</v>
      </c>
      <c r="BF501" s="55">
        <f t="shared" ref="BF501:BM501" si="3476">-BF385</f>
        <v>0</v>
      </c>
      <c r="BG501" s="55">
        <f t="shared" si="3476"/>
        <v>0</v>
      </c>
      <c r="BH501" s="55">
        <f t="shared" si="3476"/>
        <v>0</v>
      </c>
      <c r="BI501" s="55">
        <f t="shared" si="3476"/>
        <v>0</v>
      </c>
      <c r="BJ501" s="55">
        <f t="shared" si="3476"/>
        <v>0</v>
      </c>
      <c r="BK501" s="55">
        <f t="shared" si="3476"/>
        <v>0</v>
      </c>
      <c r="BL501" s="55">
        <f t="shared" si="3476"/>
        <v>0</v>
      </c>
      <c r="BM501" s="55">
        <f t="shared" si="3476"/>
        <v>0</v>
      </c>
      <c r="BN501" s="55">
        <f t="shared" ref="BN501:BO501" si="3477">-BN385</f>
        <v>0</v>
      </c>
      <c r="BO501" s="55">
        <f t="shared" si="3477"/>
        <v>0</v>
      </c>
      <c r="BP501" s="55">
        <f t="shared" ref="BP501:BQ501" si="3478">-BP385</f>
        <v>0</v>
      </c>
      <c r="BQ501" s="55">
        <f t="shared" si="3478"/>
        <v>0</v>
      </c>
      <c r="BR501" s="55"/>
      <c r="BS501" s="55">
        <f t="shared" ref="BS501:CB501" si="3479">-BS385</f>
        <v>0</v>
      </c>
      <c r="BT501" s="55">
        <f t="shared" si="3479"/>
        <v>0</v>
      </c>
      <c r="BU501" s="55">
        <f t="shared" si="3479"/>
        <v>0</v>
      </c>
      <c r="BV501" s="55">
        <f t="shared" si="3479"/>
        <v>0</v>
      </c>
      <c r="BW501" s="55">
        <f t="shared" si="3479"/>
        <v>0</v>
      </c>
      <c r="BX501" s="55">
        <f t="shared" si="3479"/>
        <v>0</v>
      </c>
      <c r="BY501" s="55">
        <f t="shared" si="3479"/>
        <v>0</v>
      </c>
      <c r="BZ501" s="55">
        <f t="shared" si="3479"/>
        <v>0</v>
      </c>
      <c r="CA501" s="55">
        <f t="shared" si="3479"/>
        <v>0</v>
      </c>
      <c r="CB501" s="55">
        <f t="shared" si="3479"/>
        <v>0</v>
      </c>
      <c r="CC501" s="55">
        <f t="shared" si="3403"/>
        <v>0</v>
      </c>
      <c r="CD501" s="55">
        <f t="shared" si="3404"/>
        <v>0</v>
      </c>
      <c r="CE501" s="55">
        <f t="shared" si="3405"/>
        <v>0</v>
      </c>
      <c r="CF501" s="55">
        <f t="shared" si="3406"/>
        <v>0</v>
      </c>
      <c r="CG501" s="55">
        <f t="shared" si="3407"/>
        <v>0</v>
      </c>
      <c r="CH501" s="55">
        <f t="shared" si="3408"/>
        <v>0</v>
      </c>
      <c r="CI501" s="55">
        <f t="shared" si="3409"/>
        <v>0</v>
      </c>
      <c r="CJ501" s="55">
        <f t="shared" si="3410"/>
        <v>0</v>
      </c>
      <c r="CK501" s="55">
        <f t="shared" si="3411"/>
        <v>0</v>
      </c>
      <c r="CL501" s="55">
        <f t="shared" si="3412"/>
        <v>0</v>
      </c>
      <c r="CM501" s="55">
        <f t="shared" si="3413"/>
        <v>0</v>
      </c>
      <c r="CN501" s="55">
        <f t="shared" si="3414"/>
        <v>0</v>
      </c>
      <c r="CO501" s="55">
        <f t="shared" si="3415"/>
        <v>0</v>
      </c>
      <c r="CP501" s="55">
        <f t="shared" si="3416"/>
        <v>0</v>
      </c>
      <c r="CQ501" s="55">
        <f t="shared" si="3417"/>
        <v>0</v>
      </c>
      <c r="CR501" s="55">
        <f t="shared" si="3418"/>
        <v>0</v>
      </c>
      <c r="CS501" s="55">
        <f t="shared" si="3419"/>
        <v>0</v>
      </c>
      <c r="CT501" s="55">
        <f t="shared" si="3420"/>
        <v>0</v>
      </c>
      <c r="CU501" s="55">
        <f t="shared" si="3421"/>
        <v>0</v>
      </c>
      <c r="CV501" s="55">
        <f t="shared" si="3422"/>
        <v>0</v>
      </c>
      <c r="CW501" s="55">
        <f t="shared" si="3423"/>
        <v>0</v>
      </c>
      <c r="CX501" s="55">
        <f t="shared" si="3424"/>
        <v>0</v>
      </c>
      <c r="CY501" s="55">
        <f t="shared" si="3425"/>
        <v>0</v>
      </c>
      <c r="CZ501" s="56">
        <f t="shared" si="3426"/>
        <v>0</v>
      </c>
      <c r="DA501" s="55">
        <f t="shared" si="3427"/>
        <v>0</v>
      </c>
      <c r="DB501" s="55">
        <f t="shared" si="3428"/>
        <v>0</v>
      </c>
      <c r="DC501" s="55">
        <f t="shared" si="3429"/>
        <v>0</v>
      </c>
      <c r="DD501" s="55">
        <f t="shared" si="3430"/>
        <v>0</v>
      </c>
      <c r="DE501" s="55">
        <f t="shared" si="3431"/>
        <v>0</v>
      </c>
      <c r="DF501" s="55">
        <f t="shared" si="3432"/>
        <v>0</v>
      </c>
      <c r="DG501" s="55">
        <f t="shared" si="3433"/>
        <v>0</v>
      </c>
      <c r="DH501" s="55">
        <f t="shared" si="3434"/>
        <v>0</v>
      </c>
      <c r="DI501" s="55">
        <f t="shared" si="3435"/>
        <v>0</v>
      </c>
    </row>
    <row r="502" spans="1:113" outlineLevel="2">
      <c r="A502" s="1" t="s">
        <v>56</v>
      </c>
      <c r="B502" s="19" t="s">
        <v>445</v>
      </c>
      <c r="C502" s="55">
        <f>-C412</f>
        <v>0</v>
      </c>
      <c r="D502" s="55">
        <f>-D412</f>
        <v>0</v>
      </c>
      <c r="E502" s="55">
        <f>-E412</f>
        <v>0</v>
      </c>
      <c r="F502" s="55">
        <f t="shared" ref="F502:L502" si="3480">-F412</f>
        <v>0</v>
      </c>
      <c r="G502" s="55">
        <f t="shared" si="3480"/>
        <v>0</v>
      </c>
      <c r="H502" s="55">
        <f t="shared" si="3480"/>
        <v>0</v>
      </c>
      <c r="I502" s="55">
        <f t="shared" si="3480"/>
        <v>0</v>
      </c>
      <c r="J502" s="55">
        <f t="shared" si="3480"/>
        <v>0</v>
      </c>
      <c r="K502" s="55">
        <f t="shared" si="3480"/>
        <v>0</v>
      </c>
      <c r="L502" s="55">
        <f t="shared" si="3480"/>
        <v>0</v>
      </c>
      <c r="M502" s="55">
        <f t="shared" ref="M502:AB502" si="3481">-M412</f>
        <v>0</v>
      </c>
      <c r="N502" s="55">
        <f t="shared" si="3481"/>
        <v>0</v>
      </c>
      <c r="O502" s="55">
        <f t="shared" si="3481"/>
        <v>0</v>
      </c>
      <c r="P502" s="55">
        <f t="shared" si="3481"/>
        <v>0</v>
      </c>
      <c r="Q502" s="55">
        <f t="shared" si="3481"/>
        <v>0</v>
      </c>
      <c r="R502" s="55">
        <f t="shared" si="3481"/>
        <v>0</v>
      </c>
      <c r="S502" s="55">
        <f t="shared" si="3481"/>
        <v>0</v>
      </c>
      <c r="T502" s="55">
        <f t="shared" si="3481"/>
        <v>0</v>
      </c>
      <c r="U502" s="55">
        <f t="shared" si="3481"/>
        <v>0</v>
      </c>
      <c r="V502" s="55">
        <f t="shared" si="3481"/>
        <v>0</v>
      </c>
      <c r="W502" s="55">
        <f t="shared" si="3481"/>
        <v>0</v>
      </c>
      <c r="X502" s="55">
        <f t="shared" si="3481"/>
        <v>0</v>
      </c>
      <c r="Y502" s="55">
        <f>-Y412</f>
        <v>0</v>
      </c>
      <c r="Z502" s="55">
        <f>-Z412</f>
        <v>0</v>
      </c>
      <c r="AA502" s="55">
        <f t="shared" si="3481"/>
        <v>0</v>
      </c>
      <c r="AB502" s="55">
        <f t="shared" si="3481"/>
        <v>0</v>
      </c>
      <c r="AC502" s="55">
        <f t="shared" ref="AC502:AK502" si="3482">-AC412</f>
        <v>0</v>
      </c>
      <c r="AD502" s="55">
        <f t="shared" si="3482"/>
        <v>0</v>
      </c>
      <c r="AE502" s="55">
        <f t="shared" si="3482"/>
        <v>0</v>
      </c>
      <c r="AF502" s="55">
        <f t="shared" si="3482"/>
        <v>0</v>
      </c>
      <c r="AG502" s="55">
        <f t="shared" si="3482"/>
        <v>0</v>
      </c>
      <c r="AH502" s="55">
        <f t="shared" si="3482"/>
        <v>0</v>
      </c>
      <c r="AI502" s="55">
        <f t="shared" si="3482"/>
        <v>0</v>
      </c>
      <c r="AJ502" s="55">
        <f t="shared" si="3482"/>
        <v>0</v>
      </c>
      <c r="AK502" s="55">
        <f t="shared" si="3482"/>
        <v>0</v>
      </c>
      <c r="AL502" s="55">
        <f t="shared" ref="AL502:AQ502" si="3483">-AL412</f>
        <v>0</v>
      </c>
      <c r="AM502" s="55">
        <f t="shared" si="3483"/>
        <v>0</v>
      </c>
      <c r="AN502" s="55">
        <f t="shared" si="3483"/>
        <v>0</v>
      </c>
      <c r="AO502" s="55">
        <f t="shared" si="3483"/>
        <v>0</v>
      </c>
      <c r="AP502" s="55">
        <f t="shared" si="3483"/>
        <v>0</v>
      </c>
      <c r="AQ502" s="55">
        <f t="shared" si="3483"/>
        <v>0</v>
      </c>
      <c r="AR502" s="55">
        <f t="shared" ref="AR502" si="3484">-AR412</f>
        <v>0</v>
      </c>
      <c r="AS502" s="55">
        <f t="shared" ref="AS502:AT502" si="3485">-AS412</f>
        <v>0</v>
      </c>
      <c r="AT502" s="55">
        <f t="shared" si="3485"/>
        <v>0</v>
      </c>
      <c r="AU502" s="55">
        <f t="shared" ref="AU502:AV502" si="3486">-AU412</f>
        <v>0</v>
      </c>
      <c r="AV502" s="55">
        <f t="shared" si="3486"/>
        <v>0</v>
      </c>
      <c r="AW502" s="55">
        <f t="shared" ref="AW502:AX502" si="3487">-AW412</f>
        <v>0</v>
      </c>
      <c r="AX502" s="55">
        <f t="shared" si="3487"/>
        <v>0</v>
      </c>
      <c r="AY502" s="55">
        <f t="shared" ref="AY502:BE502" si="3488">-AY412</f>
        <v>0</v>
      </c>
      <c r="AZ502" s="56">
        <f t="shared" si="3488"/>
        <v>0</v>
      </c>
      <c r="BA502" s="55">
        <f t="shared" si="3488"/>
        <v>0</v>
      </c>
      <c r="BB502" s="55">
        <f t="shared" si="3488"/>
        <v>0</v>
      </c>
      <c r="BC502" s="55">
        <f t="shared" si="3488"/>
        <v>0</v>
      </c>
      <c r="BD502" s="55">
        <f t="shared" si="3488"/>
        <v>0</v>
      </c>
      <c r="BE502" s="55">
        <f t="shared" si="3488"/>
        <v>0</v>
      </c>
      <c r="BF502" s="55">
        <f t="shared" ref="BF502:BM502" si="3489">-BF412</f>
        <v>0</v>
      </c>
      <c r="BG502" s="55">
        <f t="shared" si="3489"/>
        <v>0</v>
      </c>
      <c r="BH502" s="55">
        <f t="shared" si="3489"/>
        <v>0</v>
      </c>
      <c r="BI502" s="55">
        <f t="shared" si="3489"/>
        <v>0</v>
      </c>
      <c r="BJ502" s="55">
        <f t="shared" si="3489"/>
        <v>0</v>
      </c>
      <c r="BK502" s="55">
        <f t="shared" si="3489"/>
        <v>0</v>
      </c>
      <c r="BL502" s="55">
        <f t="shared" si="3489"/>
        <v>0</v>
      </c>
      <c r="BM502" s="55">
        <f t="shared" si="3489"/>
        <v>0</v>
      </c>
      <c r="BN502" s="55">
        <f t="shared" ref="BN502:BO502" si="3490">-BN412</f>
        <v>0</v>
      </c>
      <c r="BO502" s="55">
        <f t="shared" si="3490"/>
        <v>0</v>
      </c>
      <c r="BP502" s="55">
        <f t="shared" ref="BP502:BQ502" si="3491">-BP412</f>
        <v>0</v>
      </c>
      <c r="BQ502" s="55">
        <f t="shared" si="3491"/>
        <v>0</v>
      </c>
      <c r="BR502" s="55"/>
      <c r="BS502" s="55">
        <f t="shared" ref="BS502:CB502" si="3492">-BS412</f>
        <v>0</v>
      </c>
      <c r="BT502" s="55">
        <f t="shared" si="3492"/>
        <v>0</v>
      </c>
      <c r="BU502" s="55">
        <f t="shared" si="3492"/>
        <v>0</v>
      </c>
      <c r="BV502" s="55">
        <f t="shared" si="3492"/>
        <v>0</v>
      </c>
      <c r="BW502" s="55">
        <f t="shared" si="3492"/>
        <v>0</v>
      </c>
      <c r="BX502" s="55">
        <f t="shared" si="3492"/>
        <v>0</v>
      </c>
      <c r="BY502" s="55">
        <f t="shared" si="3492"/>
        <v>0</v>
      </c>
      <c r="BZ502" s="55">
        <f t="shared" si="3492"/>
        <v>0</v>
      </c>
      <c r="CA502" s="55">
        <f t="shared" si="3492"/>
        <v>0</v>
      </c>
      <c r="CB502" s="55">
        <f t="shared" si="3492"/>
        <v>0</v>
      </c>
      <c r="CC502" s="55">
        <f t="shared" si="3403"/>
        <v>0</v>
      </c>
      <c r="CD502" s="55">
        <f t="shared" si="3404"/>
        <v>0</v>
      </c>
      <c r="CE502" s="55">
        <f t="shared" si="3405"/>
        <v>0</v>
      </c>
      <c r="CF502" s="55">
        <f t="shared" si="3406"/>
        <v>0</v>
      </c>
      <c r="CG502" s="55">
        <f t="shared" si="3407"/>
        <v>0</v>
      </c>
      <c r="CH502" s="55">
        <f t="shared" si="3408"/>
        <v>0</v>
      </c>
      <c r="CI502" s="55">
        <f t="shared" si="3409"/>
        <v>0</v>
      </c>
      <c r="CJ502" s="55">
        <f t="shared" si="3410"/>
        <v>0</v>
      </c>
      <c r="CK502" s="55">
        <f t="shared" si="3411"/>
        <v>0</v>
      </c>
      <c r="CL502" s="55">
        <f t="shared" si="3412"/>
        <v>0</v>
      </c>
      <c r="CM502" s="55">
        <f t="shared" si="3413"/>
        <v>0</v>
      </c>
      <c r="CN502" s="55">
        <f t="shared" si="3414"/>
        <v>0</v>
      </c>
      <c r="CO502" s="55">
        <f t="shared" si="3415"/>
        <v>0</v>
      </c>
      <c r="CP502" s="55">
        <f t="shared" si="3416"/>
        <v>0</v>
      </c>
      <c r="CQ502" s="55">
        <f t="shared" si="3417"/>
        <v>0</v>
      </c>
      <c r="CR502" s="55">
        <f t="shared" si="3418"/>
        <v>0</v>
      </c>
      <c r="CS502" s="55">
        <f t="shared" si="3419"/>
        <v>0</v>
      </c>
      <c r="CT502" s="55">
        <f t="shared" si="3420"/>
        <v>0</v>
      </c>
      <c r="CU502" s="55">
        <f t="shared" si="3421"/>
        <v>0</v>
      </c>
      <c r="CV502" s="55">
        <f t="shared" si="3422"/>
        <v>0</v>
      </c>
      <c r="CW502" s="55">
        <f t="shared" si="3423"/>
        <v>0</v>
      </c>
      <c r="CX502" s="55">
        <f t="shared" si="3424"/>
        <v>0</v>
      </c>
      <c r="CY502" s="55">
        <f t="shared" si="3425"/>
        <v>0</v>
      </c>
      <c r="CZ502" s="56">
        <f t="shared" si="3426"/>
        <v>0</v>
      </c>
      <c r="DA502" s="55">
        <f t="shared" si="3427"/>
        <v>0</v>
      </c>
      <c r="DB502" s="55">
        <f t="shared" si="3428"/>
        <v>0</v>
      </c>
      <c r="DC502" s="55">
        <f t="shared" si="3429"/>
        <v>0</v>
      </c>
      <c r="DD502" s="55">
        <f t="shared" si="3430"/>
        <v>0</v>
      </c>
      <c r="DE502" s="55">
        <f t="shared" si="3431"/>
        <v>0</v>
      </c>
      <c r="DF502" s="55">
        <f t="shared" si="3432"/>
        <v>0</v>
      </c>
      <c r="DG502" s="55">
        <f t="shared" si="3433"/>
        <v>0</v>
      </c>
      <c r="DH502" s="55">
        <f t="shared" si="3434"/>
        <v>0</v>
      </c>
      <c r="DI502" s="55">
        <f t="shared" si="3435"/>
        <v>0</v>
      </c>
    </row>
    <row r="503" spans="1:113" outlineLevel="2">
      <c r="A503" s="1" t="s">
        <v>57</v>
      </c>
      <c r="B503" s="19" t="s">
        <v>369</v>
      </c>
      <c r="C503" s="55">
        <f>-C447</f>
        <v>0</v>
      </c>
      <c r="D503" s="55">
        <f>-D447</f>
        <v>0</v>
      </c>
      <c r="E503" s="55">
        <f>-E447</f>
        <v>0</v>
      </c>
      <c r="F503" s="55">
        <f t="shared" ref="F503:L503" si="3493">-F447</f>
        <v>0</v>
      </c>
      <c r="G503" s="55">
        <f t="shared" si="3493"/>
        <v>0</v>
      </c>
      <c r="H503" s="55">
        <f t="shared" si="3493"/>
        <v>0</v>
      </c>
      <c r="I503" s="55">
        <f t="shared" si="3493"/>
        <v>0</v>
      </c>
      <c r="J503" s="55">
        <f t="shared" si="3493"/>
        <v>0</v>
      </c>
      <c r="K503" s="55">
        <f t="shared" si="3493"/>
        <v>0</v>
      </c>
      <c r="L503" s="55">
        <f t="shared" si="3493"/>
        <v>0</v>
      </c>
      <c r="M503" s="55">
        <f t="shared" ref="M503:AB503" si="3494">-M447</f>
        <v>0</v>
      </c>
      <c r="N503" s="55">
        <f t="shared" si="3494"/>
        <v>0</v>
      </c>
      <c r="O503" s="55">
        <f t="shared" si="3494"/>
        <v>0</v>
      </c>
      <c r="P503" s="55">
        <f t="shared" si="3494"/>
        <v>0</v>
      </c>
      <c r="Q503" s="55">
        <f t="shared" si="3494"/>
        <v>0</v>
      </c>
      <c r="R503" s="55">
        <f t="shared" si="3494"/>
        <v>0</v>
      </c>
      <c r="S503" s="55">
        <f t="shared" si="3494"/>
        <v>0</v>
      </c>
      <c r="T503" s="55">
        <f t="shared" si="3494"/>
        <v>0</v>
      </c>
      <c r="U503" s="55">
        <f t="shared" si="3494"/>
        <v>0</v>
      </c>
      <c r="V503" s="55">
        <f t="shared" si="3494"/>
        <v>0</v>
      </c>
      <c r="W503" s="55">
        <f t="shared" si="3494"/>
        <v>0</v>
      </c>
      <c r="X503" s="55">
        <f t="shared" si="3494"/>
        <v>0</v>
      </c>
      <c r="Y503" s="55">
        <f>-Y447</f>
        <v>0</v>
      </c>
      <c r="Z503" s="55">
        <f>-Z447</f>
        <v>0</v>
      </c>
      <c r="AA503" s="55">
        <f t="shared" si="3494"/>
        <v>0</v>
      </c>
      <c r="AB503" s="55">
        <f t="shared" si="3494"/>
        <v>0</v>
      </c>
      <c r="AC503" s="55">
        <f t="shared" ref="AC503:AK503" si="3495">-AC447</f>
        <v>0</v>
      </c>
      <c r="AD503" s="55">
        <f t="shared" si="3495"/>
        <v>0</v>
      </c>
      <c r="AE503" s="55">
        <f t="shared" si="3495"/>
        <v>0</v>
      </c>
      <c r="AF503" s="55">
        <f t="shared" si="3495"/>
        <v>0</v>
      </c>
      <c r="AG503" s="55">
        <f t="shared" si="3495"/>
        <v>0</v>
      </c>
      <c r="AH503" s="55">
        <f t="shared" si="3495"/>
        <v>0</v>
      </c>
      <c r="AI503" s="55">
        <f t="shared" si="3495"/>
        <v>0</v>
      </c>
      <c r="AJ503" s="55">
        <f t="shared" si="3495"/>
        <v>0</v>
      </c>
      <c r="AK503" s="55">
        <f t="shared" si="3495"/>
        <v>0</v>
      </c>
      <c r="AL503" s="55">
        <f t="shared" ref="AL503:AQ503" si="3496">-AL447</f>
        <v>0</v>
      </c>
      <c r="AM503" s="55">
        <f t="shared" si="3496"/>
        <v>0</v>
      </c>
      <c r="AN503" s="55">
        <f t="shared" si="3496"/>
        <v>0</v>
      </c>
      <c r="AO503" s="55">
        <f t="shared" si="3496"/>
        <v>0</v>
      </c>
      <c r="AP503" s="55">
        <f t="shared" si="3496"/>
        <v>0</v>
      </c>
      <c r="AQ503" s="55">
        <f t="shared" si="3496"/>
        <v>0</v>
      </c>
      <c r="AR503" s="55">
        <f t="shared" ref="AR503" si="3497">-AR447</f>
        <v>0</v>
      </c>
      <c r="AS503" s="55">
        <f t="shared" ref="AS503:AT503" si="3498">-AS447</f>
        <v>0</v>
      </c>
      <c r="AT503" s="55">
        <f t="shared" si="3498"/>
        <v>0</v>
      </c>
      <c r="AU503" s="55">
        <f t="shared" ref="AU503:AV503" si="3499">-AU447</f>
        <v>0</v>
      </c>
      <c r="AV503" s="55">
        <f t="shared" si="3499"/>
        <v>0</v>
      </c>
      <c r="AW503" s="55">
        <f t="shared" ref="AW503:AX503" si="3500">-AW447</f>
        <v>0</v>
      </c>
      <c r="AX503" s="55">
        <f t="shared" si="3500"/>
        <v>0</v>
      </c>
      <c r="AY503" s="55">
        <f t="shared" ref="AY503:BE503" si="3501">-AY447</f>
        <v>0</v>
      </c>
      <c r="AZ503" s="56">
        <f t="shared" si="3501"/>
        <v>0</v>
      </c>
      <c r="BA503" s="55">
        <f t="shared" si="3501"/>
        <v>0</v>
      </c>
      <c r="BB503" s="55">
        <f t="shared" si="3501"/>
        <v>0</v>
      </c>
      <c r="BC503" s="55">
        <f t="shared" si="3501"/>
        <v>0</v>
      </c>
      <c r="BD503" s="55">
        <f t="shared" si="3501"/>
        <v>0</v>
      </c>
      <c r="BE503" s="55">
        <f t="shared" si="3501"/>
        <v>0</v>
      </c>
      <c r="BF503" s="55">
        <f t="shared" ref="BF503:BM503" si="3502">-BF447</f>
        <v>0</v>
      </c>
      <c r="BG503" s="55">
        <f t="shared" si="3502"/>
        <v>0</v>
      </c>
      <c r="BH503" s="55">
        <f t="shared" si="3502"/>
        <v>0</v>
      </c>
      <c r="BI503" s="55">
        <f t="shared" si="3502"/>
        <v>0</v>
      </c>
      <c r="BJ503" s="55">
        <f t="shared" si="3502"/>
        <v>0</v>
      </c>
      <c r="BK503" s="55">
        <f t="shared" si="3502"/>
        <v>0</v>
      </c>
      <c r="BL503" s="55">
        <f t="shared" si="3502"/>
        <v>0</v>
      </c>
      <c r="BM503" s="55">
        <f t="shared" si="3502"/>
        <v>0</v>
      </c>
      <c r="BN503" s="55">
        <f t="shared" ref="BN503:BO503" si="3503">-BN447</f>
        <v>0</v>
      </c>
      <c r="BO503" s="55">
        <f t="shared" si="3503"/>
        <v>0</v>
      </c>
      <c r="BP503" s="55">
        <f t="shared" ref="BP503:BQ503" si="3504">-BP447</f>
        <v>0</v>
      </c>
      <c r="BQ503" s="55">
        <f t="shared" si="3504"/>
        <v>0</v>
      </c>
      <c r="BR503" s="55"/>
      <c r="BS503" s="55">
        <f t="shared" ref="BS503:CB503" si="3505">-BS447</f>
        <v>0</v>
      </c>
      <c r="BT503" s="55">
        <f t="shared" si="3505"/>
        <v>0</v>
      </c>
      <c r="BU503" s="55">
        <f t="shared" si="3505"/>
        <v>0</v>
      </c>
      <c r="BV503" s="55">
        <f t="shared" si="3505"/>
        <v>0</v>
      </c>
      <c r="BW503" s="55">
        <f t="shared" si="3505"/>
        <v>0</v>
      </c>
      <c r="BX503" s="55">
        <f t="shared" si="3505"/>
        <v>0</v>
      </c>
      <c r="BY503" s="55">
        <f t="shared" si="3505"/>
        <v>0</v>
      </c>
      <c r="BZ503" s="55">
        <f t="shared" si="3505"/>
        <v>0</v>
      </c>
      <c r="CA503" s="55">
        <f t="shared" si="3505"/>
        <v>0</v>
      </c>
      <c r="CB503" s="55">
        <f t="shared" si="3505"/>
        <v>0</v>
      </c>
      <c r="CC503" s="55">
        <f t="shared" si="3403"/>
        <v>0</v>
      </c>
      <c r="CD503" s="55">
        <f t="shared" si="3404"/>
        <v>0</v>
      </c>
      <c r="CE503" s="55">
        <f t="shared" si="3405"/>
        <v>0</v>
      </c>
      <c r="CF503" s="55">
        <f t="shared" si="3406"/>
        <v>0</v>
      </c>
      <c r="CG503" s="55">
        <f t="shared" si="3407"/>
        <v>0</v>
      </c>
      <c r="CH503" s="55">
        <f t="shared" si="3408"/>
        <v>0</v>
      </c>
      <c r="CI503" s="55">
        <f t="shared" si="3409"/>
        <v>0</v>
      </c>
      <c r="CJ503" s="55">
        <f t="shared" si="3410"/>
        <v>0</v>
      </c>
      <c r="CK503" s="55">
        <f t="shared" si="3411"/>
        <v>0</v>
      </c>
      <c r="CL503" s="55">
        <f t="shared" si="3412"/>
        <v>0</v>
      </c>
      <c r="CM503" s="55">
        <f t="shared" si="3413"/>
        <v>0</v>
      </c>
      <c r="CN503" s="55">
        <f t="shared" si="3414"/>
        <v>0</v>
      </c>
      <c r="CO503" s="55">
        <f t="shared" si="3415"/>
        <v>0</v>
      </c>
      <c r="CP503" s="55">
        <f t="shared" si="3416"/>
        <v>0</v>
      </c>
      <c r="CQ503" s="55">
        <f t="shared" si="3417"/>
        <v>0</v>
      </c>
      <c r="CR503" s="55">
        <f t="shared" si="3418"/>
        <v>0</v>
      </c>
      <c r="CS503" s="55">
        <f t="shared" si="3419"/>
        <v>0</v>
      </c>
      <c r="CT503" s="55">
        <f t="shared" si="3420"/>
        <v>0</v>
      </c>
      <c r="CU503" s="55">
        <f t="shared" si="3421"/>
        <v>0</v>
      </c>
      <c r="CV503" s="55">
        <f t="shared" si="3422"/>
        <v>0</v>
      </c>
      <c r="CW503" s="55">
        <f t="shared" si="3423"/>
        <v>0</v>
      </c>
      <c r="CX503" s="55">
        <f t="shared" si="3424"/>
        <v>0</v>
      </c>
      <c r="CY503" s="55">
        <f t="shared" si="3425"/>
        <v>0</v>
      </c>
      <c r="CZ503" s="56">
        <f t="shared" si="3426"/>
        <v>0</v>
      </c>
      <c r="DA503" s="55">
        <f t="shared" si="3427"/>
        <v>0</v>
      </c>
      <c r="DB503" s="55">
        <f t="shared" si="3428"/>
        <v>0</v>
      </c>
      <c r="DC503" s="55">
        <f t="shared" si="3429"/>
        <v>0</v>
      </c>
      <c r="DD503" s="55">
        <f t="shared" si="3430"/>
        <v>0</v>
      </c>
      <c r="DE503" s="55">
        <f t="shared" si="3431"/>
        <v>0</v>
      </c>
      <c r="DF503" s="55">
        <f t="shared" si="3432"/>
        <v>0</v>
      </c>
      <c r="DG503" s="55">
        <f t="shared" si="3433"/>
        <v>0</v>
      </c>
      <c r="DH503" s="55">
        <f t="shared" si="3434"/>
        <v>0</v>
      </c>
      <c r="DI503" s="55">
        <f t="shared" si="3435"/>
        <v>0</v>
      </c>
    </row>
    <row r="504" spans="1:113" outlineLevel="2">
      <c r="A504" s="1" t="s">
        <v>691</v>
      </c>
      <c r="B504" s="19" t="s">
        <v>370</v>
      </c>
      <c r="C504" s="55">
        <f>-C476</f>
        <v>0</v>
      </c>
      <c r="D504" s="55">
        <f>-D476</f>
        <v>0</v>
      </c>
      <c r="E504" s="55">
        <f>-E476</f>
        <v>0</v>
      </c>
      <c r="F504" s="55">
        <f t="shared" ref="F504:L504" si="3506">-F476</f>
        <v>0</v>
      </c>
      <c r="G504" s="55">
        <f t="shared" si="3506"/>
        <v>0</v>
      </c>
      <c r="H504" s="55">
        <f t="shared" si="3506"/>
        <v>0</v>
      </c>
      <c r="I504" s="55">
        <f t="shared" si="3506"/>
        <v>0</v>
      </c>
      <c r="J504" s="55">
        <f t="shared" si="3506"/>
        <v>0</v>
      </c>
      <c r="K504" s="55">
        <f t="shared" si="3506"/>
        <v>0</v>
      </c>
      <c r="L504" s="55">
        <f t="shared" si="3506"/>
        <v>0</v>
      </c>
      <c r="M504" s="55">
        <f t="shared" ref="M504:AB504" si="3507">-M476</f>
        <v>0</v>
      </c>
      <c r="N504" s="55">
        <f t="shared" si="3507"/>
        <v>0</v>
      </c>
      <c r="O504" s="55">
        <f t="shared" si="3507"/>
        <v>0</v>
      </c>
      <c r="P504" s="55">
        <f t="shared" si="3507"/>
        <v>0</v>
      </c>
      <c r="Q504" s="55">
        <f t="shared" si="3507"/>
        <v>0</v>
      </c>
      <c r="R504" s="55">
        <f t="shared" si="3507"/>
        <v>0</v>
      </c>
      <c r="S504" s="55">
        <f t="shared" si="3507"/>
        <v>0</v>
      </c>
      <c r="T504" s="55">
        <f t="shared" si="3507"/>
        <v>0</v>
      </c>
      <c r="U504" s="55">
        <f t="shared" si="3507"/>
        <v>0</v>
      </c>
      <c r="V504" s="55">
        <f t="shared" si="3507"/>
        <v>0</v>
      </c>
      <c r="W504" s="55">
        <f t="shared" si="3507"/>
        <v>0</v>
      </c>
      <c r="X504" s="55">
        <f t="shared" si="3507"/>
        <v>0</v>
      </c>
      <c r="Y504" s="55">
        <f>-Y476</f>
        <v>0</v>
      </c>
      <c r="Z504" s="55">
        <f>-Z476</f>
        <v>0</v>
      </c>
      <c r="AA504" s="55">
        <f t="shared" si="3507"/>
        <v>0</v>
      </c>
      <c r="AB504" s="55">
        <f t="shared" si="3507"/>
        <v>0</v>
      </c>
      <c r="AC504" s="55">
        <f t="shared" ref="AC504:AJ504" si="3508">-AC476</f>
        <v>0</v>
      </c>
      <c r="AD504" s="55">
        <f t="shared" si="3508"/>
        <v>0</v>
      </c>
      <c r="AE504" s="55">
        <f t="shared" si="3508"/>
        <v>0</v>
      </c>
      <c r="AF504" s="55">
        <f t="shared" si="3508"/>
        <v>0</v>
      </c>
      <c r="AG504" s="55">
        <f t="shared" si="3508"/>
        <v>0</v>
      </c>
      <c r="AH504" s="55">
        <f t="shared" si="3508"/>
        <v>0</v>
      </c>
      <c r="AI504" s="55">
        <f t="shared" si="3508"/>
        <v>0</v>
      </c>
      <c r="AJ504" s="55">
        <f t="shared" si="3508"/>
        <v>0</v>
      </c>
      <c r="AK504" s="55">
        <f t="shared" ref="AK504:AP504" si="3509">-AK476</f>
        <v>0</v>
      </c>
      <c r="AL504" s="55">
        <f t="shared" si="3509"/>
        <v>0</v>
      </c>
      <c r="AM504" s="55">
        <f t="shared" si="3509"/>
        <v>0</v>
      </c>
      <c r="AN504" s="55">
        <f t="shared" si="3509"/>
        <v>0</v>
      </c>
      <c r="AO504" s="55">
        <f t="shared" si="3509"/>
        <v>0</v>
      </c>
      <c r="AP504" s="55">
        <f t="shared" si="3509"/>
        <v>0</v>
      </c>
      <c r="AQ504" s="55">
        <f t="shared" ref="AQ504:AR504" si="3510">-AQ476</f>
        <v>0</v>
      </c>
      <c r="AR504" s="55">
        <f t="shared" si="3510"/>
        <v>0</v>
      </c>
      <c r="AS504" s="55">
        <f t="shared" ref="AS504:AT504" si="3511">-AS476</f>
        <v>0</v>
      </c>
      <c r="AT504" s="55">
        <f t="shared" si="3511"/>
        <v>0</v>
      </c>
      <c r="AU504" s="55">
        <f t="shared" ref="AU504:AV504" si="3512">-AU476</f>
        <v>0</v>
      </c>
      <c r="AV504" s="55">
        <f t="shared" si="3512"/>
        <v>0</v>
      </c>
      <c r="AW504" s="55">
        <f t="shared" ref="AW504:AX504" si="3513">-AW476</f>
        <v>0</v>
      </c>
      <c r="AX504" s="55">
        <f t="shared" si="3513"/>
        <v>0</v>
      </c>
      <c r="AY504" s="55">
        <f t="shared" ref="AY504:BE504" si="3514">-AY476</f>
        <v>0</v>
      </c>
      <c r="AZ504" s="56">
        <f t="shared" si="3514"/>
        <v>0</v>
      </c>
      <c r="BA504" s="55">
        <f t="shared" si="3514"/>
        <v>0</v>
      </c>
      <c r="BB504" s="55">
        <f t="shared" si="3514"/>
        <v>0</v>
      </c>
      <c r="BC504" s="55">
        <f t="shared" si="3514"/>
        <v>0</v>
      </c>
      <c r="BD504" s="55">
        <f t="shared" si="3514"/>
        <v>0</v>
      </c>
      <c r="BE504" s="55">
        <f t="shared" si="3514"/>
        <v>0</v>
      </c>
      <c r="BF504" s="55">
        <f t="shared" ref="BF504:BM504" si="3515">-BF476</f>
        <v>0</v>
      </c>
      <c r="BG504" s="55">
        <f t="shared" si="3515"/>
        <v>0</v>
      </c>
      <c r="BH504" s="55">
        <f t="shared" si="3515"/>
        <v>0</v>
      </c>
      <c r="BI504" s="55">
        <f t="shared" si="3515"/>
        <v>0</v>
      </c>
      <c r="BJ504" s="55">
        <f t="shared" si="3515"/>
        <v>0</v>
      </c>
      <c r="BK504" s="55">
        <f t="shared" si="3515"/>
        <v>0</v>
      </c>
      <c r="BL504" s="55">
        <f t="shared" si="3515"/>
        <v>0</v>
      </c>
      <c r="BM504" s="55">
        <f t="shared" si="3515"/>
        <v>0</v>
      </c>
      <c r="BN504" s="55">
        <f t="shared" ref="BN504:BO504" si="3516">-BN476</f>
        <v>0</v>
      </c>
      <c r="BO504" s="55">
        <f t="shared" si="3516"/>
        <v>0</v>
      </c>
      <c r="BP504" s="55">
        <f t="shared" ref="BP504:BQ504" si="3517">-BP476</f>
        <v>0</v>
      </c>
      <c r="BQ504" s="55">
        <f t="shared" si="3517"/>
        <v>0</v>
      </c>
      <c r="BR504" s="55"/>
      <c r="BS504" s="55">
        <f t="shared" ref="BS504:CB504" si="3518">-BS476</f>
        <v>0</v>
      </c>
      <c r="BT504" s="55">
        <f t="shared" si="3518"/>
        <v>0</v>
      </c>
      <c r="BU504" s="55">
        <f t="shared" si="3518"/>
        <v>0</v>
      </c>
      <c r="BV504" s="55">
        <f t="shared" si="3518"/>
        <v>0</v>
      </c>
      <c r="BW504" s="55">
        <f t="shared" si="3518"/>
        <v>0</v>
      </c>
      <c r="BX504" s="55">
        <f t="shared" si="3518"/>
        <v>0</v>
      </c>
      <c r="BY504" s="55">
        <f t="shared" si="3518"/>
        <v>0</v>
      </c>
      <c r="BZ504" s="55">
        <f t="shared" si="3518"/>
        <v>0</v>
      </c>
      <c r="CA504" s="55">
        <f t="shared" si="3518"/>
        <v>0</v>
      </c>
      <c r="CB504" s="55">
        <f t="shared" si="3518"/>
        <v>0</v>
      </c>
      <c r="CC504" s="55">
        <f t="shared" si="3403"/>
        <v>0</v>
      </c>
      <c r="CD504" s="55">
        <f t="shared" si="3404"/>
        <v>0</v>
      </c>
      <c r="CE504" s="55">
        <f t="shared" si="3405"/>
        <v>0</v>
      </c>
      <c r="CF504" s="55">
        <f t="shared" si="3406"/>
        <v>0</v>
      </c>
      <c r="CG504" s="55">
        <f t="shared" si="3407"/>
        <v>0</v>
      </c>
      <c r="CH504" s="55">
        <f t="shared" si="3408"/>
        <v>0</v>
      </c>
      <c r="CI504" s="55">
        <f t="shared" si="3409"/>
        <v>0</v>
      </c>
      <c r="CJ504" s="55">
        <f t="shared" si="3410"/>
        <v>0</v>
      </c>
      <c r="CK504" s="55">
        <f t="shared" si="3411"/>
        <v>0</v>
      </c>
      <c r="CL504" s="55">
        <f t="shared" si="3412"/>
        <v>0</v>
      </c>
      <c r="CM504" s="55">
        <f t="shared" si="3413"/>
        <v>0</v>
      </c>
      <c r="CN504" s="55">
        <f t="shared" si="3414"/>
        <v>0</v>
      </c>
      <c r="CO504" s="55">
        <f t="shared" si="3415"/>
        <v>0</v>
      </c>
      <c r="CP504" s="55">
        <f t="shared" si="3416"/>
        <v>0</v>
      </c>
      <c r="CQ504" s="55">
        <f t="shared" si="3417"/>
        <v>0</v>
      </c>
      <c r="CR504" s="55">
        <f t="shared" si="3418"/>
        <v>0</v>
      </c>
      <c r="CS504" s="55">
        <f t="shared" si="3419"/>
        <v>0</v>
      </c>
      <c r="CT504" s="55">
        <f t="shared" si="3420"/>
        <v>0</v>
      </c>
      <c r="CU504" s="55">
        <f t="shared" si="3421"/>
        <v>0</v>
      </c>
      <c r="CV504" s="55">
        <f t="shared" si="3422"/>
        <v>0</v>
      </c>
      <c r="CW504" s="55">
        <f t="shared" si="3423"/>
        <v>0</v>
      </c>
      <c r="CX504" s="55">
        <f t="shared" si="3424"/>
        <v>0</v>
      </c>
      <c r="CY504" s="55">
        <f t="shared" si="3425"/>
        <v>0</v>
      </c>
      <c r="CZ504" s="56">
        <f t="shared" si="3426"/>
        <v>0</v>
      </c>
      <c r="DA504" s="55">
        <f t="shared" si="3427"/>
        <v>0</v>
      </c>
      <c r="DB504" s="55">
        <f t="shared" si="3428"/>
        <v>0</v>
      </c>
      <c r="DC504" s="55">
        <f t="shared" si="3429"/>
        <v>0</v>
      </c>
      <c r="DD504" s="55">
        <f t="shared" si="3430"/>
        <v>0</v>
      </c>
      <c r="DE504" s="55">
        <f t="shared" si="3431"/>
        <v>0</v>
      </c>
      <c r="DF504" s="55">
        <f t="shared" si="3432"/>
        <v>0</v>
      </c>
      <c r="DG504" s="55">
        <f t="shared" si="3433"/>
        <v>0</v>
      </c>
      <c r="DH504" s="55">
        <f t="shared" si="3434"/>
        <v>0</v>
      </c>
      <c r="DI504" s="55">
        <f t="shared" si="3435"/>
        <v>0</v>
      </c>
    </row>
    <row r="505" spans="1:113" outlineLevel="2">
      <c r="A505" s="1" t="s">
        <v>58</v>
      </c>
      <c r="B505" s="19" t="s">
        <v>423</v>
      </c>
      <c r="C505" s="53">
        <v>0</v>
      </c>
      <c r="D505" s="53">
        <v>0</v>
      </c>
      <c r="E505" s="53">
        <v>0</v>
      </c>
      <c r="F505" s="53">
        <v>0</v>
      </c>
      <c r="G505" s="53">
        <v>0</v>
      </c>
      <c r="H505" s="53">
        <v>0</v>
      </c>
      <c r="I505" s="53">
        <v>0</v>
      </c>
      <c r="J505" s="53">
        <v>0</v>
      </c>
      <c r="K505" s="53">
        <v>0</v>
      </c>
      <c r="L505" s="53">
        <v>0</v>
      </c>
      <c r="M505" s="53">
        <v>0</v>
      </c>
      <c r="N505" s="53">
        <v>0</v>
      </c>
      <c r="O505" s="53">
        <v>0</v>
      </c>
      <c r="P505" s="53">
        <v>0</v>
      </c>
      <c r="Q505" s="53">
        <v>0</v>
      </c>
      <c r="R505" s="53">
        <v>0</v>
      </c>
      <c r="S505" s="53">
        <v>0</v>
      </c>
      <c r="T505" s="53">
        <v>0</v>
      </c>
      <c r="U505" s="53">
        <v>0</v>
      </c>
      <c r="V505" s="53">
        <v>0</v>
      </c>
      <c r="W505" s="53">
        <v>0</v>
      </c>
      <c r="X505" s="53">
        <v>0</v>
      </c>
      <c r="Y505" s="53">
        <v>0</v>
      </c>
      <c r="Z505" s="53">
        <v>0</v>
      </c>
      <c r="AA505" s="164">
        <v>0</v>
      </c>
      <c r="AB505" s="164">
        <v>0</v>
      </c>
      <c r="AC505" s="164">
        <v>0</v>
      </c>
      <c r="AD505" s="164">
        <v>0</v>
      </c>
      <c r="AE505" s="164">
        <v>0</v>
      </c>
      <c r="AF505" s="164">
        <v>0</v>
      </c>
      <c r="AG505" s="164">
        <v>0</v>
      </c>
      <c r="AH505" s="164">
        <v>0</v>
      </c>
      <c r="AI505" s="164">
        <v>0</v>
      </c>
      <c r="AJ505" s="164">
        <v>0</v>
      </c>
      <c r="AK505" s="164">
        <v>0</v>
      </c>
      <c r="AL505" s="164">
        <v>0</v>
      </c>
      <c r="AM505" s="164">
        <v>0</v>
      </c>
      <c r="AN505" s="164">
        <v>0</v>
      </c>
      <c r="AO505" s="164">
        <v>0</v>
      </c>
      <c r="AP505" s="164">
        <v>0</v>
      </c>
      <c r="AQ505" s="164">
        <v>0</v>
      </c>
      <c r="AR505" s="164">
        <v>0</v>
      </c>
      <c r="AS505" s="164">
        <v>0</v>
      </c>
      <c r="AT505" s="164">
        <v>0</v>
      </c>
      <c r="AU505" s="164">
        <v>0</v>
      </c>
      <c r="AV505" s="164">
        <v>0</v>
      </c>
      <c r="AW505" s="164">
        <v>0</v>
      </c>
      <c r="AX505" s="164">
        <v>0</v>
      </c>
      <c r="AY505" s="164">
        <v>0</v>
      </c>
      <c r="AZ505" s="171">
        <v>0</v>
      </c>
      <c r="BA505" s="54">
        <v>0</v>
      </c>
      <c r="BB505" s="54">
        <v>0</v>
      </c>
      <c r="BC505" s="54">
        <v>0</v>
      </c>
      <c r="BD505" s="54">
        <v>0</v>
      </c>
      <c r="BE505" s="54">
        <v>0</v>
      </c>
      <c r="BF505" s="54">
        <v>0</v>
      </c>
      <c r="BG505" s="54">
        <v>0</v>
      </c>
      <c r="BH505" s="54">
        <v>0</v>
      </c>
      <c r="BI505" s="54">
        <v>0</v>
      </c>
      <c r="BJ505" s="54">
        <v>0</v>
      </c>
      <c r="BK505" s="54">
        <v>0</v>
      </c>
      <c r="BL505" s="54">
        <v>0</v>
      </c>
      <c r="BM505" s="54">
        <v>0</v>
      </c>
      <c r="BN505" s="54">
        <v>0</v>
      </c>
      <c r="BO505" s="54">
        <v>0</v>
      </c>
      <c r="BP505" s="54">
        <v>0</v>
      </c>
      <c r="BQ505" s="54">
        <v>0</v>
      </c>
      <c r="BR505" s="55"/>
      <c r="BS505" s="53"/>
      <c r="BT505" s="53"/>
      <c r="BU505" s="53"/>
      <c r="BV505" s="53"/>
      <c r="BW505" s="53"/>
      <c r="BX505" s="53"/>
      <c r="BY505" s="53"/>
      <c r="BZ505" s="53"/>
      <c r="CA505" s="53">
        <v>0</v>
      </c>
      <c r="CB505" s="53">
        <v>0</v>
      </c>
      <c r="CC505" s="55">
        <f t="shared" si="3403"/>
        <v>0</v>
      </c>
      <c r="CD505" s="55">
        <f t="shared" si="3404"/>
        <v>0</v>
      </c>
      <c r="CE505" s="55">
        <f t="shared" si="3405"/>
        <v>0</v>
      </c>
      <c r="CF505" s="55">
        <f t="shared" si="3406"/>
        <v>0</v>
      </c>
      <c r="CG505" s="55">
        <f t="shared" si="3407"/>
        <v>0</v>
      </c>
      <c r="CH505" s="55">
        <f t="shared" si="3408"/>
        <v>0</v>
      </c>
      <c r="CI505" s="55">
        <f t="shared" si="3409"/>
        <v>0</v>
      </c>
      <c r="CJ505" s="55">
        <f t="shared" si="3410"/>
        <v>0</v>
      </c>
      <c r="CK505" s="55">
        <f t="shared" si="3411"/>
        <v>0</v>
      </c>
      <c r="CL505" s="55">
        <f t="shared" si="3412"/>
        <v>0</v>
      </c>
      <c r="CM505" s="55">
        <f t="shared" si="3413"/>
        <v>0</v>
      </c>
      <c r="CN505" s="55">
        <f t="shared" si="3414"/>
        <v>0</v>
      </c>
      <c r="CO505" s="55">
        <f t="shared" si="3415"/>
        <v>0</v>
      </c>
      <c r="CP505" s="55">
        <f t="shared" si="3416"/>
        <v>0</v>
      </c>
      <c r="CQ505" s="55">
        <f t="shared" si="3417"/>
        <v>0</v>
      </c>
      <c r="CR505" s="55">
        <f t="shared" si="3418"/>
        <v>0</v>
      </c>
      <c r="CS505" s="55">
        <f t="shared" si="3419"/>
        <v>0</v>
      </c>
      <c r="CT505" s="55">
        <f t="shared" si="3420"/>
        <v>0</v>
      </c>
      <c r="CU505" s="55">
        <f t="shared" si="3421"/>
        <v>0</v>
      </c>
      <c r="CV505" s="55">
        <f t="shared" si="3422"/>
        <v>0</v>
      </c>
      <c r="CW505" s="55">
        <f t="shared" si="3423"/>
        <v>0</v>
      </c>
      <c r="CX505" s="55">
        <f t="shared" si="3424"/>
        <v>0</v>
      </c>
      <c r="CY505" s="55">
        <f t="shared" si="3425"/>
        <v>0</v>
      </c>
      <c r="CZ505" s="56">
        <f t="shared" si="3426"/>
        <v>0</v>
      </c>
      <c r="DA505" s="55">
        <f t="shared" si="3427"/>
        <v>0</v>
      </c>
      <c r="DB505" s="55">
        <f t="shared" si="3428"/>
        <v>0</v>
      </c>
      <c r="DC505" s="55">
        <f t="shared" si="3429"/>
        <v>0</v>
      </c>
      <c r="DD505" s="55">
        <f t="shared" si="3430"/>
        <v>0</v>
      </c>
      <c r="DE505" s="55">
        <f t="shared" si="3431"/>
        <v>0</v>
      </c>
      <c r="DF505" s="55">
        <f t="shared" si="3432"/>
        <v>0</v>
      </c>
      <c r="DG505" s="55">
        <f t="shared" si="3433"/>
        <v>0</v>
      </c>
      <c r="DH505" s="55">
        <f t="shared" si="3434"/>
        <v>0</v>
      </c>
      <c r="DI505" s="55">
        <f t="shared" si="3435"/>
        <v>0</v>
      </c>
    </row>
    <row r="506" spans="1:113" s="24" customFormat="1" outlineLevel="2">
      <c r="A506" s="1" t="s">
        <v>59</v>
      </c>
      <c r="B506" s="24" t="s">
        <v>265</v>
      </c>
      <c r="C506" s="569">
        <f>-443-56-3-9/2</f>
        <v>-506.5</v>
      </c>
      <c r="D506" s="569">
        <f>-444-25-1-34/2</f>
        <v>-487</v>
      </c>
      <c r="E506" s="569">
        <f>-508+61-34/2</f>
        <v>-464</v>
      </c>
      <c r="F506" s="569">
        <f>-503-3+90-40/2</f>
        <v>-436</v>
      </c>
      <c r="G506" s="569">
        <f>-513-3-32-40/2</f>
        <v>-568</v>
      </c>
      <c r="H506" s="81">
        <f>-494-4-120-39</f>
        <v>-657</v>
      </c>
      <c r="I506" s="81">
        <f>-565-5-83-62</f>
        <v>-715</v>
      </c>
      <c r="J506" s="81">
        <f>-702-5-61</f>
        <v>-768</v>
      </c>
      <c r="K506" s="81">
        <f>-707-5-70</f>
        <v>-782</v>
      </c>
      <c r="L506" s="81">
        <f>-776-18</f>
        <v>-794</v>
      </c>
      <c r="M506" s="81">
        <f>-829-13</f>
        <v>-842</v>
      </c>
      <c r="N506" s="81">
        <f>-909-13-28</f>
        <v>-950</v>
      </c>
      <c r="O506" s="81">
        <f>-873-14-27</f>
        <v>-914</v>
      </c>
      <c r="P506" s="81">
        <f>-905-25-15</f>
        <v>-945</v>
      </c>
      <c r="Q506" s="81">
        <f>-721-23-16</f>
        <v>-760</v>
      </c>
      <c r="R506" s="81">
        <f>-600-16-26</f>
        <v>-642</v>
      </c>
      <c r="S506" s="81">
        <f>-914-14-31</f>
        <v>-959</v>
      </c>
      <c r="T506" s="81">
        <f>-1089-24-9</f>
        <v>-1122</v>
      </c>
      <c r="U506" s="81">
        <f>-1177-23-7</f>
        <v>-1207</v>
      </c>
      <c r="V506" s="81">
        <f>-1265-9-22</f>
        <v>-1296</v>
      </c>
      <c r="W506" s="81">
        <f>-1372-20-7</f>
        <v>-1399</v>
      </c>
      <c r="X506" s="81">
        <f>-1373-20-9</f>
        <v>-1402</v>
      </c>
      <c r="Y506" s="81">
        <f>-1363-7-22</f>
        <v>-1392</v>
      </c>
      <c r="Z506" s="81">
        <f>-1448-8-20</f>
        <v>-1476</v>
      </c>
      <c r="AA506" s="166">
        <f>-1505-8-20</f>
        <v>-1533</v>
      </c>
      <c r="AB506" s="166">
        <f>-1662-10-23</f>
        <v>-1695</v>
      </c>
      <c r="AC506" s="166">
        <f>-1588-9-22</f>
        <v>-1619</v>
      </c>
      <c r="AD506" s="166">
        <f>-1740-10-24</f>
        <v>-1774</v>
      </c>
      <c r="AE506" s="166">
        <f>-1699-11-28</f>
        <v>-1738</v>
      </c>
      <c r="AF506" s="166">
        <f>-1827-11-32</f>
        <v>-1870</v>
      </c>
      <c r="AG506" s="166">
        <f>-1765-9-18</f>
        <v>-1792</v>
      </c>
      <c r="AH506" s="166">
        <f>-1925-9-0</f>
        <v>-1934</v>
      </c>
      <c r="AI506" s="166">
        <f>-1924-11-0</f>
        <v>-1935</v>
      </c>
      <c r="AJ506" s="166">
        <f>-1993-6-0</f>
        <v>-1999</v>
      </c>
      <c r="AK506" s="166">
        <f>-1927-7-0</f>
        <v>-1934</v>
      </c>
      <c r="AL506" s="166">
        <f>AL497-6-0</f>
        <v>-1806.1230724469015</v>
      </c>
      <c r="AM506" s="166">
        <f>AM497-6-0</f>
        <v>-1526.8769275530988</v>
      </c>
      <c r="AN506" s="166">
        <f>ROUND(-1812/-3052*-3022,0)-0-0</f>
        <v>-1794</v>
      </c>
      <c r="AO506" s="166">
        <f>-3022-AN506-0-0</f>
        <v>-1228</v>
      </c>
      <c r="AP506" s="166">
        <v>-1620</v>
      </c>
      <c r="AQ506" s="166">
        <v>-1970</v>
      </c>
      <c r="AR506" s="166">
        <v>-1946</v>
      </c>
      <c r="AS506" s="166">
        <v>-2077</v>
      </c>
      <c r="AT506" s="166">
        <f>-2156-(-2156--2159)</f>
        <v>-2159</v>
      </c>
      <c r="AU506" s="166">
        <f>-1951-(-1951--1938)</f>
        <v>-1938</v>
      </c>
      <c r="AV506" s="166">
        <v>-2204</v>
      </c>
      <c r="AW506" s="166">
        <v>-2114</v>
      </c>
      <c r="AX506" s="166">
        <v>-2273</v>
      </c>
      <c r="AY506" s="166">
        <v>-2218</v>
      </c>
      <c r="AZ506" s="167">
        <v>-2367</v>
      </c>
      <c r="BA506" s="82">
        <f t="shared" ref="BA506:BE506" si="3519">SUM(BA500:BA505)</f>
        <v>-2376.7114750465557</v>
      </c>
      <c r="BB506" s="82">
        <f t="shared" si="3519"/>
        <v>-2467.9851114229882</v>
      </c>
      <c r="BC506" s="82">
        <f t="shared" si="3519"/>
        <v>-2462.9398518835892</v>
      </c>
      <c r="BD506" s="82">
        <f t="shared" si="3519"/>
        <v>-2482.6163723859222</v>
      </c>
      <c r="BE506" s="82">
        <f t="shared" si="3519"/>
        <v>-2554.2595082858315</v>
      </c>
      <c r="BF506" s="82">
        <f t="shared" ref="BF506:BM506" si="3520">SUM(BF500:BF505)</f>
        <v>-2637.8687864156332</v>
      </c>
      <c r="BG506" s="82">
        <f t="shared" si="3520"/>
        <v>-2686.4499094526559</v>
      </c>
      <c r="BH506" s="82">
        <f t="shared" si="3520"/>
        <v>-2756.727642306304</v>
      </c>
      <c r="BI506" s="82">
        <f t="shared" si="3520"/>
        <v>-2765.8447842581791</v>
      </c>
      <c r="BJ506" s="82">
        <f t="shared" si="3520"/>
        <v>-2792.6985214217098</v>
      </c>
      <c r="BK506" s="82">
        <f t="shared" si="3520"/>
        <v>-2745.1915853765699</v>
      </c>
      <c r="BL506" s="82">
        <f t="shared" si="3520"/>
        <v>-2794.0596137567231</v>
      </c>
      <c r="BM506" s="82">
        <f t="shared" si="3520"/>
        <v>-2791.9786358864012</v>
      </c>
      <c r="BN506" s="82">
        <f t="shared" ref="BN506:BO506" si="3521">SUM(BN500:BN505)</f>
        <v>-2877.2602868498034</v>
      </c>
      <c r="BO506" s="82">
        <f t="shared" si="3521"/>
        <v>-2871.8881902725616</v>
      </c>
      <c r="BP506" s="82">
        <f t="shared" ref="BP506:BQ506" si="3522">SUM(BP500:BP505)</f>
        <v>-2969.1776394567091</v>
      </c>
      <c r="BQ506" s="82">
        <f t="shared" si="3522"/>
        <v>-2963.7986405885554</v>
      </c>
      <c r="BR506" s="82"/>
      <c r="BS506" s="81">
        <f>-245-7.1</f>
        <v>-252.1</v>
      </c>
      <c r="BT506" s="81">
        <f>-356-10</f>
        <v>-366</v>
      </c>
      <c r="BU506" s="81">
        <f>-358-14</f>
        <v>-372</v>
      </c>
      <c r="BV506" s="81">
        <f>-493-19</f>
        <v>-512</v>
      </c>
      <c r="BW506" s="81">
        <f>-635-22</f>
        <v>-657</v>
      </c>
      <c r="BX506" s="81">
        <f>-588-22</f>
        <v>-610</v>
      </c>
      <c r="BY506" s="81">
        <f>-641-20</f>
        <v>-661</v>
      </c>
      <c r="BZ506" s="81">
        <f>-714-24</f>
        <v>-738</v>
      </c>
      <c r="CA506" s="81">
        <f>-820-0-38</f>
        <v>-858</v>
      </c>
      <c r="CB506" s="81">
        <f>-993-14-9</f>
        <v>-1016</v>
      </c>
      <c r="CC506" s="82">
        <f t="shared" si="3403"/>
        <v>-951</v>
      </c>
      <c r="CD506" s="82">
        <f t="shared" si="3404"/>
        <v>-1004</v>
      </c>
      <c r="CE506" s="82">
        <f t="shared" si="3405"/>
        <v>-1372</v>
      </c>
      <c r="CF506" s="82">
        <f t="shared" si="3406"/>
        <v>-1550</v>
      </c>
      <c r="CG506" s="82">
        <f t="shared" si="3407"/>
        <v>-1636</v>
      </c>
      <c r="CH506" s="82">
        <f t="shared" si="3408"/>
        <v>-1864</v>
      </c>
      <c r="CI506" s="82">
        <f t="shared" si="3409"/>
        <v>-1705</v>
      </c>
      <c r="CJ506" s="82">
        <f t="shared" si="3410"/>
        <v>-1601</v>
      </c>
      <c r="CK506" s="82">
        <f t="shared" si="3411"/>
        <v>-2329</v>
      </c>
      <c r="CL506" s="82">
        <f t="shared" si="3412"/>
        <v>-2695</v>
      </c>
      <c r="CM506" s="82">
        <f t="shared" si="3413"/>
        <v>-2794</v>
      </c>
      <c r="CN506" s="82">
        <f t="shared" si="3414"/>
        <v>-3009</v>
      </c>
      <c r="CO506" s="82">
        <f t="shared" si="3415"/>
        <v>-3314</v>
      </c>
      <c r="CP506" s="82">
        <f t="shared" si="3416"/>
        <v>-3512</v>
      </c>
      <c r="CQ506" s="82">
        <f t="shared" si="3417"/>
        <v>-3662</v>
      </c>
      <c r="CR506" s="82">
        <f t="shared" si="3418"/>
        <v>-3869</v>
      </c>
      <c r="CS506" s="82">
        <f t="shared" si="3419"/>
        <v>-3933</v>
      </c>
      <c r="CT506" s="82">
        <f t="shared" si="3420"/>
        <v>-3333</v>
      </c>
      <c r="CU506" s="82">
        <f t="shared" si="3421"/>
        <v>-3022</v>
      </c>
      <c r="CV506" s="82">
        <f t="shared" si="3422"/>
        <v>-3590</v>
      </c>
      <c r="CW506" s="82">
        <f t="shared" si="3423"/>
        <v>-4023</v>
      </c>
      <c r="CX506" s="82">
        <f t="shared" si="3424"/>
        <v>-4097</v>
      </c>
      <c r="CY506" s="82">
        <f t="shared" si="3425"/>
        <v>-4318</v>
      </c>
      <c r="CZ506" s="83">
        <f t="shared" si="3426"/>
        <v>-4491</v>
      </c>
      <c r="DA506" s="82">
        <f t="shared" si="3427"/>
        <v>-4743.7114750465553</v>
      </c>
      <c r="DB506" s="82">
        <f t="shared" si="3428"/>
        <v>-4930.9249633065774</v>
      </c>
      <c r="DC506" s="82">
        <f t="shared" si="3429"/>
        <v>-5036.8758806717542</v>
      </c>
      <c r="DD506" s="82">
        <f t="shared" si="3430"/>
        <v>-5324.3186958682891</v>
      </c>
      <c r="DE506" s="82">
        <f t="shared" si="3431"/>
        <v>-5522.5724265644831</v>
      </c>
      <c r="DF506" s="82">
        <f t="shared" si="3432"/>
        <v>-5537.8901067982797</v>
      </c>
      <c r="DG506" s="82">
        <f t="shared" si="3433"/>
        <v>-5586.0382496431248</v>
      </c>
      <c r="DH506" s="82">
        <f t="shared" si="3434"/>
        <v>-5749.148477122365</v>
      </c>
      <c r="DI506" s="82">
        <f t="shared" si="3435"/>
        <v>-5932.9762800452645</v>
      </c>
    </row>
    <row r="507" spans="1:113" outlineLevel="2">
      <c r="A507" s="1" t="s">
        <v>327</v>
      </c>
      <c r="B507" s="19" t="s">
        <v>526</v>
      </c>
      <c r="C507" s="55">
        <f>C509-C506-C508</f>
        <v>4.5</v>
      </c>
      <c r="D507" s="55">
        <f>D509-D506-D508</f>
        <v>17</v>
      </c>
      <c r="E507" s="55">
        <f t="shared" ref="E507:L507" si="3523">E509-E506-E508</f>
        <v>17</v>
      </c>
      <c r="F507" s="55">
        <f t="shared" si="3523"/>
        <v>20</v>
      </c>
      <c r="G507" s="55">
        <f t="shared" si="3523"/>
        <v>20</v>
      </c>
      <c r="H507" s="55">
        <f t="shared" si="3523"/>
        <v>39</v>
      </c>
      <c r="I507" s="55">
        <f t="shared" si="3523"/>
        <v>62</v>
      </c>
      <c r="J507" s="55">
        <f t="shared" si="3523"/>
        <v>-42</v>
      </c>
      <c r="K507" s="55">
        <f t="shared" si="3523"/>
        <v>-20</v>
      </c>
      <c r="L507" s="55">
        <f t="shared" si="3523"/>
        <v>-178</v>
      </c>
      <c r="M507" s="55">
        <f t="shared" ref="M507:X507" si="3524">M509-M506-M508</f>
        <v>-117</v>
      </c>
      <c r="N507" s="55">
        <f t="shared" si="3524"/>
        <v>-66</v>
      </c>
      <c r="O507" s="55">
        <f t="shared" si="3524"/>
        <v>-138</v>
      </c>
      <c r="P507" s="55">
        <f t="shared" si="3524"/>
        <v>-11</v>
      </c>
      <c r="Q507" s="55">
        <f t="shared" si="3524"/>
        <v>252</v>
      </c>
      <c r="R507" s="55">
        <f t="shared" si="3524"/>
        <v>-68</v>
      </c>
      <c r="S507" s="55">
        <f t="shared" si="3524"/>
        <v>-57</v>
      </c>
      <c r="T507" s="55">
        <f t="shared" si="3524"/>
        <v>-387</v>
      </c>
      <c r="U507" s="55">
        <f t="shared" si="3524"/>
        <v>187</v>
      </c>
      <c r="V507" s="55">
        <f t="shared" si="3524"/>
        <v>26</v>
      </c>
      <c r="W507" s="55">
        <f t="shared" si="3524"/>
        <v>6</v>
      </c>
      <c r="X507" s="55">
        <f t="shared" si="3524"/>
        <v>-35</v>
      </c>
      <c r="Y507" s="55">
        <f t="shared" ref="Y507:AK507" si="3525">Y509-Y506-Y508</f>
        <v>-45</v>
      </c>
      <c r="Z507" s="55">
        <f t="shared" si="3525"/>
        <v>-18</v>
      </c>
      <c r="AA507" s="55">
        <f t="shared" si="3525"/>
        <v>0</v>
      </c>
      <c r="AB507" s="55">
        <f t="shared" si="3525"/>
        <v>-13</v>
      </c>
      <c r="AC507" s="55">
        <f t="shared" si="3525"/>
        <v>90</v>
      </c>
      <c r="AD507" s="55">
        <f t="shared" si="3525"/>
        <v>-11</v>
      </c>
      <c r="AE507" s="55">
        <f t="shared" si="3525"/>
        <v>-26</v>
      </c>
      <c r="AF507" s="55">
        <f t="shared" si="3525"/>
        <v>98</v>
      </c>
      <c r="AG507" s="55">
        <f t="shared" si="3525"/>
        <v>-62</v>
      </c>
      <c r="AH507" s="55">
        <f t="shared" si="3525"/>
        <v>59</v>
      </c>
      <c r="AI507" s="55">
        <f t="shared" si="3525"/>
        <v>112</v>
      </c>
      <c r="AJ507" s="55">
        <f t="shared" si="3525"/>
        <v>108</v>
      </c>
      <c r="AK507" s="55">
        <f t="shared" si="3525"/>
        <v>132</v>
      </c>
      <c r="AL507" s="55">
        <f t="shared" ref="AL507:AQ507" si="3526">AL509-AL506-AL508</f>
        <v>-6.8769275530985396</v>
      </c>
      <c r="AM507" s="55">
        <f t="shared" si="3526"/>
        <v>147.87692755309877</v>
      </c>
      <c r="AN507" s="55">
        <f t="shared" si="3526"/>
        <v>1565</v>
      </c>
      <c r="AO507" s="55">
        <f t="shared" si="3526"/>
        <v>397</v>
      </c>
      <c r="AP507" s="55">
        <f t="shared" si="3526"/>
        <v>1127</v>
      </c>
      <c r="AQ507" s="55">
        <f t="shared" si="3526"/>
        <v>269</v>
      </c>
      <c r="AR507" s="55">
        <f t="shared" ref="AR507" si="3527">AR509-AR506-AR508</f>
        <v>1170</v>
      </c>
      <c r="AS507" s="55">
        <f t="shared" ref="AS507:AT507" si="3528">AS509-AS506-AS508</f>
        <v>-60</v>
      </c>
      <c r="AT507" s="55">
        <f t="shared" si="3528"/>
        <v>-144</v>
      </c>
      <c r="AU507" s="55">
        <f t="shared" ref="AU507:AV507" si="3529">AU509-AU506-AU508</f>
        <v>-2</v>
      </c>
      <c r="AV507" s="55">
        <f t="shared" si="3529"/>
        <v>-102</v>
      </c>
      <c r="AW507" s="55">
        <f t="shared" ref="AW507:AY507" si="3530">AW509-AW506-AW508</f>
        <v>32</v>
      </c>
      <c r="AX507" s="55">
        <f t="shared" si="3530"/>
        <v>1</v>
      </c>
      <c r="AY507" s="55">
        <f t="shared" si="3530"/>
        <v>66</v>
      </c>
      <c r="AZ507" s="56">
        <f t="shared" ref="AZ507" si="3531">AZ509-AZ506-AZ508</f>
        <v>-31</v>
      </c>
      <c r="BA507" s="54">
        <f t="shared" ref="BA507:BC507" si="3532">BA523-BA491</f>
        <v>0</v>
      </c>
      <c r="BB507" s="54">
        <f t="shared" si="3532"/>
        <v>0</v>
      </c>
      <c r="BC507" s="54">
        <f t="shared" si="3532"/>
        <v>0</v>
      </c>
      <c r="BD507" s="54">
        <f t="shared" ref="BD507:BI507" si="3533">BD523-BD491</f>
        <v>0</v>
      </c>
      <c r="BE507" s="54">
        <f t="shared" si="3533"/>
        <v>0</v>
      </c>
      <c r="BF507" s="54">
        <f t="shared" si="3533"/>
        <v>0</v>
      </c>
      <c r="BG507" s="54">
        <f t="shared" si="3533"/>
        <v>0</v>
      </c>
      <c r="BH507" s="54">
        <f t="shared" si="3533"/>
        <v>0</v>
      </c>
      <c r="BI507" s="54">
        <f t="shared" si="3533"/>
        <v>0</v>
      </c>
      <c r="BJ507" s="54">
        <f t="shared" ref="BJ507:BM507" si="3534">BJ523-BJ491</f>
        <v>0</v>
      </c>
      <c r="BK507" s="54">
        <f t="shared" si="3534"/>
        <v>0</v>
      </c>
      <c r="BL507" s="54">
        <f t="shared" si="3534"/>
        <v>0</v>
      </c>
      <c r="BM507" s="54">
        <f t="shared" si="3534"/>
        <v>0</v>
      </c>
      <c r="BN507" s="54">
        <f t="shared" ref="BN507:BO507" si="3535">BN523-BN491</f>
        <v>0</v>
      </c>
      <c r="BO507" s="54">
        <f t="shared" si="3535"/>
        <v>0</v>
      </c>
      <c r="BP507" s="54">
        <f t="shared" ref="BP507:BQ507" si="3536">BP523-BP491</f>
        <v>0</v>
      </c>
      <c r="BQ507" s="54">
        <f t="shared" si="3536"/>
        <v>0</v>
      </c>
      <c r="BR507" s="55"/>
      <c r="BS507" s="55">
        <f t="shared" ref="BS507:CB507" si="3537">BS509-BS506-BS508</f>
        <v>0</v>
      </c>
      <c r="BT507" s="55">
        <f t="shared" si="3537"/>
        <v>0</v>
      </c>
      <c r="BU507" s="55">
        <f t="shared" si="3537"/>
        <v>0</v>
      </c>
      <c r="BV507" s="55">
        <f t="shared" si="3537"/>
        <v>0</v>
      </c>
      <c r="BW507" s="55">
        <f t="shared" si="3537"/>
        <v>0</v>
      </c>
      <c r="BX507" s="55">
        <f t="shared" si="3537"/>
        <v>0</v>
      </c>
      <c r="BY507" s="55">
        <f t="shared" si="3537"/>
        <v>0</v>
      </c>
      <c r="BZ507" s="55">
        <f t="shared" si="3537"/>
        <v>0</v>
      </c>
      <c r="CA507" s="55">
        <f t="shared" si="3537"/>
        <v>20</v>
      </c>
      <c r="CB507" s="55">
        <f t="shared" si="3537"/>
        <v>9</v>
      </c>
      <c r="CC507" s="55">
        <f t="shared" ref="CC507:CI507" si="3538">CC509-CC506-CC508</f>
        <v>34</v>
      </c>
      <c r="CD507" s="55">
        <f t="shared" si="3538"/>
        <v>40</v>
      </c>
      <c r="CE507" s="55">
        <f t="shared" si="3538"/>
        <v>101</v>
      </c>
      <c r="CF507" s="55">
        <f t="shared" si="3538"/>
        <v>-62</v>
      </c>
      <c r="CG507" s="55">
        <f t="shared" si="3538"/>
        <v>-295</v>
      </c>
      <c r="CH507" s="55">
        <f t="shared" si="3538"/>
        <v>-204</v>
      </c>
      <c r="CI507" s="55">
        <f t="shared" si="3538"/>
        <v>241</v>
      </c>
      <c r="CJ507" s="55">
        <f t="shared" si="3410"/>
        <v>-125</v>
      </c>
      <c r="CK507" s="55">
        <f t="shared" si="3411"/>
        <v>-200</v>
      </c>
      <c r="CL507" s="55">
        <f t="shared" si="3412"/>
        <v>32</v>
      </c>
      <c r="CM507" s="55">
        <f t="shared" si="3413"/>
        <v>-80</v>
      </c>
      <c r="CN507" s="55">
        <f t="shared" si="3414"/>
        <v>-18</v>
      </c>
      <c r="CO507" s="55">
        <f t="shared" si="3415"/>
        <v>77</v>
      </c>
      <c r="CP507" s="55">
        <f t="shared" si="3416"/>
        <v>-37</v>
      </c>
      <c r="CQ507" s="55">
        <f t="shared" si="3417"/>
        <v>36</v>
      </c>
      <c r="CR507" s="55">
        <f t="shared" si="3418"/>
        <v>171</v>
      </c>
      <c r="CS507" s="55">
        <f t="shared" si="3419"/>
        <v>240</v>
      </c>
      <c r="CT507" s="55">
        <f t="shared" si="3420"/>
        <v>141.00000000000023</v>
      </c>
      <c r="CU507" s="55">
        <f t="shared" si="3421"/>
        <v>1962</v>
      </c>
      <c r="CV507" s="55">
        <f t="shared" si="3422"/>
        <v>1396</v>
      </c>
      <c r="CW507" s="55">
        <f t="shared" si="3423"/>
        <v>1110</v>
      </c>
      <c r="CX507" s="55">
        <f t="shared" si="3424"/>
        <v>-146</v>
      </c>
      <c r="CY507" s="55">
        <f t="shared" si="3425"/>
        <v>-70</v>
      </c>
      <c r="CZ507" s="56">
        <f t="shared" si="3426"/>
        <v>67</v>
      </c>
      <c r="DA507" s="55">
        <f t="shared" si="3427"/>
        <v>-31</v>
      </c>
      <c r="DB507" s="55">
        <f t="shared" si="3428"/>
        <v>0</v>
      </c>
      <c r="DC507" s="55">
        <f t="shared" si="3429"/>
        <v>0</v>
      </c>
      <c r="DD507" s="55">
        <f t="shared" si="3430"/>
        <v>0</v>
      </c>
      <c r="DE507" s="55">
        <f t="shared" si="3431"/>
        <v>0</v>
      </c>
      <c r="DF507" s="55">
        <f t="shared" si="3432"/>
        <v>0</v>
      </c>
      <c r="DG507" s="55">
        <f t="shared" si="3433"/>
        <v>0</v>
      </c>
      <c r="DH507" s="55">
        <f t="shared" si="3434"/>
        <v>0</v>
      </c>
      <c r="DI507" s="55">
        <f t="shared" si="3435"/>
        <v>0</v>
      </c>
    </row>
    <row r="508" spans="1:113" outlineLevel="2">
      <c r="A508" s="1" t="s">
        <v>692</v>
      </c>
      <c r="B508" s="19" t="s">
        <v>266</v>
      </c>
      <c r="C508" s="53">
        <v>0</v>
      </c>
      <c r="D508" s="53">
        <v>0</v>
      </c>
      <c r="E508" s="53">
        <v>0</v>
      </c>
      <c r="F508" s="53">
        <v>0</v>
      </c>
      <c r="G508" s="53">
        <v>0</v>
      </c>
      <c r="H508" s="53">
        <v>0</v>
      </c>
      <c r="I508" s="53">
        <v>0</v>
      </c>
      <c r="J508" s="53">
        <v>0</v>
      </c>
      <c r="K508" s="53">
        <v>0</v>
      </c>
      <c r="L508" s="53">
        <v>0</v>
      </c>
      <c r="M508" s="53">
        <v>0</v>
      </c>
      <c r="N508" s="53">
        <v>0</v>
      </c>
      <c r="O508" s="53">
        <v>0</v>
      </c>
      <c r="P508" s="53">
        <v>0</v>
      </c>
      <c r="Q508" s="53">
        <v>0</v>
      </c>
      <c r="R508" s="53">
        <v>0</v>
      </c>
      <c r="S508" s="53">
        <v>0</v>
      </c>
      <c r="T508" s="53">
        <v>0</v>
      </c>
      <c r="U508" s="53">
        <v>0</v>
      </c>
      <c r="V508" s="53">
        <v>0</v>
      </c>
      <c r="W508" s="53">
        <v>0</v>
      </c>
      <c r="X508" s="53">
        <v>0</v>
      </c>
      <c r="Y508" s="53">
        <v>0</v>
      </c>
      <c r="Z508" s="53">
        <v>0</v>
      </c>
      <c r="AA508" s="164">
        <v>0</v>
      </c>
      <c r="AB508" s="164">
        <v>0</v>
      </c>
      <c r="AC508" s="164">
        <v>-129</v>
      </c>
      <c r="AD508" s="164">
        <v>0</v>
      </c>
      <c r="AE508" s="164">
        <v>0</v>
      </c>
      <c r="AF508" s="164">
        <v>0</v>
      </c>
      <c r="AG508" s="164">
        <v>0</v>
      </c>
      <c r="AH508" s="164">
        <v>0</v>
      </c>
      <c r="AI508" s="164">
        <v>0</v>
      </c>
      <c r="AJ508" s="164">
        <v>0</v>
      </c>
      <c r="AK508" s="164">
        <v>0</v>
      </c>
      <c r="AL508" s="164">
        <v>0</v>
      </c>
      <c r="AM508" s="164">
        <v>0</v>
      </c>
      <c r="AN508" s="164">
        <v>0</v>
      </c>
      <c r="AO508" s="164">
        <v>0</v>
      </c>
      <c r="AP508" s="164">
        <v>0</v>
      </c>
      <c r="AQ508" s="164">
        <v>0</v>
      </c>
      <c r="AR508" s="164">
        <v>0</v>
      </c>
      <c r="AS508" s="164">
        <v>0</v>
      </c>
      <c r="AT508" s="164">
        <v>0</v>
      </c>
      <c r="AU508" s="164">
        <v>0</v>
      </c>
      <c r="AV508" s="164">
        <v>0</v>
      </c>
      <c r="AW508" s="164">
        <v>0</v>
      </c>
      <c r="AX508" s="164">
        <v>0</v>
      </c>
      <c r="AY508" s="164">
        <v>0</v>
      </c>
      <c r="AZ508" s="171">
        <v>0</v>
      </c>
      <c r="BA508" s="54">
        <v>0</v>
      </c>
      <c r="BB508" s="54">
        <v>0</v>
      </c>
      <c r="BC508" s="54">
        <v>0</v>
      </c>
      <c r="BD508" s="54">
        <v>0</v>
      </c>
      <c r="BE508" s="54">
        <v>0</v>
      </c>
      <c r="BF508" s="54">
        <v>0</v>
      </c>
      <c r="BG508" s="54">
        <v>0</v>
      </c>
      <c r="BH508" s="54">
        <v>0</v>
      </c>
      <c r="BI508" s="54">
        <v>0</v>
      </c>
      <c r="BJ508" s="54">
        <v>0</v>
      </c>
      <c r="BK508" s="54">
        <v>0</v>
      </c>
      <c r="BL508" s="54">
        <v>0</v>
      </c>
      <c r="BM508" s="54">
        <v>0</v>
      </c>
      <c r="BN508" s="54">
        <v>0</v>
      </c>
      <c r="BO508" s="54">
        <v>0</v>
      </c>
      <c r="BP508" s="54">
        <v>0</v>
      </c>
      <c r="BQ508" s="54">
        <v>0</v>
      </c>
      <c r="BR508" s="55"/>
      <c r="BS508" s="53">
        <v>0</v>
      </c>
      <c r="BT508" s="53">
        <v>0</v>
      </c>
      <c r="BU508" s="53">
        <v>0</v>
      </c>
      <c r="BV508" s="53">
        <v>0</v>
      </c>
      <c r="BW508" s="53">
        <v>0</v>
      </c>
      <c r="BX508" s="53">
        <v>0</v>
      </c>
      <c r="BY508" s="53">
        <v>0</v>
      </c>
      <c r="BZ508" s="53">
        <v>0</v>
      </c>
      <c r="CA508" s="53">
        <v>0</v>
      </c>
      <c r="CB508" s="53">
        <v>0</v>
      </c>
      <c r="CC508" s="55">
        <f>SUM(D508:E508)</f>
        <v>0</v>
      </c>
      <c r="CD508" s="55">
        <f>SUM(F508:G508)</f>
        <v>0</v>
      </c>
      <c r="CE508" s="55">
        <f>SUM(H508:I508)</f>
        <v>0</v>
      </c>
      <c r="CF508" s="55">
        <f>SUM(J508:K508)</f>
        <v>0</v>
      </c>
      <c r="CG508" s="55">
        <f>SUM(L508:M508)</f>
        <v>0</v>
      </c>
      <c r="CH508" s="55">
        <f>SUM(N508:O508)</f>
        <v>0</v>
      </c>
      <c r="CI508" s="55">
        <f>SUM(P508:Q508)</f>
        <v>0</v>
      </c>
      <c r="CJ508" s="55">
        <f t="shared" si="3410"/>
        <v>0</v>
      </c>
      <c r="CK508" s="55">
        <f t="shared" si="3411"/>
        <v>0</v>
      </c>
      <c r="CL508" s="55">
        <f t="shared" si="3412"/>
        <v>0</v>
      </c>
      <c r="CM508" s="55">
        <f t="shared" si="3413"/>
        <v>0</v>
      </c>
      <c r="CN508" s="55">
        <f t="shared" si="3414"/>
        <v>0</v>
      </c>
      <c r="CO508" s="55">
        <f t="shared" si="3415"/>
        <v>-129</v>
      </c>
      <c r="CP508" s="55">
        <f t="shared" si="3416"/>
        <v>0</v>
      </c>
      <c r="CQ508" s="55">
        <f t="shared" si="3417"/>
        <v>0</v>
      </c>
      <c r="CR508" s="55">
        <f t="shared" si="3418"/>
        <v>0</v>
      </c>
      <c r="CS508" s="55">
        <f t="shared" si="3419"/>
        <v>0</v>
      </c>
      <c r="CT508" s="55">
        <f>SUM(AL508:AM508)</f>
        <v>0</v>
      </c>
      <c r="CU508" s="55">
        <f t="shared" si="3421"/>
        <v>0</v>
      </c>
      <c r="CV508" s="55">
        <f t="shared" si="3422"/>
        <v>0</v>
      </c>
      <c r="CW508" s="55">
        <f t="shared" si="3423"/>
        <v>0</v>
      </c>
      <c r="CX508" s="55">
        <f t="shared" si="3424"/>
        <v>0</v>
      </c>
      <c r="CY508" s="55">
        <f t="shared" si="3425"/>
        <v>0</v>
      </c>
      <c r="CZ508" s="56">
        <f t="shared" si="3426"/>
        <v>0</v>
      </c>
      <c r="DA508" s="55">
        <f t="shared" si="3427"/>
        <v>0</v>
      </c>
      <c r="DB508" s="55">
        <f t="shared" si="3428"/>
        <v>0</v>
      </c>
      <c r="DC508" s="55">
        <f t="shared" si="3429"/>
        <v>0</v>
      </c>
      <c r="DD508" s="55">
        <f t="shared" si="3430"/>
        <v>0</v>
      </c>
      <c r="DE508" s="55">
        <f t="shared" si="3431"/>
        <v>0</v>
      </c>
      <c r="DF508" s="55">
        <f t="shared" si="3432"/>
        <v>0</v>
      </c>
      <c r="DG508" s="55">
        <f t="shared" si="3433"/>
        <v>0</v>
      </c>
      <c r="DH508" s="55">
        <f t="shared" si="3434"/>
        <v>0</v>
      </c>
      <c r="DI508" s="55">
        <f t="shared" si="3435"/>
        <v>0</v>
      </c>
    </row>
    <row r="509" spans="1:113" s="24" customFormat="1" outlineLevel="2">
      <c r="A509" s="1" t="s">
        <v>328</v>
      </c>
      <c r="B509" s="24" t="s">
        <v>2545</v>
      </c>
      <c r="C509" s="81">
        <f>-443-56-3</f>
        <v>-502</v>
      </c>
      <c r="D509" s="81">
        <f>-444-25-1</f>
        <v>-470</v>
      </c>
      <c r="E509" s="81">
        <f>-508+61</f>
        <v>-447</v>
      </c>
      <c r="F509" s="81">
        <f>-503-3+90</f>
        <v>-416</v>
      </c>
      <c r="G509" s="81">
        <f>-513-3-32</f>
        <v>-548</v>
      </c>
      <c r="H509" s="81">
        <f>-494-4-120</f>
        <v>-618</v>
      </c>
      <c r="I509" s="81">
        <f>-565-5-83</f>
        <v>-653</v>
      </c>
      <c r="J509" s="81">
        <f>-694-111-5</f>
        <v>-810</v>
      </c>
      <c r="K509" s="81">
        <f>-680-117-5</f>
        <v>-802</v>
      </c>
      <c r="L509" s="81">
        <f>-753-201-18</f>
        <v>-972</v>
      </c>
      <c r="M509" s="81">
        <f>-816-130-13</f>
        <v>-959</v>
      </c>
      <c r="N509" s="81">
        <f>-865-138-13</f>
        <v>-1016</v>
      </c>
      <c r="O509" s="81">
        <f>-910-128-14</f>
        <v>-1052</v>
      </c>
      <c r="P509" s="81">
        <f>-905-36-15</f>
        <v>-956</v>
      </c>
      <c r="Q509" s="81">
        <f>-492-16</f>
        <v>-508</v>
      </c>
      <c r="R509" s="81">
        <f>-694-16</f>
        <v>-710</v>
      </c>
      <c r="S509" s="81">
        <f>-1002-14</f>
        <v>-1016</v>
      </c>
      <c r="T509" s="81">
        <f>-1361-139-9</f>
        <v>-1509</v>
      </c>
      <c r="U509" s="81">
        <f>-1022+9-7</f>
        <v>-1020</v>
      </c>
      <c r="V509" s="81">
        <f>-1261-9</f>
        <v>-1270</v>
      </c>
      <c r="W509" s="81">
        <f>-1386-7</f>
        <v>-1393</v>
      </c>
      <c r="X509" s="81">
        <f>-1428-9</f>
        <v>-1437</v>
      </c>
      <c r="Y509" s="81">
        <f>-1430-7</f>
        <v>-1437</v>
      </c>
      <c r="Z509" s="81">
        <f>-1486-8</f>
        <v>-1494</v>
      </c>
      <c r="AA509" s="166">
        <f>-1525-8</f>
        <v>-1533</v>
      </c>
      <c r="AB509" s="166">
        <f>-1698-10</f>
        <v>-1708</v>
      </c>
      <c r="AC509" s="166">
        <f>-1649-9</f>
        <v>-1658</v>
      </c>
      <c r="AD509" s="166">
        <f>-1775-10</f>
        <v>-1785</v>
      </c>
      <c r="AE509" s="166">
        <f>-1753-11</f>
        <v>-1764</v>
      </c>
      <c r="AF509" s="166">
        <f>-1761-11</f>
        <v>-1772</v>
      </c>
      <c r="AG509" s="166">
        <f>-1845-9</f>
        <v>-1854</v>
      </c>
      <c r="AH509" s="166">
        <f>-1926-9+60</f>
        <v>-1875</v>
      </c>
      <c r="AI509" s="166">
        <f>-1955-15+147</f>
        <v>-1823</v>
      </c>
      <c r="AJ509" s="166">
        <f>-2033-6+148</f>
        <v>-1891</v>
      </c>
      <c r="AK509" s="166">
        <f>-1919-7+124</f>
        <v>-1802</v>
      </c>
      <c r="AL509" s="166">
        <f>-1831-6+(28-4)</f>
        <v>-1813</v>
      </c>
      <c r="AM509" s="166">
        <f>-1560-6+(190-3)</f>
        <v>-1379</v>
      </c>
      <c r="AN509" s="166">
        <f>-1814-0+(1591-3)-3</f>
        <v>-229</v>
      </c>
      <c r="AO509" s="166">
        <f>-1258+(466)-39</f>
        <v>-831</v>
      </c>
      <c r="AP509" s="166">
        <f>-1603+1110</f>
        <v>-493</v>
      </c>
      <c r="AQ509" s="166">
        <f>-1929+(228)-0</f>
        <v>-1701</v>
      </c>
      <c r="AR509" s="166">
        <f>-1905+(1129)-0</f>
        <v>-776</v>
      </c>
      <c r="AS509" s="166">
        <f>-2106+(-31)-0</f>
        <v>-2137</v>
      </c>
      <c r="AT509" s="166">
        <f>-2229+(-71)-0-(-2156--2159)</f>
        <v>-2303</v>
      </c>
      <c r="AU509" s="166">
        <f>-1926+(-27)-0-(-1951--1938)</f>
        <v>-1940</v>
      </c>
      <c r="AV509" s="166">
        <f>-2228-78</f>
        <v>-2306</v>
      </c>
      <c r="AW509" s="166">
        <f>-2073-9</f>
        <v>-2082</v>
      </c>
      <c r="AX509" s="166">
        <f>-2264-8</f>
        <v>-2272</v>
      </c>
      <c r="AY509" s="166">
        <v>-2152</v>
      </c>
      <c r="AZ509" s="167">
        <v>-2398</v>
      </c>
      <c r="BA509" s="82">
        <f t="shared" ref="BA509:BE509" si="3539">BA506+BA507+BA508</f>
        <v>-2376.7114750465557</v>
      </c>
      <c r="BB509" s="82">
        <f t="shared" si="3539"/>
        <v>-2467.9851114229882</v>
      </c>
      <c r="BC509" s="82">
        <f t="shared" si="3539"/>
        <v>-2462.9398518835892</v>
      </c>
      <c r="BD509" s="82">
        <f t="shared" si="3539"/>
        <v>-2482.6163723859222</v>
      </c>
      <c r="BE509" s="82">
        <f t="shared" si="3539"/>
        <v>-2554.2595082858315</v>
      </c>
      <c r="BF509" s="82">
        <f t="shared" ref="BF509:BM509" si="3540">BF506+BF507+BF508</f>
        <v>-2637.8687864156332</v>
      </c>
      <c r="BG509" s="82">
        <f t="shared" si="3540"/>
        <v>-2686.4499094526559</v>
      </c>
      <c r="BH509" s="82">
        <f t="shared" si="3540"/>
        <v>-2756.727642306304</v>
      </c>
      <c r="BI509" s="82">
        <f t="shared" si="3540"/>
        <v>-2765.8447842581791</v>
      </c>
      <c r="BJ509" s="82">
        <f t="shared" si="3540"/>
        <v>-2792.6985214217098</v>
      </c>
      <c r="BK509" s="82">
        <f t="shared" si="3540"/>
        <v>-2745.1915853765699</v>
      </c>
      <c r="BL509" s="82">
        <f t="shared" si="3540"/>
        <v>-2794.0596137567231</v>
      </c>
      <c r="BM509" s="82">
        <f t="shared" si="3540"/>
        <v>-2791.9786358864012</v>
      </c>
      <c r="BN509" s="82">
        <f t="shared" ref="BN509:BO509" si="3541">BN506+BN507+BN508</f>
        <v>-2877.2602868498034</v>
      </c>
      <c r="BO509" s="82">
        <f t="shared" si="3541"/>
        <v>-2871.8881902725616</v>
      </c>
      <c r="BP509" s="82">
        <f t="shared" ref="BP509:BQ509" si="3542">BP506+BP507+BP508</f>
        <v>-2969.1776394567091</v>
      </c>
      <c r="BQ509" s="82">
        <f t="shared" si="3542"/>
        <v>-2963.7986405885554</v>
      </c>
      <c r="BR509" s="82"/>
      <c r="BS509" s="81">
        <f>-245-7.1</f>
        <v>-252.1</v>
      </c>
      <c r="BT509" s="81">
        <f>-356-10</f>
        <v>-366</v>
      </c>
      <c r="BU509" s="81">
        <f>-358-14</f>
        <v>-372</v>
      </c>
      <c r="BV509" s="81">
        <f>-493-19</f>
        <v>-512</v>
      </c>
      <c r="BW509" s="81">
        <f>-635-22</f>
        <v>-657</v>
      </c>
      <c r="BX509" s="81">
        <f>-588-22</f>
        <v>-610</v>
      </c>
      <c r="BY509" s="81">
        <f>-641-20</f>
        <v>-661</v>
      </c>
      <c r="BZ509" s="81">
        <f>-714-24</f>
        <v>-738</v>
      </c>
      <c r="CA509" s="81">
        <f>-820-38+20</f>
        <v>-838</v>
      </c>
      <c r="CB509" s="81">
        <f>-993-14</f>
        <v>-1007</v>
      </c>
      <c r="CC509" s="82">
        <f>SUM(D509:E509)</f>
        <v>-917</v>
      </c>
      <c r="CD509" s="82">
        <f>SUM(F509:G509)</f>
        <v>-964</v>
      </c>
      <c r="CE509" s="82">
        <f>SUM(H509:I509)</f>
        <v>-1271</v>
      </c>
      <c r="CF509" s="82">
        <f>SUM(J509:K509)</f>
        <v>-1612</v>
      </c>
      <c r="CG509" s="82">
        <f>SUM(L509:M509)</f>
        <v>-1931</v>
      </c>
      <c r="CH509" s="82">
        <f>SUM(N509:O509)</f>
        <v>-2068</v>
      </c>
      <c r="CI509" s="82">
        <f>SUM(P509:Q509)</f>
        <v>-1464</v>
      </c>
      <c r="CJ509" s="82">
        <f t="shared" ref="CJ509:CP509" si="3543">CJ506+CJ507+CJ508</f>
        <v>-1726</v>
      </c>
      <c r="CK509" s="82">
        <f t="shared" si="3543"/>
        <v>-2529</v>
      </c>
      <c r="CL509" s="82">
        <f t="shared" si="3543"/>
        <v>-2663</v>
      </c>
      <c r="CM509" s="82">
        <f t="shared" si="3543"/>
        <v>-2874</v>
      </c>
      <c r="CN509" s="82">
        <f t="shared" si="3543"/>
        <v>-3027</v>
      </c>
      <c r="CO509" s="82">
        <f t="shared" si="3543"/>
        <v>-3366</v>
      </c>
      <c r="CP509" s="82">
        <f t="shared" si="3543"/>
        <v>-3549</v>
      </c>
      <c r="CQ509" s="82">
        <f t="shared" ref="CQ509:CX509" si="3544">CQ506+CQ507+CQ508</f>
        <v>-3626</v>
      </c>
      <c r="CR509" s="82">
        <f t="shared" si="3544"/>
        <v>-3698</v>
      </c>
      <c r="CS509" s="82">
        <f t="shared" si="3544"/>
        <v>-3693</v>
      </c>
      <c r="CT509" s="82">
        <f t="shared" si="3544"/>
        <v>-3192</v>
      </c>
      <c r="CU509" s="82">
        <f t="shared" si="3544"/>
        <v>-1060</v>
      </c>
      <c r="CV509" s="82">
        <f t="shared" si="3544"/>
        <v>-2194</v>
      </c>
      <c r="CW509" s="82">
        <f t="shared" si="3544"/>
        <v>-2913</v>
      </c>
      <c r="CX509" s="82">
        <f t="shared" si="3544"/>
        <v>-4243</v>
      </c>
      <c r="CY509" s="82">
        <f t="shared" ref="CY509:DD509" si="3545">CY506+CY507+CY508</f>
        <v>-4388</v>
      </c>
      <c r="CZ509" s="83">
        <f t="shared" si="3545"/>
        <v>-4424</v>
      </c>
      <c r="DA509" s="82">
        <f t="shared" si="3545"/>
        <v>-4774.7114750465553</v>
      </c>
      <c r="DB509" s="82">
        <f t="shared" si="3545"/>
        <v>-4930.9249633065774</v>
      </c>
      <c r="DC509" s="82">
        <f t="shared" si="3545"/>
        <v>-5036.8758806717542</v>
      </c>
      <c r="DD509" s="82">
        <f t="shared" si="3545"/>
        <v>-5324.3186958682891</v>
      </c>
      <c r="DE509" s="82">
        <f>DE506+DE507+DE508</f>
        <v>-5522.5724265644831</v>
      </c>
      <c r="DF509" s="82">
        <f>DF506+DF507+DF508</f>
        <v>-5537.8901067982797</v>
      </c>
      <c r="DG509" s="82">
        <f>DG506+DG507+DG508</f>
        <v>-5586.0382496431248</v>
      </c>
      <c r="DH509" s="82">
        <f>DH506+DH507+DH508</f>
        <v>-5749.148477122365</v>
      </c>
      <c r="DI509" s="82">
        <f>DI506+DI507+DI508</f>
        <v>-5932.9762800452645</v>
      </c>
    </row>
    <row r="510" spans="1:113" s="84" customFormat="1" outlineLevel="2">
      <c r="A510" s="1"/>
      <c r="B510" s="84" t="s">
        <v>354</v>
      </c>
      <c r="C510" s="86" t="str">
        <f t="shared" ref="C510:L510" si="3546">IF(ABS(C493+C509-C525)&gt;1,"Error: "&amp;TEXT(C493+C509-C525,"0.0"),"OK")</f>
        <v>OK</v>
      </c>
      <c r="D510" s="86" t="str">
        <f t="shared" si="3546"/>
        <v>OK</v>
      </c>
      <c r="E510" s="86" t="str">
        <f t="shared" si="3546"/>
        <v>OK</v>
      </c>
      <c r="F510" s="86" t="str">
        <f t="shared" si="3546"/>
        <v>OK</v>
      </c>
      <c r="G510" s="86" t="str">
        <f t="shared" si="3546"/>
        <v>OK</v>
      </c>
      <c r="H510" s="86" t="str">
        <f t="shared" si="3546"/>
        <v>OK</v>
      </c>
      <c r="I510" s="86" t="str">
        <f t="shared" si="3546"/>
        <v>OK</v>
      </c>
      <c r="J510" s="86" t="str">
        <f t="shared" si="3546"/>
        <v>OK</v>
      </c>
      <c r="K510" s="86" t="str">
        <f t="shared" si="3546"/>
        <v>OK</v>
      </c>
      <c r="L510" s="86" t="str">
        <f t="shared" si="3546"/>
        <v>OK</v>
      </c>
      <c r="M510" s="86" t="str">
        <f t="shared" ref="M510:AC510" si="3547">IF(ABS(M493+M509-M525)&gt;1,"Error: "&amp;TEXT(M493+M509-M525,"0.0"),"OK")</f>
        <v>Error: 16.0</v>
      </c>
      <c r="N510" s="86" t="str">
        <f t="shared" si="3547"/>
        <v>OK</v>
      </c>
      <c r="O510" s="86" t="str">
        <f t="shared" si="3547"/>
        <v>OK</v>
      </c>
      <c r="P510" s="86" t="str">
        <f t="shared" si="3547"/>
        <v>OK</v>
      </c>
      <c r="Q510" s="86" t="str">
        <f t="shared" si="3547"/>
        <v>OK</v>
      </c>
      <c r="R510" s="86" t="str">
        <f t="shared" si="3547"/>
        <v>OK</v>
      </c>
      <c r="S510" s="86" t="str">
        <f t="shared" si="3547"/>
        <v>OK</v>
      </c>
      <c r="T510" s="86" t="str">
        <f t="shared" si="3547"/>
        <v>OK</v>
      </c>
      <c r="U510" s="86" t="str">
        <f t="shared" si="3547"/>
        <v>OK</v>
      </c>
      <c r="V510" s="86" t="str">
        <f t="shared" si="3547"/>
        <v>OK</v>
      </c>
      <c r="W510" s="86" t="str">
        <f t="shared" si="3547"/>
        <v>OK</v>
      </c>
      <c r="X510" s="86" t="str">
        <f t="shared" si="3547"/>
        <v>OK</v>
      </c>
      <c r="Y510" s="86" t="str">
        <f>IF(ABS(Y493+Y509-Y525)&gt;1,"Error: "&amp;TEXT(Y493+Y509-Y525,"0.0"),"OK")</f>
        <v>OK</v>
      </c>
      <c r="Z510" s="86" t="str">
        <f>IF(ABS(Z493+Z509-Z525)&gt;1,"Error: "&amp;TEXT(Z493+Z509-Z525,"0.0"),"OK")</f>
        <v>OK</v>
      </c>
      <c r="AA510" s="86" t="str">
        <f t="shared" si="3547"/>
        <v>OK</v>
      </c>
      <c r="AB510" s="86" t="str">
        <f t="shared" si="3547"/>
        <v>OK</v>
      </c>
      <c r="AC510" s="86" t="str">
        <f t="shared" si="3547"/>
        <v>OK</v>
      </c>
      <c r="AD510" s="86" t="str">
        <f t="shared" ref="AD510:AK510" si="3548">IF(ABS(AD493+AD509-AD525)&gt;1,"Error: "&amp;TEXT(AD493+AD509-AD525,"0.0"),"OK")</f>
        <v>OK</v>
      </c>
      <c r="AE510" s="86" t="str">
        <f t="shared" si="3548"/>
        <v>OK</v>
      </c>
      <c r="AF510" s="86" t="str">
        <f t="shared" si="3548"/>
        <v>OK</v>
      </c>
      <c r="AG510" s="86" t="str">
        <f t="shared" si="3548"/>
        <v>OK</v>
      </c>
      <c r="AH510" s="86" t="str">
        <f t="shared" si="3548"/>
        <v>OK</v>
      </c>
      <c r="AI510" s="86" t="str">
        <f t="shared" si="3548"/>
        <v>OK</v>
      </c>
      <c r="AJ510" s="86" t="str">
        <f t="shared" si="3548"/>
        <v>OK</v>
      </c>
      <c r="AK510" s="86" t="str">
        <f t="shared" si="3548"/>
        <v>OK</v>
      </c>
      <c r="AL510" s="86" t="str">
        <f t="shared" ref="AL510:AQ510" si="3549">IF(ABS(AL493+AL509-AL525)&gt;1,"Error: "&amp;TEXT(AL493+AL509-AL525,"0.0"),"OK")</f>
        <v>OK</v>
      </c>
      <c r="AM510" s="86" t="str">
        <f t="shared" si="3549"/>
        <v>OK</v>
      </c>
      <c r="AN510" s="86" t="str">
        <f t="shared" si="3549"/>
        <v>OK</v>
      </c>
      <c r="AO510" s="86" t="str">
        <f t="shared" si="3549"/>
        <v>OK</v>
      </c>
      <c r="AP510" s="86" t="str">
        <f t="shared" si="3549"/>
        <v>OK</v>
      </c>
      <c r="AQ510" s="86" t="str">
        <f t="shared" si="3549"/>
        <v>OK</v>
      </c>
      <c r="AR510" s="86" t="str">
        <f t="shared" ref="AR510" si="3550">IF(ABS(AR493+AR509-AR525)&gt;1,"Error: "&amp;TEXT(AR493+AR509-AR525,"0.0"),"OK")</f>
        <v>OK</v>
      </c>
      <c r="AS510" s="86" t="str">
        <f t="shared" ref="AS510:AT510" si="3551">IF(ABS(AS493+AS509-AS525)&gt;1,"Error: "&amp;TEXT(AS493+AS509-AS525,"0.0"),"OK")</f>
        <v>OK</v>
      </c>
      <c r="AT510" s="86" t="str">
        <f t="shared" si="3551"/>
        <v>OK</v>
      </c>
      <c r="AU510" s="86" t="str">
        <f t="shared" ref="AU510" si="3552">IF(ABS(AU493+AU509-AU525)&gt;1,"Error: "&amp;TEXT(AU493+AU509-AU525,"0.0"),"OK")</f>
        <v>OK</v>
      </c>
      <c r="AV510" s="86" t="str">
        <f>IF(ABS(AV493+AV509-AV525)&gt;1,"Error: "&amp;TEXT(AV493+AV509-AV525,"0.0"),"OK")</f>
        <v>OK</v>
      </c>
      <c r="AW510" s="86" t="str">
        <f>IF(ABS(AW493+AW509-AW525)&gt;1,"Error: "&amp;TEXT(AW493+AW509-AW525,"0.0"),"OK")</f>
        <v>OK</v>
      </c>
      <c r="AX510" s="86" t="str">
        <f>IF(ABS(AX493+AX509-AX525)&gt;1,"Error: "&amp;TEXT(AX493+AX509-AX525,"0.0"),"OK")</f>
        <v>OK</v>
      </c>
      <c r="AY510" s="86" t="str">
        <f t="shared" ref="AY510:BE510" si="3553">IF(ABS(AY493+AY509-AY525)&gt;1,"Error: "&amp;TEXT(AY493+AY509-AY525,"0.0"),"OK")</f>
        <v>OK</v>
      </c>
      <c r="AZ510" s="87" t="str">
        <f>IF(ABS(AZ493+AZ509-AZ525)&gt;1,"Error: "&amp;TEXT(AZ493+AZ509-AZ525,"0.0"),"OK")</f>
        <v>OK</v>
      </c>
      <c r="BA510" s="86" t="str">
        <f t="shared" si="3553"/>
        <v>OK</v>
      </c>
      <c r="BB510" s="86" t="str">
        <f t="shared" si="3553"/>
        <v>OK</v>
      </c>
      <c r="BC510" s="86" t="str">
        <f t="shared" si="3553"/>
        <v>OK</v>
      </c>
      <c r="BD510" s="86" t="str">
        <f t="shared" si="3553"/>
        <v>OK</v>
      </c>
      <c r="BE510" s="86" t="str">
        <f t="shared" si="3553"/>
        <v>OK</v>
      </c>
      <c r="BF510" s="86" t="str">
        <f t="shared" ref="BF510:BM510" si="3554">IF(ABS(BF493+BF509-BF525)&gt;1,"Error: "&amp;TEXT(BF493+BF509-BF525,"0.0"),"OK")</f>
        <v>OK</v>
      </c>
      <c r="BG510" s="86" t="str">
        <f t="shared" si="3554"/>
        <v>OK</v>
      </c>
      <c r="BH510" s="86" t="str">
        <f t="shared" si="3554"/>
        <v>OK</v>
      </c>
      <c r="BI510" s="86" t="str">
        <f t="shared" si="3554"/>
        <v>OK</v>
      </c>
      <c r="BJ510" s="86" t="str">
        <f t="shared" si="3554"/>
        <v>OK</v>
      </c>
      <c r="BK510" s="86" t="str">
        <f t="shared" si="3554"/>
        <v>OK</v>
      </c>
      <c r="BL510" s="86" t="str">
        <f t="shared" si="3554"/>
        <v>OK</v>
      </c>
      <c r="BM510" s="86" t="str">
        <f t="shared" si="3554"/>
        <v>OK</v>
      </c>
      <c r="BN510" s="86" t="str">
        <f t="shared" ref="BN510:BO510" si="3555">IF(ABS(BN493+BN509-BN525)&gt;1,"Error: "&amp;TEXT(BN493+BN509-BN525,"0.0"),"OK")</f>
        <v>OK</v>
      </c>
      <c r="BO510" s="86" t="str">
        <f t="shared" si="3555"/>
        <v>OK</v>
      </c>
      <c r="BP510" s="86" t="str">
        <f t="shared" ref="BP510:BQ510" si="3556">IF(ABS(BP493+BP509-BP525)&gt;1,"Error: "&amp;TEXT(BP493+BP509-BP525,"0.0"),"OK")</f>
        <v>OK</v>
      </c>
      <c r="BQ510" s="86" t="str">
        <f t="shared" si="3556"/>
        <v>OK</v>
      </c>
      <c r="BR510" s="86"/>
      <c r="BS510" s="86" t="str">
        <f t="shared" ref="BS510:CB510" si="3557">IF(ABS(BS493+BS509-BS525)&gt;1,"Error: "&amp;TEXT(BS493+BS509-BS525,"0.0"),"OK")</f>
        <v>OK</v>
      </c>
      <c r="BT510" s="86" t="str">
        <f t="shared" si="3557"/>
        <v>OK</v>
      </c>
      <c r="BU510" s="86" t="str">
        <f t="shared" si="3557"/>
        <v>OK</v>
      </c>
      <c r="BV510" s="86" t="str">
        <f>IF(ABS(BV493+BV509-BV525)&gt;1,"Error: "&amp;TEXT(BV493+BV509-BV525,"0.0"),"OK")</f>
        <v>OK</v>
      </c>
      <c r="BW510" s="86" t="str">
        <f t="shared" si="3557"/>
        <v>OK</v>
      </c>
      <c r="BX510" s="86" t="str">
        <f t="shared" si="3557"/>
        <v>OK</v>
      </c>
      <c r="BY510" s="86" t="str">
        <f t="shared" si="3557"/>
        <v>OK</v>
      </c>
      <c r="BZ510" s="86" t="str">
        <f t="shared" si="3557"/>
        <v>OK</v>
      </c>
      <c r="CA510" s="86" t="str">
        <f t="shared" si="3557"/>
        <v>OK</v>
      </c>
      <c r="CB510" s="86" t="str">
        <f t="shared" si="3557"/>
        <v>OK</v>
      </c>
      <c r="CC510" s="86" t="str">
        <f t="shared" ref="CC510:CR510" si="3558">IF(ABS(CC493+CC509-CC525)&gt;1,"Error: "&amp;TEXT(CC493+CC509-CC525,"0.0"),"OK")</f>
        <v>OK</v>
      </c>
      <c r="CD510" s="86" t="str">
        <f t="shared" si="3558"/>
        <v>OK</v>
      </c>
      <c r="CE510" s="86" t="str">
        <f t="shared" si="3558"/>
        <v>OK</v>
      </c>
      <c r="CF510" s="86" t="str">
        <f t="shared" si="3558"/>
        <v>OK</v>
      </c>
      <c r="CG510" s="86" t="str">
        <f t="shared" si="3558"/>
        <v>Error: 16.0</v>
      </c>
      <c r="CH510" s="86" t="str">
        <f t="shared" si="3558"/>
        <v>OK</v>
      </c>
      <c r="CI510" s="86" t="str">
        <f t="shared" si="3558"/>
        <v>OK</v>
      </c>
      <c r="CJ510" s="86" t="str">
        <f t="shared" si="3558"/>
        <v>OK</v>
      </c>
      <c r="CK510" s="86" t="str">
        <f t="shared" si="3558"/>
        <v>OK</v>
      </c>
      <c r="CL510" s="86" t="str">
        <f t="shared" si="3558"/>
        <v>OK</v>
      </c>
      <c r="CM510" s="86" t="str">
        <f t="shared" si="3558"/>
        <v>OK</v>
      </c>
      <c r="CN510" s="86" t="str">
        <f t="shared" si="3558"/>
        <v>OK</v>
      </c>
      <c r="CO510" s="86" t="str">
        <f t="shared" si="3558"/>
        <v>OK</v>
      </c>
      <c r="CP510" s="86" t="str">
        <f t="shared" si="3558"/>
        <v>OK</v>
      </c>
      <c r="CQ510" s="86" t="str">
        <f t="shared" si="3558"/>
        <v>OK</v>
      </c>
      <c r="CR510" s="86" t="str">
        <f t="shared" si="3558"/>
        <v>OK</v>
      </c>
      <c r="CS510" s="86" t="str">
        <f t="shared" ref="CS510:DC510" si="3559">IF(ABS(CS493+CS509-CS525)&gt;1,"Error: "&amp;TEXT(CS493+CS509-CS525,"0.0"),"OK")</f>
        <v>OK</v>
      </c>
      <c r="CT510" s="86" t="str">
        <f t="shared" si="3559"/>
        <v>OK</v>
      </c>
      <c r="CU510" s="86" t="str">
        <f t="shared" si="3559"/>
        <v>OK</v>
      </c>
      <c r="CV510" s="86" t="str">
        <f t="shared" si="3559"/>
        <v>OK</v>
      </c>
      <c r="CW510" s="86" t="str">
        <f t="shared" si="3559"/>
        <v>OK</v>
      </c>
      <c r="CX510" s="86" t="str">
        <f t="shared" si="3559"/>
        <v>OK</v>
      </c>
      <c r="CY510" s="86" t="str">
        <f t="shared" si="3559"/>
        <v>OK</v>
      </c>
      <c r="CZ510" s="87" t="str">
        <f t="shared" si="3559"/>
        <v>OK</v>
      </c>
      <c r="DA510" s="86" t="str">
        <f t="shared" si="3559"/>
        <v>OK</v>
      </c>
      <c r="DB510" s="86" t="str">
        <f t="shared" si="3559"/>
        <v>OK</v>
      </c>
      <c r="DC510" s="86" t="str">
        <f t="shared" si="3559"/>
        <v>OK</v>
      </c>
      <c r="DD510" s="86" t="str">
        <f t="shared" ref="DD510:DI510" si="3560">IF(ABS(DD493+DD509-DD525)&gt;1,"Error: "&amp;TEXT(DD493+DD509-DD525,"0.0"),"OK")</f>
        <v>OK</v>
      </c>
      <c r="DE510" s="86" t="str">
        <f t="shared" si="3560"/>
        <v>OK</v>
      </c>
      <c r="DF510" s="86" t="str">
        <f t="shared" si="3560"/>
        <v>OK</v>
      </c>
      <c r="DG510" s="86" t="str">
        <f t="shared" si="3560"/>
        <v>OK</v>
      </c>
      <c r="DH510" s="86" t="str">
        <f t="shared" si="3560"/>
        <v>OK</v>
      </c>
      <c r="DI510" s="86" t="str">
        <f t="shared" si="3560"/>
        <v>OK</v>
      </c>
    </row>
    <row r="511" spans="1:113" outlineLevel="1">
      <c r="A511" s="96"/>
      <c r="C511" s="55"/>
      <c r="D511" s="55"/>
      <c r="E511" s="55"/>
      <c r="F511" s="55"/>
      <c r="G511" s="55"/>
      <c r="H511" s="55"/>
      <c r="I511" s="55"/>
      <c r="J511" s="55"/>
      <c r="K511" s="55"/>
      <c r="L511" s="55"/>
      <c r="M511" s="55"/>
      <c r="N511" s="55"/>
      <c r="O511" s="55"/>
      <c r="P511" s="55"/>
      <c r="Q511" s="55"/>
      <c r="R511" s="55"/>
      <c r="S511" s="55"/>
      <c r="T511" s="55"/>
      <c r="U511" s="55"/>
      <c r="V511" s="55"/>
      <c r="W511" s="55"/>
      <c r="X511" s="55"/>
      <c r="Y511" s="55"/>
      <c r="Z511" s="55"/>
      <c r="AA511" s="55"/>
      <c r="AB511" s="55"/>
      <c r="AC511" s="55"/>
      <c r="AD511" s="55"/>
      <c r="AE511" s="55"/>
      <c r="AF511" s="55"/>
      <c r="AG511" s="55"/>
      <c r="AH511" s="55"/>
      <c r="AI511" s="55"/>
      <c r="AJ511" s="55"/>
      <c r="AK511" s="58"/>
      <c r="AL511" s="58"/>
      <c r="AM511" s="58"/>
      <c r="AN511" s="58"/>
      <c r="AO511" s="58"/>
      <c r="AP511" s="58"/>
      <c r="AQ511" s="58"/>
      <c r="AR511" s="58"/>
      <c r="AS511" s="58"/>
      <c r="AT511" s="58"/>
      <c r="AU511" s="58"/>
      <c r="AV511" s="58"/>
      <c r="AW511" s="58"/>
      <c r="AX511" s="58"/>
      <c r="AY511" s="58"/>
      <c r="AZ511" s="59"/>
      <c r="BA511" s="57"/>
      <c r="BB511" s="57"/>
      <c r="BC511" s="57"/>
      <c r="BD511" s="57"/>
      <c r="BE511" s="57"/>
      <c r="BF511" s="57"/>
      <c r="BG511" s="57"/>
      <c r="BH511" s="57"/>
      <c r="BI511" s="57"/>
      <c r="BJ511" s="57"/>
      <c r="BK511" s="57"/>
      <c r="BL511" s="230"/>
      <c r="BM511" s="230"/>
      <c r="BN511" s="230"/>
      <c r="BO511" s="230"/>
      <c r="BP511" s="230"/>
      <c r="BQ511" s="230"/>
      <c r="BR511" s="55"/>
      <c r="BS511" s="55"/>
      <c r="BT511" s="55"/>
      <c r="BU511" s="55"/>
      <c r="BV511" s="55"/>
      <c r="BW511" s="55"/>
      <c r="BX511" s="55"/>
      <c r="BY511" s="55"/>
      <c r="BZ511" s="55"/>
      <c r="CA511" s="55"/>
      <c r="CB511" s="55"/>
      <c r="CC511" s="55"/>
      <c r="CD511" s="55"/>
      <c r="CE511" s="55"/>
      <c r="CF511" s="55"/>
      <c r="CG511" s="55"/>
      <c r="CH511" s="55"/>
      <c r="CI511" s="55"/>
      <c r="CJ511" s="55"/>
      <c r="CK511" s="55"/>
      <c r="CL511" s="55"/>
      <c r="CM511" s="55"/>
      <c r="CN511" s="55"/>
      <c r="CO511" s="55"/>
      <c r="CP511" s="55"/>
      <c r="CQ511" s="55"/>
      <c r="CR511" s="55"/>
      <c r="CS511" s="55"/>
      <c r="CT511" s="55"/>
      <c r="CU511" s="55"/>
      <c r="CV511" s="55"/>
      <c r="CW511" s="55"/>
      <c r="CX511" s="55"/>
      <c r="CY511" s="55"/>
      <c r="CZ511" s="56"/>
      <c r="DA511" s="55"/>
      <c r="DB511" s="55"/>
    </row>
    <row r="512" spans="1:113">
      <c r="C512" s="55"/>
      <c r="D512" s="55"/>
      <c r="E512" s="55"/>
      <c r="F512" s="55"/>
      <c r="G512" s="55"/>
      <c r="H512" s="55"/>
      <c r="I512" s="55"/>
      <c r="J512" s="55"/>
      <c r="K512" s="55"/>
      <c r="L512" s="55"/>
      <c r="M512" s="55"/>
      <c r="N512" s="55"/>
      <c r="O512" s="55"/>
      <c r="P512" s="55"/>
      <c r="Q512" s="55"/>
      <c r="R512" s="55"/>
      <c r="S512" s="55"/>
      <c r="T512" s="55"/>
      <c r="U512" s="55"/>
      <c r="V512" s="55"/>
      <c r="W512" s="55"/>
      <c r="X512" s="55"/>
      <c r="Y512" s="55"/>
      <c r="Z512" s="55"/>
      <c r="AA512" s="55"/>
      <c r="AB512" s="55"/>
      <c r="AC512" s="55"/>
      <c r="AD512" s="55"/>
      <c r="AE512" s="55"/>
      <c r="AF512" s="55"/>
      <c r="AG512" s="55"/>
      <c r="AH512" s="55"/>
      <c r="AI512" s="55"/>
      <c r="AJ512" s="55"/>
      <c r="AK512" s="55"/>
      <c r="AL512" s="55"/>
      <c r="AM512" s="55"/>
      <c r="AN512" s="55"/>
      <c r="AO512" s="55"/>
      <c r="AP512" s="55"/>
      <c r="AQ512" s="55"/>
      <c r="AR512" s="55"/>
      <c r="AS512" s="55"/>
      <c r="AT512" s="55"/>
      <c r="AU512" s="55"/>
      <c r="AV512" s="55"/>
      <c r="AW512" s="55"/>
      <c r="AX512" s="55"/>
      <c r="AY512" s="55"/>
      <c r="AZ512" s="56"/>
      <c r="BA512" s="55"/>
      <c r="BB512" s="55"/>
      <c r="BC512" s="55"/>
      <c r="BD512" s="55"/>
      <c r="BE512" s="55"/>
      <c r="BF512" s="55"/>
      <c r="BG512" s="55"/>
      <c r="BH512" s="55"/>
      <c r="BI512" s="55"/>
      <c r="BJ512" s="55"/>
      <c r="BK512" s="55"/>
      <c r="BL512" s="55"/>
      <c r="BM512" s="55"/>
      <c r="BN512" s="55"/>
      <c r="BO512" s="55"/>
      <c r="BP512" s="55"/>
      <c r="BQ512" s="55"/>
      <c r="BR512" s="55"/>
      <c r="BS512" s="55"/>
      <c r="BT512" s="55"/>
      <c r="BU512" s="55"/>
      <c r="BV512" s="55"/>
      <c r="BW512" s="55"/>
      <c r="BX512" s="55"/>
      <c r="BY512" s="55"/>
      <c r="BZ512" s="55"/>
      <c r="CA512" s="55"/>
      <c r="CB512" s="55"/>
      <c r="CC512" s="55"/>
      <c r="CD512" s="55"/>
      <c r="CE512" s="55"/>
      <c r="CF512" s="55"/>
      <c r="CG512" s="55"/>
      <c r="CH512" s="55"/>
      <c r="CI512" s="55"/>
      <c r="CJ512" s="55"/>
      <c r="CK512" s="55"/>
      <c r="CL512" s="55"/>
      <c r="CM512" s="55"/>
      <c r="CN512" s="55"/>
      <c r="CO512" s="55"/>
      <c r="CP512" s="55"/>
      <c r="CQ512" s="55"/>
      <c r="CR512" s="55"/>
      <c r="CS512" s="58"/>
      <c r="CT512" s="58"/>
      <c r="CU512" s="58"/>
      <c r="CV512" s="58"/>
      <c r="CW512" s="58"/>
      <c r="CX512" s="58"/>
      <c r="CY512" s="58"/>
      <c r="CZ512" s="59"/>
      <c r="DA512" s="57"/>
      <c r="DB512" s="57"/>
    </row>
    <row r="513" spans="1:113" s="36" customFormat="1" collapsed="1">
      <c r="A513" s="1" t="s">
        <v>980</v>
      </c>
      <c r="B513" s="2" t="s">
        <v>355</v>
      </c>
      <c r="C513" s="79">
        <f>C515</f>
        <v>1148.5</v>
      </c>
      <c r="D513" s="79">
        <f>D515</f>
        <v>1175</v>
      </c>
      <c r="E513" s="79">
        <f>E515</f>
        <v>1292</v>
      </c>
      <c r="F513" s="79">
        <f t="shared" ref="F513:L513" si="3561">F515</f>
        <v>1188</v>
      </c>
      <c r="G513" s="79">
        <f t="shared" si="3561"/>
        <v>1351</v>
      </c>
      <c r="H513" s="79">
        <f t="shared" si="3561"/>
        <v>1201</v>
      </c>
      <c r="I513" s="79">
        <f t="shared" si="3561"/>
        <v>1393</v>
      </c>
      <c r="J513" s="79">
        <f t="shared" si="3561"/>
        <v>1672</v>
      </c>
      <c r="K513" s="79">
        <f t="shared" si="3561"/>
        <v>1689</v>
      </c>
      <c r="L513" s="79">
        <f t="shared" si="3561"/>
        <v>2061</v>
      </c>
      <c r="M513" s="79">
        <f t="shared" ref="M513:AG513" si="3562">M515</f>
        <v>1992</v>
      </c>
      <c r="N513" s="79">
        <f t="shared" si="3562"/>
        <v>2268</v>
      </c>
      <c r="O513" s="79">
        <f t="shared" si="3562"/>
        <v>2204</v>
      </c>
      <c r="P513" s="79">
        <f t="shared" si="3562"/>
        <v>2360</v>
      </c>
      <c r="Q513" s="79">
        <f t="shared" si="3562"/>
        <v>2325</v>
      </c>
      <c r="R513" s="79">
        <f t="shared" si="3562"/>
        <v>1880</v>
      </c>
      <c r="S513" s="79">
        <f t="shared" si="3562"/>
        <v>2371</v>
      </c>
      <c r="T513" s="79">
        <f t="shared" si="3562"/>
        <v>2919</v>
      </c>
      <c r="U513" s="79">
        <f t="shared" si="3562"/>
        <v>3135</v>
      </c>
      <c r="V513" s="79">
        <f t="shared" si="3562"/>
        <v>3313</v>
      </c>
      <c r="W513" s="79">
        <f t="shared" si="3562"/>
        <v>3480</v>
      </c>
      <c r="X513" s="79">
        <f t="shared" si="3562"/>
        <v>3556</v>
      </c>
      <c r="Y513" s="79">
        <f>Y515</f>
        <v>3515</v>
      </c>
      <c r="Z513" s="79">
        <f>Z515</f>
        <v>3730</v>
      </c>
      <c r="AA513" s="79">
        <f t="shared" si="3562"/>
        <v>3990</v>
      </c>
      <c r="AB513" s="79">
        <f t="shared" si="3562"/>
        <v>4245</v>
      </c>
      <c r="AC513" s="79">
        <f t="shared" si="3562"/>
        <v>4390</v>
      </c>
      <c r="AD513" s="79">
        <f t="shared" si="3562"/>
        <v>4599</v>
      </c>
      <c r="AE513" s="79">
        <f>AE515</f>
        <v>4486</v>
      </c>
      <c r="AF513" s="79">
        <f>AF515</f>
        <v>4776</v>
      </c>
      <c r="AG513" s="79">
        <f t="shared" si="3562"/>
        <v>4619</v>
      </c>
      <c r="AH513" s="79">
        <f t="shared" ref="AH513:AM513" si="3563">AH515</f>
        <v>4828</v>
      </c>
      <c r="AI513" s="79">
        <f t="shared" si="3563"/>
        <v>4827</v>
      </c>
      <c r="AJ513" s="79">
        <f t="shared" si="3563"/>
        <v>4598</v>
      </c>
      <c r="AK513" s="79">
        <f t="shared" si="3563"/>
        <v>4317</v>
      </c>
      <c r="AL513" s="79">
        <f t="shared" si="3563"/>
        <v>4512.5931563709537</v>
      </c>
      <c r="AM513" s="79">
        <f t="shared" si="3563"/>
        <v>3708.406843629049</v>
      </c>
      <c r="AN513" s="79">
        <f t="shared" ref="AN513:AS513" si="3564">AN515</f>
        <v>4327</v>
      </c>
      <c r="AO513" s="79">
        <f t="shared" si="3564"/>
        <v>2898</v>
      </c>
      <c r="AP513" s="79">
        <f t="shared" si="3564"/>
        <v>3868</v>
      </c>
      <c r="AQ513" s="79">
        <f t="shared" si="3564"/>
        <v>4785</v>
      </c>
      <c r="AR513" s="79">
        <f t="shared" si="3564"/>
        <v>4746</v>
      </c>
      <c r="AS513" s="79">
        <f t="shared" si="3564"/>
        <v>4849</v>
      </c>
      <c r="AT513" s="79">
        <f t="shared" ref="AT513:AU513" si="3565">AT515</f>
        <v>5180</v>
      </c>
      <c r="AU513" s="79">
        <f t="shared" si="3565"/>
        <v>4892</v>
      </c>
      <c r="AV513" s="79">
        <f t="shared" ref="AV513:AW513" si="3566">AV515</f>
        <v>5019</v>
      </c>
      <c r="AW513" s="79">
        <f t="shared" si="3566"/>
        <v>4817</v>
      </c>
      <c r="AX513" s="79">
        <f t="shared" ref="AX513" si="3567">AX515</f>
        <v>5132</v>
      </c>
      <c r="AY513" s="79">
        <f t="shared" ref="AY513:BE513" si="3568">AY515</f>
        <v>5119.9999999999982</v>
      </c>
      <c r="AZ513" s="80">
        <f t="shared" si="3568"/>
        <v>5445</v>
      </c>
      <c r="BA513" s="79">
        <f t="shared" si="3568"/>
        <v>5625.6840638307367</v>
      </c>
      <c r="BB513" s="79">
        <f t="shared" si="3568"/>
        <v>5758.6319266536393</v>
      </c>
      <c r="BC513" s="79">
        <f t="shared" si="3568"/>
        <v>5746.8596543950407</v>
      </c>
      <c r="BD513" s="79">
        <f t="shared" si="3568"/>
        <v>5792.7715355671517</v>
      </c>
      <c r="BE513" s="79">
        <f t="shared" si="3568"/>
        <v>5959.9388526669409</v>
      </c>
      <c r="BF513" s="79">
        <f t="shared" ref="BF513:BM513" si="3569">BF515</f>
        <v>6155.0271683031442</v>
      </c>
      <c r="BG513" s="79">
        <f t="shared" si="3569"/>
        <v>6268.383122056197</v>
      </c>
      <c r="BH513" s="79">
        <f t="shared" si="3569"/>
        <v>6432.36449871471</v>
      </c>
      <c r="BI513" s="79">
        <f t="shared" si="3569"/>
        <v>6453.6378299357511</v>
      </c>
      <c r="BJ513" s="79">
        <f t="shared" si="3569"/>
        <v>6516.2965499839902</v>
      </c>
      <c r="BK513" s="79">
        <f t="shared" si="3569"/>
        <v>6405.4470325453312</v>
      </c>
      <c r="BL513" s="79">
        <f t="shared" si="3569"/>
        <v>6519.4724320990208</v>
      </c>
      <c r="BM513" s="79">
        <f t="shared" si="3569"/>
        <v>6514.6168170682695</v>
      </c>
      <c r="BN513" s="79">
        <f t="shared" ref="BN513:BO513" si="3570">BN515</f>
        <v>6713.6073359828752</v>
      </c>
      <c r="BO513" s="79">
        <f t="shared" si="3570"/>
        <v>6701.0724439693104</v>
      </c>
      <c r="BP513" s="79">
        <f t="shared" ref="BP513:BQ513" si="3571">BP515</f>
        <v>6928.0811587323205</v>
      </c>
      <c r="BQ513" s="79">
        <f t="shared" si="3571"/>
        <v>6915.5301613732972</v>
      </c>
      <c r="BR513" s="79"/>
      <c r="BS513" s="79">
        <f t="shared" ref="BS513:CB513" si="3572">BS515</f>
        <v>408.9</v>
      </c>
      <c r="BT513" s="79">
        <f t="shared" si="3572"/>
        <v>579</v>
      </c>
      <c r="BU513" s="79">
        <f t="shared" si="3572"/>
        <v>682</v>
      </c>
      <c r="BV513" s="79">
        <f t="shared" si="3572"/>
        <v>1011</v>
      </c>
      <c r="BW513" s="79">
        <f t="shared" si="3572"/>
        <v>1119</v>
      </c>
      <c r="BX513" s="79">
        <f t="shared" si="3572"/>
        <v>1249</v>
      </c>
      <c r="BY513" s="79">
        <f t="shared" si="3572"/>
        <v>1297</v>
      </c>
      <c r="BZ513" s="79">
        <f t="shared" si="3572"/>
        <v>1469</v>
      </c>
      <c r="CA513" s="79">
        <f t="shared" si="3572"/>
        <v>1678</v>
      </c>
      <c r="CB513" s="79">
        <f t="shared" si="3572"/>
        <v>2253</v>
      </c>
      <c r="CC513" s="79">
        <f t="shared" ref="CC513:CO513" si="3573">CC515</f>
        <v>2467</v>
      </c>
      <c r="CD513" s="79">
        <f t="shared" si="3573"/>
        <v>2539</v>
      </c>
      <c r="CE513" s="79">
        <f t="shared" si="3573"/>
        <v>2594</v>
      </c>
      <c r="CF513" s="79">
        <f t="shared" si="3573"/>
        <v>3361</v>
      </c>
      <c r="CG513" s="79">
        <f t="shared" si="3573"/>
        <v>4053</v>
      </c>
      <c r="CH513" s="79">
        <f t="shared" si="3573"/>
        <v>4472</v>
      </c>
      <c r="CI513" s="79">
        <f t="shared" si="3573"/>
        <v>4685</v>
      </c>
      <c r="CJ513" s="79">
        <f t="shared" si="3573"/>
        <v>4251</v>
      </c>
      <c r="CK513" s="79">
        <f t="shared" si="3573"/>
        <v>6054</v>
      </c>
      <c r="CL513" s="79">
        <f t="shared" si="3573"/>
        <v>6793</v>
      </c>
      <c r="CM513" s="79">
        <f t="shared" si="3573"/>
        <v>7071</v>
      </c>
      <c r="CN513" s="79">
        <f t="shared" si="3573"/>
        <v>7720</v>
      </c>
      <c r="CO513" s="79">
        <f t="shared" si="3573"/>
        <v>8635</v>
      </c>
      <c r="CP513" s="79">
        <f t="shared" ref="CP513:CX513" si="3574">CP515</f>
        <v>9085</v>
      </c>
      <c r="CQ513" s="79">
        <f t="shared" si="3574"/>
        <v>9395</v>
      </c>
      <c r="CR513" s="79">
        <f t="shared" si="3574"/>
        <v>9655</v>
      </c>
      <c r="CS513" s="79">
        <f t="shared" si="3574"/>
        <v>8915</v>
      </c>
      <c r="CT513" s="79">
        <f t="shared" si="3574"/>
        <v>8221</v>
      </c>
      <c r="CU513" s="79">
        <f t="shared" si="3574"/>
        <v>7225</v>
      </c>
      <c r="CV513" s="79">
        <f t="shared" si="3574"/>
        <v>8653</v>
      </c>
      <c r="CW513" s="79">
        <f t="shared" si="3574"/>
        <v>9595</v>
      </c>
      <c r="CX513" s="79">
        <f t="shared" si="3574"/>
        <v>10072</v>
      </c>
      <c r="CY513" s="79">
        <f t="shared" ref="CY513:DD513" si="3575">CY515</f>
        <v>9836</v>
      </c>
      <c r="CZ513" s="80">
        <f t="shared" si="3575"/>
        <v>10252</v>
      </c>
      <c r="DA513" s="79">
        <f t="shared" si="3575"/>
        <v>11070.684063830735</v>
      </c>
      <c r="DB513" s="79">
        <f t="shared" si="3575"/>
        <v>11505.491581048682</v>
      </c>
      <c r="DC513" s="79">
        <f t="shared" si="3575"/>
        <v>11752.710388234094</v>
      </c>
      <c r="DD513" s="79">
        <f t="shared" si="3575"/>
        <v>12423.410290359334</v>
      </c>
      <c r="DE513" s="79">
        <f>DE515</f>
        <v>12886.002328650458</v>
      </c>
      <c r="DF513" s="79">
        <f>DF515</f>
        <v>12921.743582529325</v>
      </c>
      <c r="DG513" s="79">
        <f>DG515</f>
        <v>13034.089249167291</v>
      </c>
      <c r="DH513" s="79">
        <f>DH515</f>
        <v>13414.679779952181</v>
      </c>
      <c r="DI513" s="79">
        <f>DI515</f>
        <v>13843.611320105616</v>
      </c>
    </row>
    <row r="514" spans="1:113" outlineLevel="1">
      <c r="C514" s="55"/>
      <c r="D514" s="55"/>
      <c r="E514" s="55"/>
      <c r="F514" s="55"/>
      <c r="G514" s="55"/>
      <c r="H514" s="55"/>
      <c r="I514" s="55"/>
      <c r="J514" s="55"/>
      <c r="K514" s="55"/>
      <c r="L514" s="55"/>
      <c r="M514" s="55"/>
      <c r="N514" s="55"/>
      <c r="O514" s="55"/>
      <c r="P514" s="55"/>
      <c r="Q514" s="55"/>
      <c r="R514" s="55"/>
      <c r="S514" s="55"/>
      <c r="T514" s="55"/>
      <c r="U514" s="55"/>
      <c r="V514" s="55"/>
      <c r="W514" s="55"/>
      <c r="X514" s="55"/>
      <c r="Y514" s="55"/>
      <c r="Z514" s="55"/>
      <c r="AA514" s="55"/>
      <c r="AB514" s="55"/>
      <c r="AC514" s="58"/>
      <c r="AD514" s="55"/>
      <c r="AE514" s="55"/>
      <c r="AF514" s="55"/>
      <c r="AG514" s="55"/>
      <c r="AH514" s="55"/>
      <c r="AI514" s="55"/>
      <c r="AJ514" s="55"/>
      <c r="AK514" s="45"/>
      <c r="AL514" s="82"/>
      <c r="AM514" s="82"/>
      <c r="AN514" s="82"/>
      <c r="AO514" s="82"/>
      <c r="AP514" s="82"/>
      <c r="AQ514" s="82"/>
      <c r="AR514" s="82"/>
      <c r="AS514" s="82"/>
      <c r="AT514" s="82"/>
      <c r="AU514" s="82"/>
      <c r="AV514" s="82"/>
      <c r="AW514" s="82"/>
      <c r="AX514" s="82"/>
      <c r="AY514" s="55"/>
      <c r="AZ514" s="56"/>
      <c r="BA514" s="55"/>
      <c r="BB514" s="55"/>
      <c r="BC514" s="55"/>
      <c r="BD514" s="55"/>
      <c r="BE514" s="55"/>
      <c r="BF514" s="55"/>
      <c r="BG514" s="55"/>
      <c r="BH514" s="55"/>
      <c r="BI514" s="55"/>
      <c r="BJ514" s="55"/>
      <c r="BK514" s="55"/>
      <c r="BL514" s="55"/>
      <c r="BM514" s="55"/>
      <c r="BN514" s="55"/>
      <c r="BO514" s="55"/>
      <c r="BP514" s="55"/>
      <c r="BQ514" s="55"/>
      <c r="BR514" s="55"/>
      <c r="BS514" s="55"/>
      <c r="BT514" s="55"/>
      <c r="BU514" s="55"/>
      <c r="BV514" s="55"/>
      <c r="BW514" s="55"/>
      <c r="BX514" s="55"/>
      <c r="BY514" s="55"/>
      <c r="BZ514" s="55"/>
      <c r="CA514" s="55"/>
      <c r="CB514" s="55"/>
      <c r="CC514" s="55"/>
      <c r="CD514" s="55"/>
      <c r="CE514" s="55"/>
      <c r="CF514" s="55"/>
      <c r="CG514" s="55"/>
      <c r="CH514" s="55"/>
      <c r="CI514" s="55"/>
      <c r="CJ514" s="55"/>
      <c r="CK514" s="55"/>
      <c r="CL514" s="55"/>
      <c r="CM514" s="55"/>
      <c r="CN514" s="55"/>
      <c r="CO514" s="55"/>
      <c r="CP514" s="55"/>
      <c r="CQ514" s="55"/>
      <c r="CR514" s="55"/>
      <c r="CS514" s="82"/>
      <c r="CT514" s="45"/>
      <c r="CU514" s="45"/>
      <c r="CV514" s="45"/>
      <c r="CW514" s="45"/>
      <c r="CX514" s="45"/>
      <c r="CY514" s="55"/>
      <c r="CZ514" s="56"/>
      <c r="DA514" s="55"/>
      <c r="DB514" s="55"/>
    </row>
    <row r="515" spans="1:113" s="24" customFormat="1" outlineLevel="1">
      <c r="A515" s="1" t="s">
        <v>333</v>
      </c>
      <c r="B515" s="24" t="s">
        <v>356</v>
      </c>
      <c r="C515" s="82">
        <f t="shared" ref="C515:L515" si="3576">C381+C408+C443+C472+C500</f>
        <v>1148.5</v>
      </c>
      <c r="D515" s="82">
        <f t="shared" si="3576"/>
        <v>1175</v>
      </c>
      <c r="E515" s="82">
        <f t="shared" si="3576"/>
        <v>1292</v>
      </c>
      <c r="F515" s="82">
        <f t="shared" si="3576"/>
        <v>1188</v>
      </c>
      <c r="G515" s="82">
        <f t="shared" si="3576"/>
        <v>1351</v>
      </c>
      <c r="H515" s="82">
        <f t="shared" si="3576"/>
        <v>1201</v>
      </c>
      <c r="I515" s="82">
        <f t="shared" si="3576"/>
        <v>1393</v>
      </c>
      <c r="J515" s="82">
        <f t="shared" si="3576"/>
        <v>1672</v>
      </c>
      <c r="K515" s="82">
        <f t="shared" si="3576"/>
        <v>1689</v>
      </c>
      <c r="L515" s="82">
        <f t="shared" si="3576"/>
        <v>2061</v>
      </c>
      <c r="M515" s="82">
        <f t="shared" ref="M515:AD515" si="3577">M381+M408+M443+M472+M500</f>
        <v>1992</v>
      </c>
      <c r="N515" s="82">
        <f t="shared" si="3577"/>
        <v>2268</v>
      </c>
      <c r="O515" s="82">
        <f t="shared" si="3577"/>
        <v>2204</v>
      </c>
      <c r="P515" s="82">
        <f t="shared" si="3577"/>
        <v>2360</v>
      </c>
      <c r="Q515" s="82">
        <f t="shared" si="3577"/>
        <v>2325</v>
      </c>
      <c r="R515" s="82">
        <f t="shared" si="3577"/>
        <v>1880</v>
      </c>
      <c r="S515" s="82">
        <f t="shared" si="3577"/>
        <v>2371</v>
      </c>
      <c r="T515" s="82">
        <f t="shared" si="3577"/>
        <v>2919</v>
      </c>
      <c r="U515" s="82">
        <f t="shared" si="3577"/>
        <v>3135</v>
      </c>
      <c r="V515" s="82">
        <f t="shared" si="3577"/>
        <v>3313</v>
      </c>
      <c r="W515" s="82">
        <f t="shared" si="3577"/>
        <v>3480</v>
      </c>
      <c r="X515" s="82">
        <f t="shared" si="3577"/>
        <v>3556</v>
      </c>
      <c r="Y515" s="82">
        <f>Y381+Y408+Y443+Y472+Y500</f>
        <v>3515</v>
      </c>
      <c r="Z515" s="82">
        <f>Z381+Z408+Z443+Z472+Z500</f>
        <v>3730</v>
      </c>
      <c r="AA515" s="82">
        <f t="shared" si="3577"/>
        <v>3990</v>
      </c>
      <c r="AB515" s="82">
        <f t="shared" si="3577"/>
        <v>4245</v>
      </c>
      <c r="AC515" s="82">
        <f t="shared" si="3577"/>
        <v>4390</v>
      </c>
      <c r="AD515" s="82">
        <f t="shared" si="3577"/>
        <v>4599</v>
      </c>
      <c r="AE515" s="82">
        <f t="shared" ref="AE515:AK515" si="3578">AE381+AE408+AE443+AE472+AE500</f>
        <v>4486</v>
      </c>
      <c r="AF515" s="82">
        <f t="shared" si="3578"/>
        <v>4776</v>
      </c>
      <c r="AG515" s="82">
        <f t="shared" si="3578"/>
        <v>4619</v>
      </c>
      <c r="AH515" s="82">
        <f t="shared" si="3578"/>
        <v>4828</v>
      </c>
      <c r="AI515" s="82">
        <f t="shared" si="3578"/>
        <v>4827</v>
      </c>
      <c r="AJ515" s="82">
        <f t="shared" si="3578"/>
        <v>4598</v>
      </c>
      <c r="AK515" s="82">
        <f t="shared" si="3578"/>
        <v>4317</v>
      </c>
      <c r="AL515" s="82">
        <f t="shared" ref="AL515:AQ515" si="3579">AL381+AL408+AL443+AL472+AL500</f>
        <v>4512.5931563709537</v>
      </c>
      <c r="AM515" s="82">
        <f t="shared" si="3579"/>
        <v>3708.406843629049</v>
      </c>
      <c r="AN515" s="82">
        <f t="shared" si="3579"/>
        <v>4327</v>
      </c>
      <c r="AO515" s="82">
        <f t="shared" si="3579"/>
        <v>2898</v>
      </c>
      <c r="AP515" s="82">
        <f t="shared" si="3579"/>
        <v>3868</v>
      </c>
      <c r="AQ515" s="82">
        <f t="shared" si="3579"/>
        <v>4785</v>
      </c>
      <c r="AR515" s="82">
        <f t="shared" ref="AR515" si="3580">AR381+AR408+AR443+AR472+AR500</f>
        <v>4746</v>
      </c>
      <c r="AS515" s="82">
        <f t="shared" ref="AS515:AT515" si="3581">AS381+AS408+AS443+AS472+AS500</f>
        <v>4849</v>
      </c>
      <c r="AT515" s="82">
        <f t="shared" si="3581"/>
        <v>5180</v>
      </c>
      <c r="AU515" s="82">
        <f>AU381+AU408+AU443+AU472+AU500</f>
        <v>4892</v>
      </c>
      <c r="AV515" s="82">
        <f>AV381+AV408+AV443+AV472+AV500</f>
        <v>5019</v>
      </c>
      <c r="AW515" s="82">
        <f>AW381+AW408+AW443+AW472+AW500</f>
        <v>4817</v>
      </c>
      <c r="AX515" s="82">
        <f>AX381+AX408+AX443+AX472+AX500</f>
        <v>5132</v>
      </c>
      <c r="AY515" s="82">
        <f t="shared" ref="AY515:BE515" si="3582">AY381+AY408+AY443+AY472+AY500</f>
        <v>5119.9999999999982</v>
      </c>
      <c r="AZ515" s="83">
        <f>AZ381+AZ408+AZ443+AZ472+AZ500</f>
        <v>5445</v>
      </c>
      <c r="BA515" s="82">
        <f t="shared" si="3582"/>
        <v>5625.6840638307367</v>
      </c>
      <c r="BB515" s="82">
        <f t="shared" si="3582"/>
        <v>5758.6319266536393</v>
      </c>
      <c r="BC515" s="82">
        <f t="shared" si="3582"/>
        <v>5746.8596543950407</v>
      </c>
      <c r="BD515" s="82">
        <f t="shared" si="3582"/>
        <v>5792.7715355671517</v>
      </c>
      <c r="BE515" s="82">
        <f t="shared" si="3582"/>
        <v>5959.9388526669409</v>
      </c>
      <c r="BF515" s="82">
        <f t="shared" ref="BF515:BM515" si="3583">BF381+BF408+BF443+BF472+BF500</f>
        <v>6155.0271683031442</v>
      </c>
      <c r="BG515" s="82">
        <f t="shared" si="3583"/>
        <v>6268.383122056197</v>
      </c>
      <c r="BH515" s="82">
        <f t="shared" si="3583"/>
        <v>6432.36449871471</v>
      </c>
      <c r="BI515" s="82">
        <f t="shared" si="3583"/>
        <v>6453.6378299357511</v>
      </c>
      <c r="BJ515" s="82">
        <f t="shared" si="3583"/>
        <v>6516.2965499839902</v>
      </c>
      <c r="BK515" s="82">
        <f t="shared" si="3583"/>
        <v>6405.4470325453312</v>
      </c>
      <c r="BL515" s="82">
        <f t="shared" si="3583"/>
        <v>6519.4724320990208</v>
      </c>
      <c r="BM515" s="82">
        <f t="shared" si="3583"/>
        <v>6514.6168170682695</v>
      </c>
      <c r="BN515" s="82">
        <f t="shared" ref="BN515:BO515" si="3584">BN381+BN408+BN443+BN472+BN500</f>
        <v>6713.6073359828752</v>
      </c>
      <c r="BO515" s="82">
        <f t="shared" si="3584"/>
        <v>6701.0724439693104</v>
      </c>
      <c r="BP515" s="82">
        <f t="shared" ref="BP515:BQ515" si="3585">BP381+BP408+BP443+BP472+BP500</f>
        <v>6928.0811587323205</v>
      </c>
      <c r="BQ515" s="82">
        <f t="shared" si="3585"/>
        <v>6915.5301613732972</v>
      </c>
      <c r="BR515" s="82"/>
      <c r="BS515" s="82">
        <f t="shared" ref="BS515:CB515" si="3586">BS381+BS408+BS443+BS472+BS500</f>
        <v>408.9</v>
      </c>
      <c r="BT515" s="82">
        <f t="shared" si="3586"/>
        <v>579</v>
      </c>
      <c r="BU515" s="82">
        <f t="shared" si="3586"/>
        <v>682</v>
      </c>
      <c r="BV515" s="82">
        <f t="shared" si="3586"/>
        <v>1011</v>
      </c>
      <c r="BW515" s="82">
        <f t="shared" si="3586"/>
        <v>1119</v>
      </c>
      <c r="BX515" s="82">
        <f t="shared" si="3586"/>
        <v>1249</v>
      </c>
      <c r="BY515" s="82">
        <f>BY381+BY408+BY443+BY472+BY500</f>
        <v>1297</v>
      </c>
      <c r="BZ515" s="82">
        <f t="shared" si="3586"/>
        <v>1469</v>
      </c>
      <c r="CA515" s="82">
        <f t="shared" si="3586"/>
        <v>1678</v>
      </c>
      <c r="CB515" s="82">
        <f t="shared" si="3586"/>
        <v>2253</v>
      </c>
      <c r="CC515" s="82">
        <f t="shared" ref="CC515:CR515" si="3587">CC381+CC408+CC443+CC472+CC500</f>
        <v>2467</v>
      </c>
      <c r="CD515" s="82">
        <f t="shared" si="3587"/>
        <v>2539</v>
      </c>
      <c r="CE515" s="82">
        <f t="shared" si="3587"/>
        <v>2594</v>
      </c>
      <c r="CF515" s="82">
        <f t="shared" si="3587"/>
        <v>3361</v>
      </c>
      <c r="CG515" s="82">
        <f t="shared" si="3587"/>
        <v>4053</v>
      </c>
      <c r="CH515" s="82">
        <f t="shared" si="3587"/>
        <v>4472</v>
      </c>
      <c r="CI515" s="82">
        <f t="shared" si="3587"/>
        <v>4685</v>
      </c>
      <c r="CJ515" s="82">
        <f t="shared" si="3587"/>
        <v>4251</v>
      </c>
      <c r="CK515" s="82">
        <f t="shared" si="3587"/>
        <v>6054</v>
      </c>
      <c r="CL515" s="82">
        <f t="shared" si="3587"/>
        <v>6793</v>
      </c>
      <c r="CM515" s="82">
        <f t="shared" si="3587"/>
        <v>7071</v>
      </c>
      <c r="CN515" s="82">
        <f t="shared" si="3587"/>
        <v>7720</v>
      </c>
      <c r="CO515" s="82">
        <f t="shared" si="3587"/>
        <v>8635</v>
      </c>
      <c r="CP515" s="82">
        <f t="shared" si="3587"/>
        <v>9085</v>
      </c>
      <c r="CQ515" s="82">
        <f t="shared" si="3587"/>
        <v>9395</v>
      </c>
      <c r="CR515" s="82">
        <f t="shared" si="3587"/>
        <v>9655</v>
      </c>
      <c r="CS515" s="82">
        <f t="shared" ref="CS515:DC515" si="3588">CS381+CS408+CS443+CS472+CS500</f>
        <v>8915</v>
      </c>
      <c r="CT515" s="82">
        <f t="shared" si="3588"/>
        <v>8221</v>
      </c>
      <c r="CU515" s="82">
        <f t="shared" si="3588"/>
        <v>7225</v>
      </c>
      <c r="CV515" s="82">
        <f t="shared" si="3588"/>
        <v>8653</v>
      </c>
      <c r="CW515" s="82">
        <f t="shared" si="3588"/>
        <v>9595</v>
      </c>
      <c r="CX515" s="82">
        <f t="shared" si="3588"/>
        <v>10072</v>
      </c>
      <c r="CY515" s="82">
        <f t="shared" si="3588"/>
        <v>9836</v>
      </c>
      <c r="CZ515" s="83">
        <f t="shared" si="3588"/>
        <v>10252</v>
      </c>
      <c r="DA515" s="82">
        <f t="shared" si="3588"/>
        <v>11070.684063830735</v>
      </c>
      <c r="DB515" s="82">
        <f>DB381+DB408+DB443+DB472+DB500</f>
        <v>11505.491581048682</v>
      </c>
      <c r="DC515" s="82">
        <f t="shared" si="3588"/>
        <v>11752.710388234094</v>
      </c>
      <c r="DD515" s="82">
        <f t="shared" ref="DD515:DI515" si="3589">DD381+DD408+DD443+DD472+DD500</f>
        <v>12423.410290359334</v>
      </c>
      <c r="DE515" s="82">
        <f t="shared" si="3589"/>
        <v>12886.002328650458</v>
      </c>
      <c r="DF515" s="82">
        <f t="shared" si="3589"/>
        <v>12921.743582529325</v>
      </c>
      <c r="DG515" s="82">
        <f t="shared" si="3589"/>
        <v>13034.089249167291</v>
      </c>
      <c r="DH515" s="82">
        <f t="shared" si="3589"/>
        <v>13414.679779952181</v>
      </c>
      <c r="DI515" s="82">
        <f t="shared" si="3589"/>
        <v>13843.611320105616</v>
      </c>
    </row>
    <row r="516" spans="1:113" outlineLevel="2">
      <c r="A516" s="1" t="s">
        <v>397</v>
      </c>
      <c r="B516" s="19" t="s">
        <v>854</v>
      </c>
      <c r="C516" s="55">
        <f>C386</f>
        <v>0</v>
      </c>
      <c r="D516" s="55">
        <f>D386</f>
        <v>0</v>
      </c>
      <c r="E516" s="55">
        <f t="shared" ref="E516:L516" si="3590">E386</f>
        <v>0</v>
      </c>
      <c r="F516" s="55">
        <f t="shared" si="3590"/>
        <v>0</v>
      </c>
      <c r="G516" s="55">
        <f t="shared" si="3590"/>
        <v>0</v>
      </c>
      <c r="H516" s="55">
        <f t="shared" si="3590"/>
        <v>0</v>
      </c>
      <c r="I516" s="55">
        <f t="shared" si="3590"/>
        <v>0</v>
      </c>
      <c r="J516" s="55">
        <f t="shared" si="3590"/>
        <v>0</v>
      </c>
      <c r="K516" s="55">
        <f t="shared" si="3590"/>
        <v>0</v>
      </c>
      <c r="L516" s="55">
        <f t="shared" si="3590"/>
        <v>0</v>
      </c>
      <c r="M516" s="55">
        <f t="shared" ref="M516:U516" si="3591">M386</f>
        <v>0</v>
      </c>
      <c r="N516" s="55">
        <f t="shared" si="3591"/>
        <v>0</v>
      </c>
      <c r="O516" s="55">
        <f t="shared" si="3591"/>
        <v>0</v>
      </c>
      <c r="P516" s="55">
        <f t="shared" si="3591"/>
        <v>0</v>
      </c>
      <c r="Q516" s="55">
        <f t="shared" si="3591"/>
        <v>0</v>
      </c>
      <c r="R516" s="55">
        <f t="shared" si="3591"/>
        <v>0</v>
      </c>
      <c r="S516" s="55">
        <f t="shared" si="3591"/>
        <v>0</v>
      </c>
      <c r="T516" s="55">
        <f t="shared" si="3591"/>
        <v>0</v>
      </c>
      <c r="U516" s="55">
        <f t="shared" si="3591"/>
        <v>0</v>
      </c>
      <c r="V516" s="55">
        <f t="shared" ref="V516:AK516" si="3592">V386</f>
        <v>0</v>
      </c>
      <c r="W516" s="55">
        <f t="shared" si="3592"/>
        <v>0</v>
      </c>
      <c r="X516" s="55">
        <f t="shared" si="3592"/>
        <v>0</v>
      </c>
      <c r="Y516" s="55">
        <f t="shared" si="3592"/>
        <v>0</v>
      </c>
      <c r="Z516" s="55">
        <f t="shared" si="3592"/>
        <v>0</v>
      </c>
      <c r="AA516" s="55">
        <f t="shared" si="3592"/>
        <v>0</v>
      </c>
      <c r="AB516" s="55">
        <f t="shared" si="3592"/>
        <v>0</v>
      </c>
      <c r="AC516" s="55">
        <f t="shared" si="3592"/>
        <v>0</v>
      </c>
      <c r="AD516" s="55">
        <f t="shared" si="3592"/>
        <v>0</v>
      </c>
      <c r="AE516" s="55">
        <f t="shared" si="3592"/>
        <v>0</v>
      </c>
      <c r="AF516" s="55">
        <f t="shared" si="3592"/>
        <v>0</v>
      </c>
      <c r="AG516" s="55">
        <f t="shared" si="3592"/>
        <v>0</v>
      </c>
      <c r="AH516" s="55">
        <f t="shared" si="3592"/>
        <v>0</v>
      </c>
      <c r="AI516" s="55">
        <f t="shared" si="3592"/>
        <v>0</v>
      </c>
      <c r="AJ516" s="55">
        <f t="shared" si="3592"/>
        <v>0</v>
      </c>
      <c r="AK516" s="55">
        <f t="shared" si="3592"/>
        <v>0</v>
      </c>
      <c r="AL516" s="55">
        <f t="shared" ref="AL516:AQ516" si="3593">AL386</f>
        <v>0</v>
      </c>
      <c r="AM516" s="55">
        <f t="shared" si="3593"/>
        <v>0</v>
      </c>
      <c r="AN516" s="55">
        <f t="shared" si="3593"/>
        <v>0</v>
      </c>
      <c r="AO516" s="55">
        <f t="shared" si="3593"/>
        <v>0</v>
      </c>
      <c r="AP516" s="55">
        <f t="shared" si="3593"/>
        <v>0</v>
      </c>
      <c r="AQ516" s="55">
        <f t="shared" si="3593"/>
        <v>0</v>
      </c>
      <c r="AR516" s="55">
        <f t="shared" ref="AR516" si="3594">AR386</f>
        <v>0</v>
      </c>
      <c r="AS516" s="55">
        <f t="shared" ref="AS516:AT516" si="3595">AS386</f>
        <v>0</v>
      </c>
      <c r="AT516" s="55">
        <f t="shared" si="3595"/>
        <v>0</v>
      </c>
      <c r="AU516" s="55">
        <f t="shared" ref="AU516:AV516" si="3596">AU386</f>
        <v>0</v>
      </c>
      <c r="AV516" s="55">
        <f t="shared" si="3596"/>
        <v>0</v>
      </c>
      <c r="AW516" s="55">
        <f t="shared" ref="AW516:AX516" si="3597">AW386</f>
        <v>0</v>
      </c>
      <c r="AX516" s="55">
        <f t="shared" si="3597"/>
        <v>0</v>
      </c>
      <c r="AY516" s="55">
        <f t="shared" ref="AY516:BE516" si="3598">AY386</f>
        <v>0</v>
      </c>
      <c r="AZ516" s="56">
        <f t="shared" si="3598"/>
        <v>0</v>
      </c>
      <c r="BA516" s="55">
        <f t="shared" si="3598"/>
        <v>0</v>
      </c>
      <c r="BB516" s="55">
        <f t="shared" si="3598"/>
        <v>0</v>
      </c>
      <c r="BC516" s="55">
        <f t="shared" si="3598"/>
        <v>0</v>
      </c>
      <c r="BD516" s="55">
        <f t="shared" si="3598"/>
        <v>0</v>
      </c>
      <c r="BE516" s="55">
        <f t="shared" si="3598"/>
        <v>0</v>
      </c>
      <c r="BF516" s="55">
        <f t="shared" ref="BF516:BM516" si="3599">BF386</f>
        <v>0</v>
      </c>
      <c r="BG516" s="55">
        <f t="shared" si="3599"/>
        <v>0</v>
      </c>
      <c r="BH516" s="55">
        <f t="shared" si="3599"/>
        <v>0</v>
      </c>
      <c r="BI516" s="55">
        <f t="shared" si="3599"/>
        <v>0</v>
      </c>
      <c r="BJ516" s="55">
        <f t="shared" si="3599"/>
        <v>0</v>
      </c>
      <c r="BK516" s="55">
        <f t="shared" si="3599"/>
        <v>0</v>
      </c>
      <c r="BL516" s="55">
        <f t="shared" si="3599"/>
        <v>0</v>
      </c>
      <c r="BM516" s="55">
        <f t="shared" si="3599"/>
        <v>0</v>
      </c>
      <c r="BN516" s="55">
        <f t="shared" ref="BN516:BO516" si="3600">BN386</f>
        <v>0</v>
      </c>
      <c r="BO516" s="55">
        <f t="shared" si="3600"/>
        <v>0</v>
      </c>
      <c r="BP516" s="55">
        <f t="shared" ref="BP516:BQ516" si="3601">BP386</f>
        <v>0</v>
      </c>
      <c r="BQ516" s="55">
        <f t="shared" si="3601"/>
        <v>0</v>
      </c>
      <c r="BR516" s="55"/>
      <c r="BS516" s="55">
        <f t="shared" ref="BS516:CB516" si="3602">BS386</f>
        <v>0</v>
      </c>
      <c r="BT516" s="55">
        <f t="shared" si="3602"/>
        <v>0</v>
      </c>
      <c r="BU516" s="55">
        <f t="shared" si="3602"/>
        <v>0</v>
      </c>
      <c r="BV516" s="55">
        <f t="shared" si="3602"/>
        <v>0</v>
      </c>
      <c r="BW516" s="55">
        <f t="shared" si="3602"/>
        <v>0</v>
      </c>
      <c r="BX516" s="55">
        <f t="shared" si="3602"/>
        <v>0</v>
      </c>
      <c r="BY516" s="55">
        <f t="shared" si="3602"/>
        <v>0</v>
      </c>
      <c r="BZ516" s="55">
        <f t="shared" si="3602"/>
        <v>0</v>
      </c>
      <c r="CA516" s="55">
        <f t="shared" si="3602"/>
        <v>0</v>
      </c>
      <c r="CB516" s="55">
        <f t="shared" si="3602"/>
        <v>0</v>
      </c>
      <c r="CC516" s="55">
        <f t="shared" ref="CC516:CC529" si="3603">SUM(D516:E516)</f>
        <v>0</v>
      </c>
      <c r="CD516" s="55">
        <f t="shared" ref="CD516:CD529" si="3604">SUM(F516:G516)</f>
        <v>0</v>
      </c>
      <c r="CE516" s="55">
        <f t="shared" ref="CE516:CE529" si="3605">SUM(H516:I516)</f>
        <v>0</v>
      </c>
      <c r="CF516" s="55">
        <f t="shared" ref="CF516:CF529" si="3606">SUM(J516:K516)</f>
        <v>0</v>
      </c>
      <c r="CG516" s="55">
        <f t="shared" ref="CG516:CG529" si="3607">SUM(L516:M516)</f>
        <v>0</v>
      </c>
      <c r="CH516" s="55">
        <f t="shared" ref="CH516:CH529" si="3608">SUM(N516:O516)</f>
        <v>0</v>
      </c>
      <c r="CI516" s="55">
        <f t="shared" ref="CI516:CI529" si="3609">SUM(P516:Q516)</f>
        <v>0</v>
      </c>
      <c r="CJ516" s="55">
        <f t="shared" ref="CJ516:CJ529" si="3610">SUM(R516:S516)</f>
        <v>0</v>
      </c>
      <c r="CK516" s="55">
        <f t="shared" ref="CK516:CK529" si="3611">SUM(T516:U516)</f>
        <v>0</v>
      </c>
      <c r="CL516" s="55">
        <f t="shared" ref="CL516:CL529" si="3612">SUM(V516:W516)</f>
        <v>0</v>
      </c>
      <c r="CM516" s="55">
        <f t="shared" ref="CM516:CM529" si="3613">SUM(X516:Y516)</f>
        <v>0</v>
      </c>
      <c r="CN516" s="55">
        <f t="shared" ref="CN516:CN529" si="3614">SUM(Z516:AA516)</f>
        <v>0</v>
      </c>
      <c r="CO516" s="55">
        <f t="shared" ref="CO516:CO529" si="3615">SUM(AB516:AC516)</f>
        <v>0</v>
      </c>
      <c r="CP516" s="55">
        <f t="shared" ref="CP516:CP529" si="3616">SUM(AD516:AE516)</f>
        <v>0</v>
      </c>
      <c r="CQ516" s="55">
        <f t="shared" ref="CQ516:CQ529" si="3617">SUM(AF516:AG516)</f>
        <v>0</v>
      </c>
      <c r="CR516" s="55">
        <f t="shared" ref="CR516:CR529" si="3618">SUM(AH516:AI516)</f>
        <v>0</v>
      </c>
      <c r="CS516" s="55">
        <f t="shared" ref="CS516:CS529" si="3619">SUM(AJ516:AK516)</f>
        <v>0</v>
      </c>
      <c r="CT516" s="55">
        <f t="shared" ref="CT516:CT529" si="3620">SUM(AL516:AM516)</f>
        <v>0</v>
      </c>
      <c r="CU516" s="55">
        <f t="shared" ref="CU516:CU529" si="3621">SUM(AN516:AO516)</f>
        <v>0</v>
      </c>
      <c r="CV516" s="55">
        <f t="shared" ref="CV516:CV529" si="3622">SUM(AP516:AQ516)</f>
        <v>0</v>
      </c>
      <c r="CW516" s="55">
        <f t="shared" ref="CW516:CW529" si="3623">SUM(AR516:AS516)</f>
        <v>0</v>
      </c>
      <c r="CX516" s="55">
        <f t="shared" ref="CX516:CX529" si="3624">SUM(AT516:AU516)</f>
        <v>0</v>
      </c>
      <c r="CY516" s="55">
        <f t="shared" ref="CY516:CY529" si="3625">SUM(AV516:AW516)</f>
        <v>0</v>
      </c>
      <c r="CZ516" s="56">
        <f t="shared" ref="CZ516:CZ529" si="3626">SUM(AX516:AY516)</f>
        <v>0</v>
      </c>
      <c r="DA516" s="55">
        <f t="shared" ref="DA516:DA529" si="3627">SUM(AZ516:BA516)</f>
        <v>0</v>
      </c>
      <c r="DB516" s="55">
        <f t="shared" ref="DB516:DB529" si="3628">SUM(BB516:BC516)</f>
        <v>0</v>
      </c>
      <c r="DC516" s="55">
        <f t="shared" ref="DC516:DC529" si="3629">SUM(BD516:BE516)</f>
        <v>0</v>
      </c>
      <c r="DD516" s="55">
        <f t="shared" ref="DD516:DD529" si="3630">SUM(BF516:BG516)</f>
        <v>0</v>
      </c>
      <c r="DE516" s="55">
        <f t="shared" ref="DE516:DE529" si="3631">SUM(BH516:BI516)</f>
        <v>0</v>
      </c>
      <c r="DF516" s="55">
        <f t="shared" ref="DF516:DF529" si="3632">SUM(BJ516:BK516)</f>
        <v>0</v>
      </c>
      <c r="DG516" s="55">
        <f t="shared" ref="DG516:DG529" si="3633">SUM(BL516:BM516)</f>
        <v>0</v>
      </c>
      <c r="DH516" s="55">
        <f t="shared" ref="DH516:DH529" si="3634">SUM(BN516:BO516)</f>
        <v>0</v>
      </c>
      <c r="DI516" s="55">
        <f t="shared" ref="DI516:DI529" si="3635">SUM(BP516:BQ516)</f>
        <v>0</v>
      </c>
    </row>
    <row r="517" spans="1:113" outlineLevel="2">
      <c r="A517" s="1" t="s">
        <v>398</v>
      </c>
      <c r="B517" s="19" t="s">
        <v>445</v>
      </c>
      <c r="C517" s="55">
        <f t="shared" ref="C517:L517" si="3636">C413</f>
        <v>0</v>
      </c>
      <c r="D517" s="55">
        <f t="shared" si="3636"/>
        <v>0</v>
      </c>
      <c r="E517" s="55">
        <f t="shared" si="3636"/>
        <v>0</v>
      </c>
      <c r="F517" s="55">
        <f t="shared" si="3636"/>
        <v>0</v>
      </c>
      <c r="G517" s="55">
        <f t="shared" si="3636"/>
        <v>0</v>
      </c>
      <c r="H517" s="55">
        <f t="shared" si="3636"/>
        <v>0</v>
      </c>
      <c r="I517" s="55">
        <f t="shared" si="3636"/>
        <v>0</v>
      </c>
      <c r="J517" s="55">
        <f t="shared" si="3636"/>
        <v>0</v>
      </c>
      <c r="K517" s="55">
        <f t="shared" si="3636"/>
        <v>0</v>
      </c>
      <c r="L517" s="55">
        <f t="shared" si="3636"/>
        <v>0</v>
      </c>
      <c r="M517" s="55">
        <f t="shared" ref="M517:U517" si="3637">M413</f>
        <v>0</v>
      </c>
      <c r="N517" s="55">
        <f t="shared" si="3637"/>
        <v>0</v>
      </c>
      <c r="O517" s="55">
        <f t="shared" si="3637"/>
        <v>0</v>
      </c>
      <c r="P517" s="55">
        <f t="shared" si="3637"/>
        <v>0</v>
      </c>
      <c r="Q517" s="55">
        <f t="shared" si="3637"/>
        <v>0</v>
      </c>
      <c r="R517" s="55">
        <f t="shared" si="3637"/>
        <v>0</v>
      </c>
      <c r="S517" s="55">
        <f t="shared" si="3637"/>
        <v>0</v>
      </c>
      <c r="T517" s="55">
        <f t="shared" si="3637"/>
        <v>0</v>
      </c>
      <c r="U517" s="55">
        <f t="shared" si="3637"/>
        <v>0</v>
      </c>
      <c r="V517" s="55">
        <f t="shared" ref="V517:AK517" si="3638">V413</f>
        <v>0</v>
      </c>
      <c r="W517" s="55">
        <f t="shared" si="3638"/>
        <v>0</v>
      </c>
      <c r="X517" s="55">
        <f t="shared" si="3638"/>
        <v>0</v>
      </c>
      <c r="Y517" s="55">
        <f t="shared" si="3638"/>
        <v>0</v>
      </c>
      <c r="Z517" s="55">
        <f t="shared" si="3638"/>
        <v>0</v>
      </c>
      <c r="AA517" s="55">
        <f t="shared" si="3638"/>
        <v>0</v>
      </c>
      <c r="AB517" s="55">
        <f t="shared" si="3638"/>
        <v>0</v>
      </c>
      <c r="AC517" s="55">
        <f t="shared" si="3638"/>
        <v>0</v>
      </c>
      <c r="AD517" s="55">
        <f t="shared" si="3638"/>
        <v>0</v>
      </c>
      <c r="AE517" s="55">
        <f t="shared" si="3638"/>
        <v>0</v>
      </c>
      <c r="AF517" s="55">
        <f t="shared" si="3638"/>
        <v>0</v>
      </c>
      <c r="AG517" s="55">
        <f t="shared" si="3638"/>
        <v>0</v>
      </c>
      <c r="AH517" s="55">
        <f t="shared" si="3638"/>
        <v>0</v>
      </c>
      <c r="AI517" s="55">
        <f t="shared" si="3638"/>
        <v>0</v>
      </c>
      <c r="AJ517" s="55">
        <f t="shared" si="3638"/>
        <v>0</v>
      </c>
      <c r="AK517" s="55">
        <f t="shared" si="3638"/>
        <v>0</v>
      </c>
      <c r="AL517" s="55">
        <f t="shared" ref="AL517:AQ517" si="3639">AL413</f>
        <v>0</v>
      </c>
      <c r="AM517" s="55">
        <f t="shared" si="3639"/>
        <v>0</v>
      </c>
      <c r="AN517" s="55">
        <f t="shared" si="3639"/>
        <v>0</v>
      </c>
      <c r="AO517" s="55">
        <f t="shared" si="3639"/>
        <v>0</v>
      </c>
      <c r="AP517" s="55">
        <f t="shared" si="3639"/>
        <v>0</v>
      </c>
      <c r="AQ517" s="55">
        <f t="shared" si="3639"/>
        <v>0</v>
      </c>
      <c r="AR517" s="55">
        <f t="shared" ref="AR517" si="3640">AR413</f>
        <v>0</v>
      </c>
      <c r="AS517" s="55">
        <f t="shared" ref="AS517:AT517" si="3641">AS413</f>
        <v>0</v>
      </c>
      <c r="AT517" s="55">
        <f t="shared" si="3641"/>
        <v>0</v>
      </c>
      <c r="AU517" s="55">
        <f t="shared" ref="AU517:AV517" si="3642">AU413</f>
        <v>0</v>
      </c>
      <c r="AV517" s="55">
        <f t="shared" si="3642"/>
        <v>0</v>
      </c>
      <c r="AW517" s="55">
        <f t="shared" ref="AW517:AX517" si="3643">AW413</f>
        <v>0</v>
      </c>
      <c r="AX517" s="55">
        <f t="shared" si="3643"/>
        <v>0</v>
      </c>
      <c r="AY517" s="55">
        <f t="shared" ref="AY517:BE517" si="3644">AY413</f>
        <v>0</v>
      </c>
      <c r="AZ517" s="56">
        <f t="shared" si="3644"/>
        <v>0</v>
      </c>
      <c r="BA517" s="55">
        <f t="shared" si="3644"/>
        <v>0</v>
      </c>
      <c r="BB517" s="55">
        <f t="shared" si="3644"/>
        <v>0</v>
      </c>
      <c r="BC517" s="55">
        <f t="shared" si="3644"/>
        <v>0</v>
      </c>
      <c r="BD517" s="55">
        <f t="shared" si="3644"/>
        <v>0</v>
      </c>
      <c r="BE517" s="55">
        <f t="shared" si="3644"/>
        <v>0</v>
      </c>
      <c r="BF517" s="55">
        <f t="shared" ref="BF517:BM517" si="3645">BF413</f>
        <v>0</v>
      </c>
      <c r="BG517" s="55">
        <f t="shared" si="3645"/>
        <v>0</v>
      </c>
      <c r="BH517" s="55">
        <f t="shared" si="3645"/>
        <v>0</v>
      </c>
      <c r="BI517" s="55">
        <f t="shared" si="3645"/>
        <v>0</v>
      </c>
      <c r="BJ517" s="55">
        <f t="shared" si="3645"/>
        <v>0</v>
      </c>
      <c r="BK517" s="55">
        <f t="shared" si="3645"/>
        <v>0</v>
      </c>
      <c r="BL517" s="55">
        <f t="shared" si="3645"/>
        <v>0</v>
      </c>
      <c r="BM517" s="55">
        <f t="shared" si="3645"/>
        <v>0</v>
      </c>
      <c r="BN517" s="55">
        <f t="shared" ref="BN517:BO517" si="3646">BN413</f>
        <v>0</v>
      </c>
      <c r="BO517" s="55">
        <f t="shared" si="3646"/>
        <v>0</v>
      </c>
      <c r="BP517" s="55">
        <f t="shared" ref="BP517:BQ517" si="3647">BP413</f>
        <v>0</v>
      </c>
      <c r="BQ517" s="55">
        <f t="shared" si="3647"/>
        <v>0</v>
      </c>
      <c r="BR517" s="55"/>
      <c r="BS517" s="55">
        <f t="shared" ref="BS517:CB517" si="3648">BS413</f>
        <v>0</v>
      </c>
      <c r="BT517" s="55">
        <f t="shared" si="3648"/>
        <v>0</v>
      </c>
      <c r="BU517" s="55">
        <f t="shared" si="3648"/>
        <v>0</v>
      </c>
      <c r="BV517" s="55">
        <f t="shared" si="3648"/>
        <v>0</v>
      </c>
      <c r="BW517" s="55">
        <f t="shared" si="3648"/>
        <v>0</v>
      </c>
      <c r="BX517" s="55">
        <f t="shared" si="3648"/>
        <v>0</v>
      </c>
      <c r="BY517" s="55">
        <f t="shared" si="3648"/>
        <v>0</v>
      </c>
      <c r="BZ517" s="55">
        <f t="shared" si="3648"/>
        <v>0</v>
      </c>
      <c r="CA517" s="55">
        <f t="shared" si="3648"/>
        <v>0</v>
      </c>
      <c r="CB517" s="55">
        <f t="shared" si="3648"/>
        <v>0</v>
      </c>
      <c r="CC517" s="55">
        <f t="shared" si="3603"/>
        <v>0</v>
      </c>
      <c r="CD517" s="55">
        <f t="shared" si="3604"/>
        <v>0</v>
      </c>
      <c r="CE517" s="55">
        <f t="shared" si="3605"/>
        <v>0</v>
      </c>
      <c r="CF517" s="55">
        <f t="shared" si="3606"/>
        <v>0</v>
      </c>
      <c r="CG517" s="55">
        <f t="shared" si="3607"/>
        <v>0</v>
      </c>
      <c r="CH517" s="55">
        <f t="shared" si="3608"/>
        <v>0</v>
      </c>
      <c r="CI517" s="55">
        <f t="shared" si="3609"/>
        <v>0</v>
      </c>
      <c r="CJ517" s="55">
        <f t="shared" si="3610"/>
        <v>0</v>
      </c>
      <c r="CK517" s="55">
        <f t="shared" si="3611"/>
        <v>0</v>
      </c>
      <c r="CL517" s="55">
        <f t="shared" si="3612"/>
        <v>0</v>
      </c>
      <c r="CM517" s="55">
        <f t="shared" si="3613"/>
        <v>0</v>
      </c>
      <c r="CN517" s="55">
        <f t="shared" si="3614"/>
        <v>0</v>
      </c>
      <c r="CO517" s="55">
        <f t="shared" si="3615"/>
        <v>0</v>
      </c>
      <c r="CP517" s="55">
        <f t="shared" si="3616"/>
        <v>0</v>
      </c>
      <c r="CQ517" s="55">
        <f t="shared" si="3617"/>
        <v>0</v>
      </c>
      <c r="CR517" s="55">
        <f t="shared" si="3618"/>
        <v>0</v>
      </c>
      <c r="CS517" s="55">
        <f t="shared" si="3619"/>
        <v>0</v>
      </c>
      <c r="CT517" s="55">
        <f t="shared" si="3620"/>
        <v>0</v>
      </c>
      <c r="CU517" s="55">
        <f t="shared" si="3621"/>
        <v>0</v>
      </c>
      <c r="CV517" s="55">
        <f t="shared" si="3622"/>
        <v>0</v>
      </c>
      <c r="CW517" s="55">
        <f t="shared" si="3623"/>
        <v>0</v>
      </c>
      <c r="CX517" s="55">
        <f t="shared" si="3624"/>
        <v>0</v>
      </c>
      <c r="CY517" s="55">
        <f t="shared" si="3625"/>
        <v>0</v>
      </c>
      <c r="CZ517" s="56">
        <f t="shared" si="3626"/>
        <v>0</v>
      </c>
      <c r="DA517" s="55">
        <f t="shared" si="3627"/>
        <v>0</v>
      </c>
      <c r="DB517" s="55">
        <f t="shared" si="3628"/>
        <v>0</v>
      </c>
      <c r="DC517" s="55">
        <f t="shared" si="3629"/>
        <v>0</v>
      </c>
      <c r="DD517" s="55">
        <f t="shared" si="3630"/>
        <v>0</v>
      </c>
      <c r="DE517" s="55">
        <f t="shared" si="3631"/>
        <v>0</v>
      </c>
      <c r="DF517" s="55">
        <f t="shared" si="3632"/>
        <v>0</v>
      </c>
      <c r="DG517" s="55">
        <f t="shared" si="3633"/>
        <v>0</v>
      </c>
      <c r="DH517" s="55">
        <f t="shared" si="3634"/>
        <v>0</v>
      </c>
      <c r="DI517" s="55">
        <f t="shared" si="3635"/>
        <v>0</v>
      </c>
    </row>
    <row r="518" spans="1:113" outlineLevel="2">
      <c r="A518" s="1" t="s">
        <v>330</v>
      </c>
      <c r="B518" s="19" t="s">
        <v>369</v>
      </c>
      <c r="C518" s="55">
        <f t="shared" ref="C518:L518" si="3649">C448</f>
        <v>0</v>
      </c>
      <c r="D518" s="55">
        <f t="shared" si="3649"/>
        <v>0</v>
      </c>
      <c r="E518" s="55">
        <f t="shared" si="3649"/>
        <v>0</v>
      </c>
      <c r="F518" s="55">
        <f t="shared" si="3649"/>
        <v>0</v>
      </c>
      <c r="G518" s="55">
        <f t="shared" si="3649"/>
        <v>0</v>
      </c>
      <c r="H518" s="55">
        <f t="shared" si="3649"/>
        <v>0</v>
      </c>
      <c r="I518" s="55">
        <f t="shared" si="3649"/>
        <v>0</v>
      </c>
      <c r="J518" s="55">
        <f t="shared" si="3649"/>
        <v>0</v>
      </c>
      <c r="K518" s="55">
        <f t="shared" si="3649"/>
        <v>0</v>
      </c>
      <c r="L518" s="55">
        <f t="shared" si="3649"/>
        <v>0</v>
      </c>
      <c r="M518" s="55">
        <f t="shared" ref="M518:U518" si="3650">M448</f>
        <v>0</v>
      </c>
      <c r="N518" s="55">
        <f t="shared" si="3650"/>
        <v>0</v>
      </c>
      <c r="O518" s="55">
        <f t="shared" si="3650"/>
        <v>0</v>
      </c>
      <c r="P518" s="55">
        <f t="shared" si="3650"/>
        <v>0</v>
      </c>
      <c r="Q518" s="55">
        <f t="shared" si="3650"/>
        <v>0</v>
      </c>
      <c r="R518" s="55">
        <f t="shared" si="3650"/>
        <v>0</v>
      </c>
      <c r="S518" s="55">
        <f t="shared" si="3650"/>
        <v>0</v>
      </c>
      <c r="T518" s="55">
        <f t="shared" si="3650"/>
        <v>0</v>
      </c>
      <c r="U518" s="55">
        <f t="shared" si="3650"/>
        <v>0</v>
      </c>
      <c r="V518" s="55">
        <f t="shared" ref="V518:AK518" si="3651">V448</f>
        <v>0</v>
      </c>
      <c r="W518" s="55">
        <f t="shared" si="3651"/>
        <v>0</v>
      </c>
      <c r="X518" s="55">
        <f t="shared" si="3651"/>
        <v>0</v>
      </c>
      <c r="Y518" s="55">
        <f t="shared" si="3651"/>
        <v>0</v>
      </c>
      <c r="Z518" s="55">
        <f t="shared" si="3651"/>
        <v>0</v>
      </c>
      <c r="AA518" s="55">
        <f t="shared" si="3651"/>
        <v>0</v>
      </c>
      <c r="AB518" s="55">
        <f t="shared" si="3651"/>
        <v>0</v>
      </c>
      <c r="AC518" s="55">
        <f t="shared" si="3651"/>
        <v>0</v>
      </c>
      <c r="AD518" s="55">
        <f t="shared" si="3651"/>
        <v>0</v>
      </c>
      <c r="AE518" s="55">
        <f t="shared" si="3651"/>
        <v>0</v>
      </c>
      <c r="AF518" s="55">
        <f t="shared" si="3651"/>
        <v>0</v>
      </c>
      <c r="AG518" s="55">
        <f t="shared" si="3651"/>
        <v>0</v>
      </c>
      <c r="AH518" s="55">
        <f t="shared" si="3651"/>
        <v>0</v>
      </c>
      <c r="AI518" s="55">
        <f t="shared" si="3651"/>
        <v>0</v>
      </c>
      <c r="AJ518" s="55">
        <f t="shared" si="3651"/>
        <v>0</v>
      </c>
      <c r="AK518" s="55">
        <f t="shared" si="3651"/>
        <v>0</v>
      </c>
      <c r="AL518" s="55">
        <f t="shared" ref="AL518:AQ518" si="3652">AL448</f>
        <v>0</v>
      </c>
      <c r="AM518" s="55">
        <f t="shared" si="3652"/>
        <v>0</v>
      </c>
      <c r="AN518" s="55">
        <f t="shared" si="3652"/>
        <v>0</v>
      </c>
      <c r="AO518" s="55">
        <f t="shared" si="3652"/>
        <v>0</v>
      </c>
      <c r="AP518" s="55">
        <f t="shared" si="3652"/>
        <v>0</v>
      </c>
      <c r="AQ518" s="55">
        <f t="shared" si="3652"/>
        <v>0</v>
      </c>
      <c r="AR518" s="55">
        <f t="shared" ref="AR518" si="3653">AR448</f>
        <v>0</v>
      </c>
      <c r="AS518" s="55">
        <f t="shared" ref="AS518:AT518" si="3654">AS448</f>
        <v>0</v>
      </c>
      <c r="AT518" s="55">
        <f t="shared" si="3654"/>
        <v>0</v>
      </c>
      <c r="AU518" s="55">
        <f t="shared" ref="AU518:AV518" si="3655">AU448</f>
        <v>0</v>
      </c>
      <c r="AV518" s="55">
        <f t="shared" si="3655"/>
        <v>0</v>
      </c>
      <c r="AW518" s="55">
        <f t="shared" ref="AW518:AX518" si="3656">AW448</f>
        <v>0</v>
      </c>
      <c r="AX518" s="55">
        <f t="shared" si="3656"/>
        <v>0</v>
      </c>
      <c r="AY518" s="55">
        <f t="shared" ref="AY518:BE518" si="3657">AY448</f>
        <v>0</v>
      </c>
      <c r="AZ518" s="56">
        <f t="shared" si="3657"/>
        <v>0</v>
      </c>
      <c r="BA518" s="55">
        <f t="shared" si="3657"/>
        <v>0</v>
      </c>
      <c r="BB518" s="55">
        <f t="shared" si="3657"/>
        <v>0</v>
      </c>
      <c r="BC518" s="55">
        <f t="shared" si="3657"/>
        <v>0</v>
      </c>
      <c r="BD518" s="55">
        <f t="shared" si="3657"/>
        <v>0</v>
      </c>
      <c r="BE518" s="55">
        <f t="shared" si="3657"/>
        <v>0</v>
      </c>
      <c r="BF518" s="55">
        <f t="shared" ref="BF518:BM518" si="3658">BF448</f>
        <v>0</v>
      </c>
      <c r="BG518" s="55">
        <f t="shared" si="3658"/>
        <v>0</v>
      </c>
      <c r="BH518" s="55">
        <f t="shared" si="3658"/>
        <v>0</v>
      </c>
      <c r="BI518" s="55">
        <f t="shared" si="3658"/>
        <v>0</v>
      </c>
      <c r="BJ518" s="55">
        <f t="shared" si="3658"/>
        <v>0</v>
      </c>
      <c r="BK518" s="55">
        <f t="shared" si="3658"/>
        <v>0</v>
      </c>
      <c r="BL518" s="55">
        <f t="shared" si="3658"/>
        <v>0</v>
      </c>
      <c r="BM518" s="55">
        <f t="shared" si="3658"/>
        <v>0</v>
      </c>
      <c r="BN518" s="55">
        <f t="shared" ref="BN518:BO518" si="3659">BN448</f>
        <v>0</v>
      </c>
      <c r="BO518" s="55">
        <f t="shared" si="3659"/>
        <v>0</v>
      </c>
      <c r="BP518" s="55">
        <f t="shared" ref="BP518:BQ518" si="3660">BP448</f>
        <v>0</v>
      </c>
      <c r="BQ518" s="55">
        <f t="shared" si="3660"/>
        <v>0</v>
      </c>
      <c r="BR518" s="55"/>
      <c r="BS518" s="55">
        <f t="shared" ref="BS518:CB518" si="3661">BS448</f>
        <v>0</v>
      </c>
      <c r="BT518" s="55">
        <f t="shared" si="3661"/>
        <v>0</v>
      </c>
      <c r="BU518" s="55">
        <f t="shared" si="3661"/>
        <v>0</v>
      </c>
      <c r="BV518" s="55">
        <f t="shared" si="3661"/>
        <v>0</v>
      </c>
      <c r="BW518" s="55">
        <f t="shared" si="3661"/>
        <v>0</v>
      </c>
      <c r="BX518" s="55">
        <f t="shared" si="3661"/>
        <v>0</v>
      </c>
      <c r="BY518" s="55">
        <f t="shared" si="3661"/>
        <v>0</v>
      </c>
      <c r="BZ518" s="55">
        <f t="shared" si="3661"/>
        <v>0</v>
      </c>
      <c r="CA518" s="55">
        <f t="shared" si="3661"/>
        <v>0</v>
      </c>
      <c r="CB518" s="55">
        <f t="shared" si="3661"/>
        <v>0</v>
      </c>
      <c r="CC518" s="55">
        <f t="shared" si="3603"/>
        <v>0</v>
      </c>
      <c r="CD518" s="55">
        <f t="shared" si="3604"/>
        <v>0</v>
      </c>
      <c r="CE518" s="55">
        <f t="shared" si="3605"/>
        <v>0</v>
      </c>
      <c r="CF518" s="55">
        <f t="shared" si="3606"/>
        <v>0</v>
      </c>
      <c r="CG518" s="55">
        <f t="shared" si="3607"/>
        <v>0</v>
      </c>
      <c r="CH518" s="55">
        <f t="shared" si="3608"/>
        <v>0</v>
      </c>
      <c r="CI518" s="55">
        <f t="shared" si="3609"/>
        <v>0</v>
      </c>
      <c r="CJ518" s="55">
        <f t="shared" si="3610"/>
        <v>0</v>
      </c>
      <c r="CK518" s="55">
        <f t="shared" si="3611"/>
        <v>0</v>
      </c>
      <c r="CL518" s="55">
        <f t="shared" si="3612"/>
        <v>0</v>
      </c>
      <c r="CM518" s="55">
        <f t="shared" si="3613"/>
        <v>0</v>
      </c>
      <c r="CN518" s="55">
        <f t="shared" si="3614"/>
        <v>0</v>
      </c>
      <c r="CO518" s="55">
        <f t="shared" si="3615"/>
        <v>0</v>
      </c>
      <c r="CP518" s="55">
        <f t="shared" si="3616"/>
        <v>0</v>
      </c>
      <c r="CQ518" s="55">
        <f t="shared" si="3617"/>
        <v>0</v>
      </c>
      <c r="CR518" s="55">
        <f t="shared" si="3618"/>
        <v>0</v>
      </c>
      <c r="CS518" s="55">
        <f t="shared" si="3619"/>
        <v>0</v>
      </c>
      <c r="CT518" s="55">
        <f t="shared" si="3620"/>
        <v>0</v>
      </c>
      <c r="CU518" s="55">
        <f t="shared" si="3621"/>
        <v>0</v>
      </c>
      <c r="CV518" s="55">
        <f t="shared" si="3622"/>
        <v>0</v>
      </c>
      <c r="CW518" s="55">
        <f t="shared" si="3623"/>
        <v>0</v>
      </c>
      <c r="CX518" s="55">
        <f t="shared" si="3624"/>
        <v>0</v>
      </c>
      <c r="CY518" s="55">
        <f t="shared" si="3625"/>
        <v>0</v>
      </c>
      <c r="CZ518" s="56">
        <f t="shared" si="3626"/>
        <v>0</v>
      </c>
      <c r="DA518" s="55">
        <f t="shared" si="3627"/>
        <v>0</v>
      </c>
      <c r="DB518" s="55">
        <f t="shared" si="3628"/>
        <v>0</v>
      </c>
      <c r="DC518" s="55">
        <f t="shared" si="3629"/>
        <v>0</v>
      </c>
      <c r="DD518" s="55">
        <f t="shared" si="3630"/>
        <v>0</v>
      </c>
      <c r="DE518" s="55">
        <f t="shared" si="3631"/>
        <v>0</v>
      </c>
      <c r="DF518" s="55">
        <f t="shared" si="3632"/>
        <v>0</v>
      </c>
      <c r="DG518" s="55">
        <f t="shared" si="3633"/>
        <v>0</v>
      </c>
      <c r="DH518" s="55">
        <f t="shared" si="3634"/>
        <v>0</v>
      </c>
      <c r="DI518" s="55">
        <f t="shared" si="3635"/>
        <v>0</v>
      </c>
    </row>
    <row r="519" spans="1:113" outlineLevel="2">
      <c r="A519" s="1" t="s">
        <v>331</v>
      </c>
      <c r="B519" s="19" t="s">
        <v>370</v>
      </c>
      <c r="C519" s="55">
        <f t="shared" ref="C519:L519" si="3662">C477</f>
        <v>0</v>
      </c>
      <c r="D519" s="55">
        <f t="shared" si="3662"/>
        <v>0</v>
      </c>
      <c r="E519" s="55">
        <f t="shared" si="3662"/>
        <v>0</v>
      </c>
      <c r="F519" s="55">
        <f t="shared" si="3662"/>
        <v>0</v>
      </c>
      <c r="G519" s="55">
        <f t="shared" si="3662"/>
        <v>0</v>
      </c>
      <c r="H519" s="55">
        <f t="shared" si="3662"/>
        <v>0</v>
      </c>
      <c r="I519" s="55">
        <f t="shared" si="3662"/>
        <v>0</v>
      </c>
      <c r="J519" s="55">
        <f t="shared" si="3662"/>
        <v>0</v>
      </c>
      <c r="K519" s="55">
        <f t="shared" si="3662"/>
        <v>0</v>
      </c>
      <c r="L519" s="55">
        <f t="shared" si="3662"/>
        <v>0</v>
      </c>
      <c r="M519" s="55">
        <f t="shared" ref="M519:U519" si="3663">M477</f>
        <v>0</v>
      </c>
      <c r="N519" s="55">
        <f t="shared" si="3663"/>
        <v>0</v>
      </c>
      <c r="O519" s="55">
        <f t="shared" si="3663"/>
        <v>0</v>
      </c>
      <c r="P519" s="55">
        <f t="shared" si="3663"/>
        <v>0</v>
      </c>
      <c r="Q519" s="55">
        <f t="shared" si="3663"/>
        <v>0</v>
      </c>
      <c r="R519" s="55">
        <f t="shared" si="3663"/>
        <v>0</v>
      </c>
      <c r="S519" s="55">
        <f t="shared" si="3663"/>
        <v>0</v>
      </c>
      <c r="T519" s="55">
        <f t="shared" si="3663"/>
        <v>0</v>
      </c>
      <c r="U519" s="55">
        <f t="shared" si="3663"/>
        <v>0</v>
      </c>
      <c r="V519" s="55">
        <f t="shared" ref="V519:AK519" si="3664">V477</f>
        <v>0</v>
      </c>
      <c r="W519" s="55">
        <f t="shared" si="3664"/>
        <v>0</v>
      </c>
      <c r="X519" s="55">
        <f t="shared" si="3664"/>
        <v>0</v>
      </c>
      <c r="Y519" s="55">
        <f t="shared" si="3664"/>
        <v>0</v>
      </c>
      <c r="Z519" s="55">
        <f t="shared" si="3664"/>
        <v>0</v>
      </c>
      <c r="AA519" s="55">
        <f t="shared" si="3664"/>
        <v>0</v>
      </c>
      <c r="AB519" s="55">
        <f t="shared" si="3664"/>
        <v>0</v>
      </c>
      <c r="AC519" s="55">
        <f t="shared" si="3664"/>
        <v>0</v>
      </c>
      <c r="AD519" s="55">
        <f t="shared" si="3664"/>
        <v>0</v>
      </c>
      <c r="AE519" s="55">
        <f t="shared" si="3664"/>
        <v>0</v>
      </c>
      <c r="AF519" s="55">
        <f t="shared" si="3664"/>
        <v>0</v>
      </c>
      <c r="AG519" s="55">
        <f t="shared" si="3664"/>
        <v>0</v>
      </c>
      <c r="AH519" s="55">
        <f t="shared" si="3664"/>
        <v>0</v>
      </c>
      <c r="AI519" s="55">
        <f t="shared" si="3664"/>
        <v>0</v>
      </c>
      <c r="AJ519" s="55">
        <f t="shared" si="3664"/>
        <v>0</v>
      </c>
      <c r="AK519" s="55">
        <f t="shared" si="3664"/>
        <v>0</v>
      </c>
      <c r="AL519" s="55">
        <f t="shared" ref="AL519:AQ519" si="3665">AL477</f>
        <v>0</v>
      </c>
      <c r="AM519" s="55">
        <f t="shared" si="3665"/>
        <v>0</v>
      </c>
      <c r="AN519" s="55">
        <f t="shared" si="3665"/>
        <v>0</v>
      </c>
      <c r="AO519" s="55">
        <f t="shared" si="3665"/>
        <v>0</v>
      </c>
      <c r="AP519" s="55">
        <f t="shared" si="3665"/>
        <v>0</v>
      </c>
      <c r="AQ519" s="55">
        <f t="shared" si="3665"/>
        <v>0</v>
      </c>
      <c r="AR519" s="55">
        <f t="shared" ref="AR519" si="3666">AR477</f>
        <v>0</v>
      </c>
      <c r="AS519" s="55">
        <f t="shared" ref="AS519:AT519" si="3667">AS477</f>
        <v>0</v>
      </c>
      <c r="AT519" s="55">
        <f t="shared" si="3667"/>
        <v>0</v>
      </c>
      <c r="AU519" s="55">
        <f t="shared" ref="AU519:AV519" si="3668">AU477</f>
        <v>0</v>
      </c>
      <c r="AV519" s="55">
        <f t="shared" si="3668"/>
        <v>0</v>
      </c>
      <c r="AW519" s="55">
        <f t="shared" ref="AW519:AX519" si="3669">AW477</f>
        <v>0</v>
      </c>
      <c r="AX519" s="55">
        <f t="shared" si="3669"/>
        <v>0</v>
      </c>
      <c r="AY519" s="55">
        <f t="shared" ref="AY519:BE519" si="3670">AY477</f>
        <v>0</v>
      </c>
      <c r="AZ519" s="56">
        <f t="shared" si="3670"/>
        <v>0</v>
      </c>
      <c r="BA519" s="55">
        <f t="shared" si="3670"/>
        <v>0</v>
      </c>
      <c r="BB519" s="55">
        <f t="shared" si="3670"/>
        <v>0</v>
      </c>
      <c r="BC519" s="55">
        <f t="shared" si="3670"/>
        <v>0</v>
      </c>
      <c r="BD519" s="55">
        <f t="shared" si="3670"/>
        <v>0</v>
      </c>
      <c r="BE519" s="55">
        <f t="shared" si="3670"/>
        <v>0</v>
      </c>
      <c r="BF519" s="55">
        <f t="shared" ref="BF519:BM519" si="3671">BF477</f>
        <v>0</v>
      </c>
      <c r="BG519" s="55">
        <f t="shared" si="3671"/>
        <v>0</v>
      </c>
      <c r="BH519" s="55">
        <f t="shared" si="3671"/>
        <v>0</v>
      </c>
      <c r="BI519" s="55">
        <f t="shared" si="3671"/>
        <v>0</v>
      </c>
      <c r="BJ519" s="55">
        <f t="shared" si="3671"/>
        <v>0</v>
      </c>
      <c r="BK519" s="55">
        <f t="shared" si="3671"/>
        <v>0</v>
      </c>
      <c r="BL519" s="55">
        <f t="shared" si="3671"/>
        <v>0</v>
      </c>
      <c r="BM519" s="55">
        <f t="shared" si="3671"/>
        <v>0</v>
      </c>
      <c r="BN519" s="55">
        <f t="shared" ref="BN519:BO519" si="3672">BN477</f>
        <v>0</v>
      </c>
      <c r="BO519" s="55">
        <f t="shared" si="3672"/>
        <v>0</v>
      </c>
      <c r="BP519" s="55">
        <f t="shared" ref="BP519:BQ519" si="3673">BP477</f>
        <v>0</v>
      </c>
      <c r="BQ519" s="55">
        <f t="shared" si="3673"/>
        <v>0</v>
      </c>
      <c r="BR519" s="55"/>
      <c r="BS519" s="55">
        <f t="shared" ref="BS519:CB519" si="3674">BS477</f>
        <v>0</v>
      </c>
      <c r="BT519" s="55">
        <f t="shared" si="3674"/>
        <v>0</v>
      </c>
      <c r="BU519" s="55">
        <f t="shared" si="3674"/>
        <v>0</v>
      </c>
      <c r="BV519" s="55">
        <f t="shared" si="3674"/>
        <v>0</v>
      </c>
      <c r="BW519" s="55">
        <f t="shared" si="3674"/>
        <v>0</v>
      </c>
      <c r="BX519" s="55">
        <f t="shared" si="3674"/>
        <v>0</v>
      </c>
      <c r="BY519" s="55">
        <f t="shared" si="3674"/>
        <v>0</v>
      </c>
      <c r="BZ519" s="55">
        <f t="shared" si="3674"/>
        <v>0</v>
      </c>
      <c r="CA519" s="55">
        <f t="shared" si="3674"/>
        <v>0</v>
      </c>
      <c r="CB519" s="55">
        <f t="shared" si="3674"/>
        <v>0</v>
      </c>
      <c r="CC519" s="55">
        <f t="shared" si="3603"/>
        <v>0</v>
      </c>
      <c r="CD519" s="55">
        <f t="shared" si="3604"/>
        <v>0</v>
      </c>
      <c r="CE519" s="55">
        <f t="shared" si="3605"/>
        <v>0</v>
      </c>
      <c r="CF519" s="55">
        <f t="shared" si="3606"/>
        <v>0</v>
      </c>
      <c r="CG519" s="55">
        <f t="shared" si="3607"/>
        <v>0</v>
      </c>
      <c r="CH519" s="55">
        <f t="shared" si="3608"/>
        <v>0</v>
      </c>
      <c r="CI519" s="55">
        <f t="shared" si="3609"/>
        <v>0</v>
      </c>
      <c r="CJ519" s="55">
        <f t="shared" si="3610"/>
        <v>0</v>
      </c>
      <c r="CK519" s="55">
        <f t="shared" si="3611"/>
        <v>0</v>
      </c>
      <c r="CL519" s="55">
        <f t="shared" si="3612"/>
        <v>0</v>
      </c>
      <c r="CM519" s="55">
        <f t="shared" si="3613"/>
        <v>0</v>
      </c>
      <c r="CN519" s="55">
        <f t="shared" si="3614"/>
        <v>0</v>
      </c>
      <c r="CO519" s="55">
        <f t="shared" si="3615"/>
        <v>0</v>
      </c>
      <c r="CP519" s="55">
        <f t="shared" si="3616"/>
        <v>0</v>
      </c>
      <c r="CQ519" s="55">
        <f t="shared" si="3617"/>
        <v>0</v>
      </c>
      <c r="CR519" s="55">
        <f t="shared" si="3618"/>
        <v>0</v>
      </c>
      <c r="CS519" s="55">
        <f t="shared" si="3619"/>
        <v>0</v>
      </c>
      <c r="CT519" s="55">
        <f t="shared" si="3620"/>
        <v>0</v>
      </c>
      <c r="CU519" s="55">
        <f t="shared" si="3621"/>
        <v>0</v>
      </c>
      <c r="CV519" s="55">
        <f t="shared" si="3622"/>
        <v>0</v>
      </c>
      <c r="CW519" s="55">
        <f t="shared" si="3623"/>
        <v>0</v>
      </c>
      <c r="CX519" s="55">
        <f t="shared" si="3624"/>
        <v>0</v>
      </c>
      <c r="CY519" s="55">
        <f t="shared" si="3625"/>
        <v>0</v>
      </c>
      <c r="CZ519" s="56">
        <f t="shared" si="3626"/>
        <v>0</v>
      </c>
      <c r="DA519" s="55">
        <f t="shared" si="3627"/>
        <v>0</v>
      </c>
      <c r="DB519" s="55">
        <f t="shared" si="3628"/>
        <v>0</v>
      </c>
      <c r="DC519" s="55">
        <f t="shared" si="3629"/>
        <v>0</v>
      </c>
      <c r="DD519" s="55">
        <f t="shared" si="3630"/>
        <v>0</v>
      </c>
      <c r="DE519" s="55">
        <f t="shared" si="3631"/>
        <v>0</v>
      </c>
      <c r="DF519" s="55">
        <f t="shared" si="3632"/>
        <v>0</v>
      </c>
      <c r="DG519" s="55">
        <f t="shared" si="3633"/>
        <v>0</v>
      </c>
      <c r="DH519" s="55">
        <f t="shared" si="3634"/>
        <v>0</v>
      </c>
      <c r="DI519" s="55">
        <f t="shared" si="3635"/>
        <v>0</v>
      </c>
    </row>
    <row r="520" spans="1:113" outlineLevel="2">
      <c r="A520" s="1" t="s">
        <v>957</v>
      </c>
      <c r="B520" s="19" t="s">
        <v>360</v>
      </c>
      <c r="C520" s="55">
        <f t="shared" ref="C520:L520" si="3675">C505</f>
        <v>0</v>
      </c>
      <c r="D520" s="55">
        <f t="shared" si="3675"/>
        <v>0</v>
      </c>
      <c r="E520" s="55">
        <f t="shared" si="3675"/>
        <v>0</v>
      </c>
      <c r="F520" s="55">
        <f t="shared" si="3675"/>
        <v>0</v>
      </c>
      <c r="G520" s="55">
        <f t="shared" si="3675"/>
        <v>0</v>
      </c>
      <c r="H520" s="55">
        <f t="shared" si="3675"/>
        <v>0</v>
      </c>
      <c r="I520" s="55">
        <f t="shared" si="3675"/>
        <v>0</v>
      </c>
      <c r="J520" s="55">
        <f t="shared" si="3675"/>
        <v>0</v>
      </c>
      <c r="K520" s="55">
        <f t="shared" si="3675"/>
        <v>0</v>
      </c>
      <c r="L520" s="55">
        <f t="shared" si="3675"/>
        <v>0</v>
      </c>
      <c r="M520" s="55">
        <f t="shared" ref="M520:U520" si="3676">M505</f>
        <v>0</v>
      </c>
      <c r="N520" s="55">
        <f t="shared" si="3676"/>
        <v>0</v>
      </c>
      <c r="O520" s="55">
        <f t="shared" si="3676"/>
        <v>0</v>
      </c>
      <c r="P520" s="55">
        <f t="shared" si="3676"/>
        <v>0</v>
      </c>
      <c r="Q520" s="55">
        <f t="shared" si="3676"/>
        <v>0</v>
      </c>
      <c r="R520" s="55">
        <f t="shared" si="3676"/>
        <v>0</v>
      </c>
      <c r="S520" s="55">
        <f t="shared" si="3676"/>
        <v>0</v>
      </c>
      <c r="T520" s="55">
        <f t="shared" si="3676"/>
        <v>0</v>
      </c>
      <c r="U520" s="55">
        <f t="shared" si="3676"/>
        <v>0</v>
      </c>
      <c r="V520" s="55">
        <f t="shared" ref="V520:AK520" si="3677">V505</f>
        <v>0</v>
      </c>
      <c r="W520" s="55">
        <f t="shared" si="3677"/>
        <v>0</v>
      </c>
      <c r="X520" s="55">
        <f t="shared" si="3677"/>
        <v>0</v>
      </c>
      <c r="Y520" s="55">
        <f t="shared" si="3677"/>
        <v>0</v>
      </c>
      <c r="Z520" s="55">
        <f t="shared" si="3677"/>
        <v>0</v>
      </c>
      <c r="AA520" s="55">
        <f t="shared" si="3677"/>
        <v>0</v>
      </c>
      <c r="AB520" s="55">
        <f t="shared" si="3677"/>
        <v>0</v>
      </c>
      <c r="AC520" s="55">
        <f t="shared" si="3677"/>
        <v>0</v>
      </c>
      <c r="AD520" s="55">
        <f t="shared" si="3677"/>
        <v>0</v>
      </c>
      <c r="AE520" s="55">
        <f t="shared" si="3677"/>
        <v>0</v>
      </c>
      <c r="AF520" s="55">
        <f t="shared" si="3677"/>
        <v>0</v>
      </c>
      <c r="AG520" s="55">
        <f t="shared" si="3677"/>
        <v>0</v>
      </c>
      <c r="AH520" s="55">
        <f t="shared" si="3677"/>
        <v>0</v>
      </c>
      <c r="AI520" s="55">
        <f t="shared" si="3677"/>
        <v>0</v>
      </c>
      <c r="AJ520" s="55">
        <f t="shared" si="3677"/>
        <v>0</v>
      </c>
      <c r="AK520" s="55">
        <f t="shared" si="3677"/>
        <v>0</v>
      </c>
      <c r="AL520" s="55">
        <f t="shared" ref="AL520:AQ520" si="3678">AL505</f>
        <v>0</v>
      </c>
      <c r="AM520" s="55">
        <f t="shared" si="3678"/>
        <v>0</v>
      </c>
      <c r="AN520" s="55">
        <f t="shared" si="3678"/>
        <v>0</v>
      </c>
      <c r="AO520" s="55">
        <f t="shared" si="3678"/>
        <v>0</v>
      </c>
      <c r="AP520" s="55">
        <f t="shared" si="3678"/>
        <v>0</v>
      </c>
      <c r="AQ520" s="55">
        <f t="shared" si="3678"/>
        <v>0</v>
      </c>
      <c r="AR520" s="55">
        <f t="shared" ref="AR520" si="3679">AR505</f>
        <v>0</v>
      </c>
      <c r="AS520" s="55">
        <f t="shared" ref="AS520:AT520" si="3680">AS505</f>
        <v>0</v>
      </c>
      <c r="AT520" s="55">
        <f t="shared" si="3680"/>
        <v>0</v>
      </c>
      <c r="AU520" s="55">
        <f t="shared" ref="AU520:AV520" si="3681">AU505</f>
        <v>0</v>
      </c>
      <c r="AV520" s="55">
        <f t="shared" si="3681"/>
        <v>0</v>
      </c>
      <c r="AW520" s="55">
        <f t="shared" ref="AW520:AX520" si="3682">AW505</f>
        <v>0</v>
      </c>
      <c r="AX520" s="55">
        <f t="shared" si="3682"/>
        <v>0</v>
      </c>
      <c r="AY520" s="55">
        <f t="shared" ref="AY520:BE520" si="3683">AY505</f>
        <v>0</v>
      </c>
      <c r="AZ520" s="56">
        <f t="shared" si="3683"/>
        <v>0</v>
      </c>
      <c r="BA520" s="55">
        <f t="shared" si="3683"/>
        <v>0</v>
      </c>
      <c r="BB520" s="55">
        <f t="shared" si="3683"/>
        <v>0</v>
      </c>
      <c r="BC520" s="55">
        <f t="shared" si="3683"/>
        <v>0</v>
      </c>
      <c r="BD520" s="55">
        <f t="shared" si="3683"/>
        <v>0</v>
      </c>
      <c r="BE520" s="55">
        <f t="shared" si="3683"/>
        <v>0</v>
      </c>
      <c r="BF520" s="55">
        <f t="shared" ref="BF520:BM520" si="3684">BF505</f>
        <v>0</v>
      </c>
      <c r="BG520" s="55">
        <f t="shared" si="3684"/>
        <v>0</v>
      </c>
      <c r="BH520" s="55">
        <f t="shared" si="3684"/>
        <v>0</v>
      </c>
      <c r="BI520" s="55">
        <f t="shared" si="3684"/>
        <v>0</v>
      </c>
      <c r="BJ520" s="55">
        <f t="shared" si="3684"/>
        <v>0</v>
      </c>
      <c r="BK520" s="55">
        <f t="shared" si="3684"/>
        <v>0</v>
      </c>
      <c r="BL520" s="55">
        <f t="shared" si="3684"/>
        <v>0</v>
      </c>
      <c r="BM520" s="55">
        <f t="shared" si="3684"/>
        <v>0</v>
      </c>
      <c r="BN520" s="55">
        <f t="shared" ref="BN520:BO520" si="3685">BN505</f>
        <v>0</v>
      </c>
      <c r="BO520" s="55">
        <f t="shared" si="3685"/>
        <v>0</v>
      </c>
      <c r="BP520" s="55">
        <f t="shared" ref="BP520:BQ520" si="3686">BP505</f>
        <v>0</v>
      </c>
      <c r="BQ520" s="55">
        <f t="shared" si="3686"/>
        <v>0</v>
      </c>
      <c r="BR520" s="55"/>
      <c r="BS520" s="55">
        <f t="shared" ref="BS520:CB520" si="3687">BS505</f>
        <v>0</v>
      </c>
      <c r="BT520" s="55">
        <f t="shared" si="3687"/>
        <v>0</v>
      </c>
      <c r="BU520" s="55">
        <f t="shared" si="3687"/>
        <v>0</v>
      </c>
      <c r="BV520" s="55">
        <f t="shared" si="3687"/>
        <v>0</v>
      </c>
      <c r="BW520" s="55">
        <f t="shared" si="3687"/>
        <v>0</v>
      </c>
      <c r="BX520" s="55">
        <f t="shared" si="3687"/>
        <v>0</v>
      </c>
      <c r="BY520" s="55">
        <f t="shared" si="3687"/>
        <v>0</v>
      </c>
      <c r="BZ520" s="55">
        <f t="shared" si="3687"/>
        <v>0</v>
      </c>
      <c r="CA520" s="55">
        <f t="shared" si="3687"/>
        <v>0</v>
      </c>
      <c r="CB520" s="55">
        <f t="shared" si="3687"/>
        <v>0</v>
      </c>
      <c r="CC520" s="55">
        <f t="shared" si="3603"/>
        <v>0</v>
      </c>
      <c r="CD520" s="55">
        <f t="shared" si="3604"/>
        <v>0</v>
      </c>
      <c r="CE520" s="55">
        <f t="shared" si="3605"/>
        <v>0</v>
      </c>
      <c r="CF520" s="55">
        <f t="shared" si="3606"/>
        <v>0</v>
      </c>
      <c r="CG520" s="55">
        <f t="shared" si="3607"/>
        <v>0</v>
      </c>
      <c r="CH520" s="55">
        <f t="shared" si="3608"/>
        <v>0</v>
      </c>
      <c r="CI520" s="55">
        <f t="shared" si="3609"/>
        <v>0</v>
      </c>
      <c r="CJ520" s="55">
        <f t="shared" si="3610"/>
        <v>0</v>
      </c>
      <c r="CK520" s="55">
        <f t="shared" si="3611"/>
        <v>0</v>
      </c>
      <c r="CL520" s="55">
        <f t="shared" si="3612"/>
        <v>0</v>
      </c>
      <c r="CM520" s="55">
        <f t="shared" si="3613"/>
        <v>0</v>
      </c>
      <c r="CN520" s="55">
        <f t="shared" si="3614"/>
        <v>0</v>
      </c>
      <c r="CO520" s="55">
        <f t="shared" si="3615"/>
        <v>0</v>
      </c>
      <c r="CP520" s="55">
        <f t="shared" si="3616"/>
        <v>0</v>
      </c>
      <c r="CQ520" s="55">
        <f t="shared" si="3617"/>
        <v>0</v>
      </c>
      <c r="CR520" s="55">
        <f t="shared" si="3618"/>
        <v>0</v>
      </c>
      <c r="CS520" s="55">
        <f t="shared" si="3619"/>
        <v>0</v>
      </c>
      <c r="CT520" s="55">
        <f t="shared" si="3620"/>
        <v>0</v>
      </c>
      <c r="CU520" s="55">
        <f t="shared" si="3621"/>
        <v>0</v>
      </c>
      <c r="CV520" s="55">
        <f t="shared" si="3622"/>
        <v>0</v>
      </c>
      <c r="CW520" s="55">
        <f t="shared" si="3623"/>
        <v>0</v>
      </c>
      <c r="CX520" s="55">
        <f t="shared" si="3624"/>
        <v>0</v>
      </c>
      <c r="CY520" s="55">
        <f t="shared" si="3625"/>
        <v>0</v>
      </c>
      <c r="CZ520" s="56">
        <f t="shared" si="3626"/>
        <v>0</v>
      </c>
      <c r="DA520" s="55">
        <f t="shared" si="3627"/>
        <v>0</v>
      </c>
      <c r="DB520" s="55">
        <f t="shared" si="3628"/>
        <v>0</v>
      </c>
      <c r="DC520" s="55">
        <f t="shared" si="3629"/>
        <v>0</v>
      </c>
      <c r="DD520" s="55">
        <f t="shared" si="3630"/>
        <v>0</v>
      </c>
      <c r="DE520" s="55">
        <f t="shared" si="3631"/>
        <v>0</v>
      </c>
      <c r="DF520" s="55">
        <f t="shared" si="3632"/>
        <v>0</v>
      </c>
      <c r="DG520" s="55">
        <f t="shared" si="3633"/>
        <v>0</v>
      </c>
      <c r="DH520" s="55">
        <f t="shared" si="3634"/>
        <v>0</v>
      </c>
      <c r="DI520" s="55">
        <f t="shared" si="3635"/>
        <v>0</v>
      </c>
    </row>
    <row r="521" spans="1:113" s="24" customFormat="1" outlineLevel="2">
      <c r="A521" s="1" t="s">
        <v>332</v>
      </c>
      <c r="B521" s="24" t="s">
        <v>279</v>
      </c>
      <c r="C521" s="82">
        <f t="shared" ref="C521:L521" si="3688">SUM(C515:C520)</f>
        <v>1148.5</v>
      </c>
      <c r="D521" s="82">
        <f t="shared" si="3688"/>
        <v>1175</v>
      </c>
      <c r="E521" s="82">
        <f t="shared" si="3688"/>
        <v>1292</v>
      </c>
      <c r="F521" s="82">
        <f t="shared" si="3688"/>
        <v>1188</v>
      </c>
      <c r="G521" s="82">
        <f t="shared" si="3688"/>
        <v>1351</v>
      </c>
      <c r="H521" s="82">
        <f t="shared" si="3688"/>
        <v>1201</v>
      </c>
      <c r="I521" s="82">
        <f t="shared" si="3688"/>
        <v>1393</v>
      </c>
      <c r="J521" s="82">
        <f t="shared" si="3688"/>
        <v>1672</v>
      </c>
      <c r="K521" s="82">
        <f t="shared" si="3688"/>
        <v>1689</v>
      </c>
      <c r="L521" s="82">
        <f t="shared" si="3688"/>
        <v>2061</v>
      </c>
      <c r="M521" s="82">
        <f t="shared" ref="M521:AD521" si="3689">SUM(M515:M520)</f>
        <v>1992</v>
      </c>
      <c r="N521" s="82">
        <f t="shared" si="3689"/>
        <v>2268</v>
      </c>
      <c r="O521" s="82">
        <f t="shared" si="3689"/>
        <v>2204</v>
      </c>
      <c r="P521" s="82">
        <f t="shared" si="3689"/>
        <v>2360</v>
      </c>
      <c r="Q521" s="82">
        <f t="shared" si="3689"/>
        <v>2325</v>
      </c>
      <c r="R521" s="82">
        <f t="shared" si="3689"/>
        <v>1880</v>
      </c>
      <c r="S521" s="82">
        <f t="shared" si="3689"/>
        <v>2371</v>
      </c>
      <c r="T521" s="82">
        <f t="shared" si="3689"/>
        <v>2919</v>
      </c>
      <c r="U521" s="82">
        <f t="shared" si="3689"/>
        <v>3135</v>
      </c>
      <c r="V521" s="82">
        <f t="shared" si="3689"/>
        <v>3313</v>
      </c>
      <c r="W521" s="82">
        <f t="shared" si="3689"/>
        <v>3480</v>
      </c>
      <c r="X521" s="82">
        <f t="shared" si="3689"/>
        <v>3556</v>
      </c>
      <c r="Y521" s="82">
        <f>SUM(Y515:Y520)</f>
        <v>3515</v>
      </c>
      <c r="Z521" s="82">
        <f>SUM(Z515:Z520)</f>
        <v>3730</v>
      </c>
      <c r="AA521" s="82">
        <f t="shared" si="3689"/>
        <v>3990</v>
      </c>
      <c r="AB521" s="82">
        <f t="shared" si="3689"/>
        <v>4245</v>
      </c>
      <c r="AC521" s="82">
        <f t="shared" si="3689"/>
        <v>4390</v>
      </c>
      <c r="AD521" s="82">
        <f t="shared" si="3689"/>
        <v>4599</v>
      </c>
      <c r="AE521" s="82">
        <f t="shared" ref="AE521:AK521" si="3690">SUM(AE515:AE520)</f>
        <v>4486</v>
      </c>
      <c r="AF521" s="82">
        <f t="shared" si="3690"/>
        <v>4776</v>
      </c>
      <c r="AG521" s="82">
        <f t="shared" si="3690"/>
        <v>4619</v>
      </c>
      <c r="AH521" s="82">
        <f t="shared" si="3690"/>
        <v>4828</v>
      </c>
      <c r="AI521" s="82">
        <f t="shared" si="3690"/>
        <v>4827</v>
      </c>
      <c r="AJ521" s="82">
        <f t="shared" si="3690"/>
        <v>4598</v>
      </c>
      <c r="AK521" s="82">
        <f t="shared" si="3690"/>
        <v>4317</v>
      </c>
      <c r="AL521" s="82">
        <f t="shared" ref="AL521:AQ521" si="3691">SUM(AL515:AL520)</f>
        <v>4512.5931563709537</v>
      </c>
      <c r="AM521" s="82">
        <f t="shared" si="3691"/>
        <v>3708.406843629049</v>
      </c>
      <c r="AN521" s="82">
        <f t="shared" si="3691"/>
        <v>4327</v>
      </c>
      <c r="AO521" s="82">
        <f t="shared" si="3691"/>
        <v>2898</v>
      </c>
      <c r="AP521" s="82">
        <f t="shared" si="3691"/>
        <v>3868</v>
      </c>
      <c r="AQ521" s="82">
        <f t="shared" si="3691"/>
        <v>4785</v>
      </c>
      <c r="AR521" s="82">
        <f t="shared" ref="AR521" si="3692">SUM(AR515:AR520)</f>
        <v>4746</v>
      </c>
      <c r="AS521" s="82">
        <f t="shared" ref="AS521:AT521" si="3693">SUM(AS515:AS520)</f>
        <v>4849</v>
      </c>
      <c r="AT521" s="82">
        <f t="shared" si="3693"/>
        <v>5180</v>
      </c>
      <c r="AU521" s="82">
        <f t="shared" ref="AU521:AV521" si="3694">SUM(AU515:AU520)</f>
        <v>4892</v>
      </c>
      <c r="AV521" s="82">
        <f t="shared" si="3694"/>
        <v>5019</v>
      </c>
      <c r="AW521" s="82">
        <f t="shared" ref="AW521:AX521" si="3695">SUM(AW515:AW520)</f>
        <v>4817</v>
      </c>
      <c r="AX521" s="82">
        <f t="shared" si="3695"/>
        <v>5132</v>
      </c>
      <c r="AY521" s="82">
        <f t="shared" ref="AY521:BE521" si="3696">SUM(AY515:AY520)</f>
        <v>5119.9999999999982</v>
      </c>
      <c r="AZ521" s="83">
        <f t="shared" si="3696"/>
        <v>5445</v>
      </c>
      <c r="BA521" s="82">
        <f t="shared" si="3696"/>
        <v>5625.6840638307367</v>
      </c>
      <c r="BB521" s="82">
        <f t="shared" si="3696"/>
        <v>5758.6319266536393</v>
      </c>
      <c r="BC521" s="82">
        <f t="shared" si="3696"/>
        <v>5746.8596543950407</v>
      </c>
      <c r="BD521" s="82">
        <f t="shared" si="3696"/>
        <v>5792.7715355671517</v>
      </c>
      <c r="BE521" s="82">
        <f t="shared" si="3696"/>
        <v>5959.9388526669409</v>
      </c>
      <c r="BF521" s="82">
        <f t="shared" ref="BF521:BM521" si="3697">SUM(BF515:BF520)</f>
        <v>6155.0271683031442</v>
      </c>
      <c r="BG521" s="82">
        <f t="shared" si="3697"/>
        <v>6268.383122056197</v>
      </c>
      <c r="BH521" s="82">
        <f t="shared" si="3697"/>
        <v>6432.36449871471</v>
      </c>
      <c r="BI521" s="82">
        <f t="shared" si="3697"/>
        <v>6453.6378299357511</v>
      </c>
      <c r="BJ521" s="82">
        <f t="shared" si="3697"/>
        <v>6516.2965499839902</v>
      </c>
      <c r="BK521" s="82">
        <f t="shared" si="3697"/>
        <v>6405.4470325453312</v>
      </c>
      <c r="BL521" s="82">
        <f t="shared" si="3697"/>
        <v>6519.4724320990208</v>
      </c>
      <c r="BM521" s="82">
        <f t="shared" si="3697"/>
        <v>6514.6168170682695</v>
      </c>
      <c r="BN521" s="82">
        <f t="shared" ref="BN521:BO521" si="3698">SUM(BN515:BN520)</f>
        <v>6713.6073359828752</v>
      </c>
      <c r="BO521" s="82">
        <f t="shared" si="3698"/>
        <v>6701.0724439693104</v>
      </c>
      <c r="BP521" s="82">
        <f t="shared" ref="BP521:BQ521" si="3699">SUM(BP515:BP520)</f>
        <v>6928.0811587323205</v>
      </c>
      <c r="BQ521" s="82">
        <f t="shared" si="3699"/>
        <v>6915.5301613732972</v>
      </c>
      <c r="BR521" s="82"/>
      <c r="BS521" s="82">
        <f t="shared" ref="BS521:CB521" si="3700">SUM(BS515:BS520)</f>
        <v>408.9</v>
      </c>
      <c r="BT521" s="82">
        <f t="shared" si="3700"/>
        <v>579</v>
      </c>
      <c r="BU521" s="82">
        <f t="shared" si="3700"/>
        <v>682</v>
      </c>
      <c r="BV521" s="82">
        <f t="shared" si="3700"/>
        <v>1011</v>
      </c>
      <c r="BW521" s="82">
        <f t="shared" si="3700"/>
        <v>1119</v>
      </c>
      <c r="BX521" s="82">
        <f t="shared" si="3700"/>
        <v>1249</v>
      </c>
      <c r="BY521" s="82">
        <f t="shared" si="3700"/>
        <v>1297</v>
      </c>
      <c r="BZ521" s="82">
        <f t="shared" si="3700"/>
        <v>1469</v>
      </c>
      <c r="CA521" s="82">
        <f t="shared" si="3700"/>
        <v>1678</v>
      </c>
      <c r="CB521" s="82">
        <f t="shared" si="3700"/>
        <v>2253</v>
      </c>
      <c r="CC521" s="82">
        <f t="shared" si="3603"/>
        <v>2467</v>
      </c>
      <c r="CD521" s="82">
        <f t="shared" si="3604"/>
        <v>2539</v>
      </c>
      <c r="CE521" s="82">
        <f t="shared" si="3605"/>
        <v>2594</v>
      </c>
      <c r="CF521" s="82">
        <f t="shared" si="3606"/>
        <v>3361</v>
      </c>
      <c r="CG521" s="82">
        <f t="shared" si="3607"/>
        <v>4053</v>
      </c>
      <c r="CH521" s="82">
        <f t="shared" si="3608"/>
        <v>4472</v>
      </c>
      <c r="CI521" s="82">
        <f t="shared" si="3609"/>
        <v>4685</v>
      </c>
      <c r="CJ521" s="82">
        <f t="shared" si="3610"/>
        <v>4251</v>
      </c>
      <c r="CK521" s="82">
        <f t="shared" si="3611"/>
        <v>6054</v>
      </c>
      <c r="CL521" s="82">
        <f t="shared" si="3612"/>
        <v>6793</v>
      </c>
      <c r="CM521" s="82">
        <f t="shared" si="3613"/>
        <v>7071</v>
      </c>
      <c r="CN521" s="82">
        <f t="shared" si="3614"/>
        <v>7720</v>
      </c>
      <c r="CO521" s="82">
        <f t="shared" si="3615"/>
        <v>8635</v>
      </c>
      <c r="CP521" s="82">
        <f t="shared" si="3616"/>
        <v>9085</v>
      </c>
      <c r="CQ521" s="82">
        <f t="shared" si="3617"/>
        <v>9395</v>
      </c>
      <c r="CR521" s="82">
        <f t="shared" si="3618"/>
        <v>9655</v>
      </c>
      <c r="CS521" s="82">
        <f t="shared" si="3619"/>
        <v>8915</v>
      </c>
      <c r="CT521" s="82">
        <f t="shared" si="3620"/>
        <v>8221.0000000000036</v>
      </c>
      <c r="CU521" s="82">
        <f t="shared" si="3621"/>
        <v>7225</v>
      </c>
      <c r="CV521" s="82">
        <f t="shared" si="3622"/>
        <v>8653</v>
      </c>
      <c r="CW521" s="82">
        <f t="shared" si="3623"/>
        <v>9595</v>
      </c>
      <c r="CX521" s="82">
        <f t="shared" si="3624"/>
        <v>10072</v>
      </c>
      <c r="CY521" s="82">
        <f t="shared" si="3625"/>
        <v>9836</v>
      </c>
      <c r="CZ521" s="83">
        <f t="shared" si="3626"/>
        <v>10251.999999999998</v>
      </c>
      <c r="DA521" s="82">
        <f t="shared" si="3627"/>
        <v>11070.684063830737</v>
      </c>
      <c r="DB521" s="82">
        <f t="shared" si="3628"/>
        <v>11505.49158104868</v>
      </c>
      <c r="DC521" s="82">
        <f t="shared" si="3629"/>
        <v>11752.710388234093</v>
      </c>
      <c r="DD521" s="82">
        <f t="shared" si="3630"/>
        <v>12423.410290359341</v>
      </c>
      <c r="DE521" s="82">
        <f t="shared" si="3631"/>
        <v>12886.002328650462</v>
      </c>
      <c r="DF521" s="82">
        <f t="shared" si="3632"/>
        <v>12921.743582529321</v>
      </c>
      <c r="DG521" s="82">
        <f t="shared" si="3633"/>
        <v>13034.089249167289</v>
      </c>
      <c r="DH521" s="82">
        <f t="shared" si="3634"/>
        <v>13414.679779952185</v>
      </c>
      <c r="DI521" s="82">
        <f t="shared" si="3635"/>
        <v>13843.611320105618</v>
      </c>
    </row>
    <row r="522" spans="1:113" outlineLevel="1">
      <c r="A522" s="1" t="s">
        <v>958</v>
      </c>
      <c r="B522" s="19" t="str">
        <f>B499</f>
        <v>Preference dividend</v>
      </c>
      <c r="C522" s="55">
        <f>-C499</f>
        <v>4.5</v>
      </c>
      <c r="D522" s="55">
        <f>-D499</f>
        <v>17</v>
      </c>
      <c r="E522" s="55">
        <f>-E499</f>
        <v>17</v>
      </c>
      <c r="F522" s="55">
        <f t="shared" ref="F522:L522" si="3701">-F499</f>
        <v>20</v>
      </c>
      <c r="G522" s="55">
        <f t="shared" si="3701"/>
        <v>20</v>
      </c>
      <c r="H522" s="55">
        <f t="shared" si="3701"/>
        <v>39</v>
      </c>
      <c r="I522" s="55">
        <f t="shared" si="3701"/>
        <v>62</v>
      </c>
      <c r="J522" s="55">
        <f t="shared" si="3701"/>
        <v>61</v>
      </c>
      <c r="K522" s="55">
        <f t="shared" si="3701"/>
        <v>70</v>
      </c>
      <c r="L522" s="55">
        <f t="shared" si="3701"/>
        <v>0</v>
      </c>
      <c r="M522" s="55">
        <f t="shared" ref="M522:AD522" si="3702">-M499</f>
        <v>0</v>
      </c>
      <c r="N522" s="55">
        <f t="shared" si="3702"/>
        <v>28</v>
      </c>
      <c r="O522" s="55">
        <f t="shared" si="3702"/>
        <v>27</v>
      </c>
      <c r="P522" s="55">
        <f t="shared" si="3702"/>
        <v>25</v>
      </c>
      <c r="Q522" s="55">
        <f t="shared" si="3702"/>
        <v>23</v>
      </c>
      <c r="R522" s="55">
        <f t="shared" si="3702"/>
        <v>26</v>
      </c>
      <c r="S522" s="55">
        <f t="shared" si="3702"/>
        <v>31</v>
      </c>
      <c r="T522" s="55">
        <f t="shared" si="3702"/>
        <v>24</v>
      </c>
      <c r="U522" s="55">
        <f t="shared" si="3702"/>
        <v>23</v>
      </c>
      <c r="V522" s="55">
        <f t="shared" si="3702"/>
        <v>22</v>
      </c>
      <c r="W522" s="55">
        <f t="shared" si="3702"/>
        <v>20</v>
      </c>
      <c r="X522" s="55">
        <f t="shared" si="3702"/>
        <v>20</v>
      </c>
      <c r="Y522" s="55">
        <f>-Y499</f>
        <v>22</v>
      </c>
      <c r="Z522" s="55">
        <f>-Z499</f>
        <v>20</v>
      </c>
      <c r="AA522" s="55">
        <f t="shared" si="3702"/>
        <v>20</v>
      </c>
      <c r="AB522" s="55">
        <f t="shared" si="3702"/>
        <v>23</v>
      </c>
      <c r="AC522" s="55">
        <f t="shared" si="3702"/>
        <v>22</v>
      </c>
      <c r="AD522" s="55">
        <f t="shared" si="3702"/>
        <v>24</v>
      </c>
      <c r="AE522" s="55">
        <f t="shared" ref="AE522:AK522" si="3703">-AE499</f>
        <v>28</v>
      </c>
      <c r="AF522" s="55">
        <f t="shared" si="3703"/>
        <v>32</v>
      </c>
      <c r="AG522" s="55">
        <f t="shared" si="3703"/>
        <v>18</v>
      </c>
      <c r="AH522" s="55">
        <f t="shared" si="3703"/>
        <v>0</v>
      </c>
      <c r="AI522" s="55">
        <f t="shared" si="3703"/>
        <v>0</v>
      </c>
      <c r="AJ522" s="55">
        <f t="shared" si="3703"/>
        <v>0</v>
      </c>
      <c r="AK522" s="55">
        <f t="shared" si="3703"/>
        <v>0</v>
      </c>
      <c r="AL522" s="55">
        <f t="shared" ref="AL522:AQ522" si="3704">-AL499</f>
        <v>0</v>
      </c>
      <c r="AM522" s="55">
        <f t="shared" si="3704"/>
        <v>0</v>
      </c>
      <c r="AN522" s="55">
        <f t="shared" si="3704"/>
        <v>0</v>
      </c>
      <c r="AO522" s="55">
        <f t="shared" si="3704"/>
        <v>0</v>
      </c>
      <c r="AP522" s="55">
        <f t="shared" si="3704"/>
        <v>0</v>
      </c>
      <c r="AQ522" s="55">
        <f t="shared" si="3704"/>
        <v>0</v>
      </c>
      <c r="AR522" s="55">
        <f t="shared" ref="AR522" si="3705">-AR499</f>
        <v>0</v>
      </c>
      <c r="AS522" s="55">
        <f t="shared" ref="AS522:AT522" si="3706">-AS499</f>
        <v>0</v>
      </c>
      <c r="AT522" s="55">
        <f t="shared" si="3706"/>
        <v>0</v>
      </c>
      <c r="AU522" s="55">
        <f t="shared" ref="AU522:AV522" si="3707">-AU499</f>
        <v>0</v>
      </c>
      <c r="AV522" s="55">
        <f t="shared" si="3707"/>
        <v>0</v>
      </c>
      <c r="AW522" s="55">
        <f t="shared" ref="AW522:AX522" si="3708">-AW499</f>
        <v>0</v>
      </c>
      <c r="AX522" s="55">
        <f t="shared" si="3708"/>
        <v>0</v>
      </c>
      <c r="AY522" s="55">
        <f t="shared" ref="AY522:BE522" si="3709">-AY499</f>
        <v>0</v>
      </c>
      <c r="AZ522" s="56">
        <f t="shared" si="3709"/>
        <v>0</v>
      </c>
      <c r="BA522" s="55">
        <f t="shared" si="3709"/>
        <v>0</v>
      </c>
      <c r="BB522" s="55">
        <f t="shared" si="3709"/>
        <v>0</v>
      </c>
      <c r="BC522" s="55">
        <f t="shared" si="3709"/>
        <v>0</v>
      </c>
      <c r="BD522" s="55">
        <f t="shared" si="3709"/>
        <v>0</v>
      </c>
      <c r="BE522" s="55">
        <f t="shared" si="3709"/>
        <v>0</v>
      </c>
      <c r="BF522" s="55">
        <f t="shared" ref="BF522:BM522" si="3710">-BF499</f>
        <v>0</v>
      </c>
      <c r="BG522" s="55">
        <f t="shared" si="3710"/>
        <v>0</v>
      </c>
      <c r="BH522" s="55">
        <f t="shared" si="3710"/>
        <v>0</v>
      </c>
      <c r="BI522" s="55">
        <f t="shared" si="3710"/>
        <v>0</v>
      </c>
      <c r="BJ522" s="55">
        <f t="shared" si="3710"/>
        <v>0</v>
      </c>
      <c r="BK522" s="55">
        <f t="shared" si="3710"/>
        <v>0</v>
      </c>
      <c r="BL522" s="55">
        <f t="shared" si="3710"/>
        <v>0</v>
      </c>
      <c r="BM522" s="55">
        <f t="shared" si="3710"/>
        <v>0</v>
      </c>
      <c r="BN522" s="55">
        <f t="shared" ref="BN522:BO522" si="3711">-BN499</f>
        <v>0</v>
      </c>
      <c r="BO522" s="55">
        <f t="shared" si="3711"/>
        <v>0</v>
      </c>
      <c r="BP522" s="55">
        <f t="shared" ref="BP522:BQ522" si="3712">-BP499</f>
        <v>0</v>
      </c>
      <c r="BQ522" s="55">
        <f t="shared" si="3712"/>
        <v>0</v>
      </c>
      <c r="BR522" s="55"/>
      <c r="BS522" s="55">
        <f t="shared" ref="BS522:CB522" si="3713">-BS499</f>
        <v>0</v>
      </c>
      <c r="BT522" s="55">
        <f t="shared" si="3713"/>
        <v>0</v>
      </c>
      <c r="BU522" s="55">
        <f t="shared" si="3713"/>
        <v>0</v>
      </c>
      <c r="BV522" s="55">
        <f t="shared" si="3713"/>
        <v>0</v>
      </c>
      <c r="BW522" s="55">
        <f t="shared" si="3713"/>
        <v>0</v>
      </c>
      <c r="BX522" s="55">
        <f t="shared" si="3713"/>
        <v>0</v>
      </c>
      <c r="BY522" s="55">
        <f t="shared" si="3713"/>
        <v>0</v>
      </c>
      <c r="BZ522" s="55">
        <f t="shared" si="3713"/>
        <v>0</v>
      </c>
      <c r="CA522" s="55">
        <f t="shared" si="3713"/>
        <v>0</v>
      </c>
      <c r="CB522" s="55">
        <f t="shared" si="3713"/>
        <v>9</v>
      </c>
      <c r="CC522" s="55">
        <f t="shared" si="3603"/>
        <v>34</v>
      </c>
      <c r="CD522" s="55">
        <f t="shared" si="3604"/>
        <v>40</v>
      </c>
      <c r="CE522" s="55">
        <f t="shared" si="3605"/>
        <v>101</v>
      </c>
      <c r="CF522" s="55">
        <f t="shared" si="3606"/>
        <v>131</v>
      </c>
      <c r="CG522" s="55">
        <f t="shared" si="3607"/>
        <v>0</v>
      </c>
      <c r="CH522" s="55">
        <f t="shared" si="3608"/>
        <v>55</v>
      </c>
      <c r="CI522" s="55">
        <f t="shared" si="3609"/>
        <v>48</v>
      </c>
      <c r="CJ522" s="55">
        <f t="shared" si="3610"/>
        <v>57</v>
      </c>
      <c r="CK522" s="55">
        <f t="shared" si="3611"/>
        <v>47</v>
      </c>
      <c r="CL522" s="55">
        <f t="shared" si="3612"/>
        <v>42</v>
      </c>
      <c r="CM522" s="55">
        <f t="shared" si="3613"/>
        <v>42</v>
      </c>
      <c r="CN522" s="55">
        <f t="shared" si="3614"/>
        <v>40</v>
      </c>
      <c r="CO522" s="55">
        <f t="shared" si="3615"/>
        <v>45</v>
      </c>
      <c r="CP522" s="55">
        <f t="shared" si="3616"/>
        <v>52</v>
      </c>
      <c r="CQ522" s="55">
        <f t="shared" si="3617"/>
        <v>50</v>
      </c>
      <c r="CR522" s="55">
        <f t="shared" si="3618"/>
        <v>0</v>
      </c>
      <c r="CS522" s="55">
        <f t="shared" si="3619"/>
        <v>0</v>
      </c>
      <c r="CT522" s="55">
        <f t="shared" si="3620"/>
        <v>0</v>
      </c>
      <c r="CU522" s="55">
        <f t="shared" si="3621"/>
        <v>0</v>
      </c>
      <c r="CV522" s="55">
        <f t="shared" si="3622"/>
        <v>0</v>
      </c>
      <c r="CW522" s="55">
        <f t="shared" si="3623"/>
        <v>0</v>
      </c>
      <c r="CX522" s="55">
        <f t="shared" si="3624"/>
        <v>0</v>
      </c>
      <c r="CY522" s="55">
        <f t="shared" si="3625"/>
        <v>0</v>
      </c>
      <c r="CZ522" s="56">
        <f t="shared" si="3626"/>
        <v>0</v>
      </c>
      <c r="DA522" s="55">
        <f t="shared" si="3627"/>
        <v>0</v>
      </c>
      <c r="DB522" s="55">
        <f t="shared" si="3628"/>
        <v>0</v>
      </c>
      <c r="DC522" s="55">
        <f t="shared" si="3629"/>
        <v>0</v>
      </c>
      <c r="DD522" s="55">
        <f t="shared" si="3630"/>
        <v>0</v>
      </c>
      <c r="DE522" s="55">
        <f t="shared" si="3631"/>
        <v>0</v>
      </c>
      <c r="DF522" s="55">
        <f t="shared" si="3632"/>
        <v>0</v>
      </c>
      <c r="DG522" s="55">
        <f t="shared" si="3633"/>
        <v>0</v>
      </c>
      <c r="DH522" s="55">
        <f t="shared" si="3634"/>
        <v>0</v>
      </c>
      <c r="DI522" s="55">
        <f t="shared" si="3635"/>
        <v>0</v>
      </c>
    </row>
    <row r="523" spans="1:113" outlineLevel="1">
      <c r="A523" s="1" t="s">
        <v>831</v>
      </c>
      <c r="B523" s="19" t="s">
        <v>280</v>
      </c>
      <c r="C523" s="53">
        <v>285</v>
      </c>
      <c r="D523" s="53">
        <v>174</v>
      </c>
      <c r="E523" s="53">
        <v>303</v>
      </c>
      <c r="F523" s="53">
        <v>-426</v>
      </c>
      <c r="G523" s="53">
        <v>181</v>
      </c>
      <c r="H523" s="53">
        <v>165</v>
      </c>
      <c r="I523" s="53">
        <v>36</v>
      </c>
      <c r="J523" s="53">
        <v>-28</v>
      </c>
      <c r="K523" s="53">
        <v>-25</v>
      </c>
      <c r="L523" s="53">
        <v>-19</v>
      </c>
      <c r="M523" s="53">
        <v>-6</v>
      </c>
      <c r="N523" s="53">
        <v>4</v>
      </c>
      <c r="O523" s="53">
        <v>1</v>
      </c>
      <c r="P523" s="53">
        <v>-4</v>
      </c>
      <c r="Q523" s="53">
        <f>13+295-264</f>
        <v>44</v>
      </c>
      <c r="R523" s="53">
        <f>-13-0+547+107</f>
        <v>641</v>
      </c>
      <c r="S523" s="53">
        <f>3-23+65</f>
        <v>45</v>
      </c>
      <c r="T523" s="53">
        <f>-171-31</f>
        <v>-202</v>
      </c>
      <c r="U523" s="53">
        <v>8</v>
      </c>
      <c r="V523" s="53">
        <v>-7</v>
      </c>
      <c r="W523" s="53">
        <v>0</v>
      </c>
      <c r="X523" s="53">
        <f>-33</f>
        <v>-33</v>
      </c>
      <c r="Y523" s="53">
        <v>-10</v>
      </c>
      <c r="Z523" s="53">
        <v>-45</v>
      </c>
      <c r="AA523" s="164">
        <v>0</v>
      </c>
      <c r="AB523" s="164">
        <v>2</v>
      </c>
      <c r="AC523" s="164">
        <f>25+15</f>
        <v>40</v>
      </c>
      <c r="AD523" s="164">
        <v>0</v>
      </c>
      <c r="AE523" s="164">
        <v>0</v>
      </c>
      <c r="AF523" s="164">
        <v>0</v>
      </c>
      <c r="AG523" s="164">
        <v>0</v>
      </c>
      <c r="AH523" s="164">
        <v>79</v>
      </c>
      <c r="AI523" s="164">
        <v>147</v>
      </c>
      <c r="AJ523" s="164">
        <v>273</v>
      </c>
      <c r="AK523" s="164">
        <v>224</v>
      </c>
      <c r="AL523" s="164">
        <f>92+4676-AL515</f>
        <v>255.40684362904631</v>
      </c>
      <c r="AM523" s="164">
        <f>122+3816-AM515</f>
        <v>229.59315637095096</v>
      </c>
      <c r="AN523" s="164">
        <f>ROUND(138/153*182,0)</f>
        <v>164</v>
      </c>
      <c r="AO523" s="164">
        <f>182-AN523</f>
        <v>18</v>
      </c>
      <c r="AP523" s="164">
        <v>99</v>
      </c>
      <c r="AQ523" s="164">
        <v>49</v>
      </c>
      <c r="AR523" s="164">
        <v>100</v>
      </c>
      <c r="AS523" s="164">
        <v>13</v>
      </c>
      <c r="AT523" s="164">
        <v>10</v>
      </c>
      <c r="AU523" s="164">
        <v>8</v>
      </c>
      <c r="AV523" s="164">
        <v>6</v>
      </c>
      <c r="AW523" s="164">
        <v>5</v>
      </c>
      <c r="AX523" s="164">
        <v>10</v>
      </c>
      <c r="AY523" s="164">
        <v>-129</v>
      </c>
      <c r="AZ523" s="171">
        <v>-33</v>
      </c>
      <c r="BA523" s="54">
        <v>0</v>
      </c>
      <c r="BB523" s="54">
        <v>0</v>
      </c>
      <c r="BC523" s="54">
        <v>0</v>
      </c>
      <c r="BD523" s="54">
        <v>0</v>
      </c>
      <c r="BE523" s="54">
        <v>0</v>
      </c>
      <c r="BF523" s="54">
        <v>0</v>
      </c>
      <c r="BG523" s="54">
        <v>0</v>
      </c>
      <c r="BH523" s="54">
        <v>0</v>
      </c>
      <c r="BI523" s="54">
        <v>0</v>
      </c>
      <c r="BJ523" s="54">
        <v>0</v>
      </c>
      <c r="BK523" s="54">
        <v>0</v>
      </c>
      <c r="BL523" s="54">
        <v>0</v>
      </c>
      <c r="BM523" s="54">
        <v>0</v>
      </c>
      <c r="BN523" s="54">
        <v>0</v>
      </c>
      <c r="BO523" s="54">
        <v>0</v>
      </c>
      <c r="BP523" s="54">
        <v>0</v>
      </c>
      <c r="BQ523" s="54">
        <v>0</v>
      </c>
      <c r="BR523" s="55"/>
      <c r="BS523" s="53">
        <v>0</v>
      </c>
      <c r="BT523" s="53">
        <f>-171+35</f>
        <v>-136</v>
      </c>
      <c r="BU523" s="53">
        <v>0</v>
      </c>
      <c r="BV523" s="53">
        <v>-28</v>
      </c>
      <c r="BW523" s="53">
        <v>0</v>
      </c>
      <c r="BX523" s="53">
        <f>-200+72</f>
        <v>-128</v>
      </c>
      <c r="BY523" s="53">
        <f>-570+409</f>
        <v>-161</v>
      </c>
      <c r="BZ523" s="53">
        <v>0</v>
      </c>
      <c r="CA523" s="53">
        <f>967+20</f>
        <v>987</v>
      </c>
      <c r="CB523" s="53">
        <v>0</v>
      </c>
      <c r="CC523" s="55">
        <f t="shared" si="3603"/>
        <v>477</v>
      </c>
      <c r="CD523" s="55">
        <f t="shared" si="3604"/>
        <v>-245</v>
      </c>
      <c r="CE523" s="55">
        <f t="shared" si="3605"/>
        <v>201</v>
      </c>
      <c r="CF523" s="55">
        <f t="shared" si="3606"/>
        <v>-53</v>
      </c>
      <c r="CG523" s="55">
        <f t="shared" si="3607"/>
        <v>-25</v>
      </c>
      <c r="CH523" s="55">
        <f t="shared" si="3608"/>
        <v>5</v>
      </c>
      <c r="CI523" s="55">
        <f t="shared" si="3609"/>
        <v>40</v>
      </c>
      <c r="CJ523" s="55">
        <f t="shared" si="3610"/>
        <v>686</v>
      </c>
      <c r="CK523" s="55">
        <f t="shared" si="3611"/>
        <v>-194</v>
      </c>
      <c r="CL523" s="55">
        <f t="shared" si="3612"/>
        <v>-7</v>
      </c>
      <c r="CM523" s="55">
        <f t="shared" si="3613"/>
        <v>-43</v>
      </c>
      <c r="CN523" s="55">
        <f t="shared" si="3614"/>
        <v>-45</v>
      </c>
      <c r="CO523" s="55">
        <f t="shared" si="3615"/>
        <v>42</v>
      </c>
      <c r="CP523" s="55">
        <f t="shared" si="3616"/>
        <v>0</v>
      </c>
      <c r="CQ523" s="55">
        <f t="shared" si="3617"/>
        <v>0</v>
      </c>
      <c r="CR523" s="55">
        <f t="shared" si="3618"/>
        <v>226</v>
      </c>
      <c r="CS523" s="55">
        <f t="shared" si="3619"/>
        <v>497</v>
      </c>
      <c r="CT523" s="55">
        <f t="shared" si="3620"/>
        <v>484.99999999999727</v>
      </c>
      <c r="CU523" s="55">
        <f t="shared" si="3621"/>
        <v>182</v>
      </c>
      <c r="CV523" s="55">
        <f t="shared" si="3622"/>
        <v>148</v>
      </c>
      <c r="CW523" s="55">
        <f t="shared" si="3623"/>
        <v>113</v>
      </c>
      <c r="CX523" s="55">
        <f t="shared" si="3624"/>
        <v>18</v>
      </c>
      <c r="CY523" s="55">
        <f t="shared" si="3625"/>
        <v>11</v>
      </c>
      <c r="CZ523" s="56">
        <f t="shared" si="3626"/>
        <v>-119</v>
      </c>
      <c r="DA523" s="55">
        <f t="shared" si="3627"/>
        <v>-33</v>
      </c>
      <c r="DB523" s="55">
        <f t="shared" si="3628"/>
        <v>0</v>
      </c>
      <c r="DC523" s="55">
        <f t="shared" si="3629"/>
        <v>0</v>
      </c>
      <c r="DD523" s="55">
        <f t="shared" si="3630"/>
        <v>0</v>
      </c>
      <c r="DE523" s="55">
        <f t="shared" si="3631"/>
        <v>0</v>
      </c>
      <c r="DF523" s="55">
        <f t="shared" si="3632"/>
        <v>0</v>
      </c>
      <c r="DG523" s="55">
        <f t="shared" si="3633"/>
        <v>0</v>
      </c>
      <c r="DH523" s="55">
        <f t="shared" si="3634"/>
        <v>0</v>
      </c>
      <c r="DI523" s="55">
        <f t="shared" si="3635"/>
        <v>0</v>
      </c>
    </row>
    <row r="524" spans="1:113" outlineLevel="1">
      <c r="A524" s="1" t="s">
        <v>832</v>
      </c>
      <c r="B524" s="19" t="s">
        <v>1068</v>
      </c>
      <c r="C524" s="53">
        <v>-175</v>
      </c>
      <c r="D524" s="53">
        <v>-162</v>
      </c>
      <c r="E524" s="53">
        <v>-161</v>
      </c>
      <c r="F524" s="53">
        <v>-160</v>
      </c>
      <c r="G524" s="53">
        <v>-162</v>
      </c>
      <c r="H524" s="53">
        <v>-162</v>
      </c>
      <c r="I524" s="53">
        <v>-162</v>
      </c>
      <c r="J524" s="53">
        <v>7</v>
      </c>
      <c r="K524" s="53">
        <v>-46</v>
      </c>
      <c r="L524" s="53">
        <f>-43</f>
        <v>-43</v>
      </c>
      <c r="M524" s="53">
        <f>-57</f>
        <v>-57</v>
      </c>
      <c r="N524" s="53">
        <f>-38-71</f>
        <v>-109</v>
      </c>
      <c r="O524" s="53">
        <f>-37+84</f>
        <v>47</v>
      </c>
      <c r="P524" s="53">
        <f>-13+3</f>
        <v>-10</v>
      </c>
      <c r="Q524" s="53">
        <f>73-45</f>
        <v>28</v>
      </c>
      <c r="R524" s="53">
        <f>34-8-0</f>
        <v>26</v>
      </c>
      <c r="S524" s="53">
        <f>-62-237-78+80</f>
        <v>-297</v>
      </c>
      <c r="T524" s="53">
        <f>177+62-14-52</f>
        <v>173</v>
      </c>
      <c r="U524" s="53">
        <f>-160-264+8</f>
        <v>-416</v>
      </c>
      <c r="V524" s="53">
        <f>-216-48-12</f>
        <v>-276</v>
      </c>
      <c r="W524" s="53">
        <f>-49-99-10</f>
        <v>-158</v>
      </c>
      <c r="X524" s="53">
        <f>1+115-35</f>
        <v>81</v>
      </c>
      <c r="Y524" s="53">
        <f>9-54-16</f>
        <v>-61</v>
      </c>
      <c r="Z524" s="53">
        <f>-10-33-31</f>
        <v>-74</v>
      </c>
      <c r="AA524" s="164">
        <f>-22+37-38</f>
        <v>-23</v>
      </c>
      <c r="AB524" s="164">
        <f>-28-30-5</f>
        <v>-63</v>
      </c>
      <c r="AC524" s="164">
        <f>11-26-13</f>
        <v>-28</v>
      </c>
      <c r="AD524" s="164">
        <f>-42-26-20</f>
        <v>-88</v>
      </c>
      <c r="AE524" s="164">
        <f>48-26-8</f>
        <v>14</v>
      </c>
      <c r="AF524" s="164">
        <f>-150-26-9</f>
        <v>-185</v>
      </c>
      <c r="AG524" s="164">
        <f>-49-1+13</f>
        <v>-37</v>
      </c>
      <c r="AH524" s="164">
        <f>8-1-19</f>
        <v>-12</v>
      </c>
      <c r="AI524" s="164">
        <f>65-6</f>
        <v>59</v>
      </c>
      <c r="AJ524" s="164">
        <f>-183+101-1-AK524</f>
        <v>35</v>
      </c>
      <c r="AK524" s="164">
        <f>-126+5+3</f>
        <v>-118</v>
      </c>
      <c r="AL524" s="164">
        <f>-74-91-4</f>
        <v>-169</v>
      </c>
      <c r="AM524" s="164">
        <f>13+12+9</f>
        <v>34</v>
      </c>
      <c r="AN524" s="164">
        <f>1631+36+0</f>
        <v>1667</v>
      </c>
      <c r="AO524" s="164">
        <f>461+57</f>
        <v>518</v>
      </c>
      <c r="AP524" s="164">
        <f>910-8</f>
        <v>902</v>
      </c>
      <c r="AQ524" s="164">
        <f>463+15</f>
        <v>478</v>
      </c>
      <c r="AR524" s="164">
        <f>1040-16</f>
        <v>1024</v>
      </c>
      <c r="AS524" s="164">
        <f>-85+124</f>
        <v>39</v>
      </c>
      <c r="AT524" s="164">
        <f>-30+12</f>
        <v>-18</v>
      </c>
      <c r="AU524" s="164">
        <f>-54-20</f>
        <v>-74</v>
      </c>
      <c r="AV524" s="164">
        <f>-294+28</f>
        <v>-266</v>
      </c>
      <c r="AW524" s="164">
        <f>-176-11</f>
        <v>-187</v>
      </c>
      <c r="AX524" s="164">
        <f>1-9</f>
        <v>-8</v>
      </c>
      <c r="AY524" s="164">
        <v>-9</v>
      </c>
      <c r="AZ524" s="171">
        <v>-45</v>
      </c>
      <c r="BA524" s="54">
        <v>0</v>
      </c>
      <c r="BB524" s="54">
        <v>0</v>
      </c>
      <c r="BC524" s="54">
        <v>0</v>
      </c>
      <c r="BD524" s="54">
        <v>0</v>
      </c>
      <c r="BE524" s="54">
        <v>0</v>
      </c>
      <c r="BF524" s="54">
        <v>0</v>
      </c>
      <c r="BG524" s="54">
        <v>0</v>
      </c>
      <c r="BH524" s="54">
        <v>0</v>
      </c>
      <c r="BI524" s="54">
        <v>0</v>
      </c>
      <c r="BJ524" s="54">
        <v>0</v>
      </c>
      <c r="BK524" s="54">
        <v>0</v>
      </c>
      <c r="BL524" s="54">
        <v>0</v>
      </c>
      <c r="BM524" s="54">
        <v>0</v>
      </c>
      <c r="BN524" s="54">
        <v>0</v>
      </c>
      <c r="BO524" s="54">
        <v>0</v>
      </c>
      <c r="BP524" s="54">
        <v>0</v>
      </c>
      <c r="BQ524" s="54">
        <v>0</v>
      </c>
      <c r="BR524" s="55"/>
      <c r="BS524" s="53">
        <v>0</v>
      </c>
      <c r="BT524" s="53">
        <v>0</v>
      </c>
      <c r="BU524" s="53">
        <v>0</v>
      </c>
      <c r="BV524" s="53">
        <v>0</v>
      </c>
      <c r="BW524" s="53">
        <v>0</v>
      </c>
      <c r="BX524" s="53">
        <v>-43</v>
      </c>
      <c r="BY524" s="53">
        <v>-46</v>
      </c>
      <c r="BZ524" s="53">
        <v>-47</v>
      </c>
      <c r="CA524" s="53">
        <f>-57+92</f>
        <v>35</v>
      </c>
      <c r="CB524" s="53">
        <f>-338+474</f>
        <v>136</v>
      </c>
      <c r="CC524" s="55">
        <f t="shared" si="3603"/>
        <v>-323</v>
      </c>
      <c r="CD524" s="55">
        <f t="shared" si="3604"/>
        <v>-322</v>
      </c>
      <c r="CE524" s="55">
        <f t="shared" si="3605"/>
        <v>-324</v>
      </c>
      <c r="CF524" s="55">
        <f t="shared" si="3606"/>
        <v>-39</v>
      </c>
      <c r="CG524" s="55">
        <f t="shared" si="3607"/>
        <v>-100</v>
      </c>
      <c r="CH524" s="55">
        <f t="shared" si="3608"/>
        <v>-62</v>
      </c>
      <c r="CI524" s="55">
        <f t="shared" si="3609"/>
        <v>18</v>
      </c>
      <c r="CJ524" s="55">
        <f t="shared" si="3610"/>
        <v>-271</v>
      </c>
      <c r="CK524" s="55">
        <f t="shared" si="3611"/>
        <v>-243</v>
      </c>
      <c r="CL524" s="55">
        <f t="shared" si="3612"/>
        <v>-434</v>
      </c>
      <c r="CM524" s="55">
        <f t="shared" si="3613"/>
        <v>20</v>
      </c>
      <c r="CN524" s="55">
        <f t="shared" si="3614"/>
        <v>-97</v>
      </c>
      <c r="CO524" s="55">
        <f t="shared" si="3615"/>
        <v>-91</v>
      </c>
      <c r="CP524" s="55">
        <f t="shared" si="3616"/>
        <v>-74</v>
      </c>
      <c r="CQ524" s="55">
        <f t="shared" si="3617"/>
        <v>-222</v>
      </c>
      <c r="CR524" s="55">
        <f t="shared" si="3618"/>
        <v>47</v>
      </c>
      <c r="CS524" s="55">
        <f t="shared" si="3619"/>
        <v>-83</v>
      </c>
      <c r="CT524" s="55">
        <f t="shared" si="3620"/>
        <v>-135</v>
      </c>
      <c r="CU524" s="55">
        <f t="shared" si="3621"/>
        <v>2185</v>
      </c>
      <c r="CV524" s="55">
        <f t="shared" si="3622"/>
        <v>1380</v>
      </c>
      <c r="CW524" s="55">
        <f t="shared" si="3623"/>
        <v>1063</v>
      </c>
      <c r="CX524" s="55">
        <f t="shared" si="3624"/>
        <v>-92</v>
      </c>
      <c r="CY524" s="55">
        <f t="shared" si="3625"/>
        <v>-453</v>
      </c>
      <c r="CZ524" s="56">
        <f t="shared" si="3626"/>
        <v>-17</v>
      </c>
      <c r="DA524" s="55">
        <f t="shared" si="3627"/>
        <v>-45</v>
      </c>
      <c r="DB524" s="55">
        <f t="shared" si="3628"/>
        <v>0</v>
      </c>
      <c r="DC524" s="55">
        <f t="shared" si="3629"/>
        <v>0</v>
      </c>
      <c r="DD524" s="55">
        <f t="shared" si="3630"/>
        <v>0</v>
      </c>
      <c r="DE524" s="55">
        <f t="shared" si="3631"/>
        <v>0</v>
      </c>
      <c r="DF524" s="55">
        <f t="shared" si="3632"/>
        <v>0</v>
      </c>
      <c r="DG524" s="55">
        <f t="shared" si="3633"/>
        <v>0</v>
      </c>
      <c r="DH524" s="55">
        <f t="shared" si="3634"/>
        <v>0</v>
      </c>
      <c r="DI524" s="55">
        <f t="shared" si="3635"/>
        <v>0</v>
      </c>
    </row>
    <row r="525" spans="1:113" s="24" customFormat="1" outlineLevel="1">
      <c r="A525" s="1" t="s">
        <v>833</v>
      </c>
      <c r="B525" s="24" t="s">
        <v>425</v>
      </c>
      <c r="C525" s="82">
        <f t="shared" ref="C525:L525" si="3714">SUM(C522:C524,C515)</f>
        <v>1263</v>
      </c>
      <c r="D525" s="82">
        <f t="shared" si="3714"/>
        <v>1204</v>
      </c>
      <c r="E525" s="82">
        <f t="shared" si="3714"/>
        <v>1451</v>
      </c>
      <c r="F525" s="82">
        <f t="shared" si="3714"/>
        <v>622</v>
      </c>
      <c r="G525" s="82">
        <f t="shared" si="3714"/>
        <v>1390</v>
      </c>
      <c r="H525" s="82">
        <f t="shared" si="3714"/>
        <v>1243</v>
      </c>
      <c r="I525" s="82">
        <f t="shared" si="3714"/>
        <v>1329</v>
      </c>
      <c r="J525" s="82">
        <f t="shared" si="3714"/>
        <v>1712</v>
      </c>
      <c r="K525" s="82">
        <f t="shared" si="3714"/>
        <v>1688</v>
      </c>
      <c r="L525" s="82">
        <f t="shared" si="3714"/>
        <v>1999</v>
      </c>
      <c r="M525" s="82">
        <f t="shared" ref="M525:AD525" si="3715">SUM(M522:M524,M515)</f>
        <v>1929</v>
      </c>
      <c r="N525" s="82">
        <f t="shared" si="3715"/>
        <v>2191</v>
      </c>
      <c r="O525" s="82">
        <f t="shared" si="3715"/>
        <v>2279</v>
      </c>
      <c r="P525" s="82">
        <f t="shared" si="3715"/>
        <v>2371</v>
      </c>
      <c r="Q525" s="82">
        <f t="shared" si="3715"/>
        <v>2420</v>
      </c>
      <c r="R525" s="82">
        <f t="shared" si="3715"/>
        <v>2573</v>
      </c>
      <c r="S525" s="82">
        <f t="shared" si="3715"/>
        <v>2150</v>
      </c>
      <c r="T525" s="82">
        <f t="shared" si="3715"/>
        <v>2914</v>
      </c>
      <c r="U525" s="82">
        <f t="shared" si="3715"/>
        <v>2750</v>
      </c>
      <c r="V525" s="82">
        <f t="shared" si="3715"/>
        <v>3052</v>
      </c>
      <c r="W525" s="82">
        <f t="shared" si="3715"/>
        <v>3342</v>
      </c>
      <c r="X525" s="82">
        <f t="shared" si="3715"/>
        <v>3624</v>
      </c>
      <c r="Y525" s="82">
        <f>SUM(Y522:Y524,Y515)</f>
        <v>3466</v>
      </c>
      <c r="Z525" s="82">
        <f>SUM(Z522:Z524,Z515)</f>
        <v>3631</v>
      </c>
      <c r="AA525" s="82">
        <f t="shared" si="3715"/>
        <v>3987</v>
      </c>
      <c r="AB525" s="82">
        <f t="shared" si="3715"/>
        <v>4207</v>
      </c>
      <c r="AC525" s="82">
        <f t="shared" si="3715"/>
        <v>4424</v>
      </c>
      <c r="AD525" s="82">
        <f t="shared" si="3715"/>
        <v>4535</v>
      </c>
      <c r="AE525" s="82">
        <f t="shared" ref="AE525:AK525" si="3716">SUM(AE522:AE524,AE515)</f>
        <v>4528</v>
      </c>
      <c r="AF525" s="82">
        <f t="shared" si="3716"/>
        <v>4623</v>
      </c>
      <c r="AG525" s="82">
        <f t="shared" si="3716"/>
        <v>4600</v>
      </c>
      <c r="AH525" s="82">
        <f t="shared" si="3716"/>
        <v>4895</v>
      </c>
      <c r="AI525" s="82">
        <f t="shared" si="3716"/>
        <v>5033</v>
      </c>
      <c r="AJ525" s="82">
        <f t="shared" si="3716"/>
        <v>4906</v>
      </c>
      <c r="AK525" s="82">
        <f t="shared" si="3716"/>
        <v>4423</v>
      </c>
      <c r="AL525" s="82">
        <f t="shared" ref="AL525:AQ525" si="3717">SUM(AL522:AL524,AL515)</f>
        <v>4599</v>
      </c>
      <c r="AM525" s="82">
        <f t="shared" si="3717"/>
        <v>3972</v>
      </c>
      <c r="AN525" s="82">
        <f t="shared" si="3717"/>
        <v>6158</v>
      </c>
      <c r="AO525" s="82">
        <f t="shared" si="3717"/>
        <v>3434</v>
      </c>
      <c r="AP525" s="82">
        <f t="shared" si="3717"/>
        <v>4869</v>
      </c>
      <c r="AQ525" s="82">
        <f t="shared" si="3717"/>
        <v>5312</v>
      </c>
      <c r="AR525" s="82">
        <f t="shared" ref="AR525" si="3718">SUM(AR522:AR524,AR515)</f>
        <v>5870</v>
      </c>
      <c r="AS525" s="82">
        <f t="shared" ref="AS525:AT525" si="3719">SUM(AS522:AS524,AS515)</f>
        <v>4901</v>
      </c>
      <c r="AT525" s="82">
        <f t="shared" si="3719"/>
        <v>5172</v>
      </c>
      <c r="AU525" s="82">
        <f t="shared" ref="AU525:AV525" si="3720">SUM(AU522:AU524,AU515)</f>
        <v>4826</v>
      </c>
      <c r="AV525" s="82">
        <f t="shared" si="3720"/>
        <v>4759</v>
      </c>
      <c r="AW525" s="82">
        <f t="shared" ref="AW525:AX525" si="3721">SUM(AW522:AW524,AW515)</f>
        <v>4635</v>
      </c>
      <c r="AX525" s="82">
        <f t="shared" si="3721"/>
        <v>5134</v>
      </c>
      <c r="AY525" s="82">
        <f t="shared" ref="AY525:BE525" si="3722">SUM(AY522:AY524,AY515)</f>
        <v>4981.9999999999982</v>
      </c>
      <c r="AZ525" s="83">
        <f t="shared" si="3722"/>
        <v>5367</v>
      </c>
      <c r="BA525" s="82">
        <f t="shared" si="3722"/>
        <v>5625.6840638307367</v>
      </c>
      <c r="BB525" s="82">
        <f t="shared" si="3722"/>
        <v>5758.6319266536393</v>
      </c>
      <c r="BC525" s="82">
        <f t="shared" si="3722"/>
        <v>5746.8596543950407</v>
      </c>
      <c r="BD525" s="82">
        <f t="shared" si="3722"/>
        <v>5792.7715355671517</v>
      </c>
      <c r="BE525" s="82">
        <f t="shared" si="3722"/>
        <v>5959.9388526669409</v>
      </c>
      <c r="BF525" s="82">
        <f t="shared" ref="BF525:BM525" si="3723">SUM(BF522:BF524,BF515)</f>
        <v>6155.0271683031442</v>
      </c>
      <c r="BG525" s="82">
        <f t="shared" si="3723"/>
        <v>6268.383122056197</v>
      </c>
      <c r="BH525" s="82">
        <f t="shared" si="3723"/>
        <v>6432.36449871471</v>
      </c>
      <c r="BI525" s="82">
        <f t="shared" si="3723"/>
        <v>6453.6378299357511</v>
      </c>
      <c r="BJ525" s="82">
        <f t="shared" si="3723"/>
        <v>6516.2965499839902</v>
      </c>
      <c r="BK525" s="82">
        <f t="shared" si="3723"/>
        <v>6405.4470325453312</v>
      </c>
      <c r="BL525" s="82">
        <f t="shared" si="3723"/>
        <v>6519.4724320990208</v>
      </c>
      <c r="BM525" s="82">
        <f t="shared" si="3723"/>
        <v>6514.6168170682695</v>
      </c>
      <c r="BN525" s="82">
        <f t="shared" ref="BN525:BO525" si="3724">SUM(BN522:BN524,BN515)</f>
        <v>6713.6073359828752</v>
      </c>
      <c r="BO525" s="82">
        <f t="shared" si="3724"/>
        <v>6701.0724439693104</v>
      </c>
      <c r="BP525" s="82">
        <f t="shared" ref="BP525:BQ525" si="3725">SUM(BP522:BP524,BP515)</f>
        <v>6928.0811587323205</v>
      </c>
      <c r="BQ525" s="82">
        <f t="shared" si="3725"/>
        <v>6915.5301613732972</v>
      </c>
      <c r="BR525" s="82"/>
      <c r="BS525" s="82">
        <f t="shared" ref="BS525:CB525" si="3726">SUM(BS522:BS524,BS515)</f>
        <v>408.9</v>
      </c>
      <c r="BT525" s="82">
        <f t="shared" si="3726"/>
        <v>443</v>
      </c>
      <c r="BU525" s="82">
        <f t="shared" si="3726"/>
        <v>682</v>
      </c>
      <c r="BV525" s="82">
        <f t="shared" si="3726"/>
        <v>983</v>
      </c>
      <c r="BW525" s="82">
        <f t="shared" si="3726"/>
        <v>1119</v>
      </c>
      <c r="BX525" s="82">
        <f t="shared" si="3726"/>
        <v>1078</v>
      </c>
      <c r="BY525" s="82">
        <f t="shared" si="3726"/>
        <v>1090</v>
      </c>
      <c r="BZ525" s="82">
        <f t="shared" si="3726"/>
        <v>1422</v>
      </c>
      <c r="CA525" s="82">
        <f t="shared" si="3726"/>
        <v>2700</v>
      </c>
      <c r="CB525" s="82">
        <f t="shared" si="3726"/>
        <v>2398</v>
      </c>
      <c r="CC525" s="82">
        <f t="shared" si="3603"/>
        <v>2655</v>
      </c>
      <c r="CD525" s="82">
        <f t="shared" si="3604"/>
        <v>2012</v>
      </c>
      <c r="CE525" s="82">
        <f t="shared" si="3605"/>
        <v>2572</v>
      </c>
      <c r="CF525" s="82">
        <f t="shared" si="3606"/>
        <v>3400</v>
      </c>
      <c r="CG525" s="82">
        <f t="shared" si="3607"/>
        <v>3928</v>
      </c>
      <c r="CH525" s="82">
        <f t="shared" si="3608"/>
        <v>4470</v>
      </c>
      <c r="CI525" s="82">
        <f t="shared" si="3609"/>
        <v>4791</v>
      </c>
      <c r="CJ525" s="82">
        <f t="shared" si="3610"/>
        <v>4723</v>
      </c>
      <c r="CK525" s="82">
        <f t="shared" si="3611"/>
        <v>5664</v>
      </c>
      <c r="CL525" s="82">
        <f t="shared" si="3612"/>
        <v>6394</v>
      </c>
      <c r="CM525" s="82">
        <f t="shared" si="3613"/>
        <v>7090</v>
      </c>
      <c r="CN525" s="82">
        <f t="shared" si="3614"/>
        <v>7618</v>
      </c>
      <c r="CO525" s="82">
        <f t="shared" si="3615"/>
        <v>8631</v>
      </c>
      <c r="CP525" s="82">
        <f t="shared" si="3616"/>
        <v>9063</v>
      </c>
      <c r="CQ525" s="82">
        <f t="shared" si="3617"/>
        <v>9223</v>
      </c>
      <c r="CR525" s="82">
        <f t="shared" si="3618"/>
        <v>9928</v>
      </c>
      <c r="CS525" s="82">
        <f t="shared" si="3619"/>
        <v>9329</v>
      </c>
      <c r="CT525" s="82">
        <f t="shared" si="3620"/>
        <v>8571</v>
      </c>
      <c r="CU525" s="82">
        <f t="shared" si="3621"/>
        <v>9592</v>
      </c>
      <c r="CV525" s="82">
        <f t="shared" si="3622"/>
        <v>10181</v>
      </c>
      <c r="CW525" s="82">
        <f t="shared" si="3623"/>
        <v>10771</v>
      </c>
      <c r="CX525" s="82">
        <f t="shared" si="3624"/>
        <v>9998</v>
      </c>
      <c r="CY525" s="82">
        <f t="shared" si="3625"/>
        <v>9394</v>
      </c>
      <c r="CZ525" s="83">
        <f t="shared" si="3626"/>
        <v>10115.999999999998</v>
      </c>
      <c r="DA525" s="82">
        <f t="shared" si="3627"/>
        <v>10992.684063830737</v>
      </c>
      <c r="DB525" s="82">
        <f t="shared" si="3628"/>
        <v>11505.49158104868</v>
      </c>
      <c r="DC525" s="82">
        <f t="shared" si="3629"/>
        <v>11752.710388234093</v>
      </c>
      <c r="DD525" s="82">
        <f t="shared" si="3630"/>
        <v>12423.410290359341</v>
      </c>
      <c r="DE525" s="82">
        <f t="shared" si="3631"/>
        <v>12886.002328650462</v>
      </c>
      <c r="DF525" s="82">
        <f t="shared" si="3632"/>
        <v>12921.743582529321</v>
      </c>
      <c r="DG525" s="82">
        <f t="shared" si="3633"/>
        <v>13034.089249167289</v>
      </c>
      <c r="DH525" s="82">
        <f t="shared" si="3634"/>
        <v>13414.679779952185</v>
      </c>
      <c r="DI525" s="82">
        <f t="shared" si="3635"/>
        <v>13843.611320105618</v>
      </c>
    </row>
    <row r="526" spans="1:113" outlineLevel="1">
      <c r="A526" s="1" t="s">
        <v>834</v>
      </c>
      <c r="B526" s="19" t="s">
        <v>426</v>
      </c>
      <c r="C526" s="53">
        <v>98</v>
      </c>
      <c r="D526" s="53">
        <v>-40</v>
      </c>
      <c r="E526" s="53">
        <v>-146</v>
      </c>
      <c r="F526" s="53">
        <v>156</v>
      </c>
      <c r="G526" s="53">
        <v>-129</v>
      </c>
      <c r="H526" s="53">
        <v>-173</v>
      </c>
      <c r="I526" s="53">
        <v>-8</v>
      </c>
      <c r="J526" s="53">
        <f>-151+0+0</f>
        <v>-151</v>
      </c>
      <c r="K526" s="53">
        <f>10+0+0</f>
        <v>10</v>
      </c>
      <c r="L526" s="53">
        <f>80+41-17</f>
        <v>104</v>
      </c>
      <c r="M526" s="53">
        <f>-312+30</f>
        <v>-282</v>
      </c>
      <c r="N526" s="53">
        <f>97-10</f>
        <v>87</v>
      </c>
      <c r="O526" s="53">
        <f>-43-3</f>
        <v>-46</v>
      </c>
      <c r="P526" s="53">
        <f>-49-56-13+17</f>
        <v>-101</v>
      </c>
      <c r="Q526" s="53">
        <f>-506-37+36+13</f>
        <v>-494</v>
      </c>
      <c r="R526" s="53">
        <f>722-197-8+57</f>
        <v>574</v>
      </c>
      <c r="S526" s="53">
        <f>-208-149+6+39</f>
        <v>-312</v>
      </c>
      <c r="T526" s="53">
        <f>-125+26-1</f>
        <v>-100</v>
      </c>
      <c r="U526" s="53">
        <f>84-4-1+1</f>
        <v>80</v>
      </c>
      <c r="V526" s="53">
        <f>-494+8+9</f>
        <v>-477</v>
      </c>
      <c r="W526" s="53">
        <f>-65+5+7</f>
        <v>-53</v>
      </c>
      <c r="X526" s="53">
        <f>11-8</f>
        <v>3</v>
      </c>
      <c r="Y526" s="53">
        <f>191-4</f>
        <v>187</v>
      </c>
      <c r="Z526" s="53">
        <f>21-1</f>
        <v>20</v>
      </c>
      <c r="AA526" s="164">
        <f>455-9</f>
        <v>446</v>
      </c>
      <c r="AB526" s="164">
        <f>447-13</f>
        <v>434</v>
      </c>
      <c r="AC526" s="164">
        <f>-48-1</f>
        <v>-49</v>
      </c>
      <c r="AD526" s="164">
        <f>388</f>
        <v>388</v>
      </c>
      <c r="AE526" s="164">
        <v>10</v>
      </c>
      <c r="AF526" s="164">
        <v>381</v>
      </c>
      <c r="AG526" s="164">
        <v>2</v>
      </c>
      <c r="AH526" s="164">
        <v>83</v>
      </c>
      <c r="AI526" s="164">
        <v>-365</v>
      </c>
      <c r="AJ526" s="164">
        <v>-250</v>
      </c>
      <c r="AK526" s="164">
        <v>238</v>
      </c>
      <c r="AL526" s="164">
        <v>386</v>
      </c>
      <c r="AM526" s="164">
        <v>71</v>
      </c>
      <c r="AN526" s="164">
        <v>18</v>
      </c>
      <c r="AO526" s="164">
        <v>-204</v>
      </c>
      <c r="AP526" s="164">
        <v>-296</v>
      </c>
      <c r="AQ526" s="164">
        <v>84</v>
      </c>
      <c r="AR526" s="164">
        <v>234</v>
      </c>
      <c r="AS526" s="164">
        <v>-474</v>
      </c>
      <c r="AT526" s="164">
        <v>314</v>
      </c>
      <c r="AU526" s="164">
        <v>-85</v>
      </c>
      <c r="AV526" s="164">
        <v>-15</v>
      </c>
      <c r="AW526" s="164">
        <v>-20</v>
      </c>
      <c r="AX526" s="164">
        <v>54</v>
      </c>
      <c r="AY526" s="164">
        <v>176</v>
      </c>
      <c r="AZ526" s="171">
        <v>-890</v>
      </c>
      <c r="BA526" s="55">
        <f t="shared" ref="BA526:BE526" si="3727">(AZ19/BA19-1)*AZ167/AZ181*AZ538+(AZ18/BA18-1)*AZ173/AZ181*AZ538</f>
        <v>551.88496550938851</v>
      </c>
      <c r="BB526" s="55">
        <f t="shared" si="3727"/>
        <v>-249.31534930010557</v>
      </c>
      <c r="BC526" s="55">
        <f t="shared" si="3727"/>
        <v>-78.270953047117814</v>
      </c>
      <c r="BD526" s="55">
        <f t="shared" si="3727"/>
        <v>-74.792141517339545</v>
      </c>
      <c r="BE526" s="55">
        <f t="shared" si="3727"/>
        <v>-135.9058954689433</v>
      </c>
      <c r="BF526" s="55">
        <f t="shared" ref="BF526:BM526" si="3728">(BE19/BF19-1)*BE167/BE181*BE538+(BE18/BF18-1)*BE173/BE181*BE538</f>
        <v>-130.18013146023745</v>
      </c>
      <c r="BG526" s="55">
        <f t="shared" si="3728"/>
        <v>-122.8816807449727</v>
      </c>
      <c r="BH526" s="55">
        <f t="shared" si="3728"/>
        <v>-117.28052613016348</v>
      </c>
      <c r="BI526" s="55">
        <f t="shared" si="3728"/>
        <v>-111.5576993433436</v>
      </c>
      <c r="BJ526" s="55">
        <f t="shared" si="3728"/>
        <v>-107.05776152016352</v>
      </c>
      <c r="BK526" s="55">
        <f t="shared" si="3728"/>
        <v>0</v>
      </c>
      <c r="BL526" s="55">
        <f t="shared" si="3728"/>
        <v>0</v>
      </c>
      <c r="BM526" s="55">
        <f t="shared" si="3728"/>
        <v>0</v>
      </c>
      <c r="BN526" s="55">
        <f t="shared" ref="BN526" si="3729">(BM19/BN19-1)*BM167/BM181*BM538+(BM18/BN18-1)*BM173/BM181*BM538</f>
        <v>0</v>
      </c>
      <c r="BO526" s="55">
        <f t="shared" ref="BO526" si="3730">(BN19/BO19-1)*BN167/BN181*BN538+(BN18/BO18-1)*BN173/BN181*BN538</f>
        <v>0</v>
      </c>
      <c r="BP526" s="55">
        <f t="shared" ref="BP526" si="3731">(BO19/BP19-1)*BO167/BO181*BO538+(BO18/BP18-1)*BO173/BO181*BO538</f>
        <v>0</v>
      </c>
      <c r="BQ526" s="55">
        <f t="shared" ref="BQ526" si="3732">(BP19/BQ19-1)*BP167/BP181*BP538+(BP18/BQ18-1)*BP173/BP181*BP538</f>
        <v>0</v>
      </c>
      <c r="BR526" s="55"/>
      <c r="BS526" s="53">
        <v>1.6</v>
      </c>
      <c r="BT526" s="53">
        <v>21.4</v>
      </c>
      <c r="BU526" s="53">
        <v>-2.4</v>
      </c>
      <c r="BV526" s="53">
        <v>43</v>
      </c>
      <c r="BW526" s="53">
        <v>-34</v>
      </c>
      <c r="BX526" s="53">
        <v>28</v>
      </c>
      <c r="BY526" s="53">
        <v>-45</v>
      </c>
      <c r="BZ526" s="53">
        <v>-33</v>
      </c>
      <c r="CA526" s="53">
        <v>-26</v>
      </c>
      <c r="CB526" s="53">
        <v>98</v>
      </c>
      <c r="CC526" s="55">
        <f t="shared" si="3603"/>
        <v>-186</v>
      </c>
      <c r="CD526" s="55">
        <f t="shared" si="3604"/>
        <v>27</v>
      </c>
      <c r="CE526" s="55">
        <f t="shared" si="3605"/>
        <v>-181</v>
      </c>
      <c r="CF526" s="55">
        <f t="shared" si="3606"/>
        <v>-141</v>
      </c>
      <c r="CG526" s="55">
        <f t="shared" si="3607"/>
        <v>-178</v>
      </c>
      <c r="CH526" s="55">
        <f t="shared" si="3608"/>
        <v>41</v>
      </c>
      <c r="CI526" s="55">
        <f t="shared" si="3609"/>
        <v>-595</v>
      </c>
      <c r="CJ526" s="55">
        <f t="shared" si="3610"/>
        <v>262</v>
      </c>
      <c r="CK526" s="55">
        <f t="shared" si="3611"/>
        <v>-20</v>
      </c>
      <c r="CL526" s="55">
        <f t="shared" si="3612"/>
        <v>-530</v>
      </c>
      <c r="CM526" s="55">
        <f t="shared" si="3613"/>
        <v>190</v>
      </c>
      <c r="CN526" s="55">
        <f t="shared" si="3614"/>
        <v>466</v>
      </c>
      <c r="CO526" s="55">
        <f t="shared" si="3615"/>
        <v>385</v>
      </c>
      <c r="CP526" s="55">
        <f t="shared" si="3616"/>
        <v>398</v>
      </c>
      <c r="CQ526" s="55">
        <f t="shared" si="3617"/>
        <v>383</v>
      </c>
      <c r="CR526" s="55">
        <f t="shared" si="3618"/>
        <v>-282</v>
      </c>
      <c r="CS526" s="55">
        <f t="shared" si="3619"/>
        <v>-12</v>
      </c>
      <c r="CT526" s="55">
        <f t="shared" si="3620"/>
        <v>457</v>
      </c>
      <c r="CU526" s="55">
        <f t="shared" si="3621"/>
        <v>-186</v>
      </c>
      <c r="CV526" s="55">
        <f t="shared" si="3622"/>
        <v>-212</v>
      </c>
      <c r="CW526" s="55">
        <f t="shared" si="3623"/>
        <v>-240</v>
      </c>
      <c r="CX526" s="55">
        <f t="shared" si="3624"/>
        <v>229</v>
      </c>
      <c r="CY526" s="55">
        <f t="shared" si="3625"/>
        <v>-35</v>
      </c>
      <c r="CZ526" s="56">
        <f t="shared" si="3626"/>
        <v>230</v>
      </c>
      <c r="DA526" s="55">
        <f t="shared" si="3627"/>
        <v>-338.11503449061149</v>
      </c>
      <c r="DB526" s="55">
        <f t="shared" si="3628"/>
        <v>-327.58630234722341</v>
      </c>
      <c r="DC526" s="55">
        <f t="shared" si="3629"/>
        <v>-210.69803698628283</v>
      </c>
      <c r="DD526" s="55">
        <f t="shared" si="3630"/>
        <v>-253.06181220521015</v>
      </c>
      <c r="DE526" s="55">
        <f t="shared" si="3631"/>
        <v>-228.83822547350707</v>
      </c>
      <c r="DF526" s="55">
        <f t="shared" si="3632"/>
        <v>-107.05776152016352</v>
      </c>
      <c r="DG526" s="55">
        <f t="shared" si="3633"/>
        <v>0</v>
      </c>
      <c r="DH526" s="55">
        <f t="shared" si="3634"/>
        <v>0</v>
      </c>
      <c r="DI526" s="55">
        <f t="shared" si="3635"/>
        <v>0</v>
      </c>
    </row>
    <row r="527" spans="1:113" outlineLevel="1">
      <c r="A527" s="1" t="s">
        <v>835</v>
      </c>
      <c r="B527" s="19" t="s">
        <v>427</v>
      </c>
      <c r="C527" s="53">
        <f>19848-SUM(C525:C526,C528,C535:C537,C539:C540,C533)</f>
        <v>-662.5</v>
      </c>
      <c r="D527" s="53">
        <f>20404-SUM(D525:D526,D528,D535:D537,D539:D540,D533)</f>
        <v>-82</v>
      </c>
      <c r="E527" s="53">
        <f>21056-SUM(E525:E526,E528,E535:E537,E539:E540,E533)</f>
        <v>64</v>
      </c>
      <c r="F527" s="53">
        <f>22446-SUM(F525:F526,F528,F535:F537,F539:F540,F533)</f>
        <v>1242</v>
      </c>
      <c r="G527" s="53">
        <f>22152-SUM(G525:G526,G528,G535:G537,G539:G540,G533)</f>
        <v>34</v>
      </c>
      <c r="H527" s="53">
        <f>23201-SUM(H525:H526,H528,H535:H537,H539:H540,H533)</f>
        <v>37</v>
      </c>
      <c r="I527" s="53">
        <f>24885-SUM(I525:I526,I528,I535:I537,I539:I540,I533)</f>
        <v>-225</v>
      </c>
      <c r="J527" s="53">
        <f>22101-SUM(J525:J526,J528,J535:J537,J539:J540,J533)</f>
        <v>-2826</v>
      </c>
      <c r="K527" s="53">
        <f>22643-SUM(K525:K526,K528,K535:K537,K539:K540,K533)</f>
        <v>178</v>
      </c>
      <c r="L527" s="53">
        <f>19850-SUM(L525:L526,L528,L535:L537,L539:L540,L533)</f>
        <v>-1135</v>
      </c>
      <c r="M527" s="53">
        <f>21343-SUM(M525:M526,M528,M535:M537,M539:M540,M533)</f>
        <v>1352</v>
      </c>
      <c r="N527" s="53">
        <f>22487-SUM(N525:N526,N528,N535:N537,N539:N540,N533)</f>
        <v>262</v>
      </c>
      <c r="O527" s="53">
        <f>24444-SUM(O525:O526,O528,O535:O537,O539:O540,O533)</f>
        <v>609</v>
      </c>
      <c r="P527" s="53">
        <f>25638-SUM(P525:P526,P528,P535:P537,P539:P540,P533)</f>
        <v>38</v>
      </c>
      <c r="Q527" s="53">
        <f>26137-SUM(Q525:Q526,Q528,Q535:Q537,Q539:Q540,Q533)</f>
        <v>-324</v>
      </c>
      <c r="R527" s="53">
        <f>29987-SUM(R525:R526,R528,R535:R537,R539:R540,R533)</f>
        <v>-1903</v>
      </c>
      <c r="S527" s="53">
        <f>31442-SUM(S525:S526,S528,S535:S537,S539:S540,S533)</f>
        <v>41</v>
      </c>
      <c r="T527" s="53">
        <f>33583-SUM(T525:T526,T528,T535:T537,T539:T540,T533)</f>
        <v>410</v>
      </c>
      <c r="U527" s="53">
        <f>35570-SUM(U525:U526,U528,U535:U537,U539:U540,U533)</f>
        <v>246</v>
      </c>
      <c r="V527" s="53">
        <f>35349-SUM(V525:V526,V528,V535:V537,V539:V540,V533)</f>
        <v>-147</v>
      </c>
      <c r="W527" s="53">
        <f>37287-SUM(W525:W526,W528,W535:W537,W539:W540,W533)</f>
        <v>198</v>
      </c>
      <c r="X527" s="53">
        <f>38875-SUM(X525:X526,X528,X535:X537,X539:X540,X533)</f>
        <v>77</v>
      </c>
      <c r="Y527" s="53">
        <f>41572-SUM(Y525:Y526,Y528,Y535:Y537,Y539:Y540,Y533)</f>
        <v>698</v>
      </c>
      <c r="Z527" s="53">
        <f>43348-SUM(Z525:Z526,Z528,Z535:Z537,Z539:Z540,Z533)</f>
        <v>352</v>
      </c>
      <c r="AA527" s="164">
        <f>45537-SUM(AA525:AA526,AA528,AA535:AA537,AA539:AA540,AA533)</f>
        <v>410</v>
      </c>
      <c r="AB527" s="164">
        <f>47037-SUM(AB525:AB526,AB528,AB535:AB537,AB539:AB540,AB533)</f>
        <v>107</v>
      </c>
      <c r="AC527" s="164">
        <f>49348-SUM(AC525:AC526,AC528,AC535:AC537,AC539:AC540,AC533)</f>
        <v>200</v>
      </c>
      <c r="AD527" s="164">
        <f>51031-SUM(AD525:AD526,AD528,AD535:AD537,AD539:AD540,AD533)</f>
        <v>299</v>
      </c>
      <c r="AE527" s="164">
        <f>52993-SUM(AE525:AE526,AE528,AE535:AE537,AE539:AE540,AE533)</f>
        <v>85</v>
      </c>
      <c r="AF527" s="164">
        <f>59664-SUM(AF525:AF526,AF528,AF535:AF537,AF539:AF540,AF533)</f>
        <v>580</v>
      </c>
      <c r="AG527" s="164">
        <f>60564-SUM(AG525:AG526,AG528,AG535:AG537,AG539:AG540,AG533)</f>
        <v>-851</v>
      </c>
      <c r="AH527" s="164">
        <f>61756-SUM(AH525:AH526,AH528,AH535:AH537,AH539:AH540,AH533)</f>
        <v>-565</v>
      </c>
      <c r="AI527" s="164">
        <f>63660-SUM(AI525:AI526,AI528,AI535:AI537,AI539:AI540,AI533)</f>
        <v>113</v>
      </c>
      <c r="AJ527" s="164">
        <f>66091-SUM(AJ525:AJ526,AJ528,AJ535:AJ537,AJ539:AJ540,AJ533)</f>
        <v>174</v>
      </c>
      <c r="AK527" s="164">
        <f>67860-SUM(AK525:AK526,AK528,AK535:AK537,AK539:AK540,AK533)</f>
        <v>80</v>
      </c>
      <c r="AL527" s="164">
        <f>68578-SUM(AL525:AL526,AL528,AL535:AL537,AL539:AL540,AL533)</f>
        <v>-949</v>
      </c>
      <c r="AM527" s="164">
        <f>69649-SUM(AM525:AM526,AM528,AM535:AM537,AM539:AM540,AM533)</f>
        <v>1067</v>
      </c>
      <c r="AN527" s="164">
        <f>71153-SUM(AN525:AN526,AN528,AN535:AN537,AN539:AN540,AN533)</f>
        <v>-579</v>
      </c>
      <c r="AO527" s="164">
        <f>(1015471-943533)-SUM(AO525:AO526,AO528,AO535:AO537,AO539:AO540,AO533)</f>
        <v>1141</v>
      </c>
      <c r="AP527" s="164">
        <f>(1059220-984300)-SUM(AP525:AP526,AP528,AP535:AP537,AP539:AP540,AP533)</f>
        <v>-120</v>
      </c>
      <c r="AQ527" s="164">
        <f>(1091962-1013244)-SUM(AQ525:AQ526,AQ528,AQ535:AQ537,AQ539:AQ540,AQ533)</f>
        <v>1063</v>
      </c>
      <c r="AR527" s="164">
        <f>(1149813-1075150)-SUM(AR525:AR526,AR528,AR535:AR537,AR539:AR540,AR533)</f>
        <v>-610</v>
      </c>
      <c r="AS527" s="164">
        <f>(1215260-1142422)-SUM(AS525:AS526,AS528,AS535:AS537,AS539:AS540,AS533)</f>
        <v>-2795</v>
      </c>
      <c r="AT527" s="164">
        <f>(1232436-1159893)-SUM(AT525:AT526,AT528,AT535:AT537,AT539:AT540,AT533)</f>
        <v>-879</v>
      </c>
      <c r="AU527" s="164">
        <f>(1232436-1159893)-SUM(AU525:AU526,AU528,AU535:AU537,AU539:AU540,AU533)</f>
        <v>7</v>
      </c>
      <c r="AV527" s="164">
        <f>(1275969-1203130)-SUM(AV525:AV526,AV528,AV535:AV537,AV539:AV540,AV533)</f>
        <v>-271</v>
      </c>
      <c r="AW527" s="164">
        <f>(1254076-1180988)-SUM(AW525:AW526,AW528,AW535:AW537,AW539:AW540,AW533)</f>
        <v>-638</v>
      </c>
      <c r="AX527" s="164">
        <f>(1308566-1233302)-SUM(AX525:AX526,AX528,AX535:AX537,AX539:AX540,AX533)</f>
        <v>1195</v>
      </c>
      <c r="AY527" s="164">
        <f>(1353799-1275023)-SUM(AY525:AY526,AY528,AY535:AY537,AY539:AY540,AY533)</f>
        <v>2119</v>
      </c>
      <c r="AZ527" s="171">
        <f>(1408728-1331496)-SUM(AZ525:AZ526,AZ528,AZ535:AZ537,AZ539:AZ540,AZ533)</f>
        <v>-1670</v>
      </c>
      <c r="BA527" s="54">
        <v>0</v>
      </c>
      <c r="BB527" s="54">
        <v>0</v>
      </c>
      <c r="BC527" s="54">
        <v>0</v>
      </c>
      <c r="BD527" s="54">
        <v>0</v>
      </c>
      <c r="BE527" s="54">
        <v>0</v>
      </c>
      <c r="BF527" s="54">
        <v>0</v>
      </c>
      <c r="BG527" s="54">
        <v>0</v>
      </c>
      <c r="BH527" s="54">
        <v>0</v>
      </c>
      <c r="BI527" s="54">
        <v>0</v>
      </c>
      <c r="BJ527" s="54">
        <v>0</v>
      </c>
      <c r="BK527" s="54">
        <v>0</v>
      </c>
      <c r="BL527" s="54">
        <v>0</v>
      </c>
      <c r="BM527" s="54">
        <v>0</v>
      </c>
      <c r="BN527" s="54">
        <v>0</v>
      </c>
      <c r="BO527" s="54">
        <v>0</v>
      </c>
      <c r="BP527" s="54">
        <v>0</v>
      </c>
      <c r="BQ527" s="54">
        <v>0</v>
      </c>
      <c r="BR527" s="55"/>
      <c r="BS527" s="53">
        <f>7427.6-SUM(BS525:BS526,BS528,BS535:BS537,BS539:BS540,BS533)</f>
        <v>6965.1</v>
      </c>
      <c r="BT527" s="53">
        <f>5631.9-SUM(BT525:BT526,BT528,BT535:BT537,BT539:BT540,BT533)</f>
        <v>-61</v>
      </c>
      <c r="BU527" s="53">
        <f>6071-SUM(BU525:BU526,BU528,BU535:BU537,BU539:BU540,BU533)</f>
        <v>200.10000000000036</v>
      </c>
      <c r="BV527" s="53">
        <f>6695-SUM(BV525:BV526,BV528,BV535:BV537,BV539:BV540,BV533)</f>
        <v>64.199999999999818</v>
      </c>
      <c r="BW527" s="53">
        <f>7367-SUM(BW525:BW526,BW528,BW535:BW537,BW539:BW540,BW533)</f>
        <v>320.69999999999982</v>
      </c>
      <c r="BX527" s="53">
        <f>7024-SUM(BX525:BX526,BX528,BX535:BX537,BX539:BX540,BX533)</f>
        <v>-465</v>
      </c>
      <c r="BY527" s="53">
        <f>6889-SUM(BY525:BY526,BY528,BY535:BY537,BY539:BY540,BY533)</f>
        <v>-184</v>
      </c>
      <c r="BZ527" s="53">
        <f>6962-SUM(BZ525:BZ526,BZ528,BZ535:BZ537,BZ539:BZ540,BZ533)</f>
        <v>-1903</v>
      </c>
      <c r="CA527" s="53">
        <f>18435-SUM(CA525:CA526,CA528,CA535:CA537,CA539:CA540,CA533)</f>
        <v>401</v>
      </c>
      <c r="CB527" s="53">
        <f>19848-SUM(CB525:CB526,CB528,CB535:CB537,CB539:CB540,CB533)</f>
        <v>-449</v>
      </c>
      <c r="CC527" s="55">
        <f t="shared" si="3603"/>
        <v>-18</v>
      </c>
      <c r="CD527" s="55">
        <f t="shared" si="3604"/>
        <v>1276</v>
      </c>
      <c r="CE527" s="55">
        <f t="shared" si="3605"/>
        <v>-188</v>
      </c>
      <c r="CF527" s="55">
        <f t="shared" si="3606"/>
        <v>-2648</v>
      </c>
      <c r="CG527" s="55">
        <f t="shared" si="3607"/>
        <v>217</v>
      </c>
      <c r="CH527" s="55">
        <f t="shared" si="3608"/>
        <v>871</v>
      </c>
      <c r="CI527" s="55">
        <f t="shared" si="3609"/>
        <v>-286</v>
      </c>
      <c r="CJ527" s="55">
        <f t="shared" si="3610"/>
        <v>-1862</v>
      </c>
      <c r="CK527" s="55">
        <f t="shared" si="3611"/>
        <v>656</v>
      </c>
      <c r="CL527" s="55">
        <f t="shared" si="3612"/>
        <v>51</v>
      </c>
      <c r="CM527" s="55">
        <f t="shared" si="3613"/>
        <v>775</v>
      </c>
      <c r="CN527" s="55">
        <f t="shared" si="3614"/>
        <v>762</v>
      </c>
      <c r="CO527" s="55">
        <f t="shared" si="3615"/>
        <v>307</v>
      </c>
      <c r="CP527" s="55">
        <f t="shared" si="3616"/>
        <v>384</v>
      </c>
      <c r="CQ527" s="55">
        <f t="shared" si="3617"/>
        <v>-271</v>
      </c>
      <c r="CR527" s="55">
        <f t="shared" si="3618"/>
        <v>-452</v>
      </c>
      <c r="CS527" s="55">
        <f t="shared" si="3619"/>
        <v>254</v>
      </c>
      <c r="CT527" s="55">
        <f t="shared" si="3620"/>
        <v>118</v>
      </c>
      <c r="CU527" s="55">
        <f t="shared" si="3621"/>
        <v>562</v>
      </c>
      <c r="CV527" s="55">
        <f t="shared" si="3622"/>
        <v>943</v>
      </c>
      <c r="CW527" s="55">
        <f t="shared" si="3623"/>
        <v>-3405</v>
      </c>
      <c r="CX527" s="55">
        <f t="shared" si="3624"/>
        <v>-872</v>
      </c>
      <c r="CY527" s="55">
        <f t="shared" si="3625"/>
        <v>-909</v>
      </c>
      <c r="CZ527" s="56">
        <f t="shared" si="3626"/>
        <v>3314</v>
      </c>
      <c r="DA527" s="55">
        <f t="shared" si="3627"/>
        <v>-1670</v>
      </c>
      <c r="DB527" s="55">
        <f t="shared" si="3628"/>
        <v>0</v>
      </c>
      <c r="DC527" s="55">
        <f t="shared" si="3629"/>
        <v>0</v>
      </c>
      <c r="DD527" s="55">
        <f t="shared" si="3630"/>
        <v>0</v>
      </c>
      <c r="DE527" s="55">
        <f t="shared" si="3631"/>
        <v>0</v>
      </c>
      <c r="DF527" s="55">
        <f t="shared" si="3632"/>
        <v>0</v>
      </c>
      <c r="DG527" s="55">
        <f t="shared" si="3633"/>
        <v>0</v>
      </c>
      <c r="DH527" s="55">
        <f t="shared" si="3634"/>
        <v>0</v>
      </c>
      <c r="DI527" s="55">
        <f t="shared" si="3635"/>
        <v>0</v>
      </c>
    </row>
    <row r="528" spans="1:113" outlineLevel="1">
      <c r="A528" s="1" t="s">
        <v>836</v>
      </c>
      <c r="B528" s="19" t="s">
        <v>428</v>
      </c>
      <c r="C528" s="53">
        <v>0</v>
      </c>
      <c r="D528" s="53">
        <v>0</v>
      </c>
      <c r="E528" s="53">
        <v>0</v>
      </c>
      <c r="F528" s="53">
        <v>0</v>
      </c>
      <c r="G528" s="53">
        <v>0</v>
      </c>
      <c r="H528" s="53">
        <v>0</v>
      </c>
      <c r="I528" s="53">
        <v>0</v>
      </c>
      <c r="J528" s="53">
        <v>0</v>
      </c>
      <c r="K528" s="53">
        <v>0</v>
      </c>
      <c r="L528" s="53">
        <v>0</v>
      </c>
      <c r="M528" s="53">
        <v>0</v>
      </c>
      <c r="N528" s="53">
        <v>0</v>
      </c>
      <c r="O528" s="53">
        <v>0</v>
      </c>
      <c r="P528" s="53">
        <v>0</v>
      </c>
      <c r="Q528" s="53">
        <v>0</v>
      </c>
      <c r="R528" s="53">
        <v>0</v>
      </c>
      <c r="S528" s="53">
        <v>0</v>
      </c>
      <c r="T528" s="53">
        <v>0</v>
      </c>
      <c r="U528" s="53">
        <v>0</v>
      </c>
      <c r="V528" s="53">
        <v>0</v>
      </c>
      <c r="W528" s="53">
        <v>0</v>
      </c>
      <c r="X528" s="53">
        <v>0</v>
      </c>
      <c r="Y528" s="53">
        <v>0</v>
      </c>
      <c r="Z528" s="164">
        <v>0</v>
      </c>
      <c r="AA528" s="164">
        <v>0</v>
      </c>
      <c r="AB528" s="164">
        <v>0</v>
      </c>
      <c r="AC528" s="164">
        <v>0</v>
      </c>
      <c r="AD528" s="164">
        <v>0</v>
      </c>
      <c r="AE528" s="164">
        <v>0</v>
      </c>
      <c r="AF528" s="164">
        <v>0</v>
      </c>
      <c r="AG528" s="164">
        <v>0</v>
      </c>
      <c r="AH528" s="164">
        <v>0</v>
      </c>
      <c r="AI528" s="164">
        <v>0</v>
      </c>
      <c r="AJ528" s="164">
        <v>0</v>
      </c>
      <c r="AK528" s="164">
        <v>0</v>
      </c>
      <c r="AL528" s="164">
        <v>0</v>
      </c>
      <c r="AM528" s="164">
        <v>0</v>
      </c>
      <c r="AN528" s="164">
        <v>0</v>
      </c>
      <c r="AO528" s="164">
        <v>0</v>
      </c>
      <c r="AP528" s="164">
        <v>0</v>
      </c>
      <c r="AQ528" s="164">
        <v>0</v>
      </c>
      <c r="AR528" s="164">
        <v>0</v>
      </c>
      <c r="AS528" s="164">
        <v>0</v>
      </c>
      <c r="AT528" s="164">
        <v>0</v>
      </c>
      <c r="AU528" s="164">
        <v>0</v>
      </c>
      <c r="AV528" s="164">
        <v>0</v>
      </c>
      <c r="AW528" s="164">
        <v>0</v>
      </c>
      <c r="AX528" s="164">
        <v>0</v>
      </c>
      <c r="AY528" s="164">
        <v>0</v>
      </c>
      <c r="AZ528" s="171">
        <v>0</v>
      </c>
      <c r="BA528" s="54">
        <v>0</v>
      </c>
      <c r="BB528" s="54">
        <v>0</v>
      </c>
      <c r="BC528" s="54">
        <v>0</v>
      </c>
      <c r="BD528" s="54">
        <v>0</v>
      </c>
      <c r="BE528" s="54">
        <v>0</v>
      </c>
      <c r="BF528" s="54">
        <v>0</v>
      </c>
      <c r="BG528" s="54">
        <v>0</v>
      </c>
      <c r="BH528" s="54">
        <v>0</v>
      </c>
      <c r="BI528" s="54">
        <v>0</v>
      </c>
      <c r="BJ528" s="54">
        <v>0</v>
      </c>
      <c r="BK528" s="54">
        <v>0</v>
      </c>
      <c r="BL528" s="54">
        <v>0</v>
      </c>
      <c r="BM528" s="54">
        <v>0</v>
      </c>
      <c r="BN528" s="54">
        <v>0</v>
      </c>
      <c r="BO528" s="54">
        <v>0</v>
      </c>
      <c r="BP528" s="54">
        <v>0</v>
      </c>
      <c r="BQ528" s="54">
        <v>0</v>
      </c>
      <c r="BR528" s="55"/>
      <c r="BS528" s="53">
        <v>0</v>
      </c>
      <c r="BT528" s="53">
        <v>0</v>
      </c>
      <c r="BU528" s="53">
        <v>0</v>
      </c>
      <c r="BV528" s="53">
        <v>0</v>
      </c>
      <c r="BW528" s="53">
        <v>0</v>
      </c>
      <c r="BX528" s="53">
        <v>0</v>
      </c>
      <c r="BY528" s="53">
        <v>0</v>
      </c>
      <c r="BZ528" s="53">
        <v>0</v>
      </c>
      <c r="CA528" s="53">
        <v>31</v>
      </c>
      <c r="CB528" s="53">
        <v>0</v>
      </c>
      <c r="CC528" s="55">
        <f t="shared" si="3603"/>
        <v>0</v>
      </c>
      <c r="CD528" s="55">
        <f t="shared" si="3604"/>
        <v>0</v>
      </c>
      <c r="CE528" s="55">
        <f t="shared" si="3605"/>
        <v>0</v>
      </c>
      <c r="CF528" s="55">
        <f t="shared" si="3606"/>
        <v>0</v>
      </c>
      <c r="CG528" s="55">
        <f t="shared" si="3607"/>
        <v>0</v>
      </c>
      <c r="CH528" s="55">
        <f t="shared" si="3608"/>
        <v>0</v>
      </c>
      <c r="CI528" s="55">
        <f t="shared" si="3609"/>
        <v>0</v>
      </c>
      <c r="CJ528" s="55">
        <f t="shared" si="3610"/>
        <v>0</v>
      </c>
      <c r="CK528" s="55">
        <f t="shared" si="3611"/>
        <v>0</v>
      </c>
      <c r="CL528" s="55">
        <f t="shared" si="3612"/>
        <v>0</v>
      </c>
      <c r="CM528" s="55">
        <f t="shared" si="3613"/>
        <v>0</v>
      </c>
      <c r="CN528" s="55">
        <f t="shared" si="3614"/>
        <v>0</v>
      </c>
      <c r="CO528" s="55">
        <f t="shared" si="3615"/>
        <v>0</v>
      </c>
      <c r="CP528" s="55">
        <f t="shared" si="3616"/>
        <v>0</v>
      </c>
      <c r="CQ528" s="55">
        <f t="shared" si="3617"/>
        <v>0</v>
      </c>
      <c r="CR528" s="55">
        <f t="shared" si="3618"/>
        <v>0</v>
      </c>
      <c r="CS528" s="55">
        <f t="shared" si="3619"/>
        <v>0</v>
      </c>
      <c r="CT528" s="55">
        <f t="shared" si="3620"/>
        <v>0</v>
      </c>
      <c r="CU528" s="55">
        <f t="shared" si="3621"/>
        <v>0</v>
      </c>
      <c r="CV528" s="55">
        <f t="shared" si="3622"/>
        <v>0</v>
      </c>
      <c r="CW528" s="55">
        <f t="shared" si="3623"/>
        <v>0</v>
      </c>
      <c r="CX528" s="55">
        <f t="shared" si="3624"/>
        <v>0</v>
      </c>
      <c r="CY528" s="55">
        <f t="shared" si="3625"/>
        <v>0</v>
      </c>
      <c r="CZ528" s="56">
        <f t="shared" si="3626"/>
        <v>0</v>
      </c>
      <c r="DA528" s="55">
        <f t="shared" si="3627"/>
        <v>0</v>
      </c>
      <c r="DB528" s="55">
        <f t="shared" si="3628"/>
        <v>0</v>
      </c>
      <c r="DC528" s="55">
        <f t="shared" si="3629"/>
        <v>0</v>
      </c>
      <c r="DD528" s="55">
        <f t="shared" si="3630"/>
        <v>0</v>
      </c>
      <c r="DE528" s="55">
        <f t="shared" si="3631"/>
        <v>0</v>
      </c>
      <c r="DF528" s="55">
        <f t="shared" si="3632"/>
        <v>0</v>
      </c>
      <c r="DG528" s="55">
        <f t="shared" si="3633"/>
        <v>0</v>
      </c>
      <c r="DH528" s="55">
        <f t="shared" si="3634"/>
        <v>0</v>
      </c>
      <c r="DI528" s="55">
        <f t="shared" si="3635"/>
        <v>0</v>
      </c>
    </row>
    <row r="529" spans="1:113" s="24" customFormat="1" outlineLevel="1">
      <c r="A529" s="1" t="s">
        <v>837</v>
      </c>
      <c r="B529" s="24" t="s">
        <v>242</v>
      </c>
      <c r="C529" s="82">
        <f>SUM(C525:C528)</f>
        <v>698.5</v>
      </c>
      <c r="D529" s="82">
        <f t="shared" ref="D529:L529" si="3733">SUM(D525:D528)</f>
        <v>1082</v>
      </c>
      <c r="E529" s="82">
        <f t="shared" si="3733"/>
        <v>1369</v>
      </c>
      <c r="F529" s="82">
        <f t="shared" si="3733"/>
        <v>2020</v>
      </c>
      <c r="G529" s="82">
        <f t="shared" si="3733"/>
        <v>1295</v>
      </c>
      <c r="H529" s="82">
        <f t="shared" si="3733"/>
        <v>1107</v>
      </c>
      <c r="I529" s="82">
        <f t="shared" si="3733"/>
        <v>1096</v>
      </c>
      <c r="J529" s="82">
        <f t="shared" si="3733"/>
        <v>-1265</v>
      </c>
      <c r="K529" s="82">
        <f t="shared" si="3733"/>
        <v>1876</v>
      </c>
      <c r="L529" s="82">
        <f t="shared" si="3733"/>
        <v>968</v>
      </c>
      <c r="M529" s="82">
        <f t="shared" ref="M529:AD529" si="3734">SUM(M525:M528)</f>
        <v>2999</v>
      </c>
      <c r="N529" s="82">
        <f t="shared" si="3734"/>
        <v>2540</v>
      </c>
      <c r="O529" s="82">
        <f t="shared" si="3734"/>
        <v>2842</v>
      </c>
      <c r="P529" s="82">
        <f t="shared" si="3734"/>
        <v>2308</v>
      </c>
      <c r="Q529" s="82">
        <f t="shared" si="3734"/>
        <v>1602</v>
      </c>
      <c r="R529" s="82">
        <f t="shared" si="3734"/>
        <v>1244</v>
      </c>
      <c r="S529" s="82">
        <f t="shared" si="3734"/>
        <v>1879</v>
      </c>
      <c r="T529" s="82">
        <f t="shared" si="3734"/>
        <v>3224</v>
      </c>
      <c r="U529" s="82">
        <f t="shared" si="3734"/>
        <v>3076</v>
      </c>
      <c r="V529" s="82">
        <f t="shared" si="3734"/>
        <v>2428</v>
      </c>
      <c r="W529" s="82">
        <f t="shared" si="3734"/>
        <v>3487</v>
      </c>
      <c r="X529" s="82">
        <f t="shared" si="3734"/>
        <v>3704</v>
      </c>
      <c r="Y529" s="82">
        <f>SUM(Y525:Y528)</f>
        <v>4351</v>
      </c>
      <c r="Z529" s="82">
        <f>SUM(Z525:Z528)</f>
        <v>4003</v>
      </c>
      <c r="AA529" s="82">
        <f t="shared" si="3734"/>
        <v>4843</v>
      </c>
      <c r="AB529" s="82">
        <f t="shared" si="3734"/>
        <v>4748</v>
      </c>
      <c r="AC529" s="82">
        <f t="shared" si="3734"/>
        <v>4575</v>
      </c>
      <c r="AD529" s="82">
        <f t="shared" si="3734"/>
        <v>5222</v>
      </c>
      <c r="AE529" s="82">
        <f t="shared" ref="AE529:AK529" si="3735">SUM(AE525:AE528)</f>
        <v>4623</v>
      </c>
      <c r="AF529" s="82">
        <f t="shared" si="3735"/>
        <v>5584</v>
      </c>
      <c r="AG529" s="82">
        <f t="shared" si="3735"/>
        <v>3751</v>
      </c>
      <c r="AH529" s="82">
        <f t="shared" si="3735"/>
        <v>4413</v>
      </c>
      <c r="AI529" s="82">
        <f t="shared" si="3735"/>
        <v>4781</v>
      </c>
      <c r="AJ529" s="82">
        <f t="shared" si="3735"/>
        <v>4830</v>
      </c>
      <c r="AK529" s="82">
        <f t="shared" si="3735"/>
        <v>4741</v>
      </c>
      <c r="AL529" s="82">
        <f t="shared" ref="AL529:AQ529" si="3736">SUM(AL525:AL528)</f>
        <v>4036</v>
      </c>
      <c r="AM529" s="82">
        <f t="shared" si="3736"/>
        <v>5110</v>
      </c>
      <c r="AN529" s="82">
        <f t="shared" si="3736"/>
        <v>5597</v>
      </c>
      <c r="AO529" s="82">
        <f t="shared" si="3736"/>
        <v>4371</v>
      </c>
      <c r="AP529" s="82">
        <f t="shared" si="3736"/>
        <v>4453</v>
      </c>
      <c r="AQ529" s="82">
        <f t="shared" si="3736"/>
        <v>6459</v>
      </c>
      <c r="AR529" s="82">
        <f t="shared" ref="AR529" si="3737">SUM(AR525:AR528)</f>
        <v>5494</v>
      </c>
      <c r="AS529" s="82">
        <f t="shared" ref="AS529:AT529" si="3738">SUM(AS525:AS528)</f>
        <v>1632</v>
      </c>
      <c r="AT529" s="82">
        <f t="shared" si="3738"/>
        <v>4607</v>
      </c>
      <c r="AU529" s="82">
        <f t="shared" ref="AU529:AV529" si="3739">SUM(AU525:AU528)</f>
        <v>4748</v>
      </c>
      <c r="AV529" s="82">
        <f t="shared" si="3739"/>
        <v>4473</v>
      </c>
      <c r="AW529" s="82">
        <f t="shared" ref="AW529:AX529" si="3740">SUM(AW525:AW528)</f>
        <v>3977</v>
      </c>
      <c r="AX529" s="82">
        <f t="shared" si="3740"/>
        <v>6383</v>
      </c>
      <c r="AY529" s="82">
        <f t="shared" ref="AY529:BE529" si="3741">SUM(AY525:AY528)</f>
        <v>7276.9999999999982</v>
      </c>
      <c r="AZ529" s="83">
        <f>SUM(AZ525:AZ528)</f>
        <v>2807</v>
      </c>
      <c r="BA529" s="82">
        <f t="shared" si="3741"/>
        <v>6177.5690293401249</v>
      </c>
      <c r="BB529" s="82">
        <f t="shared" si="3741"/>
        <v>5509.3165773535338</v>
      </c>
      <c r="BC529" s="82">
        <f t="shared" si="3741"/>
        <v>5668.5887013479232</v>
      </c>
      <c r="BD529" s="82">
        <f t="shared" si="3741"/>
        <v>5717.9793940498121</v>
      </c>
      <c r="BE529" s="82">
        <f t="shared" si="3741"/>
        <v>5824.0329571979973</v>
      </c>
      <c r="BF529" s="82">
        <f t="shared" ref="BF529:BM529" si="3742">SUM(BF525:BF528)</f>
        <v>6024.8470368429071</v>
      </c>
      <c r="BG529" s="82">
        <f t="shared" si="3742"/>
        <v>6145.501441311224</v>
      </c>
      <c r="BH529" s="82">
        <f t="shared" si="3742"/>
        <v>6315.0839725845462</v>
      </c>
      <c r="BI529" s="82">
        <f t="shared" si="3742"/>
        <v>6342.0801305924078</v>
      </c>
      <c r="BJ529" s="82">
        <f t="shared" si="3742"/>
        <v>6409.2387884638265</v>
      </c>
      <c r="BK529" s="82">
        <f t="shared" si="3742"/>
        <v>6405.4470325453312</v>
      </c>
      <c r="BL529" s="82">
        <f t="shared" si="3742"/>
        <v>6519.4724320990208</v>
      </c>
      <c r="BM529" s="82">
        <f t="shared" si="3742"/>
        <v>6514.6168170682695</v>
      </c>
      <c r="BN529" s="82">
        <f t="shared" ref="BN529:BO529" si="3743">SUM(BN525:BN528)</f>
        <v>6713.6073359828752</v>
      </c>
      <c r="BO529" s="82">
        <f t="shared" si="3743"/>
        <v>6701.0724439693104</v>
      </c>
      <c r="BP529" s="82">
        <f t="shared" ref="BP529:BQ529" si="3744">SUM(BP525:BP528)</f>
        <v>6928.0811587323205</v>
      </c>
      <c r="BQ529" s="82">
        <f t="shared" si="3744"/>
        <v>6915.5301613732972</v>
      </c>
      <c r="BR529" s="82"/>
      <c r="BS529" s="82">
        <f t="shared" ref="BS529:CB529" si="3745">SUM(BS525:BS528)</f>
        <v>7375.6</v>
      </c>
      <c r="BT529" s="82">
        <f t="shared" si="3745"/>
        <v>403.4</v>
      </c>
      <c r="BU529" s="82">
        <f t="shared" si="3745"/>
        <v>879.70000000000039</v>
      </c>
      <c r="BV529" s="82">
        <f t="shared" si="3745"/>
        <v>1090.1999999999998</v>
      </c>
      <c r="BW529" s="82">
        <f t="shared" si="3745"/>
        <v>1405.6999999999998</v>
      </c>
      <c r="BX529" s="82">
        <f t="shared" si="3745"/>
        <v>641</v>
      </c>
      <c r="BY529" s="82">
        <f t="shared" si="3745"/>
        <v>861</v>
      </c>
      <c r="BZ529" s="82">
        <f t="shared" si="3745"/>
        <v>-514</v>
      </c>
      <c r="CA529" s="82">
        <f t="shared" si="3745"/>
        <v>3106</v>
      </c>
      <c r="CB529" s="82">
        <f t="shared" si="3745"/>
        <v>2047</v>
      </c>
      <c r="CC529" s="82">
        <f t="shared" si="3603"/>
        <v>2451</v>
      </c>
      <c r="CD529" s="82">
        <f t="shared" si="3604"/>
        <v>3315</v>
      </c>
      <c r="CE529" s="82">
        <f t="shared" si="3605"/>
        <v>2203</v>
      </c>
      <c r="CF529" s="82">
        <f t="shared" si="3606"/>
        <v>611</v>
      </c>
      <c r="CG529" s="82">
        <f t="shared" si="3607"/>
        <v>3967</v>
      </c>
      <c r="CH529" s="82">
        <f t="shared" si="3608"/>
        <v>5382</v>
      </c>
      <c r="CI529" s="82">
        <f t="shared" si="3609"/>
        <v>3910</v>
      </c>
      <c r="CJ529" s="82">
        <f t="shared" si="3610"/>
        <v>3123</v>
      </c>
      <c r="CK529" s="82">
        <f t="shared" si="3611"/>
        <v>6300</v>
      </c>
      <c r="CL529" s="82">
        <f t="shared" si="3612"/>
        <v>5915</v>
      </c>
      <c r="CM529" s="82">
        <f t="shared" si="3613"/>
        <v>8055</v>
      </c>
      <c r="CN529" s="82">
        <f t="shared" si="3614"/>
        <v>8846</v>
      </c>
      <c r="CO529" s="82">
        <f t="shared" si="3615"/>
        <v>9323</v>
      </c>
      <c r="CP529" s="82">
        <f t="shared" si="3616"/>
        <v>9845</v>
      </c>
      <c r="CQ529" s="82">
        <f t="shared" si="3617"/>
        <v>9335</v>
      </c>
      <c r="CR529" s="82">
        <f t="shared" si="3618"/>
        <v>9194</v>
      </c>
      <c r="CS529" s="82">
        <f t="shared" si="3619"/>
        <v>9571</v>
      </c>
      <c r="CT529" s="82">
        <f t="shared" si="3620"/>
        <v>9146</v>
      </c>
      <c r="CU529" s="82">
        <f t="shared" si="3621"/>
        <v>9968</v>
      </c>
      <c r="CV529" s="82">
        <f t="shared" si="3622"/>
        <v>10912</v>
      </c>
      <c r="CW529" s="82">
        <f t="shared" si="3623"/>
        <v>7126</v>
      </c>
      <c r="CX529" s="82">
        <f t="shared" si="3624"/>
        <v>9355</v>
      </c>
      <c r="CY529" s="82">
        <f t="shared" si="3625"/>
        <v>8450</v>
      </c>
      <c r="CZ529" s="83">
        <f t="shared" si="3626"/>
        <v>13659.999999999998</v>
      </c>
      <c r="DA529" s="82">
        <f t="shared" si="3627"/>
        <v>8984.569029340124</v>
      </c>
      <c r="DB529" s="82">
        <f t="shared" si="3628"/>
        <v>11177.905278701457</v>
      </c>
      <c r="DC529" s="82">
        <f t="shared" si="3629"/>
        <v>11542.012351247809</v>
      </c>
      <c r="DD529" s="82">
        <f t="shared" si="3630"/>
        <v>12170.34847815413</v>
      </c>
      <c r="DE529" s="82">
        <f t="shared" si="3631"/>
        <v>12657.164103176954</v>
      </c>
      <c r="DF529" s="82">
        <f t="shared" si="3632"/>
        <v>12814.685821009158</v>
      </c>
      <c r="DG529" s="82">
        <f t="shared" si="3633"/>
        <v>13034.089249167289</v>
      </c>
      <c r="DH529" s="82">
        <f t="shared" si="3634"/>
        <v>13414.679779952185</v>
      </c>
      <c r="DI529" s="82">
        <f t="shared" si="3635"/>
        <v>13843.611320105618</v>
      </c>
    </row>
    <row r="530" spans="1:113">
      <c r="C530" s="55"/>
      <c r="D530" s="55"/>
      <c r="E530" s="55"/>
      <c r="F530" s="55"/>
      <c r="G530" s="55"/>
      <c r="H530" s="55"/>
      <c r="I530" s="55"/>
      <c r="J530" s="55"/>
      <c r="K530" s="55"/>
      <c r="L530" s="55"/>
      <c r="M530" s="55"/>
      <c r="N530" s="55"/>
      <c r="O530" s="55"/>
      <c r="P530" s="55"/>
      <c r="Q530" s="55"/>
      <c r="R530" s="55"/>
      <c r="S530" s="55"/>
      <c r="T530" s="55"/>
      <c r="U530" s="55"/>
      <c r="V530" s="55"/>
      <c r="W530" s="55"/>
      <c r="X530" s="55"/>
      <c r="Y530" s="55"/>
      <c r="Z530" s="55"/>
      <c r="AA530" s="55"/>
      <c r="AB530" s="55"/>
      <c r="AC530" s="55"/>
      <c r="AD530" s="55"/>
      <c r="AE530" s="55"/>
      <c r="AF530" s="55"/>
      <c r="AG530" s="55"/>
      <c r="AH530" s="55"/>
      <c r="AI530" s="55"/>
      <c r="AJ530" s="55"/>
      <c r="AK530" s="55"/>
      <c r="AL530" s="55"/>
      <c r="AM530" s="55"/>
      <c r="AN530" s="55"/>
      <c r="AO530" s="55"/>
      <c r="AP530" s="55"/>
      <c r="AQ530" s="55"/>
      <c r="AR530" s="55"/>
      <c r="AS530" s="55"/>
      <c r="AT530" s="55"/>
      <c r="AU530" s="55"/>
      <c r="AV530" s="55"/>
      <c r="AW530" s="55"/>
      <c r="AX530" s="55"/>
      <c r="AY530" s="55"/>
      <c r="AZ530" s="56"/>
      <c r="BA530" s="55"/>
      <c r="BB530" s="55"/>
      <c r="BC530" s="55"/>
      <c r="BD530" s="55"/>
      <c r="BE530" s="55"/>
      <c r="BF530" s="55"/>
      <c r="BG530" s="55"/>
      <c r="BH530" s="55"/>
      <c r="BI530" s="55"/>
      <c r="BJ530" s="55"/>
      <c r="BK530" s="55"/>
      <c r="BL530" s="55"/>
      <c r="BM530" s="55"/>
      <c r="BN530" s="55"/>
      <c r="BO530" s="55"/>
      <c r="BP530" s="55"/>
      <c r="BQ530" s="55"/>
      <c r="BR530" s="55"/>
      <c r="BS530" s="55"/>
      <c r="BT530" s="55"/>
      <c r="BU530" s="55"/>
      <c r="BV530" s="55"/>
      <c r="BW530" s="55"/>
      <c r="BX530" s="55"/>
      <c r="BY530" s="55"/>
      <c r="BZ530" s="55"/>
      <c r="CA530" s="55"/>
      <c r="CB530" s="55"/>
      <c r="CC530" s="55"/>
      <c r="CD530" s="55"/>
      <c r="CE530" s="55"/>
      <c r="CF530" s="55"/>
      <c r="CG530" s="55"/>
      <c r="CH530" s="55"/>
      <c r="CI530" s="55"/>
      <c r="CJ530" s="55"/>
      <c r="CK530" s="55"/>
      <c r="CL530" s="55"/>
      <c r="CM530" s="55"/>
      <c r="CN530" s="55"/>
      <c r="CO530" s="55"/>
      <c r="CP530" s="55"/>
      <c r="CQ530" s="55"/>
      <c r="CR530" s="55"/>
      <c r="CS530" s="55"/>
      <c r="CT530" s="55"/>
      <c r="CU530" s="55"/>
      <c r="CV530" s="55"/>
      <c r="CW530" s="55"/>
      <c r="CX530" s="55"/>
      <c r="CY530" s="55"/>
      <c r="CZ530" s="56"/>
      <c r="DA530" s="55"/>
      <c r="DB530" s="55"/>
    </row>
    <row r="531" spans="1:113" s="36" customFormat="1" collapsed="1">
      <c r="A531" s="1" t="s">
        <v>838</v>
      </c>
      <c r="B531" s="2" t="s">
        <v>243</v>
      </c>
      <c r="C531" s="79">
        <f t="shared" ref="C531:L531" si="3746">C538</f>
        <v>17706</v>
      </c>
      <c r="D531" s="79">
        <f t="shared" si="3746"/>
        <v>18038</v>
      </c>
      <c r="E531" s="79">
        <f t="shared" si="3746"/>
        <v>18343</v>
      </c>
      <c r="F531" s="79">
        <f t="shared" si="3746"/>
        <v>19116</v>
      </c>
      <c r="G531" s="79">
        <f t="shared" si="3746"/>
        <v>19337</v>
      </c>
      <c r="H531" s="79">
        <f t="shared" si="3746"/>
        <v>19507</v>
      </c>
      <c r="I531" s="79">
        <f t="shared" si="3746"/>
        <v>20145</v>
      </c>
      <c r="J531" s="79">
        <f t="shared" si="3746"/>
        <v>17799</v>
      </c>
      <c r="K531" s="79">
        <f t="shared" si="3746"/>
        <v>18594</v>
      </c>
      <c r="L531" s="79">
        <f t="shared" si="3746"/>
        <v>18388</v>
      </c>
      <c r="M531" s="79">
        <f t="shared" ref="M531:AG531" si="3747">M538</f>
        <v>19896</v>
      </c>
      <c r="N531" s="79">
        <f t="shared" si="3747"/>
        <v>21040</v>
      </c>
      <c r="O531" s="79">
        <f t="shared" si="3747"/>
        <v>22993</v>
      </c>
      <c r="P531" s="79">
        <f t="shared" si="3747"/>
        <v>24188</v>
      </c>
      <c r="Q531" s="79">
        <f t="shared" si="3747"/>
        <v>24680</v>
      </c>
      <c r="R531" s="79">
        <f t="shared" si="3747"/>
        <v>28529</v>
      </c>
      <c r="S531" s="79">
        <f t="shared" si="3747"/>
        <v>29983</v>
      </c>
      <c r="T531" s="79">
        <f t="shared" si="3747"/>
        <v>32123</v>
      </c>
      <c r="U531" s="79">
        <f t="shared" si="3747"/>
        <v>34108</v>
      </c>
      <c r="V531" s="79">
        <f t="shared" si="3747"/>
        <v>33886</v>
      </c>
      <c r="W531" s="79">
        <f t="shared" si="3747"/>
        <v>35820</v>
      </c>
      <c r="X531" s="79">
        <f t="shared" si="3747"/>
        <v>37408</v>
      </c>
      <c r="Y531" s="79">
        <f>Y538</f>
        <v>40102</v>
      </c>
      <c r="Z531" s="79">
        <f>Z538</f>
        <v>41877</v>
      </c>
      <c r="AA531" s="79">
        <f t="shared" si="3747"/>
        <v>44061</v>
      </c>
      <c r="AB531" s="79">
        <f t="shared" si="3747"/>
        <v>45562</v>
      </c>
      <c r="AC531" s="79">
        <f t="shared" si="3747"/>
        <v>47872</v>
      </c>
      <c r="AD531" s="79">
        <f t="shared" si="3747"/>
        <v>49536</v>
      </c>
      <c r="AE531" s="79">
        <f>AE538</f>
        <v>51492</v>
      </c>
      <c r="AF531" s="79">
        <f>AF538</f>
        <v>59110</v>
      </c>
      <c r="AG531" s="79">
        <f t="shared" si="3747"/>
        <v>60014</v>
      </c>
      <c r="AH531" s="79">
        <f t="shared" ref="AH531:AM531" si="3748">AH538</f>
        <v>61205</v>
      </c>
      <c r="AI531" s="79">
        <f t="shared" si="3748"/>
        <v>63114</v>
      </c>
      <c r="AJ531" s="79">
        <f t="shared" si="3748"/>
        <v>65537</v>
      </c>
      <c r="AK531" s="79">
        <f t="shared" si="3748"/>
        <v>67306</v>
      </c>
      <c r="AL531" s="79">
        <f t="shared" si="3748"/>
        <v>68025</v>
      </c>
      <c r="AM531" s="79">
        <f t="shared" si="3748"/>
        <v>69594</v>
      </c>
      <c r="AN531" s="79">
        <f t="shared" ref="AN531:AS531" si="3749">AN538</f>
        <v>71102</v>
      </c>
      <c r="AO531" s="79">
        <f t="shared" si="3749"/>
        <v>71933</v>
      </c>
      <c r="AP531" s="79">
        <f t="shared" si="3749"/>
        <v>74915</v>
      </c>
      <c r="AQ531" s="79">
        <f t="shared" si="3749"/>
        <v>78713</v>
      </c>
      <c r="AR531" s="79">
        <f t="shared" si="3749"/>
        <v>74658</v>
      </c>
      <c r="AS531" s="79">
        <f t="shared" si="3749"/>
        <v>72833</v>
      </c>
      <c r="AT531" s="79">
        <f t="shared" ref="AT531:AU531" si="3750">AT538</f>
        <v>72538</v>
      </c>
      <c r="AU531" s="79">
        <f t="shared" si="3750"/>
        <v>72538</v>
      </c>
      <c r="AV531" s="79">
        <f t="shared" ref="AV531:AW531" si="3751">AV538</f>
        <v>72834</v>
      </c>
      <c r="AW531" s="79">
        <f t="shared" si="3751"/>
        <v>73083</v>
      </c>
      <c r="AX531" s="79">
        <f t="shared" ref="AX531" si="3752">AX538</f>
        <v>75264</v>
      </c>
      <c r="AY531" s="79">
        <f t="shared" ref="AY531:BE531" si="3753">AY538</f>
        <v>78776</v>
      </c>
      <c r="AZ531" s="80">
        <f t="shared" si="3753"/>
        <v>77232</v>
      </c>
      <c r="BA531" s="79">
        <f t="shared" si="3753"/>
        <v>79480.078282640126</v>
      </c>
      <c r="BB531" s="79">
        <f t="shared" si="3753"/>
        <v>79308.266996693652</v>
      </c>
      <c r="BC531" s="79">
        <f t="shared" si="3753"/>
        <v>79731.280911012946</v>
      </c>
      <c r="BD531" s="79">
        <f t="shared" si="3753"/>
        <v>79723.128404927484</v>
      </c>
      <c r="BE531" s="79">
        <f t="shared" si="3753"/>
        <v>80251.911455016147</v>
      </c>
      <c r="BF531" s="79">
        <f t="shared" ref="BF531:BM531" si="3754">BF538</f>
        <v>80421.604129395637</v>
      </c>
      <c r="BG531" s="79">
        <f t="shared" si="3754"/>
        <v>82306.897204458684</v>
      </c>
      <c r="BH531" s="79">
        <f t="shared" si="3754"/>
        <v>83788.28322303087</v>
      </c>
      <c r="BI531" s="79">
        <f t="shared" si="3754"/>
        <v>85624.373735476169</v>
      </c>
      <c r="BJ531" s="79">
        <f t="shared" si="3754"/>
        <v>86954.133318028704</v>
      </c>
      <c r="BK531" s="79">
        <f t="shared" si="3754"/>
        <v>88771.663648460613</v>
      </c>
      <c r="BL531" s="79">
        <f t="shared" si="3754"/>
        <v>90129.729790682031</v>
      </c>
      <c r="BM531" s="79">
        <f t="shared" si="3754"/>
        <v>91974.502821670569</v>
      </c>
      <c r="BN531" s="79">
        <f t="shared" ref="BN531:BO531" si="3755">BN538</f>
        <v>93444.776783809531</v>
      </c>
      <c r="BO531" s="79">
        <f t="shared" si="3755"/>
        <v>95394.078357732797</v>
      </c>
      <c r="BP531" s="79">
        <f t="shared" ref="BP531:BQ531" si="3756">BP538</f>
        <v>96996.899058654904</v>
      </c>
      <c r="BQ531" s="79">
        <f t="shared" si="3756"/>
        <v>99078.73126601585</v>
      </c>
      <c r="BR531" s="79"/>
      <c r="BS531" s="79">
        <f t="shared" ref="BS531:CB531" si="3757">BS538</f>
        <v>5471</v>
      </c>
      <c r="BT531" s="79">
        <f t="shared" si="3757"/>
        <v>5568.7</v>
      </c>
      <c r="BU531" s="79">
        <f t="shared" si="3757"/>
        <v>5965.1</v>
      </c>
      <c r="BV531" s="79">
        <f t="shared" si="3757"/>
        <v>6568.3</v>
      </c>
      <c r="BW531" s="79">
        <f t="shared" si="3757"/>
        <v>7190</v>
      </c>
      <c r="BX531" s="79">
        <f t="shared" si="3757"/>
        <v>6846</v>
      </c>
      <c r="BY531" s="79">
        <f t="shared" si="3757"/>
        <v>6712</v>
      </c>
      <c r="BZ531" s="79">
        <f t="shared" si="3757"/>
        <v>6735</v>
      </c>
      <c r="CA531" s="79">
        <f t="shared" si="3757"/>
        <v>17472</v>
      </c>
      <c r="CB531" s="79">
        <f t="shared" si="3757"/>
        <v>17706</v>
      </c>
      <c r="CC531" s="79">
        <f t="shared" ref="CC531:CO531" si="3758">CC538</f>
        <v>18343</v>
      </c>
      <c r="CD531" s="79">
        <f t="shared" si="3758"/>
        <v>19337</v>
      </c>
      <c r="CE531" s="79">
        <f t="shared" si="3758"/>
        <v>20145</v>
      </c>
      <c r="CF531" s="79">
        <f t="shared" si="3758"/>
        <v>18594</v>
      </c>
      <c r="CG531" s="79">
        <f t="shared" si="3758"/>
        <v>19896</v>
      </c>
      <c r="CH531" s="79">
        <f t="shared" si="3758"/>
        <v>22993</v>
      </c>
      <c r="CI531" s="79">
        <f t="shared" si="3758"/>
        <v>24680</v>
      </c>
      <c r="CJ531" s="79">
        <f t="shared" si="3758"/>
        <v>29983</v>
      </c>
      <c r="CK531" s="79">
        <f t="shared" si="3758"/>
        <v>34108</v>
      </c>
      <c r="CL531" s="79">
        <f t="shared" si="3758"/>
        <v>35820</v>
      </c>
      <c r="CM531" s="79">
        <f t="shared" si="3758"/>
        <v>40102</v>
      </c>
      <c r="CN531" s="79">
        <f t="shared" si="3758"/>
        <v>44061</v>
      </c>
      <c r="CO531" s="79">
        <f t="shared" si="3758"/>
        <v>47872</v>
      </c>
      <c r="CP531" s="79">
        <f t="shared" ref="CP531:CX531" si="3759">CP538</f>
        <v>51492</v>
      </c>
      <c r="CQ531" s="79">
        <f t="shared" si="3759"/>
        <v>60014</v>
      </c>
      <c r="CR531" s="79">
        <f t="shared" si="3759"/>
        <v>63114</v>
      </c>
      <c r="CS531" s="79">
        <f>CS538</f>
        <v>67306</v>
      </c>
      <c r="CT531" s="79">
        <f t="shared" si="3759"/>
        <v>69594</v>
      </c>
      <c r="CU531" s="79">
        <f t="shared" si="3759"/>
        <v>71933</v>
      </c>
      <c r="CV531" s="79">
        <f t="shared" si="3759"/>
        <v>78713</v>
      </c>
      <c r="CW531" s="79">
        <f t="shared" si="3759"/>
        <v>72833</v>
      </c>
      <c r="CX531" s="79">
        <f t="shared" si="3759"/>
        <v>72538</v>
      </c>
      <c r="CY531" s="79">
        <f t="shared" ref="CY531:DD531" si="3760">CY538</f>
        <v>73083</v>
      </c>
      <c r="CZ531" s="80">
        <f t="shared" si="3760"/>
        <v>78776</v>
      </c>
      <c r="DA531" s="79">
        <f t="shared" si="3760"/>
        <v>79480.078282640126</v>
      </c>
      <c r="DB531" s="79">
        <f t="shared" si="3760"/>
        <v>79731.280911012946</v>
      </c>
      <c r="DC531" s="79">
        <f t="shared" si="3760"/>
        <v>80251.911455016161</v>
      </c>
      <c r="DD531" s="79">
        <f t="shared" si="3760"/>
        <v>82306.897204458684</v>
      </c>
      <c r="DE531" s="79">
        <f>DE538</f>
        <v>85624.373735476169</v>
      </c>
      <c r="DF531" s="79">
        <f>DF538</f>
        <v>88771.663648460613</v>
      </c>
      <c r="DG531" s="79">
        <f>DG538</f>
        <v>91974.502821670569</v>
      </c>
      <c r="DH531" s="79">
        <f>DH538</f>
        <v>95394.078357732797</v>
      </c>
      <c r="DI531" s="79">
        <f>DI538</f>
        <v>99078.731266015835</v>
      </c>
    </row>
    <row r="532" spans="1:113" outlineLevel="1">
      <c r="C532" s="55"/>
      <c r="D532" s="55"/>
      <c r="E532" s="55"/>
      <c r="F532" s="55"/>
      <c r="G532" s="55"/>
      <c r="H532" s="55"/>
      <c r="I532" s="55"/>
      <c r="J532" s="55"/>
      <c r="K532" s="55"/>
      <c r="L532" s="55"/>
      <c r="M532" s="55"/>
      <c r="N532" s="55"/>
      <c r="O532" s="55"/>
      <c r="P532" s="55"/>
      <c r="Q532" s="55"/>
      <c r="R532" s="55"/>
      <c r="S532" s="55"/>
      <c r="T532" s="55"/>
      <c r="U532" s="55"/>
      <c r="V532" s="55"/>
      <c r="W532" s="55"/>
      <c r="X532" s="55"/>
      <c r="Y532" s="55"/>
      <c r="Z532" s="55"/>
      <c r="AA532" s="50"/>
      <c r="AB532" s="55"/>
      <c r="AC532" s="55"/>
      <c r="AD532" s="55"/>
      <c r="AE532" s="55"/>
      <c r="AF532" s="55"/>
      <c r="AG532" s="55"/>
      <c r="AH532" s="55"/>
      <c r="AI532" s="55"/>
      <c r="AJ532" s="55"/>
      <c r="AK532" s="55"/>
      <c r="AL532" s="55"/>
      <c r="AM532" s="55"/>
      <c r="AN532" s="55"/>
      <c r="AO532" s="55"/>
      <c r="AP532" s="55"/>
      <c r="AQ532" s="55"/>
      <c r="AR532" s="55"/>
      <c r="AS532" s="55"/>
      <c r="AT532" s="55"/>
      <c r="AU532" s="55"/>
      <c r="AV532" s="55"/>
      <c r="AW532" s="55"/>
      <c r="AX532" s="55"/>
      <c r="AY532" s="55"/>
      <c r="AZ532" s="56"/>
      <c r="BA532" s="55"/>
      <c r="BB532" s="55"/>
      <c r="BC532" s="55"/>
      <c r="BD532" s="55"/>
      <c r="BE532" s="55"/>
      <c r="BF532" s="55"/>
      <c r="BG532" s="55"/>
      <c r="BH532" s="55"/>
      <c r="BI532" s="55"/>
      <c r="BJ532" s="55"/>
      <c r="BK532" s="55"/>
      <c r="BL532" s="55"/>
      <c r="BM532" s="55"/>
      <c r="BN532" s="55"/>
      <c r="BO532" s="55"/>
      <c r="BP532" s="55"/>
      <c r="BQ532" s="55"/>
      <c r="BR532" s="55"/>
      <c r="BS532" s="55"/>
      <c r="BT532" s="55"/>
      <c r="BU532" s="55"/>
      <c r="BV532" s="55"/>
      <c r="BW532" s="55"/>
      <c r="BX532" s="55"/>
      <c r="BY532" s="55"/>
      <c r="BZ532" s="55"/>
      <c r="CA532" s="55"/>
      <c r="CB532" s="55"/>
      <c r="CC532" s="55"/>
      <c r="CD532" s="55"/>
      <c r="CE532" s="55"/>
      <c r="CF532" s="55"/>
      <c r="CG532" s="55"/>
      <c r="CH532" s="55"/>
      <c r="CI532" s="55"/>
      <c r="CJ532" s="55"/>
      <c r="CK532" s="55"/>
      <c r="CL532" s="55"/>
      <c r="CM532" s="55"/>
      <c r="CN532" s="55"/>
      <c r="CO532" s="55"/>
      <c r="CP532" s="55"/>
      <c r="CQ532" s="55"/>
      <c r="CR532" s="55"/>
      <c r="CS532" s="55"/>
      <c r="CT532" s="55"/>
      <c r="CU532" s="55"/>
      <c r="CV532" s="55"/>
      <c r="CW532" s="55"/>
      <c r="CX532" s="55"/>
      <c r="CY532" s="55"/>
      <c r="CZ532" s="56"/>
      <c r="DA532" s="55"/>
      <c r="DB532" s="55"/>
    </row>
    <row r="533" spans="1:113" s="24" customFormat="1" outlineLevel="1">
      <c r="A533" s="1" t="s">
        <v>839</v>
      </c>
      <c r="B533" s="24" t="s">
        <v>244</v>
      </c>
      <c r="C533" s="186">
        <f>19461-1516</f>
        <v>17945</v>
      </c>
      <c r="D533" s="82">
        <f>C538</f>
        <v>17706</v>
      </c>
      <c r="E533" s="82">
        <f t="shared" ref="E533:L533" si="3761">D538</f>
        <v>18038</v>
      </c>
      <c r="F533" s="82">
        <f t="shared" si="3761"/>
        <v>18343</v>
      </c>
      <c r="G533" s="82">
        <f>F538</f>
        <v>19116</v>
      </c>
      <c r="H533" s="82">
        <f t="shared" si="3761"/>
        <v>19337</v>
      </c>
      <c r="I533" s="82">
        <f t="shared" si="3761"/>
        <v>19507</v>
      </c>
      <c r="J533" s="82">
        <f t="shared" si="3761"/>
        <v>20145</v>
      </c>
      <c r="K533" s="82">
        <f t="shared" si="3761"/>
        <v>17799</v>
      </c>
      <c r="L533" s="82">
        <f t="shared" si="3761"/>
        <v>18594</v>
      </c>
      <c r="M533" s="82">
        <f t="shared" ref="M533:AZ533" si="3762">L538</f>
        <v>18388</v>
      </c>
      <c r="N533" s="82">
        <f t="shared" si="3762"/>
        <v>19896</v>
      </c>
      <c r="O533" s="82">
        <f t="shared" si="3762"/>
        <v>21040</v>
      </c>
      <c r="P533" s="82">
        <f t="shared" si="3762"/>
        <v>22993</v>
      </c>
      <c r="Q533" s="82">
        <f t="shared" si="3762"/>
        <v>24188</v>
      </c>
      <c r="R533" s="82">
        <f t="shared" si="3762"/>
        <v>24680</v>
      </c>
      <c r="S533" s="82">
        <f t="shared" si="3762"/>
        <v>28529</v>
      </c>
      <c r="T533" s="82">
        <f t="shared" si="3762"/>
        <v>29983</v>
      </c>
      <c r="U533" s="82">
        <f t="shared" si="3762"/>
        <v>32123</v>
      </c>
      <c r="V533" s="82">
        <f t="shared" si="3762"/>
        <v>34108</v>
      </c>
      <c r="W533" s="82">
        <f t="shared" si="3762"/>
        <v>33886</v>
      </c>
      <c r="X533" s="82">
        <f t="shared" si="3762"/>
        <v>35820</v>
      </c>
      <c r="Y533" s="82">
        <f>X538</f>
        <v>37408</v>
      </c>
      <c r="Z533" s="82">
        <f>Y538</f>
        <v>40102</v>
      </c>
      <c r="AA533" s="82">
        <f t="shared" si="3762"/>
        <v>41877</v>
      </c>
      <c r="AB533" s="82">
        <f t="shared" si="3762"/>
        <v>44061</v>
      </c>
      <c r="AC533" s="82">
        <f t="shared" si="3762"/>
        <v>45562</v>
      </c>
      <c r="AD533" s="82">
        <f t="shared" si="3762"/>
        <v>47872</v>
      </c>
      <c r="AE533" s="82">
        <f t="shared" si="3762"/>
        <v>49536</v>
      </c>
      <c r="AF533" s="82">
        <f t="shared" si="3762"/>
        <v>51492</v>
      </c>
      <c r="AG533" s="82">
        <f t="shared" si="3762"/>
        <v>59110</v>
      </c>
      <c r="AH533" s="82">
        <f t="shared" si="3762"/>
        <v>60014</v>
      </c>
      <c r="AI533" s="82">
        <f t="shared" si="3762"/>
        <v>61205</v>
      </c>
      <c r="AJ533" s="82">
        <f t="shared" si="3762"/>
        <v>63114</v>
      </c>
      <c r="AK533" s="82">
        <f t="shared" si="3762"/>
        <v>65537</v>
      </c>
      <c r="AL533" s="82">
        <f t="shared" si="3762"/>
        <v>67306</v>
      </c>
      <c r="AM533" s="82">
        <f t="shared" si="3762"/>
        <v>68025</v>
      </c>
      <c r="AN533" s="82">
        <f t="shared" si="3762"/>
        <v>69594</v>
      </c>
      <c r="AO533" s="82">
        <f t="shared" si="3762"/>
        <v>71102</v>
      </c>
      <c r="AP533" s="82">
        <f t="shared" si="3762"/>
        <v>71933</v>
      </c>
      <c r="AQ533" s="82">
        <f t="shared" si="3762"/>
        <v>74915</v>
      </c>
      <c r="AR533" s="82">
        <f t="shared" si="3762"/>
        <v>78713</v>
      </c>
      <c r="AS533" s="82">
        <f t="shared" si="3762"/>
        <v>74658</v>
      </c>
      <c r="AT533" s="82">
        <f t="shared" si="3762"/>
        <v>72833</v>
      </c>
      <c r="AU533" s="82">
        <f t="shared" si="3762"/>
        <v>72538</v>
      </c>
      <c r="AV533" s="82">
        <f t="shared" si="3762"/>
        <v>72538</v>
      </c>
      <c r="AW533" s="82">
        <f t="shared" si="3762"/>
        <v>72834</v>
      </c>
      <c r="AX533" s="82">
        <f t="shared" si="3762"/>
        <v>73083</v>
      </c>
      <c r="AY533" s="82">
        <f t="shared" ref="AY533:BE533" si="3763">AX538</f>
        <v>75264</v>
      </c>
      <c r="AZ533" s="83">
        <f t="shared" si="3762"/>
        <v>78776</v>
      </c>
      <c r="BA533" s="82">
        <f t="shared" si="3763"/>
        <v>77232</v>
      </c>
      <c r="BB533" s="82">
        <f t="shared" si="3763"/>
        <v>79480.078282640126</v>
      </c>
      <c r="BC533" s="82">
        <f t="shared" si="3763"/>
        <v>79308.266996693652</v>
      </c>
      <c r="BD533" s="82">
        <f t="shared" si="3763"/>
        <v>79731.280911012946</v>
      </c>
      <c r="BE533" s="82">
        <f t="shared" si="3763"/>
        <v>79723.128404927484</v>
      </c>
      <c r="BF533" s="82">
        <f t="shared" ref="BF533:BM533" si="3764">BE538</f>
        <v>80251.911455016147</v>
      </c>
      <c r="BG533" s="82">
        <f t="shared" si="3764"/>
        <v>80421.604129395637</v>
      </c>
      <c r="BH533" s="82">
        <f t="shared" si="3764"/>
        <v>82306.897204458684</v>
      </c>
      <c r="BI533" s="82">
        <f t="shared" si="3764"/>
        <v>83788.28322303087</v>
      </c>
      <c r="BJ533" s="82">
        <f t="shared" si="3764"/>
        <v>85624.373735476169</v>
      </c>
      <c r="BK533" s="82">
        <f t="shared" si="3764"/>
        <v>86954.133318028704</v>
      </c>
      <c r="BL533" s="82">
        <f t="shared" si="3764"/>
        <v>88771.663648460613</v>
      </c>
      <c r="BM533" s="82">
        <f t="shared" si="3764"/>
        <v>90129.729790682031</v>
      </c>
      <c r="BN533" s="82">
        <f t="shared" ref="BN533" si="3765">BM538</f>
        <v>91974.502821670569</v>
      </c>
      <c r="BO533" s="82">
        <f t="shared" ref="BO533" si="3766">BN538</f>
        <v>93444.776783809531</v>
      </c>
      <c r="BP533" s="82">
        <f t="shared" ref="BP533" si="3767">BO538</f>
        <v>95394.078357732797</v>
      </c>
      <c r="BQ533" s="82">
        <f t="shared" ref="BQ533" si="3768">BP538</f>
        <v>96996.899058654904</v>
      </c>
      <c r="BR533" s="82"/>
      <c r="BS533" s="82"/>
      <c r="BT533" s="82">
        <f t="shared" ref="BT533:CB533" si="3769">BS538</f>
        <v>5471</v>
      </c>
      <c r="BU533" s="82">
        <f t="shared" si="3769"/>
        <v>5568.7</v>
      </c>
      <c r="BV533" s="82">
        <f t="shared" si="3769"/>
        <v>5965.1</v>
      </c>
      <c r="BW533" s="82">
        <f t="shared" si="3769"/>
        <v>6568.3</v>
      </c>
      <c r="BX533" s="82">
        <f t="shared" si="3769"/>
        <v>7190</v>
      </c>
      <c r="BY533" s="82">
        <f t="shared" si="3769"/>
        <v>6846</v>
      </c>
      <c r="BZ533" s="82">
        <f t="shared" si="3769"/>
        <v>6712</v>
      </c>
      <c r="CA533" s="82">
        <f t="shared" si="3769"/>
        <v>6735</v>
      </c>
      <c r="CB533" s="82">
        <f t="shared" si="3769"/>
        <v>17472</v>
      </c>
      <c r="CC533" s="82">
        <f t="shared" ref="CC533:CS533" si="3770">CB538</f>
        <v>17706</v>
      </c>
      <c r="CD533" s="82">
        <f t="shared" si="3770"/>
        <v>18343</v>
      </c>
      <c r="CE533" s="82">
        <f t="shared" si="3770"/>
        <v>19337</v>
      </c>
      <c r="CF533" s="82">
        <f t="shared" si="3770"/>
        <v>20145</v>
      </c>
      <c r="CG533" s="82">
        <f t="shared" si="3770"/>
        <v>18594</v>
      </c>
      <c r="CH533" s="82">
        <f t="shared" si="3770"/>
        <v>19896</v>
      </c>
      <c r="CI533" s="82">
        <f t="shared" si="3770"/>
        <v>22993</v>
      </c>
      <c r="CJ533" s="82">
        <f t="shared" si="3770"/>
        <v>24680</v>
      </c>
      <c r="CK533" s="82">
        <f t="shared" si="3770"/>
        <v>29983</v>
      </c>
      <c r="CL533" s="82">
        <f t="shared" si="3770"/>
        <v>34108</v>
      </c>
      <c r="CM533" s="82">
        <f t="shared" si="3770"/>
        <v>35820</v>
      </c>
      <c r="CN533" s="82">
        <f t="shared" si="3770"/>
        <v>40102</v>
      </c>
      <c r="CO533" s="82">
        <f t="shared" si="3770"/>
        <v>44061</v>
      </c>
      <c r="CP533" s="82">
        <f t="shared" si="3770"/>
        <v>47872</v>
      </c>
      <c r="CQ533" s="82">
        <f t="shared" si="3770"/>
        <v>51492</v>
      </c>
      <c r="CR533" s="82">
        <f t="shared" si="3770"/>
        <v>60014</v>
      </c>
      <c r="CS533" s="82">
        <f t="shared" si="3770"/>
        <v>63114</v>
      </c>
      <c r="CT533" s="82">
        <f t="shared" ref="CT533:DI533" si="3771">CS538</f>
        <v>67306</v>
      </c>
      <c r="CU533" s="82">
        <f t="shared" si="3771"/>
        <v>69594</v>
      </c>
      <c r="CV533" s="82">
        <f t="shared" si="3771"/>
        <v>71933</v>
      </c>
      <c r="CW533" s="82">
        <f t="shared" si="3771"/>
        <v>78713</v>
      </c>
      <c r="CX533" s="82">
        <f t="shared" si="3771"/>
        <v>72833</v>
      </c>
      <c r="CY533" s="82">
        <f t="shared" si="3771"/>
        <v>72538</v>
      </c>
      <c r="CZ533" s="83">
        <f t="shared" si="3771"/>
        <v>73083</v>
      </c>
      <c r="DA533" s="82">
        <f t="shared" si="3771"/>
        <v>78776</v>
      </c>
      <c r="DB533" s="82">
        <f t="shared" si="3771"/>
        <v>79480.078282640126</v>
      </c>
      <c r="DC533" s="82">
        <f t="shared" si="3771"/>
        <v>79731.280911012946</v>
      </c>
      <c r="DD533" s="82">
        <f t="shared" si="3771"/>
        <v>80251.911455016161</v>
      </c>
      <c r="DE533" s="82">
        <f t="shared" si="3771"/>
        <v>82306.897204458684</v>
      </c>
      <c r="DF533" s="82">
        <f t="shared" si="3771"/>
        <v>85624.373735476169</v>
      </c>
      <c r="DG533" s="82">
        <f t="shared" si="3771"/>
        <v>88771.663648460613</v>
      </c>
      <c r="DH533" s="82">
        <f t="shared" si="3771"/>
        <v>91974.502821670569</v>
      </c>
      <c r="DI533" s="82">
        <f t="shared" si="3771"/>
        <v>95394.078357732797</v>
      </c>
    </row>
    <row r="534" spans="1:113" outlineLevel="1">
      <c r="A534" s="1" t="s">
        <v>975</v>
      </c>
      <c r="B534" s="19" t="s">
        <v>242</v>
      </c>
      <c r="C534" s="55">
        <f t="shared" ref="C534:L534" si="3772">C529</f>
        <v>698.5</v>
      </c>
      <c r="D534" s="55">
        <f t="shared" si="3772"/>
        <v>1082</v>
      </c>
      <c r="E534" s="55">
        <f t="shared" si="3772"/>
        <v>1369</v>
      </c>
      <c r="F534" s="55">
        <f t="shared" si="3772"/>
        <v>2020</v>
      </c>
      <c r="G534" s="55">
        <f t="shared" si="3772"/>
        <v>1295</v>
      </c>
      <c r="H534" s="55">
        <f t="shared" si="3772"/>
        <v>1107</v>
      </c>
      <c r="I534" s="55">
        <f t="shared" si="3772"/>
        <v>1096</v>
      </c>
      <c r="J534" s="55">
        <f t="shared" si="3772"/>
        <v>-1265</v>
      </c>
      <c r="K534" s="55">
        <f t="shared" si="3772"/>
        <v>1876</v>
      </c>
      <c r="L534" s="55">
        <f t="shared" si="3772"/>
        <v>968</v>
      </c>
      <c r="M534" s="55">
        <f t="shared" ref="M534:AD534" si="3773">M529</f>
        <v>2999</v>
      </c>
      <c r="N534" s="55">
        <f t="shared" si="3773"/>
        <v>2540</v>
      </c>
      <c r="O534" s="55">
        <f t="shared" si="3773"/>
        <v>2842</v>
      </c>
      <c r="P534" s="55">
        <f t="shared" si="3773"/>
        <v>2308</v>
      </c>
      <c r="Q534" s="55">
        <f t="shared" si="3773"/>
        <v>1602</v>
      </c>
      <c r="R534" s="55">
        <f t="shared" si="3773"/>
        <v>1244</v>
      </c>
      <c r="S534" s="55">
        <f t="shared" si="3773"/>
        <v>1879</v>
      </c>
      <c r="T534" s="55">
        <f t="shared" si="3773"/>
        <v>3224</v>
      </c>
      <c r="U534" s="55">
        <f t="shared" si="3773"/>
        <v>3076</v>
      </c>
      <c r="V534" s="55">
        <f t="shared" si="3773"/>
        <v>2428</v>
      </c>
      <c r="W534" s="55">
        <f t="shared" si="3773"/>
        <v>3487</v>
      </c>
      <c r="X534" s="55">
        <f t="shared" si="3773"/>
        <v>3704</v>
      </c>
      <c r="Y534" s="55">
        <f>Y529</f>
        <v>4351</v>
      </c>
      <c r="Z534" s="55">
        <f>Z529</f>
        <v>4003</v>
      </c>
      <c r="AA534" s="55">
        <f t="shared" si="3773"/>
        <v>4843</v>
      </c>
      <c r="AB534" s="55">
        <f t="shared" si="3773"/>
        <v>4748</v>
      </c>
      <c r="AC534" s="55">
        <f>AC529</f>
        <v>4575</v>
      </c>
      <c r="AD534" s="55">
        <f t="shared" si="3773"/>
        <v>5222</v>
      </c>
      <c r="AE534" s="55">
        <f t="shared" ref="AE534:AK534" si="3774">AE529</f>
        <v>4623</v>
      </c>
      <c r="AF534" s="55">
        <f t="shared" si="3774"/>
        <v>5584</v>
      </c>
      <c r="AG534" s="55">
        <f t="shared" si="3774"/>
        <v>3751</v>
      </c>
      <c r="AH534" s="55">
        <f t="shared" si="3774"/>
        <v>4413</v>
      </c>
      <c r="AI534" s="55">
        <f t="shared" si="3774"/>
        <v>4781</v>
      </c>
      <c r="AJ534" s="55">
        <f t="shared" si="3774"/>
        <v>4830</v>
      </c>
      <c r="AK534" s="55">
        <f t="shared" si="3774"/>
        <v>4741</v>
      </c>
      <c r="AL534" s="55">
        <f t="shared" ref="AL534:AQ534" si="3775">AL529</f>
        <v>4036</v>
      </c>
      <c r="AM534" s="55">
        <f t="shared" si="3775"/>
        <v>5110</v>
      </c>
      <c r="AN534" s="55">
        <f t="shared" si="3775"/>
        <v>5597</v>
      </c>
      <c r="AO534" s="55">
        <f t="shared" si="3775"/>
        <v>4371</v>
      </c>
      <c r="AP534" s="55">
        <f t="shared" si="3775"/>
        <v>4453</v>
      </c>
      <c r="AQ534" s="55">
        <f t="shared" si="3775"/>
        <v>6459</v>
      </c>
      <c r="AR534" s="55">
        <f t="shared" ref="AR534" si="3776">AR529</f>
        <v>5494</v>
      </c>
      <c r="AS534" s="55">
        <f t="shared" ref="AS534:AT534" si="3777">AS529</f>
        <v>1632</v>
      </c>
      <c r="AT534" s="55">
        <f t="shared" si="3777"/>
        <v>4607</v>
      </c>
      <c r="AU534" s="55">
        <f t="shared" ref="AU534:AV534" si="3778">AU529</f>
        <v>4748</v>
      </c>
      <c r="AV534" s="55">
        <f t="shared" si="3778"/>
        <v>4473</v>
      </c>
      <c r="AW534" s="55">
        <f t="shared" ref="AW534:AX534" si="3779">AW529</f>
        <v>3977</v>
      </c>
      <c r="AX534" s="55">
        <f t="shared" si="3779"/>
        <v>6383</v>
      </c>
      <c r="AY534" s="55">
        <f t="shared" ref="AY534:BE534" si="3780">AY529</f>
        <v>7276.9999999999982</v>
      </c>
      <c r="AZ534" s="56">
        <f t="shared" si="3780"/>
        <v>2807</v>
      </c>
      <c r="BA534" s="55">
        <f t="shared" si="3780"/>
        <v>6177.5690293401249</v>
      </c>
      <c r="BB534" s="55">
        <f t="shared" si="3780"/>
        <v>5509.3165773535338</v>
      </c>
      <c r="BC534" s="55">
        <f t="shared" si="3780"/>
        <v>5668.5887013479232</v>
      </c>
      <c r="BD534" s="55">
        <f t="shared" si="3780"/>
        <v>5717.9793940498121</v>
      </c>
      <c r="BE534" s="55">
        <f t="shared" si="3780"/>
        <v>5824.0329571979973</v>
      </c>
      <c r="BF534" s="55">
        <f t="shared" ref="BF534:BM534" si="3781">BF529</f>
        <v>6024.8470368429071</v>
      </c>
      <c r="BG534" s="55">
        <f t="shared" si="3781"/>
        <v>6145.501441311224</v>
      </c>
      <c r="BH534" s="55">
        <f t="shared" si="3781"/>
        <v>6315.0839725845462</v>
      </c>
      <c r="BI534" s="55">
        <f t="shared" si="3781"/>
        <v>6342.0801305924078</v>
      </c>
      <c r="BJ534" s="55">
        <f t="shared" si="3781"/>
        <v>6409.2387884638265</v>
      </c>
      <c r="BK534" s="55">
        <f t="shared" si="3781"/>
        <v>6405.4470325453312</v>
      </c>
      <c r="BL534" s="55">
        <f t="shared" si="3781"/>
        <v>6519.4724320990208</v>
      </c>
      <c r="BM534" s="55">
        <f t="shared" si="3781"/>
        <v>6514.6168170682695</v>
      </c>
      <c r="BN534" s="55">
        <f t="shared" ref="BN534:BO534" si="3782">BN529</f>
        <v>6713.6073359828752</v>
      </c>
      <c r="BO534" s="55">
        <f t="shared" si="3782"/>
        <v>6701.0724439693104</v>
      </c>
      <c r="BP534" s="55">
        <f t="shared" ref="BP534:BQ534" si="3783">BP529</f>
        <v>6928.0811587323205</v>
      </c>
      <c r="BQ534" s="55">
        <f t="shared" si="3783"/>
        <v>6915.5301613732972</v>
      </c>
      <c r="BR534" s="55"/>
      <c r="BS534" s="55"/>
      <c r="BT534" s="55">
        <f t="shared" ref="BT534:CB534" si="3784">BT529</f>
        <v>403.4</v>
      </c>
      <c r="BU534" s="55">
        <f t="shared" si="3784"/>
        <v>879.70000000000039</v>
      </c>
      <c r="BV534" s="55">
        <f t="shared" si="3784"/>
        <v>1090.1999999999998</v>
      </c>
      <c r="BW534" s="55">
        <f t="shared" si="3784"/>
        <v>1405.6999999999998</v>
      </c>
      <c r="BX534" s="55">
        <f t="shared" si="3784"/>
        <v>641</v>
      </c>
      <c r="BY534" s="55">
        <f t="shared" si="3784"/>
        <v>861</v>
      </c>
      <c r="BZ534" s="55">
        <f t="shared" si="3784"/>
        <v>-514</v>
      </c>
      <c r="CA534" s="55">
        <f t="shared" si="3784"/>
        <v>3106</v>
      </c>
      <c r="CB534" s="55">
        <f t="shared" si="3784"/>
        <v>2047</v>
      </c>
      <c r="CC534" s="55">
        <f>SUM(D534:E534)</f>
        <v>2451</v>
      </c>
      <c r="CD534" s="55">
        <f>SUM(F534:G534)</f>
        <v>3315</v>
      </c>
      <c r="CE534" s="55">
        <f>SUM(H534:I534)</f>
        <v>2203</v>
      </c>
      <c r="CF534" s="55">
        <f>SUM(J534:K534)</f>
        <v>611</v>
      </c>
      <c r="CG534" s="55">
        <f>SUM(L534:M534)</f>
        <v>3967</v>
      </c>
      <c r="CH534" s="55">
        <f>SUM(N534:O534)</f>
        <v>5382</v>
      </c>
      <c r="CI534" s="55">
        <f>SUM(P534:Q534)</f>
        <v>3910</v>
      </c>
      <c r="CJ534" s="55">
        <f>SUM(R534:S534)</f>
        <v>3123</v>
      </c>
      <c r="CK534" s="55">
        <f>SUM(T534:U534)</f>
        <v>6300</v>
      </c>
      <c r="CL534" s="55">
        <f>SUM(V534:W534)</f>
        <v>5915</v>
      </c>
      <c r="CM534" s="55">
        <f>SUM(X534:Y534)</f>
        <v>8055</v>
      </c>
      <c r="CN534" s="55">
        <f>SUM(Z534:AA534)</f>
        <v>8846</v>
      </c>
      <c r="CO534" s="55">
        <f>SUM(AB534:AC534)</f>
        <v>9323</v>
      </c>
      <c r="CP534" s="55">
        <f>SUM(AD534:AE534)</f>
        <v>9845</v>
      </c>
      <c r="CQ534" s="55">
        <f>SUM(AF534:AG534)</f>
        <v>9335</v>
      </c>
      <c r="CR534" s="55">
        <f>SUM(AH534:AI534)</f>
        <v>9194</v>
      </c>
      <c r="CS534" s="55">
        <f>SUM(AJ534:AK534)</f>
        <v>9571</v>
      </c>
      <c r="CT534" s="55">
        <f>SUM(AL534:AM534)</f>
        <v>9146</v>
      </c>
      <c r="CU534" s="55">
        <f>SUM(AN534:AO534)</f>
        <v>9968</v>
      </c>
      <c r="CV534" s="55">
        <f>SUM(AP534:AQ534)</f>
        <v>10912</v>
      </c>
      <c r="CW534" s="55">
        <f>SUM(AR534:AS534)</f>
        <v>7126</v>
      </c>
      <c r="CX534" s="55">
        <f>SUM(AT534:AU534)</f>
        <v>9355</v>
      </c>
      <c r="CY534" s="55">
        <f>SUM(AV534:AW534)</f>
        <v>8450</v>
      </c>
      <c r="CZ534" s="56">
        <f>SUM(AX534:AY534)</f>
        <v>13659.999999999998</v>
      </c>
      <c r="DA534" s="55">
        <f>SUM(AZ534:BA534)</f>
        <v>8984.569029340124</v>
      </c>
      <c r="DB534" s="55">
        <f>SUM(BB534:BC534)</f>
        <v>11177.905278701457</v>
      </c>
      <c r="DC534" s="55">
        <f>SUM(BD534:BE534)</f>
        <v>11542.012351247809</v>
      </c>
      <c r="DD534" s="55">
        <f>SUM(BF534:BG534)</f>
        <v>12170.34847815413</v>
      </c>
      <c r="DE534" s="55">
        <f>SUM(BH534:BI534)</f>
        <v>12657.164103176954</v>
      </c>
      <c r="DF534" s="55">
        <f>SUM(BJ534:BK534)</f>
        <v>12814.685821009158</v>
      </c>
      <c r="DG534" s="55">
        <f>SUM(BL534:BM534)</f>
        <v>13034.089249167289</v>
      </c>
      <c r="DH534" s="55">
        <f>SUM(BN534:BO534)</f>
        <v>13414.679779952185</v>
      </c>
      <c r="DI534" s="55">
        <f>SUM(BP534:BQ534)</f>
        <v>13843.611320105618</v>
      </c>
    </row>
    <row r="535" spans="1:113" outlineLevel="1">
      <c r="A535" s="1" t="s">
        <v>1002</v>
      </c>
      <c r="B535" s="19" t="s">
        <v>245</v>
      </c>
      <c r="C535" s="53">
        <v>-629</v>
      </c>
      <c r="D535" s="53">
        <f>-781-158</f>
        <v>-939</v>
      </c>
      <c r="E535" s="53">
        <f>-880-171</f>
        <v>-1051</v>
      </c>
      <c r="F535" s="53">
        <f>-1045-195</f>
        <v>-1240</v>
      </c>
      <c r="G535" s="53">
        <f>-888-166</f>
        <v>-1054</v>
      </c>
      <c r="H535" s="53">
        <f>-904-201</f>
        <v>-1105</v>
      </c>
      <c r="I535" s="53">
        <v>-870</v>
      </c>
      <c r="J535" s="53">
        <f>-1130-246</f>
        <v>-1376</v>
      </c>
      <c r="K535" s="53">
        <f>-953-200</f>
        <v>-1153</v>
      </c>
      <c r="L535" s="53">
        <f>-1173-262</f>
        <v>-1435</v>
      </c>
      <c r="M535" s="53">
        <f>-992-219</f>
        <v>-1211</v>
      </c>
      <c r="N535" s="53">
        <f>-1368-300</f>
        <v>-1668</v>
      </c>
      <c r="O535" s="53">
        <f>-862-518</f>
        <v>-1380</v>
      </c>
      <c r="P535" s="53">
        <f>-1229-709</f>
        <v>-1938</v>
      </c>
      <c r="Q535" s="53">
        <f>-1087-400</f>
        <v>-1487</v>
      </c>
      <c r="R535" s="53">
        <f>-1335-694</f>
        <v>-2029</v>
      </c>
      <c r="S535" s="53">
        <f>-1257-405</f>
        <v>-1662</v>
      </c>
      <c r="T535" s="53">
        <f>-1058-688</f>
        <v>-1746</v>
      </c>
      <c r="U535" s="53">
        <f>-1067-774</f>
        <v>-1841</v>
      </c>
      <c r="V535" s="53">
        <v>-2633</v>
      </c>
      <c r="W535" s="53">
        <f>-1532-513</f>
        <v>-2045</v>
      </c>
      <c r="X535" s="53">
        <f>-2098-832</f>
        <v>-2930</v>
      </c>
      <c r="Y535" s="53">
        <v>-2166</v>
      </c>
      <c r="Z535" s="53">
        <v>-3137</v>
      </c>
      <c r="AA535" s="164">
        <v>-2639</v>
      </c>
      <c r="AB535" s="164">
        <v>-3224</v>
      </c>
      <c r="AC535" s="164">
        <v>-2950</v>
      </c>
      <c r="AD535" s="164">
        <v>-3534</v>
      </c>
      <c r="AE535" s="164">
        <v>-3210</v>
      </c>
      <c r="AF535" s="164">
        <v>-3613</v>
      </c>
      <c r="AG535" s="164">
        <v>-3381</v>
      </c>
      <c r="AH535" s="164">
        <v>-3808</v>
      </c>
      <c r="AI535" s="164">
        <v>-3429</v>
      </c>
      <c r="AJ535" s="164">
        <v>-3979</v>
      </c>
      <c r="AK535" s="164">
        <v>-3505</v>
      </c>
      <c r="AL535" s="164">
        <v>-4065</v>
      </c>
      <c r="AM535" s="164">
        <v>-3541</v>
      </c>
      <c r="AN535" s="164">
        <v>-4089</v>
      </c>
      <c r="AO535" s="164">
        <v>-3540</v>
      </c>
      <c r="AP535" s="164">
        <v>-1735</v>
      </c>
      <c r="AQ535" s="164">
        <v>-2661</v>
      </c>
      <c r="AR535" s="164">
        <v>-3548</v>
      </c>
      <c r="AS535" s="164">
        <v>-2987</v>
      </c>
      <c r="AT535" s="164">
        <v>-3571</v>
      </c>
      <c r="AU535" s="164">
        <v>-3546</v>
      </c>
      <c r="AV535" s="164">
        <v>-4023</v>
      </c>
      <c r="AW535" s="164">
        <v>-3600</v>
      </c>
      <c r="AX535" s="164">
        <v>-4184</v>
      </c>
      <c r="AY535" s="164">
        <v>-3765</v>
      </c>
      <c r="AZ535" s="171">
        <v>-4351</v>
      </c>
      <c r="BA535" s="55">
        <f t="shared" ref="BA535:BE535" si="3785">-AZ543*AZ135</f>
        <v>-3929.4907467000003</v>
      </c>
      <c r="BB535" s="55">
        <f t="shared" si="3785"/>
        <v>-4431.1278633000002</v>
      </c>
      <c r="BC535" s="55">
        <f t="shared" si="3785"/>
        <v>-3995.5747870286282</v>
      </c>
      <c r="BD535" s="55">
        <f t="shared" si="3785"/>
        <v>-4476.1319001352676</v>
      </c>
      <c r="BE535" s="55">
        <f t="shared" si="3785"/>
        <v>-4045.2499071093284</v>
      </c>
      <c r="BF535" s="55">
        <f t="shared" ref="BF535:BM535" si="3786">-BE543*BE135</f>
        <v>-4605.1543624634251</v>
      </c>
      <c r="BG535" s="55">
        <f t="shared" si="3786"/>
        <v>-4260.2083662481791</v>
      </c>
      <c r="BH535" s="55">
        <f t="shared" si="3786"/>
        <v>-4833.6979540123575</v>
      </c>
      <c r="BI535" s="55">
        <f t="shared" si="3786"/>
        <v>-4505.9896181471122</v>
      </c>
      <c r="BJ535" s="55">
        <f t="shared" si="3786"/>
        <v>-5079.4792059112906</v>
      </c>
      <c r="BK535" s="55">
        <f t="shared" si="3786"/>
        <v>-4587.9167021134235</v>
      </c>
      <c r="BL535" s="55">
        <f t="shared" si="3786"/>
        <v>-5161.406289877601</v>
      </c>
      <c r="BM535" s="55">
        <f t="shared" si="3786"/>
        <v>-4669.8437860797339</v>
      </c>
      <c r="BN535" s="55">
        <f t="shared" ref="BN535" si="3787">-BM543*BM135</f>
        <v>-5243.3333738439123</v>
      </c>
      <c r="BO535" s="55">
        <f t="shared" ref="BO535" si="3788">-BN543*BN135</f>
        <v>-4751.7708700460453</v>
      </c>
      <c r="BP535" s="55">
        <f t="shared" ref="BP535" si="3789">-BO543*BO135</f>
        <v>-5325.2604578102228</v>
      </c>
      <c r="BQ535" s="55">
        <f t="shared" ref="BQ535" si="3790">-BP543*BP135</f>
        <v>-4833.6979540123557</v>
      </c>
      <c r="BR535" s="55"/>
      <c r="BS535" s="55"/>
      <c r="BT535" s="53">
        <f>-172.6-192.6</f>
        <v>-365.2</v>
      </c>
      <c r="BU535" s="53">
        <f>-213.5-325.8</f>
        <v>-539.29999999999995</v>
      </c>
      <c r="BV535" s="53">
        <f>-335-240-0</f>
        <v>-575</v>
      </c>
      <c r="BW535" s="53">
        <f>-203-301-363</f>
        <v>-867</v>
      </c>
      <c r="BX535" s="53">
        <f>-231-291-342</f>
        <v>-864</v>
      </c>
      <c r="BY535" s="53">
        <f>-231-321-428</f>
        <v>-980</v>
      </c>
      <c r="BZ535" s="53">
        <f>-275-472-397</f>
        <v>-1144</v>
      </c>
      <c r="CA535" s="53">
        <f>-405-708-251</f>
        <v>-1364</v>
      </c>
      <c r="CB535" s="53">
        <f>-642-765-331</f>
        <v>-1738</v>
      </c>
      <c r="CC535" s="55">
        <f>SUM(D535:E535)</f>
        <v>-1990</v>
      </c>
      <c r="CD535" s="55">
        <f>SUM(F535:G535)</f>
        <v>-2294</v>
      </c>
      <c r="CE535" s="55">
        <f>SUM(H535:I535)</f>
        <v>-1975</v>
      </c>
      <c r="CF535" s="55">
        <f>SUM(J535:K535)</f>
        <v>-2529</v>
      </c>
      <c r="CG535" s="55">
        <f>SUM(L535:M535)</f>
        <v>-2646</v>
      </c>
      <c r="CH535" s="55">
        <f>SUM(N535:O535)</f>
        <v>-3048</v>
      </c>
      <c r="CI535" s="55">
        <f>SUM(P535:Q535)</f>
        <v>-3425</v>
      </c>
      <c r="CJ535" s="55">
        <f>SUM(R535:S535)</f>
        <v>-3691</v>
      </c>
      <c r="CK535" s="55">
        <f>SUM(T535:U535)</f>
        <v>-3587</v>
      </c>
      <c r="CL535" s="55">
        <f>SUM(V535:W535)</f>
        <v>-4678</v>
      </c>
      <c r="CM535" s="55">
        <f>SUM(X535:Y535)</f>
        <v>-5096</v>
      </c>
      <c r="CN535" s="55">
        <f>SUM(Z535:AA535)</f>
        <v>-5776</v>
      </c>
      <c r="CO535" s="55">
        <f>SUM(AB535:AC535)</f>
        <v>-6174</v>
      </c>
      <c r="CP535" s="55">
        <f>SUM(AD535:AE535)</f>
        <v>-6744</v>
      </c>
      <c r="CQ535" s="55">
        <f>SUM(AF535:AG535)</f>
        <v>-6994</v>
      </c>
      <c r="CR535" s="55">
        <f>SUM(AH535:AI535)</f>
        <v>-7237</v>
      </c>
      <c r="CS535" s="55">
        <f>SUM(AJ535:AK535)</f>
        <v>-7484</v>
      </c>
      <c r="CT535" s="55">
        <f>SUM(AL535:AM535)</f>
        <v>-7606</v>
      </c>
      <c r="CU535" s="55">
        <f>SUM(AN535:AO535)</f>
        <v>-7629</v>
      </c>
      <c r="CV535" s="55">
        <f>SUM(AP535:AQ535)</f>
        <v>-4396</v>
      </c>
      <c r="CW535" s="55">
        <f>SUM(AR535:AS535)</f>
        <v>-6535</v>
      </c>
      <c r="CX535" s="55">
        <f>SUM(AT535:AU535)</f>
        <v>-7117</v>
      </c>
      <c r="CY535" s="55">
        <f>SUM(AV535:AW535)</f>
        <v>-7623</v>
      </c>
      <c r="CZ535" s="56">
        <f>SUM(AX535:AY535)</f>
        <v>-7949</v>
      </c>
      <c r="DA535" s="55">
        <f>SUM(AZ535:BA535)</f>
        <v>-8280.4907467000012</v>
      </c>
      <c r="DB535" s="55">
        <f>SUM(BB535:BC535)</f>
        <v>-8426.7026503286288</v>
      </c>
      <c r="DC535" s="55">
        <f>SUM(BD535:BE535)</f>
        <v>-8521.3818072445956</v>
      </c>
      <c r="DD535" s="55">
        <f>SUM(BF535:BG535)</f>
        <v>-8865.3627287116033</v>
      </c>
      <c r="DE535" s="55">
        <f>SUM(BH535:BI535)</f>
        <v>-9339.6875721594697</v>
      </c>
      <c r="DF535" s="55">
        <f>SUM(BJ535:BK535)</f>
        <v>-9667.395908024715</v>
      </c>
      <c r="DG535" s="55">
        <f>SUM(BL535:BM535)</f>
        <v>-9831.250075957334</v>
      </c>
      <c r="DH535" s="55">
        <f>SUM(BN535:BO535)</f>
        <v>-9995.1042438899567</v>
      </c>
      <c r="DI535" s="55">
        <f>SUM(BP535:BQ535)</f>
        <v>-10158.958411822579</v>
      </c>
    </row>
    <row r="536" spans="1:113" outlineLevel="1">
      <c r="A536" s="1" t="s">
        <v>1003</v>
      </c>
      <c r="B536" s="19" t="str">
        <f>B499</f>
        <v>Preference dividend</v>
      </c>
      <c r="C536" s="55">
        <f t="shared" ref="C536:L536" si="3791">-C522</f>
        <v>-4.5</v>
      </c>
      <c r="D536" s="55">
        <f t="shared" si="3791"/>
        <v>-17</v>
      </c>
      <c r="E536" s="55">
        <f t="shared" si="3791"/>
        <v>-17</v>
      </c>
      <c r="F536" s="55">
        <f t="shared" si="3791"/>
        <v>-20</v>
      </c>
      <c r="G536" s="55">
        <f t="shared" si="3791"/>
        <v>-20</v>
      </c>
      <c r="H536" s="55">
        <f t="shared" si="3791"/>
        <v>-39</v>
      </c>
      <c r="I536" s="55">
        <f t="shared" si="3791"/>
        <v>-62</v>
      </c>
      <c r="J536" s="55">
        <f t="shared" si="3791"/>
        <v>-61</v>
      </c>
      <c r="K536" s="55">
        <f t="shared" si="3791"/>
        <v>-70</v>
      </c>
      <c r="L536" s="55">
        <f t="shared" si="3791"/>
        <v>0</v>
      </c>
      <c r="M536" s="55">
        <f t="shared" ref="M536:AD536" si="3792">-M522</f>
        <v>0</v>
      </c>
      <c r="N536" s="55">
        <f t="shared" si="3792"/>
        <v>-28</v>
      </c>
      <c r="O536" s="55">
        <f t="shared" si="3792"/>
        <v>-27</v>
      </c>
      <c r="P536" s="55">
        <f t="shared" si="3792"/>
        <v>-25</v>
      </c>
      <c r="Q536" s="55">
        <f t="shared" si="3792"/>
        <v>-23</v>
      </c>
      <c r="R536" s="55">
        <f t="shared" si="3792"/>
        <v>-26</v>
      </c>
      <c r="S536" s="55">
        <f t="shared" si="3792"/>
        <v>-31</v>
      </c>
      <c r="T536" s="55">
        <f t="shared" si="3792"/>
        <v>-24</v>
      </c>
      <c r="U536" s="55">
        <f t="shared" si="3792"/>
        <v>-23</v>
      </c>
      <c r="V536" s="55">
        <f t="shared" si="3792"/>
        <v>-22</v>
      </c>
      <c r="W536" s="55">
        <f t="shared" si="3792"/>
        <v>-20</v>
      </c>
      <c r="X536" s="55">
        <f t="shared" si="3792"/>
        <v>-20</v>
      </c>
      <c r="Y536" s="55">
        <f t="shared" si="3792"/>
        <v>-22</v>
      </c>
      <c r="Z536" s="55">
        <f t="shared" si="3792"/>
        <v>-20</v>
      </c>
      <c r="AA536" s="55">
        <f t="shared" si="3792"/>
        <v>-20</v>
      </c>
      <c r="AB536" s="55">
        <f t="shared" si="3792"/>
        <v>-23</v>
      </c>
      <c r="AC536" s="55">
        <f t="shared" si="3792"/>
        <v>-22</v>
      </c>
      <c r="AD536" s="55">
        <f t="shared" si="3792"/>
        <v>-24</v>
      </c>
      <c r="AE536" s="55">
        <f t="shared" ref="AE536:AK536" si="3793">-AE522</f>
        <v>-28</v>
      </c>
      <c r="AF536" s="55">
        <f t="shared" si="3793"/>
        <v>-32</v>
      </c>
      <c r="AG536" s="55">
        <f t="shared" si="3793"/>
        <v>-18</v>
      </c>
      <c r="AH536" s="55">
        <f t="shared" si="3793"/>
        <v>0</v>
      </c>
      <c r="AI536" s="55">
        <f t="shared" si="3793"/>
        <v>0</v>
      </c>
      <c r="AJ536" s="55">
        <f t="shared" si="3793"/>
        <v>0</v>
      </c>
      <c r="AK536" s="55">
        <f t="shared" si="3793"/>
        <v>0</v>
      </c>
      <c r="AL536" s="55">
        <f t="shared" ref="AL536:AQ536" si="3794">-AL522</f>
        <v>0</v>
      </c>
      <c r="AM536" s="55">
        <f t="shared" si="3794"/>
        <v>0</v>
      </c>
      <c r="AN536" s="55">
        <f t="shared" si="3794"/>
        <v>0</v>
      </c>
      <c r="AO536" s="55">
        <f t="shared" si="3794"/>
        <v>0</v>
      </c>
      <c r="AP536" s="55">
        <f t="shared" si="3794"/>
        <v>0</v>
      </c>
      <c r="AQ536" s="55">
        <f t="shared" si="3794"/>
        <v>0</v>
      </c>
      <c r="AR536" s="55">
        <f t="shared" ref="AR536" si="3795">-AR522</f>
        <v>0</v>
      </c>
      <c r="AS536" s="55">
        <f t="shared" ref="AS536:AT536" si="3796">-AS522</f>
        <v>0</v>
      </c>
      <c r="AT536" s="55">
        <f t="shared" si="3796"/>
        <v>0</v>
      </c>
      <c r="AU536" s="55">
        <f>-AU522</f>
        <v>0</v>
      </c>
      <c r="AV536" s="55">
        <f>-AV522</f>
        <v>0</v>
      </c>
      <c r="AW536" s="55">
        <f>-AW522</f>
        <v>0</v>
      </c>
      <c r="AX536" s="55">
        <f>-AX522</f>
        <v>0</v>
      </c>
      <c r="AY536" s="55">
        <f t="shared" ref="AY536:BE536" si="3797">-AY522</f>
        <v>0</v>
      </c>
      <c r="AZ536" s="56">
        <f>-AZ522</f>
        <v>0</v>
      </c>
      <c r="BA536" s="55">
        <f t="shared" si="3797"/>
        <v>0</v>
      </c>
      <c r="BB536" s="55">
        <f t="shared" si="3797"/>
        <v>0</v>
      </c>
      <c r="BC536" s="55">
        <f t="shared" si="3797"/>
        <v>0</v>
      </c>
      <c r="BD536" s="55">
        <f t="shared" si="3797"/>
        <v>0</v>
      </c>
      <c r="BE536" s="55">
        <f t="shared" si="3797"/>
        <v>0</v>
      </c>
      <c r="BF536" s="55">
        <f t="shared" ref="BF536:BM536" si="3798">-BF522</f>
        <v>0</v>
      </c>
      <c r="BG536" s="55">
        <f t="shared" si="3798"/>
        <v>0</v>
      </c>
      <c r="BH536" s="55">
        <f t="shared" si="3798"/>
        <v>0</v>
      </c>
      <c r="BI536" s="55">
        <f t="shared" si="3798"/>
        <v>0</v>
      </c>
      <c r="BJ536" s="55">
        <f t="shared" si="3798"/>
        <v>0</v>
      </c>
      <c r="BK536" s="55">
        <f t="shared" si="3798"/>
        <v>0</v>
      </c>
      <c r="BL536" s="55">
        <f t="shared" si="3798"/>
        <v>0</v>
      </c>
      <c r="BM536" s="55">
        <f t="shared" si="3798"/>
        <v>0</v>
      </c>
      <c r="BN536" s="55">
        <f t="shared" ref="BN536:BO536" si="3799">-BN522</f>
        <v>0</v>
      </c>
      <c r="BO536" s="55">
        <f t="shared" si="3799"/>
        <v>0</v>
      </c>
      <c r="BP536" s="55">
        <f t="shared" ref="BP536:BQ536" si="3800">-BP522</f>
        <v>0</v>
      </c>
      <c r="BQ536" s="55">
        <f t="shared" si="3800"/>
        <v>0</v>
      </c>
      <c r="BR536" s="55"/>
      <c r="BS536" s="55"/>
      <c r="BT536" s="55">
        <f t="shared" ref="BT536:CB536" si="3801">-BT522</f>
        <v>0</v>
      </c>
      <c r="BU536" s="55">
        <f t="shared" si="3801"/>
        <v>0</v>
      </c>
      <c r="BV536" s="55">
        <f t="shared" si="3801"/>
        <v>0</v>
      </c>
      <c r="BW536" s="55">
        <f t="shared" si="3801"/>
        <v>0</v>
      </c>
      <c r="BX536" s="55">
        <f t="shared" si="3801"/>
        <v>0</v>
      </c>
      <c r="BY536" s="55">
        <f t="shared" si="3801"/>
        <v>0</v>
      </c>
      <c r="BZ536" s="55">
        <f t="shared" si="3801"/>
        <v>0</v>
      </c>
      <c r="CA536" s="55">
        <f t="shared" si="3801"/>
        <v>0</v>
      </c>
      <c r="CB536" s="55">
        <f t="shared" si="3801"/>
        <v>-9</v>
      </c>
      <c r="CC536" s="55">
        <f>SUM(D536:E536)</f>
        <v>-34</v>
      </c>
      <c r="CD536" s="55">
        <f>SUM(F536:G536)</f>
        <v>-40</v>
      </c>
      <c r="CE536" s="55">
        <f>SUM(H536:I536)</f>
        <v>-101</v>
      </c>
      <c r="CF536" s="55">
        <f>SUM(J536:K536)</f>
        <v>-131</v>
      </c>
      <c r="CG536" s="55">
        <f>SUM(L536:M536)</f>
        <v>0</v>
      </c>
      <c r="CH536" s="55">
        <f>SUM(N536:O536)</f>
        <v>-55</v>
      </c>
      <c r="CI536" s="55">
        <f>SUM(P536:Q536)</f>
        <v>-48</v>
      </c>
      <c r="CJ536" s="55">
        <f>SUM(R536:S536)</f>
        <v>-57</v>
      </c>
      <c r="CK536" s="55">
        <f>SUM(T536:U536)</f>
        <v>-47</v>
      </c>
      <c r="CL536" s="55">
        <f>SUM(V536:W536)</f>
        <v>-42</v>
      </c>
      <c r="CM536" s="55">
        <f>SUM(X536:Y536)</f>
        <v>-42</v>
      </c>
      <c r="CN536" s="55">
        <f>SUM(Z536:AA536)</f>
        <v>-40</v>
      </c>
      <c r="CO536" s="55">
        <f>SUM(AB536:AC536)</f>
        <v>-45</v>
      </c>
      <c r="CP536" s="55">
        <f>SUM(AD536:AE536)</f>
        <v>-52</v>
      </c>
      <c r="CQ536" s="55">
        <f>SUM(AF536:AG536)</f>
        <v>-50</v>
      </c>
      <c r="CR536" s="55">
        <f>SUM(AH536:AI536)</f>
        <v>0</v>
      </c>
      <c r="CS536" s="55">
        <f>SUM(AJ536:AK536)</f>
        <v>0</v>
      </c>
      <c r="CT536" s="55">
        <f>SUM(AL536:AM536)</f>
        <v>0</v>
      </c>
      <c r="CU536" s="55">
        <f>SUM(AN536:AO536)</f>
        <v>0</v>
      </c>
      <c r="CV536" s="55">
        <f>SUM(AP536:AQ536)</f>
        <v>0</v>
      </c>
      <c r="CW536" s="55">
        <f>SUM(AR536:AS536)</f>
        <v>0</v>
      </c>
      <c r="CX536" s="55">
        <f>SUM(AT536:AU536)</f>
        <v>0</v>
      </c>
      <c r="CY536" s="55">
        <f>SUM(AV536:AW536)</f>
        <v>0</v>
      </c>
      <c r="CZ536" s="56">
        <f>SUM(AX536:AY536)</f>
        <v>0</v>
      </c>
      <c r="DA536" s="55">
        <f>SUM(AZ536:BA536)</f>
        <v>0</v>
      </c>
      <c r="DB536" s="55">
        <f>SUM(BB536:BC536)</f>
        <v>0</v>
      </c>
      <c r="DC536" s="55">
        <f>SUM(BD536:BE536)</f>
        <v>0</v>
      </c>
      <c r="DD536" s="55">
        <f>SUM(BF536:BG536)</f>
        <v>0</v>
      </c>
      <c r="DE536" s="55">
        <f>SUM(BH536:BI536)</f>
        <v>0</v>
      </c>
      <c r="DF536" s="55">
        <f>SUM(BJ536:BK536)</f>
        <v>0</v>
      </c>
      <c r="DG536" s="55">
        <f>SUM(BL536:BM536)</f>
        <v>0</v>
      </c>
      <c r="DH536" s="55">
        <f>SUM(BN536:BO536)</f>
        <v>0</v>
      </c>
      <c r="DI536" s="55">
        <f>SUM(BP536:BQ536)</f>
        <v>0</v>
      </c>
    </row>
    <row r="537" spans="1:113" outlineLevel="1">
      <c r="A537" s="1" t="s">
        <v>1004</v>
      </c>
      <c r="B537" s="19" t="s">
        <v>410</v>
      </c>
      <c r="C537" s="53">
        <f>AV537-(-23+4+2+169-2)</f>
        <v>-304</v>
      </c>
      <c r="D537" s="53">
        <f>34+172</f>
        <v>206</v>
      </c>
      <c r="E537" s="53">
        <f>39+171-158+158-D537</f>
        <v>4</v>
      </c>
      <c r="F537" s="53">
        <f>13+195-195</f>
        <v>13</v>
      </c>
      <c r="G537" s="53">
        <f>13-195+195-166+166-F537</f>
        <v>0</v>
      </c>
      <c r="H537" s="53">
        <f>6+201</f>
        <v>207</v>
      </c>
      <c r="I537" s="53">
        <f>38+201+188-213+467-H537</f>
        <v>474</v>
      </c>
      <c r="J537" s="53">
        <f>246+43+68-1</f>
        <v>356</v>
      </c>
      <c r="K537" s="53">
        <f>200+23-81</f>
        <v>142</v>
      </c>
      <c r="L537" s="53">
        <f>-1+262</f>
        <v>261</v>
      </c>
      <c r="M537" s="53">
        <f>-499+219</f>
        <v>-280</v>
      </c>
      <c r="N537" s="53">
        <f>300</f>
        <v>300</v>
      </c>
      <c r="O537" s="53">
        <f>518</f>
        <v>518</v>
      </c>
      <c r="P537" s="53">
        <f>141+709</f>
        <v>850</v>
      </c>
      <c r="Q537" s="53">
        <f>0+400</f>
        <v>400</v>
      </c>
      <c r="R537" s="53">
        <f>3966+694</f>
        <v>4660</v>
      </c>
      <c r="S537" s="53">
        <f>863+405</f>
        <v>1268</v>
      </c>
      <c r="T537" s="53">
        <f>685+1</f>
        <v>686</v>
      </c>
      <c r="U537" s="53">
        <f>772+1</f>
        <v>773</v>
      </c>
      <c r="V537" s="53">
        <v>5</v>
      </c>
      <c r="W537" s="53">
        <f>511+1</f>
        <v>512</v>
      </c>
      <c r="X537" s="53">
        <f>832+2</f>
        <v>834</v>
      </c>
      <c r="Y537" s="53">
        <v>531</v>
      </c>
      <c r="Z537" s="53">
        <v>929</v>
      </c>
      <c r="AA537" s="164">
        <v>0</v>
      </c>
      <c r="AB537" s="164">
        <v>0</v>
      </c>
      <c r="AC537" s="164">
        <v>707</v>
      </c>
      <c r="AD537" s="164">
        <v>0</v>
      </c>
      <c r="AE537" s="164">
        <v>571</v>
      </c>
      <c r="AF537" s="164">
        <f>657+5022</f>
        <v>5679</v>
      </c>
      <c r="AG537" s="164">
        <v>552</v>
      </c>
      <c r="AH537" s="164">
        <v>586</v>
      </c>
      <c r="AI537" s="164">
        <v>557</v>
      </c>
      <c r="AJ537" s="164">
        <v>1572</v>
      </c>
      <c r="AK537" s="164">
        <v>533</v>
      </c>
      <c r="AL537" s="164">
        <v>748</v>
      </c>
      <c r="AM537" s="164">
        <v>0</v>
      </c>
      <c r="AN537" s="164">
        <v>0</v>
      </c>
      <c r="AO537" s="164">
        <v>0</v>
      </c>
      <c r="AP537" s="164">
        <v>264</v>
      </c>
      <c r="AQ537" s="164">
        <v>0</v>
      </c>
      <c r="AR537" s="164">
        <v>-6001</v>
      </c>
      <c r="AS537" s="164">
        <v>-470</v>
      </c>
      <c r="AT537" s="164">
        <v>-1331</v>
      </c>
      <c r="AU537" s="164">
        <v>-1202</v>
      </c>
      <c r="AV537" s="164">
        <v>-154</v>
      </c>
      <c r="AW537" s="164">
        <v>-128</v>
      </c>
      <c r="AX537" s="164">
        <v>-18</v>
      </c>
      <c r="AY537" s="55">
        <f t="shared" ref="AY537:BE537" si="3802">AY141*AY143</f>
        <v>0</v>
      </c>
      <c r="AZ537" s="171"/>
      <c r="BA537" s="55">
        <f t="shared" si="3802"/>
        <v>0</v>
      </c>
      <c r="BB537" s="55">
        <f t="shared" si="3802"/>
        <v>-1250</v>
      </c>
      <c r="BC537" s="55">
        <f t="shared" si="3802"/>
        <v>-1250</v>
      </c>
      <c r="BD537" s="55">
        <f t="shared" si="3802"/>
        <v>-1250</v>
      </c>
      <c r="BE537" s="55">
        <f t="shared" si="3802"/>
        <v>-1250</v>
      </c>
      <c r="BF537" s="55">
        <f t="shared" ref="BF537:BM537" si="3803">BF141*BF143</f>
        <v>-1250</v>
      </c>
      <c r="BG537" s="55">
        <f t="shared" si="3803"/>
        <v>0</v>
      </c>
      <c r="BH537" s="55">
        <f t="shared" si="3803"/>
        <v>0</v>
      </c>
      <c r="BI537" s="55">
        <f t="shared" si="3803"/>
        <v>0</v>
      </c>
      <c r="BJ537" s="55">
        <f t="shared" si="3803"/>
        <v>0</v>
      </c>
      <c r="BK537" s="55">
        <f t="shared" si="3803"/>
        <v>0</v>
      </c>
      <c r="BL537" s="55">
        <f t="shared" si="3803"/>
        <v>0</v>
      </c>
      <c r="BM537" s="55">
        <f t="shared" si="3803"/>
        <v>0</v>
      </c>
      <c r="BN537" s="55">
        <f t="shared" ref="BN537:BO537" si="3804">BN141*BN143</f>
        <v>0</v>
      </c>
      <c r="BO537" s="55">
        <f t="shared" si="3804"/>
        <v>0</v>
      </c>
      <c r="BP537" s="55">
        <f t="shared" ref="BP537:BQ537" si="3805">BP141*BP143</f>
        <v>0</v>
      </c>
      <c r="BQ537" s="55">
        <f t="shared" si="3805"/>
        <v>0</v>
      </c>
      <c r="BR537" s="55"/>
      <c r="BS537" s="55"/>
      <c r="BT537" s="53">
        <v>59.5</v>
      </c>
      <c r="BU537" s="53">
        <v>56</v>
      </c>
      <c r="BV537" s="53">
        <v>88</v>
      </c>
      <c r="BW537" s="53">
        <f>83</f>
        <v>83</v>
      </c>
      <c r="BX537" s="53">
        <f>-200+74+5</f>
        <v>-121</v>
      </c>
      <c r="BY537" s="53">
        <f>-76+57+4+0</f>
        <v>-15</v>
      </c>
      <c r="BZ537" s="53">
        <f>1499-246+426+5-3</f>
        <v>1681</v>
      </c>
      <c r="CA537" s="53">
        <f>-553+253+23-2+9274</f>
        <v>8995</v>
      </c>
      <c r="CB537" s="53">
        <f>-275-140+313+40-4</f>
        <v>-66</v>
      </c>
      <c r="CC537" s="55">
        <f>SUM(D537:E537)</f>
        <v>210</v>
      </c>
      <c r="CD537" s="55">
        <f>SUM(F537:G537)</f>
        <v>13</v>
      </c>
      <c r="CE537" s="55">
        <f>SUM(H537:I537)</f>
        <v>681</v>
      </c>
      <c r="CF537" s="55">
        <f>SUM(J537:K537)</f>
        <v>498</v>
      </c>
      <c r="CG537" s="55">
        <f>SUM(L537:M537)</f>
        <v>-19</v>
      </c>
      <c r="CH537" s="55">
        <f>SUM(N537:O537)</f>
        <v>818</v>
      </c>
      <c r="CI537" s="55">
        <f>SUM(P537:Q537)</f>
        <v>1250</v>
      </c>
      <c r="CJ537" s="55">
        <f>SUM(R537:S537)</f>
        <v>5928</v>
      </c>
      <c r="CK537" s="55">
        <f>SUM(T537:U537)</f>
        <v>1459</v>
      </c>
      <c r="CL537" s="55">
        <f>SUM(V537:W537)</f>
        <v>517</v>
      </c>
      <c r="CM537" s="55">
        <f>SUM(X537:Y537)</f>
        <v>1365</v>
      </c>
      <c r="CN537" s="55">
        <f>SUM(Z537:AA537)</f>
        <v>929</v>
      </c>
      <c r="CO537" s="55">
        <f>SUM(AB537:AC537)</f>
        <v>707</v>
      </c>
      <c r="CP537" s="55">
        <f>SUM(AD537:AE537)</f>
        <v>571</v>
      </c>
      <c r="CQ537" s="55">
        <f>SUM(AF537:AG537)</f>
        <v>6231</v>
      </c>
      <c r="CR537" s="55">
        <f>SUM(AH537:AI537)</f>
        <v>1143</v>
      </c>
      <c r="CS537" s="55">
        <f>SUM(AJ537:AK537)</f>
        <v>2105</v>
      </c>
      <c r="CT537" s="55">
        <f>SUM(AL537:AM537)</f>
        <v>748</v>
      </c>
      <c r="CU537" s="55">
        <f>SUM(AN537:AO537)</f>
        <v>0</v>
      </c>
      <c r="CV537" s="55">
        <f>SUM(AP537:AQ537)</f>
        <v>264</v>
      </c>
      <c r="CW537" s="55">
        <f>SUM(AR537:AS537)</f>
        <v>-6471</v>
      </c>
      <c r="CX537" s="55">
        <f>SUM(AT537:AU537)</f>
        <v>-2533</v>
      </c>
      <c r="CY537" s="55">
        <f>SUM(AV537:AW537)</f>
        <v>-282</v>
      </c>
      <c r="CZ537" s="56">
        <f>SUM(AX537:AY537)</f>
        <v>-18</v>
      </c>
      <c r="DA537" s="55">
        <f>SUM(AZ537:BA537)</f>
        <v>0</v>
      </c>
      <c r="DB537" s="55">
        <f>SUM(BB537:BC537)</f>
        <v>-2500</v>
      </c>
      <c r="DC537" s="55">
        <f>SUM(BD537:BE537)</f>
        <v>-2500</v>
      </c>
      <c r="DD537" s="55">
        <f>SUM(BF537:BG537)</f>
        <v>-1250</v>
      </c>
      <c r="DE537" s="55">
        <f>SUM(BH537:BI537)</f>
        <v>0</v>
      </c>
      <c r="DF537" s="55">
        <f>SUM(BJ537:BK537)</f>
        <v>0</v>
      </c>
      <c r="DG537" s="55">
        <f>SUM(BL537:BM537)</f>
        <v>0</v>
      </c>
      <c r="DH537" s="55">
        <f>SUM(BN537:BO537)</f>
        <v>0</v>
      </c>
      <c r="DI537" s="55">
        <f>SUM(BP537:BQ537)</f>
        <v>0</v>
      </c>
    </row>
    <row r="538" spans="1:113" s="24" customFormat="1" outlineLevel="1">
      <c r="A538" s="1" t="s">
        <v>1005</v>
      </c>
      <c r="B538" s="24" t="s">
        <v>152</v>
      </c>
      <c r="C538" s="82">
        <f t="shared" ref="C538:L538" si="3806">SUM(C533:C537)</f>
        <v>17706</v>
      </c>
      <c r="D538" s="82">
        <f t="shared" si="3806"/>
        <v>18038</v>
      </c>
      <c r="E538" s="82">
        <f t="shared" si="3806"/>
        <v>18343</v>
      </c>
      <c r="F538" s="82">
        <f t="shared" si="3806"/>
        <v>19116</v>
      </c>
      <c r="G538" s="82">
        <f t="shared" si="3806"/>
        <v>19337</v>
      </c>
      <c r="H538" s="82">
        <f t="shared" si="3806"/>
        <v>19507</v>
      </c>
      <c r="I538" s="82">
        <f t="shared" si="3806"/>
        <v>20145</v>
      </c>
      <c r="J538" s="82">
        <f t="shared" si="3806"/>
        <v>17799</v>
      </c>
      <c r="K538" s="82">
        <f t="shared" si="3806"/>
        <v>18594</v>
      </c>
      <c r="L538" s="82">
        <f t="shared" si="3806"/>
        <v>18388</v>
      </c>
      <c r="M538" s="82">
        <f t="shared" ref="M538:AG538" si="3807">SUM(M533:M537)</f>
        <v>19896</v>
      </c>
      <c r="N538" s="82">
        <f t="shared" si="3807"/>
        <v>21040</v>
      </c>
      <c r="O538" s="82">
        <f t="shared" si="3807"/>
        <v>22993</v>
      </c>
      <c r="P538" s="82">
        <f t="shared" si="3807"/>
        <v>24188</v>
      </c>
      <c r="Q538" s="82">
        <f t="shared" si="3807"/>
        <v>24680</v>
      </c>
      <c r="R538" s="82">
        <f t="shared" si="3807"/>
        <v>28529</v>
      </c>
      <c r="S538" s="82">
        <f t="shared" si="3807"/>
        <v>29983</v>
      </c>
      <c r="T538" s="82">
        <f t="shared" si="3807"/>
        <v>32123</v>
      </c>
      <c r="U538" s="82">
        <f t="shared" si="3807"/>
        <v>34108</v>
      </c>
      <c r="V538" s="82">
        <f t="shared" si="3807"/>
        <v>33886</v>
      </c>
      <c r="W538" s="82">
        <f t="shared" si="3807"/>
        <v>35820</v>
      </c>
      <c r="X538" s="82">
        <f t="shared" si="3807"/>
        <v>37408</v>
      </c>
      <c r="Y538" s="82">
        <f t="shared" si="3807"/>
        <v>40102</v>
      </c>
      <c r="Z538" s="82">
        <f t="shared" si="3807"/>
        <v>41877</v>
      </c>
      <c r="AA538" s="82">
        <f t="shared" si="3807"/>
        <v>44061</v>
      </c>
      <c r="AB538" s="82">
        <f t="shared" si="3807"/>
        <v>45562</v>
      </c>
      <c r="AC538" s="82">
        <f t="shared" si="3807"/>
        <v>47872</v>
      </c>
      <c r="AD538" s="82">
        <f t="shared" si="3807"/>
        <v>49536</v>
      </c>
      <c r="AE538" s="82">
        <f>SUM(AE533:AE537)</f>
        <v>51492</v>
      </c>
      <c r="AF538" s="82">
        <f>SUM(AF533:AF537)</f>
        <v>59110</v>
      </c>
      <c r="AG538" s="82">
        <f t="shared" si="3807"/>
        <v>60014</v>
      </c>
      <c r="AH538" s="82">
        <f t="shared" ref="AH538:AM538" si="3808">SUM(AH533:AH537)</f>
        <v>61205</v>
      </c>
      <c r="AI538" s="82">
        <f t="shared" si="3808"/>
        <v>63114</v>
      </c>
      <c r="AJ538" s="82">
        <f t="shared" si="3808"/>
        <v>65537</v>
      </c>
      <c r="AK538" s="82">
        <f t="shared" si="3808"/>
        <v>67306</v>
      </c>
      <c r="AL538" s="82">
        <f t="shared" si="3808"/>
        <v>68025</v>
      </c>
      <c r="AM538" s="82">
        <f t="shared" si="3808"/>
        <v>69594</v>
      </c>
      <c r="AN538" s="82">
        <f t="shared" ref="AN538:AS538" si="3809">SUM(AN533:AN537)</f>
        <v>71102</v>
      </c>
      <c r="AO538" s="82">
        <f t="shared" si="3809"/>
        <v>71933</v>
      </c>
      <c r="AP538" s="82">
        <f t="shared" si="3809"/>
        <v>74915</v>
      </c>
      <c r="AQ538" s="82">
        <f t="shared" si="3809"/>
        <v>78713</v>
      </c>
      <c r="AR538" s="82">
        <f t="shared" si="3809"/>
        <v>74658</v>
      </c>
      <c r="AS538" s="82">
        <f t="shared" si="3809"/>
        <v>72833</v>
      </c>
      <c r="AT538" s="82">
        <f t="shared" ref="AT538:AU538" si="3810">SUM(AT533:AT537)</f>
        <v>72538</v>
      </c>
      <c r="AU538" s="82">
        <f t="shared" si="3810"/>
        <v>72538</v>
      </c>
      <c r="AV538" s="82">
        <f t="shared" ref="AV538:AW538" si="3811">SUM(AV533:AV537)</f>
        <v>72834</v>
      </c>
      <c r="AW538" s="82">
        <f t="shared" si="3811"/>
        <v>73083</v>
      </c>
      <c r="AX538" s="82">
        <f t="shared" ref="AX538:AZ538" si="3812">SUM(AX533:AX537)</f>
        <v>75264</v>
      </c>
      <c r="AY538" s="82">
        <f t="shared" ref="AY538:BE538" si="3813">SUM(AY533:AY537)</f>
        <v>78776</v>
      </c>
      <c r="AZ538" s="83">
        <f t="shared" si="3812"/>
        <v>77232</v>
      </c>
      <c r="BA538" s="82">
        <f t="shared" si="3813"/>
        <v>79480.078282640126</v>
      </c>
      <c r="BB538" s="82">
        <f t="shared" si="3813"/>
        <v>79308.266996693652</v>
      </c>
      <c r="BC538" s="82">
        <f t="shared" si="3813"/>
        <v>79731.280911012946</v>
      </c>
      <c r="BD538" s="82">
        <f t="shared" si="3813"/>
        <v>79723.128404927484</v>
      </c>
      <c r="BE538" s="82">
        <f t="shared" si="3813"/>
        <v>80251.911455016147</v>
      </c>
      <c r="BF538" s="82">
        <f t="shared" ref="BF538:BM538" si="3814">SUM(BF533:BF537)</f>
        <v>80421.604129395637</v>
      </c>
      <c r="BG538" s="82">
        <f t="shared" si="3814"/>
        <v>82306.897204458684</v>
      </c>
      <c r="BH538" s="82">
        <f t="shared" si="3814"/>
        <v>83788.28322303087</v>
      </c>
      <c r="BI538" s="82">
        <f t="shared" si="3814"/>
        <v>85624.373735476169</v>
      </c>
      <c r="BJ538" s="82">
        <f t="shared" si="3814"/>
        <v>86954.133318028704</v>
      </c>
      <c r="BK538" s="82">
        <f t="shared" si="3814"/>
        <v>88771.663648460613</v>
      </c>
      <c r="BL538" s="82">
        <f t="shared" si="3814"/>
        <v>90129.729790682031</v>
      </c>
      <c r="BM538" s="82">
        <f t="shared" si="3814"/>
        <v>91974.502821670569</v>
      </c>
      <c r="BN538" s="82">
        <f t="shared" ref="BN538:BO538" si="3815">SUM(BN533:BN537)</f>
        <v>93444.776783809531</v>
      </c>
      <c r="BO538" s="82">
        <f t="shared" si="3815"/>
        <v>95394.078357732797</v>
      </c>
      <c r="BP538" s="82">
        <f t="shared" ref="BP538:BQ538" si="3816">SUM(BP533:BP537)</f>
        <v>96996.899058654904</v>
      </c>
      <c r="BQ538" s="82">
        <f t="shared" si="3816"/>
        <v>99078.73126601585</v>
      </c>
      <c r="BR538" s="82"/>
      <c r="BS538" s="101">
        <v>5471</v>
      </c>
      <c r="BT538" s="82">
        <f t="shared" ref="BT538:CA538" si="3817">SUM(BT533:BT537)</f>
        <v>5568.7</v>
      </c>
      <c r="BU538" s="82">
        <f t="shared" si="3817"/>
        <v>5965.1</v>
      </c>
      <c r="BV538" s="82">
        <f t="shared" si="3817"/>
        <v>6568.3</v>
      </c>
      <c r="BW538" s="82">
        <f t="shared" si="3817"/>
        <v>7190</v>
      </c>
      <c r="BX538" s="82">
        <f t="shared" si="3817"/>
        <v>6846</v>
      </c>
      <c r="BY538" s="82">
        <f t="shared" si="3817"/>
        <v>6712</v>
      </c>
      <c r="BZ538" s="82">
        <f t="shared" si="3817"/>
        <v>6735</v>
      </c>
      <c r="CA538" s="82">
        <f t="shared" si="3817"/>
        <v>17472</v>
      </c>
      <c r="CB538" s="82">
        <f>SUM(CB533:CB537)</f>
        <v>17706</v>
      </c>
      <c r="CC538" s="82">
        <f t="shared" ref="CC538:CP538" si="3818">SUM(CC533:CC537)</f>
        <v>18343</v>
      </c>
      <c r="CD538" s="82">
        <f t="shared" si="3818"/>
        <v>19337</v>
      </c>
      <c r="CE538" s="82">
        <f t="shared" si="3818"/>
        <v>20145</v>
      </c>
      <c r="CF538" s="82">
        <f t="shared" si="3818"/>
        <v>18594</v>
      </c>
      <c r="CG538" s="82">
        <f t="shared" si="3818"/>
        <v>19896</v>
      </c>
      <c r="CH538" s="82">
        <f t="shared" si="3818"/>
        <v>22993</v>
      </c>
      <c r="CI538" s="82">
        <f t="shared" si="3818"/>
        <v>24680</v>
      </c>
      <c r="CJ538" s="82">
        <f t="shared" si="3818"/>
        <v>29983</v>
      </c>
      <c r="CK538" s="82">
        <f t="shared" si="3818"/>
        <v>34108</v>
      </c>
      <c r="CL538" s="82">
        <f t="shared" si="3818"/>
        <v>35820</v>
      </c>
      <c r="CM538" s="82">
        <f t="shared" si="3818"/>
        <v>40102</v>
      </c>
      <c r="CN538" s="82">
        <f t="shared" si="3818"/>
        <v>44061</v>
      </c>
      <c r="CO538" s="82">
        <f t="shared" si="3818"/>
        <v>47872</v>
      </c>
      <c r="CP538" s="82">
        <f t="shared" si="3818"/>
        <v>51492</v>
      </c>
      <c r="CQ538" s="82">
        <f t="shared" ref="CQ538:CX538" si="3819">SUM(CQ533:CQ537)</f>
        <v>60014</v>
      </c>
      <c r="CR538" s="82">
        <f t="shared" si="3819"/>
        <v>63114</v>
      </c>
      <c r="CS538" s="82">
        <f>SUM(CS533:CS537)</f>
        <v>67306</v>
      </c>
      <c r="CT538" s="82">
        <f t="shared" si="3819"/>
        <v>69594</v>
      </c>
      <c r="CU538" s="82">
        <f t="shared" si="3819"/>
        <v>71933</v>
      </c>
      <c r="CV538" s="82">
        <f t="shared" si="3819"/>
        <v>78713</v>
      </c>
      <c r="CW538" s="82">
        <f t="shared" si="3819"/>
        <v>72833</v>
      </c>
      <c r="CX538" s="82">
        <f t="shared" si="3819"/>
        <v>72538</v>
      </c>
      <c r="CY538" s="82">
        <f t="shared" ref="CY538:DD538" si="3820">SUM(CY533:CY537)</f>
        <v>73083</v>
      </c>
      <c r="CZ538" s="83">
        <f t="shared" si="3820"/>
        <v>78776</v>
      </c>
      <c r="DA538" s="82">
        <f t="shared" si="3820"/>
        <v>79480.078282640126</v>
      </c>
      <c r="DB538" s="82">
        <f t="shared" si="3820"/>
        <v>79731.280911012946</v>
      </c>
      <c r="DC538" s="82">
        <f t="shared" si="3820"/>
        <v>80251.911455016161</v>
      </c>
      <c r="DD538" s="82">
        <f t="shared" si="3820"/>
        <v>82306.897204458684</v>
      </c>
      <c r="DE538" s="82">
        <f>SUM(DE533:DE537)</f>
        <v>85624.373735476169</v>
      </c>
      <c r="DF538" s="82">
        <f>SUM(DF533:DF537)</f>
        <v>88771.663648460613</v>
      </c>
      <c r="DG538" s="82">
        <f>SUM(DG533:DG537)</f>
        <v>91974.502821670569</v>
      </c>
      <c r="DH538" s="82">
        <f>SUM(DH533:DH537)</f>
        <v>95394.078357732797</v>
      </c>
      <c r="DI538" s="82">
        <f>SUM(DI533:DI537)</f>
        <v>99078.731266015835</v>
      </c>
    </row>
    <row r="539" spans="1:113" outlineLevel="1">
      <c r="A539" s="1" t="s">
        <v>1006</v>
      </c>
      <c r="B539" s="19" t="s">
        <v>153</v>
      </c>
      <c r="C539" s="53">
        <v>687</v>
      </c>
      <c r="D539" s="53">
        <v>687</v>
      </c>
      <c r="E539" s="53">
        <v>687</v>
      </c>
      <c r="F539" s="53">
        <v>687</v>
      </c>
      <c r="G539" s="53">
        <v>687</v>
      </c>
      <c r="H539" s="53">
        <f>832+687</f>
        <v>1519</v>
      </c>
      <c r="I539" s="53">
        <f>1573+687</f>
        <v>2260</v>
      </c>
      <c r="J539" s="53">
        <f>1573+687</f>
        <v>2260</v>
      </c>
      <c r="K539" s="53">
        <f>1573+687</f>
        <v>2260</v>
      </c>
      <c r="L539" s="53">
        <v>939</v>
      </c>
      <c r="M539" s="53">
        <v>939</v>
      </c>
      <c r="N539" s="53">
        <v>939</v>
      </c>
      <c r="O539" s="53">
        <v>939</v>
      </c>
      <c r="P539" s="53">
        <v>939</v>
      </c>
      <c r="Q539" s="53">
        <v>939</v>
      </c>
      <c r="R539" s="53">
        <v>939</v>
      </c>
      <c r="S539" s="53">
        <v>939</v>
      </c>
      <c r="T539" s="53">
        <v>939</v>
      </c>
      <c r="U539" s="53">
        <v>939</v>
      </c>
      <c r="V539" s="53">
        <v>939</v>
      </c>
      <c r="W539" s="53">
        <v>939</v>
      </c>
      <c r="X539" s="53">
        <v>939</v>
      </c>
      <c r="Y539" s="53">
        <v>939</v>
      </c>
      <c r="Z539" s="53">
        <v>939</v>
      </c>
      <c r="AA539" s="164">
        <v>939</v>
      </c>
      <c r="AB539" s="164">
        <v>939</v>
      </c>
      <c r="AC539" s="164">
        <v>939</v>
      </c>
      <c r="AD539" s="164">
        <v>939</v>
      </c>
      <c r="AE539" s="164">
        <v>939</v>
      </c>
      <c r="AF539" s="164">
        <v>0</v>
      </c>
      <c r="AG539" s="164">
        <v>0</v>
      </c>
      <c r="AH539" s="164">
        <v>0</v>
      </c>
      <c r="AI539" s="164">
        <v>0</v>
      </c>
      <c r="AJ539" s="164">
        <v>0</v>
      </c>
      <c r="AK539" s="164">
        <v>0</v>
      </c>
      <c r="AL539" s="164">
        <v>0</v>
      </c>
      <c r="AM539" s="164">
        <v>0</v>
      </c>
      <c r="AN539" s="164">
        <v>0</v>
      </c>
      <c r="AO539" s="164">
        <v>0</v>
      </c>
      <c r="AP539" s="164">
        <v>0</v>
      </c>
      <c r="AQ539" s="164">
        <v>0</v>
      </c>
      <c r="AR539" s="164">
        <v>0</v>
      </c>
      <c r="AS539" s="164">
        <v>0</v>
      </c>
      <c r="AT539" s="164">
        <v>0</v>
      </c>
      <c r="AU539" s="164">
        <v>0</v>
      </c>
      <c r="AV539" s="164">
        <v>0</v>
      </c>
      <c r="AW539" s="164">
        <v>0</v>
      </c>
      <c r="AX539" s="164">
        <v>0</v>
      </c>
      <c r="AY539" s="54">
        <f t="shared" ref="AY539:BE539" si="3821">AX539</f>
        <v>0</v>
      </c>
      <c r="AZ539" s="171">
        <v>0</v>
      </c>
      <c r="BA539" s="54">
        <f t="shared" si="3821"/>
        <v>0</v>
      </c>
      <c r="BB539" s="54">
        <f t="shared" si="3821"/>
        <v>0</v>
      </c>
      <c r="BC539" s="54">
        <f t="shared" si="3821"/>
        <v>0</v>
      </c>
      <c r="BD539" s="54">
        <f t="shared" si="3821"/>
        <v>0</v>
      </c>
      <c r="BE539" s="54">
        <f t="shared" si="3821"/>
        <v>0</v>
      </c>
      <c r="BF539" s="54">
        <f t="shared" ref="BF539:BM540" si="3822">BE539</f>
        <v>0</v>
      </c>
      <c r="BG539" s="54">
        <f t="shared" si="3822"/>
        <v>0</v>
      </c>
      <c r="BH539" s="54">
        <f t="shared" si="3822"/>
        <v>0</v>
      </c>
      <c r="BI539" s="54">
        <f t="shared" si="3822"/>
        <v>0</v>
      </c>
      <c r="BJ539" s="54">
        <f t="shared" si="3822"/>
        <v>0</v>
      </c>
      <c r="BK539" s="54">
        <f t="shared" si="3822"/>
        <v>0</v>
      </c>
      <c r="BL539" s="54">
        <f t="shared" si="3822"/>
        <v>0</v>
      </c>
      <c r="BM539" s="54">
        <f t="shared" si="3822"/>
        <v>0</v>
      </c>
      <c r="BN539" s="54">
        <f t="shared" ref="BN539:BN540" si="3823">BM539</f>
        <v>0</v>
      </c>
      <c r="BO539" s="54">
        <f t="shared" ref="BO539:BO540" si="3824">BN539</f>
        <v>0</v>
      </c>
      <c r="BP539" s="54">
        <f t="shared" ref="BP539:BP540" si="3825">BO539</f>
        <v>0</v>
      </c>
      <c r="BQ539" s="54">
        <f t="shared" ref="BQ539:BQ540" si="3826">BP539</f>
        <v>0</v>
      </c>
      <c r="BR539" s="55"/>
      <c r="BS539" s="53">
        <v>0</v>
      </c>
      <c r="BT539" s="53">
        <v>0</v>
      </c>
      <c r="BU539" s="53">
        <v>0</v>
      </c>
      <c r="BV539" s="53">
        <v>0</v>
      </c>
      <c r="BW539" s="53">
        <v>0</v>
      </c>
      <c r="BX539" s="53">
        <v>0</v>
      </c>
      <c r="BY539" s="53">
        <v>0</v>
      </c>
      <c r="BZ539" s="53">
        <v>0</v>
      </c>
      <c r="CA539" s="53">
        <v>0</v>
      </c>
      <c r="CB539" s="53">
        <v>687</v>
      </c>
      <c r="CC539" s="55">
        <f>E539</f>
        <v>687</v>
      </c>
      <c r="CD539" s="55">
        <f>G539</f>
        <v>687</v>
      </c>
      <c r="CE539" s="55">
        <f>I539</f>
        <v>2260</v>
      </c>
      <c r="CF539" s="55">
        <f>K539</f>
        <v>2260</v>
      </c>
      <c r="CG539" s="55">
        <f>M539</f>
        <v>939</v>
      </c>
      <c r="CH539" s="55">
        <f>O539</f>
        <v>939</v>
      </c>
      <c r="CI539" s="55">
        <f>Q539</f>
        <v>939</v>
      </c>
      <c r="CJ539" s="55">
        <f>S539</f>
        <v>939</v>
      </c>
      <c r="CK539" s="55">
        <f>U539</f>
        <v>939</v>
      </c>
      <c r="CL539" s="55">
        <f>W539</f>
        <v>939</v>
      </c>
      <c r="CM539" s="55">
        <f>Y539</f>
        <v>939</v>
      </c>
      <c r="CN539" s="55">
        <f>AA539</f>
        <v>939</v>
      </c>
      <c r="CO539" s="55">
        <f>AC539</f>
        <v>939</v>
      </c>
      <c r="CP539" s="55">
        <f>AE539</f>
        <v>939</v>
      </c>
      <c r="CQ539" s="55">
        <f>AG539</f>
        <v>0</v>
      </c>
      <c r="CR539" s="55">
        <f>AI539</f>
        <v>0</v>
      </c>
      <c r="CS539" s="55">
        <f>AJ539</f>
        <v>0</v>
      </c>
      <c r="CT539" s="55">
        <f>AM539</f>
        <v>0</v>
      </c>
      <c r="CU539" s="55">
        <f>AO539</f>
        <v>0</v>
      </c>
      <c r="CV539" s="55">
        <f>AQ539</f>
        <v>0</v>
      </c>
      <c r="CW539" s="55">
        <f>AS539</f>
        <v>0</v>
      </c>
      <c r="CX539" s="55">
        <f>AU539</f>
        <v>0</v>
      </c>
      <c r="CY539" s="55">
        <f>AW539</f>
        <v>0</v>
      </c>
      <c r="CZ539" s="56">
        <f>AY539</f>
        <v>0</v>
      </c>
      <c r="DA539" s="55">
        <f>BA539</f>
        <v>0</v>
      </c>
      <c r="DB539" s="55">
        <f>BC539</f>
        <v>0</v>
      </c>
      <c r="DC539" s="55">
        <f>BE539</f>
        <v>0</v>
      </c>
      <c r="DD539" s="55">
        <f>BG539</f>
        <v>0</v>
      </c>
      <c r="DE539" s="55">
        <f>BI539</f>
        <v>0</v>
      </c>
      <c r="DF539" s="55">
        <f>BK539</f>
        <v>0</v>
      </c>
      <c r="DG539" s="55">
        <f>BM539</f>
        <v>0</v>
      </c>
      <c r="DH539" s="55">
        <f>BO539</f>
        <v>0</v>
      </c>
      <c r="DI539" s="55">
        <f>BQ539</f>
        <v>0</v>
      </c>
    </row>
    <row r="540" spans="1:113" outlineLevel="1">
      <c r="A540" s="1" t="s">
        <v>1007</v>
      </c>
      <c r="B540" s="19" t="s">
        <v>160</v>
      </c>
      <c r="C540" s="53">
        <v>1455</v>
      </c>
      <c r="D540" s="53">
        <v>1679</v>
      </c>
      <c r="E540" s="53">
        <v>2026</v>
      </c>
      <c r="F540" s="53">
        <f>2643</f>
        <v>2643</v>
      </c>
      <c r="G540" s="53">
        <v>2128</v>
      </c>
      <c r="H540" s="53">
        <v>2175</v>
      </c>
      <c r="I540" s="53">
        <v>2480</v>
      </c>
      <c r="J540" s="53">
        <v>2042</v>
      </c>
      <c r="K540" s="53">
        <v>1789</v>
      </c>
      <c r="L540" s="53">
        <v>523</v>
      </c>
      <c r="M540" s="53">
        <v>508</v>
      </c>
      <c r="N540" s="53">
        <v>508</v>
      </c>
      <c r="O540" s="53">
        <v>512</v>
      </c>
      <c r="P540" s="53">
        <v>511</v>
      </c>
      <c r="Q540" s="53">
        <v>518</v>
      </c>
      <c r="R540" s="53">
        <v>519</v>
      </c>
      <c r="S540" s="53">
        <v>520</v>
      </c>
      <c r="T540" s="53">
        <v>521</v>
      </c>
      <c r="U540" s="53">
        <v>523</v>
      </c>
      <c r="V540" s="53">
        <v>524</v>
      </c>
      <c r="W540" s="53">
        <v>528</v>
      </c>
      <c r="X540" s="53">
        <v>528</v>
      </c>
      <c r="Y540" s="53">
        <v>531</v>
      </c>
      <c r="Z540" s="53">
        <v>532</v>
      </c>
      <c r="AA540" s="164">
        <v>537</v>
      </c>
      <c r="AB540" s="164">
        <v>536</v>
      </c>
      <c r="AC540" s="164">
        <v>537</v>
      </c>
      <c r="AD540" s="164">
        <v>556</v>
      </c>
      <c r="AE540" s="164">
        <v>562</v>
      </c>
      <c r="AF540" s="164">
        <v>554</v>
      </c>
      <c r="AG540" s="164">
        <v>550</v>
      </c>
      <c r="AH540" s="164">
        <v>551</v>
      </c>
      <c r="AI540" s="164">
        <v>546</v>
      </c>
      <c r="AJ540" s="164">
        <v>554</v>
      </c>
      <c r="AK540" s="164">
        <v>554</v>
      </c>
      <c r="AL540" s="164">
        <v>553</v>
      </c>
      <c r="AM540" s="164">
        <v>55</v>
      </c>
      <c r="AN540" s="164">
        <v>51</v>
      </c>
      <c r="AO540" s="164">
        <v>5</v>
      </c>
      <c r="AP540" s="164">
        <v>5</v>
      </c>
      <c r="AQ540" s="164">
        <v>5</v>
      </c>
      <c r="AR540" s="164">
        <v>5</v>
      </c>
      <c r="AS540" s="164">
        <v>5</v>
      </c>
      <c r="AT540" s="164">
        <v>5</v>
      </c>
      <c r="AU540" s="164">
        <v>5</v>
      </c>
      <c r="AV540" s="164">
        <v>5</v>
      </c>
      <c r="AW540" s="164">
        <v>5</v>
      </c>
      <c r="AX540" s="164">
        <v>0</v>
      </c>
      <c r="AY540" s="54">
        <f t="shared" ref="AY540:BE540" si="3827">AX540</f>
        <v>0</v>
      </c>
      <c r="AZ540" s="171">
        <v>0</v>
      </c>
      <c r="BA540" s="54">
        <f t="shared" si="3827"/>
        <v>0</v>
      </c>
      <c r="BB540" s="54">
        <f t="shared" si="3827"/>
        <v>0</v>
      </c>
      <c r="BC540" s="54">
        <f t="shared" si="3827"/>
        <v>0</v>
      </c>
      <c r="BD540" s="54">
        <f t="shared" si="3827"/>
        <v>0</v>
      </c>
      <c r="BE540" s="54">
        <f t="shared" si="3827"/>
        <v>0</v>
      </c>
      <c r="BF540" s="54">
        <f t="shared" si="3822"/>
        <v>0</v>
      </c>
      <c r="BG540" s="54">
        <f t="shared" si="3822"/>
        <v>0</v>
      </c>
      <c r="BH540" s="54">
        <f t="shared" si="3822"/>
        <v>0</v>
      </c>
      <c r="BI540" s="54">
        <f t="shared" si="3822"/>
        <v>0</v>
      </c>
      <c r="BJ540" s="54">
        <f t="shared" si="3822"/>
        <v>0</v>
      </c>
      <c r="BK540" s="54">
        <f t="shared" si="3822"/>
        <v>0</v>
      </c>
      <c r="BL540" s="54">
        <f t="shared" si="3822"/>
        <v>0</v>
      </c>
      <c r="BM540" s="54">
        <f t="shared" si="3822"/>
        <v>0</v>
      </c>
      <c r="BN540" s="54">
        <f t="shared" si="3823"/>
        <v>0</v>
      </c>
      <c r="BO540" s="54">
        <f t="shared" si="3824"/>
        <v>0</v>
      </c>
      <c r="BP540" s="54">
        <f t="shared" si="3825"/>
        <v>0</v>
      </c>
      <c r="BQ540" s="54">
        <f t="shared" si="3826"/>
        <v>0</v>
      </c>
      <c r="BR540" s="55"/>
      <c r="BS540" s="53">
        <v>52</v>
      </c>
      <c r="BT540" s="53">
        <v>63.2</v>
      </c>
      <c r="BU540" s="53">
        <v>105.9</v>
      </c>
      <c r="BV540" s="53">
        <v>126.7</v>
      </c>
      <c r="BW540" s="53">
        <v>177</v>
      </c>
      <c r="BX540" s="53">
        <v>178</v>
      </c>
      <c r="BY540" s="53">
        <v>177</v>
      </c>
      <c r="BZ540" s="53">
        <v>227</v>
      </c>
      <c r="CA540" s="53">
        <v>963</v>
      </c>
      <c r="CB540" s="53">
        <v>1455</v>
      </c>
      <c r="CC540" s="55">
        <f>E540</f>
        <v>2026</v>
      </c>
      <c r="CD540" s="55">
        <f>G540</f>
        <v>2128</v>
      </c>
      <c r="CE540" s="55">
        <f>I540</f>
        <v>2480</v>
      </c>
      <c r="CF540" s="55">
        <f>K540</f>
        <v>1789</v>
      </c>
      <c r="CG540" s="55">
        <f>M540</f>
        <v>508</v>
      </c>
      <c r="CH540" s="55">
        <f>O540</f>
        <v>512</v>
      </c>
      <c r="CI540" s="55">
        <f>Q540</f>
        <v>518</v>
      </c>
      <c r="CJ540" s="55">
        <f>S540</f>
        <v>520</v>
      </c>
      <c r="CK540" s="55">
        <f>U540</f>
        <v>523</v>
      </c>
      <c r="CL540" s="55">
        <f>W540</f>
        <v>528</v>
      </c>
      <c r="CM540" s="55">
        <f>Y540</f>
        <v>531</v>
      </c>
      <c r="CN540" s="55">
        <f>AA540</f>
        <v>537</v>
      </c>
      <c r="CO540" s="55">
        <f>AC540</f>
        <v>537</v>
      </c>
      <c r="CP540" s="55">
        <f>AE540</f>
        <v>562</v>
      </c>
      <c r="CQ540" s="55">
        <f>AG540</f>
        <v>550</v>
      </c>
      <c r="CR540" s="55">
        <f>AI540</f>
        <v>546</v>
      </c>
      <c r="CS540" s="55">
        <f>AJ540</f>
        <v>554</v>
      </c>
      <c r="CT540" s="55">
        <f>AM540</f>
        <v>55</v>
      </c>
      <c r="CU540" s="55">
        <f>AO540</f>
        <v>5</v>
      </c>
      <c r="CV540" s="55">
        <f>AQ540</f>
        <v>5</v>
      </c>
      <c r="CW540" s="55">
        <f>AS540</f>
        <v>5</v>
      </c>
      <c r="CX540" s="55">
        <f>AU540</f>
        <v>5</v>
      </c>
      <c r="CY540" s="55">
        <f>AW540</f>
        <v>5</v>
      </c>
      <c r="CZ540" s="56">
        <f>AY540</f>
        <v>0</v>
      </c>
      <c r="DA540" s="55">
        <f>BA540</f>
        <v>0</v>
      </c>
      <c r="DB540" s="55">
        <f>BC540</f>
        <v>0</v>
      </c>
      <c r="DC540" s="55">
        <f>BE540</f>
        <v>0</v>
      </c>
      <c r="DD540" s="55">
        <f>BG540</f>
        <v>0</v>
      </c>
      <c r="DE540" s="55">
        <f>BI540</f>
        <v>0</v>
      </c>
      <c r="DF540" s="55">
        <f>BK540</f>
        <v>0</v>
      </c>
      <c r="DG540" s="55">
        <f>BM540</f>
        <v>0</v>
      </c>
      <c r="DH540" s="55">
        <f>BO540</f>
        <v>0</v>
      </c>
      <c r="DI540" s="55">
        <f>BQ540</f>
        <v>0</v>
      </c>
    </row>
    <row r="541" spans="1:113" s="24" customFormat="1" outlineLevel="1">
      <c r="A541" s="1" t="s">
        <v>979</v>
      </c>
      <c r="B541" s="24" t="s">
        <v>154</v>
      </c>
      <c r="C541" s="82">
        <f t="shared" ref="C541:L541" si="3828">C538+C539+C540</f>
        <v>19848</v>
      </c>
      <c r="D541" s="82">
        <f t="shared" si="3828"/>
        <v>20404</v>
      </c>
      <c r="E541" s="82">
        <f t="shared" si="3828"/>
        <v>21056</v>
      </c>
      <c r="F541" s="82">
        <f t="shared" si="3828"/>
        <v>22446</v>
      </c>
      <c r="G541" s="82">
        <f t="shared" si="3828"/>
        <v>22152</v>
      </c>
      <c r="H541" s="82">
        <f t="shared" si="3828"/>
        <v>23201</v>
      </c>
      <c r="I541" s="82">
        <f t="shared" si="3828"/>
        <v>24885</v>
      </c>
      <c r="J541" s="82">
        <f t="shared" si="3828"/>
        <v>22101</v>
      </c>
      <c r="K541" s="82">
        <f t="shared" si="3828"/>
        <v>22643</v>
      </c>
      <c r="L541" s="82">
        <f t="shared" si="3828"/>
        <v>19850</v>
      </c>
      <c r="M541" s="82">
        <f t="shared" ref="M541:AG541" si="3829">M538+M539+M540</f>
        <v>21343</v>
      </c>
      <c r="N541" s="82">
        <f t="shared" si="3829"/>
        <v>22487</v>
      </c>
      <c r="O541" s="82">
        <f t="shared" si="3829"/>
        <v>24444</v>
      </c>
      <c r="P541" s="82">
        <f t="shared" si="3829"/>
        <v>25638</v>
      </c>
      <c r="Q541" s="82">
        <f t="shared" si="3829"/>
        <v>26137</v>
      </c>
      <c r="R541" s="82">
        <f t="shared" si="3829"/>
        <v>29987</v>
      </c>
      <c r="S541" s="82">
        <f t="shared" si="3829"/>
        <v>31442</v>
      </c>
      <c r="T541" s="82">
        <f t="shared" si="3829"/>
        <v>33583</v>
      </c>
      <c r="U541" s="82">
        <f t="shared" si="3829"/>
        <v>35570</v>
      </c>
      <c r="V541" s="82">
        <f t="shared" si="3829"/>
        <v>35349</v>
      </c>
      <c r="W541" s="82">
        <f t="shared" si="3829"/>
        <v>37287</v>
      </c>
      <c r="X541" s="82">
        <f t="shared" si="3829"/>
        <v>38875</v>
      </c>
      <c r="Y541" s="82">
        <f t="shared" si="3829"/>
        <v>41572</v>
      </c>
      <c r="Z541" s="82">
        <f t="shared" si="3829"/>
        <v>43348</v>
      </c>
      <c r="AA541" s="82">
        <f t="shared" si="3829"/>
        <v>45537</v>
      </c>
      <c r="AB541" s="82">
        <f t="shared" si="3829"/>
        <v>47037</v>
      </c>
      <c r="AC541" s="82">
        <f t="shared" si="3829"/>
        <v>49348</v>
      </c>
      <c r="AD541" s="82">
        <f t="shared" si="3829"/>
        <v>51031</v>
      </c>
      <c r="AE541" s="82">
        <f>AE538+AE539+AE540</f>
        <v>52993</v>
      </c>
      <c r="AF541" s="82">
        <f>AF538+AF539+AF540</f>
        <v>59664</v>
      </c>
      <c r="AG541" s="82">
        <f t="shared" si="3829"/>
        <v>60564</v>
      </c>
      <c r="AH541" s="82">
        <f t="shared" ref="AH541:AM541" si="3830">AH538+AH539+AH540</f>
        <v>61756</v>
      </c>
      <c r="AI541" s="82">
        <f t="shared" si="3830"/>
        <v>63660</v>
      </c>
      <c r="AJ541" s="82">
        <f t="shared" si="3830"/>
        <v>66091</v>
      </c>
      <c r="AK541" s="82">
        <f t="shared" si="3830"/>
        <v>67860</v>
      </c>
      <c r="AL541" s="82">
        <f t="shared" si="3830"/>
        <v>68578</v>
      </c>
      <c r="AM541" s="82">
        <f t="shared" si="3830"/>
        <v>69649</v>
      </c>
      <c r="AN541" s="82">
        <f t="shared" ref="AN541:AS541" si="3831">AN538+AN539+AN540</f>
        <v>71153</v>
      </c>
      <c r="AO541" s="82">
        <f t="shared" si="3831"/>
        <v>71938</v>
      </c>
      <c r="AP541" s="82">
        <f t="shared" si="3831"/>
        <v>74920</v>
      </c>
      <c r="AQ541" s="82">
        <f t="shared" si="3831"/>
        <v>78718</v>
      </c>
      <c r="AR541" s="82">
        <f t="shared" si="3831"/>
        <v>74663</v>
      </c>
      <c r="AS541" s="82">
        <f t="shared" si="3831"/>
        <v>72838</v>
      </c>
      <c r="AT541" s="82">
        <f t="shared" ref="AT541:AU541" si="3832">AT538+AT539+AT540</f>
        <v>72543</v>
      </c>
      <c r="AU541" s="82">
        <f t="shared" si="3832"/>
        <v>72543</v>
      </c>
      <c r="AV541" s="82">
        <f t="shared" ref="AV541:AW541" si="3833">AV538+AV539+AV540</f>
        <v>72839</v>
      </c>
      <c r="AW541" s="82">
        <f t="shared" si="3833"/>
        <v>73088</v>
      </c>
      <c r="AX541" s="82">
        <f t="shared" ref="AX541:AZ541" si="3834">AX538+AX539+AX540</f>
        <v>75264</v>
      </c>
      <c r="AY541" s="82">
        <f t="shared" ref="AY541:BE541" si="3835">AY538+AY539+AY540</f>
        <v>78776</v>
      </c>
      <c r="AZ541" s="83">
        <f t="shared" si="3834"/>
        <v>77232</v>
      </c>
      <c r="BA541" s="82">
        <f t="shared" si="3835"/>
        <v>79480.078282640126</v>
      </c>
      <c r="BB541" s="82">
        <f t="shared" si="3835"/>
        <v>79308.266996693652</v>
      </c>
      <c r="BC541" s="82">
        <f t="shared" si="3835"/>
        <v>79731.280911012946</v>
      </c>
      <c r="BD541" s="82">
        <f t="shared" si="3835"/>
        <v>79723.128404927484</v>
      </c>
      <c r="BE541" s="82">
        <f t="shared" si="3835"/>
        <v>80251.911455016147</v>
      </c>
      <c r="BF541" s="82">
        <f t="shared" ref="BF541:BM541" si="3836">BF538+BF539+BF540</f>
        <v>80421.604129395637</v>
      </c>
      <c r="BG541" s="82">
        <f t="shared" si="3836"/>
        <v>82306.897204458684</v>
      </c>
      <c r="BH541" s="82">
        <f t="shared" si="3836"/>
        <v>83788.28322303087</v>
      </c>
      <c r="BI541" s="82">
        <f t="shared" si="3836"/>
        <v>85624.373735476169</v>
      </c>
      <c r="BJ541" s="82">
        <f t="shared" si="3836"/>
        <v>86954.133318028704</v>
      </c>
      <c r="BK541" s="82">
        <f t="shared" si="3836"/>
        <v>88771.663648460613</v>
      </c>
      <c r="BL541" s="82">
        <f t="shared" si="3836"/>
        <v>90129.729790682031</v>
      </c>
      <c r="BM541" s="82">
        <f t="shared" si="3836"/>
        <v>91974.502821670569</v>
      </c>
      <c r="BN541" s="82">
        <f t="shared" ref="BN541:BO541" si="3837">BN538+BN539+BN540</f>
        <v>93444.776783809531</v>
      </c>
      <c r="BO541" s="82">
        <f t="shared" si="3837"/>
        <v>95394.078357732797</v>
      </c>
      <c r="BP541" s="82">
        <f t="shared" ref="BP541:BQ541" si="3838">BP538+BP539+BP540</f>
        <v>96996.899058654904</v>
      </c>
      <c r="BQ541" s="82">
        <f t="shared" si="3838"/>
        <v>99078.73126601585</v>
      </c>
      <c r="BR541" s="82"/>
      <c r="BS541" s="82">
        <f t="shared" ref="BS541:BY541" si="3839">SUM(BS538:BS540)</f>
        <v>5523</v>
      </c>
      <c r="BT541" s="82">
        <f t="shared" si="3839"/>
        <v>5631.9</v>
      </c>
      <c r="BU541" s="82">
        <f t="shared" si="3839"/>
        <v>6071</v>
      </c>
      <c r="BV541" s="82">
        <f t="shared" si="3839"/>
        <v>6695</v>
      </c>
      <c r="BW541" s="82">
        <f t="shared" si="3839"/>
        <v>7367</v>
      </c>
      <c r="BX541" s="82">
        <f t="shared" si="3839"/>
        <v>7024</v>
      </c>
      <c r="BY541" s="82">
        <f t="shared" si="3839"/>
        <v>6889</v>
      </c>
      <c r="BZ541" s="82">
        <f>SUM(BZ538:BZ540)</f>
        <v>6962</v>
      </c>
      <c r="CA541" s="82">
        <f>SUM(CA538:CA540)</f>
        <v>18435</v>
      </c>
      <c r="CB541" s="82">
        <f>SUM(CB538:CB540)</f>
        <v>19848</v>
      </c>
      <c r="CC541" s="82">
        <f t="shared" ref="CC541:CP541" si="3840">SUM(CC538:CC540)</f>
        <v>21056</v>
      </c>
      <c r="CD541" s="82">
        <f t="shared" si="3840"/>
        <v>22152</v>
      </c>
      <c r="CE541" s="82">
        <f t="shared" si="3840"/>
        <v>24885</v>
      </c>
      <c r="CF541" s="82">
        <f t="shared" si="3840"/>
        <v>22643</v>
      </c>
      <c r="CG541" s="82">
        <f t="shared" si="3840"/>
        <v>21343</v>
      </c>
      <c r="CH541" s="82">
        <f t="shared" si="3840"/>
        <v>24444</v>
      </c>
      <c r="CI541" s="82">
        <f t="shared" si="3840"/>
        <v>26137</v>
      </c>
      <c r="CJ541" s="82">
        <f t="shared" si="3840"/>
        <v>31442</v>
      </c>
      <c r="CK541" s="82">
        <f t="shared" si="3840"/>
        <v>35570</v>
      </c>
      <c r="CL541" s="82">
        <f t="shared" si="3840"/>
        <v>37287</v>
      </c>
      <c r="CM541" s="82">
        <f t="shared" si="3840"/>
        <v>41572</v>
      </c>
      <c r="CN541" s="82">
        <f t="shared" si="3840"/>
        <v>45537</v>
      </c>
      <c r="CO541" s="82">
        <f t="shared" si="3840"/>
        <v>49348</v>
      </c>
      <c r="CP541" s="82">
        <f t="shared" si="3840"/>
        <v>52993</v>
      </c>
      <c r="CQ541" s="82">
        <f t="shared" ref="CQ541:CX541" si="3841">SUM(CQ538:CQ540)</f>
        <v>60564</v>
      </c>
      <c r="CR541" s="82">
        <f t="shared" si="3841"/>
        <v>63660</v>
      </c>
      <c r="CS541" s="82">
        <f>SUM(CS538:CS540)</f>
        <v>67860</v>
      </c>
      <c r="CT541" s="82">
        <f t="shared" si="3841"/>
        <v>69649</v>
      </c>
      <c r="CU541" s="82">
        <f t="shared" si="3841"/>
        <v>71938</v>
      </c>
      <c r="CV541" s="82">
        <f t="shared" si="3841"/>
        <v>78718</v>
      </c>
      <c r="CW541" s="82">
        <f t="shared" si="3841"/>
        <v>72838</v>
      </c>
      <c r="CX541" s="82">
        <f t="shared" si="3841"/>
        <v>72543</v>
      </c>
      <c r="CY541" s="82">
        <f t="shared" ref="CY541:DD541" si="3842">SUM(CY538:CY540)</f>
        <v>73088</v>
      </c>
      <c r="CZ541" s="83">
        <f t="shared" si="3842"/>
        <v>78776</v>
      </c>
      <c r="DA541" s="82">
        <f t="shared" si="3842"/>
        <v>79480.078282640126</v>
      </c>
      <c r="DB541" s="82">
        <f t="shared" si="3842"/>
        <v>79731.280911012946</v>
      </c>
      <c r="DC541" s="82">
        <f t="shared" si="3842"/>
        <v>80251.911455016161</v>
      </c>
      <c r="DD541" s="82">
        <f t="shared" si="3842"/>
        <v>82306.897204458684</v>
      </c>
      <c r="DE541" s="82">
        <f>SUM(DE538:DE540)</f>
        <v>85624.373735476169</v>
      </c>
      <c r="DF541" s="82">
        <f>SUM(DF538:DF540)</f>
        <v>88771.663648460613</v>
      </c>
      <c r="DG541" s="82">
        <f>SUM(DG538:DG540)</f>
        <v>91974.502821670569</v>
      </c>
      <c r="DH541" s="82">
        <f>SUM(DH538:DH540)</f>
        <v>95394.078357732797</v>
      </c>
      <c r="DI541" s="82">
        <f>SUM(DI538:DI540)</f>
        <v>99078.731266015835</v>
      </c>
    </row>
    <row r="542" spans="1:113" outlineLevel="1">
      <c r="C542" s="55"/>
      <c r="D542" s="55"/>
      <c r="E542" s="55"/>
      <c r="F542" s="55"/>
      <c r="G542" s="55"/>
      <c r="H542" s="55"/>
      <c r="I542" s="55"/>
      <c r="J542" s="55"/>
      <c r="K542" s="55"/>
      <c r="L542" s="55"/>
      <c r="M542" s="55"/>
      <c r="N542" s="55"/>
      <c r="O542" s="55"/>
      <c r="P542" s="55"/>
      <c r="Q542" s="55"/>
      <c r="R542" s="55"/>
      <c r="S542" s="55"/>
      <c r="T542" s="55"/>
      <c r="U542" s="55"/>
      <c r="V542" s="55"/>
      <c r="W542" s="55"/>
      <c r="X542" s="55"/>
      <c r="Y542" s="55"/>
      <c r="Z542" s="55"/>
      <c r="AA542" s="55"/>
      <c r="AB542" s="55"/>
      <c r="AC542" s="55"/>
      <c r="AD542" s="55"/>
      <c r="AE542" s="583"/>
      <c r="AF542" s="583"/>
      <c r="AG542" s="55"/>
      <c r="AH542" s="55"/>
      <c r="AI542" s="55"/>
      <c r="AJ542" s="55"/>
      <c r="AK542" s="55"/>
      <c r="AL542" s="55"/>
      <c r="AM542" s="55"/>
      <c r="AN542" s="55"/>
      <c r="AO542" s="55"/>
      <c r="AP542" s="55"/>
      <c r="AQ542" s="55"/>
      <c r="AR542" s="55"/>
      <c r="AS542" s="55"/>
      <c r="AT542" s="55"/>
      <c r="AU542" s="55"/>
      <c r="AV542" s="55"/>
      <c r="AW542" s="55"/>
      <c r="AX542" s="55"/>
      <c r="AY542" s="55"/>
      <c r="AZ542" s="56"/>
      <c r="BA542" s="55"/>
      <c r="BB542" s="55"/>
      <c r="BC542" s="55"/>
      <c r="BD542" s="55"/>
      <c r="BE542" s="55"/>
      <c r="BF542" s="55"/>
      <c r="BG542" s="55"/>
      <c r="BH542" s="55"/>
      <c r="BI542" s="55"/>
      <c r="BJ542" s="55"/>
      <c r="BK542" s="55"/>
      <c r="BL542" s="55"/>
      <c r="BM542" s="55"/>
      <c r="BN542" s="55"/>
      <c r="BO542" s="55"/>
      <c r="BP542" s="55"/>
      <c r="BQ542" s="55"/>
      <c r="BR542" s="55"/>
      <c r="BS542" s="55"/>
      <c r="BT542" s="55"/>
      <c r="BU542" s="55"/>
      <c r="BV542" s="55"/>
      <c r="BW542" s="55"/>
      <c r="BX542" s="55"/>
      <c r="BY542" s="55"/>
      <c r="BZ542" s="55"/>
      <c r="CA542" s="55"/>
      <c r="CB542" s="55"/>
      <c r="CC542" s="55"/>
      <c r="CD542" s="55"/>
      <c r="CE542" s="55"/>
      <c r="CF542" s="55"/>
      <c r="CG542" s="55"/>
      <c r="CH542" s="55"/>
      <c r="CI542" s="55"/>
      <c r="CJ542" s="55"/>
      <c r="CK542" s="55"/>
      <c r="CL542" s="55"/>
      <c r="CM542" s="55"/>
      <c r="CN542" s="55"/>
      <c r="CO542" s="55"/>
      <c r="CP542" s="55"/>
      <c r="CQ542" s="55"/>
      <c r="CR542" s="55"/>
      <c r="CS542" s="55"/>
      <c r="CT542" s="55"/>
      <c r="CU542" s="55"/>
      <c r="CV542" s="55"/>
      <c r="CW542" s="55"/>
      <c r="CX542" s="55"/>
      <c r="CY542" s="55"/>
      <c r="CZ542" s="56"/>
      <c r="DA542" s="55"/>
      <c r="DB542" s="55"/>
    </row>
    <row r="543" spans="1:113" s="24" customFormat="1" outlineLevel="1">
      <c r="A543" s="1" t="s">
        <v>1008</v>
      </c>
      <c r="B543" s="24" t="s">
        <v>155</v>
      </c>
      <c r="C543" s="81">
        <f>1244.015455/0.9946</f>
        <v>1250.7696108988537</v>
      </c>
      <c r="D543" s="81">
        <f>1252.659425/0.9946</f>
        <v>1259.4605117635231</v>
      </c>
      <c r="E543" s="81">
        <f>1252.921363/0.9946</f>
        <v>1259.7238719083048</v>
      </c>
      <c r="F543" s="81">
        <f>1253.581363/0.9946</f>
        <v>1260.3874552583952</v>
      </c>
      <c r="G543" s="81">
        <f>1253.581363/0.9946</f>
        <v>1260.3874552583952</v>
      </c>
      <c r="H543" s="81">
        <f>1261.059152/0.9946</f>
        <v>1267.9058435551981</v>
      </c>
      <c r="I543" s="81">
        <f>1264.006062/0.9946</f>
        <v>1270.8687532676452</v>
      </c>
      <c r="J543" s="81">
        <f>1273.876008/0.9946</f>
        <v>1280.7922863462697</v>
      </c>
      <c r="K543" s="81">
        <f>1280.276172/0.9946</f>
        <v>1287.2271988739192</v>
      </c>
      <c r="L543" s="81">
        <f>1288.562729/0.9946</f>
        <v>1295.5587462296401</v>
      </c>
      <c r="M543" s="81">
        <f>1282.904909/0.9946</f>
        <v>1289.8702081238689</v>
      </c>
      <c r="N543" s="81">
        <f>1290.017862/0.9946</f>
        <v>1297.0217796098932</v>
      </c>
      <c r="O543" s="81">
        <f>1300.583376/0.9946</f>
        <v>1307.6446571486024</v>
      </c>
      <c r="P543" s="81">
        <f>1315.962276/0.9946</f>
        <v>1323.1070540920973</v>
      </c>
      <c r="Q543" s="81">
        <f>1326.130877/0.9946</f>
        <v>1333.3308636637844</v>
      </c>
      <c r="R543" s="81">
        <f>1471.199458/0.9946</f>
        <v>1479.1870681681078</v>
      </c>
      <c r="S543" s="81">
        <f>1518.801069/0.9946</f>
        <v>1527.0471234667202</v>
      </c>
      <c r="T543" s="81">
        <f>1534.246082/0.9946</f>
        <v>1542.575992358737</v>
      </c>
      <c r="U543" s="81">
        <f>1548.737374/0.9946</f>
        <v>1557.1459621958577</v>
      </c>
      <c r="V543" s="81">
        <f>1548.907074/0.9946</f>
        <v>1557.3165835511763</v>
      </c>
      <c r="W543" s="81">
        <f>1558.637244/0.9946</f>
        <v>1567.0995817414034</v>
      </c>
      <c r="X543" s="81">
        <f>1581.280593/0.9946</f>
        <v>1589.8658686909309</v>
      </c>
      <c r="Y543" s="81">
        <f>1592.15478/0.9946</f>
        <v>1600.7990951136135</v>
      </c>
      <c r="Z543" s="81">
        <f>1609.180841/0.9946</f>
        <v>1617.9175960185</v>
      </c>
      <c r="AA543" s="166">
        <f>1612/0.9946</f>
        <v>1620.7520611301024</v>
      </c>
      <c r="AB543" s="166">
        <f>1612/0.9946</f>
        <v>1620.7520611301024</v>
      </c>
      <c r="AC543" s="166">
        <f>1621/0.9946</f>
        <v>1629.8009249949728</v>
      </c>
      <c r="AD543" s="166">
        <f>1621.319194/0.9946</f>
        <v>1630.1218520008042</v>
      </c>
      <c r="AE543" s="166">
        <f>1628/0.9946</f>
        <v>1636.8389302232054</v>
      </c>
      <c r="AF543" s="166">
        <v>1708</v>
      </c>
      <c r="AG543" s="166">
        <v>1715</v>
      </c>
      <c r="AH543" s="166">
        <v>1723</v>
      </c>
      <c r="AI543" s="166">
        <v>1730</v>
      </c>
      <c r="AJ543" s="166">
        <v>1753</v>
      </c>
      <c r="AK543" s="166">
        <v>1760</v>
      </c>
      <c r="AL543" s="166">
        <v>1770.239507</v>
      </c>
      <c r="AM543" s="166">
        <v>1770.239507</v>
      </c>
      <c r="AN543" s="166">
        <v>1770.239507</v>
      </c>
      <c r="AO543" s="166">
        <v>1770.239507</v>
      </c>
      <c r="AP543" s="166">
        <v>1774.0964100000001</v>
      </c>
      <c r="AQ543" s="166">
        <v>1774.0964100000001</v>
      </c>
      <c r="AR543" s="166">
        <v>1706.391603</v>
      </c>
      <c r="AS543" s="166">
        <v>1701.5384059999999</v>
      </c>
      <c r="AT543" s="166">
        <v>1688.4141689999999</v>
      </c>
      <c r="AU543" s="166">
        <v>1674.519391</v>
      </c>
      <c r="AV543" s="166">
        <v>1673.220748</v>
      </c>
      <c r="AW543" s="166">
        <v>1672.0700300000001</v>
      </c>
      <c r="AX543" s="166">
        <v>1671.9987630000001</v>
      </c>
      <c r="AY543" s="166">
        <v>1671.842146</v>
      </c>
      <c r="AZ543" s="167">
        <v>1672.123722</v>
      </c>
      <c r="BA543" s="82">
        <f t="shared" ref="BA543:BE543" si="3843">AZ543+BA141</f>
        <v>1672.123722</v>
      </c>
      <c r="BB543" s="82">
        <f t="shared" si="3843"/>
        <v>1664.8228279285952</v>
      </c>
      <c r="BC543" s="82">
        <f t="shared" si="3843"/>
        <v>1657.8266296797287</v>
      </c>
      <c r="BD543" s="82">
        <f t="shared" si="3843"/>
        <v>1651.1224110650321</v>
      </c>
      <c r="BE543" s="82">
        <f t="shared" si="3843"/>
        <v>1644.6979865940805</v>
      </c>
      <c r="BF543" s="82">
        <f t="shared" ref="BF543:BM543" si="3844">BE543+BF141</f>
        <v>1638.5416793262229</v>
      </c>
      <c r="BG543" s="82">
        <f t="shared" si="3844"/>
        <v>1638.5416793262229</v>
      </c>
      <c r="BH543" s="82">
        <f t="shared" si="3844"/>
        <v>1638.5416793262229</v>
      </c>
      <c r="BI543" s="82">
        <f t="shared" si="3844"/>
        <v>1638.5416793262229</v>
      </c>
      <c r="BJ543" s="82">
        <f t="shared" si="3844"/>
        <v>1638.5416793262229</v>
      </c>
      <c r="BK543" s="82">
        <f t="shared" si="3844"/>
        <v>1638.5416793262229</v>
      </c>
      <c r="BL543" s="82">
        <f t="shared" si="3844"/>
        <v>1638.5416793262229</v>
      </c>
      <c r="BM543" s="82">
        <f t="shared" si="3844"/>
        <v>1638.5416793262229</v>
      </c>
      <c r="BN543" s="82">
        <f t="shared" ref="BN543" si="3845">BM543+BN141</f>
        <v>1638.5416793262229</v>
      </c>
      <c r="BO543" s="82">
        <f t="shared" ref="BO543" si="3846">BN543+BO141</f>
        <v>1638.5416793262229</v>
      </c>
      <c r="BP543" s="82">
        <f t="shared" ref="BP543" si="3847">BO543+BP141</f>
        <v>1638.5416793262229</v>
      </c>
      <c r="BQ543" s="82">
        <f t="shared" ref="BQ543" si="3848">BP543+BQ141</f>
        <v>1638.5416793262229</v>
      </c>
      <c r="BR543" s="82"/>
      <c r="BS543" s="81">
        <f>844.395466/0.9946</f>
        <v>848.97995777196866</v>
      </c>
      <c r="BT543" s="81">
        <f>875.393633/0.9946</f>
        <v>880.14642368791476</v>
      </c>
      <c r="BU543" s="81">
        <f>904.944492/0.9946</f>
        <v>909.85772370802329</v>
      </c>
      <c r="BV543" s="81">
        <f>949.155164/0.9946</f>
        <v>954.30842951940474</v>
      </c>
      <c r="BW543" s="81">
        <f>990.403371/0.9946</f>
        <v>995.78058616529256</v>
      </c>
      <c r="BX543" s="81">
        <f>930.177235/0.9946</f>
        <v>935.22746330182986</v>
      </c>
      <c r="BY543" s="81">
        <f>922.658274/0.9946</f>
        <v>927.6676794691333</v>
      </c>
      <c r="BZ543" s="81">
        <f>915.968625/0.9946</f>
        <v>920.94171023527042</v>
      </c>
      <c r="CA543" s="81">
        <f>1260.201978/0.9946</f>
        <v>1267.0440156846973</v>
      </c>
      <c r="CB543" s="81">
        <f>1244.015455/0.9946</f>
        <v>1250.7696108988537</v>
      </c>
      <c r="CC543" s="82">
        <f>E543</f>
        <v>1259.7238719083048</v>
      </c>
      <c r="CD543" s="82">
        <f>G543</f>
        <v>1260.3874552583952</v>
      </c>
      <c r="CE543" s="82">
        <f>I543</f>
        <v>1270.8687532676452</v>
      </c>
      <c r="CF543" s="82">
        <f>K543</f>
        <v>1287.2271988739192</v>
      </c>
      <c r="CG543" s="82">
        <f>M543</f>
        <v>1289.8702081238689</v>
      </c>
      <c r="CH543" s="82">
        <f>O543</f>
        <v>1307.6446571486024</v>
      </c>
      <c r="CI543" s="82">
        <f>Q543</f>
        <v>1333.3308636637844</v>
      </c>
      <c r="CJ543" s="82">
        <f>S543</f>
        <v>1527.0471234667202</v>
      </c>
      <c r="CK543" s="82">
        <f>U543</f>
        <v>1557.1459621958577</v>
      </c>
      <c r="CL543" s="82">
        <f>W543</f>
        <v>1567.0995817414034</v>
      </c>
      <c r="CM543" s="82">
        <f>Y543</f>
        <v>1600.7990951136135</v>
      </c>
      <c r="CN543" s="82">
        <f>AA543</f>
        <v>1620.7520611301024</v>
      </c>
      <c r="CO543" s="82">
        <f>AC543</f>
        <v>1629.8009249949728</v>
      </c>
      <c r="CP543" s="82">
        <f>AE543</f>
        <v>1636.8389302232054</v>
      </c>
      <c r="CQ543" s="82">
        <f>AG543</f>
        <v>1715</v>
      </c>
      <c r="CR543" s="82">
        <f>AH543</f>
        <v>1723</v>
      </c>
      <c r="CS543" s="82">
        <f>AI543</f>
        <v>1730</v>
      </c>
      <c r="CT543" s="82">
        <f>AM543</f>
        <v>1770.239507</v>
      </c>
      <c r="CU543" s="82">
        <f>AO543</f>
        <v>1770.239507</v>
      </c>
      <c r="CV543" s="82">
        <f>AQ543</f>
        <v>1774.0964100000001</v>
      </c>
      <c r="CW543" s="82">
        <f>AS543</f>
        <v>1701.5384059999999</v>
      </c>
      <c r="CX543" s="82">
        <f>AU543</f>
        <v>1674.519391</v>
      </c>
      <c r="CY543" s="82">
        <f>AW543</f>
        <v>1672.0700300000001</v>
      </c>
      <c r="CZ543" s="83">
        <f>AY543</f>
        <v>1671.842146</v>
      </c>
      <c r="DA543" s="82">
        <f>BA543</f>
        <v>1672.123722</v>
      </c>
      <c r="DB543" s="82">
        <f>BC543</f>
        <v>1657.8266296797287</v>
      </c>
      <c r="DC543" s="82">
        <f>BE543</f>
        <v>1644.6979865940805</v>
      </c>
      <c r="DD543" s="82">
        <f>BG543</f>
        <v>1638.5416793262229</v>
      </c>
      <c r="DE543" s="82">
        <f>BI543</f>
        <v>1638.5416793262229</v>
      </c>
      <c r="DF543" s="82">
        <f>BK543</f>
        <v>1638.5416793262229</v>
      </c>
      <c r="DG543" s="82">
        <f>BM543</f>
        <v>1638.5416793262229</v>
      </c>
      <c r="DH543" s="82">
        <f>BO543</f>
        <v>1638.5416793262229</v>
      </c>
      <c r="DI543" s="82">
        <f>BQ543</f>
        <v>1638.5416793262229</v>
      </c>
    </row>
    <row r="544" spans="1:113" outlineLevel="1">
      <c r="A544" s="1" t="s">
        <v>1009</v>
      </c>
      <c r="B544" s="19" t="s">
        <v>156</v>
      </c>
      <c r="C544" s="53">
        <f>1256/0.9946</f>
        <v>1262.8192238085662</v>
      </c>
      <c r="D544" s="53">
        <f>1248/0.9946</f>
        <v>1254.7757892620148</v>
      </c>
      <c r="E544" s="53">
        <f>1253/0.9946</f>
        <v>1259.8029358536094</v>
      </c>
      <c r="F544" s="53">
        <f>1253/0.9946</f>
        <v>1259.8029358536094</v>
      </c>
      <c r="G544" s="53">
        <f>1254/0.9946</f>
        <v>1260.8083651719285</v>
      </c>
      <c r="H544" s="53">
        <f>1257/0.9946</f>
        <v>1263.8246531268851</v>
      </c>
      <c r="I544" s="53">
        <f>1255/0.9946</f>
        <v>1261.8137944902473</v>
      </c>
      <c r="J544" s="53">
        <f>1265/0.9946</f>
        <v>1271.8680876734365</v>
      </c>
      <c r="K544" s="53">
        <f>1273/0.9946</f>
        <v>1279.9115222199878</v>
      </c>
      <c r="L544" s="53">
        <f>1281/0.9946</f>
        <v>1287.9549567665392</v>
      </c>
      <c r="M544" s="53">
        <f>1285/0.9946</f>
        <v>1291.976674039815</v>
      </c>
      <c r="N544" s="53">
        <f>1284/0.9946</f>
        <v>1290.9712447214961</v>
      </c>
      <c r="O544" s="53">
        <f>1293/0.9946</f>
        <v>1300.0201085863664</v>
      </c>
      <c r="P544" s="53">
        <f>1306/0.9946</f>
        <v>1313.0906897245122</v>
      </c>
      <c r="Q544" s="53">
        <f>1319/0.9946</f>
        <v>1326.1612708626583</v>
      </c>
      <c r="R544" s="53">
        <f>1358/0.9946</f>
        <v>1365.3730142770962</v>
      </c>
      <c r="S544" s="53">
        <f>1495/0.9946</f>
        <v>1503.1168308867886</v>
      </c>
      <c r="T544" s="53">
        <f>1523/0.9946</f>
        <v>1531.2688517997185</v>
      </c>
      <c r="U544" s="53">
        <f>1539/0.9946</f>
        <v>1547.3557208928212</v>
      </c>
      <c r="V544" s="53">
        <f>1546/0.9946</f>
        <v>1554.3937261210535</v>
      </c>
      <c r="W544" s="53">
        <f>1551/0.9946</f>
        <v>1559.4208727126481</v>
      </c>
      <c r="X544" s="53">
        <f>1564/0.9946</f>
        <v>1572.4914538507942</v>
      </c>
      <c r="Y544" s="53">
        <f>1583/0.9946</f>
        <v>1591.5946108988537</v>
      </c>
      <c r="Z544" s="53">
        <f>1596/0.9946</f>
        <v>1604.6651920369998</v>
      </c>
      <c r="AA544" s="164">
        <f>1606/0.9946</f>
        <v>1614.719485220189</v>
      </c>
      <c r="AB544" s="164">
        <f>1609/0.9946</f>
        <v>1617.7357731751458</v>
      </c>
      <c r="AC544" s="164">
        <f>1614/0.9946</f>
        <v>1622.7629197667404</v>
      </c>
      <c r="AD544" s="164">
        <f>1619/0.9946</f>
        <v>1627.790066358335</v>
      </c>
      <c r="AE544" s="164">
        <f>1622/0.9946</f>
        <v>1630.8063543132916</v>
      </c>
      <c r="AF544" s="164">
        <v>1678</v>
      </c>
      <c r="AG544" s="164">
        <v>1709</v>
      </c>
      <c r="AH544" s="164">
        <v>1716</v>
      </c>
      <c r="AI544" s="164">
        <v>1724</v>
      </c>
      <c r="AJ544" s="164">
        <v>1740</v>
      </c>
      <c r="AK544" s="164">
        <v>1754</v>
      </c>
      <c r="AL544" s="164">
        <v>1763</v>
      </c>
      <c r="AM544" s="164">
        <v>1769</v>
      </c>
      <c r="AN544" s="164">
        <v>1769</v>
      </c>
      <c r="AO544" s="164">
        <v>1769</v>
      </c>
      <c r="AP544" s="164">
        <v>1770</v>
      </c>
      <c r="AQ544" s="164">
        <v>1772</v>
      </c>
      <c r="AR544" s="164">
        <v>1740</v>
      </c>
      <c r="AS544" s="164">
        <v>1704</v>
      </c>
      <c r="AT544" s="164">
        <v>1695</v>
      </c>
      <c r="AU544" s="164">
        <v>1685</v>
      </c>
      <c r="AV544" s="164">
        <v>1674</v>
      </c>
      <c r="AW544" s="164">
        <v>1673</v>
      </c>
      <c r="AX544" s="164">
        <v>1672</v>
      </c>
      <c r="AY544" s="164">
        <v>1672</v>
      </c>
      <c r="AZ544" s="171">
        <v>1672</v>
      </c>
      <c r="BA544" s="55">
        <f t="shared" ref="BA544:BE544" si="3849">AZ544*AVERAGE(AZ543:BA543)/AVERAGE(AY543:AZ543)</f>
        <v>1672.1407894370288</v>
      </c>
      <c r="BB544" s="55">
        <f t="shared" si="3849"/>
        <v>1668.4903051410604</v>
      </c>
      <c r="BC544" s="55">
        <f t="shared" si="3849"/>
        <v>1661.3416860154139</v>
      </c>
      <c r="BD544" s="55">
        <f t="shared" si="3849"/>
        <v>1654.4914076632674</v>
      </c>
      <c r="BE544" s="55">
        <f t="shared" si="3849"/>
        <v>1647.9270191181374</v>
      </c>
      <c r="BF544" s="55">
        <f t="shared" ref="BF544:BM544" si="3850">BE544*AVERAGE(BE543:BF543)/AVERAGE(BD543:BE543)</f>
        <v>1641.6365890427044</v>
      </c>
      <c r="BG544" s="55">
        <f t="shared" si="3850"/>
        <v>1638.5584039899322</v>
      </c>
      <c r="BH544" s="55">
        <f t="shared" si="3850"/>
        <v>1638.5584039899322</v>
      </c>
      <c r="BI544" s="55">
        <f t="shared" si="3850"/>
        <v>1638.5584039899322</v>
      </c>
      <c r="BJ544" s="55">
        <f t="shared" si="3850"/>
        <v>1638.5584039899322</v>
      </c>
      <c r="BK544" s="55">
        <f t="shared" si="3850"/>
        <v>1638.5584039899322</v>
      </c>
      <c r="BL544" s="55">
        <f t="shared" si="3850"/>
        <v>1638.5584039899322</v>
      </c>
      <c r="BM544" s="55">
        <f t="shared" si="3850"/>
        <v>1638.5584039899322</v>
      </c>
      <c r="BN544" s="55">
        <f t="shared" ref="BN544" si="3851">BM544*AVERAGE(BM543:BN543)/AVERAGE(BL543:BM543)</f>
        <v>1638.5584039899322</v>
      </c>
      <c r="BO544" s="55">
        <f t="shared" ref="BO544" si="3852">BN544*AVERAGE(BN543:BO543)/AVERAGE(BM543:BN543)</f>
        <v>1638.5584039899322</v>
      </c>
      <c r="BP544" s="55">
        <f t="shared" ref="BP544" si="3853">BO544*AVERAGE(BO543:BP543)/AVERAGE(BN543:BO543)</f>
        <v>1638.5584039899322</v>
      </c>
      <c r="BQ544" s="55">
        <f t="shared" ref="BQ544" si="3854">BP544*AVERAGE(BP543:BQ543)/AVERAGE(BO543:BP543)</f>
        <v>1638.5584039899322</v>
      </c>
      <c r="BR544" s="55"/>
      <c r="BS544" s="53">
        <f>793.1/0.9946</f>
        <v>797.40599235873719</v>
      </c>
      <c r="BT544" s="53">
        <f>856.7/0.9946</f>
        <v>861.3512970038206</v>
      </c>
      <c r="BU544" s="53">
        <f>886.7/0.9946</f>
        <v>891.51417655338832</v>
      </c>
      <c r="BV544" s="53">
        <f>924/0.9946</f>
        <v>929.01669012668401</v>
      </c>
      <c r="BW544" s="53">
        <f>969/0.9946</f>
        <v>974.26100945103553</v>
      </c>
      <c r="BX544" s="53">
        <f>917/0.9946</f>
        <v>921.97868489845155</v>
      </c>
      <c r="BY544" s="53">
        <f>930/0.9946</f>
        <v>935.0492660365976</v>
      </c>
      <c r="BZ544" s="53">
        <f>927/0.9946</f>
        <v>932.03297808164086</v>
      </c>
      <c r="CA544" s="53">
        <f>927/0.9946</f>
        <v>932.03297808164086</v>
      </c>
      <c r="CB544" s="53">
        <f>1260/0.9946</f>
        <v>1266.8409410818419</v>
      </c>
      <c r="CC544" s="55">
        <f>SUMPRODUCT(D544:E544,D$5:E$5)/SUM(D$5:E$5)</f>
        <v>1257.3100220643528</v>
      </c>
      <c r="CD544" s="55">
        <f>SUMPRODUCT(F544:G544,F$5:G$5)/SUM(F$5:G$5)</f>
        <v>1260.3097824140773</v>
      </c>
      <c r="CE544" s="55">
        <f>SUMPRODUCT(H544:I544,H$5:I$5)/SUM(H$5:I$5)</f>
        <v>1262.8137296592861</v>
      </c>
      <c r="CF544" s="55">
        <f>SUMPRODUCT(J544:K544,J$5:K$5)/SUM(J$5:K$5)</f>
        <v>1275.9228601571776</v>
      </c>
      <c r="CG544" s="164">
        <v>1283</v>
      </c>
      <c r="CH544" s="164">
        <v>1289</v>
      </c>
      <c r="CI544" s="164">
        <v>1313</v>
      </c>
      <c r="CJ544" s="164">
        <v>1442</v>
      </c>
      <c r="CK544" s="164">
        <v>1531</v>
      </c>
      <c r="CL544" s="164">
        <v>1548</v>
      </c>
      <c r="CM544" s="164">
        <v>1573</v>
      </c>
      <c r="CN544" s="164">
        <v>1601</v>
      </c>
      <c r="CO544" s="164">
        <v>1611</v>
      </c>
      <c r="CP544" s="164">
        <v>1630</v>
      </c>
      <c r="CQ544" s="164">
        <v>1693</v>
      </c>
      <c r="CR544" s="164">
        <f>SUMPRODUCT(AH544:AI544,AH$5:AI$5)/SUM(AH$5:AI$5)</f>
        <v>1720.032876712329</v>
      </c>
      <c r="CS544" s="164">
        <v>1747</v>
      </c>
      <c r="CT544" s="164">
        <v>1766</v>
      </c>
      <c r="CU544" s="164">
        <v>1769</v>
      </c>
      <c r="CV544" s="164">
        <v>1771</v>
      </c>
      <c r="CW544" s="164">
        <v>1722</v>
      </c>
      <c r="CX544" s="164">
        <v>1690</v>
      </c>
      <c r="CY544" s="164">
        <v>1673</v>
      </c>
      <c r="CZ544" s="56">
        <f>SUMPRODUCT(AX544:AY544,AX$5:AY$5)/SUM(AX$5:AY$5)</f>
        <v>1672</v>
      </c>
      <c r="DA544" s="55">
        <f>SUMPRODUCT(AZ544:BA544,AZ$5:BA$5)/SUM(AZ$5:BA$5)</f>
        <v>1672.070973305242</v>
      </c>
      <c r="DB544" s="55">
        <f>SUMPRODUCT(BB544:BC544,BB$5:BC$5)/SUM(BB$5:BC$5)</f>
        <v>1664.8866176914196</v>
      </c>
      <c r="DC544" s="55">
        <f>SUMPRODUCT(BD544:BE544,BD$5:BE$5)/SUM(BD$5:BE$5)</f>
        <v>1651.1912779028742</v>
      </c>
      <c r="DD544" s="55">
        <f>SUMPRODUCT(BF544:BG544,BF$5:BG$5)/SUM(BF$5:BG$5)</f>
        <v>1640.0848464407591</v>
      </c>
      <c r="DE544" s="55">
        <f>SUMPRODUCT(BH544:BI544,BH$5:BI$5)/SUM(BH$5:BI$5)</f>
        <v>1638.5584039899322</v>
      </c>
      <c r="DF544" s="55">
        <f>SUMPRODUCT(BJ544:BK544,BJ$5:BK$5)/SUM(BJ$5:BK$5)</f>
        <v>1638.5584039899322</v>
      </c>
      <c r="DG544" s="55">
        <f>SUMPRODUCT(BL544:BM544,BL$5:BM$5)/SUM(BL$5:BM$5)</f>
        <v>1638.5584039899322</v>
      </c>
      <c r="DH544" s="55">
        <f>SUMPRODUCT(BN544:BO544,BN$5:BO$5)/SUM(BN$5:BO$5)</f>
        <v>1638.5584039899322</v>
      </c>
      <c r="DI544" s="55">
        <f>SUMPRODUCT(BP544:BQ544,BP$5:BQ$5)/SUM(BP$5:BQ$5)</f>
        <v>1638.5584039899322</v>
      </c>
    </row>
    <row r="545" spans="1:113" outlineLevel="1">
      <c r="A545" s="1" t="s">
        <v>1016</v>
      </c>
      <c r="B545" s="19" t="s">
        <v>438</v>
      </c>
      <c r="C545" s="53">
        <f>1256/0.9946</f>
        <v>1262.8192238085662</v>
      </c>
      <c r="D545" s="53">
        <f>1248/0.9946</f>
        <v>1254.7757892620148</v>
      </c>
      <c r="E545" s="53">
        <f>1253/0.9946</f>
        <v>1259.8029358536094</v>
      </c>
      <c r="F545" s="53">
        <f>1253/0.9946</f>
        <v>1259.8029358536094</v>
      </c>
      <c r="G545" s="53">
        <f>1254/0.9946</f>
        <v>1260.8083651719285</v>
      </c>
      <c r="H545" s="53">
        <f>1258/0.9946</f>
        <v>1264.830082445204</v>
      </c>
      <c r="I545" s="53">
        <f>1256/0.9946</f>
        <v>1262.8192238085662</v>
      </c>
      <c r="J545" s="53">
        <f>1331/0.9946</f>
        <v>1338.2264226824855</v>
      </c>
      <c r="K545" s="53">
        <f>1329/0.9946</f>
        <v>1336.2155640458475</v>
      </c>
      <c r="L545" s="53">
        <f>1333/0.9946</f>
        <v>1340.2372813191232</v>
      </c>
      <c r="M545" s="53">
        <f>1344/0.9946</f>
        <v>1351.2970038206313</v>
      </c>
      <c r="N545" s="53">
        <f>1357/0.9946</f>
        <v>1364.3675849587773</v>
      </c>
      <c r="O545" s="53">
        <f>1355/0.9946</f>
        <v>1362.3567263221396</v>
      </c>
      <c r="P545" s="53">
        <f>1386/0.9946</f>
        <v>1393.5250351900261</v>
      </c>
      <c r="Q545" s="53">
        <f>1437/0.9946</f>
        <v>1444.8019304242912</v>
      </c>
      <c r="R545" s="53">
        <f>1541/0.9946</f>
        <v>1549.3665795294589</v>
      </c>
      <c r="S545" s="53">
        <f>1617/0.9946</f>
        <v>1625.779207721697</v>
      </c>
      <c r="T545" s="53">
        <f>1619/0.9946</f>
        <v>1627.790066358335</v>
      </c>
      <c r="U545" s="53">
        <f>1663/0.9946</f>
        <v>1672.0289563643676</v>
      </c>
      <c r="V545" s="53">
        <f>1669/0.9946</f>
        <v>1678.061532274281</v>
      </c>
      <c r="W545" s="53">
        <f>1672/0.9946</f>
        <v>1681.0778202292379</v>
      </c>
      <c r="X545" s="53">
        <f>1672/0.9946</f>
        <v>1681.0778202292379</v>
      </c>
      <c r="Y545" s="53">
        <f>1687/0.9946</f>
        <v>1696.1592600040217</v>
      </c>
      <c r="Z545" s="53">
        <f>1689/0.9946</f>
        <v>1698.1701186406594</v>
      </c>
      <c r="AA545" s="164">
        <f>1695/0.9946</f>
        <v>1704.2026945505729</v>
      </c>
      <c r="AB545" s="164">
        <f>1688/0.9946</f>
        <v>1697.1646893223406</v>
      </c>
      <c r="AC545" s="164">
        <f>1687/0.9946</f>
        <v>1696.1592600040217</v>
      </c>
      <c r="AD545" s="164">
        <f>1702/0.9946</f>
        <v>1711.2406997788055</v>
      </c>
      <c r="AE545" s="164">
        <v>1717</v>
      </c>
      <c r="AF545" s="164">
        <v>1755</v>
      </c>
      <c r="AG545" s="164">
        <v>1791</v>
      </c>
      <c r="AH545" s="164">
        <v>1807</v>
      </c>
      <c r="AI545" s="164">
        <v>1817</v>
      </c>
      <c r="AJ545" s="164">
        <v>1843</v>
      </c>
      <c r="AK545" s="164">
        <v>1867</v>
      </c>
      <c r="AL545" s="164">
        <v>1899</v>
      </c>
      <c r="AM545" s="164">
        <v>1901</v>
      </c>
      <c r="AN545" s="164">
        <v>1888</v>
      </c>
      <c r="AO545" s="164">
        <v>1906</v>
      </c>
      <c r="AP545" s="164">
        <v>1930</v>
      </c>
      <c r="AQ545" s="164">
        <v>1912</v>
      </c>
      <c r="AR545" s="164">
        <v>1854</v>
      </c>
      <c r="AS545" s="164">
        <v>1814</v>
      </c>
      <c r="AT545" s="164">
        <v>1811</v>
      </c>
      <c r="AU545" s="164">
        <v>1778</v>
      </c>
      <c r="AV545" s="164">
        <v>1788</v>
      </c>
      <c r="AW545" s="164">
        <v>1771</v>
      </c>
      <c r="AX545" s="164">
        <v>1674</v>
      </c>
      <c r="AY545" s="164">
        <v>1675</v>
      </c>
      <c r="AZ545" s="171">
        <v>1674</v>
      </c>
      <c r="BA545" s="54">
        <f t="shared" ref="BA545:BE545" si="3855">AZ545*BA544/AZ544+0</f>
        <v>1674.1409578454463</v>
      </c>
      <c r="BB545" s="54">
        <f t="shared" si="3855"/>
        <v>1670.4861069414685</v>
      </c>
      <c r="BC545" s="54">
        <f t="shared" si="3855"/>
        <v>1663.3289368360065</v>
      </c>
      <c r="BD545" s="54">
        <f t="shared" si="3855"/>
        <v>1656.4704643709988</v>
      </c>
      <c r="BE545" s="54">
        <f t="shared" si="3855"/>
        <v>1649.8982236864606</v>
      </c>
      <c r="BF545" s="54">
        <f t="shared" ref="BF545:BM545" si="3856">BE545*BF544/BE544+0</f>
        <v>1643.6002691731383</v>
      </c>
      <c r="BG545" s="54">
        <f t="shared" si="3856"/>
        <v>1640.5184020808292</v>
      </c>
      <c r="BH545" s="54">
        <f t="shared" si="3856"/>
        <v>1640.5184020808292</v>
      </c>
      <c r="BI545" s="54">
        <f t="shared" si="3856"/>
        <v>1640.5184020808292</v>
      </c>
      <c r="BJ545" s="54">
        <f t="shared" si="3856"/>
        <v>1640.5184020808292</v>
      </c>
      <c r="BK545" s="54">
        <f t="shared" si="3856"/>
        <v>1640.5184020808292</v>
      </c>
      <c r="BL545" s="54">
        <f t="shared" si="3856"/>
        <v>1640.5184020808292</v>
      </c>
      <c r="BM545" s="54">
        <f t="shared" si="3856"/>
        <v>1640.5184020808292</v>
      </c>
      <c r="BN545" s="54">
        <f t="shared" ref="BN545" si="3857">BM545*BN544/BM544+0</f>
        <v>1640.5184020808292</v>
      </c>
      <c r="BO545" s="54">
        <f t="shared" ref="BO545" si="3858">BN545*BO544/BN544+0</f>
        <v>1640.5184020808292</v>
      </c>
      <c r="BP545" s="54">
        <f t="shared" ref="BP545" si="3859">BO545*BP544/BO544+0</f>
        <v>1640.5184020808292</v>
      </c>
      <c r="BQ545" s="54">
        <f t="shared" ref="BQ545" si="3860">BP545*BQ544/BP544+0</f>
        <v>1640.5184020808292</v>
      </c>
      <c r="BR545" s="55"/>
      <c r="BS545" s="53">
        <f>793.1/0.9946</f>
        <v>797.40599235873719</v>
      </c>
      <c r="BT545" s="53">
        <f>856.7/0.9946</f>
        <v>861.3512970038206</v>
      </c>
      <c r="BU545" s="53">
        <f>886.7/0.9946</f>
        <v>891.51417655338832</v>
      </c>
      <c r="BV545" s="53">
        <f>924/0.9946</f>
        <v>929.01669012668401</v>
      </c>
      <c r="BW545" s="53">
        <f>969/0.9946</f>
        <v>974.26100945103553</v>
      </c>
      <c r="BX545" s="53">
        <f>917/0.9946</f>
        <v>921.97868489845155</v>
      </c>
      <c r="BY545" s="53">
        <f>930/0.9946</f>
        <v>935.0492660365976</v>
      </c>
      <c r="BZ545" s="53">
        <f>927/0.9946</f>
        <v>932.03297808164086</v>
      </c>
      <c r="CA545" s="53">
        <f>927/0.9946</f>
        <v>932.03297808164086</v>
      </c>
      <c r="CB545" s="53">
        <f>1262/0.9946</f>
        <v>1268.8517997184797</v>
      </c>
      <c r="CC545" s="55">
        <f>SUMPRODUCT(D545:E545,D$5:E$5)/SUM(D$5:E$5)</f>
        <v>1257.3100220643528</v>
      </c>
      <c r="CD545" s="55">
        <f>SUMPRODUCT(F545:G545,F$5:G$5)/SUM(F$5:G$5)</f>
        <v>1260.3097824140773</v>
      </c>
      <c r="CE545" s="55">
        <f>SUMPRODUCT(H545:I545,H$5:I$5)/SUM(H$5:I$5)</f>
        <v>1263.819158977605</v>
      </c>
      <c r="CF545" s="55">
        <f>SUMPRODUCT(J545:K545,J$5:K$5)/SUM(J$5:K$5)</f>
        <v>1337.2127295615501</v>
      </c>
      <c r="CG545" s="164">
        <v>1338</v>
      </c>
      <c r="CH545" s="164">
        <v>1351</v>
      </c>
      <c r="CI545" s="164">
        <v>1430</v>
      </c>
      <c r="CJ545" s="164">
        <v>1570</v>
      </c>
      <c r="CK545" s="164">
        <v>1644</v>
      </c>
      <c r="CL545" s="164">
        <v>1671</v>
      </c>
      <c r="CM545" s="164">
        <v>1677</v>
      </c>
      <c r="CN545" s="164">
        <v>1689</v>
      </c>
      <c r="CO545" s="164">
        <v>1684</v>
      </c>
      <c r="CP545" s="164">
        <v>1714</v>
      </c>
      <c r="CQ545" s="164">
        <v>1772</v>
      </c>
      <c r="CR545" s="164">
        <v>1817</v>
      </c>
      <c r="CS545" s="164">
        <v>1853</v>
      </c>
      <c r="CT545" s="164">
        <v>1898</v>
      </c>
      <c r="CU545" s="164">
        <v>1895</v>
      </c>
      <c r="CV545" s="164">
        <v>1934</v>
      </c>
      <c r="CW545" s="164">
        <v>1833</v>
      </c>
      <c r="CX545" s="164">
        <v>1800</v>
      </c>
      <c r="CY545" s="164">
        <v>1784</v>
      </c>
      <c r="CZ545" s="56">
        <f>SUMPRODUCT(AX545:AY545,AX$5:AY$5)/SUM(AX$5:AY$5)</f>
        <v>1674.504109589041</v>
      </c>
      <c r="DA545" s="55">
        <f>SUMPRODUCT(AZ545:BA545,AZ$5:BA$5)/SUM(AZ$5:BA$5)</f>
        <v>1674.0710582015402</v>
      </c>
      <c r="DB545" s="55">
        <f>SUMPRODUCT(BB545:BC545,BB$5:BC$5)/SUM(BB$5:BC$5)</f>
        <v>1666.8781088609069</v>
      </c>
      <c r="DC545" s="55">
        <f>SUMPRODUCT(BD545:BE545,BD$5:BE$5)/SUM(BD$5:BE$5)</f>
        <v>1653.1663870869686</v>
      </c>
      <c r="DD545" s="55">
        <f>SUMPRODUCT(BF545:BG545,BF$5:BG$5)/SUM(BF$5:BG$5)</f>
        <v>1642.0466704197549</v>
      </c>
      <c r="DE545" s="55">
        <f>SUMPRODUCT(BH545:BI545,BH$5:BI$5)/SUM(BH$5:BI$5)</f>
        <v>1640.5184020808292</v>
      </c>
      <c r="DF545" s="55">
        <f>SUMPRODUCT(BJ545:BK545,BJ$5:BK$5)/SUM(BJ$5:BK$5)</f>
        <v>1640.5184020808292</v>
      </c>
      <c r="DG545" s="55">
        <f>SUMPRODUCT(BL545:BM545,BL$5:BM$5)/SUM(BL$5:BM$5)</f>
        <v>1640.5184020808292</v>
      </c>
      <c r="DH545" s="55">
        <f>SUMPRODUCT(BN545:BO545,BN$5:BO$5)/SUM(BN$5:BO$5)</f>
        <v>1640.5184020808292</v>
      </c>
      <c r="DI545" s="55">
        <f>SUMPRODUCT(BP545:BQ545,BP$5:BQ$5)/SUM(BP$5:BQ$5)</f>
        <v>1640.5184020808292</v>
      </c>
    </row>
    <row r="546" spans="1:113" outlineLevel="1">
      <c r="A546" s="1" t="s">
        <v>1017</v>
      </c>
      <c r="B546" s="19" t="s">
        <v>439</v>
      </c>
      <c r="C546" s="53">
        <f t="shared" ref="C546:H546" si="3861">-C536*0.7</f>
        <v>3.15</v>
      </c>
      <c r="D546" s="53">
        <f t="shared" si="3861"/>
        <v>11.899999999999999</v>
      </c>
      <c r="E546" s="53">
        <f t="shared" si="3861"/>
        <v>11.899999999999999</v>
      </c>
      <c r="F546" s="53">
        <f t="shared" si="3861"/>
        <v>14</v>
      </c>
      <c r="G546" s="53">
        <f t="shared" si="3861"/>
        <v>14</v>
      </c>
      <c r="H546" s="53">
        <f t="shared" si="3861"/>
        <v>27.299999999999997</v>
      </c>
      <c r="I546" s="53">
        <f>-I536*0.7</f>
        <v>43.4</v>
      </c>
      <c r="J546" s="53">
        <v>45</v>
      </c>
      <c r="K546" s="53">
        <v>45</v>
      </c>
      <c r="L546" s="53">
        <v>46</v>
      </c>
      <c r="M546" s="53">
        <v>54</v>
      </c>
      <c r="N546" s="53">
        <v>75</v>
      </c>
      <c r="O546" s="53">
        <v>75</v>
      </c>
      <c r="P546" s="53">
        <v>106</v>
      </c>
      <c r="Q546" s="53">
        <v>116</v>
      </c>
      <c r="R546" s="53">
        <v>118</v>
      </c>
      <c r="S546" s="53">
        <v>69</v>
      </c>
      <c r="T546" s="53">
        <v>78</v>
      </c>
      <c r="U546" s="53">
        <v>112</v>
      </c>
      <c r="V546" s="53">
        <v>120</v>
      </c>
      <c r="W546" s="53">
        <v>115</v>
      </c>
      <c r="X546" s="53">
        <v>104</v>
      </c>
      <c r="Y546" s="53">
        <v>95</v>
      </c>
      <c r="Z546" s="53">
        <v>95</v>
      </c>
      <c r="AA546" s="164">
        <v>98</v>
      </c>
      <c r="AB546" s="164">
        <v>96</v>
      </c>
      <c r="AC546" s="164">
        <v>94</v>
      </c>
      <c r="AD546" s="164">
        <v>113</v>
      </c>
      <c r="AE546" s="164">
        <v>112</v>
      </c>
      <c r="AF546" s="164">
        <v>93</v>
      </c>
      <c r="AG546" s="164">
        <v>102</v>
      </c>
      <c r="AH546" s="164">
        <v>104</v>
      </c>
      <c r="AI546" s="164">
        <f>41+35+26+12</f>
        <v>114</v>
      </c>
      <c r="AJ546" s="164">
        <f>41+35+26+24</f>
        <v>126</v>
      </c>
      <c r="AK546" s="164">
        <f>42+36+26+24+13</f>
        <v>141</v>
      </c>
      <c r="AL546" s="164">
        <f>38+37+27+36+26+3</f>
        <v>167</v>
      </c>
      <c r="AM546" s="164">
        <f>0+37+27+35+26+31</f>
        <v>156</v>
      </c>
      <c r="AN546" s="164">
        <f>0+31+25+31+23+28+6</f>
        <v>144</v>
      </c>
      <c r="AO546" s="164">
        <f>0+28+22+29+20+25+22</f>
        <v>146</v>
      </c>
      <c r="AP546" s="164">
        <f>0+23+21+25+18+22+19</f>
        <v>128</v>
      </c>
      <c r="AQ546" s="164">
        <f>0+23+21+25+17+22+18+6</f>
        <v>132</v>
      </c>
      <c r="AR546" s="164">
        <f>0+24+12+25+17+22+19+12</f>
        <v>131</v>
      </c>
      <c r="AS546" s="164">
        <v>121</v>
      </c>
      <c r="AT546" s="164">
        <v>193</v>
      </c>
      <c r="AU546" s="164">
        <v>225</v>
      </c>
      <c r="AV546" s="164">
        <v>286</v>
      </c>
      <c r="AW546" s="164">
        <v>273</v>
      </c>
      <c r="AX546" s="164">
        <v>0</v>
      </c>
      <c r="AY546" s="164">
        <v>0</v>
      </c>
      <c r="AZ546" s="171">
        <v>0</v>
      </c>
      <c r="BA546" s="54">
        <f t="shared" ref="BA546:BE546" si="3862">AZ546</f>
        <v>0</v>
      </c>
      <c r="BB546" s="54">
        <f t="shared" si="3862"/>
        <v>0</v>
      </c>
      <c r="BC546" s="54">
        <f t="shared" si="3862"/>
        <v>0</v>
      </c>
      <c r="BD546" s="54">
        <f t="shared" si="3862"/>
        <v>0</v>
      </c>
      <c r="BE546" s="54">
        <f t="shared" si="3862"/>
        <v>0</v>
      </c>
      <c r="BF546" s="54">
        <f t="shared" ref="BF546:BM546" si="3863">BE546</f>
        <v>0</v>
      </c>
      <c r="BG546" s="54">
        <f t="shared" si="3863"/>
        <v>0</v>
      </c>
      <c r="BH546" s="54">
        <f t="shared" si="3863"/>
        <v>0</v>
      </c>
      <c r="BI546" s="54">
        <f t="shared" si="3863"/>
        <v>0</v>
      </c>
      <c r="BJ546" s="54">
        <f t="shared" si="3863"/>
        <v>0</v>
      </c>
      <c r="BK546" s="54">
        <f t="shared" si="3863"/>
        <v>0</v>
      </c>
      <c r="BL546" s="54">
        <f t="shared" si="3863"/>
        <v>0</v>
      </c>
      <c r="BM546" s="54">
        <f t="shared" si="3863"/>
        <v>0</v>
      </c>
      <c r="BN546" s="54">
        <f t="shared" ref="BN546" si="3864">BM546</f>
        <v>0</v>
      </c>
      <c r="BO546" s="54">
        <f t="shared" ref="BO546" si="3865">BN546</f>
        <v>0</v>
      </c>
      <c r="BP546" s="54">
        <f t="shared" ref="BP546" si="3866">BO546</f>
        <v>0</v>
      </c>
      <c r="BQ546" s="54">
        <f t="shared" ref="BQ546" si="3867">BP546</f>
        <v>0</v>
      </c>
      <c r="BR546" s="55"/>
      <c r="BS546" s="53">
        <f t="shared" ref="BS546:CB546" si="3868">-BS536*0.7</f>
        <v>0</v>
      </c>
      <c r="BT546" s="53">
        <f t="shared" si="3868"/>
        <v>0</v>
      </c>
      <c r="BU546" s="53">
        <f t="shared" si="3868"/>
        <v>0</v>
      </c>
      <c r="BV546" s="53">
        <f t="shared" si="3868"/>
        <v>0</v>
      </c>
      <c r="BW546" s="53">
        <f t="shared" si="3868"/>
        <v>0</v>
      </c>
      <c r="BX546" s="53">
        <f t="shared" si="3868"/>
        <v>0</v>
      </c>
      <c r="BY546" s="53">
        <f t="shared" si="3868"/>
        <v>0</v>
      </c>
      <c r="BZ546" s="53">
        <f t="shared" si="3868"/>
        <v>0</v>
      </c>
      <c r="CA546" s="53">
        <f t="shared" si="3868"/>
        <v>0</v>
      </c>
      <c r="CB546" s="53">
        <f t="shared" si="3868"/>
        <v>6.3</v>
      </c>
      <c r="CC546" s="55">
        <f>SUM(D546:E546)</f>
        <v>23.799999999999997</v>
      </c>
      <c r="CD546" s="55">
        <f>SUM(F546:G546)</f>
        <v>28</v>
      </c>
      <c r="CE546" s="55">
        <f>SUM(H546:I546)</f>
        <v>70.699999999999989</v>
      </c>
      <c r="CF546" s="55">
        <f>SUM(J546:K546)</f>
        <v>90</v>
      </c>
      <c r="CG546" s="55">
        <f>SUM(L546:M546)</f>
        <v>100</v>
      </c>
      <c r="CH546" s="55">
        <f>SUM(N546:O546)</f>
        <v>150</v>
      </c>
      <c r="CI546" s="55">
        <f>SUM(P546:Q546)</f>
        <v>222</v>
      </c>
      <c r="CJ546" s="55">
        <f>SUM(R546:S546)</f>
        <v>187</v>
      </c>
      <c r="CK546" s="55">
        <f>SUM(T546:U546)</f>
        <v>190</v>
      </c>
      <c r="CL546" s="55">
        <f>SUM(V546:W546)</f>
        <v>235</v>
      </c>
      <c r="CM546" s="55">
        <f>SUM(X546:Y546)</f>
        <v>199</v>
      </c>
      <c r="CN546" s="55">
        <f>SUM(Z546:AA546)</f>
        <v>193</v>
      </c>
      <c r="CO546" s="55">
        <f>SUM(AB546:AC546)</f>
        <v>190</v>
      </c>
      <c r="CP546" s="55">
        <f>SUM(AD546:AE546)</f>
        <v>225</v>
      </c>
      <c r="CQ546" s="55">
        <f>SUM(AF546:AG546)</f>
        <v>195</v>
      </c>
      <c r="CR546" s="55">
        <f>SUM(AH546:AI546)</f>
        <v>218</v>
      </c>
      <c r="CS546" s="55">
        <f>SUM(AI546:AJ546)</f>
        <v>240</v>
      </c>
      <c r="CT546" s="55">
        <f>SUM(AL546:AM546)</f>
        <v>323</v>
      </c>
      <c r="CU546" s="55">
        <f>SUM(AN546:AO546)</f>
        <v>290</v>
      </c>
      <c r="CV546" s="55">
        <f>SUM(AP546:AQ546)</f>
        <v>260</v>
      </c>
      <c r="CW546" s="55">
        <f>SUM(AR546:AS546)</f>
        <v>252</v>
      </c>
      <c r="CX546" s="55">
        <f>SUM(AT546:AU546)</f>
        <v>418</v>
      </c>
      <c r="CY546" s="55">
        <f>SUM(AV546:AW546)</f>
        <v>559</v>
      </c>
      <c r="CZ546" s="56">
        <f>SUM(AX546:AY546)</f>
        <v>0</v>
      </c>
      <c r="DA546" s="55">
        <f>SUM(AZ546:BA546)</f>
        <v>0</v>
      </c>
      <c r="DB546" s="55">
        <f>SUM(BB546:BC546)</f>
        <v>0</v>
      </c>
      <c r="DC546" s="55">
        <f>SUM(BD546:BE546)</f>
        <v>0</v>
      </c>
      <c r="DD546" s="55">
        <f>SUM(BF546:BG546)</f>
        <v>0</v>
      </c>
      <c r="DE546" s="55">
        <f>SUM(BH546:BI546)</f>
        <v>0</v>
      </c>
      <c r="DF546" s="55">
        <f>SUM(BJ546:BK546)</f>
        <v>0</v>
      </c>
      <c r="DG546" s="55">
        <f>SUM(BL546:BM546)</f>
        <v>0</v>
      </c>
      <c r="DH546" s="55">
        <f>SUM(BN546:BO546)</f>
        <v>0</v>
      </c>
      <c r="DI546" s="55">
        <f>SUM(BP546:BQ546)</f>
        <v>0</v>
      </c>
    </row>
    <row r="547" spans="1:113">
      <c r="C547" s="55"/>
      <c r="D547" s="55"/>
      <c r="E547" s="55"/>
      <c r="F547" s="55"/>
      <c r="G547" s="55"/>
      <c r="H547" s="55"/>
      <c r="I547" s="55"/>
      <c r="J547" s="55"/>
      <c r="K547" s="55"/>
      <c r="L547" s="55"/>
      <c r="M547" s="55"/>
      <c r="N547" s="55"/>
      <c r="O547" s="55"/>
      <c r="P547" s="55"/>
      <c r="Q547" s="55"/>
      <c r="R547" s="55"/>
      <c r="S547" s="55"/>
      <c r="T547" s="55"/>
      <c r="U547" s="55"/>
      <c r="V547" s="55"/>
      <c r="W547" s="55"/>
      <c r="X547" s="55"/>
      <c r="Y547" s="55"/>
      <c r="Z547" s="55"/>
      <c r="AA547" s="55"/>
      <c r="AB547" s="55"/>
      <c r="AC547" s="55"/>
      <c r="AD547" s="55"/>
      <c r="AE547" s="55"/>
      <c r="AF547" s="55"/>
      <c r="AG547" s="55"/>
      <c r="AH547" s="55"/>
      <c r="AI547" s="55"/>
      <c r="AJ547" s="55"/>
      <c r="AK547" s="55"/>
      <c r="AL547" s="55"/>
      <c r="AM547" s="55"/>
      <c r="AN547" s="55"/>
      <c r="AO547" s="55"/>
      <c r="AP547" s="55"/>
      <c r="AQ547" s="55"/>
      <c r="AR547" s="55"/>
      <c r="AS547" s="55"/>
      <c r="AT547" s="55"/>
      <c r="AU547" s="55"/>
      <c r="AV547" s="55"/>
      <c r="AW547" s="55"/>
      <c r="AX547" s="55"/>
      <c r="AY547" s="55"/>
      <c r="AZ547" s="56"/>
      <c r="BA547" s="55"/>
      <c r="BB547" s="55"/>
      <c r="BC547" s="55"/>
      <c r="BD547" s="55"/>
      <c r="BE547" s="55"/>
      <c r="BF547" s="55"/>
      <c r="BG547" s="55"/>
      <c r="BH547" s="55"/>
      <c r="BI547" s="55"/>
      <c r="BJ547" s="55"/>
      <c r="BK547" s="55"/>
      <c r="BL547" s="55"/>
      <c r="BM547" s="55"/>
      <c r="BN547" s="55"/>
      <c r="BO547" s="55"/>
      <c r="BP547" s="55"/>
      <c r="BQ547" s="55"/>
      <c r="BR547" s="55"/>
      <c r="BS547" s="55"/>
      <c r="BT547" s="55"/>
      <c r="BU547" s="55"/>
      <c r="BV547" s="55"/>
      <c r="BW547" s="55"/>
      <c r="BX547" s="55"/>
      <c r="BY547" s="55"/>
      <c r="BZ547" s="55"/>
      <c r="CA547" s="55"/>
      <c r="CB547" s="55"/>
      <c r="CC547" s="55"/>
      <c r="CD547" s="55"/>
      <c r="CE547" s="55"/>
      <c r="CF547" s="55"/>
      <c r="CG547" s="55"/>
      <c r="CH547" s="55"/>
      <c r="CI547" s="55"/>
      <c r="CJ547" s="55"/>
      <c r="CK547" s="55"/>
      <c r="CL547" s="55"/>
      <c r="CM547" s="55"/>
      <c r="CN547" s="55"/>
      <c r="CO547" s="55"/>
      <c r="CP547" s="55"/>
      <c r="CQ547" s="55"/>
      <c r="CR547" s="55"/>
      <c r="CS547" s="55"/>
      <c r="CT547" s="55"/>
      <c r="CU547" s="55"/>
      <c r="CV547" s="55"/>
      <c r="CW547" s="55"/>
      <c r="CX547" s="55"/>
      <c r="CY547" s="55"/>
      <c r="CZ547" s="56"/>
      <c r="DA547" s="55"/>
      <c r="DB547" s="55"/>
    </row>
    <row r="548" spans="1:113" s="36" customFormat="1" collapsed="1">
      <c r="A548" s="1" t="s">
        <v>1018</v>
      </c>
      <c r="B548" s="2" t="s">
        <v>442</v>
      </c>
      <c r="C548" s="3">
        <f>C590</f>
        <v>7179</v>
      </c>
      <c r="D548" s="79">
        <f>D590</f>
        <v>7503</v>
      </c>
      <c r="E548" s="79">
        <f>E590</f>
        <v>7772</v>
      </c>
      <c r="F548" s="79">
        <f t="shared" ref="F548:L548" si="3869">F590</f>
        <v>8360</v>
      </c>
      <c r="G548" s="79">
        <f t="shared" si="3869"/>
        <v>8488</v>
      </c>
      <c r="H548" s="79">
        <f t="shared" si="3869"/>
        <v>8089</v>
      </c>
      <c r="I548" s="79">
        <f t="shared" si="3869"/>
        <v>7730</v>
      </c>
      <c r="J548" s="79">
        <f t="shared" si="3869"/>
        <v>8669</v>
      </c>
      <c r="K548" s="79">
        <f t="shared" si="3869"/>
        <v>9317</v>
      </c>
      <c r="L548" s="79">
        <f t="shared" si="3869"/>
        <v>11774</v>
      </c>
      <c r="M548" s="79">
        <f t="shared" ref="M548:AG548" si="3870">M590</f>
        <v>11475</v>
      </c>
      <c r="N548" s="79">
        <f t="shared" si="3870"/>
        <v>12768</v>
      </c>
      <c r="O548" s="79">
        <f t="shared" si="3870"/>
        <v>13793</v>
      </c>
      <c r="P548" s="79">
        <f t="shared" si="3870"/>
        <v>12153</v>
      </c>
      <c r="Q548" s="79">
        <f t="shared" si="3870"/>
        <v>12597</v>
      </c>
      <c r="R548" s="79">
        <f t="shared" si="3870"/>
        <v>15715</v>
      </c>
      <c r="S548" s="79">
        <f t="shared" si="3870"/>
        <v>18353</v>
      </c>
      <c r="T548" s="79">
        <f t="shared" si="3870"/>
        <v>20302</v>
      </c>
      <c r="U548" s="79">
        <f t="shared" si="3870"/>
        <v>19950</v>
      </c>
      <c r="V548" s="79">
        <f t="shared" si="3870"/>
        <v>20999</v>
      </c>
      <c r="W548" s="79">
        <f t="shared" si="3870"/>
        <v>21575</v>
      </c>
      <c r="X548" s="79">
        <f t="shared" si="3870"/>
        <v>22837</v>
      </c>
      <c r="Y548" s="79">
        <f>Y590</f>
        <v>23664</v>
      </c>
      <c r="Z548" s="79">
        <f>Z590</f>
        <v>25049</v>
      </c>
      <c r="AA548" s="79">
        <f t="shared" si="3870"/>
        <v>27030</v>
      </c>
      <c r="AB548" s="79">
        <f t="shared" si="3870"/>
        <v>28538</v>
      </c>
      <c r="AC548" s="79">
        <f t="shared" si="3870"/>
        <v>31412</v>
      </c>
      <c r="AD548" s="79">
        <f t="shared" si="3870"/>
        <v>32585</v>
      </c>
      <c r="AE548" s="79">
        <f>AE590</f>
        <v>33398</v>
      </c>
      <c r="AF548" s="79">
        <f>AF590</f>
        <v>41155</v>
      </c>
      <c r="AG548" s="79">
        <f t="shared" si="3870"/>
        <v>41663</v>
      </c>
      <c r="AH548" s="79">
        <f t="shared" ref="AH548:AM548" si="3871">AH590</f>
        <v>43325</v>
      </c>
      <c r="AI548" s="79">
        <f t="shared" si="3871"/>
        <v>44159</v>
      </c>
      <c r="AJ548" s="79">
        <f t="shared" si="3871"/>
        <v>45840</v>
      </c>
      <c r="AK548" s="79">
        <f t="shared" si="3871"/>
        <v>46470</v>
      </c>
      <c r="AL548" s="79">
        <f t="shared" si="3871"/>
        <v>48026</v>
      </c>
      <c r="AM548" s="79">
        <f t="shared" si="3871"/>
        <v>48367</v>
      </c>
      <c r="AN548" s="79">
        <f t="shared" ref="AN548:AS548" si="3872">AN590</f>
        <v>52380</v>
      </c>
      <c r="AO548" s="79">
        <f t="shared" si="3872"/>
        <v>52573</v>
      </c>
      <c r="AP548" s="79">
        <f t="shared" si="3872"/>
        <v>57075</v>
      </c>
      <c r="AQ548" s="79">
        <f t="shared" si="3872"/>
        <v>58836</v>
      </c>
      <c r="AR548" s="79">
        <f t="shared" si="3872"/>
        <v>55464</v>
      </c>
      <c r="AS548" s="79">
        <f t="shared" si="3872"/>
        <v>57023</v>
      </c>
      <c r="AT548" s="79">
        <f t="shared" ref="AT548:AU548" si="3873">AT590</f>
        <v>57552</v>
      </c>
      <c r="AU548" s="79">
        <f t="shared" si="3873"/>
        <v>56909</v>
      </c>
      <c r="AV548" s="79">
        <f t="shared" ref="AV548:AW548" si="3874">AV590</f>
        <v>57231</v>
      </c>
      <c r="AW548" s="79">
        <f t="shared" si="3874"/>
        <v>57691</v>
      </c>
      <c r="AX548" s="79">
        <f t="shared" ref="AX548" si="3875">AX590</f>
        <v>58871</v>
      </c>
      <c r="AY548" s="79">
        <f t="shared" ref="AY548:BE548" si="3876">AY590</f>
        <v>60967</v>
      </c>
      <c r="AZ548" s="80">
        <f t="shared" si="3876"/>
        <v>61922</v>
      </c>
      <c r="BA548" s="79">
        <f t="shared" si="3876"/>
        <v>63980.48204184827</v>
      </c>
      <c r="BB548" s="79">
        <f t="shared" si="3876"/>
        <v>63656.46608469628</v>
      </c>
      <c r="BC548" s="79">
        <f t="shared" si="3876"/>
        <v>63960.217183952715</v>
      </c>
      <c r="BD548" s="79">
        <f t="shared" si="3876"/>
        <v>63861.927719066924</v>
      </c>
      <c r="BE548" s="79">
        <f t="shared" si="3876"/>
        <v>64301.631405705775</v>
      </c>
      <c r="BF548" s="79">
        <f t="shared" ref="BF548:BM548" si="3877">BF590</f>
        <v>64382.91998407917</v>
      </c>
      <c r="BG548" s="79">
        <f t="shared" si="3877"/>
        <v>66180.149235358738</v>
      </c>
      <c r="BH548" s="79">
        <f t="shared" si="3877"/>
        <v>67573.51741949009</v>
      </c>
      <c r="BI548" s="79">
        <f t="shared" si="3877"/>
        <v>69321.376801982406</v>
      </c>
      <c r="BJ548" s="79">
        <f t="shared" si="3877"/>
        <v>70585.069431630065</v>
      </c>
      <c r="BK548" s="79">
        <f t="shared" si="3877"/>
        <v>72322.100085473707</v>
      </c>
      <c r="BL548" s="79">
        <f t="shared" si="3877"/>
        <v>73610.864492627676</v>
      </c>
      <c r="BM548" s="79">
        <f t="shared" si="3877"/>
        <v>75376.121862219443</v>
      </c>
      <c r="BN548" s="79">
        <f t="shared" ref="BN548:BO548" si="3878">BN590</f>
        <v>76775.893629094731</v>
      </c>
      <c r="BO548" s="79">
        <f t="shared" si="3878"/>
        <v>78644.023575727973</v>
      </c>
      <c r="BP548" s="79">
        <f t="shared" ref="BP548:BQ548" si="3879">BP590</f>
        <v>80182.023854659579</v>
      </c>
      <c r="BQ548" s="79">
        <f t="shared" si="3879"/>
        <v>82185.995999044942</v>
      </c>
      <c r="BR548" s="79"/>
      <c r="BS548" s="79">
        <f t="shared" ref="BS548:CB548" si="3880">BS590</f>
        <v>4791.3999999999996</v>
      </c>
      <c r="BT548" s="79">
        <f t="shared" si="3880"/>
        <v>4945.5</v>
      </c>
      <c r="BU548" s="79">
        <f t="shared" si="3880"/>
        <v>5423.8</v>
      </c>
      <c r="BV548" s="79">
        <f t="shared" si="3880"/>
        <v>6087</v>
      </c>
      <c r="BW548" s="79">
        <f t="shared" si="3880"/>
        <v>6750</v>
      </c>
      <c r="BX548" s="79">
        <f t="shared" si="3880"/>
        <v>6395</v>
      </c>
      <c r="BY548" s="79">
        <f t="shared" si="3880"/>
        <v>6311</v>
      </c>
      <c r="BZ548" s="79">
        <f t="shared" si="3880"/>
        <v>6383</v>
      </c>
      <c r="CA548" s="79">
        <f t="shared" si="3880"/>
        <v>9200</v>
      </c>
      <c r="CB548" s="79">
        <f t="shared" si="3880"/>
        <v>7179</v>
      </c>
      <c r="CC548" s="79">
        <f t="shared" ref="CC548:CO548" si="3881">CC590</f>
        <v>7772</v>
      </c>
      <c r="CD548" s="79">
        <f t="shared" si="3881"/>
        <v>8488</v>
      </c>
      <c r="CE548" s="79">
        <f t="shared" si="3881"/>
        <v>7730</v>
      </c>
      <c r="CF548" s="79">
        <f t="shared" si="3881"/>
        <v>9317</v>
      </c>
      <c r="CG548" s="79">
        <f t="shared" si="3881"/>
        <v>11475</v>
      </c>
      <c r="CH548" s="79">
        <f t="shared" si="3881"/>
        <v>13793</v>
      </c>
      <c r="CI548" s="79">
        <f t="shared" si="3881"/>
        <v>12597</v>
      </c>
      <c r="CJ548" s="79">
        <f t="shared" si="3881"/>
        <v>18353</v>
      </c>
      <c r="CK548" s="79">
        <f t="shared" si="3881"/>
        <v>19950</v>
      </c>
      <c r="CL548" s="79">
        <f t="shared" si="3881"/>
        <v>21575</v>
      </c>
      <c r="CM548" s="79">
        <f t="shared" si="3881"/>
        <v>23664</v>
      </c>
      <c r="CN548" s="79">
        <f t="shared" si="3881"/>
        <v>27030</v>
      </c>
      <c r="CO548" s="79">
        <f t="shared" si="3881"/>
        <v>31412</v>
      </c>
      <c r="CP548" s="79">
        <f t="shared" ref="CP548:CX548" si="3882">CP590</f>
        <v>33398</v>
      </c>
      <c r="CQ548" s="79">
        <f t="shared" si="3882"/>
        <v>41663</v>
      </c>
      <c r="CR548" s="79">
        <f t="shared" si="3882"/>
        <v>44159</v>
      </c>
      <c r="CS548" s="79">
        <f t="shared" si="3882"/>
        <v>46470</v>
      </c>
      <c r="CT548" s="79">
        <f t="shared" si="3882"/>
        <v>48367</v>
      </c>
      <c r="CU548" s="79">
        <f t="shared" si="3882"/>
        <v>52573</v>
      </c>
      <c r="CV548" s="79">
        <f t="shared" si="3882"/>
        <v>58836</v>
      </c>
      <c r="CW548" s="79">
        <f t="shared" si="3882"/>
        <v>57023</v>
      </c>
      <c r="CX548" s="79">
        <f t="shared" si="3882"/>
        <v>56909</v>
      </c>
      <c r="CY548" s="79">
        <f t="shared" ref="CY548:DD548" si="3883">CY590</f>
        <v>57691</v>
      </c>
      <c r="CZ548" s="80">
        <f t="shared" si="3883"/>
        <v>60967</v>
      </c>
      <c r="DA548" s="79">
        <f t="shared" si="3883"/>
        <v>63980.48204184827</v>
      </c>
      <c r="DB548" s="79">
        <f t="shared" si="3883"/>
        <v>63960.217183952715</v>
      </c>
      <c r="DC548" s="79">
        <f t="shared" si="3883"/>
        <v>64301.63140570579</v>
      </c>
      <c r="DD548" s="79">
        <f t="shared" si="3883"/>
        <v>66180.149235358738</v>
      </c>
      <c r="DE548" s="79">
        <f>DE590</f>
        <v>69321.376801982406</v>
      </c>
      <c r="DF548" s="79">
        <f>DF590</f>
        <v>72322.100085473707</v>
      </c>
      <c r="DG548" s="79">
        <f>DG590</f>
        <v>75376.121862219443</v>
      </c>
      <c r="DH548" s="79">
        <f>DH590</f>
        <v>78644.023575727973</v>
      </c>
      <c r="DI548" s="79">
        <f>DI590</f>
        <v>82185.995999044942</v>
      </c>
    </row>
    <row r="549" spans="1:113" outlineLevel="1">
      <c r="C549" s="55"/>
      <c r="D549" s="55"/>
      <c r="E549" s="55"/>
      <c r="F549" s="55"/>
      <c r="G549" s="55"/>
      <c r="H549" s="55"/>
      <c r="I549" s="55"/>
      <c r="J549" s="55"/>
      <c r="K549" s="55"/>
      <c r="L549" s="55"/>
      <c r="M549" s="55"/>
      <c r="N549" s="55"/>
      <c r="O549" s="55"/>
      <c r="P549" s="55"/>
      <c r="Q549" s="55"/>
      <c r="R549" s="55"/>
      <c r="S549" s="55"/>
      <c r="T549" s="55"/>
      <c r="U549" s="55"/>
      <c r="V549" s="55"/>
      <c r="W549" s="55"/>
      <c r="X549" s="55"/>
      <c r="Y549" s="55"/>
      <c r="Z549" s="55"/>
      <c r="AA549" s="55"/>
      <c r="AB549" s="55"/>
      <c r="AC549" s="55"/>
      <c r="AD549" s="55"/>
      <c r="AE549" s="55"/>
      <c r="AF549" s="55"/>
      <c r="AG549" s="55"/>
      <c r="AH549" s="55"/>
      <c r="AI549" s="55"/>
      <c r="AJ549" s="55"/>
      <c r="AK549" s="55"/>
      <c r="AL549" s="55"/>
      <c r="AM549" s="55"/>
      <c r="AN549" s="55"/>
      <c r="AO549" s="55"/>
      <c r="AP549" s="55"/>
      <c r="AQ549" s="55"/>
      <c r="AR549" s="55"/>
      <c r="AS549" s="55"/>
      <c r="AT549" s="55"/>
      <c r="AU549" s="55"/>
      <c r="AV549" s="55"/>
      <c r="AW549" s="55"/>
      <c r="AX549" s="55"/>
      <c r="AY549" s="55"/>
      <c r="AZ549" s="56"/>
      <c r="BA549" s="55"/>
      <c r="BB549" s="55"/>
      <c r="BC549" s="55"/>
      <c r="BD549" s="55"/>
      <c r="BE549" s="55"/>
      <c r="BF549" s="55"/>
      <c r="BG549" s="55"/>
      <c r="BH549" s="55"/>
      <c r="BI549" s="55"/>
      <c r="BJ549" s="55"/>
      <c r="BK549" s="55"/>
      <c r="BL549" s="55"/>
      <c r="BM549" s="55"/>
      <c r="BN549" s="55"/>
      <c r="BO549" s="55"/>
      <c r="BP549" s="55"/>
      <c r="BQ549" s="55"/>
      <c r="BR549" s="55"/>
      <c r="BS549" s="55"/>
      <c r="BT549" s="55"/>
      <c r="BU549" s="55"/>
      <c r="BV549" s="55"/>
      <c r="BW549" s="55"/>
      <c r="BX549" s="55"/>
      <c r="BY549" s="55"/>
      <c r="BZ549" s="55"/>
      <c r="CA549" s="55"/>
      <c r="CB549" s="55"/>
      <c r="CC549" s="55"/>
      <c r="CD549" s="55"/>
      <c r="CE549" s="55"/>
      <c r="CF549" s="55"/>
      <c r="CG549" s="55"/>
      <c r="CH549" s="55"/>
      <c r="CI549" s="55"/>
      <c r="CJ549" s="55"/>
      <c r="CK549" s="55"/>
      <c r="CL549" s="55"/>
      <c r="CM549" s="55"/>
      <c r="CN549" s="55"/>
      <c r="CO549" s="55"/>
      <c r="CP549" s="55"/>
      <c r="CQ549" s="55"/>
      <c r="CR549" s="55"/>
      <c r="CS549" s="55"/>
      <c r="CT549" s="55"/>
      <c r="CU549" s="55"/>
      <c r="CV549" s="55"/>
      <c r="CW549" s="55"/>
      <c r="CX549" s="55"/>
      <c r="CY549" s="55"/>
      <c r="CZ549" s="56"/>
      <c r="DA549" s="55"/>
      <c r="DB549" s="55"/>
    </row>
    <row r="550" spans="1:113" s="24" customFormat="1" outlineLevel="1">
      <c r="A550" s="1" t="s">
        <v>1019</v>
      </c>
      <c r="B550" s="24" t="s">
        <v>154</v>
      </c>
      <c r="C550" s="82">
        <f>C541</f>
        <v>19848</v>
      </c>
      <c r="D550" s="82">
        <f>D541</f>
        <v>20404</v>
      </c>
      <c r="E550" s="82">
        <f>E541</f>
        <v>21056</v>
      </c>
      <c r="F550" s="82">
        <f t="shared" ref="F550:L550" si="3884">F541</f>
        <v>22446</v>
      </c>
      <c r="G550" s="82">
        <f t="shared" si="3884"/>
        <v>22152</v>
      </c>
      <c r="H550" s="82">
        <f t="shared" si="3884"/>
        <v>23201</v>
      </c>
      <c r="I550" s="82">
        <f t="shared" si="3884"/>
        <v>24885</v>
      </c>
      <c r="J550" s="82">
        <f t="shared" si="3884"/>
        <v>22101</v>
      </c>
      <c r="K550" s="82">
        <f t="shared" si="3884"/>
        <v>22643</v>
      </c>
      <c r="L550" s="82">
        <f t="shared" si="3884"/>
        <v>19850</v>
      </c>
      <c r="M550" s="82">
        <f t="shared" ref="M550:AG550" si="3885">M541</f>
        <v>21343</v>
      </c>
      <c r="N550" s="82">
        <f t="shared" si="3885"/>
        <v>22487</v>
      </c>
      <c r="O550" s="82">
        <f t="shared" si="3885"/>
        <v>24444</v>
      </c>
      <c r="P550" s="82">
        <f t="shared" si="3885"/>
        <v>25638</v>
      </c>
      <c r="Q550" s="82">
        <f t="shared" si="3885"/>
        <v>26137</v>
      </c>
      <c r="R550" s="82">
        <f t="shared" si="3885"/>
        <v>29987</v>
      </c>
      <c r="S550" s="82">
        <f t="shared" si="3885"/>
        <v>31442</v>
      </c>
      <c r="T550" s="82">
        <f t="shared" si="3885"/>
        <v>33583</v>
      </c>
      <c r="U550" s="82">
        <f t="shared" ref="U550:Z550" si="3886">U541</f>
        <v>35570</v>
      </c>
      <c r="V550" s="82">
        <f t="shared" si="3886"/>
        <v>35349</v>
      </c>
      <c r="W550" s="82">
        <f t="shared" si="3886"/>
        <v>37287</v>
      </c>
      <c r="X550" s="82">
        <f t="shared" si="3886"/>
        <v>38875</v>
      </c>
      <c r="Y550" s="82">
        <f t="shared" si="3886"/>
        <v>41572</v>
      </c>
      <c r="Z550" s="82">
        <f t="shared" si="3886"/>
        <v>43348</v>
      </c>
      <c r="AA550" s="82">
        <f t="shared" si="3885"/>
        <v>45537</v>
      </c>
      <c r="AB550" s="82">
        <f t="shared" si="3885"/>
        <v>47037</v>
      </c>
      <c r="AC550" s="82">
        <f t="shared" si="3885"/>
        <v>49348</v>
      </c>
      <c r="AD550" s="82">
        <f t="shared" si="3885"/>
        <v>51031</v>
      </c>
      <c r="AE550" s="82">
        <f>AE541</f>
        <v>52993</v>
      </c>
      <c r="AF550" s="82">
        <f>AF541</f>
        <v>59664</v>
      </c>
      <c r="AG550" s="82">
        <f t="shared" si="3885"/>
        <v>60564</v>
      </c>
      <c r="AH550" s="82">
        <f t="shared" ref="AH550:AM550" si="3887">AH541</f>
        <v>61756</v>
      </c>
      <c r="AI550" s="82">
        <f t="shared" si="3887"/>
        <v>63660</v>
      </c>
      <c r="AJ550" s="82">
        <f t="shared" si="3887"/>
        <v>66091</v>
      </c>
      <c r="AK550" s="82">
        <f t="shared" si="3887"/>
        <v>67860</v>
      </c>
      <c r="AL550" s="82">
        <f t="shared" si="3887"/>
        <v>68578</v>
      </c>
      <c r="AM550" s="82">
        <f t="shared" si="3887"/>
        <v>69649</v>
      </c>
      <c r="AN550" s="82">
        <f t="shared" ref="AN550:AS550" si="3888">AN541</f>
        <v>71153</v>
      </c>
      <c r="AO550" s="82">
        <f t="shared" si="3888"/>
        <v>71938</v>
      </c>
      <c r="AP550" s="82">
        <f t="shared" si="3888"/>
        <v>74920</v>
      </c>
      <c r="AQ550" s="82">
        <f t="shared" si="3888"/>
        <v>78718</v>
      </c>
      <c r="AR550" s="82">
        <f t="shared" si="3888"/>
        <v>74663</v>
      </c>
      <c r="AS550" s="82">
        <f t="shared" si="3888"/>
        <v>72838</v>
      </c>
      <c r="AT550" s="82">
        <f t="shared" ref="AT550:AU550" si="3889">AT541</f>
        <v>72543</v>
      </c>
      <c r="AU550" s="82">
        <f t="shared" si="3889"/>
        <v>72543</v>
      </c>
      <c r="AV550" s="82">
        <f t="shared" ref="AV550:AW550" si="3890">AV541</f>
        <v>72839</v>
      </c>
      <c r="AW550" s="82">
        <f t="shared" si="3890"/>
        <v>73088</v>
      </c>
      <c r="AX550" s="82">
        <f t="shared" ref="AX550" si="3891">AX541</f>
        <v>75264</v>
      </c>
      <c r="AY550" s="82">
        <f t="shared" ref="AY550:BE550" si="3892">AY541</f>
        <v>78776</v>
      </c>
      <c r="AZ550" s="83">
        <f t="shared" ref="AZ550" si="3893">AZ541</f>
        <v>77232</v>
      </c>
      <c r="BA550" s="82">
        <f t="shared" si="3892"/>
        <v>79480.078282640126</v>
      </c>
      <c r="BB550" s="82">
        <f t="shared" si="3892"/>
        <v>79308.266996693652</v>
      </c>
      <c r="BC550" s="82">
        <f t="shared" si="3892"/>
        <v>79731.280911012946</v>
      </c>
      <c r="BD550" s="82">
        <f t="shared" si="3892"/>
        <v>79723.128404927484</v>
      </c>
      <c r="BE550" s="82">
        <f t="shared" si="3892"/>
        <v>80251.911455016147</v>
      </c>
      <c r="BF550" s="82">
        <f t="shared" ref="BF550:BM550" si="3894">BF541</f>
        <v>80421.604129395637</v>
      </c>
      <c r="BG550" s="82">
        <f t="shared" si="3894"/>
        <v>82306.897204458684</v>
      </c>
      <c r="BH550" s="82">
        <f t="shared" si="3894"/>
        <v>83788.28322303087</v>
      </c>
      <c r="BI550" s="82">
        <f t="shared" si="3894"/>
        <v>85624.373735476169</v>
      </c>
      <c r="BJ550" s="82">
        <f t="shared" si="3894"/>
        <v>86954.133318028704</v>
      </c>
      <c r="BK550" s="82">
        <f t="shared" si="3894"/>
        <v>88771.663648460613</v>
      </c>
      <c r="BL550" s="82">
        <f t="shared" si="3894"/>
        <v>90129.729790682031</v>
      </c>
      <c r="BM550" s="82">
        <f t="shared" si="3894"/>
        <v>91974.502821670569</v>
      </c>
      <c r="BN550" s="82">
        <f t="shared" ref="BN550:BO550" si="3895">BN541</f>
        <v>93444.776783809531</v>
      </c>
      <c r="BO550" s="82">
        <f t="shared" si="3895"/>
        <v>95394.078357732797</v>
      </c>
      <c r="BP550" s="82">
        <f t="shared" ref="BP550:BQ550" si="3896">BP541</f>
        <v>96996.899058654904</v>
      </c>
      <c r="BQ550" s="82">
        <f t="shared" si="3896"/>
        <v>99078.73126601585</v>
      </c>
      <c r="BR550" s="82"/>
      <c r="BS550" s="82">
        <f t="shared" ref="BS550:CB550" si="3897">BS541</f>
        <v>5523</v>
      </c>
      <c r="BT550" s="82">
        <f t="shared" si="3897"/>
        <v>5631.9</v>
      </c>
      <c r="BU550" s="82">
        <f t="shared" si="3897"/>
        <v>6071</v>
      </c>
      <c r="BV550" s="82">
        <f t="shared" si="3897"/>
        <v>6695</v>
      </c>
      <c r="BW550" s="82">
        <f t="shared" si="3897"/>
        <v>7367</v>
      </c>
      <c r="BX550" s="82">
        <f t="shared" si="3897"/>
        <v>7024</v>
      </c>
      <c r="BY550" s="82">
        <f t="shared" si="3897"/>
        <v>6889</v>
      </c>
      <c r="BZ550" s="82">
        <f t="shared" si="3897"/>
        <v>6962</v>
      </c>
      <c r="CA550" s="82">
        <f t="shared" si="3897"/>
        <v>18435</v>
      </c>
      <c r="CB550" s="82">
        <f t="shared" si="3897"/>
        <v>19848</v>
      </c>
      <c r="CC550" s="82">
        <f t="shared" ref="CC550:CO550" si="3898">CC541</f>
        <v>21056</v>
      </c>
      <c r="CD550" s="82">
        <f t="shared" si="3898"/>
        <v>22152</v>
      </c>
      <c r="CE550" s="82">
        <f t="shared" si="3898"/>
        <v>24885</v>
      </c>
      <c r="CF550" s="82">
        <f t="shared" si="3898"/>
        <v>22643</v>
      </c>
      <c r="CG550" s="82">
        <f t="shared" si="3898"/>
        <v>21343</v>
      </c>
      <c r="CH550" s="82">
        <f t="shared" si="3898"/>
        <v>24444</v>
      </c>
      <c r="CI550" s="82">
        <f t="shared" si="3898"/>
        <v>26137</v>
      </c>
      <c r="CJ550" s="82">
        <f t="shared" si="3898"/>
        <v>31442</v>
      </c>
      <c r="CK550" s="82">
        <f t="shared" si="3898"/>
        <v>35570</v>
      </c>
      <c r="CL550" s="82">
        <f t="shared" si="3898"/>
        <v>37287</v>
      </c>
      <c r="CM550" s="82">
        <f t="shared" si="3898"/>
        <v>41572</v>
      </c>
      <c r="CN550" s="82">
        <f t="shared" si="3898"/>
        <v>45537</v>
      </c>
      <c r="CO550" s="82">
        <f t="shared" si="3898"/>
        <v>49348</v>
      </c>
      <c r="CP550" s="82">
        <f t="shared" ref="CP550:CX550" si="3899">CP541</f>
        <v>52993</v>
      </c>
      <c r="CQ550" s="82">
        <f t="shared" si="3899"/>
        <v>60564</v>
      </c>
      <c r="CR550" s="82">
        <f t="shared" si="3899"/>
        <v>63660</v>
      </c>
      <c r="CS550" s="82">
        <f t="shared" si="3899"/>
        <v>67860</v>
      </c>
      <c r="CT550" s="82">
        <f t="shared" si="3899"/>
        <v>69649</v>
      </c>
      <c r="CU550" s="82">
        <f t="shared" si="3899"/>
        <v>71938</v>
      </c>
      <c r="CV550" s="82">
        <f t="shared" si="3899"/>
        <v>78718</v>
      </c>
      <c r="CW550" s="82">
        <f t="shared" si="3899"/>
        <v>72838</v>
      </c>
      <c r="CX550" s="82">
        <f t="shared" si="3899"/>
        <v>72543</v>
      </c>
      <c r="CY550" s="82">
        <f t="shared" ref="CY550:DD550" si="3900">CY541</f>
        <v>73088</v>
      </c>
      <c r="CZ550" s="83">
        <f t="shared" si="3900"/>
        <v>78776</v>
      </c>
      <c r="DA550" s="82">
        <f t="shared" si="3900"/>
        <v>79480.078282640126</v>
      </c>
      <c r="DB550" s="82">
        <f t="shared" si="3900"/>
        <v>79731.280911012946</v>
      </c>
      <c r="DC550" s="82">
        <f t="shared" si="3900"/>
        <v>80251.911455016161</v>
      </c>
      <c r="DD550" s="82">
        <f t="shared" si="3900"/>
        <v>82306.897204458684</v>
      </c>
      <c r="DE550" s="82">
        <f>DE541</f>
        <v>85624.373735476169</v>
      </c>
      <c r="DF550" s="82">
        <f>DF541</f>
        <v>88771.663648460613</v>
      </c>
      <c r="DG550" s="82">
        <f>DG541</f>
        <v>91974.502821670569</v>
      </c>
      <c r="DH550" s="82">
        <f>DH541</f>
        <v>95394.078357732797</v>
      </c>
      <c r="DI550" s="82">
        <f>DI541</f>
        <v>99078.731266015835</v>
      </c>
    </row>
    <row r="551" spans="1:113" outlineLevel="1">
      <c r="C551" s="55"/>
      <c r="D551" s="55"/>
      <c r="E551" s="55"/>
      <c r="F551" s="55"/>
      <c r="G551" s="55"/>
      <c r="H551" s="55"/>
      <c r="I551" s="55"/>
      <c r="J551" s="55"/>
      <c r="K551" s="55"/>
      <c r="L551" s="55"/>
      <c r="M551" s="55"/>
      <c r="N551" s="55"/>
      <c r="O551" s="55"/>
      <c r="P551" s="55"/>
      <c r="Q551" s="55"/>
      <c r="R551" s="55"/>
      <c r="S551" s="55"/>
      <c r="T551" s="55"/>
      <c r="U551" s="55"/>
      <c r="V551" s="55"/>
      <c r="W551" s="55"/>
      <c r="X551" s="55"/>
      <c r="Y551" s="55"/>
      <c r="Z551" s="55"/>
      <c r="AA551" s="55"/>
      <c r="AB551" s="55"/>
      <c r="AC551" s="55"/>
      <c r="AD551" s="55"/>
      <c r="AE551" s="55"/>
      <c r="AF551" s="55"/>
      <c r="AG551" s="55"/>
      <c r="AH551" s="55"/>
      <c r="AI551" s="55"/>
      <c r="AJ551" s="55"/>
      <c r="AK551" s="55"/>
      <c r="AL551" s="55"/>
      <c r="AM551" s="55"/>
      <c r="AN551" s="55"/>
      <c r="AO551" s="55"/>
      <c r="AP551" s="55"/>
      <c r="AQ551" s="55"/>
      <c r="AR551" s="55"/>
      <c r="AS551" s="55"/>
      <c r="AT551" s="55"/>
      <c r="AU551" s="55"/>
      <c r="AV551" s="55"/>
      <c r="AW551" s="55"/>
      <c r="AX551" s="55"/>
      <c r="AY551" s="55"/>
      <c r="AZ551" s="56"/>
      <c r="BA551" s="55"/>
      <c r="BB551" s="55"/>
      <c r="BC551" s="55"/>
      <c r="BD551" s="55"/>
      <c r="BE551" s="55"/>
      <c r="BF551" s="55"/>
      <c r="BG551" s="55"/>
      <c r="BH551" s="55"/>
      <c r="BI551" s="55"/>
      <c r="BJ551" s="55"/>
      <c r="BK551" s="55"/>
      <c r="BL551" s="55"/>
      <c r="BM551" s="55"/>
      <c r="BN551" s="55"/>
      <c r="BO551" s="55"/>
      <c r="BP551" s="55"/>
      <c r="BQ551" s="55"/>
      <c r="BR551" s="55"/>
      <c r="BS551" s="55"/>
      <c r="BT551" s="55"/>
      <c r="BU551" s="55"/>
      <c r="BV551" s="55"/>
      <c r="BW551" s="55"/>
      <c r="BX551" s="55"/>
      <c r="BY551" s="55"/>
      <c r="BZ551" s="55"/>
      <c r="CA551" s="55"/>
      <c r="CB551" s="55"/>
      <c r="CC551" s="55"/>
      <c r="CD551" s="55"/>
      <c r="CE551" s="55"/>
      <c r="CF551" s="55"/>
      <c r="CG551" s="55"/>
      <c r="CH551" s="55"/>
      <c r="CI551" s="55"/>
      <c r="CJ551" s="55"/>
      <c r="CK551" s="55"/>
      <c r="CL551" s="55"/>
      <c r="CM551" s="55"/>
      <c r="CN551" s="55"/>
      <c r="CO551" s="55"/>
      <c r="CP551" s="55"/>
      <c r="CQ551" s="55"/>
      <c r="CR551" s="55"/>
      <c r="CS551" s="55"/>
      <c r="CT551" s="55"/>
      <c r="CU551" s="55"/>
      <c r="CV551" s="55"/>
      <c r="CW551" s="55"/>
      <c r="CX551" s="55"/>
      <c r="CY551" s="55"/>
      <c r="CZ551" s="56"/>
      <c r="DA551" s="55"/>
      <c r="DB551" s="55"/>
    </row>
    <row r="552" spans="1:113" s="24" customFormat="1" outlineLevel="1">
      <c r="A552" s="1"/>
      <c r="B552" s="102" t="s">
        <v>771</v>
      </c>
      <c r="C552" s="82"/>
      <c r="D552" s="82"/>
      <c r="E552" s="82"/>
      <c r="F552" s="82"/>
      <c r="G552" s="82"/>
      <c r="H552" s="82"/>
      <c r="I552" s="82"/>
      <c r="J552" s="82"/>
      <c r="K552" s="82"/>
      <c r="L552" s="82"/>
      <c r="M552" s="82"/>
      <c r="N552" s="82"/>
      <c r="O552" s="82"/>
      <c r="P552" s="82"/>
      <c r="Q552" s="82"/>
      <c r="R552" s="82"/>
      <c r="S552" s="82"/>
      <c r="T552" s="82"/>
      <c r="U552" s="82"/>
      <c r="V552" s="82"/>
      <c r="W552" s="82"/>
      <c r="X552" s="82"/>
      <c r="Y552" s="82"/>
      <c r="Z552" s="82"/>
      <c r="AA552" s="82"/>
      <c r="AB552" s="82"/>
      <c r="AC552" s="82"/>
      <c r="AD552" s="82"/>
      <c r="AE552" s="82"/>
      <c r="AF552" s="82"/>
      <c r="AG552" s="82"/>
      <c r="AH552" s="82"/>
      <c r="AI552" s="82"/>
      <c r="AJ552" s="82"/>
      <c r="AK552" s="82"/>
      <c r="AL552" s="82"/>
      <c r="AM552" s="82"/>
      <c r="AN552" s="82"/>
      <c r="AO552" s="82"/>
      <c r="AP552" s="82"/>
      <c r="AQ552" s="82"/>
      <c r="AR552" s="82"/>
      <c r="AS552" s="82"/>
      <c r="AT552" s="82"/>
      <c r="AU552" s="82"/>
      <c r="AV552" s="82"/>
      <c r="AW552" s="82"/>
      <c r="AX552" s="82"/>
      <c r="AY552" s="82"/>
      <c r="AZ552" s="83"/>
      <c r="BA552" s="82"/>
      <c r="BB552" s="82"/>
      <c r="BC552" s="82"/>
      <c r="BD552" s="82"/>
      <c r="BE552" s="82"/>
      <c r="BF552" s="82"/>
      <c r="BG552" s="82"/>
      <c r="BH552" s="82"/>
      <c r="BI552" s="82"/>
      <c r="BJ552" s="82"/>
      <c r="BK552" s="82"/>
      <c r="BL552" s="82"/>
      <c r="BM552" s="82"/>
      <c r="BN552" s="82"/>
      <c r="BO552" s="82"/>
      <c r="BP552" s="82"/>
      <c r="BQ552" s="82"/>
      <c r="BR552" s="82"/>
      <c r="BS552" s="82"/>
      <c r="BT552" s="82"/>
      <c r="BU552" s="82"/>
      <c r="BV552" s="82"/>
      <c r="BW552" s="82"/>
      <c r="BX552" s="82"/>
      <c r="BY552" s="82"/>
      <c r="BZ552" s="82"/>
      <c r="CA552" s="82"/>
      <c r="CB552" s="82"/>
      <c r="CC552" s="82"/>
      <c r="CD552" s="82"/>
      <c r="CE552" s="82"/>
      <c r="CF552" s="82"/>
      <c r="CG552" s="82"/>
      <c r="CH552" s="82"/>
      <c r="CI552" s="82"/>
      <c r="CJ552" s="82"/>
      <c r="CK552" s="82"/>
      <c r="CL552" s="82"/>
      <c r="CM552" s="82"/>
      <c r="CN552" s="82"/>
      <c r="CO552" s="82"/>
      <c r="CP552" s="82"/>
      <c r="CQ552" s="82"/>
      <c r="CR552" s="82"/>
      <c r="CS552" s="82"/>
      <c r="CT552" s="82"/>
      <c r="CU552" s="82"/>
      <c r="CV552" s="82"/>
      <c r="CW552" s="82"/>
      <c r="CX552" s="82"/>
      <c r="CY552" s="82"/>
      <c r="CZ552" s="83"/>
      <c r="DA552" s="82"/>
      <c r="DB552" s="82"/>
    </row>
    <row r="553" spans="1:113" outlineLevel="1">
      <c r="A553" s="1" t="s">
        <v>1020</v>
      </c>
      <c r="B553" s="19" t="s">
        <v>443</v>
      </c>
      <c r="C553" s="53">
        <v>0</v>
      </c>
      <c r="D553" s="53">
        <v>0</v>
      </c>
      <c r="E553" s="53">
        <v>0</v>
      </c>
      <c r="F553" s="53">
        <v>-865</v>
      </c>
      <c r="G553" s="53">
        <v>-1066</v>
      </c>
      <c r="H553" s="53">
        <v>-996</v>
      </c>
      <c r="I553" s="53">
        <v>-1315</v>
      </c>
      <c r="J553" s="53">
        <v>-1083</v>
      </c>
      <c r="K553" s="53">
        <v>-1434</v>
      </c>
      <c r="L553" s="53">
        <f>-1211</f>
        <v>-1211</v>
      </c>
      <c r="M553" s="53">
        <v>-1668</v>
      </c>
      <c r="N553" s="53">
        <f>-1380</f>
        <v>-1380</v>
      </c>
      <c r="O553" s="53">
        <f>-1939</f>
        <v>-1939</v>
      </c>
      <c r="P553" s="53">
        <f>-1487</f>
        <v>-1487</v>
      </c>
      <c r="Q553" s="53">
        <f>-2029</f>
        <v>-2029</v>
      </c>
      <c r="R553" s="53">
        <v>-1662</v>
      </c>
      <c r="S553" s="53">
        <v>-1747</v>
      </c>
      <c r="T553" s="53">
        <v>-1841</v>
      </c>
      <c r="U553" s="53">
        <v>-2633</v>
      </c>
      <c r="V553" s="53">
        <v>-2045</v>
      </c>
      <c r="W553" s="53">
        <v>-2930</v>
      </c>
      <c r="X553" s="53">
        <v>-2166</v>
      </c>
      <c r="Y553" s="53">
        <v>-3137</v>
      </c>
      <c r="Z553" s="53">
        <v>-2639</v>
      </c>
      <c r="AA553" s="164">
        <v>0</v>
      </c>
      <c r="AB553" s="164">
        <v>0</v>
      </c>
      <c r="AC553" s="164">
        <v>0</v>
      </c>
      <c r="AD553" s="164">
        <v>0</v>
      </c>
      <c r="AE553" s="164">
        <v>0</v>
      </c>
      <c r="AF553" s="164">
        <v>0</v>
      </c>
      <c r="AG553" s="164">
        <v>0</v>
      </c>
      <c r="AH553" s="164">
        <v>0</v>
      </c>
      <c r="AI553" s="164">
        <v>0</v>
      </c>
      <c r="AJ553" s="164">
        <v>0</v>
      </c>
      <c r="AK553" s="164">
        <v>0</v>
      </c>
      <c r="AL553" s="164">
        <v>0</v>
      </c>
      <c r="AM553" s="164">
        <v>0</v>
      </c>
      <c r="AN553" s="164">
        <v>0</v>
      </c>
      <c r="AO553" s="164">
        <v>0</v>
      </c>
      <c r="AP553" s="164">
        <v>0</v>
      </c>
      <c r="AQ553" s="164">
        <v>0</v>
      </c>
      <c r="AR553" s="164">
        <v>0</v>
      </c>
      <c r="AS553" s="164">
        <v>0</v>
      </c>
      <c r="AT553" s="164">
        <v>0</v>
      </c>
      <c r="AU553" s="164">
        <v>0</v>
      </c>
      <c r="AV553" s="164">
        <v>0</v>
      </c>
      <c r="AW553" s="164">
        <v>0</v>
      </c>
      <c r="AX553" s="164">
        <v>0</v>
      </c>
      <c r="AY553" s="164">
        <v>0</v>
      </c>
      <c r="AZ553" s="171">
        <v>0</v>
      </c>
      <c r="BA553" s="55">
        <v>0</v>
      </c>
      <c r="BB553" s="55">
        <v>0</v>
      </c>
      <c r="BC553" s="55">
        <v>0</v>
      </c>
      <c r="BD553" s="55">
        <v>0</v>
      </c>
      <c r="BE553" s="55">
        <v>0</v>
      </c>
      <c r="BF553" s="55">
        <v>0</v>
      </c>
      <c r="BG553" s="55">
        <v>0</v>
      </c>
      <c r="BH553" s="55">
        <v>0</v>
      </c>
      <c r="BI553" s="55">
        <v>0</v>
      </c>
      <c r="BJ553" s="55">
        <v>0</v>
      </c>
      <c r="BK553" s="55">
        <v>0</v>
      </c>
      <c r="BL553" s="55">
        <v>0</v>
      </c>
      <c r="BM553" s="55">
        <v>0</v>
      </c>
      <c r="BN553" s="55">
        <v>0</v>
      </c>
      <c r="BO553" s="55">
        <v>0</v>
      </c>
      <c r="BP553" s="55">
        <v>0</v>
      </c>
      <c r="BQ553" s="55">
        <v>0</v>
      </c>
      <c r="BR553" s="55"/>
      <c r="BS553" s="53">
        <v>0</v>
      </c>
      <c r="BT553" s="53">
        <v>0</v>
      </c>
      <c r="BU553" s="53">
        <v>0</v>
      </c>
      <c r="BV553" s="53">
        <v>0</v>
      </c>
      <c r="BW553" s="53">
        <v>0</v>
      </c>
      <c r="BX553" s="53">
        <v>0</v>
      </c>
      <c r="BY553" s="53">
        <v>0</v>
      </c>
      <c r="BZ553" s="53">
        <v>0</v>
      </c>
      <c r="CA553" s="53">
        <v>0</v>
      </c>
      <c r="CB553" s="53">
        <v>0</v>
      </c>
      <c r="CC553" s="55">
        <f>E553</f>
        <v>0</v>
      </c>
      <c r="CD553" s="55">
        <f>G553</f>
        <v>-1066</v>
      </c>
      <c r="CE553" s="55">
        <f>I553</f>
        <v>-1315</v>
      </c>
      <c r="CF553" s="55">
        <f>K553</f>
        <v>-1434</v>
      </c>
      <c r="CG553" s="55">
        <f>M553</f>
        <v>-1668</v>
      </c>
      <c r="CH553" s="55">
        <f>O553</f>
        <v>-1939</v>
      </c>
      <c r="CI553" s="55">
        <f>Q553</f>
        <v>-2029</v>
      </c>
      <c r="CJ553" s="55">
        <f>S553</f>
        <v>-1747</v>
      </c>
      <c r="CK553" s="55">
        <f>U553</f>
        <v>-2633</v>
      </c>
      <c r="CL553" s="55">
        <f>W553</f>
        <v>-2930</v>
      </c>
      <c r="CM553" s="55">
        <f>Y553</f>
        <v>-3137</v>
      </c>
      <c r="CN553" s="55">
        <f>AA553</f>
        <v>0</v>
      </c>
      <c r="CO553" s="55">
        <f>AC553</f>
        <v>0</v>
      </c>
      <c r="CP553" s="55">
        <f>AE553</f>
        <v>0</v>
      </c>
      <c r="CQ553" s="55">
        <f>AG553</f>
        <v>0</v>
      </c>
      <c r="CR553" s="55">
        <f>AI553</f>
        <v>0</v>
      </c>
      <c r="CS553" s="55">
        <f>AK553</f>
        <v>0</v>
      </c>
      <c r="CT553" s="55">
        <f>AM553</f>
        <v>0</v>
      </c>
      <c r="CU553" s="55">
        <f>AO553</f>
        <v>0</v>
      </c>
      <c r="CV553" s="55">
        <f>AQ553</f>
        <v>0</v>
      </c>
      <c r="CW553" s="55">
        <f>AS553</f>
        <v>0</v>
      </c>
      <c r="CX553" s="55">
        <f>AU553</f>
        <v>0</v>
      </c>
      <c r="CY553" s="55">
        <f>AW553</f>
        <v>0</v>
      </c>
      <c r="CZ553" s="56">
        <f>AY553</f>
        <v>0</v>
      </c>
      <c r="DA553" s="55">
        <f>BA553</f>
        <v>0</v>
      </c>
      <c r="DB553" s="55">
        <f>BC553</f>
        <v>0</v>
      </c>
      <c r="DC553" s="55">
        <f>BE553</f>
        <v>0</v>
      </c>
      <c r="DD553" s="55">
        <f>BG553</f>
        <v>0</v>
      </c>
      <c r="DE553" s="55">
        <f>BI553</f>
        <v>0</v>
      </c>
      <c r="DF553" s="55">
        <f>BK553</f>
        <v>0</v>
      </c>
      <c r="DG553" s="55">
        <f>BM553</f>
        <v>0</v>
      </c>
      <c r="DH553" s="55">
        <f>BO553</f>
        <v>0</v>
      </c>
      <c r="DI553" s="55">
        <f>BQ553</f>
        <v>0</v>
      </c>
    </row>
    <row r="554" spans="1:113" outlineLevel="1">
      <c r="A554" s="1" t="s">
        <v>1021</v>
      </c>
      <c r="B554" s="19" t="s">
        <v>444</v>
      </c>
      <c r="C554" s="53">
        <v>0</v>
      </c>
      <c r="D554" s="53">
        <v>0</v>
      </c>
      <c r="E554" s="53">
        <v>0</v>
      </c>
      <c r="F554" s="53">
        <v>0</v>
      </c>
      <c r="G554" s="53">
        <v>0</v>
      </c>
      <c r="H554" s="53">
        <v>189</v>
      </c>
      <c r="I554" s="53">
        <v>250</v>
      </c>
      <c r="J554" s="53">
        <v>206</v>
      </c>
      <c r="K554" s="53">
        <v>272</v>
      </c>
      <c r="L554" s="53">
        <v>221</v>
      </c>
      <c r="M554" s="53">
        <v>303</v>
      </c>
      <c r="N554" s="53">
        <v>248</v>
      </c>
      <c r="O554" s="53">
        <v>485</v>
      </c>
      <c r="P554" s="53">
        <v>400</v>
      </c>
      <c r="Q554" s="53">
        <v>609</v>
      </c>
      <c r="R554" s="53">
        <v>548</v>
      </c>
      <c r="S554" s="53">
        <v>507</v>
      </c>
      <c r="T554" s="53">
        <v>608</v>
      </c>
      <c r="U554" s="53">
        <v>0</v>
      </c>
      <c r="V554" s="53">
        <v>511</v>
      </c>
      <c r="W554" s="53">
        <v>733</v>
      </c>
      <c r="X554" s="53">
        <v>542</v>
      </c>
      <c r="Y554" s="53">
        <v>784</v>
      </c>
      <c r="Z554" s="53">
        <v>0</v>
      </c>
      <c r="AA554" s="164">
        <v>0</v>
      </c>
      <c r="AB554" s="164">
        <v>0</v>
      </c>
      <c r="AC554" s="164">
        <v>0</v>
      </c>
      <c r="AD554" s="164">
        <v>0</v>
      </c>
      <c r="AE554" s="164">
        <v>0</v>
      </c>
      <c r="AF554" s="164">
        <v>0</v>
      </c>
      <c r="AG554" s="164">
        <v>0</v>
      </c>
      <c r="AH554" s="164">
        <v>0</v>
      </c>
      <c r="AI554" s="164">
        <v>0</v>
      </c>
      <c r="AJ554" s="164">
        <v>0</v>
      </c>
      <c r="AK554" s="164">
        <v>0</v>
      </c>
      <c r="AL554" s="164">
        <v>0</v>
      </c>
      <c r="AM554" s="164">
        <v>0</v>
      </c>
      <c r="AN554" s="164">
        <v>0</v>
      </c>
      <c r="AO554" s="164">
        <v>0</v>
      </c>
      <c r="AP554" s="164">
        <v>0</v>
      </c>
      <c r="AQ554" s="164">
        <v>0</v>
      </c>
      <c r="AR554" s="164">
        <v>0</v>
      </c>
      <c r="AS554" s="164">
        <v>0</v>
      </c>
      <c r="AT554" s="164">
        <v>0</v>
      </c>
      <c r="AU554" s="164">
        <v>0</v>
      </c>
      <c r="AV554" s="164">
        <v>0</v>
      </c>
      <c r="AW554" s="164">
        <v>0</v>
      </c>
      <c r="AX554" s="164">
        <v>0</v>
      </c>
      <c r="AY554" s="164">
        <v>0</v>
      </c>
      <c r="AZ554" s="171">
        <v>0</v>
      </c>
      <c r="BA554" s="55">
        <v>0</v>
      </c>
      <c r="BB554" s="55">
        <v>0</v>
      </c>
      <c r="BC554" s="55">
        <v>0</v>
      </c>
      <c r="BD554" s="55">
        <v>0</v>
      </c>
      <c r="BE554" s="55">
        <v>0</v>
      </c>
      <c r="BF554" s="55">
        <v>0</v>
      </c>
      <c r="BG554" s="55">
        <v>0</v>
      </c>
      <c r="BH554" s="55">
        <v>0</v>
      </c>
      <c r="BI554" s="55">
        <v>0</v>
      </c>
      <c r="BJ554" s="55">
        <v>0</v>
      </c>
      <c r="BK554" s="55">
        <v>0</v>
      </c>
      <c r="BL554" s="55">
        <v>0</v>
      </c>
      <c r="BM554" s="55">
        <v>0</v>
      </c>
      <c r="BN554" s="55">
        <v>0</v>
      </c>
      <c r="BO554" s="55">
        <v>0</v>
      </c>
      <c r="BP554" s="55">
        <v>0</v>
      </c>
      <c r="BQ554" s="55">
        <v>0</v>
      </c>
      <c r="BR554" s="55"/>
      <c r="BS554" s="53">
        <v>0</v>
      </c>
      <c r="BT554" s="53">
        <v>0</v>
      </c>
      <c r="BU554" s="53">
        <v>0</v>
      </c>
      <c r="BV554" s="53">
        <v>0</v>
      </c>
      <c r="BW554" s="53">
        <v>0</v>
      </c>
      <c r="BX554" s="53">
        <v>0</v>
      </c>
      <c r="BY554" s="53">
        <v>0</v>
      </c>
      <c r="BZ554" s="53">
        <v>0</v>
      </c>
      <c r="CA554" s="53">
        <v>0</v>
      </c>
      <c r="CB554" s="53">
        <v>0</v>
      </c>
      <c r="CC554" s="55">
        <f>E554</f>
        <v>0</v>
      </c>
      <c r="CD554" s="55">
        <f>G554</f>
        <v>0</v>
      </c>
      <c r="CE554" s="55">
        <f>I554</f>
        <v>250</v>
      </c>
      <c r="CF554" s="55">
        <f>K554</f>
        <v>272</v>
      </c>
      <c r="CG554" s="55">
        <f>M554</f>
        <v>303</v>
      </c>
      <c r="CH554" s="55">
        <f>O554</f>
        <v>485</v>
      </c>
      <c r="CI554" s="55">
        <f>Q554</f>
        <v>609</v>
      </c>
      <c r="CJ554" s="55">
        <f>S554</f>
        <v>507</v>
      </c>
      <c r="CK554" s="55">
        <f>U554</f>
        <v>0</v>
      </c>
      <c r="CL554" s="55">
        <f>W554</f>
        <v>733</v>
      </c>
      <c r="CM554" s="55">
        <f>Y554</f>
        <v>784</v>
      </c>
      <c r="CN554" s="55">
        <f>AA554</f>
        <v>0</v>
      </c>
      <c r="CO554" s="55">
        <f>AC554</f>
        <v>0</v>
      </c>
      <c r="CP554" s="55">
        <f>AE554</f>
        <v>0</v>
      </c>
      <c r="CQ554" s="55">
        <f>AG554</f>
        <v>0</v>
      </c>
      <c r="CR554" s="55">
        <f>AI554</f>
        <v>0</v>
      </c>
      <c r="CS554" s="55">
        <f>AK554</f>
        <v>0</v>
      </c>
      <c r="CT554" s="55">
        <f>AM554</f>
        <v>0</v>
      </c>
      <c r="CU554" s="55">
        <f>AO554</f>
        <v>0</v>
      </c>
      <c r="CV554" s="55">
        <f>AQ554</f>
        <v>0</v>
      </c>
      <c r="CW554" s="55">
        <f>AS554</f>
        <v>0</v>
      </c>
      <c r="CX554" s="55">
        <f>AU554</f>
        <v>0</v>
      </c>
      <c r="CY554" s="55">
        <f>AW554</f>
        <v>0</v>
      </c>
      <c r="CZ554" s="56">
        <f>AY554</f>
        <v>0</v>
      </c>
      <c r="DA554" s="55">
        <f>BA554</f>
        <v>0</v>
      </c>
      <c r="DB554" s="55">
        <f>BC554</f>
        <v>0</v>
      </c>
      <c r="DC554" s="55">
        <f>BE554</f>
        <v>0</v>
      </c>
      <c r="DD554" s="55">
        <f>BG554</f>
        <v>0</v>
      </c>
      <c r="DE554" s="55">
        <f>BI554</f>
        <v>0</v>
      </c>
      <c r="DF554" s="55">
        <f>BK554</f>
        <v>0</v>
      </c>
      <c r="DG554" s="55">
        <f>BM554</f>
        <v>0</v>
      </c>
      <c r="DH554" s="55">
        <f>BO554</f>
        <v>0</v>
      </c>
      <c r="DI554" s="55">
        <f>BQ554</f>
        <v>0</v>
      </c>
    </row>
    <row r="555" spans="1:113" outlineLevel="1">
      <c r="A555" s="1" t="s">
        <v>1022</v>
      </c>
      <c r="B555" s="19" t="s">
        <v>269</v>
      </c>
      <c r="C555" s="53">
        <v>0</v>
      </c>
      <c r="D555" s="53">
        <v>0</v>
      </c>
      <c r="E555" s="53">
        <v>0</v>
      </c>
      <c r="F555" s="53">
        <v>0</v>
      </c>
      <c r="G555" s="53">
        <v>0</v>
      </c>
      <c r="H555" s="53">
        <v>0</v>
      </c>
      <c r="I555" s="53">
        <v>0</v>
      </c>
      <c r="J555" s="53">
        <v>0</v>
      </c>
      <c r="K555" s="53">
        <v>0</v>
      </c>
      <c r="L555" s="53">
        <v>0</v>
      </c>
      <c r="M555" s="53">
        <v>0</v>
      </c>
      <c r="N555" s="53">
        <v>-939</v>
      </c>
      <c r="O555" s="53">
        <v>-939</v>
      </c>
      <c r="P555" s="53">
        <v>-939</v>
      </c>
      <c r="Q555" s="53">
        <v>-939</v>
      </c>
      <c r="R555" s="53">
        <v>-939</v>
      </c>
      <c r="S555" s="53">
        <v>-939</v>
      </c>
      <c r="T555" s="53">
        <v>-939</v>
      </c>
      <c r="U555" s="53">
        <v>-939</v>
      </c>
      <c r="V555" s="53">
        <v>-939</v>
      </c>
      <c r="W555" s="53">
        <v>-939</v>
      </c>
      <c r="X555" s="53">
        <v>-939</v>
      </c>
      <c r="Y555" s="53">
        <v>-939</v>
      </c>
      <c r="Z555" s="53">
        <v>-939</v>
      </c>
      <c r="AA555" s="164">
        <v>-939</v>
      </c>
      <c r="AB555" s="164">
        <v>-939</v>
      </c>
      <c r="AC555" s="164">
        <v>-939</v>
      </c>
      <c r="AD555" s="164">
        <v>-939</v>
      </c>
      <c r="AE555" s="164">
        <v>-939</v>
      </c>
      <c r="AF555" s="164">
        <v>-939</v>
      </c>
      <c r="AG555" s="164">
        <v>0</v>
      </c>
      <c r="AH555" s="164">
        <v>0</v>
      </c>
      <c r="AI555" s="164">
        <v>0</v>
      </c>
      <c r="AJ555" s="164">
        <v>0</v>
      </c>
      <c r="AK555" s="164">
        <v>0</v>
      </c>
      <c r="AL555" s="164">
        <v>0</v>
      </c>
      <c r="AM555" s="164">
        <v>0</v>
      </c>
      <c r="AN555" s="164">
        <v>0</v>
      </c>
      <c r="AO555" s="164">
        <v>0</v>
      </c>
      <c r="AP555" s="164">
        <v>0</v>
      </c>
      <c r="AQ555" s="164">
        <v>0</v>
      </c>
      <c r="AR555" s="164">
        <v>0</v>
      </c>
      <c r="AS555" s="164">
        <v>0</v>
      </c>
      <c r="AT555" s="164">
        <v>0</v>
      </c>
      <c r="AU555" s="164">
        <v>0</v>
      </c>
      <c r="AV555" s="164">
        <v>0</v>
      </c>
      <c r="AW555" s="164">
        <v>0</v>
      </c>
      <c r="AX555" s="164">
        <v>0</v>
      </c>
      <c r="AY555" s="164">
        <v>0</v>
      </c>
      <c r="AZ555" s="171">
        <v>0</v>
      </c>
      <c r="BA555" s="54">
        <f t="shared" ref="BA555:BE555" si="3901">AZ555</f>
        <v>0</v>
      </c>
      <c r="BB555" s="54">
        <f t="shared" si="3901"/>
        <v>0</v>
      </c>
      <c r="BC555" s="54">
        <f t="shared" si="3901"/>
        <v>0</v>
      </c>
      <c r="BD555" s="54">
        <f t="shared" si="3901"/>
        <v>0</v>
      </c>
      <c r="BE555" s="54">
        <f t="shared" si="3901"/>
        <v>0</v>
      </c>
      <c r="BF555" s="54">
        <f t="shared" ref="BF555:BM555" si="3902">BE555</f>
        <v>0</v>
      </c>
      <c r="BG555" s="54">
        <f t="shared" si="3902"/>
        <v>0</v>
      </c>
      <c r="BH555" s="54">
        <f t="shared" si="3902"/>
        <v>0</v>
      </c>
      <c r="BI555" s="54">
        <f t="shared" si="3902"/>
        <v>0</v>
      </c>
      <c r="BJ555" s="54">
        <f t="shared" si="3902"/>
        <v>0</v>
      </c>
      <c r="BK555" s="54">
        <f t="shared" si="3902"/>
        <v>0</v>
      </c>
      <c r="BL555" s="54">
        <f t="shared" si="3902"/>
        <v>0</v>
      </c>
      <c r="BM555" s="54">
        <f t="shared" si="3902"/>
        <v>0</v>
      </c>
      <c r="BN555" s="54">
        <f t="shared" ref="BN555" si="3903">BM555</f>
        <v>0</v>
      </c>
      <c r="BO555" s="54">
        <f t="shared" ref="BO555" si="3904">BN555</f>
        <v>0</v>
      </c>
      <c r="BP555" s="54">
        <f t="shared" ref="BP555" si="3905">BO555</f>
        <v>0</v>
      </c>
      <c r="BQ555" s="54">
        <f t="shared" ref="BQ555" si="3906">BP555</f>
        <v>0</v>
      </c>
      <c r="BR555" s="55"/>
      <c r="BS555" s="53">
        <v>0</v>
      </c>
      <c r="BT555" s="53">
        <v>0</v>
      </c>
      <c r="BU555" s="53">
        <v>0</v>
      </c>
      <c r="BV555" s="53">
        <v>0</v>
      </c>
      <c r="BW555" s="53">
        <v>0</v>
      </c>
      <c r="BX555" s="53">
        <v>0</v>
      </c>
      <c r="BY555" s="53">
        <v>0</v>
      </c>
      <c r="BZ555" s="53">
        <v>0</v>
      </c>
      <c r="CA555" s="53">
        <v>0</v>
      </c>
      <c r="CB555" s="53">
        <v>0</v>
      </c>
      <c r="CC555" s="55">
        <f>E555</f>
        <v>0</v>
      </c>
      <c r="CD555" s="55">
        <f>G555</f>
        <v>0</v>
      </c>
      <c r="CE555" s="55">
        <f>I555</f>
        <v>0</v>
      </c>
      <c r="CF555" s="55">
        <f>K555</f>
        <v>0</v>
      </c>
      <c r="CG555" s="55">
        <f>M555</f>
        <v>0</v>
      </c>
      <c r="CH555" s="55">
        <f>O555</f>
        <v>-939</v>
      </c>
      <c r="CI555" s="55">
        <f>Q555</f>
        <v>-939</v>
      </c>
      <c r="CJ555" s="55">
        <f>S555</f>
        <v>-939</v>
      </c>
      <c r="CK555" s="55">
        <f>U555</f>
        <v>-939</v>
      </c>
      <c r="CL555" s="55">
        <f>W555</f>
        <v>-939</v>
      </c>
      <c r="CM555" s="55">
        <f>Y555</f>
        <v>-939</v>
      </c>
      <c r="CN555" s="55">
        <f>AA555</f>
        <v>-939</v>
      </c>
      <c r="CO555" s="55">
        <f>AC555</f>
        <v>-939</v>
      </c>
      <c r="CP555" s="55">
        <f>AE555</f>
        <v>-939</v>
      </c>
      <c r="CQ555" s="55">
        <f>AG555</f>
        <v>0</v>
      </c>
      <c r="CR555" s="55">
        <f>AI555</f>
        <v>0</v>
      </c>
      <c r="CS555" s="55">
        <f>AK555</f>
        <v>0</v>
      </c>
      <c r="CT555" s="55">
        <f>AM555</f>
        <v>0</v>
      </c>
      <c r="CU555" s="55">
        <f>AO555</f>
        <v>0</v>
      </c>
      <c r="CV555" s="55">
        <f>AQ555</f>
        <v>0</v>
      </c>
      <c r="CW555" s="55">
        <f>AS555</f>
        <v>0</v>
      </c>
      <c r="CX555" s="55">
        <f>AU555</f>
        <v>0</v>
      </c>
      <c r="CY555" s="55">
        <f>AW555</f>
        <v>0</v>
      </c>
      <c r="CZ555" s="56">
        <f>AY555</f>
        <v>0</v>
      </c>
      <c r="DA555" s="55">
        <f>BA555</f>
        <v>0</v>
      </c>
      <c r="DB555" s="55">
        <f>BC555</f>
        <v>0</v>
      </c>
      <c r="DC555" s="55">
        <f>BE555</f>
        <v>0</v>
      </c>
      <c r="DD555" s="55">
        <f>BG555</f>
        <v>0</v>
      </c>
      <c r="DE555" s="55">
        <f>BI555</f>
        <v>0</v>
      </c>
      <c r="DF555" s="55">
        <f>BK555</f>
        <v>0</v>
      </c>
      <c r="DG555" s="55">
        <f>BM555</f>
        <v>0</v>
      </c>
      <c r="DH555" s="55">
        <f>BO555</f>
        <v>0</v>
      </c>
      <c r="DI555" s="55">
        <f>BQ555</f>
        <v>0</v>
      </c>
    </row>
    <row r="556" spans="1:113" outlineLevel="1">
      <c r="A556" s="1" t="s">
        <v>1023</v>
      </c>
      <c r="B556" s="19" t="s">
        <v>270</v>
      </c>
      <c r="C556" s="53">
        <v>0</v>
      </c>
      <c r="D556" s="53">
        <v>0</v>
      </c>
      <c r="E556" s="53">
        <v>0</v>
      </c>
      <c r="F556" s="53">
        <v>0</v>
      </c>
      <c r="G556" s="53">
        <v>0</v>
      </c>
      <c r="H556" s="53">
        <v>0</v>
      </c>
      <c r="I556" s="53">
        <v>0</v>
      </c>
      <c r="J556" s="53">
        <v>0</v>
      </c>
      <c r="K556" s="53">
        <v>0</v>
      </c>
      <c r="L556" s="53">
        <v>0</v>
      </c>
      <c r="M556" s="53">
        <v>0</v>
      </c>
      <c r="N556" s="53">
        <v>752</v>
      </c>
      <c r="O556" s="53">
        <v>752</v>
      </c>
      <c r="P556" s="53">
        <v>752</v>
      </c>
      <c r="Q556" s="53">
        <v>752</v>
      </c>
      <c r="R556" s="53">
        <v>752</v>
      </c>
      <c r="S556" s="53">
        <v>752</v>
      </c>
      <c r="T556" s="53">
        <v>752</v>
      </c>
      <c r="U556" s="53">
        <v>392</v>
      </c>
      <c r="V556" s="53">
        <v>230</v>
      </c>
      <c r="W556" s="53">
        <v>227</v>
      </c>
      <c r="X556" s="53">
        <v>35</v>
      </c>
      <c r="Y556" s="53">
        <v>-126</v>
      </c>
      <c r="Z556" s="53">
        <v>-239</v>
      </c>
      <c r="AA556" s="53">
        <v>-345</v>
      </c>
      <c r="AB556" s="164">
        <v>-472</v>
      </c>
      <c r="AC556" s="164">
        <v>-368</v>
      </c>
      <c r="AD556" s="164">
        <v>-377</v>
      </c>
      <c r="AE556" s="164">
        <v>-529</v>
      </c>
      <c r="AF556" s="164">
        <v>-298</v>
      </c>
      <c r="AG556" s="164">
        <v>-259</v>
      </c>
      <c r="AH556" s="164">
        <v>-505</v>
      </c>
      <c r="AI556" s="164">
        <v>-537</v>
      </c>
      <c r="AJ556" s="164">
        <v>-411</v>
      </c>
      <c r="AK556" s="164">
        <v>-342</v>
      </c>
      <c r="AL556" s="164">
        <v>-434</v>
      </c>
      <c r="AM556" s="164">
        <v>-437</v>
      </c>
      <c r="AN556" s="164">
        <v>-258</v>
      </c>
      <c r="AO556" s="164">
        <v>-325</v>
      </c>
      <c r="AP556" s="164">
        <v>-379</v>
      </c>
      <c r="AQ556" s="164">
        <v>-486</v>
      </c>
      <c r="AR556" s="164">
        <v>-125</v>
      </c>
      <c r="AS556" s="164">
        <v>-131</v>
      </c>
      <c r="AT556" s="164">
        <v>-28</v>
      </c>
      <c r="AU556" s="164">
        <v>-45</v>
      </c>
      <c r="AV556" s="164">
        <v>-45</v>
      </c>
      <c r="AW556" s="164">
        <v>-54</v>
      </c>
      <c r="AX556" s="164">
        <v>-60</v>
      </c>
      <c r="AY556" s="164">
        <v>-63</v>
      </c>
      <c r="AZ556" s="171">
        <v>-67</v>
      </c>
      <c r="BA556" s="54">
        <f>+BA398*-1</f>
        <v>-69.680000000000007</v>
      </c>
      <c r="BB556" s="54">
        <f t="shared" ref="BB556:BQ556" si="3907">+BB398*-1</f>
        <v>-72.467200000000005</v>
      </c>
      <c r="BC556" s="54">
        <f t="shared" si="3907"/>
        <v>-75.365888000000012</v>
      </c>
      <c r="BD556" s="54">
        <f t="shared" si="3907"/>
        <v>-78.380523520000011</v>
      </c>
      <c r="BE556" s="54">
        <f t="shared" si="3907"/>
        <v>-81.515744460800008</v>
      </c>
      <c r="BF556" s="54">
        <f t="shared" si="3907"/>
        <v>-84.776374239232013</v>
      </c>
      <c r="BG556" s="54">
        <f t="shared" si="3907"/>
        <v>-88.167429208801295</v>
      </c>
      <c r="BH556" s="54">
        <f t="shared" si="3907"/>
        <v>-91.694126377153353</v>
      </c>
      <c r="BI556" s="54">
        <f t="shared" si="3907"/>
        <v>-95.361891432239489</v>
      </c>
      <c r="BJ556" s="54">
        <f t="shared" si="3907"/>
        <v>-98.181504289372697</v>
      </c>
      <c r="BK556" s="54">
        <f t="shared" si="3907"/>
        <v>-97.778114353804469</v>
      </c>
      <c r="BL556" s="54">
        <f t="shared" si="3907"/>
        <v>-100.64816011730974</v>
      </c>
      <c r="BM556" s="54">
        <f t="shared" si="3907"/>
        <v>-100.79203761353988</v>
      </c>
      <c r="BN556" s="54">
        <f t="shared" si="3907"/>
        <v>-103.75035852702639</v>
      </c>
      <c r="BO556" s="54">
        <f t="shared" si="3907"/>
        <v>-103.33149697762298</v>
      </c>
      <c r="BP556" s="54">
        <f t="shared" si="3907"/>
        <v>-106.66359345217994</v>
      </c>
      <c r="BQ556" s="54">
        <f t="shared" si="3907"/>
        <v>-106.23675937638444</v>
      </c>
      <c r="BR556" s="54"/>
      <c r="BS556" s="53">
        <v>0</v>
      </c>
      <c r="BT556" s="53">
        <v>0</v>
      </c>
      <c r="BU556" s="53">
        <v>0</v>
      </c>
      <c r="BV556" s="53">
        <v>0</v>
      </c>
      <c r="BW556" s="53">
        <v>0</v>
      </c>
      <c r="BX556" s="53">
        <v>0</v>
      </c>
      <c r="BY556" s="53">
        <v>0</v>
      </c>
      <c r="BZ556" s="53">
        <v>0</v>
      </c>
      <c r="CA556" s="53">
        <v>0</v>
      </c>
      <c r="CB556" s="53">
        <v>0</v>
      </c>
      <c r="CC556" s="55">
        <f>E556</f>
        <v>0</v>
      </c>
      <c r="CD556" s="55">
        <f>G556</f>
        <v>0</v>
      </c>
      <c r="CE556" s="55">
        <f>I556</f>
        <v>0</v>
      </c>
      <c r="CF556" s="55">
        <f>K556</f>
        <v>0</v>
      </c>
      <c r="CG556" s="55">
        <f>M556</f>
        <v>0</v>
      </c>
      <c r="CH556" s="55">
        <f>O556</f>
        <v>752</v>
      </c>
      <c r="CI556" s="55">
        <f>Q556</f>
        <v>752</v>
      </c>
      <c r="CJ556" s="55">
        <f>S556</f>
        <v>752</v>
      </c>
      <c r="CK556" s="55">
        <f>U556</f>
        <v>392</v>
      </c>
      <c r="CL556" s="55">
        <f>W556</f>
        <v>227</v>
      </c>
      <c r="CM556" s="55">
        <f>Y556</f>
        <v>-126</v>
      </c>
      <c r="CN556" s="55">
        <f>AA556</f>
        <v>-345</v>
      </c>
      <c r="CO556" s="55">
        <f>AC556</f>
        <v>-368</v>
      </c>
      <c r="CP556" s="55">
        <f>AE556</f>
        <v>-529</v>
      </c>
      <c r="CQ556" s="55">
        <f>AG556</f>
        <v>-259</v>
      </c>
      <c r="CR556" s="55">
        <f>AI556</f>
        <v>-537</v>
      </c>
      <c r="CS556" s="55">
        <f>AK556</f>
        <v>-342</v>
      </c>
      <c r="CT556" s="55">
        <f>AM556</f>
        <v>-437</v>
      </c>
      <c r="CU556" s="55">
        <f>AO556</f>
        <v>-325</v>
      </c>
      <c r="CV556" s="55">
        <f>AQ556</f>
        <v>-486</v>
      </c>
      <c r="CW556" s="55">
        <f>AS556</f>
        <v>-131</v>
      </c>
      <c r="CX556" s="55">
        <f>AU556</f>
        <v>-45</v>
      </c>
      <c r="CY556" s="55">
        <f>AW556</f>
        <v>-54</v>
      </c>
      <c r="CZ556" s="56">
        <f>AY556</f>
        <v>-63</v>
      </c>
      <c r="DA556" s="55">
        <f>BA556</f>
        <v>-69.680000000000007</v>
      </c>
      <c r="DB556" s="55">
        <f>BC556</f>
        <v>-75.365888000000012</v>
      </c>
      <c r="DC556" s="55">
        <f>BE556</f>
        <v>-81.515744460800008</v>
      </c>
      <c r="DD556" s="55">
        <f>BG556</f>
        <v>-88.167429208801295</v>
      </c>
      <c r="DE556" s="55">
        <f>BI556</f>
        <v>-95.361891432239489</v>
      </c>
      <c r="DF556" s="55">
        <f>BK556</f>
        <v>-97.778114353804469</v>
      </c>
      <c r="DG556" s="55">
        <f>BM556</f>
        <v>-100.79203761353988</v>
      </c>
      <c r="DH556" s="55">
        <f>BO556</f>
        <v>-103.33149697762298</v>
      </c>
      <c r="DI556" s="55">
        <f>BQ556</f>
        <v>-106.23675937638444</v>
      </c>
    </row>
    <row r="557" spans="1:113" outlineLevel="2">
      <c r="A557" s="1" t="s">
        <v>1024</v>
      </c>
      <c r="B557" s="19" t="s">
        <v>801</v>
      </c>
      <c r="C557" s="55"/>
      <c r="D557" s="55"/>
      <c r="E557" s="55"/>
      <c r="F557" s="55"/>
      <c r="G557" s="55"/>
      <c r="H557" s="55"/>
      <c r="I557" s="55"/>
      <c r="J557" s="55"/>
      <c r="K557" s="55"/>
      <c r="L557" s="55"/>
      <c r="M557" s="53"/>
      <c r="N557" s="55"/>
      <c r="O557" s="55"/>
      <c r="P557" s="55"/>
      <c r="Q557" s="55"/>
      <c r="R557" s="55"/>
      <c r="S557" s="55"/>
      <c r="T557" s="55"/>
      <c r="U557" s="55"/>
      <c r="V557" s="55"/>
      <c r="W557" s="55"/>
      <c r="X557" s="55"/>
      <c r="Y557" s="55"/>
      <c r="Z557" s="55"/>
      <c r="AA557" s="55"/>
      <c r="AB557" s="55"/>
      <c r="AC557" s="55"/>
      <c r="AD557" s="55"/>
      <c r="AE557" s="55"/>
      <c r="AF557" s="55"/>
      <c r="AG557" s="55"/>
      <c r="AH557" s="55"/>
      <c r="AI557" s="55"/>
      <c r="AJ557" s="55"/>
      <c r="AK557" s="55"/>
      <c r="AL557" s="55"/>
      <c r="AM557" s="55"/>
      <c r="AN557" s="55"/>
      <c r="AO557" s="55"/>
      <c r="AP557" s="55"/>
      <c r="AQ557" s="55"/>
      <c r="AR557" s="55"/>
      <c r="AS557" s="55"/>
      <c r="AT557" s="55"/>
      <c r="AU557" s="55"/>
      <c r="AV557" s="55"/>
      <c r="AW557" s="55"/>
      <c r="AX557" s="55"/>
      <c r="AY557" s="55"/>
      <c r="AZ557" s="56"/>
      <c r="BA557" s="55"/>
      <c r="BB557" s="55"/>
      <c r="BC557" s="55"/>
      <c r="BD557" s="55"/>
      <c r="BE557" s="55"/>
      <c r="BF557" s="55"/>
      <c r="BG557" s="55"/>
      <c r="BH557" s="55"/>
      <c r="BI557" s="55"/>
      <c r="BJ557" s="55"/>
      <c r="BK557" s="55"/>
      <c r="BL557" s="55"/>
      <c r="BM557" s="55"/>
      <c r="BN557" s="55"/>
      <c r="BO557" s="55"/>
      <c r="BP557" s="55"/>
      <c r="BQ557" s="55"/>
      <c r="BR557" s="55"/>
      <c r="BS557" s="53"/>
      <c r="BT557" s="53"/>
      <c r="BU557" s="53"/>
      <c r="BV557" s="53"/>
      <c r="BW557" s="53"/>
      <c r="BX557" s="53"/>
      <c r="BY557" s="53"/>
      <c r="BZ557" s="53"/>
      <c r="CA557" s="53"/>
      <c r="CB557" s="53"/>
      <c r="CC557" s="55"/>
      <c r="CD557" s="55"/>
      <c r="CE557" s="55"/>
      <c r="CF557" s="55"/>
      <c r="CG557" s="55"/>
      <c r="CH557" s="55"/>
      <c r="CI557" s="55"/>
      <c r="CJ557" s="55"/>
      <c r="CK557" s="55"/>
      <c r="CL557" s="55"/>
      <c r="CM557" s="55"/>
      <c r="CN557" s="55"/>
      <c r="CO557" s="55"/>
      <c r="CP557" s="55"/>
      <c r="CQ557" s="55"/>
      <c r="CR557" s="55"/>
      <c r="CS557" s="55"/>
      <c r="CT557" s="55"/>
      <c r="CU557" s="55"/>
      <c r="CV557" s="55"/>
      <c r="CW557" s="55"/>
      <c r="CX557" s="55"/>
      <c r="CY557" s="55"/>
      <c r="CZ557" s="56"/>
      <c r="DA557" s="55"/>
      <c r="DB557" s="55"/>
    </row>
    <row r="558" spans="1:113" outlineLevel="2">
      <c r="A558" s="1" t="s">
        <v>64</v>
      </c>
      <c r="B558" s="19" t="s">
        <v>801</v>
      </c>
      <c r="C558" s="55"/>
      <c r="D558" s="55"/>
      <c r="E558" s="55"/>
      <c r="F558" s="55"/>
      <c r="G558" s="55"/>
      <c r="H558" s="55"/>
      <c r="I558" s="55"/>
      <c r="J558" s="55"/>
      <c r="K558" s="55"/>
      <c r="L558" s="55"/>
      <c r="M558" s="55"/>
      <c r="N558" s="55"/>
      <c r="O558" s="55"/>
      <c r="P558" s="55"/>
      <c r="Q558" s="55"/>
      <c r="R558" s="55"/>
      <c r="S558" s="55"/>
      <c r="T558" s="55"/>
      <c r="U558" s="55"/>
      <c r="V558" s="55"/>
      <c r="W558" s="55"/>
      <c r="X558" s="55"/>
      <c r="Y558" s="55"/>
      <c r="Z558" s="55"/>
      <c r="AA558" s="55"/>
      <c r="AB558" s="55"/>
      <c r="AC558" s="55"/>
      <c r="AD558" s="55"/>
      <c r="AE558" s="55"/>
      <c r="AF558" s="55"/>
      <c r="AG558" s="55"/>
      <c r="AH558" s="55"/>
      <c r="AI558" s="55"/>
      <c r="AJ558" s="55"/>
      <c r="AK558" s="55"/>
      <c r="AL558" s="55"/>
      <c r="AM558" s="55"/>
      <c r="AN558" s="55"/>
      <c r="AO558" s="55"/>
      <c r="AP558" s="55"/>
      <c r="AQ558" s="55"/>
      <c r="AR558" s="55"/>
      <c r="AS558" s="55"/>
      <c r="AT558" s="55"/>
      <c r="AU558" s="55"/>
      <c r="AV558" s="55"/>
      <c r="AW558" s="55"/>
      <c r="AX558" s="55"/>
      <c r="AY558" s="55"/>
      <c r="AZ558" s="56"/>
      <c r="BA558" s="55"/>
      <c r="BB558" s="55"/>
      <c r="BC558" s="55"/>
      <c r="BD558" s="55"/>
      <c r="BE558" s="55"/>
      <c r="BF558" s="55"/>
      <c r="BG558" s="55"/>
      <c r="BH558" s="55"/>
      <c r="BI558" s="55"/>
      <c r="BJ558" s="55"/>
      <c r="BK558" s="55"/>
      <c r="BL558" s="55"/>
      <c r="BM558" s="55"/>
      <c r="BN558" s="55"/>
      <c r="BO558" s="55"/>
      <c r="BP558" s="55"/>
      <c r="BQ558" s="55"/>
      <c r="BR558" s="55"/>
      <c r="BS558" s="53"/>
      <c r="BT558" s="53"/>
      <c r="BU558" s="53"/>
      <c r="BV558" s="53"/>
      <c r="BW558" s="53"/>
      <c r="BX558" s="53"/>
      <c r="BY558" s="53"/>
      <c r="BZ558" s="53"/>
      <c r="CA558" s="53"/>
      <c r="CB558" s="53"/>
      <c r="CC558" s="55"/>
      <c r="CD558" s="55"/>
      <c r="CE558" s="55"/>
      <c r="CF558" s="55"/>
      <c r="CG558" s="55"/>
      <c r="CH558" s="55"/>
      <c r="CI558" s="55"/>
      <c r="CJ558" s="55"/>
      <c r="CK558" s="55"/>
      <c r="CL558" s="55"/>
      <c r="CM558" s="55"/>
      <c r="CN558" s="55"/>
      <c r="CO558" s="55"/>
      <c r="CP558" s="55"/>
      <c r="CQ558" s="55"/>
      <c r="CR558" s="55"/>
      <c r="CS558" s="55"/>
      <c r="CT558" s="55"/>
      <c r="CU558" s="55"/>
      <c r="CV558" s="55"/>
      <c r="CW558" s="55"/>
      <c r="CX558" s="55"/>
      <c r="CY558" s="55"/>
      <c r="CZ558" s="56"/>
      <c r="DA558" s="55"/>
      <c r="DB558" s="55"/>
    </row>
    <row r="559" spans="1:113" outlineLevel="2">
      <c r="A559" s="1" t="s">
        <v>65</v>
      </c>
      <c r="B559" s="19" t="s">
        <v>801</v>
      </c>
      <c r="C559" s="55"/>
      <c r="D559" s="55"/>
      <c r="E559" s="55"/>
      <c r="F559" s="55"/>
      <c r="G559" s="55"/>
      <c r="H559" s="55"/>
      <c r="I559" s="55"/>
      <c r="J559" s="55"/>
      <c r="K559" s="55"/>
      <c r="L559" s="55"/>
      <c r="M559" s="55"/>
      <c r="N559" s="55"/>
      <c r="O559" s="55"/>
      <c r="P559" s="55"/>
      <c r="Q559" s="55"/>
      <c r="R559" s="55"/>
      <c r="S559" s="55"/>
      <c r="T559" s="55"/>
      <c r="U559" s="55"/>
      <c r="V559" s="55"/>
      <c r="W559" s="55"/>
      <c r="X559" s="55"/>
      <c r="Y559" s="55"/>
      <c r="Z559" s="55"/>
      <c r="AA559" s="55"/>
      <c r="AB559" s="55"/>
      <c r="AC559" s="55"/>
      <c r="AD559" s="55"/>
      <c r="AE559" s="55"/>
      <c r="AF559" s="55"/>
      <c r="AG559" s="55"/>
      <c r="AH559" s="55"/>
      <c r="AI559" s="55"/>
      <c r="AJ559" s="55"/>
      <c r="AK559" s="55"/>
      <c r="AL559" s="55"/>
      <c r="AM559" s="55"/>
      <c r="AN559" s="55"/>
      <c r="AO559" s="55"/>
      <c r="AP559" s="55"/>
      <c r="AQ559" s="55"/>
      <c r="AR559" s="55"/>
      <c r="AS559" s="55"/>
      <c r="AT559" s="55"/>
      <c r="AU559" s="55"/>
      <c r="AV559" s="55"/>
      <c r="AW559" s="55"/>
      <c r="AX559" s="55"/>
      <c r="AY559" s="55"/>
      <c r="AZ559" s="56"/>
      <c r="BA559" s="55"/>
      <c r="BB559" s="55"/>
      <c r="BC559" s="55"/>
      <c r="BD559" s="55"/>
      <c r="BE559" s="55"/>
      <c r="BF559" s="55"/>
      <c r="BG559" s="55"/>
      <c r="BH559" s="55"/>
      <c r="BI559" s="55"/>
      <c r="BJ559" s="55"/>
      <c r="BK559" s="55"/>
      <c r="BL559" s="55"/>
      <c r="BM559" s="55"/>
      <c r="BN559" s="55"/>
      <c r="BO559" s="55"/>
      <c r="BP559" s="55"/>
      <c r="BQ559" s="55"/>
      <c r="BR559" s="55"/>
      <c r="BS559" s="53"/>
      <c r="BT559" s="53"/>
      <c r="BU559" s="53"/>
      <c r="BV559" s="53"/>
      <c r="BW559" s="53"/>
      <c r="BX559" s="53"/>
      <c r="BY559" s="53"/>
      <c r="BZ559" s="53"/>
      <c r="CA559" s="53"/>
      <c r="CB559" s="53"/>
      <c r="CC559" s="55"/>
      <c r="CD559" s="55"/>
      <c r="CE559" s="55"/>
      <c r="CF559" s="55"/>
      <c r="CG559" s="55"/>
      <c r="CH559" s="55"/>
      <c r="CI559" s="55"/>
      <c r="CJ559" s="55"/>
      <c r="CK559" s="55"/>
      <c r="CL559" s="55"/>
      <c r="CM559" s="55"/>
      <c r="CN559" s="55"/>
      <c r="CO559" s="55"/>
      <c r="CP559" s="55"/>
      <c r="CQ559" s="55"/>
      <c r="CR559" s="55"/>
      <c r="CS559" s="55"/>
      <c r="CT559" s="55"/>
      <c r="CU559" s="55"/>
      <c r="CV559" s="55"/>
      <c r="CW559" s="55"/>
      <c r="CX559" s="55"/>
      <c r="CY559" s="55"/>
      <c r="CZ559" s="56"/>
      <c r="DA559" s="55"/>
      <c r="DB559" s="55"/>
    </row>
    <row r="560" spans="1:113" outlineLevel="2">
      <c r="A560" s="1" t="s">
        <v>66</v>
      </c>
      <c r="B560" s="19" t="s">
        <v>801</v>
      </c>
      <c r="C560" s="55"/>
      <c r="D560" s="55"/>
      <c r="E560" s="55"/>
      <c r="F560" s="55"/>
      <c r="G560" s="55"/>
      <c r="H560" s="55"/>
      <c r="I560" s="55"/>
      <c r="J560" s="55"/>
      <c r="K560" s="55"/>
      <c r="L560" s="55"/>
      <c r="M560" s="55"/>
      <c r="N560" s="55"/>
      <c r="O560" s="55"/>
      <c r="P560" s="55"/>
      <c r="Q560" s="55"/>
      <c r="R560" s="55"/>
      <c r="S560" s="55"/>
      <c r="T560" s="55"/>
      <c r="U560" s="55"/>
      <c r="V560" s="55"/>
      <c r="W560" s="55"/>
      <c r="X560" s="55"/>
      <c r="Y560" s="55"/>
      <c r="Z560" s="55"/>
      <c r="AA560" s="55"/>
      <c r="AB560" s="55"/>
      <c r="AC560" s="55"/>
      <c r="AD560" s="55"/>
      <c r="AE560" s="55"/>
      <c r="AF560" s="55"/>
      <c r="AG560" s="55"/>
      <c r="AH560" s="55"/>
      <c r="AI560" s="55"/>
      <c r="AJ560" s="55"/>
      <c r="AK560" s="55"/>
      <c r="AL560" s="55"/>
      <c r="AM560" s="55"/>
      <c r="AN560" s="55"/>
      <c r="AO560" s="55"/>
      <c r="AP560" s="55"/>
      <c r="AQ560" s="55"/>
      <c r="AR560" s="55"/>
      <c r="AS560" s="55"/>
      <c r="AT560" s="55"/>
      <c r="AU560" s="55"/>
      <c r="AV560" s="55"/>
      <c r="AW560" s="55"/>
      <c r="AX560" s="55"/>
      <c r="AY560" s="55"/>
      <c r="AZ560" s="56"/>
      <c r="BA560" s="55"/>
      <c r="BB560" s="55"/>
      <c r="BC560" s="55"/>
      <c r="BD560" s="55"/>
      <c r="BE560" s="55"/>
      <c r="BF560" s="55"/>
      <c r="BG560" s="55"/>
      <c r="BH560" s="55"/>
      <c r="BI560" s="55"/>
      <c r="BJ560" s="55"/>
      <c r="BK560" s="55"/>
      <c r="BL560" s="55"/>
      <c r="BM560" s="55"/>
      <c r="BN560" s="55"/>
      <c r="BO560" s="55"/>
      <c r="BP560" s="55"/>
      <c r="BQ560" s="55"/>
      <c r="BR560" s="55"/>
      <c r="BS560" s="53"/>
      <c r="BT560" s="53"/>
      <c r="BU560" s="53"/>
      <c r="BV560" s="53"/>
      <c r="BW560" s="53"/>
      <c r="BX560" s="53"/>
      <c r="BY560" s="53"/>
      <c r="BZ560" s="53"/>
      <c r="CA560" s="53"/>
      <c r="CB560" s="53"/>
      <c r="CC560" s="55"/>
      <c r="CD560" s="55"/>
      <c r="CE560" s="55"/>
      <c r="CF560" s="55"/>
      <c r="CG560" s="55"/>
      <c r="CH560" s="55"/>
      <c r="CI560" s="55"/>
      <c r="CJ560" s="55"/>
      <c r="CK560" s="55"/>
      <c r="CL560" s="55"/>
      <c r="CM560" s="55"/>
      <c r="CN560" s="55"/>
      <c r="CO560" s="55"/>
      <c r="CP560" s="55"/>
      <c r="CQ560" s="55"/>
      <c r="CR560" s="55"/>
      <c r="CS560" s="55"/>
      <c r="CT560" s="55"/>
      <c r="CU560" s="55"/>
      <c r="CV560" s="55"/>
      <c r="CW560" s="55"/>
      <c r="CX560" s="55"/>
      <c r="CY560" s="55"/>
      <c r="CZ560" s="56"/>
      <c r="DA560" s="55"/>
      <c r="DB560" s="55"/>
    </row>
    <row r="561" spans="1:113" outlineLevel="1">
      <c r="A561" s="1" t="s">
        <v>1025</v>
      </c>
      <c r="B561" s="19" t="s">
        <v>271</v>
      </c>
      <c r="C561" s="55">
        <f t="shared" ref="C561:L561" si="3908">C562-SUM(C553:C560)</f>
        <v>-5</v>
      </c>
      <c r="D561" s="55">
        <f t="shared" si="3908"/>
        <v>-5</v>
      </c>
      <c r="E561" s="55">
        <f t="shared" si="3908"/>
        <v>86</v>
      </c>
      <c r="F561" s="55">
        <f t="shared" si="3908"/>
        <v>-7</v>
      </c>
      <c r="G561" s="55">
        <f t="shared" si="3908"/>
        <v>140</v>
      </c>
      <c r="H561" s="55">
        <f t="shared" si="3908"/>
        <v>241</v>
      </c>
      <c r="I561" s="55">
        <f t="shared" si="3908"/>
        <v>118</v>
      </c>
      <c r="J561" s="55">
        <f t="shared" si="3908"/>
        <v>155</v>
      </c>
      <c r="K561" s="55">
        <f t="shared" si="3908"/>
        <v>119</v>
      </c>
      <c r="L561" s="55">
        <f t="shared" si="3908"/>
        <v>43</v>
      </c>
      <c r="M561" s="55">
        <f t="shared" ref="M561:X561" si="3909">M562-SUM(M553:M560)</f>
        <v>310</v>
      </c>
      <c r="N561" s="55">
        <f t="shared" si="3909"/>
        <v>-109</v>
      </c>
      <c r="O561" s="55">
        <f t="shared" si="3909"/>
        <v>-190</v>
      </c>
      <c r="P561" s="55">
        <f t="shared" si="3909"/>
        <v>-378</v>
      </c>
      <c r="Q561" s="55">
        <f t="shared" si="3909"/>
        <v>-421</v>
      </c>
      <c r="R561" s="55">
        <f t="shared" si="3909"/>
        <v>-1140</v>
      </c>
      <c r="S561" s="55">
        <f t="shared" si="3909"/>
        <v>-514</v>
      </c>
      <c r="T561" s="55">
        <f t="shared" si="3909"/>
        <v>-532</v>
      </c>
      <c r="U561" s="55">
        <f t="shared" si="3909"/>
        <v>-618</v>
      </c>
      <c r="V561" s="55">
        <f t="shared" si="3909"/>
        <v>-360</v>
      </c>
      <c r="W561" s="55">
        <f t="shared" si="3909"/>
        <v>-687</v>
      </c>
      <c r="X561" s="55">
        <f t="shared" si="3909"/>
        <v>-405</v>
      </c>
      <c r="Y561" s="55">
        <f t="shared" ref="Y561:AK561" si="3910">Y562-SUM(Y553:Y560)</f>
        <v>-554</v>
      </c>
      <c r="Z561" s="55">
        <f t="shared" si="3910"/>
        <v>-839</v>
      </c>
      <c r="AA561" s="55">
        <f t="shared" si="3910"/>
        <v>-184</v>
      </c>
      <c r="AB561" s="55">
        <f t="shared" si="3910"/>
        <v>-302</v>
      </c>
      <c r="AC561" s="55">
        <f t="shared" si="3910"/>
        <v>-293</v>
      </c>
      <c r="AD561" s="55">
        <f t="shared" si="3910"/>
        <v>-395</v>
      </c>
      <c r="AE561" s="55">
        <f t="shared" si="3910"/>
        <v>-376</v>
      </c>
      <c r="AF561" s="55">
        <f t="shared" si="3910"/>
        <v>-410</v>
      </c>
      <c r="AG561" s="55">
        <f t="shared" si="3910"/>
        <v>-409</v>
      </c>
      <c r="AH561" s="55">
        <f t="shared" si="3910"/>
        <v>-449</v>
      </c>
      <c r="AI561" s="55">
        <f t="shared" si="3910"/>
        <v>-332</v>
      </c>
      <c r="AJ561" s="55">
        <f t="shared" si="3910"/>
        <v>-399</v>
      </c>
      <c r="AK561" s="55">
        <f t="shared" si="3910"/>
        <v>-369</v>
      </c>
      <c r="AL561" s="55">
        <f t="shared" ref="AL561:AQ561" si="3911">AL562-SUM(AL553:AL560)</f>
        <v>-212</v>
      </c>
      <c r="AM561" s="55">
        <f t="shared" si="3911"/>
        <v>191</v>
      </c>
      <c r="AN561" s="55">
        <f t="shared" si="3911"/>
        <v>-4</v>
      </c>
      <c r="AO561" s="55">
        <f t="shared" si="3911"/>
        <v>123</v>
      </c>
      <c r="AP561" s="55">
        <f t="shared" si="3911"/>
        <v>10</v>
      </c>
      <c r="AQ561" s="55">
        <f t="shared" si="3911"/>
        <v>7</v>
      </c>
      <c r="AR561" s="55">
        <f t="shared" ref="AR561" si="3912">AR562-SUM(AR553:AR560)</f>
        <v>4</v>
      </c>
      <c r="AS561" s="55">
        <f t="shared" ref="AS561:AT561" si="3913">AS562-SUM(AS553:AS560)</f>
        <v>21</v>
      </c>
      <c r="AT561" s="55">
        <f t="shared" si="3913"/>
        <v>-90</v>
      </c>
      <c r="AU561" s="55">
        <f t="shared" ref="AU561:AV561" si="3914">AU562-SUM(AU553:AU560)</f>
        <v>-753</v>
      </c>
      <c r="AV561" s="55">
        <f t="shared" si="3914"/>
        <v>142</v>
      </c>
      <c r="AW561" s="55">
        <f t="shared" ref="AW561:AX561" si="3915">AW562-SUM(AW553:AW560)</f>
        <v>158</v>
      </c>
      <c r="AX561" s="55">
        <f t="shared" si="3915"/>
        <v>189</v>
      </c>
      <c r="AY561" s="55">
        <f t="shared" ref="AY561:AZ561" si="3916">AY562-SUM(AY553:AY560)</f>
        <v>215</v>
      </c>
      <c r="AZ561" s="56">
        <f t="shared" si="3916"/>
        <v>196</v>
      </c>
      <c r="BA561" s="54">
        <f t="shared" ref="BA561:BE561" si="3917">AZ561</f>
        <v>196</v>
      </c>
      <c r="BB561" s="54">
        <f t="shared" si="3917"/>
        <v>196</v>
      </c>
      <c r="BC561" s="54">
        <f t="shared" si="3917"/>
        <v>196</v>
      </c>
      <c r="BD561" s="54">
        <f t="shared" si="3917"/>
        <v>196</v>
      </c>
      <c r="BE561" s="54">
        <f t="shared" si="3917"/>
        <v>196</v>
      </c>
      <c r="BF561" s="54">
        <f t="shared" ref="BF561:BM561" si="3918">BE561</f>
        <v>196</v>
      </c>
      <c r="BG561" s="54">
        <f t="shared" si="3918"/>
        <v>196</v>
      </c>
      <c r="BH561" s="54">
        <f t="shared" si="3918"/>
        <v>196</v>
      </c>
      <c r="BI561" s="54">
        <f t="shared" si="3918"/>
        <v>196</v>
      </c>
      <c r="BJ561" s="54">
        <f t="shared" si="3918"/>
        <v>196</v>
      </c>
      <c r="BK561" s="54">
        <f t="shared" si="3918"/>
        <v>196</v>
      </c>
      <c r="BL561" s="54">
        <f t="shared" si="3918"/>
        <v>196</v>
      </c>
      <c r="BM561" s="54">
        <f t="shared" si="3918"/>
        <v>196</v>
      </c>
      <c r="BN561" s="54">
        <f t="shared" ref="BN561" si="3919">BM561</f>
        <v>196</v>
      </c>
      <c r="BO561" s="54">
        <f t="shared" ref="BO561" si="3920">BN561</f>
        <v>196</v>
      </c>
      <c r="BP561" s="54">
        <f t="shared" ref="BP561" si="3921">BO561</f>
        <v>196</v>
      </c>
      <c r="BQ561" s="54">
        <f t="shared" ref="BQ561" si="3922">BP561</f>
        <v>196</v>
      </c>
      <c r="BR561" s="55"/>
      <c r="BS561" s="53">
        <v>0</v>
      </c>
      <c r="BT561" s="53">
        <v>0</v>
      </c>
      <c r="BU561" s="53">
        <v>0</v>
      </c>
      <c r="BV561" s="53">
        <v>0</v>
      </c>
      <c r="BW561" s="53">
        <v>0</v>
      </c>
      <c r="BX561" s="53">
        <v>0</v>
      </c>
      <c r="BY561" s="53">
        <v>0</v>
      </c>
      <c r="BZ561" s="53">
        <v>0</v>
      </c>
      <c r="CA561" s="53">
        <v>0</v>
      </c>
      <c r="CB561" s="53">
        <v>0</v>
      </c>
      <c r="CC561" s="55">
        <f>E561</f>
        <v>86</v>
      </c>
      <c r="CD561" s="55">
        <f>G561</f>
        <v>140</v>
      </c>
      <c r="CE561" s="55">
        <f>I561</f>
        <v>118</v>
      </c>
      <c r="CF561" s="55">
        <f>K561</f>
        <v>119</v>
      </c>
      <c r="CG561" s="55">
        <f>M561</f>
        <v>310</v>
      </c>
      <c r="CH561" s="55">
        <f>O561</f>
        <v>-190</v>
      </c>
      <c r="CI561" s="55">
        <f>Q561</f>
        <v>-421</v>
      </c>
      <c r="CJ561" s="55">
        <f>S561</f>
        <v>-514</v>
      </c>
      <c r="CK561" s="55">
        <f>U561</f>
        <v>-618</v>
      </c>
      <c r="CL561" s="55">
        <f>W561</f>
        <v>-687</v>
      </c>
      <c r="CM561" s="55">
        <f>Y561</f>
        <v>-554</v>
      </c>
      <c r="CN561" s="55">
        <f>AA561</f>
        <v>-184</v>
      </c>
      <c r="CO561" s="55">
        <f>AC561</f>
        <v>-293</v>
      </c>
      <c r="CP561" s="55">
        <f>AE561</f>
        <v>-376</v>
      </c>
      <c r="CQ561" s="55">
        <f>AG561</f>
        <v>-409</v>
      </c>
      <c r="CR561" s="55">
        <f>AI561</f>
        <v>-332</v>
      </c>
      <c r="CS561" s="55">
        <f>AK561</f>
        <v>-369</v>
      </c>
      <c r="CT561" s="55">
        <f>AM561</f>
        <v>191</v>
      </c>
      <c r="CU561" s="55">
        <f>AO561</f>
        <v>123</v>
      </c>
      <c r="CV561" s="55">
        <f>AQ561</f>
        <v>7</v>
      </c>
      <c r="CW561" s="55">
        <f>AS561</f>
        <v>21</v>
      </c>
      <c r="CX561" s="55">
        <f>AU561</f>
        <v>-753</v>
      </c>
      <c r="CY561" s="55">
        <f>AW561</f>
        <v>158</v>
      </c>
      <c r="CZ561" s="56">
        <f>AY561</f>
        <v>215</v>
      </c>
      <c r="DA561" s="55">
        <f>BA561</f>
        <v>196</v>
      </c>
      <c r="DB561" s="55">
        <f>BC561</f>
        <v>196</v>
      </c>
      <c r="DC561" s="55">
        <f>BE561</f>
        <v>196</v>
      </c>
      <c r="DD561" s="55">
        <f>BG561</f>
        <v>196</v>
      </c>
      <c r="DE561" s="55">
        <f>BI561</f>
        <v>196</v>
      </c>
      <c r="DF561" s="55">
        <f>BK561</f>
        <v>196</v>
      </c>
      <c r="DG561" s="55">
        <f>BM561</f>
        <v>196</v>
      </c>
      <c r="DH561" s="55">
        <f>BO561</f>
        <v>196</v>
      </c>
      <c r="DI561" s="55">
        <f>BQ561</f>
        <v>196</v>
      </c>
    </row>
    <row r="562" spans="1:113" s="24" customFormat="1" outlineLevel="1">
      <c r="A562" s="1" t="s">
        <v>1026</v>
      </c>
      <c r="B562" s="24" t="s">
        <v>168</v>
      </c>
      <c r="C562" s="81">
        <v>-5</v>
      </c>
      <c r="D562" s="81">
        <f>0-5</f>
        <v>-5</v>
      </c>
      <c r="E562" s="81">
        <f>90-4</f>
        <v>86</v>
      </c>
      <c r="F562" s="81">
        <f>-3-4-865</f>
        <v>-872</v>
      </c>
      <c r="G562" s="81">
        <f>147-7-1066</f>
        <v>-926</v>
      </c>
      <c r="H562" s="81">
        <f>189+246-5-996</f>
        <v>-566</v>
      </c>
      <c r="I562" s="81">
        <f>250+179-61-1315</f>
        <v>-947</v>
      </c>
      <c r="J562" s="81">
        <f>206+216-61-1083</f>
        <v>-722</v>
      </c>
      <c r="K562" s="81">
        <f>272+211-92-1434</f>
        <v>-1043</v>
      </c>
      <c r="L562" s="81">
        <f>221+160-117-1211</f>
        <v>-947</v>
      </c>
      <c r="M562" s="81">
        <f>303+281+160-131-1668</f>
        <v>-1055</v>
      </c>
      <c r="N562" s="81">
        <f>(20950--182-73)-N550</f>
        <v>-1428</v>
      </c>
      <c r="O562" s="81">
        <f>(22224--440-51)-O550</f>
        <v>-1831</v>
      </c>
      <c r="P562" s="81">
        <f>(23590--477-81)-P550</f>
        <v>-1652</v>
      </c>
      <c r="Q562" s="81">
        <f>(23807--341-39)-Q550</f>
        <v>-2028</v>
      </c>
      <c r="R562" s="81">
        <f>(28253-675-32)-R550</f>
        <v>-2441</v>
      </c>
      <c r="S562" s="81">
        <f>(30314-813-0)-S550</f>
        <v>-1941</v>
      </c>
      <c r="T562" s="81">
        <f>(32271-625-15)-T550</f>
        <v>-1952</v>
      </c>
      <c r="U562" s="81">
        <f>(32064-417+125)-U550</f>
        <v>-3798</v>
      </c>
      <c r="V562" s="81">
        <f>(33136-490+100)-V550</f>
        <v>-2603</v>
      </c>
      <c r="W562" s="81">
        <f>(33958-402+135)-W550</f>
        <v>-3596</v>
      </c>
      <c r="X562" s="81">
        <f>(35613+234+95)-X550</f>
        <v>-2933</v>
      </c>
      <c r="Y562" s="81">
        <f>37600-Y550</f>
        <v>-3972</v>
      </c>
      <c r="Z562" s="81">
        <f>38692-Z550</f>
        <v>-4656</v>
      </c>
      <c r="AA562" s="81">
        <f>44069-AA550</f>
        <v>-1468</v>
      </c>
      <c r="AB562" s="166">
        <f>45324-AB550</f>
        <v>-1713</v>
      </c>
      <c r="AC562" s="166">
        <f>47748-AC550</f>
        <v>-1600</v>
      </c>
      <c r="AD562" s="166">
        <f>49320-AD550</f>
        <v>-1711</v>
      </c>
      <c r="AE562" s="166">
        <f>51149-AE550</f>
        <v>-1844</v>
      </c>
      <c r="AF562" s="166">
        <f>58017-AF550</f>
        <v>-1647</v>
      </c>
      <c r="AG562" s="166">
        <f>59896-AG550</f>
        <v>-668</v>
      </c>
      <c r="AH562" s="166">
        <f>60802-AH550</f>
        <v>-954</v>
      </c>
      <c r="AI562" s="166">
        <f>62791-AI550</f>
        <v>-869</v>
      </c>
      <c r="AJ562" s="166">
        <f>65281-AJ550</f>
        <v>-810</v>
      </c>
      <c r="AK562" s="166">
        <f>67149-AK550</f>
        <v>-711</v>
      </c>
      <c r="AL562" s="166">
        <f>67932-AL550</f>
        <v>-646</v>
      </c>
      <c r="AM562" s="166">
        <f>69403-AM550</f>
        <v>-246</v>
      </c>
      <c r="AN562" s="166">
        <f>70891-AN550</f>
        <v>-262</v>
      </c>
      <c r="AO562" s="166">
        <f>71736-AO550</f>
        <v>-202</v>
      </c>
      <c r="AP562" s="166">
        <f>74551-AP550</f>
        <v>-369</v>
      </c>
      <c r="AQ562" s="166">
        <f>78239-AQ550</f>
        <v>-479</v>
      </c>
      <c r="AR562" s="166">
        <f>74542-AR550</f>
        <v>-121</v>
      </c>
      <c r="AS562" s="166">
        <f>72728-AS550</f>
        <v>-110</v>
      </c>
      <c r="AT562" s="166">
        <f>72425-AT550</f>
        <v>-118</v>
      </c>
      <c r="AU562" s="166">
        <f>71745-AU550</f>
        <v>-798</v>
      </c>
      <c r="AV562" s="166">
        <f>72936-AV550</f>
        <v>97</v>
      </c>
      <c r="AW562" s="166">
        <f>73192-AW550</f>
        <v>104</v>
      </c>
      <c r="AX562" s="166">
        <f>75393-AX550</f>
        <v>129</v>
      </c>
      <c r="AY562" s="166">
        <f>78928-AY550</f>
        <v>152</v>
      </c>
      <c r="AZ562" s="167">
        <f>77361-AZ550</f>
        <v>129</v>
      </c>
      <c r="BA562" s="82">
        <f t="shared" ref="BA562:BE562" si="3923">SUM(BA553:BA561)</f>
        <v>126.32</v>
      </c>
      <c r="BB562" s="82">
        <f t="shared" si="3923"/>
        <v>123.53279999999999</v>
      </c>
      <c r="BC562" s="82">
        <f t="shared" si="3923"/>
        <v>120.63411199999999</v>
      </c>
      <c r="BD562" s="82">
        <f t="shared" si="3923"/>
        <v>117.61947647999999</v>
      </c>
      <c r="BE562" s="82">
        <f t="shared" si="3923"/>
        <v>114.48425553919999</v>
      </c>
      <c r="BF562" s="82">
        <f t="shared" ref="BF562:BM562" si="3924">SUM(BF553:BF561)</f>
        <v>111.22362576076799</v>
      </c>
      <c r="BG562" s="82">
        <f t="shared" si="3924"/>
        <v>107.83257079119871</v>
      </c>
      <c r="BH562" s="82">
        <f t="shared" si="3924"/>
        <v>104.30587362284665</v>
      </c>
      <c r="BI562" s="82">
        <f t="shared" si="3924"/>
        <v>100.63810856776051</v>
      </c>
      <c r="BJ562" s="82">
        <f t="shared" si="3924"/>
        <v>97.818495710627303</v>
      </c>
      <c r="BK562" s="82">
        <f t="shared" si="3924"/>
        <v>98.221885646195531</v>
      </c>
      <c r="BL562" s="82">
        <f t="shared" si="3924"/>
        <v>95.351839882690257</v>
      </c>
      <c r="BM562" s="82">
        <f t="shared" si="3924"/>
        <v>95.207962386460125</v>
      </c>
      <c r="BN562" s="82">
        <f t="shared" ref="BN562:BO562" si="3925">SUM(BN553:BN561)</f>
        <v>92.249641472973607</v>
      </c>
      <c r="BO562" s="82">
        <f t="shared" si="3925"/>
        <v>92.668503022377024</v>
      </c>
      <c r="BP562" s="82">
        <f t="shared" ref="BP562:BQ562" si="3926">SUM(BP553:BP561)</f>
        <v>89.336406547820062</v>
      </c>
      <c r="BQ562" s="82">
        <f t="shared" si="3926"/>
        <v>89.763240623615559</v>
      </c>
      <c r="BR562" s="82"/>
      <c r="BS562" s="82">
        <f t="shared" ref="BS562:CB562" si="3927">SUM(BS553:BS561)</f>
        <v>0</v>
      </c>
      <c r="BT562" s="82">
        <f t="shared" si="3927"/>
        <v>0</v>
      </c>
      <c r="BU562" s="82">
        <f t="shared" si="3927"/>
        <v>0</v>
      </c>
      <c r="BV562" s="82">
        <f t="shared" si="3927"/>
        <v>0</v>
      </c>
      <c r="BW562" s="82">
        <f t="shared" si="3927"/>
        <v>0</v>
      </c>
      <c r="BX562" s="82">
        <f t="shared" si="3927"/>
        <v>0</v>
      </c>
      <c r="BY562" s="82">
        <f t="shared" si="3927"/>
        <v>0</v>
      </c>
      <c r="BZ562" s="82">
        <f t="shared" si="3927"/>
        <v>0</v>
      </c>
      <c r="CA562" s="82">
        <f t="shared" si="3927"/>
        <v>0</v>
      </c>
      <c r="CB562" s="82">
        <f t="shared" si="3927"/>
        <v>0</v>
      </c>
      <c r="CC562" s="82">
        <f t="shared" ref="CC562:CP562" si="3928">SUM(CC553:CC561)</f>
        <v>86</v>
      </c>
      <c r="CD562" s="82">
        <f t="shared" si="3928"/>
        <v>-926</v>
      </c>
      <c r="CE562" s="82">
        <f t="shared" si="3928"/>
        <v>-947</v>
      </c>
      <c r="CF562" s="82">
        <f t="shared" si="3928"/>
        <v>-1043</v>
      </c>
      <c r="CG562" s="82">
        <f t="shared" si="3928"/>
        <v>-1055</v>
      </c>
      <c r="CH562" s="82">
        <f t="shared" si="3928"/>
        <v>-1831</v>
      </c>
      <c r="CI562" s="82">
        <f t="shared" si="3928"/>
        <v>-2028</v>
      </c>
      <c r="CJ562" s="82">
        <f t="shared" si="3928"/>
        <v>-1941</v>
      </c>
      <c r="CK562" s="82">
        <f t="shared" si="3928"/>
        <v>-3798</v>
      </c>
      <c r="CL562" s="82">
        <f t="shared" si="3928"/>
        <v>-3596</v>
      </c>
      <c r="CM562" s="82">
        <f t="shared" si="3928"/>
        <v>-3972</v>
      </c>
      <c r="CN562" s="82">
        <f t="shared" si="3928"/>
        <v>-1468</v>
      </c>
      <c r="CO562" s="82">
        <f t="shared" si="3928"/>
        <v>-1600</v>
      </c>
      <c r="CP562" s="82">
        <f t="shared" si="3928"/>
        <v>-1844</v>
      </c>
      <c r="CQ562" s="82">
        <f t="shared" ref="CQ562:CX562" si="3929">SUM(CQ553:CQ561)</f>
        <v>-668</v>
      </c>
      <c r="CR562" s="82">
        <f t="shared" si="3929"/>
        <v>-869</v>
      </c>
      <c r="CS562" s="82">
        <f t="shared" si="3929"/>
        <v>-711</v>
      </c>
      <c r="CT562" s="82">
        <f t="shared" si="3929"/>
        <v>-246</v>
      </c>
      <c r="CU562" s="82">
        <f t="shared" si="3929"/>
        <v>-202</v>
      </c>
      <c r="CV562" s="82">
        <f t="shared" si="3929"/>
        <v>-479</v>
      </c>
      <c r="CW562" s="82">
        <f t="shared" si="3929"/>
        <v>-110</v>
      </c>
      <c r="CX562" s="82">
        <f t="shared" si="3929"/>
        <v>-798</v>
      </c>
      <c r="CY562" s="82">
        <f t="shared" ref="CY562:DD562" si="3930">SUM(CY553:CY561)</f>
        <v>104</v>
      </c>
      <c r="CZ562" s="83">
        <f t="shared" si="3930"/>
        <v>152</v>
      </c>
      <c r="DA562" s="82">
        <f t="shared" si="3930"/>
        <v>126.32</v>
      </c>
      <c r="DB562" s="82">
        <f t="shared" si="3930"/>
        <v>120.63411199999999</v>
      </c>
      <c r="DC562" s="82">
        <f t="shared" si="3930"/>
        <v>114.48425553919999</v>
      </c>
      <c r="DD562" s="82">
        <f t="shared" si="3930"/>
        <v>107.83257079119871</v>
      </c>
      <c r="DE562" s="82">
        <f>SUM(DE553:DE561)</f>
        <v>100.63810856776051</v>
      </c>
      <c r="DF562" s="82">
        <f>SUM(DF553:DF561)</f>
        <v>98.221885646195531</v>
      </c>
      <c r="DG562" s="82">
        <f>SUM(DG553:DG561)</f>
        <v>95.207962386460125</v>
      </c>
      <c r="DH562" s="82">
        <f>SUM(DH553:DH561)</f>
        <v>92.668503022377024</v>
      </c>
      <c r="DI562" s="82">
        <f>SUM(DI553:DI561)</f>
        <v>89.763240623615559</v>
      </c>
    </row>
    <row r="563" spans="1:113" outlineLevel="1">
      <c r="C563" s="55"/>
      <c r="D563" s="55"/>
      <c r="E563" s="55"/>
      <c r="F563" s="55"/>
      <c r="G563" s="55"/>
      <c r="H563" s="55"/>
      <c r="I563" s="55"/>
      <c r="J563" s="55"/>
      <c r="K563" s="55"/>
      <c r="L563" s="55"/>
      <c r="M563" s="55"/>
      <c r="N563" s="55"/>
      <c r="O563" s="55"/>
      <c r="P563" s="55"/>
      <c r="Q563" s="55"/>
      <c r="R563" s="55"/>
      <c r="S563" s="55"/>
      <c r="T563" s="55"/>
      <c r="U563" s="55"/>
      <c r="V563" s="55"/>
      <c r="W563" s="55"/>
      <c r="X563" s="55"/>
      <c r="Y563" s="55"/>
      <c r="Z563" s="55"/>
      <c r="AA563" s="55"/>
      <c r="AB563" s="55"/>
      <c r="AC563" s="55"/>
      <c r="AD563" s="55"/>
      <c r="AE563" s="55"/>
      <c r="AF563" s="55"/>
      <c r="AG563" s="55"/>
      <c r="AH563" s="55"/>
      <c r="AI563" s="55"/>
      <c r="AJ563" s="55"/>
      <c r="AK563" s="55"/>
      <c r="AL563" s="55"/>
      <c r="AM563" s="55"/>
      <c r="AN563" s="55"/>
      <c r="AO563" s="55"/>
      <c r="AP563" s="55"/>
      <c r="AQ563" s="55"/>
      <c r="AR563" s="55"/>
      <c r="AS563" s="55"/>
      <c r="AT563" s="55"/>
      <c r="AU563" s="55"/>
      <c r="AV563" s="55"/>
      <c r="AW563" s="55"/>
      <c r="AX563" s="55"/>
      <c r="AY563" s="55"/>
      <c r="AZ563" s="56"/>
      <c r="BA563" s="55"/>
      <c r="BB563" s="55"/>
      <c r="BC563" s="55"/>
      <c r="BD563" s="55"/>
      <c r="BE563" s="55"/>
      <c r="BF563" s="55"/>
      <c r="BG563" s="55"/>
      <c r="BH563" s="55"/>
      <c r="BI563" s="55"/>
      <c r="BJ563" s="55"/>
      <c r="BK563" s="55"/>
      <c r="BL563" s="55"/>
      <c r="BM563" s="55"/>
      <c r="BN563" s="55"/>
      <c r="BO563" s="55"/>
      <c r="BP563" s="55"/>
      <c r="BQ563" s="55"/>
      <c r="BR563" s="55"/>
      <c r="BS563" s="55"/>
      <c r="BT563" s="55"/>
      <c r="BU563" s="55"/>
      <c r="BV563" s="55"/>
      <c r="BW563" s="55"/>
      <c r="BX563" s="55"/>
      <c r="BY563" s="55"/>
      <c r="BZ563" s="55"/>
      <c r="CA563" s="55"/>
      <c r="CB563" s="55"/>
      <c r="CC563" s="55"/>
      <c r="CD563" s="55"/>
      <c r="CE563" s="55"/>
      <c r="CF563" s="55"/>
      <c r="CG563" s="55"/>
      <c r="CH563" s="55"/>
      <c r="CI563" s="55"/>
      <c r="CJ563" s="55"/>
      <c r="CK563" s="55"/>
      <c r="CL563" s="55"/>
      <c r="CM563" s="55"/>
      <c r="CN563" s="55"/>
      <c r="CO563" s="55"/>
      <c r="CP563" s="55"/>
      <c r="CQ563" s="55"/>
      <c r="CR563" s="55"/>
      <c r="CS563" s="55"/>
      <c r="CT563" s="55"/>
      <c r="CU563" s="55"/>
      <c r="CV563" s="55"/>
      <c r="CW563" s="55"/>
      <c r="CX563" s="55"/>
      <c r="CY563" s="55"/>
      <c r="CZ563" s="56"/>
      <c r="DA563" s="55"/>
      <c r="DB563" s="55"/>
    </row>
    <row r="564" spans="1:113" s="24" customFormat="1" outlineLevel="1">
      <c r="A564" s="1" t="s">
        <v>1027</v>
      </c>
      <c r="B564" s="102" t="s">
        <v>906</v>
      </c>
      <c r="C564" s="82">
        <f t="shared" ref="C564:L564" si="3931">C550+C562</f>
        <v>19843</v>
      </c>
      <c r="D564" s="82">
        <f t="shared" si="3931"/>
        <v>20399</v>
      </c>
      <c r="E564" s="82">
        <f t="shared" si="3931"/>
        <v>21142</v>
      </c>
      <c r="F564" s="82">
        <f t="shared" si="3931"/>
        <v>21574</v>
      </c>
      <c r="G564" s="82">
        <f t="shared" si="3931"/>
        <v>21226</v>
      </c>
      <c r="H564" s="82">
        <f t="shared" si="3931"/>
        <v>22635</v>
      </c>
      <c r="I564" s="82">
        <f t="shared" si="3931"/>
        <v>23938</v>
      </c>
      <c r="J564" s="82">
        <f t="shared" si="3931"/>
        <v>21379</v>
      </c>
      <c r="K564" s="82">
        <f t="shared" si="3931"/>
        <v>21600</v>
      </c>
      <c r="L564" s="82">
        <f t="shared" si="3931"/>
        <v>18903</v>
      </c>
      <c r="M564" s="82">
        <f t="shared" ref="M564:AD564" si="3932">M550+M562</f>
        <v>20288</v>
      </c>
      <c r="N564" s="82">
        <f t="shared" si="3932"/>
        <v>21059</v>
      </c>
      <c r="O564" s="82">
        <f t="shared" si="3932"/>
        <v>22613</v>
      </c>
      <c r="P564" s="82">
        <f t="shared" si="3932"/>
        <v>23986</v>
      </c>
      <c r="Q564" s="82">
        <f t="shared" si="3932"/>
        <v>24109</v>
      </c>
      <c r="R564" s="82">
        <f t="shared" si="3932"/>
        <v>27546</v>
      </c>
      <c r="S564" s="82">
        <f t="shared" si="3932"/>
        <v>29501</v>
      </c>
      <c r="T564" s="82">
        <f t="shared" si="3932"/>
        <v>31631</v>
      </c>
      <c r="U564" s="82">
        <f t="shared" si="3932"/>
        <v>31772</v>
      </c>
      <c r="V564" s="82">
        <f t="shared" si="3932"/>
        <v>32746</v>
      </c>
      <c r="W564" s="82">
        <f t="shared" si="3932"/>
        <v>33691</v>
      </c>
      <c r="X564" s="82">
        <f t="shared" si="3932"/>
        <v>35942</v>
      </c>
      <c r="Y564" s="82">
        <f>Y550+Y562</f>
        <v>37600</v>
      </c>
      <c r="Z564" s="82">
        <f>Z550+Z562</f>
        <v>38692</v>
      </c>
      <c r="AA564" s="82">
        <f t="shared" si="3932"/>
        <v>44069</v>
      </c>
      <c r="AB564" s="82">
        <f t="shared" si="3932"/>
        <v>45324</v>
      </c>
      <c r="AC564" s="82">
        <f t="shared" si="3932"/>
        <v>47748</v>
      </c>
      <c r="AD564" s="82">
        <f t="shared" si="3932"/>
        <v>49320</v>
      </c>
      <c r="AE564" s="82">
        <f t="shared" ref="AE564:AK564" si="3933">AE550+AE562</f>
        <v>51149</v>
      </c>
      <c r="AF564" s="82">
        <f t="shared" si="3933"/>
        <v>58017</v>
      </c>
      <c r="AG564" s="82">
        <f t="shared" si="3933"/>
        <v>59896</v>
      </c>
      <c r="AH564" s="82">
        <f t="shared" si="3933"/>
        <v>60802</v>
      </c>
      <c r="AI564" s="82">
        <f t="shared" si="3933"/>
        <v>62791</v>
      </c>
      <c r="AJ564" s="82">
        <f t="shared" si="3933"/>
        <v>65281</v>
      </c>
      <c r="AK564" s="82">
        <f t="shared" si="3933"/>
        <v>67149</v>
      </c>
      <c r="AL564" s="82">
        <f t="shared" ref="AL564:AQ564" si="3934">AL550+AL562</f>
        <v>67932</v>
      </c>
      <c r="AM564" s="82">
        <f t="shared" si="3934"/>
        <v>69403</v>
      </c>
      <c r="AN564" s="82">
        <f t="shared" si="3934"/>
        <v>70891</v>
      </c>
      <c r="AO564" s="82">
        <f t="shared" si="3934"/>
        <v>71736</v>
      </c>
      <c r="AP564" s="82">
        <f t="shared" si="3934"/>
        <v>74551</v>
      </c>
      <c r="AQ564" s="82">
        <f t="shared" si="3934"/>
        <v>78239</v>
      </c>
      <c r="AR564" s="82">
        <f t="shared" ref="AR564" si="3935">AR550+AR562</f>
        <v>74542</v>
      </c>
      <c r="AS564" s="82">
        <f t="shared" ref="AS564:AT564" si="3936">AS550+AS562</f>
        <v>72728</v>
      </c>
      <c r="AT564" s="82">
        <f t="shared" si="3936"/>
        <v>72425</v>
      </c>
      <c r="AU564" s="82">
        <f t="shared" ref="AU564" si="3937">AU550+AU562</f>
        <v>71745</v>
      </c>
      <c r="AV564" s="82">
        <f>AV550+AV562</f>
        <v>72936</v>
      </c>
      <c r="AW564" s="82">
        <f>AW550+AW562</f>
        <v>73192</v>
      </c>
      <c r="AX564" s="82">
        <f>AX550+AX562</f>
        <v>75393</v>
      </c>
      <c r="AY564" s="82">
        <f t="shared" ref="AY564:BE564" si="3938">AY550+AY562</f>
        <v>78928</v>
      </c>
      <c r="AZ564" s="83">
        <f>AZ550+AZ562</f>
        <v>77361</v>
      </c>
      <c r="BA564" s="82">
        <f t="shared" si="3938"/>
        <v>79606.398282640133</v>
      </c>
      <c r="BB564" s="82">
        <f t="shared" si="3938"/>
        <v>79431.799796693653</v>
      </c>
      <c r="BC564" s="82">
        <f t="shared" si="3938"/>
        <v>79851.915023012945</v>
      </c>
      <c r="BD564" s="82">
        <f t="shared" si="3938"/>
        <v>79840.747881407486</v>
      </c>
      <c r="BE564" s="82">
        <f t="shared" si="3938"/>
        <v>80366.395710555342</v>
      </c>
      <c r="BF564" s="82">
        <f t="shared" ref="BF564:BM564" si="3939">BF550+BF562</f>
        <v>80532.82775515641</v>
      </c>
      <c r="BG564" s="82">
        <f t="shared" si="3939"/>
        <v>82414.729775249885</v>
      </c>
      <c r="BH564" s="82">
        <f t="shared" si="3939"/>
        <v>83892.589096653712</v>
      </c>
      <c r="BI564" s="82">
        <f t="shared" si="3939"/>
        <v>85725.011844043926</v>
      </c>
      <c r="BJ564" s="82">
        <f t="shared" si="3939"/>
        <v>87051.951813739332</v>
      </c>
      <c r="BK564" s="82">
        <f t="shared" si="3939"/>
        <v>88869.885534106812</v>
      </c>
      <c r="BL564" s="82">
        <f t="shared" si="3939"/>
        <v>90225.081630564717</v>
      </c>
      <c r="BM564" s="82">
        <f t="shared" si="3939"/>
        <v>92069.710784057024</v>
      </c>
      <c r="BN564" s="82">
        <f t="shared" ref="BN564:BO564" si="3940">BN550+BN562</f>
        <v>93537.0264252825</v>
      </c>
      <c r="BO564" s="82">
        <f t="shared" si="3940"/>
        <v>95486.746860755171</v>
      </c>
      <c r="BP564" s="82">
        <f t="shared" ref="BP564:BQ564" si="3941">BP550+BP562</f>
        <v>97086.235465202728</v>
      </c>
      <c r="BQ564" s="82">
        <f t="shared" si="3941"/>
        <v>99168.494506639472</v>
      </c>
      <c r="BR564" s="82"/>
      <c r="BS564" s="82">
        <f t="shared" ref="BS564:CA564" si="3942">BS550+BS562</f>
        <v>5523</v>
      </c>
      <c r="BT564" s="82">
        <f t="shared" si="3942"/>
        <v>5631.9</v>
      </c>
      <c r="BU564" s="82">
        <f t="shared" si="3942"/>
        <v>6071</v>
      </c>
      <c r="BV564" s="82">
        <f t="shared" si="3942"/>
        <v>6695</v>
      </c>
      <c r="BW564" s="82">
        <f t="shared" si="3942"/>
        <v>7367</v>
      </c>
      <c r="BX564" s="82">
        <f t="shared" si="3942"/>
        <v>7024</v>
      </c>
      <c r="BY564" s="82">
        <f t="shared" si="3942"/>
        <v>6889</v>
      </c>
      <c r="BZ564" s="82">
        <f t="shared" si="3942"/>
        <v>6962</v>
      </c>
      <c r="CA564" s="82">
        <f t="shared" si="3942"/>
        <v>18435</v>
      </c>
      <c r="CB564" s="82">
        <f>CB550+CB562</f>
        <v>19848</v>
      </c>
      <c r="CC564" s="82">
        <f t="shared" ref="CC564:CO564" si="3943">CC550+CC562</f>
        <v>21142</v>
      </c>
      <c r="CD564" s="82">
        <f t="shared" si="3943"/>
        <v>21226</v>
      </c>
      <c r="CE564" s="82">
        <f t="shared" si="3943"/>
        <v>23938</v>
      </c>
      <c r="CF564" s="82">
        <f t="shared" si="3943"/>
        <v>21600</v>
      </c>
      <c r="CG564" s="82">
        <f t="shared" si="3943"/>
        <v>20288</v>
      </c>
      <c r="CH564" s="82">
        <f t="shared" si="3943"/>
        <v>22613</v>
      </c>
      <c r="CI564" s="82">
        <f t="shared" si="3943"/>
        <v>24109</v>
      </c>
      <c r="CJ564" s="82">
        <f t="shared" si="3943"/>
        <v>29501</v>
      </c>
      <c r="CK564" s="82">
        <f t="shared" si="3943"/>
        <v>31772</v>
      </c>
      <c r="CL564" s="82">
        <f t="shared" si="3943"/>
        <v>33691</v>
      </c>
      <c r="CM564" s="82">
        <f t="shared" si="3943"/>
        <v>37600</v>
      </c>
      <c r="CN564" s="82">
        <f t="shared" si="3943"/>
        <v>44069</v>
      </c>
      <c r="CO564" s="82">
        <f t="shared" si="3943"/>
        <v>47748</v>
      </c>
      <c r="CP564" s="82">
        <f t="shared" ref="CP564:CX564" si="3944">CP550+CP562</f>
        <v>51149</v>
      </c>
      <c r="CQ564" s="82">
        <f t="shared" si="3944"/>
        <v>59896</v>
      </c>
      <c r="CR564" s="82">
        <f t="shared" si="3944"/>
        <v>62791</v>
      </c>
      <c r="CS564" s="82">
        <f t="shared" si="3944"/>
        <v>67149</v>
      </c>
      <c r="CT564" s="82">
        <f t="shared" si="3944"/>
        <v>69403</v>
      </c>
      <c r="CU564" s="82">
        <f t="shared" si="3944"/>
        <v>71736</v>
      </c>
      <c r="CV564" s="82">
        <f t="shared" si="3944"/>
        <v>78239</v>
      </c>
      <c r="CW564" s="82">
        <f t="shared" si="3944"/>
        <v>72728</v>
      </c>
      <c r="CX564" s="82">
        <f t="shared" si="3944"/>
        <v>71745</v>
      </c>
      <c r="CY564" s="82">
        <f t="shared" ref="CY564:DD564" si="3945">CY550+CY562</f>
        <v>73192</v>
      </c>
      <c r="CZ564" s="83">
        <f t="shared" si="3945"/>
        <v>78928</v>
      </c>
      <c r="DA564" s="82">
        <f t="shared" si="3945"/>
        <v>79606.398282640133</v>
      </c>
      <c r="DB564" s="82">
        <f t="shared" si="3945"/>
        <v>79851.915023012945</v>
      </c>
      <c r="DC564" s="82">
        <f t="shared" si="3945"/>
        <v>80366.395710555356</v>
      </c>
      <c r="DD564" s="82">
        <f t="shared" si="3945"/>
        <v>82414.729775249885</v>
      </c>
      <c r="DE564" s="82">
        <f>DE550+DE562</f>
        <v>85725.011844043926</v>
      </c>
      <c r="DF564" s="82">
        <f>DF550+DF562</f>
        <v>88869.885534106812</v>
      </c>
      <c r="DG564" s="82">
        <f>DG550+DG562</f>
        <v>92069.710784057024</v>
      </c>
      <c r="DH564" s="82">
        <f>DH550+DH562</f>
        <v>95486.746860755171</v>
      </c>
      <c r="DI564" s="82">
        <f>DI550+DI562</f>
        <v>99168.494506639458</v>
      </c>
    </row>
    <row r="565" spans="1:113" outlineLevel="1">
      <c r="A565" s="1" t="s">
        <v>1028</v>
      </c>
      <c r="B565" s="103" t="s">
        <v>907</v>
      </c>
      <c r="C565" s="53">
        <v>0</v>
      </c>
      <c r="D565" s="53">
        <v>0</v>
      </c>
      <c r="E565" s="53">
        <v>0</v>
      </c>
      <c r="F565" s="53">
        <v>0</v>
      </c>
      <c r="G565" s="53">
        <v>0</v>
      </c>
      <c r="H565" s="53">
        <v>0</v>
      </c>
      <c r="I565" s="53">
        <v>0</v>
      </c>
      <c r="J565" s="53">
        <v>0</v>
      </c>
      <c r="K565" s="53">
        <v>0</v>
      </c>
      <c r="L565" s="53">
        <v>0</v>
      </c>
      <c r="M565" s="53">
        <v>0</v>
      </c>
      <c r="N565" s="53">
        <v>0</v>
      </c>
      <c r="O565" s="53">
        <v>0</v>
      </c>
      <c r="P565" s="53">
        <v>1443</v>
      </c>
      <c r="Q565" s="53">
        <v>1443</v>
      </c>
      <c r="R565" s="53">
        <v>1443</v>
      </c>
      <c r="S565" s="53">
        <v>1443</v>
      </c>
      <c r="T565" s="53">
        <v>3407</v>
      </c>
      <c r="U565" s="53">
        <v>3407</v>
      </c>
      <c r="V565" s="53">
        <v>3407</v>
      </c>
      <c r="W565" s="53">
        <v>3407</v>
      </c>
      <c r="X565" s="53">
        <v>3407</v>
      </c>
      <c r="Y565" s="53">
        <v>3407</v>
      </c>
      <c r="Z565" s="53">
        <v>1964</v>
      </c>
      <c r="AA565" s="164">
        <v>2000</v>
      </c>
      <c r="AB565" s="164">
        <v>2000</v>
      </c>
      <c r="AC565" s="164">
        <v>2000</v>
      </c>
      <c r="AD565" s="164">
        <v>5000</v>
      </c>
      <c r="AE565" s="164">
        <v>5000</v>
      </c>
      <c r="AF565" s="164">
        <v>5000</v>
      </c>
      <c r="AG565" s="164">
        <v>6450</v>
      </c>
      <c r="AH565" s="164">
        <v>6450</v>
      </c>
      <c r="AI565" s="164">
        <v>8090</v>
      </c>
      <c r="AJ565" s="164">
        <v>8090</v>
      </c>
      <c r="AK565" s="164">
        <v>9455</v>
      </c>
      <c r="AL565" s="164">
        <v>9045</v>
      </c>
      <c r="AM565" s="164">
        <v>9045</v>
      </c>
      <c r="AN565" s="164">
        <v>10695</v>
      </c>
      <c r="AO565" s="164">
        <v>10695</v>
      </c>
      <c r="AP565" s="164">
        <v>10695</v>
      </c>
      <c r="AQ565" s="164">
        <v>11875</v>
      </c>
      <c r="AR565" s="164">
        <v>10425</v>
      </c>
      <c r="AS565" s="164">
        <v>10535</v>
      </c>
      <c r="AT565" s="164">
        <v>9312</v>
      </c>
      <c r="AU565" s="164">
        <v>10862</v>
      </c>
      <c r="AV565" s="164">
        <v>10862</v>
      </c>
      <c r="AW565" s="164">
        <v>9272</v>
      </c>
      <c r="AX565" s="164">
        <v>9272</v>
      </c>
      <c r="AY565" s="164">
        <v>7907</v>
      </c>
      <c r="AZ565" s="171">
        <v>7907</v>
      </c>
      <c r="BA565" s="54">
        <f t="shared" ref="BA565:BE565" si="3946">AZ565</f>
        <v>7907</v>
      </c>
      <c r="BB565" s="54">
        <f t="shared" si="3946"/>
        <v>7907</v>
      </c>
      <c r="BC565" s="54">
        <f t="shared" si="3946"/>
        <v>7907</v>
      </c>
      <c r="BD565" s="54">
        <f t="shared" si="3946"/>
        <v>7907</v>
      </c>
      <c r="BE565" s="54">
        <f t="shared" si="3946"/>
        <v>7907</v>
      </c>
      <c r="BF565" s="54">
        <f t="shared" ref="BF565:BM567" si="3947">BE565</f>
        <v>7907</v>
      </c>
      <c r="BG565" s="54">
        <f t="shared" si="3947"/>
        <v>7907</v>
      </c>
      <c r="BH565" s="54">
        <f t="shared" si="3947"/>
        <v>7907</v>
      </c>
      <c r="BI565" s="54">
        <f t="shared" si="3947"/>
        <v>7907</v>
      </c>
      <c r="BJ565" s="54">
        <f t="shared" si="3947"/>
        <v>7907</v>
      </c>
      <c r="BK565" s="54">
        <f t="shared" si="3947"/>
        <v>7907</v>
      </c>
      <c r="BL565" s="54">
        <f t="shared" si="3947"/>
        <v>7907</v>
      </c>
      <c r="BM565" s="54">
        <f t="shared" si="3947"/>
        <v>7907</v>
      </c>
      <c r="BN565" s="54">
        <f t="shared" ref="BN565:BN567" si="3948">BM565</f>
        <v>7907</v>
      </c>
      <c r="BO565" s="54">
        <f t="shared" ref="BO565:BO567" si="3949">BN565</f>
        <v>7907</v>
      </c>
      <c r="BP565" s="54">
        <f t="shared" ref="BP565:BP567" si="3950">BO565</f>
        <v>7907</v>
      </c>
      <c r="BQ565" s="54">
        <f t="shared" ref="BQ565:BQ567" si="3951">BP565</f>
        <v>7907</v>
      </c>
      <c r="BR565" s="55"/>
      <c r="BS565" s="53">
        <v>0</v>
      </c>
      <c r="BT565" s="53">
        <v>0</v>
      </c>
      <c r="BU565" s="53">
        <v>0</v>
      </c>
      <c r="BV565" s="53">
        <v>0</v>
      </c>
      <c r="BW565" s="53">
        <v>0</v>
      </c>
      <c r="BX565" s="53">
        <v>0</v>
      </c>
      <c r="BY565" s="53">
        <v>0</v>
      </c>
      <c r="BZ565" s="53">
        <v>0</v>
      </c>
      <c r="CA565" s="53">
        <v>0</v>
      </c>
      <c r="CB565" s="53">
        <v>0</v>
      </c>
      <c r="CC565" s="55">
        <f>E565</f>
        <v>0</v>
      </c>
      <c r="CD565" s="55">
        <f>G565</f>
        <v>0</v>
      </c>
      <c r="CE565" s="55">
        <f>I565</f>
        <v>0</v>
      </c>
      <c r="CF565" s="55">
        <f>K565</f>
        <v>0</v>
      </c>
      <c r="CG565" s="55">
        <f>M565</f>
        <v>0</v>
      </c>
      <c r="CH565" s="55">
        <f>O565</f>
        <v>0</v>
      </c>
      <c r="CI565" s="55">
        <f>Q565</f>
        <v>1443</v>
      </c>
      <c r="CJ565" s="55">
        <f>S565</f>
        <v>1443</v>
      </c>
      <c r="CK565" s="55">
        <f>U565</f>
        <v>3407</v>
      </c>
      <c r="CL565" s="55">
        <f>W565</f>
        <v>3407</v>
      </c>
      <c r="CM565" s="55">
        <f>Y565</f>
        <v>3407</v>
      </c>
      <c r="CN565" s="55">
        <f>AA565</f>
        <v>2000</v>
      </c>
      <c r="CO565" s="55">
        <f>AC565</f>
        <v>2000</v>
      </c>
      <c r="CP565" s="55">
        <f>AE565</f>
        <v>5000</v>
      </c>
      <c r="CQ565" s="55">
        <f>AG565</f>
        <v>6450</v>
      </c>
      <c r="CR565" s="55">
        <f>AI565</f>
        <v>8090</v>
      </c>
      <c r="CS565" s="55">
        <f>AK565</f>
        <v>9455</v>
      </c>
      <c r="CT565" s="55">
        <f>AM565</f>
        <v>9045</v>
      </c>
      <c r="CU565" s="55">
        <f>AO565</f>
        <v>10695</v>
      </c>
      <c r="CV565" s="55">
        <f>AQ565</f>
        <v>11875</v>
      </c>
      <c r="CW565" s="55">
        <f>AS565</f>
        <v>10535</v>
      </c>
      <c r="CX565" s="55">
        <f>AU565</f>
        <v>10862</v>
      </c>
      <c r="CY565" s="55">
        <f>AW565</f>
        <v>9272</v>
      </c>
      <c r="CZ565" s="56">
        <f>AY565</f>
        <v>7907</v>
      </c>
      <c r="DA565" s="55">
        <f>BA565</f>
        <v>7907</v>
      </c>
      <c r="DB565" s="55">
        <f>BC565</f>
        <v>7907</v>
      </c>
      <c r="DC565" s="55">
        <f>BE565</f>
        <v>7907</v>
      </c>
      <c r="DD565" s="55">
        <f>BG565</f>
        <v>7907</v>
      </c>
      <c r="DE565" s="55">
        <f>BI565</f>
        <v>7907</v>
      </c>
      <c r="DF565" s="55">
        <f>BK565</f>
        <v>7907</v>
      </c>
      <c r="DG565" s="55">
        <f>BM565</f>
        <v>7907</v>
      </c>
      <c r="DH565" s="55">
        <f>BO565</f>
        <v>7907</v>
      </c>
      <c r="DI565" s="55">
        <f>BQ565</f>
        <v>7907</v>
      </c>
    </row>
    <row r="566" spans="1:113" outlineLevel="1">
      <c r="A566" s="1" t="s">
        <v>1029</v>
      </c>
      <c r="B566" s="103" t="s">
        <v>908</v>
      </c>
      <c r="C566" s="53">
        <f>462+687</f>
        <v>1149</v>
      </c>
      <c r="D566" s="53">
        <f>459+687</f>
        <v>1146</v>
      </c>
      <c r="E566" s="53">
        <f>415+687</f>
        <v>1102</v>
      </c>
      <c r="F566" s="53">
        <f>414+687</f>
        <v>1101</v>
      </c>
      <c r="G566" s="53">
        <f>351+687</f>
        <v>1038</v>
      </c>
      <c r="H566" s="53">
        <f>311+687+832</f>
        <v>1830</v>
      </c>
      <c r="I566" s="53">
        <f>338+687+1573</f>
        <v>2598</v>
      </c>
      <c r="J566" s="53">
        <f>298+687+1573</f>
        <v>2558</v>
      </c>
      <c r="K566" s="53">
        <f>304+687+1573</f>
        <v>2564</v>
      </c>
      <c r="L566" s="53">
        <f>317+687+1573</f>
        <v>2577</v>
      </c>
      <c r="M566" s="53">
        <f>3659+281</f>
        <v>3940</v>
      </c>
      <c r="N566" s="53">
        <v>3785</v>
      </c>
      <c r="O566" s="53">
        <v>3719</v>
      </c>
      <c r="P566" s="53">
        <v>4192</v>
      </c>
      <c r="Q566" s="53">
        <v>4110</v>
      </c>
      <c r="R566" s="53">
        <v>4417</v>
      </c>
      <c r="S566" s="53">
        <v>3515</v>
      </c>
      <c r="T566" s="53">
        <v>3429</v>
      </c>
      <c r="U566" s="53">
        <v>3469</v>
      </c>
      <c r="V566" s="53">
        <v>3329</v>
      </c>
      <c r="W566" s="53">
        <v>3231</v>
      </c>
      <c r="X566" s="53">
        <v>3229</v>
      </c>
      <c r="Y566" s="53">
        <v>3228</v>
      </c>
      <c r="Z566" s="53">
        <v>4767</v>
      </c>
      <c r="AA566" s="164">
        <v>4720</v>
      </c>
      <c r="AB566" s="164">
        <v>4720</v>
      </c>
      <c r="AC566" s="164">
        <v>4196</v>
      </c>
      <c r="AD566" s="164">
        <v>3413</v>
      </c>
      <c r="AE566" s="164">
        <v>2749</v>
      </c>
      <c r="AF566" s="164">
        <v>2756</v>
      </c>
      <c r="AG566" s="164">
        <v>640</v>
      </c>
      <c r="AH566" s="164">
        <v>643</v>
      </c>
      <c r="AI566" s="164">
        <v>635</v>
      </c>
      <c r="AJ566" s="164">
        <v>633</v>
      </c>
      <c r="AK566" s="164">
        <v>640</v>
      </c>
      <c r="AL566" s="164">
        <v>647</v>
      </c>
      <c r="AM566" s="164">
        <v>143</v>
      </c>
      <c r="AN566" s="164">
        <v>143</v>
      </c>
      <c r="AO566" s="164">
        <v>146</v>
      </c>
      <c r="AP566" s="164">
        <v>130</v>
      </c>
      <c r="AQ566" s="164">
        <v>133</v>
      </c>
      <c r="AR566" s="164">
        <v>138</v>
      </c>
      <c r="AS566" s="164">
        <v>0</v>
      </c>
      <c r="AT566" s="164">
        <v>0</v>
      </c>
      <c r="AU566" s="164">
        <v>0</v>
      </c>
      <c r="AV566" s="164">
        <v>0</v>
      </c>
      <c r="AW566" s="164">
        <v>0</v>
      </c>
      <c r="AX566" s="164">
        <v>0</v>
      </c>
      <c r="AY566" s="164">
        <v>0</v>
      </c>
      <c r="AZ566" s="171">
        <v>0</v>
      </c>
      <c r="BA566" s="54">
        <f t="shared" ref="BA566:BE566" si="3952">AZ566</f>
        <v>0</v>
      </c>
      <c r="BB566" s="54">
        <f t="shared" si="3952"/>
        <v>0</v>
      </c>
      <c r="BC566" s="54">
        <f t="shared" si="3952"/>
        <v>0</v>
      </c>
      <c r="BD566" s="54">
        <f t="shared" si="3952"/>
        <v>0</v>
      </c>
      <c r="BE566" s="54">
        <f t="shared" si="3952"/>
        <v>0</v>
      </c>
      <c r="BF566" s="54">
        <f t="shared" si="3947"/>
        <v>0</v>
      </c>
      <c r="BG566" s="54">
        <f t="shared" si="3947"/>
        <v>0</v>
      </c>
      <c r="BH566" s="54">
        <f t="shared" si="3947"/>
        <v>0</v>
      </c>
      <c r="BI566" s="54">
        <f t="shared" si="3947"/>
        <v>0</v>
      </c>
      <c r="BJ566" s="54">
        <f t="shared" si="3947"/>
        <v>0</v>
      </c>
      <c r="BK566" s="54">
        <f t="shared" si="3947"/>
        <v>0</v>
      </c>
      <c r="BL566" s="54">
        <f t="shared" si="3947"/>
        <v>0</v>
      </c>
      <c r="BM566" s="54">
        <f t="shared" si="3947"/>
        <v>0</v>
      </c>
      <c r="BN566" s="54">
        <f t="shared" si="3948"/>
        <v>0</v>
      </c>
      <c r="BO566" s="54">
        <f t="shared" si="3949"/>
        <v>0</v>
      </c>
      <c r="BP566" s="54">
        <f t="shared" si="3950"/>
        <v>0</v>
      </c>
      <c r="BQ566" s="54">
        <f t="shared" si="3951"/>
        <v>0</v>
      </c>
      <c r="BR566" s="55"/>
      <c r="BS566" s="53">
        <f>1904.8-467.2</f>
        <v>1437.6</v>
      </c>
      <c r="BT566" s="53">
        <f>2087.1-486.1</f>
        <v>1601</v>
      </c>
      <c r="BU566" s="53">
        <v>1130.3</v>
      </c>
      <c r="BV566" s="53">
        <v>1125</v>
      </c>
      <c r="BW566" s="53">
        <v>1014</v>
      </c>
      <c r="BX566" s="53">
        <v>1073</v>
      </c>
      <c r="BY566" s="53">
        <v>1306</v>
      </c>
      <c r="BZ566" s="53">
        <v>638</v>
      </c>
      <c r="CA566" s="53">
        <v>418</v>
      </c>
      <c r="CB566" s="53">
        <f>462+687</f>
        <v>1149</v>
      </c>
      <c r="CC566" s="55">
        <f>E566</f>
        <v>1102</v>
      </c>
      <c r="CD566" s="55">
        <f>G566</f>
        <v>1038</v>
      </c>
      <c r="CE566" s="55">
        <f>I566</f>
        <v>2598</v>
      </c>
      <c r="CF566" s="55">
        <f>K566</f>
        <v>2564</v>
      </c>
      <c r="CG566" s="55">
        <f>M566</f>
        <v>3940</v>
      </c>
      <c r="CH566" s="55">
        <f>O566</f>
        <v>3719</v>
      </c>
      <c r="CI566" s="55">
        <f>Q566</f>
        <v>4110</v>
      </c>
      <c r="CJ566" s="55">
        <f>S566</f>
        <v>3515</v>
      </c>
      <c r="CK566" s="55">
        <f>U566</f>
        <v>3469</v>
      </c>
      <c r="CL566" s="55">
        <f>W566</f>
        <v>3231</v>
      </c>
      <c r="CM566" s="55">
        <f>Y566</f>
        <v>3228</v>
      </c>
      <c r="CN566" s="55">
        <f>AA566</f>
        <v>4720</v>
      </c>
      <c r="CO566" s="55">
        <f>AC566</f>
        <v>4196</v>
      </c>
      <c r="CP566" s="55">
        <f>AE566</f>
        <v>2749</v>
      </c>
      <c r="CQ566" s="55">
        <f>AG566</f>
        <v>640</v>
      </c>
      <c r="CR566" s="55">
        <f>AI566</f>
        <v>635</v>
      </c>
      <c r="CS566" s="55">
        <f>AK566</f>
        <v>640</v>
      </c>
      <c r="CT566" s="55">
        <f>AM566</f>
        <v>143</v>
      </c>
      <c r="CU566" s="55">
        <f>AO566</f>
        <v>146</v>
      </c>
      <c r="CV566" s="55">
        <f>AQ566</f>
        <v>133</v>
      </c>
      <c r="CW566" s="55">
        <f>AS566</f>
        <v>0</v>
      </c>
      <c r="CX566" s="55">
        <f>AU566</f>
        <v>0</v>
      </c>
      <c r="CY566" s="55">
        <f>AW566</f>
        <v>0</v>
      </c>
      <c r="CZ566" s="56">
        <f>AY566</f>
        <v>0</v>
      </c>
      <c r="DA566" s="55">
        <f>BA566</f>
        <v>0</v>
      </c>
      <c r="DB566" s="55">
        <f>BC566</f>
        <v>0</v>
      </c>
      <c r="DC566" s="55">
        <f>BE566</f>
        <v>0</v>
      </c>
      <c r="DD566" s="55">
        <f>BG566</f>
        <v>0</v>
      </c>
      <c r="DE566" s="55">
        <f>BI566</f>
        <v>0</v>
      </c>
      <c r="DF566" s="55">
        <f>BK566</f>
        <v>0</v>
      </c>
      <c r="DG566" s="55">
        <f>BM566</f>
        <v>0</v>
      </c>
      <c r="DH566" s="55">
        <f>BO566</f>
        <v>0</v>
      </c>
      <c r="DI566" s="55">
        <f>BQ566</f>
        <v>0</v>
      </c>
    </row>
    <row r="567" spans="1:113" outlineLevel="1">
      <c r="A567" s="1" t="s">
        <v>1030</v>
      </c>
      <c r="B567" s="103" t="s">
        <v>524</v>
      </c>
      <c r="C567" s="53">
        <v>0</v>
      </c>
      <c r="D567" s="53">
        <v>0</v>
      </c>
      <c r="E567" s="53">
        <v>0</v>
      </c>
      <c r="F567" s="53">
        <v>0</v>
      </c>
      <c r="G567" s="53">
        <v>0</v>
      </c>
      <c r="H567" s="53">
        <v>0</v>
      </c>
      <c r="I567" s="53">
        <v>0</v>
      </c>
      <c r="J567" s="53">
        <v>0</v>
      </c>
      <c r="K567" s="53">
        <v>0</v>
      </c>
      <c r="L567" s="53">
        <v>0</v>
      </c>
      <c r="M567" s="53">
        <v>0</v>
      </c>
      <c r="N567" s="53">
        <v>0</v>
      </c>
      <c r="O567" s="53">
        <v>0</v>
      </c>
      <c r="P567" s="53">
        <v>-1592</v>
      </c>
      <c r="Q567" s="53">
        <v>-1359</v>
      </c>
      <c r="R567" s="53">
        <v>-627</v>
      </c>
      <c r="S567" s="53">
        <v>0</v>
      </c>
      <c r="T567" s="53">
        <v>-73</v>
      </c>
      <c r="U567" s="53">
        <v>-225</v>
      </c>
      <c r="V567" s="53">
        <v>0</v>
      </c>
      <c r="W567" s="53">
        <v>0</v>
      </c>
      <c r="X567" s="53">
        <v>0</v>
      </c>
      <c r="Y567" s="53">
        <v>0</v>
      </c>
      <c r="Z567" s="53">
        <v>0</v>
      </c>
      <c r="AA567" s="164">
        <v>0</v>
      </c>
      <c r="AB567" s="164">
        <v>0</v>
      </c>
      <c r="AC567" s="164">
        <v>0</v>
      </c>
      <c r="AD567" s="164">
        <v>0</v>
      </c>
      <c r="AE567" s="164">
        <v>0</v>
      </c>
      <c r="AF567" s="164">
        <v>0</v>
      </c>
      <c r="AG567" s="164">
        <v>0</v>
      </c>
      <c r="AH567" s="164">
        <v>0</v>
      </c>
      <c r="AI567" s="164">
        <v>0</v>
      </c>
      <c r="AJ567" s="164">
        <v>-200</v>
      </c>
      <c r="AK567" s="164">
        <v>-200</v>
      </c>
      <c r="AL567" s="164">
        <v>-200</v>
      </c>
      <c r="AM567" s="164">
        <v>-200</v>
      </c>
      <c r="AN567" s="164">
        <v>0</v>
      </c>
      <c r="AO567" s="164">
        <v>0</v>
      </c>
      <c r="AP567" s="164">
        <v>0</v>
      </c>
      <c r="AQ567" s="164">
        <v>0</v>
      </c>
      <c r="AR567" s="164">
        <v>0</v>
      </c>
      <c r="AS567" s="164">
        <v>0</v>
      </c>
      <c r="AT567" s="164">
        <v>0</v>
      </c>
      <c r="AU567" s="164">
        <v>0</v>
      </c>
      <c r="AV567" s="164">
        <v>0</v>
      </c>
      <c r="AW567" s="164">
        <v>0</v>
      </c>
      <c r="AX567" s="164">
        <v>0</v>
      </c>
      <c r="AY567" s="164">
        <v>0</v>
      </c>
      <c r="AZ567" s="171">
        <v>0</v>
      </c>
      <c r="BA567" s="54">
        <f t="shared" ref="BA567:BE567" si="3953">AZ567</f>
        <v>0</v>
      </c>
      <c r="BB567" s="54">
        <f t="shared" si="3953"/>
        <v>0</v>
      </c>
      <c r="BC567" s="54">
        <f t="shared" si="3953"/>
        <v>0</v>
      </c>
      <c r="BD567" s="54">
        <f t="shared" si="3953"/>
        <v>0</v>
      </c>
      <c r="BE567" s="54">
        <f t="shared" si="3953"/>
        <v>0</v>
      </c>
      <c r="BF567" s="54">
        <f t="shared" si="3947"/>
        <v>0</v>
      </c>
      <c r="BG567" s="54">
        <f t="shared" si="3947"/>
        <v>0</v>
      </c>
      <c r="BH567" s="54">
        <f t="shared" si="3947"/>
        <v>0</v>
      </c>
      <c r="BI567" s="54">
        <f t="shared" si="3947"/>
        <v>0</v>
      </c>
      <c r="BJ567" s="54">
        <f t="shared" si="3947"/>
        <v>0</v>
      </c>
      <c r="BK567" s="54">
        <f t="shared" si="3947"/>
        <v>0</v>
      </c>
      <c r="BL567" s="54">
        <f t="shared" si="3947"/>
        <v>0</v>
      </c>
      <c r="BM567" s="54">
        <f t="shared" si="3947"/>
        <v>0</v>
      </c>
      <c r="BN567" s="54">
        <f t="shared" si="3948"/>
        <v>0</v>
      </c>
      <c r="BO567" s="54">
        <f t="shared" si="3949"/>
        <v>0</v>
      </c>
      <c r="BP567" s="54">
        <f t="shared" si="3950"/>
        <v>0</v>
      </c>
      <c r="BQ567" s="54">
        <f t="shared" si="3951"/>
        <v>0</v>
      </c>
      <c r="BR567" s="55"/>
      <c r="BS567" s="53">
        <v>0</v>
      </c>
      <c r="BT567" s="53">
        <v>0</v>
      </c>
      <c r="BU567" s="53">
        <v>0</v>
      </c>
      <c r="BV567" s="53">
        <v>0</v>
      </c>
      <c r="BW567" s="53">
        <v>0</v>
      </c>
      <c r="BX567" s="53">
        <v>0</v>
      </c>
      <c r="BY567" s="53">
        <v>0</v>
      </c>
      <c r="BZ567" s="53">
        <v>0</v>
      </c>
      <c r="CA567" s="53">
        <v>0</v>
      </c>
      <c r="CB567" s="53">
        <v>0</v>
      </c>
      <c r="CC567" s="55">
        <f>E567</f>
        <v>0</v>
      </c>
      <c r="CD567" s="55">
        <f>G567</f>
        <v>0</v>
      </c>
      <c r="CE567" s="55">
        <f>I567</f>
        <v>0</v>
      </c>
      <c r="CF567" s="55">
        <f>K567</f>
        <v>0</v>
      </c>
      <c r="CG567" s="55">
        <f>M567</f>
        <v>0</v>
      </c>
      <c r="CH567" s="55">
        <f>O567</f>
        <v>0</v>
      </c>
      <c r="CI567" s="55">
        <f>Q567</f>
        <v>-1359</v>
      </c>
      <c r="CJ567" s="55">
        <f>S567</f>
        <v>0</v>
      </c>
      <c r="CK567" s="55">
        <f>U567</f>
        <v>-225</v>
      </c>
      <c r="CL567" s="55">
        <f>W567</f>
        <v>0</v>
      </c>
      <c r="CM567" s="55">
        <f>Y567</f>
        <v>0</v>
      </c>
      <c r="CN567" s="55">
        <f>AA567</f>
        <v>0</v>
      </c>
      <c r="CO567" s="55">
        <f>AC567</f>
        <v>0</v>
      </c>
      <c r="CP567" s="55">
        <f>AE567</f>
        <v>0</v>
      </c>
      <c r="CQ567" s="55">
        <f>AG567</f>
        <v>0</v>
      </c>
      <c r="CR567" s="55">
        <f>AI567</f>
        <v>0</v>
      </c>
      <c r="CS567" s="55">
        <f>AK567</f>
        <v>-200</v>
      </c>
      <c r="CT567" s="55">
        <f>AM567</f>
        <v>-200</v>
      </c>
      <c r="CU567" s="55">
        <f>AO567</f>
        <v>0</v>
      </c>
      <c r="CV567" s="55">
        <f>AQ567</f>
        <v>0</v>
      </c>
      <c r="CW567" s="55">
        <f>AS567</f>
        <v>0</v>
      </c>
      <c r="CX567" s="55">
        <f>AU567</f>
        <v>0</v>
      </c>
      <c r="CY567" s="55">
        <f>AW567</f>
        <v>0</v>
      </c>
      <c r="CZ567" s="56">
        <f>AY567</f>
        <v>0</v>
      </c>
      <c r="DA567" s="55">
        <f>BA567</f>
        <v>0</v>
      </c>
      <c r="DB567" s="55">
        <f>BC567</f>
        <v>0</v>
      </c>
      <c r="DC567" s="55">
        <f>BE567</f>
        <v>0</v>
      </c>
      <c r="DD567" s="55">
        <f>BG567</f>
        <v>0</v>
      </c>
      <c r="DE567" s="55">
        <f>BI567</f>
        <v>0</v>
      </c>
      <c r="DF567" s="55">
        <f>BK567</f>
        <v>0</v>
      </c>
      <c r="DG567" s="55">
        <f>BM567</f>
        <v>0</v>
      </c>
      <c r="DH567" s="55">
        <f>BO567</f>
        <v>0</v>
      </c>
      <c r="DI567" s="55">
        <f>BQ567</f>
        <v>0</v>
      </c>
    </row>
    <row r="568" spans="1:113" s="24" customFormat="1" outlineLevel="1">
      <c r="A568" s="1" t="s">
        <v>1031</v>
      </c>
      <c r="B568" s="102" t="s">
        <v>633</v>
      </c>
      <c r="C568" s="82">
        <f t="shared" ref="C568:L568" si="3954">C564+C565+C566+C567</f>
        <v>20992</v>
      </c>
      <c r="D568" s="82">
        <f t="shared" si="3954"/>
        <v>21545</v>
      </c>
      <c r="E568" s="82">
        <f t="shared" si="3954"/>
        <v>22244</v>
      </c>
      <c r="F568" s="82">
        <f t="shared" si="3954"/>
        <v>22675</v>
      </c>
      <c r="G568" s="82">
        <f t="shared" si="3954"/>
        <v>22264</v>
      </c>
      <c r="H568" s="82">
        <f t="shared" si="3954"/>
        <v>24465</v>
      </c>
      <c r="I568" s="82">
        <f t="shared" si="3954"/>
        <v>26536</v>
      </c>
      <c r="J568" s="82">
        <f t="shared" si="3954"/>
        <v>23937</v>
      </c>
      <c r="K568" s="82">
        <f t="shared" si="3954"/>
        <v>24164</v>
      </c>
      <c r="L568" s="82">
        <f t="shared" si="3954"/>
        <v>21480</v>
      </c>
      <c r="M568" s="82">
        <f t="shared" ref="M568:AD568" si="3955">M564+M565+M566+M567</f>
        <v>24228</v>
      </c>
      <c r="N568" s="82">
        <f t="shared" si="3955"/>
        <v>24844</v>
      </c>
      <c r="O568" s="82">
        <f t="shared" si="3955"/>
        <v>26332</v>
      </c>
      <c r="P568" s="82">
        <f t="shared" si="3955"/>
        <v>28029</v>
      </c>
      <c r="Q568" s="82">
        <f t="shared" si="3955"/>
        <v>28303</v>
      </c>
      <c r="R568" s="82">
        <f t="shared" si="3955"/>
        <v>32779</v>
      </c>
      <c r="S568" s="82">
        <f t="shared" si="3955"/>
        <v>34459</v>
      </c>
      <c r="T568" s="82">
        <f t="shared" si="3955"/>
        <v>38394</v>
      </c>
      <c r="U568" s="82">
        <f t="shared" si="3955"/>
        <v>38423</v>
      </c>
      <c r="V568" s="82">
        <f t="shared" si="3955"/>
        <v>39482</v>
      </c>
      <c r="W568" s="82">
        <f t="shared" si="3955"/>
        <v>40329</v>
      </c>
      <c r="X568" s="82">
        <f t="shared" si="3955"/>
        <v>42578</v>
      </c>
      <c r="Y568" s="82">
        <f>Y564+Y565+Y566+Y567</f>
        <v>44235</v>
      </c>
      <c r="Z568" s="82">
        <f>Z564+Z565+Z566+Z567</f>
        <v>45423</v>
      </c>
      <c r="AA568" s="82">
        <f t="shared" si="3955"/>
        <v>50789</v>
      </c>
      <c r="AB568" s="82">
        <f t="shared" si="3955"/>
        <v>52044</v>
      </c>
      <c r="AC568" s="82">
        <f t="shared" si="3955"/>
        <v>53944</v>
      </c>
      <c r="AD568" s="82">
        <f t="shared" si="3955"/>
        <v>57733</v>
      </c>
      <c r="AE568" s="82">
        <f t="shared" ref="AE568:AK568" si="3956">AE564+AE565+AE566+AE567</f>
        <v>58898</v>
      </c>
      <c r="AF568" s="82">
        <f t="shared" si="3956"/>
        <v>65773</v>
      </c>
      <c r="AG568" s="82">
        <f t="shared" si="3956"/>
        <v>66986</v>
      </c>
      <c r="AH568" s="82">
        <f t="shared" si="3956"/>
        <v>67895</v>
      </c>
      <c r="AI568" s="82">
        <f t="shared" si="3956"/>
        <v>71516</v>
      </c>
      <c r="AJ568" s="82">
        <f t="shared" si="3956"/>
        <v>73804</v>
      </c>
      <c r="AK568" s="82">
        <f t="shared" si="3956"/>
        <v>77044</v>
      </c>
      <c r="AL568" s="82">
        <f t="shared" ref="AL568:AQ568" si="3957">AL564+AL565+AL566+AL567</f>
        <v>77424</v>
      </c>
      <c r="AM568" s="82">
        <f t="shared" si="3957"/>
        <v>78391</v>
      </c>
      <c r="AN568" s="82">
        <f t="shared" si="3957"/>
        <v>81729</v>
      </c>
      <c r="AO568" s="82">
        <f t="shared" si="3957"/>
        <v>82577</v>
      </c>
      <c r="AP568" s="82">
        <f t="shared" si="3957"/>
        <v>85376</v>
      </c>
      <c r="AQ568" s="82">
        <f t="shared" si="3957"/>
        <v>90247</v>
      </c>
      <c r="AR568" s="82">
        <f t="shared" ref="AR568" si="3958">AR564+AR565+AR566+AR567</f>
        <v>85105</v>
      </c>
      <c r="AS568" s="82">
        <f t="shared" ref="AS568:AT568" si="3959">AS564+AS565+AS566+AS567</f>
        <v>83263</v>
      </c>
      <c r="AT568" s="82">
        <f t="shared" si="3959"/>
        <v>81737</v>
      </c>
      <c r="AU568" s="82">
        <f t="shared" ref="AU568" si="3960">AU564+AU565+AU566+AU567</f>
        <v>82607</v>
      </c>
      <c r="AV568" s="82">
        <f>AV564+AV565+AV566+AV567</f>
        <v>83798</v>
      </c>
      <c r="AW568" s="82">
        <f>AW564+AW565+AW566+AW567</f>
        <v>82464</v>
      </c>
      <c r="AX568" s="82">
        <f>AX564+AX565+AX566+AX567</f>
        <v>84665</v>
      </c>
      <c r="AY568" s="82">
        <f t="shared" ref="AY568:BE568" si="3961">AY564+AY565+AY566+AY567</f>
        <v>86835</v>
      </c>
      <c r="AZ568" s="83">
        <f>AZ564+AZ565+AZ566+AZ567</f>
        <v>85268</v>
      </c>
      <c r="BA568" s="82">
        <f t="shared" si="3961"/>
        <v>87513.398282640133</v>
      </c>
      <c r="BB568" s="82">
        <f t="shared" si="3961"/>
        <v>87338.799796693653</v>
      </c>
      <c r="BC568" s="82">
        <f t="shared" si="3961"/>
        <v>87758.915023012945</v>
      </c>
      <c r="BD568" s="82">
        <f t="shared" si="3961"/>
        <v>87747.747881407486</v>
      </c>
      <c r="BE568" s="82">
        <f t="shared" si="3961"/>
        <v>88273.395710555342</v>
      </c>
      <c r="BF568" s="82">
        <f t="shared" ref="BF568:BM568" si="3962">BF564+BF565+BF566+BF567</f>
        <v>88439.82775515641</v>
      </c>
      <c r="BG568" s="82">
        <f t="shared" si="3962"/>
        <v>90321.729775249885</v>
      </c>
      <c r="BH568" s="82">
        <f t="shared" si="3962"/>
        <v>91799.589096653712</v>
      </c>
      <c r="BI568" s="82">
        <f t="shared" si="3962"/>
        <v>93632.011844043926</v>
      </c>
      <c r="BJ568" s="82">
        <f t="shared" si="3962"/>
        <v>94958.951813739332</v>
      </c>
      <c r="BK568" s="82">
        <f t="shared" si="3962"/>
        <v>96776.885534106812</v>
      </c>
      <c r="BL568" s="82">
        <f t="shared" si="3962"/>
        <v>98132.081630564717</v>
      </c>
      <c r="BM568" s="82">
        <f t="shared" si="3962"/>
        <v>99976.710784057024</v>
      </c>
      <c r="BN568" s="82">
        <f t="shared" ref="BN568:BO568" si="3963">BN564+BN565+BN566+BN567</f>
        <v>101444.0264252825</v>
      </c>
      <c r="BO568" s="82">
        <f t="shared" si="3963"/>
        <v>103393.74686075517</v>
      </c>
      <c r="BP568" s="82">
        <f t="shared" ref="BP568:BQ568" si="3964">BP564+BP565+BP566+BP567</f>
        <v>104993.23546520273</v>
      </c>
      <c r="BQ568" s="82">
        <f t="shared" si="3964"/>
        <v>107075.49450663947</v>
      </c>
      <c r="BR568" s="82"/>
      <c r="BS568" s="82">
        <f t="shared" ref="BS568:CB568" si="3965">BS564+BS565+BS566+BS567</f>
        <v>6960.6</v>
      </c>
      <c r="BT568" s="82">
        <f t="shared" si="3965"/>
        <v>7232.9</v>
      </c>
      <c r="BU568" s="82">
        <f t="shared" si="3965"/>
        <v>7201.3</v>
      </c>
      <c r="BV568" s="82">
        <f t="shared" si="3965"/>
        <v>7820</v>
      </c>
      <c r="BW568" s="82">
        <f t="shared" si="3965"/>
        <v>8381</v>
      </c>
      <c r="BX568" s="82">
        <f t="shared" si="3965"/>
        <v>8097</v>
      </c>
      <c r="BY568" s="82">
        <f t="shared" si="3965"/>
        <v>8195</v>
      </c>
      <c r="BZ568" s="82">
        <f t="shared" si="3965"/>
        <v>7600</v>
      </c>
      <c r="CA568" s="82">
        <f t="shared" si="3965"/>
        <v>18853</v>
      </c>
      <c r="CB568" s="82">
        <f t="shared" si="3965"/>
        <v>20997</v>
      </c>
      <c r="CC568" s="82">
        <f t="shared" ref="CC568:CR568" si="3966">CC564+CC565+CC566+CC567</f>
        <v>22244</v>
      </c>
      <c r="CD568" s="82">
        <f t="shared" si="3966"/>
        <v>22264</v>
      </c>
      <c r="CE568" s="82">
        <f t="shared" si="3966"/>
        <v>26536</v>
      </c>
      <c r="CF568" s="82">
        <f t="shared" si="3966"/>
        <v>24164</v>
      </c>
      <c r="CG568" s="82">
        <f t="shared" si="3966"/>
        <v>24228</v>
      </c>
      <c r="CH568" s="82">
        <f t="shared" si="3966"/>
        <v>26332</v>
      </c>
      <c r="CI568" s="82">
        <f t="shared" si="3966"/>
        <v>28303</v>
      </c>
      <c r="CJ568" s="82">
        <f t="shared" si="3966"/>
        <v>34459</v>
      </c>
      <c r="CK568" s="82">
        <f t="shared" si="3966"/>
        <v>38423</v>
      </c>
      <c r="CL568" s="82">
        <f t="shared" si="3966"/>
        <v>40329</v>
      </c>
      <c r="CM568" s="82">
        <f t="shared" si="3966"/>
        <v>44235</v>
      </c>
      <c r="CN568" s="82">
        <f t="shared" si="3966"/>
        <v>50789</v>
      </c>
      <c r="CO568" s="82">
        <f t="shared" si="3966"/>
        <v>53944</v>
      </c>
      <c r="CP568" s="82">
        <f t="shared" si="3966"/>
        <v>58898</v>
      </c>
      <c r="CQ568" s="82">
        <f t="shared" si="3966"/>
        <v>66986</v>
      </c>
      <c r="CR568" s="82">
        <f t="shared" si="3966"/>
        <v>71516</v>
      </c>
      <c r="CS568" s="82">
        <f t="shared" ref="CS568:DC568" si="3967">CS564+CS565+CS566+CS567</f>
        <v>77044</v>
      </c>
      <c r="CT568" s="82">
        <f t="shared" si="3967"/>
        <v>78391</v>
      </c>
      <c r="CU568" s="82">
        <f t="shared" si="3967"/>
        <v>82577</v>
      </c>
      <c r="CV568" s="82">
        <f t="shared" si="3967"/>
        <v>90247</v>
      </c>
      <c r="CW568" s="82">
        <f t="shared" si="3967"/>
        <v>83263</v>
      </c>
      <c r="CX568" s="82">
        <f t="shared" si="3967"/>
        <v>82607</v>
      </c>
      <c r="CY568" s="82">
        <f t="shared" si="3967"/>
        <v>82464</v>
      </c>
      <c r="CZ568" s="83">
        <f t="shared" si="3967"/>
        <v>86835</v>
      </c>
      <c r="DA568" s="82">
        <f t="shared" si="3967"/>
        <v>87513.398282640133</v>
      </c>
      <c r="DB568" s="82">
        <f t="shared" si="3967"/>
        <v>87758.915023012945</v>
      </c>
      <c r="DC568" s="82">
        <f t="shared" si="3967"/>
        <v>88273.395710555356</v>
      </c>
      <c r="DD568" s="82">
        <f t="shared" ref="DD568:DI568" si="3968">DD564+DD565+DD566+DD567</f>
        <v>90321.729775249885</v>
      </c>
      <c r="DE568" s="82">
        <f t="shared" si="3968"/>
        <v>93632.011844043926</v>
      </c>
      <c r="DF568" s="82">
        <f t="shared" si="3968"/>
        <v>96776.885534106812</v>
      </c>
      <c r="DG568" s="82">
        <f t="shared" si="3968"/>
        <v>99976.710784057024</v>
      </c>
      <c r="DH568" s="82">
        <f t="shared" si="3968"/>
        <v>103393.74686075517</v>
      </c>
      <c r="DI568" s="82">
        <f t="shared" si="3968"/>
        <v>107075.49450663946</v>
      </c>
    </row>
    <row r="569" spans="1:113" outlineLevel="1">
      <c r="C569" s="55"/>
      <c r="D569" s="55"/>
      <c r="E569" s="55"/>
      <c r="F569" s="55"/>
      <c r="G569" s="55"/>
      <c r="H569" s="55"/>
      <c r="I569" s="55"/>
      <c r="J569" s="55"/>
      <c r="K569" s="55"/>
      <c r="L569" s="55"/>
      <c r="M569" s="55"/>
      <c r="N569" s="55"/>
      <c r="O569" s="55"/>
      <c r="P569" s="55"/>
      <c r="Q569" s="55"/>
      <c r="R569" s="55"/>
      <c r="S569" s="55"/>
      <c r="T569" s="55"/>
      <c r="U569" s="55"/>
      <c r="V569" s="55"/>
      <c r="W569" s="55"/>
      <c r="X569" s="55"/>
      <c r="Y569" s="55"/>
      <c r="Z569" s="55"/>
      <c r="AA569" s="55"/>
      <c r="AB569" s="55"/>
      <c r="AC569" s="58"/>
      <c r="AD569" s="55"/>
      <c r="AE569" s="55"/>
      <c r="AF569" s="55"/>
      <c r="AG569" s="55"/>
      <c r="AH569" s="55"/>
      <c r="AI569" s="55"/>
      <c r="AJ569" s="55"/>
      <c r="AK569" s="55"/>
      <c r="AL569" s="55"/>
      <c r="AM569" s="55"/>
      <c r="AN569" s="55"/>
      <c r="AO569" s="55"/>
      <c r="AP569" s="55"/>
      <c r="AQ569" s="55"/>
      <c r="AR569" s="55"/>
      <c r="AS569" s="55"/>
      <c r="AT569" s="55"/>
      <c r="AU569" s="55"/>
      <c r="AV569" s="55"/>
      <c r="AW569" s="55"/>
      <c r="AX569" s="55"/>
      <c r="AY569" s="55"/>
      <c r="AZ569" s="56"/>
      <c r="BA569" s="55"/>
      <c r="BB569" s="55"/>
      <c r="BC569" s="55"/>
      <c r="BD569" s="55"/>
      <c r="BE569" s="55"/>
      <c r="BF569" s="55"/>
      <c r="BG569" s="55"/>
      <c r="BH569" s="55"/>
      <c r="BI569" s="55"/>
      <c r="BJ569" s="55"/>
      <c r="BK569" s="55"/>
      <c r="BL569" s="55"/>
      <c r="BM569" s="55"/>
      <c r="BN569" s="55"/>
      <c r="BO569" s="55"/>
      <c r="BP569" s="55"/>
      <c r="BQ569" s="55"/>
      <c r="BR569" s="55"/>
      <c r="BS569" s="55"/>
      <c r="BT569" s="55"/>
      <c r="BU569" s="55"/>
      <c r="BV569" s="55"/>
      <c r="BW569" s="55"/>
      <c r="BX569" s="55"/>
      <c r="BY569" s="55"/>
      <c r="BZ569" s="55"/>
      <c r="CA569" s="55"/>
      <c r="CB569" s="55"/>
      <c r="CC569" s="55"/>
      <c r="CD569" s="55"/>
      <c r="CE569" s="55"/>
      <c r="CF569" s="55"/>
      <c r="CG569" s="55"/>
      <c r="CH569" s="55"/>
      <c r="CI569" s="55"/>
      <c r="CJ569" s="55"/>
      <c r="CK569" s="55"/>
      <c r="CL569" s="55"/>
      <c r="CM569" s="55"/>
      <c r="CN569" s="55"/>
      <c r="CO569" s="55"/>
      <c r="CP569" s="55"/>
      <c r="CQ569" s="55"/>
      <c r="CR569" s="55"/>
      <c r="CS569" s="55"/>
      <c r="CT569" s="55"/>
      <c r="CU569" s="55"/>
      <c r="CV569" s="55"/>
      <c r="CW569" s="55"/>
      <c r="CX569" s="55"/>
      <c r="CY569" s="55"/>
      <c r="CZ569" s="56"/>
      <c r="DA569" s="55"/>
      <c r="DB569" s="55"/>
    </row>
    <row r="570" spans="1:113" s="24" customFormat="1" outlineLevel="1">
      <c r="A570" s="1"/>
      <c r="B570" s="102" t="s">
        <v>634</v>
      </c>
      <c r="C570" s="82"/>
      <c r="D570" s="82"/>
      <c r="E570" s="82"/>
      <c r="F570" s="82"/>
      <c r="G570" s="82"/>
      <c r="H570" s="82"/>
      <c r="I570" s="82"/>
      <c r="J570" s="82"/>
      <c r="K570" s="82"/>
      <c r="L570" s="82"/>
      <c r="M570" s="82"/>
      <c r="N570" s="82"/>
      <c r="O570" s="82"/>
      <c r="P570" s="82"/>
      <c r="Q570" s="82"/>
      <c r="R570" s="82"/>
      <c r="S570" s="82"/>
      <c r="T570" s="82"/>
      <c r="U570" s="82"/>
      <c r="V570" s="82"/>
      <c r="W570" s="82"/>
      <c r="X570" s="82"/>
      <c r="Y570" s="82"/>
      <c r="Z570" s="82"/>
      <c r="AA570" s="82"/>
      <c r="AB570" s="82"/>
      <c r="AC570" s="579"/>
      <c r="AD570" s="82"/>
      <c r="AE570" s="82"/>
      <c r="AF570" s="82"/>
      <c r="AG570" s="82"/>
      <c r="AH570" s="82"/>
      <c r="AI570" s="82"/>
      <c r="AJ570" s="170"/>
      <c r="AK570" s="170"/>
      <c r="AL570" s="170"/>
      <c r="AM570" s="170"/>
      <c r="AN570" s="773"/>
      <c r="AO570" s="773"/>
      <c r="AP570" s="55"/>
      <c r="AQ570" s="55"/>
      <c r="AR570" s="55"/>
      <c r="AS570" s="55"/>
      <c r="AT570" s="55"/>
      <c r="AU570" s="55"/>
      <c r="AV570" s="55"/>
      <c r="AW570" s="55"/>
      <c r="AX570" s="55"/>
      <c r="AY570" s="82"/>
      <c r="AZ570" s="83"/>
      <c r="BA570" s="82"/>
      <c r="BB570" s="82"/>
      <c r="BC570" s="82"/>
      <c r="BD570" s="82"/>
      <c r="BE570" s="82"/>
      <c r="BF570" s="82"/>
      <c r="BG570" s="82"/>
      <c r="BH570" s="82"/>
      <c r="BI570" s="82"/>
      <c r="BJ570" s="82"/>
      <c r="BK570" s="82"/>
      <c r="BL570" s="82"/>
      <c r="BM570" s="82"/>
      <c r="BN570" s="82"/>
      <c r="BO570" s="82"/>
      <c r="BP570" s="82"/>
      <c r="BQ570" s="82"/>
      <c r="BR570" s="82"/>
      <c r="BS570" s="82"/>
      <c r="BT570" s="82"/>
      <c r="BU570" s="82"/>
      <c r="BV570" s="82"/>
      <c r="BW570" s="82"/>
      <c r="BX570" s="82"/>
      <c r="BY570" s="82"/>
      <c r="BZ570" s="82"/>
      <c r="CA570" s="82"/>
      <c r="CB570" s="82"/>
      <c r="CC570" s="82"/>
      <c r="CD570" s="82"/>
      <c r="CE570" s="82"/>
      <c r="CF570" s="82"/>
      <c r="CG570" s="82"/>
      <c r="CH570" s="82"/>
      <c r="CI570" s="82"/>
      <c r="CJ570" s="82"/>
      <c r="CK570" s="82"/>
      <c r="CL570" s="82"/>
      <c r="CM570" s="82"/>
      <c r="CN570" s="82"/>
      <c r="CO570" s="82"/>
      <c r="CP570" s="82"/>
      <c r="CQ570" s="82"/>
      <c r="CR570" s="82"/>
      <c r="CS570" s="82"/>
      <c r="CT570" s="82"/>
      <c r="CU570" s="82"/>
      <c r="CV570" s="82"/>
      <c r="CW570" s="82"/>
      <c r="CX570" s="82"/>
      <c r="CY570" s="82"/>
      <c r="CZ570" s="83"/>
      <c r="DA570" s="82"/>
      <c r="DB570" s="82"/>
    </row>
    <row r="571" spans="1:113" outlineLevel="1">
      <c r="A571" s="1" t="s">
        <v>1032</v>
      </c>
      <c r="B571" s="19" t="s">
        <v>367</v>
      </c>
      <c r="C571" s="53">
        <f>-5716-4116</f>
        <v>-9832</v>
      </c>
      <c r="D571" s="53">
        <f>-5554-4286</f>
        <v>-9840</v>
      </c>
      <c r="E571" s="53">
        <f>-5391-4588</f>
        <v>-9979</v>
      </c>
      <c r="F571" s="53">
        <f>-5161-4191</f>
        <v>-9352</v>
      </c>
      <c r="G571" s="53">
        <f>-5029-4338</f>
        <v>-9367</v>
      </c>
      <c r="H571" s="53">
        <f>-4867-4644</f>
        <v>-9511</v>
      </c>
      <c r="I571" s="53">
        <f>-4705-4674</f>
        <v>-9379</v>
      </c>
      <c r="J571" s="53">
        <f>-4555-4964</f>
        <v>-9519</v>
      </c>
      <c r="K571" s="53">
        <f>-4394-5397</f>
        <v>-9791</v>
      </c>
      <c r="L571" s="53">
        <f>-4392-5397</f>
        <v>-9789</v>
      </c>
      <c r="M571" s="53">
        <f>-4416-5397</f>
        <v>-9813</v>
      </c>
      <c r="N571" s="53">
        <v>-7579</v>
      </c>
      <c r="O571" s="53">
        <v>-7632</v>
      </c>
      <c r="P571" s="53">
        <v>-8030</v>
      </c>
      <c r="Q571" s="53">
        <v>-8010</v>
      </c>
      <c r="R571" s="53">
        <v>-7915</v>
      </c>
      <c r="S571" s="53">
        <v>-8572</v>
      </c>
      <c r="T571" s="53">
        <v>-8523</v>
      </c>
      <c r="U571" s="53">
        <v>-8470</v>
      </c>
      <c r="V571" s="53">
        <v>-8382</v>
      </c>
      <c r="W571" s="53">
        <v>-8306</v>
      </c>
      <c r="X571" s="53">
        <v>-8546</v>
      </c>
      <c r="Y571" s="53">
        <v>-8581</v>
      </c>
      <c r="Z571" s="53">
        <v>-8535</v>
      </c>
      <c r="AA571" s="164">
        <f>-7723-682</f>
        <v>-8405</v>
      </c>
      <c r="AB571" s="164">
        <f>-7694-644</f>
        <v>-8338</v>
      </c>
      <c r="AC571" s="164">
        <f>-7566-295</f>
        <v>-7861</v>
      </c>
      <c r="AD571" s="164">
        <f>-7576-225</f>
        <v>-7801</v>
      </c>
      <c r="AE571" s="164">
        <f>-7599-164</f>
        <v>-7763</v>
      </c>
      <c r="AF571" s="164">
        <f>-7597-(2294-2183)</f>
        <v>-7708</v>
      </c>
      <c r="AG571" s="164">
        <f>-7603-(2313-2228)</f>
        <v>-7688</v>
      </c>
      <c r="AH571" s="164">
        <f>-7624-(2104-1897)</f>
        <v>-7831</v>
      </c>
      <c r="AI571" s="164">
        <f>-7620-(2144-1934)</f>
        <v>-7830</v>
      </c>
      <c r="AJ571" s="164">
        <f>-8051-(2314-1896)</f>
        <v>-8469</v>
      </c>
      <c r="AK571" s="164">
        <f>-8021-(2124-1819)</f>
        <v>-8326</v>
      </c>
      <c r="AL571" s="164">
        <f>-7504-(2108-1782)</f>
        <v>-7830</v>
      </c>
      <c r="AM571" s="164">
        <f>-7680-(2013-1712)</f>
        <v>-7981</v>
      </c>
      <c r="AN571" s="164">
        <f>-6007-(1665-1418)</f>
        <v>-6254</v>
      </c>
      <c r="AO571" s="164">
        <f>-5988-(1594-1349)</f>
        <v>-6233</v>
      </c>
      <c r="AP571" s="164">
        <f>-5997-(1579-1334)</f>
        <v>-6242</v>
      </c>
      <c r="AQ571" s="164">
        <f>-6017-(1570-1427)</f>
        <v>-6160</v>
      </c>
      <c r="AR571" s="164">
        <f>-5330-(1722-1585)</f>
        <v>-5467</v>
      </c>
      <c r="AS571" s="164">
        <f>-5330-(1548-1409)</f>
        <v>-5469</v>
      </c>
      <c r="AT571" s="164">
        <f>-5299-(1782-1643)</f>
        <v>-5438</v>
      </c>
      <c r="AU571" s="164">
        <f>-5295-(2042-1912)</f>
        <v>-5425</v>
      </c>
      <c r="AV571" s="164">
        <f>-5289-(2165-2035)</f>
        <v>-5419</v>
      </c>
      <c r="AW571" s="164">
        <f>-5285-(2259-2129)</f>
        <v>-5415</v>
      </c>
      <c r="AX571" s="164">
        <f>-5282-(2446-2315)</f>
        <v>-5413</v>
      </c>
      <c r="AY571" s="164">
        <f>-5289-(2737-2607)</f>
        <v>-5419</v>
      </c>
      <c r="AZ571" s="171">
        <f>-5270-(2970-2840)</f>
        <v>-5400</v>
      </c>
      <c r="BA571" s="55">
        <f t="shared" ref="BA571:BE571" si="3969">AZ571-BA524</f>
        <v>-5400</v>
      </c>
      <c r="BB571" s="55">
        <f t="shared" si="3969"/>
        <v>-5400</v>
      </c>
      <c r="BC571" s="55">
        <f t="shared" si="3969"/>
        <v>-5400</v>
      </c>
      <c r="BD571" s="55">
        <f t="shared" si="3969"/>
        <v>-5400</v>
      </c>
      <c r="BE571" s="55">
        <f t="shared" si="3969"/>
        <v>-5400</v>
      </c>
      <c r="BF571" s="55">
        <f t="shared" ref="BF571:BM571" si="3970">BE571-BF524</f>
        <v>-5400</v>
      </c>
      <c r="BG571" s="55">
        <f t="shared" si="3970"/>
        <v>-5400</v>
      </c>
      <c r="BH571" s="55">
        <f t="shared" si="3970"/>
        <v>-5400</v>
      </c>
      <c r="BI571" s="55">
        <f t="shared" si="3970"/>
        <v>-5400</v>
      </c>
      <c r="BJ571" s="55">
        <f t="shared" si="3970"/>
        <v>-5400</v>
      </c>
      <c r="BK571" s="55">
        <f t="shared" si="3970"/>
        <v>-5400</v>
      </c>
      <c r="BL571" s="55">
        <f t="shared" si="3970"/>
        <v>-5400</v>
      </c>
      <c r="BM571" s="55">
        <f t="shared" si="3970"/>
        <v>-5400</v>
      </c>
      <c r="BN571" s="55">
        <f t="shared" ref="BN571" si="3971">BM571-BN524</f>
        <v>-5400</v>
      </c>
      <c r="BO571" s="55">
        <f t="shared" ref="BO571" si="3972">BN571-BO524</f>
        <v>-5400</v>
      </c>
      <c r="BP571" s="55">
        <f t="shared" ref="BP571" si="3973">BO571-BP524</f>
        <v>-5400</v>
      </c>
      <c r="BQ571" s="55">
        <f t="shared" ref="BQ571" si="3974">BP571-BQ524</f>
        <v>-5400</v>
      </c>
      <c r="BR571" s="55"/>
      <c r="BS571" s="53">
        <v>-731.6</v>
      </c>
      <c r="BT571" s="53">
        <v>-686.4</v>
      </c>
      <c r="BU571" s="53">
        <v>-647.20000000000005</v>
      </c>
      <c r="BV571" s="53">
        <v>-608</v>
      </c>
      <c r="BW571" s="53">
        <v>-574</v>
      </c>
      <c r="BX571" s="53">
        <v>-574</v>
      </c>
      <c r="BY571" s="53">
        <v>-531</v>
      </c>
      <c r="BZ571" s="53">
        <f>-491</f>
        <v>-491</v>
      </c>
      <c r="CA571" s="53">
        <f>-5905-2656</f>
        <v>-8561</v>
      </c>
      <c r="CB571" s="53">
        <f>-5716-4116</f>
        <v>-9832</v>
      </c>
      <c r="CC571" s="55">
        <f t="shared" ref="CC571:CC578" si="3975">E571</f>
        <v>-9979</v>
      </c>
      <c r="CD571" s="55">
        <f t="shared" ref="CD571:CD578" si="3976">G571</f>
        <v>-9367</v>
      </c>
      <c r="CE571" s="55">
        <f t="shared" ref="CE571:CE578" si="3977">I571</f>
        <v>-9379</v>
      </c>
      <c r="CF571" s="55">
        <f t="shared" ref="CF571:CF578" si="3978">K571</f>
        <v>-9791</v>
      </c>
      <c r="CG571" s="55">
        <f t="shared" ref="CG571:CG578" si="3979">M571</f>
        <v>-9813</v>
      </c>
      <c r="CH571" s="55">
        <f t="shared" ref="CH571:CH579" si="3980">O571</f>
        <v>-7632</v>
      </c>
      <c r="CI571" s="55">
        <f t="shared" ref="CI571:CI578" si="3981">Q571</f>
        <v>-8010</v>
      </c>
      <c r="CJ571" s="55">
        <f t="shared" ref="CJ571:CJ578" si="3982">S571</f>
        <v>-8572</v>
      </c>
      <c r="CK571" s="55">
        <f t="shared" ref="CK571:CK578" si="3983">U571</f>
        <v>-8470</v>
      </c>
      <c r="CL571" s="55">
        <f t="shared" ref="CL571:CL578" si="3984">W571</f>
        <v>-8306</v>
      </c>
      <c r="CM571" s="55">
        <f t="shared" ref="CM571:CM578" si="3985">Y571</f>
        <v>-8581</v>
      </c>
      <c r="CN571" s="55">
        <f t="shared" ref="CN571:CN578" si="3986">AA571</f>
        <v>-8405</v>
      </c>
      <c r="CO571" s="55">
        <f t="shared" ref="CO571:CO578" si="3987">AC571</f>
        <v>-7861</v>
      </c>
      <c r="CP571" s="55">
        <f t="shared" ref="CP571:CP578" si="3988">AE571</f>
        <v>-7763</v>
      </c>
      <c r="CQ571" s="55">
        <f t="shared" ref="CQ571:CQ578" si="3989">AG571</f>
        <v>-7688</v>
      </c>
      <c r="CR571" s="55">
        <f t="shared" ref="CR571:CR578" si="3990">AI571</f>
        <v>-7830</v>
      </c>
      <c r="CS571" s="55">
        <f t="shared" ref="CS571:CS578" si="3991">AK571</f>
        <v>-8326</v>
      </c>
      <c r="CT571" s="55">
        <f t="shared" ref="CT571:CT578" si="3992">AM571</f>
        <v>-7981</v>
      </c>
      <c r="CU571" s="55">
        <f t="shared" ref="CU571:CU578" si="3993">AO571</f>
        <v>-6233</v>
      </c>
      <c r="CV571" s="55">
        <f t="shared" ref="CV571:CV578" si="3994">AQ571</f>
        <v>-6160</v>
      </c>
      <c r="CW571" s="55">
        <f t="shared" ref="CW571:CW578" si="3995">AS571</f>
        <v>-5469</v>
      </c>
      <c r="CX571" s="55">
        <f t="shared" ref="CX571:CX578" si="3996">AU571</f>
        <v>-5425</v>
      </c>
      <c r="CY571" s="55">
        <f t="shared" ref="CY571:CY578" si="3997">AW571</f>
        <v>-5415</v>
      </c>
      <c r="CZ571" s="56">
        <f t="shared" ref="CZ571:CZ578" si="3998">AY571</f>
        <v>-5419</v>
      </c>
      <c r="DA571" s="55">
        <f t="shared" ref="DA571:DA578" si="3999">BA571</f>
        <v>-5400</v>
      </c>
      <c r="DB571" s="55">
        <f t="shared" ref="DB571:DB578" si="4000">BC571</f>
        <v>-5400</v>
      </c>
      <c r="DC571" s="55">
        <f t="shared" ref="DC571:DC578" si="4001">BE571</f>
        <v>-5400</v>
      </c>
      <c r="DD571" s="55">
        <f t="shared" ref="DD571:DD578" si="4002">BG571</f>
        <v>-5400</v>
      </c>
      <c r="DE571" s="55">
        <f t="shared" ref="DE571:DE578" si="4003">BI571</f>
        <v>-5400</v>
      </c>
      <c r="DF571" s="55">
        <f t="shared" ref="DF571:DF578" si="4004">BK571</f>
        <v>-5400</v>
      </c>
      <c r="DG571" s="55">
        <f t="shared" ref="DG571:DG578" si="4005">BM571</f>
        <v>-5400</v>
      </c>
      <c r="DH571" s="55">
        <f t="shared" ref="DH571:DH578" si="4006">BO571</f>
        <v>-5400</v>
      </c>
      <c r="DI571" s="55">
        <f t="shared" ref="DI571:DI578" si="4007">BQ571</f>
        <v>-5400</v>
      </c>
    </row>
    <row r="572" spans="1:113" outlineLevel="1">
      <c r="A572" s="1" t="s">
        <v>1033</v>
      </c>
      <c r="B572" s="19" t="s">
        <v>368</v>
      </c>
      <c r="C572" s="53">
        <v>0</v>
      </c>
      <c r="D572" s="53">
        <v>0</v>
      </c>
      <c r="E572" s="53">
        <v>0</v>
      </c>
      <c r="F572" s="53">
        <v>0</v>
      </c>
      <c r="G572" s="53">
        <v>0</v>
      </c>
      <c r="H572" s="53">
        <v>0</v>
      </c>
      <c r="I572" s="53">
        <v>0</v>
      </c>
      <c r="J572" s="53">
        <v>0</v>
      </c>
      <c r="K572" s="53">
        <v>0</v>
      </c>
      <c r="L572" s="53">
        <v>0</v>
      </c>
      <c r="M572" s="53">
        <v>0</v>
      </c>
      <c r="N572" s="53">
        <v>-267</v>
      </c>
      <c r="O572" s="53">
        <v>-297</v>
      </c>
      <c r="P572" s="53">
        <v>-316</v>
      </c>
      <c r="Q572" s="53">
        <v>-353</v>
      </c>
      <c r="R572" s="53">
        <v>-571</v>
      </c>
      <c r="S572" s="53">
        <v>-673</v>
      </c>
      <c r="T572" s="53">
        <v>-799</v>
      </c>
      <c r="U572" s="53">
        <v>-950</v>
      </c>
      <c r="V572" s="53">
        <v>-1100</v>
      </c>
      <c r="W572" s="53">
        <v>-1297</v>
      </c>
      <c r="X572" s="53">
        <v>-1480</v>
      </c>
      <c r="Y572" s="53">
        <v>-1700</v>
      </c>
      <c r="Z572" s="53">
        <v>-1831</v>
      </c>
      <c r="AA572" s="164">
        <v>-1923</v>
      </c>
      <c r="AB572" s="164">
        <v>-1950</v>
      </c>
      <c r="AC572" s="164">
        <v>-1854</v>
      </c>
      <c r="AD572" s="164">
        <v>-1979</v>
      </c>
      <c r="AE572" s="164">
        <v>-2089</v>
      </c>
      <c r="AF572" s="164">
        <v>-2183</v>
      </c>
      <c r="AG572" s="164">
        <v>-2228</v>
      </c>
      <c r="AH572" s="164">
        <v>-1897</v>
      </c>
      <c r="AI572" s="164">
        <v>-1934</v>
      </c>
      <c r="AJ572" s="164">
        <v>-1896</v>
      </c>
      <c r="AK572" s="164">
        <v>-1819</v>
      </c>
      <c r="AL572" s="164">
        <v>-1782</v>
      </c>
      <c r="AM572" s="164">
        <v>-1712</v>
      </c>
      <c r="AN572" s="164">
        <v>-1418</v>
      </c>
      <c r="AO572" s="164">
        <v>-1349</v>
      </c>
      <c r="AP572" s="164">
        <v>-1334</v>
      </c>
      <c r="AQ572" s="164">
        <v>-1427</v>
      </c>
      <c r="AR572" s="164">
        <v>-1722</v>
      </c>
      <c r="AS572" s="164">
        <v>-1409</v>
      </c>
      <c r="AT572" s="164">
        <v>-1643</v>
      </c>
      <c r="AU572" s="164">
        <v>-1912</v>
      </c>
      <c r="AV572" s="164">
        <v>-2035</v>
      </c>
      <c r="AW572" s="164">
        <v>-2129</v>
      </c>
      <c r="AX572" s="164">
        <v>-2315</v>
      </c>
      <c r="AY572" s="164">
        <v>-2607</v>
      </c>
      <c r="AZ572" s="171">
        <v>-2840</v>
      </c>
      <c r="BA572" s="54">
        <f t="shared" ref="BA572:BE572" si="4008">AZ572-BA106+AZ106</f>
        <v>-3026.9162407918557</v>
      </c>
      <c r="BB572" s="54">
        <f t="shared" si="4008"/>
        <v>-3176.333711997368</v>
      </c>
      <c r="BC572" s="54">
        <f t="shared" si="4008"/>
        <v>-3292.6978390602226</v>
      </c>
      <c r="BD572" s="54">
        <f t="shared" si="4008"/>
        <v>-3379.8201623405589</v>
      </c>
      <c r="BE572" s="54">
        <f t="shared" si="4008"/>
        <v>-3465.7643048495665</v>
      </c>
      <c r="BF572" s="54">
        <f t="shared" ref="BF572:BM572" si="4009">BE572-BF106+BE106</f>
        <v>-3550.9077710772372</v>
      </c>
      <c r="BG572" s="54">
        <f t="shared" si="4009"/>
        <v>-3635.5805398911471</v>
      </c>
      <c r="BH572" s="54">
        <f t="shared" si="4009"/>
        <v>-3720.0716771636271</v>
      </c>
      <c r="BI572" s="54">
        <f t="shared" si="4009"/>
        <v>-3804.6350420615236</v>
      </c>
      <c r="BJ572" s="54">
        <f t="shared" si="4009"/>
        <v>-3867.8823821092701</v>
      </c>
      <c r="BK572" s="54">
        <f t="shared" si="4009"/>
        <v>-3948.7854486330957</v>
      </c>
      <c r="BL572" s="54">
        <f t="shared" si="4009"/>
        <v>-4015.2171379370334</v>
      </c>
      <c r="BM572" s="54">
        <f t="shared" si="4009"/>
        <v>-4094.588921837576</v>
      </c>
      <c r="BN572" s="54">
        <f t="shared" ref="BN572" si="4010">BM572-BN106+BM106</f>
        <v>-4162.1327961877687</v>
      </c>
      <c r="BO572" s="54">
        <f t="shared" ref="BO572" si="4011">BN572-BO106+BN106</f>
        <v>-4243.7232850272039</v>
      </c>
      <c r="BP572" s="54">
        <f t="shared" ref="BP572" si="4012">BO572-BP106+BO106</f>
        <v>-4305.2116105431487</v>
      </c>
      <c r="BQ572" s="54">
        <f t="shared" ref="BQ572" si="4013">BP572-BQ106+BP106</f>
        <v>-4383.4985075945206</v>
      </c>
      <c r="BR572" s="55"/>
      <c r="BS572" s="53">
        <v>0</v>
      </c>
      <c r="BT572" s="53">
        <v>0</v>
      </c>
      <c r="BU572" s="53">
        <v>0</v>
      </c>
      <c r="BV572" s="53">
        <v>0</v>
      </c>
      <c r="BW572" s="53">
        <v>0</v>
      </c>
      <c r="BX572" s="53">
        <v>0</v>
      </c>
      <c r="BY572" s="53">
        <v>0</v>
      </c>
      <c r="BZ572" s="53">
        <v>0</v>
      </c>
      <c r="CA572" s="53">
        <v>0</v>
      </c>
      <c r="CB572" s="53">
        <v>0</v>
      </c>
      <c r="CC572" s="55">
        <f t="shared" si="3975"/>
        <v>0</v>
      </c>
      <c r="CD572" s="55">
        <f t="shared" si="3976"/>
        <v>0</v>
      </c>
      <c r="CE572" s="55">
        <f t="shared" si="3977"/>
        <v>0</v>
      </c>
      <c r="CF572" s="55">
        <f t="shared" si="3978"/>
        <v>0</v>
      </c>
      <c r="CG572" s="55">
        <f t="shared" si="3979"/>
        <v>0</v>
      </c>
      <c r="CH572" s="55">
        <f t="shared" si="3980"/>
        <v>-297</v>
      </c>
      <c r="CI572" s="55">
        <f t="shared" si="3981"/>
        <v>-353</v>
      </c>
      <c r="CJ572" s="55">
        <f t="shared" si="3982"/>
        <v>-673</v>
      </c>
      <c r="CK572" s="55">
        <f t="shared" si="3983"/>
        <v>-950</v>
      </c>
      <c r="CL572" s="55">
        <f t="shared" si="3984"/>
        <v>-1297</v>
      </c>
      <c r="CM572" s="55">
        <f t="shared" si="3985"/>
        <v>-1700</v>
      </c>
      <c r="CN572" s="55">
        <f t="shared" si="3986"/>
        <v>-1923</v>
      </c>
      <c r="CO572" s="55">
        <f t="shared" si="3987"/>
        <v>-1854</v>
      </c>
      <c r="CP572" s="55">
        <f t="shared" si="3988"/>
        <v>-2089</v>
      </c>
      <c r="CQ572" s="55">
        <f t="shared" si="3989"/>
        <v>-2228</v>
      </c>
      <c r="CR572" s="55">
        <f t="shared" si="3990"/>
        <v>-1934</v>
      </c>
      <c r="CS572" s="55">
        <f t="shared" si="3991"/>
        <v>-1819</v>
      </c>
      <c r="CT572" s="55">
        <f t="shared" si="3992"/>
        <v>-1712</v>
      </c>
      <c r="CU572" s="55">
        <f t="shared" si="3993"/>
        <v>-1349</v>
      </c>
      <c r="CV572" s="55">
        <f t="shared" si="3994"/>
        <v>-1427</v>
      </c>
      <c r="CW572" s="55">
        <f t="shared" si="3995"/>
        <v>-1409</v>
      </c>
      <c r="CX572" s="55">
        <f t="shared" si="3996"/>
        <v>-1912</v>
      </c>
      <c r="CY572" s="55">
        <f t="shared" si="3997"/>
        <v>-2129</v>
      </c>
      <c r="CZ572" s="56">
        <f t="shared" si="3998"/>
        <v>-2607</v>
      </c>
      <c r="DA572" s="55">
        <f t="shared" si="3999"/>
        <v>-3026.9162407918557</v>
      </c>
      <c r="DB572" s="55">
        <f t="shared" si="4000"/>
        <v>-3292.6978390602226</v>
      </c>
      <c r="DC572" s="55">
        <f t="shared" si="4001"/>
        <v>-3465.7643048495665</v>
      </c>
      <c r="DD572" s="55">
        <f t="shared" si="4002"/>
        <v>-3635.5805398911471</v>
      </c>
      <c r="DE572" s="55">
        <f t="shared" si="4003"/>
        <v>-3804.6350420615236</v>
      </c>
      <c r="DF572" s="55">
        <f t="shared" si="4004"/>
        <v>-3948.7854486330957</v>
      </c>
      <c r="DG572" s="55">
        <f t="shared" si="4005"/>
        <v>-4094.588921837576</v>
      </c>
      <c r="DH572" s="55">
        <f t="shared" si="4006"/>
        <v>-4243.7232850272039</v>
      </c>
      <c r="DI572" s="55">
        <f t="shared" si="4007"/>
        <v>-4383.4985075945206</v>
      </c>
    </row>
    <row r="573" spans="1:113" outlineLevel="1">
      <c r="A573" s="1" t="s">
        <v>1034</v>
      </c>
      <c r="B573" s="19" t="s">
        <v>301</v>
      </c>
      <c r="C573" s="53">
        <v>0</v>
      </c>
      <c r="D573" s="53">
        <v>0</v>
      </c>
      <c r="E573" s="53">
        <v>0</v>
      </c>
      <c r="F573" s="53">
        <v>0</v>
      </c>
      <c r="G573" s="53">
        <v>0</v>
      </c>
      <c r="H573" s="53">
        <v>0</v>
      </c>
      <c r="I573" s="53">
        <v>0</v>
      </c>
      <c r="J573" s="53">
        <v>-98</v>
      </c>
      <c r="K573" s="53">
        <v>-107</v>
      </c>
      <c r="L573" s="53">
        <v>-107</v>
      </c>
      <c r="M573" s="53">
        <v>-122</v>
      </c>
      <c r="N573" s="53">
        <v>-100</v>
      </c>
      <c r="O573" s="53">
        <v>-136</v>
      </c>
      <c r="P573" s="53">
        <v>-100</v>
      </c>
      <c r="Q573" s="53">
        <v>-110</v>
      </c>
      <c r="R573" s="53">
        <v>-137</v>
      </c>
      <c r="S573" s="53">
        <v>-257</v>
      </c>
      <c r="T573" s="53">
        <v>-283</v>
      </c>
      <c r="U573" s="53">
        <v>-288</v>
      </c>
      <c r="V573" s="53">
        <v>-242</v>
      </c>
      <c r="W573" s="53">
        <v>-252</v>
      </c>
      <c r="X573" s="53">
        <v>-240</v>
      </c>
      <c r="Y573" s="53">
        <v>-263</v>
      </c>
      <c r="Z573" s="53">
        <v>-224</v>
      </c>
      <c r="AA573" s="164">
        <v>-272</v>
      </c>
      <c r="AB573" s="164">
        <v>-275</v>
      </c>
      <c r="AC573" s="164">
        <v>-285</v>
      </c>
      <c r="AD573" s="164">
        <v>-341</v>
      </c>
      <c r="AE573" s="164">
        <v>-337</v>
      </c>
      <c r="AF573" s="164">
        <v>-498</v>
      </c>
      <c r="AG573" s="164">
        <v>-535</v>
      </c>
      <c r="AH573" s="164">
        <v>-696</v>
      </c>
      <c r="AI573" s="164">
        <v>-707</v>
      </c>
      <c r="AJ573" s="164">
        <v>-652</v>
      </c>
      <c r="AK573" s="164">
        <v>-714</v>
      </c>
      <c r="AL573" s="164">
        <v>-741</v>
      </c>
      <c r="AM573" s="164">
        <v>-720</v>
      </c>
      <c r="AN573" s="164">
        <v>-768</v>
      </c>
      <c r="AO573" s="164">
        <v>-765</v>
      </c>
      <c r="AP573" s="164">
        <v>-833</v>
      </c>
      <c r="AQ573" s="164">
        <v>-938</v>
      </c>
      <c r="AR573" s="164">
        <v>-984</v>
      </c>
      <c r="AS573" s="164">
        <v>-1056</v>
      </c>
      <c r="AT573" s="164">
        <v>-1155</v>
      </c>
      <c r="AU573" s="164">
        <v>-1230</v>
      </c>
      <c r="AV573" s="164">
        <v>-1239</v>
      </c>
      <c r="AW573" s="164">
        <v>-1231</v>
      </c>
      <c r="AX573" s="164">
        <v>-1250</v>
      </c>
      <c r="AY573" s="164">
        <v>-1317</v>
      </c>
      <c r="AZ573" s="171">
        <v>-1381</v>
      </c>
      <c r="BA573" s="54">
        <f t="shared" ref="BA573:BE573" si="4014">AZ573</f>
        <v>-1381</v>
      </c>
      <c r="BB573" s="54">
        <f t="shared" si="4014"/>
        <v>-1381</v>
      </c>
      <c r="BC573" s="54">
        <f t="shared" si="4014"/>
        <v>-1381</v>
      </c>
      <c r="BD573" s="54">
        <f t="shared" si="4014"/>
        <v>-1381</v>
      </c>
      <c r="BE573" s="54">
        <f t="shared" si="4014"/>
        <v>-1381</v>
      </c>
      <c r="BF573" s="54">
        <f t="shared" ref="BF573:BM577" si="4015">BE573</f>
        <v>-1381</v>
      </c>
      <c r="BG573" s="54">
        <f t="shared" si="4015"/>
        <v>-1381</v>
      </c>
      <c r="BH573" s="54">
        <f t="shared" si="4015"/>
        <v>-1381</v>
      </c>
      <c r="BI573" s="54">
        <f t="shared" si="4015"/>
        <v>-1381</v>
      </c>
      <c r="BJ573" s="54">
        <f t="shared" si="4015"/>
        <v>-1381</v>
      </c>
      <c r="BK573" s="54">
        <f t="shared" si="4015"/>
        <v>-1381</v>
      </c>
      <c r="BL573" s="54">
        <f t="shared" si="4015"/>
        <v>-1381</v>
      </c>
      <c r="BM573" s="54">
        <f t="shared" si="4015"/>
        <v>-1381</v>
      </c>
      <c r="BN573" s="54">
        <f t="shared" ref="BN573:BN577" si="4016">BM573</f>
        <v>-1381</v>
      </c>
      <c r="BO573" s="54">
        <f t="shared" ref="BO573:BO577" si="4017">BN573</f>
        <v>-1381</v>
      </c>
      <c r="BP573" s="54">
        <f t="shared" ref="BP573:BP577" si="4018">BO573</f>
        <v>-1381</v>
      </c>
      <c r="BQ573" s="54">
        <f t="shared" ref="BQ573:BQ577" si="4019">BP573</f>
        <v>-1381</v>
      </c>
      <c r="BR573" s="55"/>
      <c r="BS573" s="53">
        <v>0</v>
      </c>
      <c r="BT573" s="53">
        <v>0</v>
      </c>
      <c r="BU573" s="53">
        <v>0</v>
      </c>
      <c r="BV573" s="53">
        <v>0</v>
      </c>
      <c r="BW573" s="53">
        <v>0</v>
      </c>
      <c r="BX573" s="53">
        <v>0</v>
      </c>
      <c r="BY573" s="53">
        <v>0</v>
      </c>
      <c r="BZ573" s="53">
        <v>0</v>
      </c>
      <c r="CA573" s="53">
        <v>0</v>
      </c>
      <c r="CB573" s="53">
        <v>0</v>
      </c>
      <c r="CC573" s="55">
        <f t="shared" si="3975"/>
        <v>0</v>
      </c>
      <c r="CD573" s="55">
        <f t="shared" si="3976"/>
        <v>0</v>
      </c>
      <c r="CE573" s="55">
        <f t="shared" si="3977"/>
        <v>0</v>
      </c>
      <c r="CF573" s="55">
        <f t="shared" si="3978"/>
        <v>-107</v>
      </c>
      <c r="CG573" s="55">
        <f t="shared" si="3979"/>
        <v>-122</v>
      </c>
      <c r="CH573" s="55">
        <f t="shared" si="3980"/>
        <v>-136</v>
      </c>
      <c r="CI573" s="55">
        <f t="shared" si="3981"/>
        <v>-110</v>
      </c>
      <c r="CJ573" s="55">
        <f t="shared" si="3982"/>
        <v>-257</v>
      </c>
      <c r="CK573" s="55">
        <f t="shared" si="3983"/>
        <v>-288</v>
      </c>
      <c r="CL573" s="55">
        <f t="shared" si="3984"/>
        <v>-252</v>
      </c>
      <c r="CM573" s="55">
        <f t="shared" si="3985"/>
        <v>-263</v>
      </c>
      <c r="CN573" s="55">
        <f t="shared" si="3986"/>
        <v>-272</v>
      </c>
      <c r="CO573" s="55">
        <f t="shared" si="3987"/>
        <v>-285</v>
      </c>
      <c r="CP573" s="55">
        <f t="shared" si="3988"/>
        <v>-337</v>
      </c>
      <c r="CQ573" s="55">
        <f t="shared" si="3989"/>
        <v>-535</v>
      </c>
      <c r="CR573" s="55">
        <f t="shared" si="3990"/>
        <v>-707</v>
      </c>
      <c r="CS573" s="55">
        <f t="shared" si="3991"/>
        <v>-714</v>
      </c>
      <c r="CT573" s="55">
        <f t="shared" si="3992"/>
        <v>-720</v>
      </c>
      <c r="CU573" s="55">
        <f t="shared" si="3993"/>
        <v>-765</v>
      </c>
      <c r="CV573" s="55">
        <f t="shared" si="3994"/>
        <v>-938</v>
      </c>
      <c r="CW573" s="55">
        <f t="shared" si="3995"/>
        <v>-1056</v>
      </c>
      <c r="CX573" s="55">
        <f t="shared" si="3996"/>
        <v>-1230</v>
      </c>
      <c r="CY573" s="55">
        <f t="shared" si="3997"/>
        <v>-1231</v>
      </c>
      <c r="CZ573" s="56">
        <f t="shared" si="3998"/>
        <v>-1317</v>
      </c>
      <c r="DA573" s="55">
        <f t="shared" si="3999"/>
        <v>-1381</v>
      </c>
      <c r="DB573" s="55">
        <f t="shared" si="4000"/>
        <v>-1381</v>
      </c>
      <c r="DC573" s="55">
        <f t="shared" si="4001"/>
        <v>-1381</v>
      </c>
      <c r="DD573" s="55">
        <f t="shared" si="4002"/>
        <v>-1381</v>
      </c>
      <c r="DE573" s="55">
        <f t="shared" si="4003"/>
        <v>-1381</v>
      </c>
      <c r="DF573" s="55">
        <f t="shared" si="4004"/>
        <v>-1381</v>
      </c>
      <c r="DG573" s="55">
        <f t="shared" si="4005"/>
        <v>-1381</v>
      </c>
      <c r="DH573" s="55">
        <f t="shared" si="4006"/>
        <v>-1381</v>
      </c>
      <c r="DI573" s="55">
        <f t="shared" si="4007"/>
        <v>-1381</v>
      </c>
    </row>
    <row r="574" spans="1:113" outlineLevel="1">
      <c r="A574" s="1" t="s">
        <v>1035</v>
      </c>
      <c r="B574" s="19" t="s">
        <v>302</v>
      </c>
      <c r="C574" s="53">
        <v>0</v>
      </c>
      <c r="D574" s="53">
        <v>0</v>
      </c>
      <c r="E574" s="53">
        <v>0</v>
      </c>
      <c r="F574" s="53">
        <v>0</v>
      </c>
      <c r="G574" s="53">
        <v>0</v>
      </c>
      <c r="H574" s="53">
        <v>0</v>
      </c>
      <c r="I574" s="53">
        <v>0</v>
      </c>
      <c r="J574" s="53">
        <v>0</v>
      </c>
      <c r="K574" s="53">
        <v>0</v>
      </c>
      <c r="L574" s="53">
        <v>0</v>
      </c>
      <c r="M574" s="53">
        <v>0</v>
      </c>
      <c r="N574" s="53">
        <v>-39</v>
      </c>
      <c r="O574" s="53">
        <v>-37</v>
      </c>
      <c r="P574" s="53">
        <v>-27</v>
      </c>
      <c r="Q574" s="53">
        <v>-38</v>
      </c>
      <c r="R574" s="53">
        <v>-157</v>
      </c>
      <c r="S574" s="53">
        <v>-257</v>
      </c>
      <c r="T574" s="53">
        <v>-34</v>
      </c>
      <c r="U574" s="53">
        <v>-96</v>
      </c>
      <c r="V574" s="53">
        <v>-47</v>
      </c>
      <c r="W574" s="53">
        <v>-287</v>
      </c>
      <c r="X574" s="53">
        <v>-383</v>
      </c>
      <c r="Y574" s="53">
        <v>-548</v>
      </c>
      <c r="Z574" s="53">
        <v>-393</v>
      </c>
      <c r="AA574" s="164">
        <v>-1400</v>
      </c>
      <c r="AB574" s="164">
        <v>-1248</v>
      </c>
      <c r="AC574" s="164">
        <v>-1164</v>
      </c>
      <c r="AD574" s="164">
        <v>-1024</v>
      </c>
      <c r="AE574" s="164">
        <v>-1164</v>
      </c>
      <c r="AF574" s="164">
        <v>-1078</v>
      </c>
      <c r="AG574" s="164">
        <v>-1443</v>
      </c>
      <c r="AH574" s="164">
        <v>-1468</v>
      </c>
      <c r="AI574" s="164">
        <v>-1627</v>
      </c>
      <c r="AJ574" s="164">
        <v>-1604</v>
      </c>
      <c r="AK574" s="164">
        <v>-1911</v>
      </c>
      <c r="AL574" s="164">
        <v>-2286</v>
      </c>
      <c r="AM574" s="164">
        <v>-2581</v>
      </c>
      <c r="AN574" s="164">
        <v>-2463</v>
      </c>
      <c r="AO574" s="164">
        <v>-3176</v>
      </c>
      <c r="AP574" s="164">
        <v>-3041</v>
      </c>
      <c r="AQ574" s="164">
        <v>-2483</v>
      </c>
      <c r="AR574" s="164">
        <v>-2353</v>
      </c>
      <c r="AS574" s="164">
        <v>-3016</v>
      </c>
      <c r="AT574" s="164">
        <v>-2995</v>
      </c>
      <c r="AU574" s="164">
        <v>-3331</v>
      </c>
      <c r="AV574" s="164">
        <v>-3155</v>
      </c>
      <c r="AW574" s="164">
        <v>-3320</v>
      </c>
      <c r="AX574" s="164">
        <v>-3165</v>
      </c>
      <c r="AY574" s="164">
        <v>-3333</v>
      </c>
      <c r="AZ574" s="171">
        <v>-2890</v>
      </c>
      <c r="BA574" s="54">
        <f t="shared" ref="BA574:BE574" si="4020">AZ574</f>
        <v>-2890</v>
      </c>
      <c r="BB574" s="54">
        <f t="shared" si="4020"/>
        <v>-2890</v>
      </c>
      <c r="BC574" s="54">
        <f t="shared" si="4020"/>
        <v>-2890</v>
      </c>
      <c r="BD574" s="54">
        <f t="shared" si="4020"/>
        <v>-2890</v>
      </c>
      <c r="BE574" s="54">
        <f t="shared" si="4020"/>
        <v>-2890</v>
      </c>
      <c r="BF574" s="54">
        <f t="shared" si="4015"/>
        <v>-2890</v>
      </c>
      <c r="BG574" s="54">
        <f t="shared" si="4015"/>
        <v>-2890</v>
      </c>
      <c r="BH574" s="54">
        <f t="shared" si="4015"/>
        <v>-2890</v>
      </c>
      <c r="BI574" s="54">
        <f t="shared" si="4015"/>
        <v>-2890</v>
      </c>
      <c r="BJ574" s="54">
        <f t="shared" si="4015"/>
        <v>-2890</v>
      </c>
      <c r="BK574" s="54">
        <f t="shared" si="4015"/>
        <v>-2890</v>
      </c>
      <c r="BL574" s="54">
        <f t="shared" si="4015"/>
        <v>-2890</v>
      </c>
      <c r="BM574" s="54">
        <f t="shared" si="4015"/>
        <v>-2890</v>
      </c>
      <c r="BN574" s="54">
        <f t="shared" si="4016"/>
        <v>-2890</v>
      </c>
      <c r="BO574" s="54">
        <f t="shared" si="4017"/>
        <v>-2890</v>
      </c>
      <c r="BP574" s="54">
        <f t="shared" si="4018"/>
        <v>-2890</v>
      </c>
      <c r="BQ574" s="54">
        <f t="shared" si="4019"/>
        <v>-2890</v>
      </c>
      <c r="BR574" s="55"/>
      <c r="BS574" s="53">
        <v>0</v>
      </c>
      <c r="BT574" s="53">
        <v>0</v>
      </c>
      <c r="BU574" s="53">
        <v>0</v>
      </c>
      <c r="BV574" s="53">
        <v>0</v>
      </c>
      <c r="BW574" s="53">
        <v>0</v>
      </c>
      <c r="BX574" s="53">
        <v>0</v>
      </c>
      <c r="BY574" s="53">
        <v>0</v>
      </c>
      <c r="BZ574" s="53">
        <v>0</v>
      </c>
      <c r="CA574" s="53">
        <v>0</v>
      </c>
      <c r="CB574" s="53">
        <v>0</v>
      </c>
      <c r="CC574" s="55">
        <f t="shared" si="3975"/>
        <v>0</v>
      </c>
      <c r="CD574" s="55">
        <f t="shared" si="3976"/>
        <v>0</v>
      </c>
      <c r="CE574" s="55">
        <f t="shared" si="3977"/>
        <v>0</v>
      </c>
      <c r="CF574" s="55">
        <f t="shared" si="3978"/>
        <v>0</v>
      </c>
      <c r="CG574" s="55">
        <f t="shared" si="3979"/>
        <v>0</v>
      </c>
      <c r="CH574" s="55">
        <f t="shared" si="3980"/>
        <v>-37</v>
      </c>
      <c r="CI574" s="55">
        <f t="shared" si="3981"/>
        <v>-38</v>
      </c>
      <c r="CJ574" s="55">
        <f t="shared" si="3982"/>
        <v>-257</v>
      </c>
      <c r="CK574" s="55">
        <f t="shared" si="3983"/>
        <v>-96</v>
      </c>
      <c r="CL574" s="55">
        <f t="shared" si="3984"/>
        <v>-287</v>
      </c>
      <c r="CM574" s="55">
        <f t="shared" si="3985"/>
        <v>-548</v>
      </c>
      <c r="CN574" s="55">
        <f t="shared" si="3986"/>
        <v>-1400</v>
      </c>
      <c r="CO574" s="55">
        <f t="shared" si="3987"/>
        <v>-1164</v>
      </c>
      <c r="CP574" s="55">
        <f t="shared" si="3988"/>
        <v>-1164</v>
      </c>
      <c r="CQ574" s="55">
        <f t="shared" si="3989"/>
        <v>-1443</v>
      </c>
      <c r="CR574" s="55">
        <f t="shared" si="3990"/>
        <v>-1627</v>
      </c>
      <c r="CS574" s="55">
        <f t="shared" si="3991"/>
        <v>-1911</v>
      </c>
      <c r="CT574" s="55">
        <f t="shared" si="3992"/>
        <v>-2581</v>
      </c>
      <c r="CU574" s="55">
        <f t="shared" si="3993"/>
        <v>-3176</v>
      </c>
      <c r="CV574" s="55">
        <f t="shared" si="3994"/>
        <v>-2483</v>
      </c>
      <c r="CW574" s="55">
        <f t="shared" si="3995"/>
        <v>-3016</v>
      </c>
      <c r="CX574" s="55">
        <f t="shared" si="3996"/>
        <v>-3331</v>
      </c>
      <c r="CY574" s="55">
        <f t="shared" si="3997"/>
        <v>-3320</v>
      </c>
      <c r="CZ574" s="56">
        <f t="shared" si="3998"/>
        <v>-3333</v>
      </c>
      <c r="DA574" s="55">
        <f t="shared" si="3999"/>
        <v>-2890</v>
      </c>
      <c r="DB574" s="55">
        <f t="shared" si="4000"/>
        <v>-2890</v>
      </c>
      <c r="DC574" s="55">
        <f t="shared" si="4001"/>
        <v>-2890</v>
      </c>
      <c r="DD574" s="55">
        <f t="shared" si="4002"/>
        <v>-2890</v>
      </c>
      <c r="DE574" s="55">
        <f t="shared" si="4003"/>
        <v>-2890</v>
      </c>
      <c r="DF574" s="55">
        <f t="shared" si="4004"/>
        <v>-2890</v>
      </c>
      <c r="DG574" s="55">
        <f t="shared" si="4005"/>
        <v>-2890</v>
      </c>
      <c r="DH574" s="55">
        <f t="shared" si="4006"/>
        <v>-2890</v>
      </c>
      <c r="DI574" s="55">
        <f t="shared" si="4007"/>
        <v>-2890</v>
      </c>
    </row>
    <row r="575" spans="1:113" outlineLevel="1">
      <c r="A575" s="1" t="s">
        <v>1036</v>
      </c>
      <c r="B575" s="19" t="s">
        <v>2540</v>
      </c>
      <c r="C575" s="53">
        <v>0</v>
      </c>
      <c r="D575" s="53">
        <v>0</v>
      </c>
      <c r="E575" s="53">
        <v>0</v>
      </c>
      <c r="F575" s="53">
        <v>0</v>
      </c>
      <c r="G575" s="53">
        <v>0</v>
      </c>
      <c r="H575" s="53">
        <v>0</v>
      </c>
      <c r="I575" s="53">
        <v>0</v>
      </c>
      <c r="J575" s="53">
        <v>0</v>
      </c>
      <c r="K575" s="53">
        <v>0</v>
      </c>
      <c r="L575" s="53">
        <v>0</v>
      </c>
      <c r="M575" s="53">
        <v>0</v>
      </c>
      <c r="N575" s="53">
        <v>0</v>
      </c>
      <c r="O575" s="53">
        <v>0</v>
      </c>
      <c r="P575" s="53">
        <v>0</v>
      </c>
      <c r="Q575" s="53">
        <v>0</v>
      </c>
      <c r="R575" s="53">
        <v>0</v>
      </c>
      <c r="S575" s="53">
        <v>0</v>
      </c>
      <c r="T575" s="53">
        <v>0</v>
      </c>
      <c r="U575" s="53">
        <v>0</v>
      </c>
      <c r="V575" s="53">
        <v>0</v>
      </c>
      <c r="W575" s="53">
        <v>0</v>
      </c>
      <c r="X575" s="53">
        <v>0</v>
      </c>
      <c r="Y575" s="53">
        <v>0</v>
      </c>
      <c r="Z575" s="53">
        <v>0</v>
      </c>
      <c r="AA575" s="164">
        <v>0</v>
      </c>
      <c r="AB575" s="164">
        <v>0</v>
      </c>
      <c r="AC575" s="164">
        <v>0</v>
      </c>
      <c r="AD575" s="164">
        <v>0</v>
      </c>
      <c r="AE575" s="164">
        <v>0</v>
      </c>
      <c r="AF575" s="164">
        <v>0</v>
      </c>
      <c r="AG575" s="164">
        <v>0</v>
      </c>
      <c r="AH575" s="164">
        <v>0</v>
      </c>
      <c r="AI575" s="164">
        <v>0</v>
      </c>
      <c r="AJ575" s="164">
        <v>0</v>
      </c>
      <c r="AK575" s="164">
        <v>0</v>
      </c>
      <c r="AL575" s="164">
        <v>0</v>
      </c>
      <c r="AM575" s="164">
        <v>0</v>
      </c>
      <c r="AN575" s="164">
        <v>0</v>
      </c>
      <c r="AO575" s="164">
        <v>0</v>
      </c>
      <c r="AP575" s="164">
        <v>0</v>
      </c>
      <c r="AQ575" s="164">
        <v>0</v>
      </c>
      <c r="AR575" s="164">
        <v>0</v>
      </c>
      <c r="AS575" s="164">
        <v>0</v>
      </c>
      <c r="AT575" s="164">
        <v>0</v>
      </c>
      <c r="AU575" s="164">
        <v>0</v>
      </c>
      <c r="AV575" s="164">
        <v>0</v>
      </c>
      <c r="AW575" s="164">
        <v>0</v>
      </c>
      <c r="AX575" s="164">
        <v>0</v>
      </c>
      <c r="AY575" s="164">
        <v>0</v>
      </c>
      <c r="AZ575" s="171">
        <v>0</v>
      </c>
      <c r="BA575" s="54">
        <f t="shared" ref="BA575:BE575" si="4021">AZ575</f>
        <v>0</v>
      </c>
      <c r="BB575" s="54">
        <f t="shared" si="4021"/>
        <v>0</v>
      </c>
      <c r="BC575" s="54">
        <f t="shared" si="4021"/>
        <v>0</v>
      </c>
      <c r="BD575" s="54">
        <f t="shared" si="4021"/>
        <v>0</v>
      </c>
      <c r="BE575" s="54">
        <f t="shared" si="4021"/>
        <v>0</v>
      </c>
      <c r="BF575" s="54">
        <f t="shared" si="4015"/>
        <v>0</v>
      </c>
      <c r="BG575" s="54">
        <f t="shared" si="4015"/>
        <v>0</v>
      </c>
      <c r="BH575" s="54">
        <f t="shared" si="4015"/>
        <v>0</v>
      </c>
      <c r="BI575" s="54">
        <f t="shared" si="4015"/>
        <v>0</v>
      </c>
      <c r="BJ575" s="54">
        <f t="shared" si="4015"/>
        <v>0</v>
      </c>
      <c r="BK575" s="54">
        <f t="shared" si="4015"/>
        <v>0</v>
      </c>
      <c r="BL575" s="54">
        <f t="shared" si="4015"/>
        <v>0</v>
      </c>
      <c r="BM575" s="54">
        <f t="shared" si="4015"/>
        <v>0</v>
      </c>
      <c r="BN575" s="54">
        <f t="shared" si="4016"/>
        <v>0</v>
      </c>
      <c r="BO575" s="54">
        <f t="shared" si="4017"/>
        <v>0</v>
      </c>
      <c r="BP575" s="54">
        <f t="shared" si="4018"/>
        <v>0</v>
      </c>
      <c r="BQ575" s="54">
        <f t="shared" si="4019"/>
        <v>0</v>
      </c>
      <c r="BR575" s="55"/>
      <c r="BS575" s="53">
        <v>0</v>
      </c>
      <c r="BT575" s="53">
        <v>0</v>
      </c>
      <c r="BU575" s="53">
        <v>0</v>
      </c>
      <c r="BV575" s="53">
        <v>0</v>
      </c>
      <c r="BW575" s="53">
        <v>0</v>
      </c>
      <c r="BX575" s="53">
        <v>0</v>
      </c>
      <c r="BY575" s="53">
        <v>0</v>
      </c>
      <c r="BZ575" s="53">
        <v>0</v>
      </c>
      <c r="CA575" s="53">
        <v>0</v>
      </c>
      <c r="CB575" s="53">
        <v>0</v>
      </c>
      <c r="CC575" s="55">
        <f t="shared" si="3975"/>
        <v>0</v>
      </c>
      <c r="CD575" s="55">
        <f t="shared" si="3976"/>
        <v>0</v>
      </c>
      <c r="CE575" s="55">
        <f t="shared" si="3977"/>
        <v>0</v>
      </c>
      <c r="CF575" s="55">
        <f t="shared" si="3978"/>
        <v>0</v>
      </c>
      <c r="CG575" s="55">
        <f t="shared" si="3979"/>
        <v>0</v>
      </c>
      <c r="CH575" s="55">
        <f t="shared" si="3980"/>
        <v>0</v>
      </c>
      <c r="CI575" s="55">
        <f t="shared" si="3981"/>
        <v>0</v>
      </c>
      <c r="CJ575" s="55">
        <f t="shared" si="3982"/>
        <v>0</v>
      </c>
      <c r="CK575" s="55">
        <f t="shared" si="3983"/>
        <v>0</v>
      </c>
      <c r="CL575" s="55">
        <f t="shared" si="3984"/>
        <v>0</v>
      </c>
      <c r="CM575" s="55">
        <f t="shared" si="3985"/>
        <v>0</v>
      </c>
      <c r="CN575" s="55">
        <f t="shared" si="3986"/>
        <v>0</v>
      </c>
      <c r="CO575" s="55">
        <f t="shared" si="3987"/>
        <v>0</v>
      </c>
      <c r="CP575" s="55">
        <f t="shared" si="3988"/>
        <v>0</v>
      </c>
      <c r="CQ575" s="55">
        <f t="shared" si="3989"/>
        <v>0</v>
      </c>
      <c r="CR575" s="55">
        <f t="shared" si="3990"/>
        <v>0</v>
      </c>
      <c r="CS575" s="55">
        <f t="shared" si="3991"/>
        <v>0</v>
      </c>
      <c r="CT575" s="55">
        <f t="shared" si="3992"/>
        <v>0</v>
      </c>
      <c r="CU575" s="55">
        <f t="shared" si="3993"/>
        <v>0</v>
      </c>
      <c r="CV575" s="55">
        <f t="shared" si="3994"/>
        <v>0</v>
      </c>
      <c r="CW575" s="55">
        <f t="shared" si="3995"/>
        <v>0</v>
      </c>
      <c r="CX575" s="55">
        <f t="shared" si="3996"/>
        <v>0</v>
      </c>
      <c r="CY575" s="55">
        <f t="shared" si="3997"/>
        <v>0</v>
      </c>
      <c r="CZ575" s="56">
        <f t="shared" si="3998"/>
        <v>0</v>
      </c>
      <c r="DA575" s="55">
        <f t="shared" si="3999"/>
        <v>0</v>
      </c>
      <c r="DB575" s="55">
        <f t="shared" si="4000"/>
        <v>0</v>
      </c>
      <c r="DC575" s="55">
        <f t="shared" si="4001"/>
        <v>0</v>
      </c>
      <c r="DD575" s="55">
        <f t="shared" si="4002"/>
        <v>0</v>
      </c>
      <c r="DE575" s="55">
        <f t="shared" si="4003"/>
        <v>0</v>
      </c>
      <c r="DF575" s="55">
        <f t="shared" si="4004"/>
        <v>0</v>
      </c>
      <c r="DG575" s="55">
        <f t="shared" si="4005"/>
        <v>0</v>
      </c>
      <c r="DH575" s="55">
        <f t="shared" si="4006"/>
        <v>0</v>
      </c>
      <c r="DI575" s="55">
        <f t="shared" si="4007"/>
        <v>0</v>
      </c>
    </row>
    <row r="576" spans="1:113" outlineLevel="1">
      <c r="A576" s="1" t="s">
        <v>1037</v>
      </c>
      <c r="B576" s="19" t="s">
        <v>2539</v>
      </c>
      <c r="C576" s="53">
        <v>-1458</v>
      </c>
      <c r="D576" s="53">
        <v>-1682</v>
      </c>
      <c r="E576" s="53">
        <v>-2017</v>
      </c>
      <c r="F576" s="53">
        <v>-2343</v>
      </c>
      <c r="G576" s="53">
        <v>-1824</v>
      </c>
      <c r="H576" s="53">
        <v>-1871</v>
      </c>
      <c r="I576" s="53">
        <v>-2176</v>
      </c>
      <c r="J576" s="53">
        <v>-1413</v>
      </c>
      <c r="K576" s="53">
        <v>-1158</v>
      </c>
      <c r="L576" s="53">
        <v>-1158</v>
      </c>
      <c r="M576" s="53">
        <f>-1158</f>
        <v>-1158</v>
      </c>
      <c r="N576" s="53">
        <v>0</v>
      </c>
      <c r="O576" s="53">
        <v>0</v>
      </c>
      <c r="P576" s="53">
        <v>-296</v>
      </c>
      <c r="Q576" s="53">
        <f>-376</f>
        <v>-376</v>
      </c>
      <c r="R576" s="53">
        <v>-519</v>
      </c>
      <c r="S576" s="53">
        <v>-529</v>
      </c>
      <c r="T576" s="53">
        <v>-600</v>
      </c>
      <c r="U576" s="53">
        <v>-518</v>
      </c>
      <c r="V576" s="53">
        <v>-539</v>
      </c>
      <c r="W576" s="53">
        <v>-526</v>
      </c>
      <c r="X576" s="53">
        <v>-594</v>
      </c>
      <c r="Y576" s="53">
        <v>-629</v>
      </c>
      <c r="Z576" s="53">
        <v>-632</v>
      </c>
      <c r="AA576" s="164">
        <v>-1196</v>
      </c>
      <c r="AB576" s="164">
        <v>-1218</v>
      </c>
      <c r="AC576" s="164">
        <v>-1219</v>
      </c>
      <c r="AD576" s="164">
        <v>-1307</v>
      </c>
      <c r="AE576" s="164">
        <v>-1705</v>
      </c>
      <c r="AF576" s="164">
        <v>-1688</v>
      </c>
      <c r="AG576" s="164">
        <v>-1458</v>
      </c>
      <c r="AH576" s="164">
        <v>-1632</v>
      </c>
      <c r="AI576" s="164">
        <v>-2673</v>
      </c>
      <c r="AJ576" s="164">
        <v>-2999</v>
      </c>
      <c r="AK576" s="164">
        <v>-3474</v>
      </c>
      <c r="AL576" s="164">
        <v>-2887</v>
      </c>
      <c r="AM576" s="164">
        <v>-2906</v>
      </c>
      <c r="AN576" s="164">
        <v>-2685</v>
      </c>
      <c r="AO576" s="164">
        <v>-1429</v>
      </c>
      <c r="AP576" s="164">
        <v>-670</v>
      </c>
      <c r="AQ576" s="164">
        <v>-545</v>
      </c>
      <c r="AR576" s="164">
        <v>-217</v>
      </c>
      <c r="AS576" s="164">
        <v>-242</v>
      </c>
      <c r="AT576" s="164">
        <v>-89</v>
      </c>
      <c r="AU576" s="164">
        <v>-89</v>
      </c>
      <c r="AV576" s="164">
        <v>-89</v>
      </c>
      <c r="AW576" s="164">
        <v>-89</v>
      </c>
      <c r="AX576" s="164">
        <v>-89</v>
      </c>
      <c r="AY576" s="164">
        <v>0</v>
      </c>
      <c r="AZ576" s="171">
        <v>-98</v>
      </c>
      <c r="BA576" s="54">
        <f t="shared" ref="BA576:BE576" si="4022">AZ576</f>
        <v>-98</v>
      </c>
      <c r="BB576" s="54">
        <f t="shared" si="4022"/>
        <v>-98</v>
      </c>
      <c r="BC576" s="54">
        <f t="shared" si="4022"/>
        <v>-98</v>
      </c>
      <c r="BD576" s="54">
        <f t="shared" si="4022"/>
        <v>-98</v>
      </c>
      <c r="BE576" s="54">
        <f t="shared" si="4022"/>
        <v>-98</v>
      </c>
      <c r="BF576" s="54">
        <f t="shared" si="4015"/>
        <v>-98</v>
      </c>
      <c r="BG576" s="54">
        <f t="shared" si="4015"/>
        <v>-98</v>
      </c>
      <c r="BH576" s="54">
        <f t="shared" si="4015"/>
        <v>-98</v>
      </c>
      <c r="BI576" s="54">
        <f t="shared" si="4015"/>
        <v>-98</v>
      </c>
      <c r="BJ576" s="54">
        <f t="shared" si="4015"/>
        <v>-98</v>
      </c>
      <c r="BK576" s="54">
        <f t="shared" si="4015"/>
        <v>-98</v>
      </c>
      <c r="BL576" s="54">
        <f t="shared" si="4015"/>
        <v>-98</v>
      </c>
      <c r="BM576" s="54">
        <f t="shared" si="4015"/>
        <v>-98</v>
      </c>
      <c r="BN576" s="54">
        <f t="shared" si="4016"/>
        <v>-98</v>
      </c>
      <c r="BO576" s="54">
        <f t="shared" si="4017"/>
        <v>-98</v>
      </c>
      <c r="BP576" s="54">
        <f t="shared" si="4018"/>
        <v>-98</v>
      </c>
      <c r="BQ576" s="54">
        <f t="shared" si="4019"/>
        <v>-98</v>
      </c>
      <c r="BR576" s="55"/>
      <c r="BS576" s="53">
        <v>0</v>
      </c>
      <c r="BT576" s="53">
        <v>0</v>
      </c>
      <c r="BU576" s="53">
        <v>0</v>
      </c>
      <c r="BV576" s="53">
        <v>0</v>
      </c>
      <c r="BW576" s="53">
        <v>0</v>
      </c>
      <c r="BX576" s="53">
        <v>0</v>
      </c>
      <c r="BY576" s="53">
        <v>0</v>
      </c>
      <c r="BZ576" s="53">
        <v>0</v>
      </c>
      <c r="CA576" s="53">
        <v>-588</v>
      </c>
      <c r="CB576" s="53">
        <v>-1458</v>
      </c>
      <c r="CC576" s="55">
        <f t="shared" si="3975"/>
        <v>-2017</v>
      </c>
      <c r="CD576" s="55">
        <f t="shared" si="3976"/>
        <v>-1824</v>
      </c>
      <c r="CE576" s="55">
        <f t="shared" si="3977"/>
        <v>-2176</v>
      </c>
      <c r="CF576" s="55">
        <f t="shared" si="3978"/>
        <v>-1158</v>
      </c>
      <c r="CG576" s="55">
        <f t="shared" si="3979"/>
        <v>-1158</v>
      </c>
      <c r="CH576" s="55">
        <f t="shared" si="3980"/>
        <v>0</v>
      </c>
      <c r="CI576" s="55">
        <f t="shared" si="3981"/>
        <v>-376</v>
      </c>
      <c r="CJ576" s="55">
        <f t="shared" si="3982"/>
        <v>-529</v>
      </c>
      <c r="CK576" s="55">
        <f t="shared" si="3983"/>
        <v>-518</v>
      </c>
      <c r="CL576" s="55">
        <f t="shared" si="3984"/>
        <v>-526</v>
      </c>
      <c r="CM576" s="55">
        <f t="shared" si="3985"/>
        <v>-629</v>
      </c>
      <c r="CN576" s="55">
        <f t="shared" si="3986"/>
        <v>-1196</v>
      </c>
      <c r="CO576" s="55">
        <f t="shared" si="3987"/>
        <v>-1219</v>
      </c>
      <c r="CP576" s="55">
        <f t="shared" si="3988"/>
        <v>-1705</v>
      </c>
      <c r="CQ576" s="55">
        <f t="shared" si="3989"/>
        <v>-1458</v>
      </c>
      <c r="CR576" s="55">
        <f t="shared" si="3990"/>
        <v>-2673</v>
      </c>
      <c r="CS576" s="55">
        <f t="shared" si="3991"/>
        <v>-3474</v>
      </c>
      <c r="CT576" s="55">
        <f t="shared" si="3992"/>
        <v>-2906</v>
      </c>
      <c r="CU576" s="55">
        <f t="shared" si="3993"/>
        <v>-1429</v>
      </c>
      <c r="CV576" s="55">
        <f t="shared" si="3994"/>
        <v>-545</v>
      </c>
      <c r="CW576" s="55">
        <f t="shared" si="3995"/>
        <v>-242</v>
      </c>
      <c r="CX576" s="55">
        <f t="shared" si="3996"/>
        <v>-89</v>
      </c>
      <c r="CY576" s="55">
        <f t="shared" si="3997"/>
        <v>-89</v>
      </c>
      <c r="CZ576" s="56">
        <f t="shared" si="3998"/>
        <v>0</v>
      </c>
      <c r="DA576" s="55">
        <f t="shared" si="3999"/>
        <v>-98</v>
      </c>
      <c r="DB576" s="55">
        <f t="shared" si="4000"/>
        <v>-98</v>
      </c>
      <c r="DC576" s="55">
        <f t="shared" si="4001"/>
        <v>-98</v>
      </c>
      <c r="DD576" s="55">
        <f t="shared" si="4002"/>
        <v>-98</v>
      </c>
      <c r="DE576" s="55">
        <f t="shared" si="4003"/>
        <v>-98</v>
      </c>
      <c r="DF576" s="55">
        <f t="shared" si="4004"/>
        <v>-98</v>
      </c>
      <c r="DG576" s="55">
        <f t="shared" si="4005"/>
        <v>-98</v>
      </c>
      <c r="DH576" s="55">
        <f t="shared" si="4006"/>
        <v>-98</v>
      </c>
      <c r="DI576" s="55">
        <f t="shared" si="4007"/>
        <v>-98</v>
      </c>
    </row>
    <row r="577" spans="1:113" outlineLevel="1">
      <c r="A577" s="1" t="s">
        <v>1038</v>
      </c>
      <c r="B577" s="19" t="s">
        <v>2538</v>
      </c>
      <c r="C577" s="53">
        <v>0</v>
      </c>
      <c r="D577" s="53">
        <v>0</v>
      </c>
      <c r="E577" s="53">
        <v>0</v>
      </c>
      <c r="F577" s="53">
        <v>0</v>
      </c>
      <c r="G577" s="53">
        <v>0</v>
      </c>
      <c r="H577" s="53">
        <v>0</v>
      </c>
      <c r="I577" s="53">
        <v>0</v>
      </c>
      <c r="J577" s="53">
        <v>0</v>
      </c>
      <c r="K577" s="53">
        <v>0</v>
      </c>
      <c r="L577" s="53">
        <v>0</v>
      </c>
      <c r="M577" s="53">
        <v>0</v>
      </c>
      <c r="N577" s="53">
        <v>-820</v>
      </c>
      <c r="O577" s="53">
        <v>-700</v>
      </c>
      <c r="P577" s="53">
        <f>-723</f>
        <v>-723</v>
      </c>
      <c r="Q577" s="53">
        <v>-561</v>
      </c>
      <c r="R577" s="53">
        <f>-1828-506</f>
        <v>-2334</v>
      </c>
      <c r="S577" s="53">
        <f>-422</f>
        <v>-422</v>
      </c>
      <c r="T577" s="53">
        <f>-315</f>
        <v>-315</v>
      </c>
      <c r="U577" s="53">
        <f>-323</f>
        <v>-323</v>
      </c>
      <c r="V577" s="53">
        <f>-328</f>
        <v>-328</v>
      </c>
      <c r="W577" s="53">
        <v>-639</v>
      </c>
      <c r="X577" s="53">
        <v>-638</v>
      </c>
      <c r="Y577" s="53">
        <f>-612</f>
        <v>-612</v>
      </c>
      <c r="Z577" s="53">
        <f>-614</f>
        <v>-614</v>
      </c>
      <c r="AA577" s="164">
        <f>-2738</f>
        <v>-2738</v>
      </c>
      <c r="AB577" s="164">
        <f>-2924</f>
        <v>-2924</v>
      </c>
      <c r="AC577" s="164">
        <f>-2589</f>
        <v>-2589</v>
      </c>
      <c r="AD577" s="164">
        <f>-2990</f>
        <v>-2990</v>
      </c>
      <c r="AE577" s="164">
        <f>-3179</f>
        <v>-3179</v>
      </c>
      <c r="AF577" s="164">
        <f>-3263</f>
        <v>-3263</v>
      </c>
      <c r="AG577" s="164">
        <f>-3120</f>
        <v>-3120</v>
      </c>
      <c r="AH577" s="164">
        <v>-2741</v>
      </c>
      <c r="AI577" s="164">
        <v>-2626</v>
      </c>
      <c r="AJ577" s="164">
        <v>-2683</v>
      </c>
      <c r="AK577" s="164">
        <v>-2967</v>
      </c>
      <c r="AL577" s="164">
        <v>-3113</v>
      </c>
      <c r="AM577" s="164">
        <v>-3088</v>
      </c>
      <c r="AN577" s="164">
        <v>-3579</v>
      </c>
      <c r="AO577" s="164">
        <v>-3648</v>
      </c>
      <c r="AP577" s="164">
        <v>-3924</v>
      </c>
      <c r="AQ577" s="164">
        <v>-6782</v>
      </c>
      <c r="AR577" s="164">
        <v>-8017</v>
      </c>
      <c r="AS577" s="164">
        <v>-4651</v>
      </c>
      <c r="AT577" s="164">
        <v>-4127</v>
      </c>
      <c r="AU577" s="164">
        <v>-3947</v>
      </c>
      <c r="AV577" s="164">
        <v>-4046</v>
      </c>
      <c r="AW577" s="164">
        <v>-4214</v>
      </c>
      <c r="AX577" s="164">
        <v>-4225</v>
      </c>
      <c r="AY577" s="164">
        <v>-3260</v>
      </c>
      <c r="AZ577" s="171">
        <v>-3289</v>
      </c>
      <c r="BA577" s="54">
        <f t="shared" ref="BA577:BE577" si="4023">AZ577</f>
        <v>-3289</v>
      </c>
      <c r="BB577" s="54">
        <f t="shared" si="4023"/>
        <v>-3289</v>
      </c>
      <c r="BC577" s="54">
        <f t="shared" si="4023"/>
        <v>-3289</v>
      </c>
      <c r="BD577" s="54">
        <f t="shared" si="4023"/>
        <v>-3289</v>
      </c>
      <c r="BE577" s="54">
        <f t="shared" si="4023"/>
        <v>-3289</v>
      </c>
      <c r="BF577" s="54">
        <f t="shared" si="4015"/>
        <v>-3289</v>
      </c>
      <c r="BG577" s="54">
        <f t="shared" si="4015"/>
        <v>-3289</v>
      </c>
      <c r="BH577" s="54">
        <f t="shared" si="4015"/>
        <v>-3289</v>
      </c>
      <c r="BI577" s="54">
        <f t="shared" si="4015"/>
        <v>-3289</v>
      </c>
      <c r="BJ577" s="54">
        <f t="shared" si="4015"/>
        <v>-3289</v>
      </c>
      <c r="BK577" s="54">
        <f t="shared" si="4015"/>
        <v>-3289</v>
      </c>
      <c r="BL577" s="54">
        <f t="shared" si="4015"/>
        <v>-3289</v>
      </c>
      <c r="BM577" s="54">
        <f t="shared" si="4015"/>
        <v>-3289</v>
      </c>
      <c r="BN577" s="54">
        <f t="shared" si="4016"/>
        <v>-3289</v>
      </c>
      <c r="BO577" s="54">
        <f t="shared" si="4017"/>
        <v>-3289</v>
      </c>
      <c r="BP577" s="54">
        <f t="shared" si="4018"/>
        <v>-3289</v>
      </c>
      <c r="BQ577" s="54">
        <f t="shared" si="4019"/>
        <v>-3289</v>
      </c>
      <c r="BR577" s="55"/>
      <c r="BS577" s="53">
        <v>0</v>
      </c>
      <c r="BT577" s="53">
        <v>0</v>
      </c>
      <c r="BU577" s="53">
        <v>0</v>
      </c>
      <c r="BV577" s="53">
        <v>0</v>
      </c>
      <c r="BW577" s="53">
        <v>0</v>
      </c>
      <c r="BX577" s="53">
        <v>0</v>
      </c>
      <c r="BY577" s="53">
        <v>0</v>
      </c>
      <c r="BZ577" s="53">
        <v>0</v>
      </c>
      <c r="CA577" s="53">
        <v>0</v>
      </c>
      <c r="CB577" s="53">
        <v>0</v>
      </c>
      <c r="CC577" s="55">
        <f t="shared" si="3975"/>
        <v>0</v>
      </c>
      <c r="CD577" s="55">
        <f t="shared" si="3976"/>
        <v>0</v>
      </c>
      <c r="CE577" s="55">
        <f t="shared" si="3977"/>
        <v>0</v>
      </c>
      <c r="CF577" s="55">
        <f t="shared" si="3978"/>
        <v>0</v>
      </c>
      <c r="CG577" s="55">
        <f t="shared" si="3979"/>
        <v>0</v>
      </c>
      <c r="CH577" s="55">
        <f t="shared" si="3980"/>
        <v>-700</v>
      </c>
      <c r="CI577" s="55">
        <f t="shared" si="3981"/>
        <v>-561</v>
      </c>
      <c r="CJ577" s="55">
        <f t="shared" si="3982"/>
        <v>-422</v>
      </c>
      <c r="CK577" s="55">
        <f t="shared" si="3983"/>
        <v>-323</v>
      </c>
      <c r="CL577" s="55">
        <f t="shared" si="3984"/>
        <v>-639</v>
      </c>
      <c r="CM577" s="55">
        <f t="shared" si="3985"/>
        <v>-612</v>
      </c>
      <c r="CN577" s="55">
        <f t="shared" si="3986"/>
        <v>-2738</v>
      </c>
      <c r="CO577" s="55">
        <f t="shared" si="3987"/>
        <v>-2589</v>
      </c>
      <c r="CP577" s="55">
        <f t="shared" si="3988"/>
        <v>-3179</v>
      </c>
      <c r="CQ577" s="55">
        <f t="shared" si="3989"/>
        <v>-3120</v>
      </c>
      <c r="CR577" s="55">
        <f t="shared" si="3990"/>
        <v>-2626</v>
      </c>
      <c r="CS577" s="55">
        <f t="shared" si="3991"/>
        <v>-2967</v>
      </c>
      <c r="CT577" s="55">
        <f t="shared" si="3992"/>
        <v>-3088</v>
      </c>
      <c r="CU577" s="55">
        <f t="shared" si="3993"/>
        <v>-3648</v>
      </c>
      <c r="CV577" s="55">
        <f t="shared" si="3994"/>
        <v>-6782</v>
      </c>
      <c r="CW577" s="55">
        <f t="shared" si="3995"/>
        <v>-4651</v>
      </c>
      <c r="CX577" s="55">
        <f t="shared" si="3996"/>
        <v>-3947</v>
      </c>
      <c r="CY577" s="55">
        <f t="shared" si="3997"/>
        <v>-4214</v>
      </c>
      <c r="CZ577" s="56">
        <f t="shared" si="3998"/>
        <v>-3260</v>
      </c>
      <c r="DA577" s="55">
        <f t="shared" si="3999"/>
        <v>-3289</v>
      </c>
      <c r="DB577" s="55">
        <f t="shared" si="4000"/>
        <v>-3289</v>
      </c>
      <c r="DC577" s="55">
        <f t="shared" si="4001"/>
        <v>-3289</v>
      </c>
      <c r="DD577" s="55">
        <f t="shared" si="4002"/>
        <v>-3289</v>
      </c>
      <c r="DE577" s="55">
        <f t="shared" si="4003"/>
        <v>-3289</v>
      </c>
      <c r="DF577" s="55">
        <f t="shared" si="4004"/>
        <v>-3289</v>
      </c>
      <c r="DG577" s="55">
        <f t="shared" si="4005"/>
        <v>-3289</v>
      </c>
      <c r="DH577" s="55">
        <f t="shared" si="4006"/>
        <v>-3289</v>
      </c>
      <c r="DI577" s="55">
        <f t="shared" si="4007"/>
        <v>-3289</v>
      </c>
    </row>
    <row r="578" spans="1:113" outlineLevel="1">
      <c r="A578" s="1" t="s">
        <v>1039</v>
      </c>
      <c r="B578" s="19" t="s">
        <v>474</v>
      </c>
      <c r="C578" s="53">
        <v>0</v>
      </c>
      <c r="D578" s="53">
        <v>0</v>
      </c>
      <c r="E578" s="53">
        <v>0</v>
      </c>
      <c r="F578" s="53">
        <v>0</v>
      </c>
      <c r="G578" s="53">
        <v>0</v>
      </c>
      <c r="H578" s="53">
        <v>0</v>
      </c>
      <c r="I578" s="53">
        <v>0</v>
      </c>
      <c r="J578" s="53">
        <v>0</v>
      </c>
      <c r="K578" s="53">
        <v>0</v>
      </c>
      <c r="L578" s="53">
        <v>0</v>
      </c>
      <c r="M578" s="53">
        <v>0</v>
      </c>
      <c r="N578" s="53">
        <v>0</v>
      </c>
      <c r="O578" s="53">
        <v>0</v>
      </c>
      <c r="P578" s="53">
        <v>-536</v>
      </c>
      <c r="Q578" s="53">
        <v>-587</v>
      </c>
      <c r="R578" s="53">
        <v>-605</v>
      </c>
      <c r="S578" s="53">
        <v>-654</v>
      </c>
      <c r="T578" s="53">
        <v>-727</v>
      </c>
      <c r="U578" s="53">
        <v>-830</v>
      </c>
      <c r="V578" s="53">
        <v>-748</v>
      </c>
      <c r="W578" s="53">
        <v>-817</v>
      </c>
      <c r="X578" s="53">
        <v>-646</v>
      </c>
      <c r="Y578" s="53">
        <v>-630</v>
      </c>
      <c r="Z578" s="53">
        <v>-512</v>
      </c>
      <c r="AA578" s="164">
        <v>-271</v>
      </c>
      <c r="AB578" s="164">
        <v>-236</v>
      </c>
      <c r="AC578" s="164">
        <v>-502</v>
      </c>
      <c r="AD578" s="164">
        <v>-102</v>
      </c>
      <c r="AE578" s="164">
        <v>-134</v>
      </c>
      <c r="AF578" s="164">
        <v>-245</v>
      </c>
      <c r="AG578" s="164">
        <v>-314</v>
      </c>
      <c r="AH578" s="164">
        <v>-220</v>
      </c>
      <c r="AI578" s="164">
        <v>-218</v>
      </c>
      <c r="AJ578" s="164">
        <v>-99</v>
      </c>
      <c r="AK578" s="164">
        <v>-212</v>
      </c>
      <c r="AL578" s="164">
        <v>0</v>
      </c>
      <c r="AM578" s="164">
        <v>0</v>
      </c>
      <c r="AN578" s="164">
        <v>0</v>
      </c>
      <c r="AO578" s="164">
        <v>0</v>
      </c>
      <c r="AP578" s="164">
        <v>0</v>
      </c>
      <c r="AQ578" s="164">
        <v>0</v>
      </c>
      <c r="AR578" s="164">
        <v>0</v>
      </c>
      <c r="AS578" s="164">
        <v>0</v>
      </c>
      <c r="AT578" s="164">
        <v>0</v>
      </c>
      <c r="AU578" s="164">
        <v>0</v>
      </c>
      <c r="AV578" s="164">
        <v>0</v>
      </c>
      <c r="AW578" s="164">
        <v>0</v>
      </c>
      <c r="AX578" s="164">
        <v>0</v>
      </c>
      <c r="AY578" s="164">
        <v>0</v>
      </c>
      <c r="AZ578" s="171">
        <v>0</v>
      </c>
      <c r="BA578" s="54">
        <f t="shared" ref="BA578:BE578" si="4024">AZ578*BA161/AZ161</f>
        <v>0</v>
      </c>
      <c r="BB578" s="54">
        <f t="shared" si="4024"/>
        <v>0</v>
      </c>
      <c r="BC578" s="54">
        <f t="shared" si="4024"/>
        <v>0</v>
      </c>
      <c r="BD578" s="54">
        <f t="shared" si="4024"/>
        <v>0</v>
      </c>
      <c r="BE578" s="54">
        <f t="shared" si="4024"/>
        <v>0</v>
      </c>
      <c r="BF578" s="54">
        <f t="shared" ref="BF578:BM578" si="4025">BE578*BF161/BE161</f>
        <v>0</v>
      </c>
      <c r="BG578" s="54">
        <f t="shared" si="4025"/>
        <v>0</v>
      </c>
      <c r="BH578" s="54">
        <f t="shared" si="4025"/>
        <v>0</v>
      </c>
      <c r="BI578" s="54">
        <f t="shared" si="4025"/>
        <v>0</v>
      </c>
      <c r="BJ578" s="54">
        <f t="shared" si="4025"/>
        <v>0</v>
      </c>
      <c r="BK578" s="54">
        <f t="shared" si="4025"/>
        <v>0</v>
      </c>
      <c r="BL578" s="54">
        <f t="shared" si="4025"/>
        <v>0</v>
      </c>
      <c r="BM578" s="54">
        <f t="shared" si="4025"/>
        <v>0</v>
      </c>
      <c r="BN578" s="54">
        <f t="shared" ref="BN578" si="4026">BM578*BN161/BM161</f>
        <v>0</v>
      </c>
      <c r="BO578" s="54">
        <f t="shared" ref="BO578" si="4027">BN578*BO161/BN161</f>
        <v>0</v>
      </c>
      <c r="BP578" s="54">
        <f t="shared" ref="BP578" si="4028">BO578*BP161/BO161</f>
        <v>0</v>
      </c>
      <c r="BQ578" s="54">
        <f t="shared" ref="BQ578" si="4029">BP578*BQ161/BP161</f>
        <v>0</v>
      </c>
      <c r="BR578" s="55"/>
      <c r="BS578" s="53">
        <v>0</v>
      </c>
      <c r="BT578" s="53">
        <v>0</v>
      </c>
      <c r="BU578" s="53">
        <v>0</v>
      </c>
      <c r="BV578" s="53">
        <v>0</v>
      </c>
      <c r="BW578" s="53">
        <v>0</v>
      </c>
      <c r="BX578" s="53">
        <v>0</v>
      </c>
      <c r="BY578" s="53">
        <v>0</v>
      </c>
      <c r="BZ578" s="53">
        <v>0</v>
      </c>
      <c r="CA578" s="53">
        <v>0</v>
      </c>
      <c r="CB578" s="53">
        <v>0</v>
      </c>
      <c r="CC578" s="55">
        <f t="shared" si="3975"/>
        <v>0</v>
      </c>
      <c r="CD578" s="55">
        <f t="shared" si="3976"/>
        <v>0</v>
      </c>
      <c r="CE578" s="55">
        <f t="shared" si="3977"/>
        <v>0</v>
      </c>
      <c r="CF578" s="55">
        <f t="shared" si="3978"/>
        <v>0</v>
      </c>
      <c r="CG578" s="55">
        <f t="shared" si="3979"/>
        <v>0</v>
      </c>
      <c r="CH578" s="55">
        <f t="shared" si="3980"/>
        <v>0</v>
      </c>
      <c r="CI578" s="55">
        <f t="shared" si="3981"/>
        <v>-587</v>
      </c>
      <c r="CJ578" s="55">
        <f t="shared" si="3982"/>
        <v>-654</v>
      </c>
      <c r="CK578" s="55">
        <f t="shared" si="3983"/>
        <v>-830</v>
      </c>
      <c r="CL578" s="55">
        <f t="shared" si="3984"/>
        <v>-817</v>
      </c>
      <c r="CM578" s="55">
        <f t="shared" si="3985"/>
        <v>-630</v>
      </c>
      <c r="CN578" s="55">
        <f t="shared" si="3986"/>
        <v>-271</v>
      </c>
      <c r="CO578" s="55">
        <f t="shared" si="3987"/>
        <v>-502</v>
      </c>
      <c r="CP578" s="55">
        <f t="shared" si="3988"/>
        <v>-134</v>
      </c>
      <c r="CQ578" s="55">
        <f t="shared" si="3989"/>
        <v>-314</v>
      </c>
      <c r="CR578" s="55">
        <f t="shared" si="3990"/>
        <v>-218</v>
      </c>
      <c r="CS578" s="55">
        <f t="shared" si="3991"/>
        <v>-212</v>
      </c>
      <c r="CT578" s="55">
        <f t="shared" si="3992"/>
        <v>0</v>
      </c>
      <c r="CU578" s="55">
        <f t="shared" si="3993"/>
        <v>0</v>
      </c>
      <c r="CV578" s="55">
        <f t="shared" si="3994"/>
        <v>0</v>
      </c>
      <c r="CW578" s="55">
        <f t="shared" si="3995"/>
        <v>0</v>
      </c>
      <c r="CX578" s="55">
        <f t="shared" si="3996"/>
        <v>0</v>
      </c>
      <c r="CY578" s="55">
        <f t="shared" si="3997"/>
        <v>0</v>
      </c>
      <c r="CZ578" s="56">
        <f t="shared" si="3998"/>
        <v>0</v>
      </c>
      <c r="DA578" s="55">
        <f t="shared" si="3999"/>
        <v>0</v>
      </c>
      <c r="DB578" s="55">
        <f t="shared" si="4000"/>
        <v>0</v>
      </c>
      <c r="DC578" s="55">
        <f t="shared" si="4001"/>
        <v>0</v>
      </c>
      <c r="DD578" s="55">
        <f t="shared" si="4002"/>
        <v>0</v>
      </c>
      <c r="DE578" s="55">
        <f t="shared" si="4003"/>
        <v>0</v>
      </c>
      <c r="DF578" s="55">
        <f t="shared" si="4004"/>
        <v>0</v>
      </c>
      <c r="DG578" s="55">
        <f t="shared" si="4005"/>
        <v>0</v>
      </c>
      <c r="DH578" s="55">
        <f t="shared" si="4006"/>
        <v>0</v>
      </c>
      <c r="DI578" s="55">
        <f t="shared" si="4007"/>
        <v>0</v>
      </c>
    </row>
    <row r="579" spans="1:113" outlineLevel="2">
      <c r="A579" s="1" t="s">
        <v>1040</v>
      </c>
      <c r="B579" s="19" t="s">
        <v>1114</v>
      </c>
      <c r="C579" s="55"/>
      <c r="D579" s="55"/>
      <c r="E579" s="55"/>
      <c r="F579" s="55"/>
      <c r="G579" s="55"/>
      <c r="H579" s="55"/>
      <c r="I579" s="55"/>
      <c r="J579" s="55"/>
      <c r="K579" s="55"/>
      <c r="L579" s="55"/>
      <c r="M579" s="55"/>
      <c r="N579" s="53">
        <v>1641</v>
      </c>
      <c r="O579" s="53">
        <v>1641</v>
      </c>
      <c r="P579" s="55"/>
      <c r="Q579" s="55"/>
      <c r="R579" s="55"/>
      <c r="S579" s="55"/>
      <c r="T579" s="55"/>
      <c r="U579" s="55"/>
      <c r="V579" s="55"/>
      <c r="W579" s="55"/>
      <c r="X579" s="55"/>
      <c r="Y579" s="55"/>
      <c r="Z579" s="55"/>
      <c r="AA579" s="54"/>
      <c r="AB579" s="54"/>
      <c r="AC579" s="164"/>
      <c r="AD579" s="54"/>
      <c r="AE579" s="54"/>
      <c r="AF579" s="54"/>
      <c r="AG579" s="54"/>
      <c r="AH579" s="54"/>
      <c r="AI579" s="54"/>
      <c r="AJ579" s="54"/>
      <c r="AK579" s="54"/>
      <c r="AL579" s="54"/>
      <c r="AM579" s="54"/>
      <c r="AN579" s="54"/>
      <c r="AO579" s="54"/>
      <c r="AP579" s="54"/>
      <c r="AQ579" s="54"/>
      <c r="AR579" s="54"/>
      <c r="AS579" s="54"/>
      <c r="AT579" s="54"/>
      <c r="AU579" s="54"/>
      <c r="AV579" s="54"/>
      <c r="AW579" s="54"/>
      <c r="AX579" s="54"/>
      <c r="AY579" s="54"/>
      <c r="AZ579" s="388"/>
      <c r="BA579" s="54"/>
      <c r="BB579" s="54"/>
      <c r="BC579" s="54"/>
      <c r="BD579" s="54"/>
      <c r="BE579" s="54"/>
      <c r="BF579" s="54"/>
      <c r="BG579" s="54"/>
      <c r="BH579" s="54"/>
      <c r="BI579" s="54"/>
      <c r="BJ579" s="54"/>
      <c r="BK579" s="54"/>
      <c r="BL579" s="54"/>
      <c r="BM579" s="54"/>
      <c r="BN579" s="54"/>
      <c r="BO579" s="54"/>
      <c r="BP579" s="54"/>
      <c r="BQ579" s="54"/>
      <c r="BR579" s="55"/>
      <c r="BS579" s="53"/>
      <c r="BT579" s="53"/>
      <c r="BU579" s="53"/>
      <c r="BV579" s="53"/>
      <c r="BW579" s="53"/>
      <c r="BX579" s="53"/>
      <c r="BY579" s="53"/>
      <c r="BZ579" s="53"/>
      <c r="CA579" s="53"/>
      <c r="CB579" s="53"/>
      <c r="CC579" s="55"/>
      <c r="CD579" s="55"/>
      <c r="CE579" s="55"/>
      <c r="CF579" s="55"/>
      <c r="CG579" s="55"/>
      <c r="CH579" s="55">
        <f t="shared" si="3980"/>
        <v>1641</v>
      </c>
      <c r="CI579" s="55"/>
      <c r="CJ579" s="55"/>
      <c r="CK579" s="55"/>
      <c r="CL579" s="55"/>
      <c r="CM579" s="55"/>
      <c r="CN579" s="55"/>
      <c r="CO579" s="55"/>
      <c r="CP579" s="55"/>
      <c r="CQ579" s="55"/>
      <c r="CR579" s="55"/>
      <c r="CS579" s="55"/>
      <c r="CT579" s="55"/>
      <c r="CU579" s="55"/>
      <c r="CV579" s="55"/>
      <c r="CW579" s="55"/>
      <c r="CX579" s="55"/>
      <c r="CY579" s="55"/>
      <c r="CZ579" s="56"/>
      <c r="DA579" s="55"/>
      <c r="DB579" s="55"/>
      <c r="DC579" s="24"/>
      <c r="DD579" s="24"/>
      <c r="DE579" s="24"/>
      <c r="DF579" s="24"/>
      <c r="DG579" s="24"/>
      <c r="DH579" s="24"/>
      <c r="DI579" s="24"/>
    </row>
    <row r="580" spans="1:113" outlineLevel="2">
      <c r="A580" s="1" t="s">
        <v>67</v>
      </c>
      <c r="B580" s="19" t="s">
        <v>801</v>
      </c>
      <c r="C580" s="55"/>
      <c r="D580" s="55"/>
      <c r="E580" s="55"/>
      <c r="F580" s="55"/>
      <c r="G580" s="55"/>
      <c r="H580" s="55"/>
      <c r="I580" s="55"/>
      <c r="J580" s="55"/>
      <c r="K580" s="55"/>
      <c r="L580" s="55"/>
      <c r="M580" s="55"/>
      <c r="N580" s="55"/>
      <c r="O580" s="55"/>
      <c r="P580" s="55"/>
      <c r="Q580" s="55"/>
      <c r="R580" s="55"/>
      <c r="S580" s="55"/>
      <c r="T580" s="55"/>
      <c r="U580" s="55"/>
      <c r="V580" s="55"/>
      <c r="W580" s="55"/>
      <c r="X580" s="55"/>
      <c r="Y580" s="55"/>
      <c r="Z580" s="55"/>
      <c r="AA580" s="54"/>
      <c r="AB580" s="54"/>
      <c r="AC580" s="164"/>
      <c r="AD580" s="54"/>
      <c r="AE580" s="54"/>
      <c r="AF580" s="54"/>
      <c r="AG580" s="54"/>
      <c r="AH580" s="54"/>
      <c r="AI580" s="54"/>
      <c r="AJ580" s="54"/>
      <c r="AK580" s="54"/>
      <c r="AL580" s="54"/>
      <c r="AM580" s="54"/>
      <c r="AN580" s="54"/>
      <c r="AO580" s="54"/>
      <c r="AP580" s="54"/>
      <c r="AQ580" s="54"/>
      <c r="AR580" s="54"/>
      <c r="AS580" s="54"/>
      <c r="AT580" s="54"/>
      <c r="AU580" s="54"/>
      <c r="AV580" s="54"/>
      <c r="AW580" s="54"/>
      <c r="AX580" s="54"/>
      <c r="AY580" s="54"/>
      <c r="AZ580" s="388"/>
      <c r="BA580" s="54"/>
      <c r="BB580" s="54"/>
      <c r="BC580" s="54"/>
      <c r="BD580" s="54"/>
      <c r="BE580" s="54"/>
      <c r="BF580" s="54"/>
      <c r="BG580" s="54"/>
      <c r="BH580" s="54"/>
      <c r="BI580" s="54"/>
      <c r="BJ580" s="54"/>
      <c r="BK580" s="54"/>
      <c r="BL580" s="54"/>
      <c r="BM580" s="54"/>
      <c r="BN580" s="54"/>
      <c r="BO580" s="54"/>
      <c r="BP580" s="54"/>
      <c r="BQ580" s="54"/>
      <c r="BR580" s="55"/>
      <c r="BS580" s="53"/>
      <c r="BT580" s="53"/>
      <c r="BU580" s="53"/>
      <c r="BV580" s="53"/>
      <c r="BW580" s="53"/>
      <c r="BX580" s="53"/>
      <c r="BY580" s="53"/>
      <c r="BZ580" s="53"/>
      <c r="CA580" s="53"/>
      <c r="CB580" s="53"/>
      <c r="CC580" s="55"/>
      <c r="CD580" s="55"/>
      <c r="CE580" s="55"/>
      <c r="CF580" s="55"/>
      <c r="CG580" s="55"/>
      <c r="CH580" s="55"/>
      <c r="CI580" s="55"/>
      <c r="CJ580" s="55"/>
      <c r="CK580" s="55"/>
      <c r="CL580" s="55"/>
      <c r="CM580" s="55"/>
      <c r="CN580" s="55"/>
      <c r="CO580" s="55"/>
      <c r="CP580" s="55"/>
      <c r="CQ580" s="55"/>
      <c r="CR580" s="55"/>
      <c r="CS580" s="55"/>
      <c r="CT580" s="55"/>
      <c r="CU580" s="55"/>
      <c r="CV580" s="55"/>
      <c r="CW580" s="55"/>
      <c r="CX580" s="55"/>
      <c r="CY580" s="55"/>
      <c r="CZ580" s="56"/>
      <c r="DA580" s="55"/>
      <c r="DB580" s="55"/>
      <c r="DC580" s="24"/>
      <c r="DD580" s="24"/>
      <c r="DE580" s="24"/>
      <c r="DF580" s="24"/>
      <c r="DG580" s="24"/>
      <c r="DH580" s="24"/>
      <c r="DI580" s="24"/>
    </row>
    <row r="581" spans="1:113" outlineLevel="2">
      <c r="A581" s="1" t="s">
        <v>68</v>
      </c>
      <c r="B581" s="19" t="s">
        <v>801</v>
      </c>
      <c r="C581" s="55"/>
      <c r="D581" s="55"/>
      <c r="E581" s="55"/>
      <c r="F581" s="55"/>
      <c r="G581" s="55"/>
      <c r="H581" s="55"/>
      <c r="I581" s="55"/>
      <c r="J581" s="55"/>
      <c r="K581" s="55"/>
      <c r="L581" s="55"/>
      <c r="M581" s="55"/>
      <c r="N581" s="55"/>
      <c r="O581" s="55"/>
      <c r="P581" s="55"/>
      <c r="Q581" s="55"/>
      <c r="R581" s="55"/>
      <c r="S581" s="55"/>
      <c r="T581" s="55"/>
      <c r="U581" s="55"/>
      <c r="V581" s="55"/>
      <c r="W581" s="55"/>
      <c r="X581" s="55"/>
      <c r="Y581" s="55"/>
      <c r="Z581" s="55"/>
      <c r="AA581" s="54"/>
      <c r="AB581" s="54"/>
      <c r="AC581" s="164"/>
      <c r="AD581" s="54"/>
      <c r="AE581" s="54"/>
      <c r="AF581" s="54"/>
      <c r="AG581" s="54"/>
      <c r="AH581" s="54"/>
      <c r="AI581" s="54"/>
      <c r="AJ581" s="54"/>
      <c r="AK581" s="54"/>
      <c r="AL581" s="54"/>
      <c r="AM581" s="54"/>
      <c r="AN581" s="54"/>
      <c r="AO581" s="54"/>
      <c r="AP581" s="54"/>
      <c r="AQ581" s="54"/>
      <c r="AR581" s="54"/>
      <c r="AS581" s="54"/>
      <c r="AT581" s="54"/>
      <c r="AU581" s="54"/>
      <c r="AV581" s="54"/>
      <c r="AW581" s="54"/>
      <c r="AX581" s="54"/>
      <c r="AY581" s="54"/>
      <c r="AZ581" s="388"/>
      <c r="BA581" s="54"/>
      <c r="BB581" s="54"/>
      <c r="BC581" s="54"/>
      <c r="BD581" s="54"/>
      <c r="BE581" s="54"/>
      <c r="BF581" s="54"/>
      <c r="BG581" s="54"/>
      <c r="BH581" s="54"/>
      <c r="BI581" s="54"/>
      <c r="BJ581" s="54"/>
      <c r="BK581" s="54"/>
      <c r="BL581" s="54"/>
      <c r="BM581" s="54"/>
      <c r="BN581" s="54"/>
      <c r="BO581" s="54"/>
      <c r="BP581" s="54"/>
      <c r="BQ581" s="54"/>
      <c r="BR581" s="55"/>
      <c r="BS581" s="53"/>
      <c r="BT581" s="53"/>
      <c r="BU581" s="53"/>
      <c r="BV581" s="53"/>
      <c r="BW581" s="53"/>
      <c r="BX581" s="53"/>
      <c r="BY581" s="53"/>
      <c r="BZ581" s="53"/>
      <c r="CA581" s="53"/>
      <c r="CB581" s="53"/>
      <c r="CC581" s="55"/>
      <c r="CD581" s="55"/>
      <c r="CE581" s="55"/>
      <c r="CF581" s="55"/>
      <c r="CG581" s="55"/>
      <c r="CH581" s="55"/>
      <c r="CI581" s="55"/>
      <c r="CJ581" s="55"/>
      <c r="CK581" s="55"/>
      <c r="CL581" s="55"/>
      <c r="CM581" s="55"/>
      <c r="CN581" s="55"/>
      <c r="CO581" s="55"/>
      <c r="CP581" s="55"/>
      <c r="CQ581" s="55"/>
      <c r="CR581" s="55"/>
      <c r="CS581" s="55"/>
      <c r="CT581" s="55"/>
      <c r="CU581" s="55"/>
      <c r="CV581" s="55"/>
      <c r="CW581" s="55"/>
      <c r="CX581" s="55"/>
      <c r="CY581" s="55"/>
      <c r="CZ581" s="56"/>
      <c r="DA581" s="55"/>
      <c r="DB581" s="55"/>
      <c r="DC581" s="24"/>
      <c r="DD581" s="24"/>
      <c r="DE581" s="24"/>
      <c r="DF581" s="24"/>
      <c r="DG581" s="24"/>
      <c r="DH581" s="24"/>
      <c r="DI581" s="24"/>
    </row>
    <row r="582" spans="1:113" outlineLevel="2">
      <c r="A582" s="1" t="s">
        <v>11</v>
      </c>
      <c r="B582" s="19" t="s">
        <v>801</v>
      </c>
      <c r="C582" s="55"/>
      <c r="D582" s="55"/>
      <c r="E582" s="55"/>
      <c r="F582" s="55"/>
      <c r="G582" s="55"/>
      <c r="H582" s="55"/>
      <c r="I582" s="55"/>
      <c r="J582" s="55"/>
      <c r="K582" s="55"/>
      <c r="L582" s="55"/>
      <c r="M582" s="55"/>
      <c r="N582" s="55"/>
      <c r="O582" s="55"/>
      <c r="P582" s="55"/>
      <c r="Q582" s="55"/>
      <c r="R582" s="55"/>
      <c r="S582" s="55"/>
      <c r="T582" s="55"/>
      <c r="U582" s="55"/>
      <c r="V582" s="55"/>
      <c r="W582" s="55"/>
      <c r="X582" s="55"/>
      <c r="Y582" s="55"/>
      <c r="Z582" s="55"/>
      <c r="AA582" s="54"/>
      <c r="AB582" s="54"/>
      <c r="AC582" s="164"/>
      <c r="AD582" s="54"/>
      <c r="AE582" s="54"/>
      <c r="AF582" s="54"/>
      <c r="AG582" s="54"/>
      <c r="AH582" s="54"/>
      <c r="AI582" s="54"/>
      <c r="AJ582" s="54"/>
      <c r="AK582" s="54"/>
      <c r="AL582" s="54"/>
      <c r="AM582" s="54"/>
      <c r="AN582" s="54"/>
      <c r="AO582" s="54"/>
      <c r="AP582" s="54"/>
      <c r="AQ582" s="54"/>
      <c r="AR582" s="54"/>
      <c r="AS582" s="54"/>
      <c r="AT582" s="54"/>
      <c r="AU582" s="54"/>
      <c r="AV582" s="54"/>
      <c r="AW582" s="54"/>
      <c r="AX582" s="54"/>
      <c r="AY582" s="54"/>
      <c r="AZ582" s="388"/>
      <c r="BA582" s="54"/>
      <c r="BB582" s="54"/>
      <c r="BC582" s="54"/>
      <c r="BD582" s="54"/>
      <c r="BE582" s="54"/>
      <c r="BF582" s="54"/>
      <c r="BG582" s="54"/>
      <c r="BH582" s="54"/>
      <c r="BI582" s="54"/>
      <c r="BJ582" s="54"/>
      <c r="BK582" s="54"/>
      <c r="BL582" s="54"/>
      <c r="BM582" s="54"/>
      <c r="BN582" s="54"/>
      <c r="BO582" s="54"/>
      <c r="BP582" s="54"/>
      <c r="BQ582" s="54"/>
      <c r="BR582" s="55"/>
      <c r="BS582" s="53"/>
      <c r="BT582" s="53"/>
      <c r="BU582" s="53"/>
      <c r="BV582" s="53"/>
      <c r="BW582" s="53"/>
      <c r="BX582" s="53"/>
      <c r="BY582" s="53"/>
      <c r="BZ582" s="53"/>
      <c r="CA582" s="53"/>
      <c r="CB582" s="53"/>
      <c r="CC582" s="55"/>
      <c r="CD582" s="55"/>
      <c r="CE582" s="55"/>
      <c r="CF582" s="55"/>
      <c r="CG582" s="55"/>
      <c r="CH582" s="55"/>
      <c r="CI582" s="55"/>
      <c r="CJ582" s="55"/>
      <c r="CK582" s="55"/>
      <c r="CL582" s="55"/>
      <c r="CM582" s="55"/>
      <c r="CN582" s="55"/>
      <c r="CO582" s="55"/>
      <c r="CP582" s="55"/>
      <c r="CQ582" s="55"/>
      <c r="CR582" s="55"/>
      <c r="CS582" s="55"/>
      <c r="CT582" s="55"/>
      <c r="CU582" s="55"/>
      <c r="CV582" s="55"/>
      <c r="CW582" s="55"/>
      <c r="CX582" s="55"/>
      <c r="CY582" s="55"/>
      <c r="CZ582" s="56"/>
      <c r="DA582" s="55"/>
      <c r="DB582" s="55"/>
      <c r="DC582" s="24"/>
      <c r="DD582" s="24"/>
      <c r="DE582" s="24"/>
      <c r="DF582" s="24"/>
      <c r="DG582" s="24"/>
      <c r="DH582" s="24"/>
      <c r="DI582" s="24"/>
    </row>
    <row r="583" spans="1:113" outlineLevel="1">
      <c r="A583" s="1" t="s">
        <v>1041</v>
      </c>
      <c r="B583" s="19" t="s">
        <v>475</v>
      </c>
      <c r="C583" s="53">
        <v>0</v>
      </c>
      <c r="D583" s="53">
        <v>0</v>
      </c>
      <c r="E583" s="53">
        <v>0</v>
      </c>
      <c r="F583" s="53">
        <v>-110</v>
      </c>
      <c r="G583" s="53">
        <v>-123</v>
      </c>
      <c r="H583" s="53">
        <v>-123</v>
      </c>
      <c r="I583" s="53">
        <v>-114</v>
      </c>
      <c r="J583" s="53">
        <v>-111</v>
      </c>
      <c r="K583" s="53">
        <v>-111</v>
      </c>
      <c r="L583" s="53">
        <v>0</v>
      </c>
      <c r="M583" s="53">
        <v>0</v>
      </c>
      <c r="N583" s="53">
        <f>-182+73-1018-0</f>
        <v>-1127</v>
      </c>
      <c r="O583" s="53">
        <f>-440+51-1270-0</f>
        <v>-1659</v>
      </c>
      <c r="P583" s="53">
        <f>-477+81-1314-0</f>
        <v>-1710</v>
      </c>
      <c r="Q583" s="53">
        <f>-341+39-1075-0</f>
        <v>-1377</v>
      </c>
      <c r="R583" s="53">
        <f>675+32-36-0</f>
        <v>671</v>
      </c>
      <c r="S583" s="53">
        <f>813+0-347-0</f>
        <v>466</v>
      </c>
      <c r="T583" s="53">
        <f>625+15-411-0</f>
        <v>229</v>
      </c>
      <c r="U583" s="53">
        <f>417-125-221-90</f>
        <v>-19</v>
      </c>
      <c r="V583" s="53">
        <f>-106+490-100-255</f>
        <v>29</v>
      </c>
      <c r="W583" s="53">
        <f>-132+402-135-53</f>
        <v>82</v>
      </c>
      <c r="X583" s="53">
        <f>-183-234-95</f>
        <v>-512</v>
      </c>
      <c r="Y583" s="53">
        <f>-209-644-136+149-20-113</f>
        <v>-973</v>
      </c>
      <c r="Z583" s="53">
        <f>-197-485-90+122-11-241</f>
        <v>-902</v>
      </c>
      <c r="AA583" s="53">
        <f>-208-368-132+59-11-174</f>
        <v>-834</v>
      </c>
      <c r="AB583" s="164">
        <f>-198-169-79+7-6-152</f>
        <v>-597</v>
      </c>
      <c r="AC583" s="164">
        <f>-214-224-125-103-48-148</f>
        <v>-862</v>
      </c>
      <c r="AD583" s="164">
        <f>-225-459-79-145-113-170</f>
        <v>-1191</v>
      </c>
      <c r="AE583" s="164">
        <f>-242-263-122-222-144-194-193</f>
        <v>-1380</v>
      </c>
      <c r="AF583" s="164">
        <f>-270-137-85-132-207-307</f>
        <v>-1138</v>
      </c>
      <c r="AG583" s="164">
        <f>-386-473-132-161-112-183</f>
        <v>-1447</v>
      </c>
      <c r="AH583" s="164">
        <f>-372+47-107-147-114-299</f>
        <v>-992</v>
      </c>
      <c r="AI583" s="164">
        <f>-412+107-164-128-122-298</f>
        <v>-1017</v>
      </c>
      <c r="AJ583" s="164">
        <f>-388+151-115-96-286-305</f>
        <v>-1039</v>
      </c>
      <c r="AK583" s="164">
        <f>-412+160-145-116-336-407</f>
        <v>-1256</v>
      </c>
      <c r="AL583" s="164">
        <f>-378-57-103-74-347-308</f>
        <v>-1267</v>
      </c>
      <c r="AM583" s="164">
        <f>-360-787-161-52-364-324</f>
        <v>-2048</v>
      </c>
      <c r="AN583" s="164">
        <f>0-548-96-34-422-244</f>
        <v>-1344</v>
      </c>
      <c r="AO583" s="164">
        <f>0-1513-138-16-420-476</f>
        <v>-2563</v>
      </c>
      <c r="AP583" s="164">
        <f>0-994-64-9-185-180</f>
        <v>-1432</v>
      </c>
      <c r="AQ583" s="164">
        <f>0-467-103-10-124-364</f>
        <v>-1068</v>
      </c>
      <c r="AR583" s="164">
        <f>0+41-55-25-14-77-325</f>
        <v>-455</v>
      </c>
      <c r="AS583" s="164">
        <f>0+859-94-131-18-72-406</f>
        <v>138</v>
      </c>
      <c r="AT583" s="164">
        <f>0+1236-60-94-6-91-411</f>
        <v>574</v>
      </c>
      <c r="AU583" s="164">
        <f>0+1820-99-89-0-81-453</f>
        <v>1098</v>
      </c>
      <c r="AV583" s="164">
        <f>0+936-79-89-0-164-367</f>
        <v>237</v>
      </c>
      <c r="AW583" s="164">
        <f>0+1510-117-89-0-150-305</f>
        <v>849</v>
      </c>
      <c r="AX583" s="164">
        <f>0+590-89-89-0-168-338</f>
        <v>-94</v>
      </c>
      <c r="AY583" s="164">
        <f>-1162-89-42-157-417-158</f>
        <v>-2025</v>
      </c>
      <c r="AZ583" s="171">
        <f>0+1113-92-89-0-115-407</f>
        <v>410</v>
      </c>
      <c r="BA583" s="54">
        <f t="shared" ref="BA583:BE583" si="4030">AZ583</f>
        <v>410</v>
      </c>
      <c r="BB583" s="54">
        <f t="shared" si="4030"/>
        <v>410</v>
      </c>
      <c r="BC583" s="54">
        <f t="shared" si="4030"/>
        <v>410</v>
      </c>
      <c r="BD583" s="54">
        <f t="shared" si="4030"/>
        <v>410</v>
      </c>
      <c r="BE583" s="54">
        <f t="shared" si="4030"/>
        <v>410</v>
      </c>
      <c r="BF583" s="54">
        <f t="shared" ref="BF583:BM584" si="4031">BE583</f>
        <v>410</v>
      </c>
      <c r="BG583" s="54">
        <f t="shared" si="4031"/>
        <v>410</v>
      </c>
      <c r="BH583" s="54">
        <f t="shared" si="4031"/>
        <v>410</v>
      </c>
      <c r="BI583" s="54">
        <f t="shared" si="4031"/>
        <v>410</v>
      </c>
      <c r="BJ583" s="54">
        <f t="shared" si="4031"/>
        <v>410</v>
      </c>
      <c r="BK583" s="54">
        <f t="shared" si="4031"/>
        <v>410</v>
      </c>
      <c r="BL583" s="54">
        <f t="shared" si="4031"/>
        <v>410</v>
      </c>
      <c r="BM583" s="54">
        <f t="shared" si="4031"/>
        <v>410</v>
      </c>
      <c r="BN583" s="54">
        <f t="shared" ref="BN583:BN584" si="4032">BM583</f>
        <v>410</v>
      </c>
      <c r="BO583" s="54">
        <f t="shared" ref="BO583:BO584" si="4033">BN583</f>
        <v>410</v>
      </c>
      <c r="BP583" s="54">
        <f t="shared" ref="BP583:BP584" si="4034">BO583</f>
        <v>410</v>
      </c>
      <c r="BQ583" s="54">
        <f t="shared" ref="BQ583:BQ584" si="4035">BP583</f>
        <v>410</v>
      </c>
      <c r="BR583" s="55"/>
      <c r="BS583" s="55">
        <f t="shared" ref="BS583:CB583" si="4036">BS585-SUM(BS584,BS571:BS582)</f>
        <v>0</v>
      </c>
      <c r="BT583" s="55">
        <f t="shared" si="4036"/>
        <v>0</v>
      </c>
      <c r="BU583" s="55">
        <f t="shared" si="4036"/>
        <v>0</v>
      </c>
      <c r="BV583" s="55">
        <f t="shared" si="4036"/>
        <v>0</v>
      </c>
      <c r="BW583" s="55">
        <f t="shared" si="4036"/>
        <v>-43</v>
      </c>
      <c r="BX583" s="55">
        <f t="shared" si="4036"/>
        <v>-55</v>
      </c>
      <c r="BY583" s="55">
        <f t="shared" si="4036"/>
        <v>-47</v>
      </c>
      <c r="BZ583" s="55">
        <f t="shared" si="4036"/>
        <v>-88</v>
      </c>
      <c r="CA583" s="55">
        <f t="shared" si="4036"/>
        <v>-86</v>
      </c>
      <c r="CB583" s="55">
        <f t="shared" si="4036"/>
        <v>0</v>
      </c>
      <c r="CC583" s="55">
        <f>E583</f>
        <v>0</v>
      </c>
      <c r="CD583" s="55">
        <f>G583</f>
        <v>-123</v>
      </c>
      <c r="CE583" s="55">
        <f>I583</f>
        <v>-114</v>
      </c>
      <c r="CF583" s="55">
        <f>K583</f>
        <v>-111</v>
      </c>
      <c r="CG583" s="55">
        <f>M583</f>
        <v>0</v>
      </c>
      <c r="CH583" s="55">
        <f>O583</f>
        <v>-1659</v>
      </c>
      <c r="CI583" s="55">
        <f>Q583</f>
        <v>-1377</v>
      </c>
      <c r="CJ583" s="55">
        <f>S583</f>
        <v>466</v>
      </c>
      <c r="CK583" s="55">
        <f>U583</f>
        <v>-19</v>
      </c>
      <c r="CL583" s="55">
        <f>W583</f>
        <v>82</v>
      </c>
      <c r="CM583" s="55">
        <f>Y583</f>
        <v>-973</v>
      </c>
      <c r="CN583" s="55">
        <f>AA583</f>
        <v>-834</v>
      </c>
      <c r="CO583" s="55">
        <f>AC583</f>
        <v>-862</v>
      </c>
      <c r="CP583" s="55">
        <f>AE583</f>
        <v>-1380</v>
      </c>
      <c r="CQ583" s="55">
        <f>AG583</f>
        <v>-1447</v>
      </c>
      <c r="CR583" s="55">
        <f>AI583</f>
        <v>-1017</v>
      </c>
      <c r="CS583" s="55">
        <f>AK583</f>
        <v>-1256</v>
      </c>
      <c r="CT583" s="55">
        <f>AM583</f>
        <v>-2048</v>
      </c>
      <c r="CU583" s="55">
        <f>AO583</f>
        <v>-2563</v>
      </c>
      <c r="CV583" s="55">
        <f>AQ583</f>
        <v>-1068</v>
      </c>
      <c r="CW583" s="55">
        <f>AS583</f>
        <v>138</v>
      </c>
      <c r="CX583" s="55">
        <f>AU583</f>
        <v>1098</v>
      </c>
      <c r="CY583" s="55">
        <f>AW583</f>
        <v>849</v>
      </c>
      <c r="CZ583" s="56">
        <f>AY583</f>
        <v>-2025</v>
      </c>
      <c r="DA583" s="55">
        <f>BA583</f>
        <v>410</v>
      </c>
      <c r="DB583" s="55">
        <f>BC583</f>
        <v>410</v>
      </c>
      <c r="DC583" s="55">
        <f>BE583</f>
        <v>410</v>
      </c>
      <c r="DD583" s="55">
        <f>BG583</f>
        <v>410</v>
      </c>
      <c r="DE583" s="55">
        <f>BI583</f>
        <v>410</v>
      </c>
      <c r="DF583" s="55">
        <f>BK583</f>
        <v>410</v>
      </c>
      <c r="DG583" s="55">
        <f>BM583</f>
        <v>410</v>
      </c>
      <c r="DH583" s="55">
        <f>BO583</f>
        <v>410</v>
      </c>
      <c r="DI583" s="55">
        <f>BQ583</f>
        <v>410</v>
      </c>
    </row>
    <row r="584" spans="1:113" outlineLevel="1">
      <c r="A584" s="1" t="s">
        <v>1042</v>
      </c>
      <c r="B584" s="19" t="s">
        <v>572</v>
      </c>
      <c r="C584" s="55">
        <f t="shared" ref="C584:K584" si="4037">C585-SUM(C571:C583)</f>
        <v>-687</v>
      </c>
      <c r="D584" s="55">
        <f t="shared" si="4037"/>
        <v>-687</v>
      </c>
      <c r="E584" s="55">
        <f t="shared" si="4037"/>
        <v>-687</v>
      </c>
      <c r="F584" s="55">
        <f t="shared" si="4037"/>
        <v>-722</v>
      </c>
      <c r="G584" s="55">
        <f t="shared" si="4037"/>
        <v>-737</v>
      </c>
      <c r="H584" s="55">
        <f t="shared" si="4037"/>
        <v>-1522</v>
      </c>
      <c r="I584" s="55">
        <f t="shared" si="4037"/>
        <v>-2279</v>
      </c>
      <c r="J584" s="55">
        <f t="shared" si="4037"/>
        <v>691</v>
      </c>
      <c r="K584" s="55">
        <f t="shared" si="4037"/>
        <v>1144</v>
      </c>
      <c r="L584" s="55">
        <f>L585-SUM(L571:L583)</f>
        <v>4864</v>
      </c>
      <c r="M584" s="55">
        <f>M585-SUM(M571:M583)</f>
        <v>3219</v>
      </c>
      <c r="N584" s="55">
        <f>N585-SUM(N571:N583)</f>
        <v>0</v>
      </c>
      <c r="O584" s="55">
        <f>O585-SUM(O571:O583)</f>
        <v>0</v>
      </c>
      <c r="P584" s="55">
        <f>P585-SUM(P571:P583)</f>
        <v>-95</v>
      </c>
      <c r="Q584" s="55">
        <f t="shared" ref="Q584:X584" si="4038">Q585-SUM(Q571:Q583)</f>
        <v>-100</v>
      </c>
      <c r="R584" s="55">
        <f t="shared" si="4038"/>
        <v>-264</v>
      </c>
      <c r="S584" s="55">
        <f t="shared" si="4038"/>
        <v>-250</v>
      </c>
      <c r="T584" s="55">
        <f t="shared" si="4038"/>
        <v>-277</v>
      </c>
      <c r="U584" s="55">
        <f t="shared" si="4038"/>
        <v>-328</v>
      </c>
      <c r="V584" s="55">
        <f t="shared" si="4038"/>
        <v>-390</v>
      </c>
      <c r="W584" s="55">
        <f t="shared" si="4038"/>
        <v>-74</v>
      </c>
      <c r="X584" s="55">
        <f t="shared" si="4038"/>
        <v>-66</v>
      </c>
      <c r="Y584" s="55">
        <f t="shared" ref="Y584:AK584" si="4039">Y585-SUM(Y571:Y583)</f>
        <v>0</v>
      </c>
      <c r="Z584" s="55">
        <f t="shared" si="4039"/>
        <v>0</v>
      </c>
      <c r="AA584" s="55">
        <f t="shared" si="4039"/>
        <v>0</v>
      </c>
      <c r="AB584" s="55">
        <f t="shared" si="4039"/>
        <v>0</v>
      </c>
      <c r="AC584" s="55">
        <f t="shared" si="4039"/>
        <v>0</v>
      </c>
      <c r="AD584" s="55">
        <f t="shared" si="4039"/>
        <v>0</v>
      </c>
      <c r="AE584" s="55">
        <f t="shared" si="4039"/>
        <v>0</v>
      </c>
      <c r="AF584" s="55">
        <f t="shared" si="4039"/>
        <v>0</v>
      </c>
      <c r="AG584" s="55">
        <f t="shared" si="4039"/>
        <v>0</v>
      </c>
      <c r="AH584" s="55">
        <f t="shared" si="4039"/>
        <v>0</v>
      </c>
      <c r="AI584" s="55">
        <f t="shared" si="4039"/>
        <v>0</v>
      </c>
      <c r="AJ584" s="55">
        <f t="shared" si="4039"/>
        <v>0</v>
      </c>
      <c r="AK584" s="55">
        <f t="shared" si="4039"/>
        <v>0</v>
      </c>
      <c r="AL584" s="55">
        <f t="shared" ref="AL584:AQ584" si="4040">AL585-SUM(AL571:AL583)</f>
        <v>0</v>
      </c>
      <c r="AM584" s="55">
        <f t="shared" si="4040"/>
        <v>0</v>
      </c>
      <c r="AN584" s="55">
        <f t="shared" si="4040"/>
        <v>0</v>
      </c>
      <c r="AO584" s="55">
        <f t="shared" si="4040"/>
        <v>0</v>
      </c>
      <c r="AP584" s="55">
        <f t="shared" si="4040"/>
        <v>0</v>
      </c>
      <c r="AQ584" s="55">
        <f t="shared" si="4040"/>
        <v>0</v>
      </c>
      <c r="AR584" s="55">
        <f t="shared" ref="AR584" si="4041">AR585-SUM(AR571:AR583)</f>
        <v>137</v>
      </c>
      <c r="AS584" s="55">
        <f t="shared" ref="AS584:AT584" si="4042">AS585-SUM(AS571:AS583)</f>
        <v>0</v>
      </c>
      <c r="AT584" s="55">
        <f t="shared" si="4042"/>
        <v>0</v>
      </c>
      <c r="AU584" s="55">
        <f t="shared" ref="AU584:AV584" si="4043">AU585-SUM(AU571:AU583)</f>
        <v>0</v>
      </c>
      <c r="AV584" s="55">
        <f t="shared" si="4043"/>
        <v>41</v>
      </c>
      <c r="AW584" s="55">
        <f t="shared" ref="AW584:AX584" si="4044">AW585-SUM(AW571:AW583)</f>
        <v>48</v>
      </c>
      <c r="AX584" s="55">
        <f t="shared" si="4044"/>
        <v>29</v>
      </c>
      <c r="AY584" s="55">
        <f t="shared" ref="AY584:AZ584" si="4045">AY585-SUM(AY571:AY583)</f>
        <v>0</v>
      </c>
      <c r="AZ584" s="56">
        <f t="shared" si="4045"/>
        <v>49</v>
      </c>
      <c r="BA584" s="54">
        <f t="shared" ref="BA584:BE584" si="4046">AZ584</f>
        <v>49</v>
      </c>
      <c r="BB584" s="54">
        <f t="shared" si="4046"/>
        <v>49</v>
      </c>
      <c r="BC584" s="54">
        <f t="shared" si="4046"/>
        <v>49</v>
      </c>
      <c r="BD584" s="54">
        <f t="shared" si="4046"/>
        <v>49</v>
      </c>
      <c r="BE584" s="54">
        <f t="shared" si="4046"/>
        <v>49</v>
      </c>
      <c r="BF584" s="54">
        <f t="shared" si="4031"/>
        <v>49</v>
      </c>
      <c r="BG584" s="54">
        <f t="shared" si="4031"/>
        <v>49</v>
      </c>
      <c r="BH584" s="54">
        <f t="shared" si="4031"/>
        <v>49</v>
      </c>
      <c r="BI584" s="54">
        <f t="shared" si="4031"/>
        <v>49</v>
      </c>
      <c r="BJ584" s="54">
        <f t="shared" si="4031"/>
        <v>49</v>
      </c>
      <c r="BK584" s="54">
        <f t="shared" si="4031"/>
        <v>49</v>
      </c>
      <c r="BL584" s="54">
        <f t="shared" si="4031"/>
        <v>49</v>
      </c>
      <c r="BM584" s="54">
        <f t="shared" si="4031"/>
        <v>49</v>
      </c>
      <c r="BN584" s="54">
        <f t="shared" si="4032"/>
        <v>49</v>
      </c>
      <c r="BO584" s="54">
        <f t="shared" si="4033"/>
        <v>49</v>
      </c>
      <c r="BP584" s="54">
        <f t="shared" si="4034"/>
        <v>49</v>
      </c>
      <c r="BQ584" s="54">
        <f t="shared" si="4035"/>
        <v>49</v>
      </c>
      <c r="BR584" s="55"/>
      <c r="BS584" s="53">
        <v>0</v>
      </c>
      <c r="BT584" s="53">
        <v>0</v>
      </c>
      <c r="BU584" s="53">
        <v>0</v>
      </c>
      <c r="BV584" s="53">
        <v>0</v>
      </c>
      <c r="BW584" s="53">
        <v>0</v>
      </c>
      <c r="BX584" s="53">
        <v>0</v>
      </c>
      <c r="BY584" s="53">
        <v>0</v>
      </c>
      <c r="BZ584" s="53">
        <v>0</v>
      </c>
      <c r="CA584" s="53">
        <v>0</v>
      </c>
      <c r="CB584" s="53">
        <f>-5-687</f>
        <v>-692</v>
      </c>
      <c r="CC584" s="55">
        <f>E584</f>
        <v>-687</v>
      </c>
      <c r="CD584" s="55">
        <f>G584</f>
        <v>-737</v>
      </c>
      <c r="CE584" s="55">
        <f>I584</f>
        <v>-2279</v>
      </c>
      <c r="CF584" s="55">
        <f>K584</f>
        <v>1144</v>
      </c>
      <c r="CG584" s="55">
        <f>M584</f>
        <v>3219</v>
      </c>
      <c r="CH584" s="55">
        <f>O584</f>
        <v>0</v>
      </c>
      <c r="CI584" s="55">
        <f>Q584</f>
        <v>-100</v>
      </c>
      <c r="CJ584" s="55">
        <f>S584</f>
        <v>-250</v>
      </c>
      <c r="CK584" s="55">
        <f>U584</f>
        <v>-328</v>
      </c>
      <c r="CL584" s="55">
        <f>W584</f>
        <v>-74</v>
      </c>
      <c r="CM584" s="55">
        <f>Y584</f>
        <v>0</v>
      </c>
      <c r="CN584" s="55">
        <f>AA584</f>
        <v>0</v>
      </c>
      <c r="CO584" s="55">
        <f>AC584</f>
        <v>0</v>
      </c>
      <c r="CP584" s="55">
        <f>AE584</f>
        <v>0</v>
      </c>
      <c r="CQ584" s="55">
        <f>AG584</f>
        <v>0</v>
      </c>
      <c r="CR584" s="55">
        <f>AI584</f>
        <v>0</v>
      </c>
      <c r="CS584" s="55">
        <f>AK584</f>
        <v>0</v>
      </c>
      <c r="CT584" s="55">
        <f>AM584</f>
        <v>0</v>
      </c>
      <c r="CU584" s="55">
        <f>AO584</f>
        <v>0</v>
      </c>
      <c r="CV584" s="55">
        <f>AQ584</f>
        <v>0</v>
      </c>
      <c r="CW584" s="55">
        <f>AS584</f>
        <v>0</v>
      </c>
      <c r="CX584" s="55">
        <f>AU584</f>
        <v>0</v>
      </c>
      <c r="CY584" s="55">
        <f>AW584</f>
        <v>48</v>
      </c>
      <c r="CZ584" s="56">
        <f>AY584</f>
        <v>0</v>
      </c>
      <c r="DA584" s="55">
        <f>BA584</f>
        <v>49</v>
      </c>
      <c r="DB584" s="55">
        <f>BC584</f>
        <v>49</v>
      </c>
      <c r="DC584" s="55">
        <f>BE584</f>
        <v>49</v>
      </c>
      <c r="DD584" s="55">
        <f>BG584</f>
        <v>49</v>
      </c>
      <c r="DE584" s="55">
        <f>BI584</f>
        <v>49</v>
      </c>
      <c r="DF584" s="55">
        <f>BK584</f>
        <v>49</v>
      </c>
      <c r="DG584" s="55">
        <f>BM584</f>
        <v>49</v>
      </c>
      <c r="DH584" s="55">
        <f>BO584</f>
        <v>49</v>
      </c>
      <c r="DI584" s="55">
        <f>BQ584</f>
        <v>49</v>
      </c>
    </row>
    <row r="585" spans="1:113" s="24" customFormat="1" outlineLevel="1">
      <c r="A585" s="1" t="s">
        <v>1043</v>
      </c>
      <c r="B585" s="24" t="s">
        <v>168</v>
      </c>
      <c r="C585" s="81">
        <f>9015-C568</f>
        <v>-11977</v>
      </c>
      <c r="D585" s="81">
        <f>9336-D568</f>
        <v>-12209</v>
      </c>
      <c r="E585" s="81">
        <f>9561-E568</f>
        <v>-12683</v>
      </c>
      <c r="F585" s="81">
        <f>10148-F568</f>
        <v>-12527</v>
      </c>
      <c r="G585" s="81">
        <f>10213-G568</f>
        <v>-12051</v>
      </c>
      <c r="H585" s="81">
        <f>11438-H568</f>
        <v>-13027</v>
      </c>
      <c r="I585" s="81">
        <f>12588-I568</f>
        <v>-13948</v>
      </c>
      <c r="J585" s="81">
        <f>13487-J568</f>
        <v>-10450</v>
      </c>
      <c r="K585" s="81">
        <f>14141-K568</f>
        <v>-10023</v>
      </c>
      <c r="L585" s="81">
        <f>15290-L568</f>
        <v>-6190</v>
      </c>
      <c r="M585" s="81">
        <f>16354-M568</f>
        <v>-7874</v>
      </c>
      <c r="N585" s="81">
        <f>-8182-(--182-73)</f>
        <v>-8291</v>
      </c>
      <c r="O585" s="81">
        <f>-8431-(--440-51)</f>
        <v>-8820</v>
      </c>
      <c r="P585" s="81">
        <f>-11437-(--477-81)</f>
        <v>-11833</v>
      </c>
      <c r="Q585" s="81">
        <f>-11210-(--341-39)</f>
        <v>-11512</v>
      </c>
      <c r="R585" s="81">
        <f>-12538-(-675-32)</f>
        <v>-11831</v>
      </c>
      <c r="S585" s="81">
        <f>-11961-(-813-0)</f>
        <v>-11148</v>
      </c>
      <c r="T585" s="81">
        <f>-11969-(-625-15)</f>
        <v>-11329</v>
      </c>
      <c r="U585" s="81">
        <f>-12114-(-417+125)</f>
        <v>-11822</v>
      </c>
      <c r="V585" s="81">
        <f>-12137-(-490+100)</f>
        <v>-11747</v>
      </c>
      <c r="W585" s="81">
        <f>-12383-(-402+135)</f>
        <v>-12116</v>
      </c>
      <c r="X585" s="81">
        <f>-12776-(234+95)</f>
        <v>-13105</v>
      </c>
      <c r="Y585" s="81">
        <v>-13936</v>
      </c>
      <c r="Z585" s="81">
        <v>-13643</v>
      </c>
      <c r="AA585" s="81">
        <v>-17039</v>
      </c>
      <c r="AB585" s="166">
        <v>-16786</v>
      </c>
      <c r="AC585" s="166">
        <v>-16336</v>
      </c>
      <c r="AD585" s="166">
        <v>-16735</v>
      </c>
      <c r="AE585" s="166">
        <v>-17751</v>
      </c>
      <c r="AF585" s="166">
        <v>-17801</v>
      </c>
      <c r="AG585" s="166">
        <v>-18233</v>
      </c>
      <c r="AH585" s="166">
        <v>-17477</v>
      </c>
      <c r="AI585" s="166">
        <v>-18632</v>
      </c>
      <c r="AJ585" s="166">
        <v>-19441</v>
      </c>
      <c r="AK585" s="166">
        <v>-20679</v>
      </c>
      <c r="AL585" s="166">
        <v>-19906</v>
      </c>
      <c r="AM585" s="166">
        <v>-21036</v>
      </c>
      <c r="AN585" s="166">
        <v>-18511</v>
      </c>
      <c r="AO585" s="166">
        <v>-19163</v>
      </c>
      <c r="AP585" s="166">
        <v>-17476</v>
      </c>
      <c r="AQ585" s="166">
        <v>-19403</v>
      </c>
      <c r="AR585" s="166">
        <v>-19078</v>
      </c>
      <c r="AS585" s="166">
        <v>-15705</v>
      </c>
      <c r="AT585" s="166">
        <v>-14873</v>
      </c>
      <c r="AU585" s="166">
        <v>-14836</v>
      </c>
      <c r="AV585" s="166">
        <v>-15705</v>
      </c>
      <c r="AW585" s="166">
        <v>-15501</v>
      </c>
      <c r="AX585" s="166">
        <v>-16522</v>
      </c>
      <c r="AY585" s="166">
        <f>-17961</f>
        <v>-17961</v>
      </c>
      <c r="AZ585" s="167">
        <v>-15439</v>
      </c>
      <c r="BA585" s="82">
        <f t="shared" ref="BA585:BE585" si="4047">SUM(BA571:BA584)</f>
        <v>-15625.916240791856</v>
      </c>
      <c r="BB585" s="82">
        <f t="shared" si="4047"/>
        <v>-15775.333711997368</v>
      </c>
      <c r="BC585" s="82">
        <f t="shared" si="4047"/>
        <v>-15891.697839060223</v>
      </c>
      <c r="BD585" s="82">
        <f t="shared" si="4047"/>
        <v>-15978.820162340558</v>
      </c>
      <c r="BE585" s="82">
        <f t="shared" si="4047"/>
        <v>-16064.764304849567</v>
      </c>
      <c r="BF585" s="82">
        <f t="shared" ref="BF585:BM585" si="4048">SUM(BF571:BF584)</f>
        <v>-16149.907771077236</v>
      </c>
      <c r="BG585" s="82">
        <f t="shared" si="4048"/>
        <v>-16234.580539891147</v>
      </c>
      <c r="BH585" s="82">
        <f t="shared" si="4048"/>
        <v>-16319.071677163629</v>
      </c>
      <c r="BI585" s="82">
        <f t="shared" si="4048"/>
        <v>-16403.635042061524</v>
      </c>
      <c r="BJ585" s="82">
        <f t="shared" si="4048"/>
        <v>-16466.88238210927</v>
      </c>
      <c r="BK585" s="82">
        <f t="shared" si="4048"/>
        <v>-16547.785448633098</v>
      </c>
      <c r="BL585" s="82">
        <f t="shared" si="4048"/>
        <v>-16614.217137937034</v>
      </c>
      <c r="BM585" s="82">
        <f t="shared" si="4048"/>
        <v>-16693.588921837574</v>
      </c>
      <c r="BN585" s="82">
        <f t="shared" ref="BN585:BO585" si="4049">SUM(BN571:BN584)</f>
        <v>-16761.132796187769</v>
      </c>
      <c r="BO585" s="82">
        <f t="shared" si="4049"/>
        <v>-16842.723285027205</v>
      </c>
      <c r="BP585" s="82">
        <f t="shared" ref="BP585:BQ585" si="4050">SUM(BP571:BP584)</f>
        <v>-16904.211610543149</v>
      </c>
      <c r="BQ585" s="82">
        <f t="shared" si="4050"/>
        <v>-16982.498507594522</v>
      </c>
      <c r="BR585" s="82"/>
      <c r="BS585" s="81">
        <f>BS571+BS576</f>
        <v>-731.6</v>
      </c>
      <c r="BT585" s="81">
        <f>BT571+BT576</f>
        <v>-686.4</v>
      </c>
      <c r="BU585" s="81">
        <f>BU571+BU576</f>
        <v>-647.20000000000005</v>
      </c>
      <c r="BV585" s="81">
        <f>BV571+BV576-0</f>
        <v>-608</v>
      </c>
      <c r="BW585" s="81">
        <f>BW571+BW576-43</f>
        <v>-617</v>
      </c>
      <c r="BX585" s="81">
        <f>BX571+BX576-55</f>
        <v>-629</v>
      </c>
      <c r="BY585" s="81">
        <f>BY571+BY576-47</f>
        <v>-578</v>
      </c>
      <c r="BZ585" s="81">
        <f>BZ571+BZ576-88</f>
        <v>-579</v>
      </c>
      <c r="CA585" s="81">
        <f>CA571+CA576-86</f>
        <v>-9235</v>
      </c>
      <c r="CB585" s="81">
        <f>CB571+CB576+CB584</f>
        <v>-11982</v>
      </c>
      <c r="CC585" s="82">
        <f t="shared" ref="CC585:CP585" si="4051">SUM(CC571:CC584)</f>
        <v>-12683</v>
      </c>
      <c r="CD585" s="82">
        <f t="shared" si="4051"/>
        <v>-12051</v>
      </c>
      <c r="CE585" s="82">
        <f t="shared" si="4051"/>
        <v>-13948</v>
      </c>
      <c r="CF585" s="82">
        <f t="shared" si="4051"/>
        <v>-10023</v>
      </c>
      <c r="CG585" s="82">
        <f t="shared" si="4051"/>
        <v>-7874</v>
      </c>
      <c r="CH585" s="82">
        <f t="shared" si="4051"/>
        <v>-8820</v>
      </c>
      <c r="CI585" s="82">
        <f t="shared" si="4051"/>
        <v>-11512</v>
      </c>
      <c r="CJ585" s="82">
        <f t="shared" si="4051"/>
        <v>-11148</v>
      </c>
      <c r="CK585" s="82">
        <f t="shared" si="4051"/>
        <v>-11822</v>
      </c>
      <c r="CL585" s="82">
        <f t="shared" si="4051"/>
        <v>-12116</v>
      </c>
      <c r="CM585" s="82">
        <f t="shared" si="4051"/>
        <v>-13936</v>
      </c>
      <c r="CN585" s="82">
        <f t="shared" si="4051"/>
        <v>-17039</v>
      </c>
      <c r="CO585" s="82">
        <f t="shared" si="4051"/>
        <v>-16336</v>
      </c>
      <c r="CP585" s="82">
        <f t="shared" si="4051"/>
        <v>-17751</v>
      </c>
      <c r="CQ585" s="82">
        <f t="shared" ref="CQ585:CX585" si="4052">SUM(CQ571:CQ584)</f>
        <v>-18233</v>
      </c>
      <c r="CR585" s="82">
        <f t="shared" si="4052"/>
        <v>-18632</v>
      </c>
      <c r="CS585" s="82">
        <f t="shared" si="4052"/>
        <v>-20679</v>
      </c>
      <c r="CT585" s="82">
        <f t="shared" si="4052"/>
        <v>-21036</v>
      </c>
      <c r="CU585" s="82">
        <f t="shared" si="4052"/>
        <v>-19163</v>
      </c>
      <c r="CV585" s="82">
        <f t="shared" si="4052"/>
        <v>-19403</v>
      </c>
      <c r="CW585" s="82">
        <f t="shared" si="4052"/>
        <v>-15705</v>
      </c>
      <c r="CX585" s="82">
        <f t="shared" si="4052"/>
        <v>-14836</v>
      </c>
      <c r="CY585" s="82">
        <f t="shared" ref="CY585:DD585" si="4053">SUM(CY571:CY584)</f>
        <v>-15501</v>
      </c>
      <c r="CZ585" s="83">
        <f t="shared" si="4053"/>
        <v>-17961</v>
      </c>
      <c r="DA585" s="82">
        <f t="shared" si="4053"/>
        <v>-15625.916240791856</v>
      </c>
      <c r="DB585" s="82">
        <f t="shared" si="4053"/>
        <v>-15891.697839060223</v>
      </c>
      <c r="DC585" s="82">
        <f t="shared" si="4053"/>
        <v>-16064.764304849567</v>
      </c>
      <c r="DD585" s="82">
        <f t="shared" si="4053"/>
        <v>-16234.580539891147</v>
      </c>
      <c r="DE585" s="82">
        <f>SUM(DE571:DE584)</f>
        <v>-16403.635042061524</v>
      </c>
      <c r="DF585" s="82">
        <f>SUM(DF571:DF584)</f>
        <v>-16547.785448633098</v>
      </c>
      <c r="DG585" s="82">
        <f>SUM(DG571:DG584)</f>
        <v>-16693.588921837574</v>
      </c>
      <c r="DH585" s="82">
        <f>SUM(DH571:DH584)</f>
        <v>-16842.723285027205</v>
      </c>
      <c r="DI585" s="82">
        <f>SUM(DI571:DI584)</f>
        <v>-16982.498507594522</v>
      </c>
    </row>
    <row r="586" spans="1:113" outlineLevel="1">
      <c r="C586" s="55"/>
      <c r="D586" s="55"/>
      <c r="E586" s="55"/>
      <c r="F586" s="55"/>
      <c r="G586" s="55"/>
      <c r="H586" s="55"/>
      <c r="I586" s="55"/>
      <c r="J586" s="55"/>
      <c r="K586" s="55"/>
      <c r="L586" s="55"/>
      <c r="M586" s="55"/>
      <c r="N586" s="55"/>
      <c r="O586" s="55"/>
      <c r="P586" s="55"/>
      <c r="Q586" s="55"/>
      <c r="R586" s="55"/>
      <c r="S586" s="55"/>
      <c r="T586" s="55"/>
      <c r="U586" s="55"/>
      <c r="V586" s="55"/>
      <c r="W586" s="55"/>
      <c r="X586" s="55"/>
      <c r="Y586" s="55"/>
      <c r="Z586" s="55">
        <f>122-11</f>
        <v>111</v>
      </c>
      <c r="AA586" s="50"/>
      <c r="AB586" s="166"/>
      <c r="AC586" s="55"/>
      <c r="AD586" s="55"/>
      <c r="AE586" s="55"/>
      <c r="AF586" s="55"/>
      <c r="AG586" s="55"/>
      <c r="AH586" s="55"/>
      <c r="AI586" s="55"/>
      <c r="AJ586" s="55"/>
      <c r="AK586" s="50"/>
      <c r="AL586" s="50"/>
      <c r="AM586" s="50"/>
      <c r="AN586" s="50"/>
      <c r="AO586" s="50"/>
      <c r="AP586" s="50"/>
      <c r="AQ586" s="50"/>
      <c r="AR586" s="50"/>
      <c r="AS586" s="50"/>
      <c r="AT586" s="50"/>
      <c r="AU586" s="50"/>
      <c r="AV586" s="50"/>
      <c r="AW586" s="50"/>
      <c r="AX586" s="50"/>
      <c r="AY586" s="50"/>
      <c r="AZ586" s="49"/>
      <c r="BA586" s="48"/>
      <c r="BB586" s="48"/>
      <c r="BC586" s="48"/>
      <c r="BD586" s="48"/>
      <c r="BE586" s="48"/>
      <c r="BF586" s="48"/>
      <c r="BG586" s="48"/>
      <c r="BH586" s="48"/>
      <c r="BI586" s="48"/>
      <c r="BJ586" s="48"/>
      <c r="BK586" s="48"/>
      <c r="BL586" s="235"/>
      <c r="BM586" s="235"/>
      <c r="BN586" s="235"/>
      <c r="BO586" s="235"/>
      <c r="BP586" s="235"/>
      <c r="BQ586" s="235"/>
      <c r="BR586" s="55"/>
      <c r="BS586" s="55"/>
      <c r="BT586" s="55"/>
      <c r="BU586" s="55"/>
      <c r="BV586" s="55"/>
      <c r="BW586" s="55"/>
      <c r="BX586" s="55"/>
      <c r="BY586" s="55"/>
      <c r="BZ586" s="55"/>
      <c r="CA586" s="55"/>
      <c r="CB586" s="55"/>
      <c r="CC586" s="55"/>
      <c r="CD586" s="55"/>
      <c r="CE586" s="55"/>
      <c r="CF586" s="55"/>
      <c r="CG586" s="55"/>
      <c r="CH586" s="55"/>
      <c r="CI586" s="55"/>
      <c r="CJ586" s="55"/>
      <c r="CK586" s="55"/>
      <c r="CL586" s="55"/>
      <c r="CM586" s="55"/>
      <c r="CN586" s="55"/>
      <c r="CO586" s="55"/>
      <c r="CP586" s="55"/>
      <c r="CQ586" s="55"/>
      <c r="CR586" s="55"/>
      <c r="CS586" s="55"/>
      <c r="CT586" s="55"/>
      <c r="CU586" s="55"/>
      <c r="CV586" s="55"/>
      <c r="CW586" s="55"/>
      <c r="CX586" s="55"/>
      <c r="CY586" s="55"/>
      <c r="CZ586" s="56"/>
      <c r="DA586" s="55"/>
      <c r="DB586" s="55"/>
    </row>
    <row r="587" spans="1:113" s="24" customFormat="1" outlineLevel="1">
      <c r="A587" s="1" t="s">
        <v>1044</v>
      </c>
      <c r="B587" s="24" t="str">
        <f>"= Total Tier 1 capital"</f>
        <v>= Total Tier 1 capital</v>
      </c>
      <c r="C587" s="82">
        <f>C568+C585</f>
        <v>9015</v>
      </c>
      <c r="D587" s="82">
        <f>D568+D585</f>
        <v>9336</v>
      </c>
      <c r="E587" s="82">
        <f>E568+E585</f>
        <v>9561</v>
      </c>
      <c r="F587" s="82">
        <f t="shared" ref="F587:L587" si="4054">F568+F585</f>
        <v>10148</v>
      </c>
      <c r="G587" s="82">
        <f t="shared" si="4054"/>
        <v>10213</v>
      </c>
      <c r="H587" s="82">
        <f t="shared" si="4054"/>
        <v>11438</v>
      </c>
      <c r="I587" s="82">
        <f t="shared" si="4054"/>
        <v>12588</v>
      </c>
      <c r="J587" s="82">
        <f t="shared" si="4054"/>
        <v>13487</v>
      </c>
      <c r="K587" s="82">
        <f t="shared" si="4054"/>
        <v>14141</v>
      </c>
      <c r="L587" s="82">
        <f t="shared" si="4054"/>
        <v>15290</v>
      </c>
      <c r="M587" s="82">
        <f t="shared" ref="M587:AB587" si="4055">M568+M585</f>
        <v>16354</v>
      </c>
      <c r="N587" s="82">
        <f t="shared" si="4055"/>
        <v>16553</v>
      </c>
      <c r="O587" s="82">
        <f t="shared" si="4055"/>
        <v>17512</v>
      </c>
      <c r="P587" s="82">
        <f t="shared" si="4055"/>
        <v>16196</v>
      </c>
      <c r="Q587" s="82">
        <f t="shared" si="4055"/>
        <v>16791</v>
      </c>
      <c r="R587" s="82">
        <f t="shared" si="4055"/>
        <v>20948</v>
      </c>
      <c r="S587" s="82">
        <f t="shared" si="4055"/>
        <v>23311</v>
      </c>
      <c r="T587" s="82">
        <f t="shared" si="4055"/>
        <v>27065</v>
      </c>
      <c r="U587" s="82">
        <f t="shared" si="4055"/>
        <v>26601</v>
      </c>
      <c r="V587" s="82">
        <f t="shared" si="4055"/>
        <v>27735</v>
      </c>
      <c r="W587" s="82">
        <f t="shared" si="4055"/>
        <v>28213</v>
      </c>
      <c r="X587" s="82">
        <f t="shared" si="4055"/>
        <v>29473</v>
      </c>
      <c r="Y587" s="82">
        <f>Y568+Y585</f>
        <v>30299</v>
      </c>
      <c r="Z587" s="82">
        <f>Z568+Z585</f>
        <v>31780</v>
      </c>
      <c r="AA587" s="82">
        <f t="shared" si="4055"/>
        <v>33750</v>
      </c>
      <c r="AB587" s="82">
        <f t="shared" si="4055"/>
        <v>35258</v>
      </c>
      <c r="AC587" s="82">
        <f t="shared" ref="AC587:AK587" si="4056">AC568+AC585</f>
        <v>37608</v>
      </c>
      <c r="AD587" s="82">
        <f t="shared" si="4056"/>
        <v>40998</v>
      </c>
      <c r="AE587" s="82">
        <f t="shared" si="4056"/>
        <v>41147</v>
      </c>
      <c r="AF587" s="82">
        <f t="shared" si="4056"/>
        <v>47972</v>
      </c>
      <c r="AG587" s="82">
        <f t="shared" si="4056"/>
        <v>48753</v>
      </c>
      <c r="AH587" s="82">
        <f t="shared" si="4056"/>
        <v>50418</v>
      </c>
      <c r="AI587" s="82">
        <f t="shared" si="4056"/>
        <v>52884</v>
      </c>
      <c r="AJ587" s="82">
        <f t="shared" si="4056"/>
        <v>54363</v>
      </c>
      <c r="AK587" s="82">
        <f t="shared" si="4056"/>
        <v>56365</v>
      </c>
      <c r="AL587" s="82">
        <f t="shared" ref="AL587:AQ587" si="4057">AL568+AL585</f>
        <v>57518</v>
      </c>
      <c r="AM587" s="82">
        <f t="shared" si="4057"/>
        <v>57355</v>
      </c>
      <c r="AN587" s="82">
        <f t="shared" si="4057"/>
        <v>63218</v>
      </c>
      <c r="AO587" s="82">
        <f t="shared" si="4057"/>
        <v>63414</v>
      </c>
      <c r="AP587" s="82">
        <f t="shared" si="4057"/>
        <v>67900</v>
      </c>
      <c r="AQ587" s="82">
        <f t="shared" si="4057"/>
        <v>70844</v>
      </c>
      <c r="AR587" s="82">
        <f t="shared" ref="AR587" si="4058">AR568+AR585</f>
        <v>66027</v>
      </c>
      <c r="AS587" s="82">
        <f t="shared" ref="AS587:AT587" si="4059">AS568+AS585</f>
        <v>67558</v>
      </c>
      <c r="AT587" s="82">
        <f t="shared" si="4059"/>
        <v>66864</v>
      </c>
      <c r="AU587" s="82">
        <f t="shared" ref="AU587:AV587" si="4060">AU568+AU585</f>
        <v>67771</v>
      </c>
      <c r="AV587" s="82">
        <f t="shared" si="4060"/>
        <v>68093</v>
      </c>
      <c r="AW587" s="82">
        <f t="shared" ref="AW587:AX587" si="4061">AW568+AW585</f>
        <v>66963</v>
      </c>
      <c r="AX587" s="82">
        <f t="shared" si="4061"/>
        <v>68143</v>
      </c>
      <c r="AY587" s="82">
        <f t="shared" ref="AY587:BE587" si="4062">AY568+AY585</f>
        <v>68874</v>
      </c>
      <c r="AZ587" s="83">
        <f t="shared" si="4062"/>
        <v>69829</v>
      </c>
      <c r="BA587" s="82">
        <f t="shared" si="4062"/>
        <v>71887.48204184827</v>
      </c>
      <c r="BB587" s="82">
        <f t="shared" si="4062"/>
        <v>71563.46608469628</v>
      </c>
      <c r="BC587" s="82">
        <f t="shared" si="4062"/>
        <v>71867.217183952715</v>
      </c>
      <c r="BD587" s="82">
        <f t="shared" si="4062"/>
        <v>71768.927719066924</v>
      </c>
      <c r="BE587" s="82">
        <f t="shared" si="4062"/>
        <v>72208.631405705775</v>
      </c>
      <c r="BF587" s="82">
        <f t="shared" ref="BF587:BM587" si="4063">BF568+BF585</f>
        <v>72289.91998407917</v>
      </c>
      <c r="BG587" s="82">
        <f t="shared" si="4063"/>
        <v>74087.149235358738</v>
      </c>
      <c r="BH587" s="82">
        <f t="shared" si="4063"/>
        <v>75480.51741949009</v>
      </c>
      <c r="BI587" s="82">
        <f t="shared" si="4063"/>
        <v>77228.376801982406</v>
      </c>
      <c r="BJ587" s="82">
        <f t="shared" si="4063"/>
        <v>78492.069431630065</v>
      </c>
      <c r="BK587" s="82">
        <f t="shared" si="4063"/>
        <v>80229.100085473707</v>
      </c>
      <c r="BL587" s="82">
        <f t="shared" si="4063"/>
        <v>81517.864492627676</v>
      </c>
      <c r="BM587" s="82">
        <f t="shared" si="4063"/>
        <v>83283.121862219443</v>
      </c>
      <c r="BN587" s="82">
        <f t="shared" ref="BN587:BO587" si="4064">BN568+BN585</f>
        <v>84682.893629094731</v>
      </c>
      <c r="BO587" s="82">
        <f t="shared" si="4064"/>
        <v>86551.023575727973</v>
      </c>
      <c r="BP587" s="82">
        <f t="shared" ref="BP587:BQ587" si="4065">BP568+BP585</f>
        <v>88089.023854659579</v>
      </c>
      <c r="BQ587" s="82">
        <f t="shared" si="4065"/>
        <v>90092.995999044942</v>
      </c>
      <c r="BR587" s="82"/>
      <c r="BS587" s="186">
        <f t="shared" ref="BS587:CA587" si="4066">BS568+BS585</f>
        <v>6229</v>
      </c>
      <c r="BT587" s="82">
        <f t="shared" si="4066"/>
        <v>6546.5</v>
      </c>
      <c r="BU587" s="82">
        <f t="shared" si="4066"/>
        <v>6554.1</v>
      </c>
      <c r="BV587" s="82">
        <f t="shared" si="4066"/>
        <v>7212</v>
      </c>
      <c r="BW587" s="82">
        <f t="shared" si="4066"/>
        <v>7764</v>
      </c>
      <c r="BX587" s="82">
        <f t="shared" si="4066"/>
        <v>7468</v>
      </c>
      <c r="BY587" s="82">
        <f t="shared" si="4066"/>
        <v>7617</v>
      </c>
      <c r="BZ587" s="82">
        <f t="shared" si="4066"/>
        <v>7021</v>
      </c>
      <c r="CA587" s="82">
        <f t="shared" si="4066"/>
        <v>9618</v>
      </c>
      <c r="CB587" s="82">
        <f>CB568+CB585</f>
        <v>9015</v>
      </c>
      <c r="CC587" s="82">
        <f t="shared" ref="CC587:CO587" si="4067">CC568+CC585</f>
        <v>9561</v>
      </c>
      <c r="CD587" s="82">
        <f t="shared" si="4067"/>
        <v>10213</v>
      </c>
      <c r="CE587" s="82">
        <f t="shared" si="4067"/>
        <v>12588</v>
      </c>
      <c r="CF587" s="82">
        <f t="shared" si="4067"/>
        <v>14141</v>
      </c>
      <c r="CG587" s="82">
        <f t="shared" si="4067"/>
        <v>16354</v>
      </c>
      <c r="CH587" s="82">
        <f t="shared" si="4067"/>
        <v>17512</v>
      </c>
      <c r="CI587" s="82">
        <f t="shared" si="4067"/>
        <v>16791</v>
      </c>
      <c r="CJ587" s="82">
        <f t="shared" si="4067"/>
        <v>23311</v>
      </c>
      <c r="CK587" s="82">
        <f t="shared" si="4067"/>
        <v>26601</v>
      </c>
      <c r="CL587" s="82">
        <f t="shared" si="4067"/>
        <v>28213</v>
      </c>
      <c r="CM587" s="82">
        <f t="shared" si="4067"/>
        <v>30299</v>
      </c>
      <c r="CN587" s="82">
        <f t="shared" si="4067"/>
        <v>33750</v>
      </c>
      <c r="CO587" s="82">
        <f t="shared" si="4067"/>
        <v>37608</v>
      </c>
      <c r="CP587" s="82">
        <f t="shared" ref="CP587:CX587" si="4068">CP568+CP585</f>
        <v>41147</v>
      </c>
      <c r="CQ587" s="82">
        <f t="shared" si="4068"/>
        <v>48753</v>
      </c>
      <c r="CR587" s="82">
        <f t="shared" si="4068"/>
        <v>52884</v>
      </c>
      <c r="CS587" s="82">
        <f t="shared" si="4068"/>
        <v>56365</v>
      </c>
      <c r="CT587" s="82">
        <f t="shared" si="4068"/>
        <v>57355</v>
      </c>
      <c r="CU587" s="82">
        <f t="shared" si="4068"/>
        <v>63414</v>
      </c>
      <c r="CV587" s="82">
        <f t="shared" si="4068"/>
        <v>70844</v>
      </c>
      <c r="CW587" s="82">
        <f t="shared" si="4068"/>
        <v>67558</v>
      </c>
      <c r="CX587" s="82">
        <f t="shared" si="4068"/>
        <v>67771</v>
      </c>
      <c r="CY587" s="82">
        <f t="shared" ref="CY587:DD587" si="4069">CY568+CY585</f>
        <v>66963</v>
      </c>
      <c r="CZ587" s="83">
        <f t="shared" si="4069"/>
        <v>68874</v>
      </c>
      <c r="DA587" s="82">
        <f t="shared" si="4069"/>
        <v>71887.48204184827</v>
      </c>
      <c r="DB587" s="82">
        <f t="shared" si="4069"/>
        <v>71867.217183952715</v>
      </c>
      <c r="DC587" s="82">
        <f t="shared" si="4069"/>
        <v>72208.63140570579</v>
      </c>
      <c r="DD587" s="82">
        <f t="shared" si="4069"/>
        <v>74087.149235358738</v>
      </c>
      <c r="DE587" s="82">
        <f>DE568+DE585</f>
        <v>77228.376801982406</v>
      </c>
      <c r="DF587" s="82">
        <f>DF568+DF585</f>
        <v>80229.100085473707</v>
      </c>
      <c r="DG587" s="82">
        <f>DG568+DG585</f>
        <v>83283.121862219443</v>
      </c>
      <c r="DH587" s="82">
        <f>DH568+DH585</f>
        <v>86551.023575727973</v>
      </c>
      <c r="DI587" s="82">
        <f>DI568+DI585</f>
        <v>90092.995999044942</v>
      </c>
    </row>
    <row r="588" spans="1:113" outlineLevel="1">
      <c r="A588" s="1" t="s">
        <v>1045</v>
      </c>
      <c r="B588" s="19" t="s">
        <v>573</v>
      </c>
      <c r="C588" s="55">
        <f>-C539</f>
        <v>-687</v>
      </c>
      <c r="D588" s="55">
        <f>-D539</f>
        <v>-687</v>
      </c>
      <c r="E588" s="55">
        <f>-E539</f>
        <v>-687</v>
      </c>
      <c r="F588" s="55">
        <f t="shared" ref="F588:L588" si="4070">-F539</f>
        <v>-687</v>
      </c>
      <c r="G588" s="55">
        <f t="shared" si="4070"/>
        <v>-687</v>
      </c>
      <c r="H588" s="55">
        <f t="shared" si="4070"/>
        <v>-1519</v>
      </c>
      <c r="I588" s="55">
        <f t="shared" si="4070"/>
        <v>-2260</v>
      </c>
      <c r="J588" s="55">
        <f t="shared" si="4070"/>
        <v>-2260</v>
      </c>
      <c r="K588" s="55">
        <f t="shared" si="4070"/>
        <v>-2260</v>
      </c>
      <c r="L588" s="55">
        <f t="shared" si="4070"/>
        <v>-939</v>
      </c>
      <c r="M588" s="55">
        <f t="shared" ref="M588:AB588" si="4071">-M539</f>
        <v>-939</v>
      </c>
      <c r="N588" s="55">
        <f t="shared" si="4071"/>
        <v>-939</v>
      </c>
      <c r="O588" s="55">
        <f t="shared" si="4071"/>
        <v>-939</v>
      </c>
      <c r="P588" s="55">
        <f t="shared" si="4071"/>
        <v>-939</v>
      </c>
      <c r="Q588" s="55">
        <f t="shared" si="4071"/>
        <v>-939</v>
      </c>
      <c r="R588" s="55">
        <f t="shared" si="4071"/>
        <v>-939</v>
      </c>
      <c r="S588" s="55">
        <f t="shared" si="4071"/>
        <v>-939</v>
      </c>
      <c r="T588" s="55">
        <f t="shared" si="4071"/>
        <v>-939</v>
      </c>
      <c r="U588" s="55">
        <f t="shared" si="4071"/>
        <v>-939</v>
      </c>
      <c r="V588" s="55">
        <f t="shared" si="4071"/>
        <v>-939</v>
      </c>
      <c r="W588" s="55">
        <f t="shared" si="4071"/>
        <v>-939</v>
      </c>
      <c r="X588" s="55">
        <f t="shared" si="4071"/>
        <v>-939</v>
      </c>
      <c r="Y588" s="55">
        <f>-Y539</f>
        <v>-939</v>
      </c>
      <c r="Z588" s="55">
        <f>-Z539</f>
        <v>-939</v>
      </c>
      <c r="AA588" s="55">
        <f t="shared" si="4071"/>
        <v>-939</v>
      </c>
      <c r="AB588" s="55">
        <f t="shared" si="4071"/>
        <v>-939</v>
      </c>
      <c r="AC588" s="55">
        <f t="shared" ref="AC588:AK588" si="4072">-AC539</f>
        <v>-939</v>
      </c>
      <c r="AD588" s="55">
        <f t="shared" si="4072"/>
        <v>-939</v>
      </c>
      <c r="AE588" s="55">
        <f t="shared" si="4072"/>
        <v>-939</v>
      </c>
      <c r="AF588" s="55">
        <f t="shared" si="4072"/>
        <v>0</v>
      </c>
      <c r="AG588" s="55">
        <f t="shared" si="4072"/>
        <v>0</v>
      </c>
      <c r="AH588" s="55">
        <f t="shared" si="4072"/>
        <v>0</v>
      </c>
      <c r="AI588" s="55">
        <f t="shared" si="4072"/>
        <v>0</v>
      </c>
      <c r="AJ588" s="55">
        <f t="shared" si="4072"/>
        <v>0</v>
      </c>
      <c r="AK588" s="55">
        <f t="shared" si="4072"/>
        <v>0</v>
      </c>
      <c r="AL588" s="55">
        <f t="shared" ref="AL588:AQ588" si="4073">-AL539</f>
        <v>0</v>
      </c>
      <c r="AM588" s="55">
        <f t="shared" si="4073"/>
        <v>0</v>
      </c>
      <c r="AN588" s="55">
        <f t="shared" si="4073"/>
        <v>0</v>
      </c>
      <c r="AO588" s="55">
        <f t="shared" si="4073"/>
        <v>0</v>
      </c>
      <c r="AP588" s="55">
        <f t="shared" si="4073"/>
        <v>0</v>
      </c>
      <c r="AQ588" s="55">
        <f t="shared" si="4073"/>
        <v>0</v>
      </c>
      <c r="AR588" s="55">
        <f t="shared" ref="AR588" si="4074">-AR539</f>
        <v>0</v>
      </c>
      <c r="AS588" s="55">
        <f t="shared" ref="AS588:AT588" si="4075">-AS539</f>
        <v>0</v>
      </c>
      <c r="AT588" s="55">
        <f t="shared" si="4075"/>
        <v>0</v>
      </c>
      <c r="AU588" s="55">
        <f t="shared" ref="AU588:AV588" si="4076">-AU539</f>
        <v>0</v>
      </c>
      <c r="AV588" s="55">
        <f t="shared" si="4076"/>
        <v>0</v>
      </c>
      <c r="AW588" s="55">
        <f t="shared" ref="AW588:AX588" si="4077">-AW539</f>
        <v>0</v>
      </c>
      <c r="AX588" s="55">
        <f t="shared" si="4077"/>
        <v>0</v>
      </c>
      <c r="AY588" s="55">
        <f t="shared" ref="AY588:BE588" si="4078">-AY539</f>
        <v>0</v>
      </c>
      <c r="AZ588" s="56">
        <f t="shared" si="4078"/>
        <v>0</v>
      </c>
      <c r="BA588" s="55">
        <f t="shared" si="4078"/>
        <v>0</v>
      </c>
      <c r="BB588" s="55">
        <f t="shared" si="4078"/>
        <v>0</v>
      </c>
      <c r="BC588" s="55">
        <f t="shared" si="4078"/>
        <v>0</v>
      </c>
      <c r="BD588" s="55">
        <f t="shared" si="4078"/>
        <v>0</v>
      </c>
      <c r="BE588" s="55">
        <f t="shared" si="4078"/>
        <v>0</v>
      </c>
      <c r="BF588" s="55">
        <f t="shared" ref="BF588:BM588" si="4079">-BF539</f>
        <v>0</v>
      </c>
      <c r="BG588" s="55">
        <f t="shared" si="4079"/>
        <v>0</v>
      </c>
      <c r="BH588" s="55">
        <f t="shared" si="4079"/>
        <v>0</v>
      </c>
      <c r="BI588" s="55">
        <f t="shared" si="4079"/>
        <v>0</v>
      </c>
      <c r="BJ588" s="55">
        <f t="shared" si="4079"/>
        <v>0</v>
      </c>
      <c r="BK588" s="55">
        <f t="shared" si="4079"/>
        <v>0</v>
      </c>
      <c r="BL588" s="55">
        <f t="shared" si="4079"/>
        <v>0</v>
      </c>
      <c r="BM588" s="55">
        <f t="shared" si="4079"/>
        <v>0</v>
      </c>
      <c r="BN588" s="55">
        <f t="shared" ref="BN588:BO588" si="4080">-BN539</f>
        <v>0</v>
      </c>
      <c r="BO588" s="55">
        <f t="shared" si="4080"/>
        <v>0</v>
      </c>
      <c r="BP588" s="55">
        <f t="shared" ref="BP588:BQ588" si="4081">-BP539</f>
        <v>0</v>
      </c>
      <c r="BQ588" s="55">
        <f t="shared" si="4081"/>
        <v>0</v>
      </c>
      <c r="BR588" s="55"/>
      <c r="BS588" s="55">
        <f t="shared" ref="BS588:CB588" si="4082">-BS539</f>
        <v>0</v>
      </c>
      <c r="BT588" s="55">
        <f t="shared" si="4082"/>
        <v>0</v>
      </c>
      <c r="BU588" s="55">
        <f t="shared" si="4082"/>
        <v>0</v>
      </c>
      <c r="BV588" s="55">
        <f t="shared" si="4082"/>
        <v>0</v>
      </c>
      <c r="BW588" s="55">
        <f t="shared" si="4082"/>
        <v>0</v>
      </c>
      <c r="BX588" s="55">
        <f t="shared" si="4082"/>
        <v>0</v>
      </c>
      <c r="BY588" s="55">
        <f t="shared" si="4082"/>
        <v>0</v>
      </c>
      <c r="BZ588" s="55">
        <f t="shared" si="4082"/>
        <v>0</v>
      </c>
      <c r="CA588" s="55">
        <f t="shared" si="4082"/>
        <v>0</v>
      </c>
      <c r="CB588" s="55">
        <f t="shared" si="4082"/>
        <v>-687</v>
      </c>
      <c r="CC588" s="55">
        <f>E588</f>
        <v>-687</v>
      </c>
      <c r="CD588" s="55">
        <f>G588</f>
        <v>-687</v>
      </c>
      <c r="CE588" s="55">
        <f>I588</f>
        <v>-2260</v>
      </c>
      <c r="CF588" s="55">
        <f>K588</f>
        <v>-2260</v>
      </c>
      <c r="CG588" s="55">
        <f>M588</f>
        <v>-939</v>
      </c>
      <c r="CH588" s="55">
        <f>O588</f>
        <v>-939</v>
      </c>
      <c r="CI588" s="55">
        <f>Q588</f>
        <v>-939</v>
      </c>
      <c r="CJ588" s="55">
        <f>S588</f>
        <v>-939</v>
      </c>
      <c r="CK588" s="55">
        <f>U588</f>
        <v>-939</v>
      </c>
      <c r="CL588" s="55">
        <f>W588</f>
        <v>-939</v>
      </c>
      <c r="CM588" s="55">
        <f>Y588</f>
        <v>-939</v>
      </c>
      <c r="CN588" s="55">
        <f>AA588</f>
        <v>-939</v>
      </c>
      <c r="CO588" s="55">
        <f>AC588</f>
        <v>-939</v>
      </c>
      <c r="CP588" s="55">
        <f>AE588</f>
        <v>-939</v>
      </c>
      <c r="CQ588" s="55">
        <f>AG588</f>
        <v>0</v>
      </c>
      <c r="CR588" s="55">
        <f>AI588</f>
        <v>0</v>
      </c>
      <c r="CS588" s="55">
        <f>AK588</f>
        <v>0</v>
      </c>
      <c r="CT588" s="55">
        <f>AM588</f>
        <v>0</v>
      </c>
      <c r="CU588" s="55">
        <f>AO588</f>
        <v>0</v>
      </c>
      <c r="CV588" s="55">
        <f>AQ588</f>
        <v>0</v>
      </c>
      <c r="CW588" s="55">
        <f>AS588</f>
        <v>0</v>
      </c>
      <c r="CX588" s="55">
        <f>AU588</f>
        <v>0</v>
      </c>
      <c r="CY588" s="55">
        <f>AW588</f>
        <v>0</v>
      </c>
      <c r="CZ588" s="56">
        <f>AY588</f>
        <v>0</v>
      </c>
      <c r="DA588" s="55">
        <f>BA588</f>
        <v>0</v>
      </c>
      <c r="DB588" s="55">
        <f>BC588</f>
        <v>0</v>
      </c>
      <c r="DC588" s="55">
        <f>BE588</f>
        <v>0</v>
      </c>
      <c r="DD588" s="55">
        <f>BG588</f>
        <v>0</v>
      </c>
      <c r="DE588" s="55">
        <f>BI588</f>
        <v>0</v>
      </c>
      <c r="DF588" s="55">
        <f>BK588</f>
        <v>0</v>
      </c>
      <c r="DG588" s="55">
        <f>BM588</f>
        <v>0</v>
      </c>
      <c r="DH588" s="55">
        <f>BO588</f>
        <v>0</v>
      </c>
      <c r="DI588" s="55">
        <f>BQ588</f>
        <v>0</v>
      </c>
    </row>
    <row r="589" spans="1:113" outlineLevel="1">
      <c r="A589" s="1" t="s">
        <v>1046</v>
      </c>
      <c r="B589" s="19" t="s">
        <v>574</v>
      </c>
      <c r="C589" s="55">
        <f t="shared" ref="C589:L589" si="4083">-C565-C566-C555-C567</f>
        <v>-1149</v>
      </c>
      <c r="D589" s="55">
        <f t="shared" si="4083"/>
        <v>-1146</v>
      </c>
      <c r="E589" s="55">
        <f t="shared" si="4083"/>
        <v>-1102</v>
      </c>
      <c r="F589" s="55">
        <f t="shared" si="4083"/>
        <v>-1101</v>
      </c>
      <c r="G589" s="55">
        <f t="shared" si="4083"/>
        <v>-1038</v>
      </c>
      <c r="H589" s="55">
        <f t="shared" si="4083"/>
        <v>-1830</v>
      </c>
      <c r="I589" s="55">
        <f t="shared" si="4083"/>
        <v>-2598</v>
      </c>
      <c r="J589" s="55">
        <f t="shared" si="4083"/>
        <v>-2558</v>
      </c>
      <c r="K589" s="55">
        <f t="shared" si="4083"/>
        <v>-2564</v>
      </c>
      <c r="L589" s="55">
        <f t="shared" si="4083"/>
        <v>-2577</v>
      </c>
      <c r="M589" s="55">
        <f t="shared" ref="M589:AB589" si="4084">-M565-M566-M555-M567</f>
        <v>-3940</v>
      </c>
      <c r="N589" s="55">
        <f t="shared" si="4084"/>
        <v>-2846</v>
      </c>
      <c r="O589" s="55">
        <f t="shared" si="4084"/>
        <v>-2780</v>
      </c>
      <c r="P589" s="55">
        <f t="shared" si="4084"/>
        <v>-3104</v>
      </c>
      <c r="Q589" s="55">
        <f t="shared" si="4084"/>
        <v>-3255</v>
      </c>
      <c r="R589" s="55">
        <f t="shared" si="4084"/>
        <v>-4294</v>
      </c>
      <c r="S589" s="55">
        <f t="shared" si="4084"/>
        <v>-4019</v>
      </c>
      <c r="T589" s="55">
        <f t="shared" si="4084"/>
        <v>-5824</v>
      </c>
      <c r="U589" s="55">
        <f t="shared" ref="U589:Z589" si="4085">-U565-U566-U555-U567</f>
        <v>-5712</v>
      </c>
      <c r="V589" s="55">
        <f t="shared" si="4085"/>
        <v>-5797</v>
      </c>
      <c r="W589" s="55">
        <f t="shared" si="4085"/>
        <v>-5699</v>
      </c>
      <c r="X589" s="55">
        <f t="shared" si="4085"/>
        <v>-5697</v>
      </c>
      <c r="Y589" s="55">
        <f t="shared" si="4085"/>
        <v>-5696</v>
      </c>
      <c r="Z589" s="55">
        <f t="shared" si="4085"/>
        <v>-5792</v>
      </c>
      <c r="AA589" s="55">
        <f t="shared" si="4084"/>
        <v>-5781</v>
      </c>
      <c r="AB589" s="55">
        <f t="shared" si="4084"/>
        <v>-5781</v>
      </c>
      <c r="AC589" s="55">
        <f t="shared" ref="AC589:AK589" si="4086">-AC565-AC566-AC555-AC567</f>
        <v>-5257</v>
      </c>
      <c r="AD589" s="55">
        <f t="shared" si="4086"/>
        <v>-7474</v>
      </c>
      <c r="AE589" s="55">
        <f t="shared" si="4086"/>
        <v>-6810</v>
      </c>
      <c r="AF589" s="55">
        <f t="shared" si="4086"/>
        <v>-6817</v>
      </c>
      <c r="AG589" s="55">
        <f t="shared" si="4086"/>
        <v>-7090</v>
      </c>
      <c r="AH589" s="55">
        <f t="shared" si="4086"/>
        <v>-7093</v>
      </c>
      <c r="AI589" s="55">
        <f t="shared" si="4086"/>
        <v>-8725</v>
      </c>
      <c r="AJ589" s="55">
        <f t="shared" si="4086"/>
        <v>-8523</v>
      </c>
      <c r="AK589" s="55">
        <f t="shared" si="4086"/>
        <v>-9895</v>
      </c>
      <c r="AL589" s="55">
        <f t="shared" ref="AL589:AQ589" si="4087">-AL565-AL566-AL555-AL567</f>
        <v>-9492</v>
      </c>
      <c r="AM589" s="55">
        <f t="shared" si="4087"/>
        <v>-8988</v>
      </c>
      <c r="AN589" s="55">
        <f t="shared" si="4087"/>
        <v>-10838</v>
      </c>
      <c r="AO589" s="55">
        <f t="shared" si="4087"/>
        <v>-10841</v>
      </c>
      <c r="AP589" s="55">
        <f t="shared" si="4087"/>
        <v>-10825</v>
      </c>
      <c r="AQ589" s="55">
        <f t="shared" si="4087"/>
        <v>-12008</v>
      </c>
      <c r="AR589" s="55">
        <f t="shared" ref="AR589" si="4088">-AR565-AR566-AR555-AR567</f>
        <v>-10563</v>
      </c>
      <c r="AS589" s="55">
        <f t="shared" ref="AS589:AT589" si="4089">-AS565-AS566-AS555-AS567</f>
        <v>-10535</v>
      </c>
      <c r="AT589" s="55">
        <f t="shared" si="4089"/>
        <v>-9312</v>
      </c>
      <c r="AU589" s="55">
        <f t="shared" ref="AU589:AV589" si="4090">-AU565-AU566-AU555-AU567</f>
        <v>-10862</v>
      </c>
      <c r="AV589" s="55">
        <f t="shared" si="4090"/>
        <v>-10862</v>
      </c>
      <c r="AW589" s="55">
        <f t="shared" ref="AW589:AX589" si="4091">-AW565-AW566-AW555-AW567</f>
        <v>-9272</v>
      </c>
      <c r="AX589" s="55">
        <f t="shared" si="4091"/>
        <v>-9272</v>
      </c>
      <c r="AY589" s="55">
        <f t="shared" ref="AY589:BE589" si="4092">-AY565-AY566-AY555-AY567</f>
        <v>-7907</v>
      </c>
      <c r="AZ589" s="56">
        <f t="shared" si="4092"/>
        <v>-7907</v>
      </c>
      <c r="BA589" s="55">
        <f t="shared" si="4092"/>
        <v>-7907</v>
      </c>
      <c r="BB589" s="55">
        <f t="shared" si="4092"/>
        <v>-7907</v>
      </c>
      <c r="BC589" s="55">
        <f t="shared" si="4092"/>
        <v>-7907</v>
      </c>
      <c r="BD589" s="55">
        <f t="shared" si="4092"/>
        <v>-7907</v>
      </c>
      <c r="BE589" s="55">
        <f t="shared" si="4092"/>
        <v>-7907</v>
      </c>
      <c r="BF589" s="55">
        <f t="shared" ref="BF589:BM589" si="4093">-BF565-BF566-BF555-BF567</f>
        <v>-7907</v>
      </c>
      <c r="BG589" s="55">
        <f t="shared" si="4093"/>
        <v>-7907</v>
      </c>
      <c r="BH589" s="55">
        <f t="shared" si="4093"/>
        <v>-7907</v>
      </c>
      <c r="BI589" s="55">
        <f t="shared" si="4093"/>
        <v>-7907</v>
      </c>
      <c r="BJ589" s="55">
        <f t="shared" si="4093"/>
        <v>-7907</v>
      </c>
      <c r="BK589" s="55">
        <f t="shared" si="4093"/>
        <v>-7907</v>
      </c>
      <c r="BL589" s="55">
        <f t="shared" si="4093"/>
        <v>-7907</v>
      </c>
      <c r="BM589" s="55">
        <f t="shared" si="4093"/>
        <v>-7907</v>
      </c>
      <c r="BN589" s="55">
        <f t="shared" ref="BN589:BO589" si="4094">-BN565-BN566-BN555-BN567</f>
        <v>-7907</v>
      </c>
      <c r="BO589" s="55">
        <f t="shared" si="4094"/>
        <v>-7907</v>
      </c>
      <c r="BP589" s="55">
        <f t="shared" ref="BP589:BQ589" si="4095">-BP565-BP566-BP555-BP567</f>
        <v>-7907</v>
      </c>
      <c r="BQ589" s="55">
        <f t="shared" si="4095"/>
        <v>-7907</v>
      </c>
      <c r="BR589" s="55"/>
      <c r="BS589" s="55">
        <f t="shared" ref="BS589:CB589" si="4096">-BS565-BS566-BS555-BS567</f>
        <v>-1437.6</v>
      </c>
      <c r="BT589" s="55">
        <f t="shared" si="4096"/>
        <v>-1601</v>
      </c>
      <c r="BU589" s="55">
        <f t="shared" si="4096"/>
        <v>-1130.3</v>
      </c>
      <c r="BV589" s="55">
        <f t="shared" si="4096"/>
        <v>-1125</v>
      </c>
      <c r="BW589" s="55">
        <f t="shared" si="4096"/>
        <v>-1014</v>
      </c>
      <c r="BX589" s="55">
        <f t="shared" si="4096"/>
        <v>-1073</v>
      </c>
      <c r="BY589" s="55">
        <f t="shared" si="4096"/>
        <v>-1306</v>
      </c>
      <c r="BZ589" s="55">
        <f t="shared" si="4096"/>
        <v>-638</v>
      </c>
      <c r="CA589" s="55">
        <f t="shared" si="4096"/>
        <v>-418</v>
      </c>
      <c r="CB589" s="55">
        <f t="shared" si="4096"/>
        <v>-1149</v>
      </c>
      <c r="CC589" s="55">
        <f>E589</f>
        <v>-1102</v>
      </c>
      <c r="CD589" s="55">
        <f>G589</f>
        <v>-1038</v>
      </c>
      <c r="CE589" s="55">
        <f>I589</f>
        <v>-2598</v>
      </c>
      <c r="CF589" s="55">
        <f>K589</f>
        <v>-2564</v>
      </c>
      <c r="CG589" s="55">
        <f>M589</f>
        <v>-3940</v>
      </c>
      <c r="CH589" s="55">
        <f>O589</f>
        <v>-2780</v>
      </c>
      <c r="CI589" s="55">
        <f>Q589</f>
        <v>-3255</v>
      </c>
      <c r="CJ589" s="55">
        <f>S589</f>
        <v>-4019</v>
      </c>
      <c r="CK589" s="55">
        <f>U589</f>
        <v>-5712</v>
      </c>
      <c r="CL589" s="55">
        <f>W589</f>
        <v>-5699</v>
      </c>
      <c r="CM589" s="55">
        <f>Y589</f>
        <v>-5696</v>
      </c>
      <c r="CN589" s="55">
        <f>AA589</f>
        <v>-5781</v>
      </c>
      <c r="CO589" s="55">
        <f>AC589</f>
        <v>-5257</v>
      </c>
      <c r="CP589" s="55">
        <f>AE589</f>
        <v>-6810</v>
      </c>
      <c r="CQ589" s="55">
        <f>AG589</f>
        <v>-7090</v>
      </c>
      <c r="CR589" s="55">
        <f>AI589</f>
        <v>-8725</v>
      </c>
      <c r="CS589" s="55">
        <f>AK589</f>
        <v>-9895</v>
      </c>
      <c r="CT589" s="55">
        <f>AM589</f>
        <v>-8988</v>
      </c>
      <c r="CU589" s="55">
        <f>AO589</f>
        <v>-10841</v>
      </c>
      <c r="CV589" s="55">
        <f>AQ589</f>
        <v>-12008</v>
      </c>
      <c r="CW589" s="55">
        <f>AS589</f>
        <v>-10535</v>
      </c>
      <c r="CX589" s="55">
        <f>AU589</f>
        <v>-10862</v>
      </c>
      <c r="CY589" s="55">
        <f>AW589</f>
        <v>-9272</v>
      </c>
      <c r="CZ589" s="56">
        <f>AY589</f>
        <v>-7907</v>
      </c>
      <c r="DA589" s="55">
        <f>BA589</f>
        <v>-7907</v>
      </c>
      <c r="DB589" s="55">
        <f>BC589</f>
        <v>-7907</v>
      </c>
      <c r="DC589" s="55">
        <f>BE589</f>
        <v>-7907</v>
      </c>
      <c r="DD589" s="55">
        <f>BG589</f>
        <v>-7907</v>
      </c>
      <c r="DE589" s="55">
        <f>BI589</f>
        <v>-7907</v>
      </c>
      <c r="DF589" s="55">
        <f>BK589</f>
        <v>-7907</v>
      </c>
      <c r="DG589" s="55">
        <f>BM589</f>
        <v>-7907</v>
      </c>
      <c r="DH589" s="55">
        <f>BO589</f>
        <v>-7907</v>
      </c>
      <c r="DI589" s="55">
        <f>BQ589</f>
        <v>-7907</v>
      </c>
    </row>
    <row r="590" spans="1:113" s="24" customFormat="1" outlineLevel="1">
      <c r="A590" s="1" t="s">
        <v>932</v>
      </c>
      <c r="B590" s="24" t="s">
        <v>575</v>
      </c>
      <c r="C590" s="82">
        <f t="shared" ref="C590:L590" si="4097">C587+C588+C589</f>
        <v>7179</v>
      </c>
      <c r="D590" s="82">
        <f t="shared" si="4097"/>
        <v>7503</v>
      </c>
      <c r="E590" s="82">
        <f t="shared" si="4097"/>
        <v>7772</v>
      </c>
      <c r="F590" s="82">
        <f t="shared" si="4097"/>
        <v>8360</v>
      </c>
      <c r="G590" s="82">
        <f t="shared" si="4097"/>
        <v>8488</v>
      </c>
      <c r="H590" s="82">
        <f t="shared" si="4097"/>
        <v>8089</v>
      </c>
      <c r="I590" s="82">
        <f t="shared" si="4097"/>
        <v>7730</v>
      </c>
      <c r="J590" s="82">
        <f t="shared" si="4097"/>
        <v>8669</v>
      </c>
      <c r="K590" s="82">
        <f t="shared" si="4097"/>
        <v>9317</v>
      </c>
      <c r="L590" s="82">
        <f t="shared" si="4097"/>
        <v>11774</v>
      </c>
      <c r="M590" s="82">
        <f t="shared" ref="M590:AB590" si="4098">M587+M588+M589</f>
        <v>11475</v>
      </c>
      <c r="N590" s="82">
        <f t="shared" si="4098"/>
        <v>12768</v>
      </c>
      <c r="O590" s="82">
        <f t="shared" si="4098"/>
        <v>13793</v>
      </c>
      <c r="P590" s="82">
        <f t="shared" si="4098"/>
        <v>12153</v>
      </c>
      <c r="Q590" s="82">
        <f t="shared" si="4098"/>
        <v>12597</v>
      </c>
      <c r="R590" s="82">
        <f t="shared" si="4098"/>
        <v>15715</v>
      </c>
      <c r="S590" s="82">
        <f t="shared" si="4098"/>
        <v>18353</v>
      </c>
      <c r="T590" s="82">
        <f t="shared" si="4098"/>
        <v>20302</v>
      </c>
      <c r="U590" s="82">
        <f t="shared" si="4098"/>
        <v>19950</v>
      </c>
      <c r="V590" s="82">
        <f t="shared" si="4098"/>
        <v>20999</v>
      </c>
      <c r="W590" s="82">
        <f t="shared" si="4098"/>
        <v>21575</v>
      </c>
      <c r="X590" s="82">
        <f t="shared" si="4098"/>
        <v>22837</v>
      </c>
      <c r="Y590" s="82">
        <f>Y587+Y588+Y589</f>
        <v>23664</v>
      </c>
      <c r="Z590" s="82">
        <f>Z587+Z588+Z589</f>
        <v>25049</v>
      </c>
      <c r="AA590" s="82">
        <f t="shared" si="4098"/>
        <v>27030</v>
      </c>
      <c r="AB590" s="82">
        <f t="shared" si="4098"/>
        <v>28538</v>
      </c>
      <c r="AC590" s="82">
        <f t="shared" ref="AC590:AK590" si="4099">AC587+AC588+AC589</f>
        <v>31412</v>
      </c>
      <c r="AD590" s="82">
        <f t="shared" si="4099"/>
        <v>32585</v>
      </c>
      <c r="AE590" s="82">
        <f t="shared" si="4099"/>
        <v>33398</v>
      </c>
      <c r="AF590" s="82">
        <f t="shared" si="4099"/>
        <v>41155</v>
      </c>
      <c r="AG590" s="82">
        <f t="shared" si="4099"/>
        <v>41663</v>
      </c>
      <c r="AH590" s="82">
        <f t="shared" si="4099"/>
        <v>43325</v>
      </c>
      <c r="AI590" s="82">
        <f t="shared" si="4099"/>
        <v>44159</v>
      </c>
      <c r="AJ590" s="82">
        <f t="shared" si="4099"/>
        <v>45840</v>
      </c>
      <c r="AK590" s="82">
        <f t="shared" si="4099"/>
        <v>46470</v>
      </c>
      <c r="AL590" s="82">
        <f t="shared" ref="AL590:AQ590" si="4100">AL587+AL588+AL589</f>
        <v>48026</v>
      </c>
      <c r="AM590" s="82">
        <f t="shared" si="4100"/>
        <v>48367</v>
      </c>
      <c r="AN590" s="82">
        <f t="shared" si="4100"/>
        <v>52380</v>
      </c>
      <c r="AO590" s="82">
        <f t="shared" si="4100"/>
        <v>52573</v>
      </c>
      <c r="AP590" s="82">
        <f t="shared" si="4100"/>
        <v>57075</v>
      </c>
      <c r="AQ590" s="82">
        <f t="shared" si="4100"/>
        <v>58836</v>
      </c>
      <c r="AR590" s="82">
        <f t="shared" ref="AR590" si="4101">AR587+AR588+AR589</f>
        <v>55464</v>
      </c>
      <c r="AS590" s="82">
        <f t="shared" ref="AS590:AT590" si="4102">AS587+AS588+AS589</f>
        <v>57023</v>
      </c>
      <c r="AT590" s="82">
        <f t="shared" si="4102"/>
        <v>57552</v>
      </c>
      <c r="AU590" s="82">
        <f t="shared" ref="AU590:AV590" si="4103">AU587+AU588+AU589</f>
        <v>56909</v>
      </c>
      <c r="AV590" s="82">
        <f t="shared" si="4103"/>
        <v>57231</v>
      </c>
      <c r="AW590" s="82">
        <f t="shared" ref="AW590:AX590" si="4104">AW587+AW588+AW589</f>
        <v>57691</v>
      </c>
      <c r="AX590" s="82">
        <f t="shared" si="4104"/>
        <v>58871</v>
      </c>
      <c r="AY590" s="82">
        <f t="shared" ref="AY590:BE590" si="4105">AY587+AY588+AY589</f>
        <v>60967</v>
      </c>
      <c r="AZ590" s="83">
        <f t="shared" si="4105"/>
        <v>61922</v>
      </c>
      <c r="BA590" s="82">
        <f t="shared" si="4105"/>
        <v>63980.48204184827</v>
      </c>
      <c r="BB590" s="82">
        <f t="shared" si="4105"/>
        <v>63656.46608469628</v>
      </c>
      <c r="BC590" s="82">
        <f t="shared" si="4105"/>
        <v>63960.217183952715</v>
      </c>
      <c r="BD590" s="82">
        <f t="shared" si="4105"/>
        <v>63861.927719066924</v>
      </c>
      <c r="BE590" s="82">
        <f t="shared" si="4105"/>
        <v>64301.631405705775</v>
      </c>
      <c r="BF590" s="82">
        <f t="shared" ref="BF590:BM590" si="4106">BF587+BF588+BF589</f>
        <v>64382.91998407917</v>
      </c>
      <c r="BG590" s="82">
        <f t="shared" si="4106"/>
        <v>66180.149235358738</v>
      </c>
      <c r="BH590" s="82">
        <f t="shared" si="4106"/>
        <v>67573.51741949009</v>
      </c>
      <c r="BI590" s="82">
        <f t="shared" si="4106"/>
        <v>69321.376801982406</v>
      </c>
      <c r="BJ590" s="82">
        <f t="shared" si="4106"/>
        <v>70585.069431630065</v>
      </c>
      <c r="BK590" s="82">
        <f t="shared" si="4106"/>
        <v>72322.100085473707</v>
      </c>
      <c r="BL590" s="82">
        <f t="shared" si="4106"/>
        <v>73610.864492627676</v>
      </c>
      <c r="BM590" s="82">
        <f t="shared" si="4106"/>
        <v>75376.121862219443</v>
      </c>
      <c r="BN590" s="82">
        <f t="shared" ref="BN590:BO590" si="4107">BN587+BN588+BN589</f>
        <v>76775.893629094731</v>
      </c>
      <c r="BO590" s="82">
        <f t="shared" si="4107"/>
        <v>78644.023575727973</v>
      </c>
      <c r="BP590" s="82">
        <f t="shared" ref="BP590:BQ590" si="4108">BP587+BP588+BP589</f>
        <v>80182.023854659579</v>
      </c>
      <c r="BQ590" s="82">
        <f t="shared" si="4108"/>
        <v>82185.995999044942</v>
      </c>
      <c r="BR590" s="82"/>
      <c r="BS590" s="82">
        <f t="shared" ref="BS590:CB590" si="4109">BS587+BS588+BS589</f>
        <v>4791.3999999999996</v>
      </c>
      <c r="BT590" s="82">
        <f t="shared" si="4109"/>
        <v>4945.5</v>
      </c>
      <c r="BU590" s="82">
        <f t="shared" si="4109"/>
        <v>5423.8</v>
      </c>
      <c r="BV590" s="82">
        <f t="shared" si="4109"/>
        <v>6087</v>
      </c>
      <c r="BW590" s="82">
        <f t="shared" si="4109"/>
        <v>6750</v>
      </c>
      <c r="BX590" s="82">
        <f t="shared" si="4109"/>
        <v>6395</v>
      </c>
      <c r="BY590" s="82">
        <f t="shared" si="4109"/>
        <v>6311</v>
      </c>
      <c r="BZ590" s="82">
        <f t="shared" si="4109"/>
        <v>6383</v>
      </c>
      <c r="CA590" s="82">
        <f t="shared" si="4109"/>
        <v>9200</v>
      </c>
      <c r="CB590" s="82">
        <f t="shared" si="4109"/>
        <v>7179</v>
      </c>
      <c r="CC590" s="82">
        <f t="shared" ref="CC590:CP590" si="4110">CC587+CC588+CC589</f>
        <v>7772</v>
      </c>
      <c r="CD590" s="82">
        <f t="shared" si="4110"/>
        <v>8488</v>
      </c>
      <c r="CE590" s="82">
        <f t="shared" si="4110"/>
        <v>7730</v>
      </c>
      <c r="CF590" s="82">
        <f t="shared" si="4110"/>
        <v>9317</v>
      </c>
      <c r="CG590" s="82">
        <f t="shared" si="4110"/>
        <v>11475</v>
      </c>
      <c r="CH590" s="82">
        <f t="shared" si="4110"/>
        <v>13793</v>
      </c>
      <c r="CI590" s="82">
        <f t="shared" si="4110"/>
        <v>12597</v>
      </c>
      <c r="CJ590" s="82">
        <f t="shared" si="4110"/>
        <v>18353</v>
      </c>
      <c r="CK590" s="82">
        <f t="shared" si="4110"/>
        <v>19950</v>
      </c>
      <c r="CL590" s="82">
        <f t="shared" si="4110"/>
        <v>21575</v>
      </c>
      <c r="CM590" s="82">
        <f t="shared" si="4110"/>
        <v>23664</v>
      </c>
      <c r="CN590" s="82">
        <f t="shared" si="4110"/>
        <v>27030</v>
      </c>
      <c r="CO590" s="82">
        <f t="shared" si="4110"/>
        <v>31412</v>
      </c>
      <c r="CP590" s="82">
        <f t="shared" si="4110"/>
        <v>33398</v>
      </c>
      <c r="CQ590" s="82">
        <f t="shared" ref="CQ590:CX590" si="4111">CQ587+CQ588+CQ589</f>
        <v>41663</v>
      </c>
      <c r="CR590" s="82">
        <f t="shared" si="4111"/>
        <v>44159</v>
      </c>
      <c r="CS590" s="82">
        <f t="shared" si="4111"/>
        <v>46470</v>
      </c>
      <c r="CT590" s="82">
        <f t="shared" si="4111"/>
        <v>48367</v>
      </c>
      <c r="CU590" s="82">
        <f t="shared" si="4111"/>
        <v>52573</v>
      </c>
      <c r="CV590" s="82">
        <f t="shared" si="4111"/>
        <v>58836</v>
      </c>
      <c r="CW590" s="82">
        <f t="shared" si="4111"/>
        <v>57023</v>
      </c>
      <c r="CX590" s="82">
        <f t="shared" si="4111"/>
        <v>56909</v>
      </c>
      <c r="CY590" s="82">
        <f t="shared" ref="CY590:DD590" si="4112">CY587+CY588+CY589</f>
        <v>57691</v>
      </c>
      <c r="CZ590" s="83">
        <f t="shared" si="4112"/>
        <v>60967</v>
      </c>
      <c r="DA590" s="82">
        <f t="shared" si="4112"/>
        <v>63980.48204184827</v>
      </c>
      <c r="DB590" s="82">
        <f t="shared" si="4112"/>
        <v>63960.217183952715</v>
      </c>
      <c r="DC590" s="82">
        <f t="shared" si="4112"/>
        <v>64301.63140570579</v>
      </c>
      <c r="DD590" s="82">
        <f t="shared" si="4112"/>
        <v>66180.149235358738</v>
      </c>
      <c r="DE590" s="82">
        <f>DE587+DE588+DE589</f>
        <v>69321.376801982406</v>
      </c>
      <c r="DF590" s="82">
        <f>DF587+DF588+DF589</f>
        <v>72322.100085473707</v>
      </c>
      <c r="DG590" s="82">
        <f>DG587+DG588+DG589</f>
        <v>75376.121862219443</v>
      </c>
      <c r="DH590" s="82">
        <f>DH587+DH588+DH589</f>
        <v>78644.023575727973</v>
      </c>
      <c r="DI590" s="82">
        <f>DI587+DI588+DI589</f>
        <v>82185.995999044942</v>
      </c>
    </row>
    <row r="591" spans="1:113" s="24" customFormat="1" outlineLevel="1">
      <c r="A591" s="1" t="s">
        <v>2402</v>
      </c>
      <c r="B591" s="19" t="s">
        <v>2403</v>
      </c>
      <c r="C591" s="82"/>
      <c r="D591" s="82"/>
      <c r="E591" s="82"/>
      <c r="F591" s="82"/>
      <c r="G591" s="82"/>
      <c r="H591" s="82"/>
      <c r="I591" s="82"/>
      <c r="J591" s="82"/>
      <c r="K591" s="82"/>
      <c r="L591" s="82"/>
      <c r="M591" s="82"/>
      <c r="N591" s="82"/>
      <c r="O591" s="82"/>
      <c r="P591" s="82"/>
      <c r="Q591" s="82"/>
      <c r="R591" s="82"/>
      <c r="S591" s="82"/>
      <c r="T591" s="82"/>
      <c r="U591" s="82"/>
      <c r="V591" s="82"/>
      <c r="W591" s="82"/>
      <c r="X591" s="82"/>
      <c r="Y591" s="55"/>
      <c r="Z591" s="55"/>
      <c r="AA591" s="55">
        <f t="shared" ref="AA591:AK591" si="4113">MIN(AA593*10%,-AA575-AA576-AA577-AA556)</f>
        <v>3097.9896000000003</v>
      </c>
      <c r="AB591" s="55">
        <f t="shared" si="4113"/>
        <v>3288.2561000000005</v>
      </c>
      <c r="AC591" s="55">
        <f t="shared" si="4113"/>
        <v>3546.4580000000005</v>
      </c>
      <c r="AD591" s="55">
        <f t="shared" si="4113"/>
        <v>3682.1576000000005</v>
      </c>
      <c r="AE591" s="55">
        <f t="shared" si="4113"/>
        <v>3782.2652000000003</v>
      </c>
      <c r="AF591" s="55">
        <f t="shared" si="4113"/>
        <v>4547.4282000000003</v>
      </c>
      <c r="AG591" s="55">
        <f t="shared" si="4113"/>
        <v>4600.4337000000005</v>
      </c>
      <c r="AH591" s="55">
        <f t="shared" si="4113"/>
        <v>4812.6291000000001</v>
      </c>
      <c r="AI591" s="55">
        <f t="shared" si="4113"/>
        <v>4984.081900000001</v>
      </c>
      <c r="AJ591" s="55">
        <f t="shared" si="4113"/>
        <v>5201.1704</v>
      </c>
      <c r="AK591" s="55">
        <f t="shared" si="4113"/>
        <v>5289.0568000000003</v>
      </c>
      <c r="AL591" s="55">
        <f t="shared" ref="AL591:AQ591" si="4114">MIN(AL593*10%,-AL575-AL576-AL577-AL556)</f>
        <v>5475.4014720336145</v>
      </c>
      <c r="AM591" s="55">
        <f t="shared" si="4114"/>
        <v>5515.8430000000008</v>
      </c>
      <c r="AN591" s="55">
        <f t="shared" si="4114"/>
        <v>5911.7309999999998</v>
      </c>
      <c r="AO591" s="55">
        <f t="shared" si="4114"/>
        <v>5402</v>
      </c>
      <c r="AP591" s="55">
        <f t="shared" si="4114"/>
        <v>4973</v>
      </c>
      <c r="AQ591" s="55">
        <f t="shared" si="4114"/>
        <v>6424.4160000000011</v>
      </c>
      <c r="AR591" s="55">
        <f t="shared" ref="AR591" si="4115">MIN(AR593*10%,-AR575-AR576-AR577-AR556)</f>
        <v>6065.5197000000007</v>
      </c>
      <c r="AS591" s="55">
        <f t="shared" ref="AS591:AT591" si="4116">MIN(AS593*10%,-AS575-AS576-AS577-AS556)</f>
        <v>5024</v>
      </c>
      <c r="AT591" s="55">
        <f t="shared" si="4116"/>
        <v>4244</v>
      </c>
      <c r="AU591" s="55">
        <f t="shared" ref="AU591:AV591" si="4117">MIN(AU593*10%,-AU575-AU576-AU577-AU556)</f>
        <v>4081</v>
      </c>
      <c r="AV591" s="55">
        <f t="shared" si="4117"/>
        <v>4180</v>
      </c>
      <c r="AW591" s="55">
        <f t="shared" ref="AW591:AY591" si="4118">MIN(AW593*10%,-AW575-AW576-AW577-AW556)</f>
        <v>4357</v>
      </c>
      <c r="AX591" s="55">
        <f t="shared" si="4118"/>
        <v>4374</v>
      </c>
      <c r="AY591" s="55">
        <f t="shared" si="4118"/>
        <v>3323</v>
      </c>
      <c r="AZ591" s="56">
        <f t="shared" ref="AZ591" si="4119">MIN(AZ593*10%,-AZ575-AZ576-AZ577-AZ556)</f>
        <v>3454</v>
      </c>
      <c r="BA591" s="55">
        <f t="shared" ref="BA591:BE591" si="4120">MIN((BA590+BA592)*10%/(1-10%),-BA575-BA576-BA577-BA556)</f>
        <v>3456.68</v>
      </c>
      <c r="BB591" s="55">
        <f t="shared" si="4120"/>
        <v>3459.4672</v>
      </c>
      <c r="BC591" s="55">
        <f t="shared" si="4120"/>
        <v>3462.3658879999998</v>
      </c>
      <c r="BD591" s="55">
        <f t="shared" si="4120"/>
        <v>3465.3805235200002</v>
      </c>
      <c r="BE591" s="55">
        <f t="shared" si="4120"/>
        <v>3468.5157444607999</v>
      </c>
      <c r="BF591" s="55">
        <f t="shared" ref="BF591:BM591" si="4121">MIN((BF590+BF592)*10%/(1-10%),-BF575-BF576-BF577-BF556)</f>
        <v>3471.7763742392322</v>
      </c>
      <c r="BG591" s="55">
        <f t="shared" si="4121"/>
        <v>3475.1674292088014</v>
      </c>
      <c r="BH591" s="55">
        <f t="shared" si="4121"/>
        <v>3478.6941263771532</v>
      </c>
      <c r="BI591" s="55">
        <f t="shared" si="4121"/>
        <v>3482.3618914322396</v>
      </c>
      <c r="BJ591" s="55">
        <f t="shared" si="4121"/>
        <v>3485.1815042893727</v>
      </c>
      <c r="BK591" s="55">
        <f t="shared" si="4121"/>
        <v>3484.7781143538045</v>
      </c>
      <c r="BL591" s="55">
        <f t="shared" si="4121"/>
        <v>3487.6481601173095</v>
      </c>
      <c r="BM591" s="55">
        <f t="shared" si="4121"/>
        <v>3487.7920376135398</v>
      </c>
      <c r="BN591" s="55">
        <f t="shared" ref="BN591:BO591" si="4122">MIN((BN590+BN592)*10%/(1-10%),-BN575-BN576-BN577-BN556)</f>
        <v>3490.7503585270265</v>
      </c>
      <c r="BO591" s="55">
        <f t="shared" si="4122"/>
        <v>3490.3314969776229</v>
      </c>
      <c r="BP591" s="55">
        <f t="shared" ref="BP591:BQ591" si="4123">MIN((BP590+BP592)*10%/(1-10%),-BP575-BP576-BP577-BP556)</f>
        <v>3493.6635934521801</v>
      </c>
      <c r="BQ591" s="55">
        <f t="shared" si="4123"/>
        <v>3493.2367593763843</v>
      </c>
      <c r="BR591" s="82"/>
      <c r="BS591" s="55"/>
      <c r="BT591" s="55"/>
      <c r="BU591" s="55"/>
      <c r="BV591" s="55"/>
      <c r="BW591" s="55"/>
      <c r="BX591" s="55"/>
      <c r="BY591" s="55"/>
      <c r="BZ591" s="55"/>
      <c r="CA591" s="55">
        <f t="shared" ref="CA591:CB593" si="4124">O591</f>
        <v>0</v>
      </c>
      <c r="CB591" s="55">
        <f t="shared" si="4124"/>
        <v>0</v>
      </c>
      <c r="CC591" s="55">
        <f>E591</f>
        <v>0</v>
      </c>
      <c r="CD591" s="55">
        <f>G591</f>
        <v>0</v>
      </c>
      <c r="CE591" s="55">
        <f>I591</f>
        <v>0</v>
      </c>
      <c r="CF591" s="55">
        <f>K591</f>
        <v>0</v>
      </c>
      <c r="CG591" s="55">
        <f>M591</f>
        <v>0</v>
      </c>
      <c r="CH591" s="55">
        <f>O591</f>
        <v>0</v>
      </c>
      <c r="CI591" s="55">
        <f>Q591</f>
        <v>0</v>
      </c>
      <c r="CJ591" s="55">
        <f>S591</f>
        <v>0</v>
      </c>
      <c r="CK591" s="55">
        <f>U591</f>
        <v>0</v>
      </c>
      <c r="CL591" s="55">
        <f>W591</f>
        <v>0</v>
      </c>
      <c r="CM591" s="55">
        <f>Y591</f>
        <v>0</v>
      </c>
      <c r="CN591" s="55">
        <f>AA591</f>
        <v>3097.9896000000003</v>
      </c>
      <c r="CO591" s="55">
        <f>AC591</f>
        <v>3546.4580000000005</v>
      </c>
      <c r="CP591" s="55">
        <f>AE591</f>
        <v>3782.2652000000003</v>
      </c>
      <c r="CQ591" s="55">
        <f>AG591</f>
        <v>4600.4337000000005</v>
      </c>
      <c r="CR591" s="55">
        <f>AI591</f>
        <v>4984.081900000001</v>
      </c>
      <c r="CS591" s="55">
        <f>AK591</f>
        <v>5289.0568000000003</v>
      </c>
      <c r="CT591" s="55">
        <f>AM591</f>
        <v>5515.8430000000008</v>
      </c>
      <c r="CU591" s="55">
        <f>AO591</f>
        <v>5402</v>
      </c>
      <c r="CV591" s="55">
        <f>AQ591</f>
        <v>6424.4160000000011</v>
      </c>
      <c r="CW591" s="55">
        <f>AS591</f>
        <v>5024</v>
      </c>
      <c r="CX591" s="55">
        <f>AU591</f>
        <v>4081</v>
      </c>
      <c r="CY591" s="55">
        <f>AW591</f>
        <v>4357</v>
      </c>
      <c r="CZ591" s="56">
        <f>AY591</f>
        <v>3323</v>
      </c>
      <c r="DA591" s="55">
        <f>BA591</f>
        <v>3456.68</v>
      </c>
      <c r="DB591" s="55">
        <f>BC591</f>
        <v>3462.3658879999998</v>
      </c>
      <c r="DC591" s="55">
        <f>BE591</f>
        <v>3468.5157444607999</v>
      </c>
      <c r="DD591" s="55">
        <f>BG591</f>
        <v>3475.1674292088014</v>
      </c>
      <c r="DE591" s="55">
        <f>BI591</f>
        <v>3482.3618914322396</v>
      </c>
      <c r="DF591" s="55">
        <f>BK591</f>
        <v>3484.7781143538045</v>
      </c>
      <c r="DG591" s="55">
        <f>BM591</f>
        <v>3487.7920376135398</v>
      </c>
      <c r="DH591" s="55">
        <f>BO591</f>
        <v>3490.3314969776229</v>
      </c>
      <c r="DI591" s="55">
        <f>BQ591</f>
        <v>3493.2367593763843</v>
      </c>
    </row>
    <row r="592" spans="1:113" s="24" customFormat="1" outlineLevel="1">
      <c r="A592" s="1" t="s">
        <v>2404</v>
      </c>
      <c r="B592" s="19" t="s">
        <v>2405</v>
      </c>
      <c r="C592" s="82"/>
      <c r="D592" s="82"/>
      <c r="E592" s="82"/>
      <c r="F592" s="82"/>
      <c r="G592" s="82"/>
      <c r="H592" s="82"/>
      <c r="I592" s="82"/>
      <c r="J592" s="82"/>
      <c r="K592" s="82"/>
      <c r="L592" s="82"/>
      <c r="M592" s="82"/>
      <c r="N592" s="82"/>
      <c r="O592" s="82"/>
      <c r="P592" s="82"/>
      <c r="Q592" s="82"/>
      <c r="R592" s="82"/>
      <c r="S592" s="82"/>
      <c r="T592" s="82"/>
      <c r="U592" s="82"/>
      <c r="V592" s="82"/>
      <c r="W592" s="82"/>
      <c r="X592" s="82"/>
      <c r="Y592" s="82"/>
      <c r="Z592" s="55"/>
      <c r="AA592" s="55">
        <f t="shared" ref="AA592:AK592" si="4125">AA593-AA591-AA590</f>
        <v>851.90639999999985</v>
      </c>
      <c r="AB592" s="55">
        <f t="shared" si="4125"/>
        <v>1056.3049000000028</v>
      </c>
      <c r="AC592" s="55">
        <f t="shared" si="4125"/>
        <v>506.12200000000303</v>
      </c>
      <c r="AD592" s="55">
        <f t="shared" si="4125"/>
        <v>554.41840000000229</v>
      </c>
      <c r="AE592" s="55">
        <f t="shared" si="4125"/>
        <v>642.38680000000022</v>
      </c>
      <c r="AF592" s="55">
        <f t="shared" si="4125"/>
        <v>-228.14620000000286</v>
      </c>
      <c r="AG592" s="55">
        <f t="shared" si="4125"/>
        <v>-259.09670000000187</v>
      </c>
      <c r="AH592" s="55">
        <f t="shared" si="4125"/>
        <v>-11.33810000000085</v>
      </c>
      <c r="AI592" s="55">
        <f t="shared" si="4125"/>
        <v>697.73709999999846</v>
      </c>
      <c r="AJ592" s="55">
        <f t="shared" si="4125"/>
        <v>970.5335999999952</v>
      </c>
      <c r="AK592" s="55">
        <f t="shared" si="4125"/>
        <v>1131.5112000000008</v>
      </c>
      <c r="AL592" s="55">
        <f t="shared" ref="AL592:AQ592" si="4126">AL593-AL591-AL590</f>
        <v>1252.6132483025285</v>
      </c>
      <c r="AM592" s="55">
        <f t="shared" si="4126"/>
        <v>1275.5869999999995</v>
      </c>
      <c r="AN592" s="55">
        <f t="shared" si="4126"/>
        <v>825.5789999999979</v>
      </c>
      <c r="AO592" s="55">
        <f t="shared" si="4126"/>
        <v>967.27199999999721</v>
      </c>
      <c r="AP592" s="55">
        <f t="shared" si="4126"/>
        <v>924.00800000000163</v>
      </c>
      <c r="AQ592" s="55">
        <f t="shared" si="4126"/>
        <v>-1016.2559999999939</v>
      </c>
      <c r="AR592" s="55">
        <f t="shared" ref="AR592" si="4127">AR593-AR591-AR590</f>
        <v>-874.32270000000426</v>
      </c>
      <c r="AS592" s="55">
        <f t="shared" ref="AS592:AT592" si="4128">AS593-AS591-AS590</f>
        <v>452.81199999999808</v>
      </c>
      <c r="AT592" s="55">
        <f t="shared" si="4128"/>
        <v>1304.1800000000003</v>
      </c>
      <c r="AU592" s="55">
        <f t="shared" ref="AU592:AV592" si="4129">AU593-AU591-AU590</f>
        <v>4342.8559999999998</v>
      </c>
      <c r="AV592" s="55">
        <f t="shared" si="4129"/>
        <v>3701.948000000004</v>
      </c>
      <c r="AW592" s="55">
        <f t="shared" ref="AW592:AY592" si="4130">AW593-AW591-AW590</f>
        <v>3591.3669999999984</v>
      </c>
      <c r="AX592" s="55">
        <f t="shared" si="4130"/>
        <v>3826.273000000001</v>
      </c>
      <c r="AY592" s="55">
        <f t="shared" si="4130"/>
        <v>5111.4649999999965</v>
      </c>
      <c r="AZ592" s="56">
        <f t="shared" ref="AZ592" si="4131">AZ593-AZ591-AZ590</f>
        <v>3620.3399999999965</v>
      </c>
      <c r="BA592" s="55">
        <f t="shared" ref="BA592:BE592" si="4132">AZ$592/AZ$574*BA574</f>
        <v>3620.3399999999965</v>
      </c>
      <c r="BB592" s="55">
        <f t="shared" si="4132"/>
        <v>3620.3399999999965</v>
      </c>
      <c r="BC592" s="55">
        <f t="shared" si="4132"/>
        <v>3620.3399999999965</v>
      </c>
      <c r="BD592" s="55">
        <f t="shared" si="4132"/>
        <v>3620.3399999999965</v>
      </c>
      <c r="BE592" s="55">
        <f t="shared" si="4132"/>
        <v>3620.3399999999965</v>
      </c>
      <c r="BF592" s="55">
        <f t="shared" ref="BF592:BM592" si="4133">BE$592/BE$574*BF574</f>
        <v>3620.3399999999965</v>
      </c>
      <c r="BG592" s="55">
        <f t="shared" si="4133"/>
        <v>3620.3399999999965</v>
      </c>
      <c r="BH592" s="55">
        <f t="shared" si="4133"/>
        <v>3620.3399999999965</v>
      </c>
      <c r="BI592" s="55">
        <f t="shared" si="4133"/>
        <v>3620.3399999999965</v>
      </c>
      <c r="BJ592" s="55">
        <f t="shared" si="4133"/>
        <v>3620.3399999999965</v>
      </c>
      <c r="BK592" s="55">
        <f t="shared" si="4133"/>
        <v>3620.3399999999965</v>
      </c>
      <c r="BL592" s="55">
        <f t="shared" si="4133"/>
        <v>3620.3399999999965</v>
      </c>
      <c r="BM592" s="55">
        <f t="shared" si="4133"/>
        <v>3620.3399999999965</v>
      </c>
      <c r="BN592" s="55">
        <f t="shared" ref="BN592" si="4134">BM$592/BM$574*BN574</f>
        <v>3620.3399999999965</v>
      </c>
      <c r="BO592" s="55">
        <f t="shared" ref="BO592" si="4135">BN$592/BN$574*BO574</f>
        <v>3620.3399999999965</v>
      </c>
      <c r="BP592" s="55">
        <f t="shared" ref="BP592" si="4136">BO$592/BO$574*BP574</f>
        <v>3620.3399999999965</v>
      </c>
      <c r="BQ592" s="55">
        <f t="shared" ref="BQ592" si="4137">BP$592/BP$574*BQ574</f>
        <v>3620.3399999999965</v>
      </c>
      <c r="BR592" s="82"/>
      <c r="BS592" s="82"/>
      <c r="BT592" s="82"/>
      <c r="BU592" s="82"/>
      <c r="BV592" s="82"/>
      <c r="BW592" s="82"/>
      <c r="BX592" s="82"/>
      <c r="BY592" s="82"/>
      <c r="BZ592" s="82"/>
      <c r="CA592" s="55">
        <f t="shared" si="4124"/>
        <v>0</v>
      </c>
      <c r="CB592" s="55">
        <f t="shared" si="4124"/>
        <v>0</v>
      </c>
      <c r="CC592" s="55">
        <f>E592</f>
        <v>0</v>
      </c>
      <c r="CD592" s="55">
        <f>G592</f>
        <v>0</v>
      </c>
      <c r="CE592" s="55">
        <f>I592</f>
        <v>0</v>
      </c>
      <c r="CF592" s="55">
        <f>K592</f>
        <v>0</v>
      </c>
      <c r="CG592" s="55">
        <f>M592</f>
        <v>0</v>
      </c>
      <c r="CH592" s="55">
        <f>O592</f>
        <v>0</v>
      </c>
      <c r="CI592" s="55">
        <f>Q592</f>
        <v>0</v>
      </c>
      <c r="CJ592" s="55">
        <f>S592</f>
        <v>0</v>
      </c>
      <c r="CK592" s="55">
        <f>U592</f>
        <v>0</v>
      </c>
      <c r="CL592" s="55">
        <f>W592</f>
        <v>0</v>
      </c>
      <c r="CM592" s="55">
        <f>Y592</f>
        <v>0</v>
      </c>
      <c r="CN592" s="55">
        <f>AA592</f>
        <v>851.90639999999985</v>
      </c>
      <c r="CO592" s="55">
        <f>AC592</f>
        <v>506.12200000000303</v>
      </c>
      <c r="CP592" s="55">
        <f>AE592</f>
        <v>642.38680000000022</v>
      </c>
      <c r="CQ592" s="55">
        <f>AG592</f>
        <v>-259.09670000000187</v>
      </c>
      <c r="CR592" s="55">
        <f>AI592</f>
        <v>697.73709999999846</v>
      </c>
      <c r="CS592" s="55">
        <f>AK592</f>
        <v>1131.5112000000008</v>
      </c>
      <c r="CT592" s="55">
        <f>AM592</f>
        <v>1275.5869999999995</v>
      </c>
      <c r="CU592" s="55">
        <f>AO592</f>
        <v>967.27199999999721</v>
      </c>
      <c r="CV592" s="55">
        <f>AQ592</f>
        <v>-1016.2559999999939</v>
      </c>
      <c r="CW592" s="55">
        <f>AS592</f>
        <v>452.81199999999808</v>
      </c>
      <c r="CX592" s="55">
        <f>AU592</f>
        <v>4342.8559999999998</v>
      </c>
      <c r="CY592" s="55">
        <f>AW592</f>
        <v>3591.3669999999984</v>
      </c>
      <c r="CZ592" s="56">
        <f>AY592</f>
        <v>5111.4649999999965</v>
      </c>
      <c r="DA592" s="55">
        <f>BA592</f>
        <v>3620.3399999999965</v>
      </c>
      <c r="DB592" s="55">
        <f>BC592</f>
        <v>3620.3399999999965</v>
      </c>
      <c r="DC592" s="55">
        <f>BE592</f>
        <v>3620.3399999999965</v>
      </c>
      <c r="DD592" s="55">
        <f>BG592</f>
        <v>3620.3399999999965</v>
      </c>
      <c r="DE592" s="55">
        <f>BI592</f>
        <v>3620.3399999999965</v>
      </c>
      <c r="DF592" s="55">
        <f>BK592</f>
        <v>3620.3399999999965</v>
      </c>
      <c r="DG592" s="55">
        <f>BM592</f>
        <v>3620.3399999999965</v>
      </c>
      <c r="DH592" s="55">
        <f>BO592</f>
        <v>3620.3399999999965</v>
      </c>
      <c r="DI592" s="55">
        <f>BQ592</f>
        <v>3620.3399999999965</v>
      </c>
    </row>
    <row r="593" spans="1:113" s="24" customFormat="1" outlineLevel="1">
      <c r="A593" s="1" t="s">
        <v>2406</v>
      </c>
      <c r="B593" s="24" t="s">
        <v>2407</v>
      </c>
      <c r="C593" s="82"/>
      <c r="D593" s="82"/>
      <c r="E593" s="82"/>
      <c r="F593" s="82"/>
      <c r="G593" s="82"/>
      <c r="H593" s="82"/>
      <c r="I593" s="82"/>
      <c r="J593" s="82"/>
      <c r="K593" s="82"/>
      <c r="L593" s="82"/>
      <c r="M593" s="82"/>
      <c r="N593" s="82"/>
      <c r="O593" s="82"/>
      <c r="P593" s="82"/>
      <c r="Q593" s="82"/>
      <c r="R593" s="82"/>
      <c r="S593" s="82"/>
      <c r="T593" s="82"/>
      <c r="U593" s="82"/>
      <c r="V593" s="82"/>
      <c r="W593" s="82"/>
      <c r="X593" s="82"/>
      <c r="Y593" s="82"/>
      <c r="Z593" s="166"/>
      <c r="AA593" s="166">
        <f>AA590+1.2%*AA613</f>
        <v>30979.896000000001</v>
      </c>
      <c r="AB593" s="166">
        <f>AB590+1.3%*AB613</f>
        <v>32882.561000000002</v>
      </c>
      <c r="AC593" s="166">
        <f>AC590+(0.9%+0.3%)*AC613</f>
        <v>35464.58</v>
      </c>
      <c r="AD593" s="166">
        <f>AD590+(1%+0.2%)*AD613</f>
        <v>36821.576000000001</v>
      </c>
      <c r="AE593" s="166">
        <f>AE590+(1%+0.2%)*AE613</f>
        <v>37822.652000000002</v>
      </c>
      <c r="AF593" s="166">
        <f>AF590+(0.9%+0.2%)*AF613</f>
        <v>45474.281999999999</v>
      </c>
      <c r="AG593" s="166">
        <f>AG590+(0.8%+0.3%)*AG613</f>
        <v>46004.337</v>
      </c>
      <c r="AH593" s="166">
        <f>AH590+(0.7%+0.1%+0.3%)*AH613</f>
        <v>48126.290999999997</v>
      </c>
      <c r="AI593" s="166">
        <f>AI590+(0.9%+0.1%+0.3%)*AI613</f>
        <v>49840.819000000003</v>
      </c>
      <c r="AJ593" s="166">
        <f>AJ590+(1%+0.1%+0.3%)*AJ613</f>
        <v>52011.703999999998</v>
      </c>
      <c r="AK593" s="166">
        <f>AK590+(1%+0.1%+0.3%)*AK613</f>
        <v>52890.567999999999</v>
      </c>
      <c r="AL593" s="166">
        <f>AK616*(15.5%-0.23%+0.39%-0.95%+1.37%)</f>
        <v>54754.014720336141</v>
      </c>
      <c r="AM593" s="166">
        <f>AM590+(1%+0.1%+0.4%)*AM613</f>
        <v>55158.43</v>
      </c>
      <c r="AN593" s="166">
        <f>AN590+(1%+0.1%+0.4%)*AN613</f>
        <v>59117.31</v>
      </c>
      <c r="AO593" s="166">
        <f>AO590+(0.8%+0.1%+0.5%)*AO613</f>
        <v>58942.271999999997</v>
      </c>
      <c r="AP593" s="166">
        <f>AP590+(0.7%+0.1%+0.5%)*AP613</f>
        <v>62972.008000000002</v>
      </c>
      <c r="AQ593" s="166">
        <f>AQ590+(0.8%+0.1%+0.3%)*AQ613</f>
        <v>64244.160000000003</v>
      </c>
      <c r="AR593" s="166">
        <f>AR590+(0.8%+0.1%+0.2%)*AR613</f>
        <v>60655.197</v>
      </c>
      <c r="AS593" s="798">
        <f>AS590+(0.8%+0.1%+0.2%)*AS613</f>
        <v>62499.811999999998</v>
      </c>
      <c r="AT593" s="798">
        <f>AT590+(0.8%+0.1%+0.2%)*AT613</f>
        <v>63100.18</v>
      </c>
      <c r="AU593" s="798">
        <f>AU590+(1.8%)*AU613</f>
        <v>65332.856</v>
      </c>
      <c r="AV593" s="798">
        <f>AV590+(1.7%)*AV613</f>
        <v>65112.948000000004</v>
      </c>
      <c r="AW593" s="798">
        <f>AW590+(1.7%)*AW613</f>
        <v>65639.366999999998</v>
      </c>
      <c r="AX593" s="166">
        <f>AX590+(1.7%)*AX613</f>
        <v>67071.273000000001</v>
      </c>
      <c r="AY593" s="166">
        <f>AY590+(1.7%)*AY613</f>
        <v>69401.464999999997</v>
      </c>
      <c r="AZ593" s="167">
        <f>AZ590+(1.4%)*AZ613</f>
        <v>68996.34</v>
      </c>
      <c r="BA593" s="82">
        <f t="shared" ref="BA593:BE593" si="4138">SUM(BA590:BA592)</f>
        <v>71057.50204184826</v>
      </c>
      <c r="BB593" s="82">
        <f t="shared" si="4138"/>
        <v>70736.273284696275</v>
      </c>
      <c r="BC593" s="82">
        <f t="shared" si="4138"/>
        <v>71042.923071952711</v>
      </c>
      <c r="BD593" s="82">
        <f t="shared" si="4138"/>
        <v>70947.648242586918</v>
      </c>
      <c r="BE593" s="82">
        <f t="shared" si="4138"/>
        <v>71390.487150166577</v>
      </c>
      <c r="BF593" s="82">
        <f t="shared" ref="BF593:BM593" si="4139">SUM(BF590:BF592)</f>
        <v>71475.036358318393</v>
      </c>
      <c r="BG593" s="82">
        <f t="shared" si="4139"/>
        <v>73275.656664567534</v>
      </c>
      <c r="BH593" s="82">
        <f t="shared" si="4139"/>
        <v>74672.551545867245</v>
      </c>
      <c r="BI593" s="82">
        <f t="shared" si="4139"/>
        <v>76424.078693414645</v>
      </c>
      <c r="BJ593" s="82">
        <f t="shared" si="4139"/>
        <v>77690.590935919434</v>
      </c>
      <c r="BK593" s="82">
        <f t="shared" si="4139"/>
        <v>79427.218199827505</v>
      </c>
      <c r="BL593" s="82">
        <f t="shared" si="4139"/>
        <v>80718.852652744987</v>
      </c>
      <c r="BM593" s="82">
        <f t="shared" si="4139"/>
        <v>82484.253899832984</v>
      </c>
      <c r="BN593" s="82">
        <f t="shared" ref="BN593:BO593" si="4140">SUM(BN590:BN592)</f>
        <v>83886.983987621759</v>
      </c>
      <c r="BO593" s="82">
        <f t="shared" si="4140"/>
        <v>85754.695072705596</v>
      </c>
      <c r="BP593" s="82">
        <f t="shared" ref="BP593:BQ593" si="4141">SUM(BP590:BP592)</f>
        <v>87296.027448111752</v>
      </c>
      <c r="BQ593" s="82">
        <f t="shared" si="4141"/>
        <v>89299.572758421316</v>
      </c>
      <c r="BR593" s="82"/>
      <c r="BS593" s="82"/>
      <c r="BT593" s="82"/>
      <c r="BU593" s="82"/>
      <c r="BV593" s="82"/>
      <c r="BW593" s="82"/>
      <c r="BX593" s="82"/>
      <c r="BY593" s="82"/>
      <c r="BZ593" s="82"/>
      <c r="CA593" s="82">
        <f t="shared" si="4124"/>
        <v>0</v>
      </c>
      <c r="CB593" s="82">
        <f t="shared" si="4124"/>
        <v>0</v>
      </c>
      <c r="CC593" s="82">
        <f>E593</f>
        <v>0</v>
      </c>
      <c r="CD593" s="82">
        <f>G593</f>
        <v>0</v>
      </c>
      <c r="CE593" s="82">
        <f>I593</f>
        <v>0</v>
      </c>
      <c r="CF593" s="82">
        <f>K593</f>
        <v>0</v>
      </c>
      <c r="CG593" s="82">
        <f>M593</f>
        <v>0</v>
      </c>
      <c r="CH593" s="82">
        <f>O593</f>
        <v>0</v>
      </c>
      <c r="CI593" s="82">
        <f>Q593</f>
        <v>0</v>
      </c>
      <c r="CJ593" s="82">
        <f>S593</f>
        <v>0</v>
      </c>
      <c r="CK593" s="82">
        <f>U593</f>
        <v>0</v>
      </c>
      <c r="CL593" s="82">
        <f>W593</f>
        <v>0</v>
      </c>
      <c r="CM593" s="82">
        <f>Y593</f>
        <v>0</v>
      </c>
      <c r="CN593" s="82">
        <f t="shared" ref="CN593:DC593" si="4142">SUM(CN590:CN592)</f>
        <v>30979.896000000001</v>
      </c>
      <c r="CO593" s="82">
        <f t="shared" si="4142"/>
        <v>35464.58</v>
      </c>
      <c r="CP593" s="82">
        <f t="shared" si="4142"/>
        <v>37822.652000000002</v>
      </c>
      <c r="CQ593" s="82">
        <f t="shared" si="4142"/>
        <v>46004.337</v>
      </c>
      <c r="CR593" s="82">
        <f t="shared" si="4142"/>
        <v>49840.819000000003</v>
      </c>
      <c r="CS593" s="82">
        <f t="shared" si="4142"/>
        <v>52890.567999999999</v>
      </c>
      <c r="CT593" s="82">
        <f t="shared" si="4142"/>
        <v>55158.43</v>
      </c>
      <c r="CU593" s="82">
        <f t="shared" si="4142"/>
        <v>58942.271999999997</v>
      </c>
      <c r="CV593" s="82">
        <f t="shared" si="4142"/>
        <v>64244.160000000003</v>
      </c>
      <c r="CW593" s="82">
        <f t="shared" si="4142"/>
        <v>62499.811999999998</v>
      </c>
      <c r="CX593" s="82">
        <f t="shared" si="4142"/>
        <v>65332.856</v>
      </c>
      <c r="CY593" s="82">
        <f t="shared" si="4142"/>
        <v>65639.366999999998</v>
      </c>
      <c r="CZ593" s="83">
        <f t="shared" si="4142"/>
        <v>69401.464999999997</v>
      </c>
      <c r="DA593" s="82">
        <f t="shared" si="4142"/>
        <v>71057.50204184826</v>
      </c>
      <c r="DB593" s="82">
        <f t="shared" si="4142"/>
        <v>71042.923071952711</v>
      </c>
      <c r="DC593" s="82">
        <f t="shared" si="4142"/>
        <v>71390.487150166591</v>
      </c>
      <c r="DD593" s="82">
        <f t="shared" ref="DD593:DI593" si="4143">SUM(DD590:DD592)</f>
        <v>73275.656664567534</v>
      </c>
      <c r="DE593" s="82">
        <f t="shared" si="4143"/>
        <v>76424.078693414645</v>
      </c>
      <c r="DF593" s="82">
        <f t="shared" si="4143"/>
        <v>79427.218199827505</v>
      </c>
      <c r="DG593" s="82">
        <f t="shared" si="4143"/>
        <v>82484.253899832984</v>
      </c>
      <c r="DH593" s="82">
        <f t="shared" si="4143"/>
        <v>85754.695072705596</v>
      </c>
      <c r="DI593" s="82">
        <f t="shared" si="4143"/>
        <v>89299.572758421316</v>
      </c>
    </row>
    <row r="594" spans="1:113" outlineLevel="1">
      <c r="C594" s="55"/>
      <c r="D594" s="55"/>
      <c r="E594" s="55"/>
      <c r="F594" s="55"/>
      <c r="G594" s="55"/>
      <c r="H594" s="55"/>
      <c r="I594" s="55"/>
      <c r="J594" s="55"/>
      <c r="K594" s="55"/>
      <c r="L594" s="55"/>
      <c r="M594" s="55"/>
      <c r="N594" s="55"/>
      <c r="O594" s="55"/>
      <c r="P594" s="55"/>
      <c r="Q594" s="55"/>
      <c r="R594" s="55"/>
      <c r="S594" s="55"/>
      <c r="T594" s="55"/>
      <c r="U594" s="55"/>
      <c r="V594" s="55"/>
      <c r="W594" s="55"/>
      <c r="X594" s="55"/>
      <c r="Y594" s="55"/>
      <c r="Z594" s="55"/>
      <c r="AA594" s="55"/>
      <c r="AB594" s="55"/>
      <c r="AC594" s="55"/>
      <c r="AD594" s="55"/>
      <c r="AE594" s="55"/>
      <c r="AF594" s="55"/>
      <c r="AG594" s="55"/>
      <c r="AH594" s="55"/>
      <c r="AI594" s="55"/>
      <c r="AJ594" s="55"/>
      <c r="AK594" s="55"/>
      <c r="AL594" s="55"/>
      <c r="AM594" s="55"/>
      <c r="AN594" s="55"/>
      <c r="AO594" s="55"/>
      <c r="AP594" s="55"/>
      <c r="AQ594" s="55"/>
      <c r="AR594" s="55"/>
      <c r="AS594" s="55"/>
      <c r="AT594" s="55"/>
      <c r="AU594" s="55"/>
      <c r="AV594" s="55"/>
      <c r="AW594" s="55"/>
      <c r="AX594" s="55"/>
      <c r="AY594" s="55"/>
      <c r="AZ594" s="56"/>
      <c r="BA594" s="55"/>
      <c r="BB594" s="55"/>
      <c r="BC594" s="55"/>
      <c r="BD594" s="55"/>
      <c r="BE594" s="55"/>
      <c r="BF594" s="55"/>
      <c r="BG594" s="55"/>
      <c r="BH594" s="55"/>
      <c r="BI594" s="55"/>
      <c r="BJ594" s="55"/>
      <c r="BK594" s="55"/>
      <c r="BL594" s="55"/>
      <c r="BM594" s="55"/>
      <c r="BN594" s="55"/>
      <c r="BO594" s="55"/>
      <c r="BP594" s="55"/>
      <c r="BQ594" s="55"/>
      <c r="BR594" s="55"/>
      <c r="BS594" s="55"/>
      <c r="BT594" s="55"/>
      <c r="BU594" s="55"/>
      <c r="BV594" s="55"/>
      <c r="BW594" s="55"/>
      <c r="BX594" s="55"/>
      <c r="BY594" s="55"/>
      <c r="BZ594" s="55"/>
      <c r="CA594" s="55"/>
      <c r="CB594" s="55"/>
      <c r="CC594" s="55"/>
      <c r="CD594" s="55"/>
      <c r="CE594" s="55"/>
      <c r="CF594" s="55"/>
      <c r="CG594" s="55"/>
      <c r="CH594" s="55"/>
      <c r="CI594" s="55"/>
      <c r="CJ594" s="55"/>
      <c r="CK594" s="55"/>
      <c r="CL594" s="55"/>
      <c r="CM594" s="55"/>
      <c r="CN594" s="55"/>
      <c r="CO594" s="55"/>
      <c r="CP594" s="55"/>
      <c r="CQ594" s="55"/>
      <c r="CR594" s="55"/>
      <c r="CS594" s="55"/>
      <c r="CT594" s="55"/>
      <c r="CU594" s="55"/>
      <c r="CV594" s="55"/>
      <c r="CW594" s="55"/>
      <c r="CX594" s="55"/>
      <c r="CY594" s="55"/>
      <c r="CZ594" s="56"/>
      <c r="DA594" s="55"/>
      <c r="DB594" s="55"/>
    </row>
    <row r="595" spans="1:113" s="24" customFormat="1" outlineLevel="1">
      <c r="A595" s="1" t="s">
        <v>933</v>
      </c>
      <c r="B595" s="24" t="s">
        <v>576</v>
      </c>
      <c r="C595" s="82">
        <f t="shared" ref="C595:L595" si="4144">C590-C151*C613</f>
        <v>259.84999999999945</v>
      </c>
      <c r="D595" s="82">
        <f t="shared" si="4144"/>
        <v>589.44999999999982</v>
      </c>
      <c r="E595" s="82">
        <f t="shared" si="4144"/>
        <v>719.54999999999927</v>
      </c>
      <c r="F595" s="82">
        <f t="shared" si="4144"/>
        <v>1171.4499999999998</v>
      </c>
      <c r="G595" s="82">
        <f t="shared" si="4144"/>
        <v>1147.5999999999995</v>
      </c>
      <c r="H595" s="82">
        <f t="shared" si="4144"/>
        <v>215.44999999999982</v>
      </c>
      <c r="I595" s="82">
        <f t="shared" si="4144"/>
        <v>-736.05000000000109</v>
      </c>
      <c r="J595" s="82">
        <f t="shared" si="4144"/>
        <v>-364.70000000000073</v>
      </c>
      <c r="K595" s="82">
        <f t="shared" si="4144"/>
        <v>-160.95000000000073</v>
      </c>
      <c r="L595" s="82">
        <f t="shared" si="4144"/>
        <v>1640.6499999999996</v>
      </c>
      <c r="M595" s="82">
        <f t="shared" ref="M595:AD595" si="4145">M590-M151*M613</f>
        <v>653.09999999999854</v>
      </c>
      <c r="N595" s="82">
        <f t="shared" si="4145"/>
        <v>1039.5499999999993</v>
      </c>
      <c r="O595" s="82">
        <f t="shared" si="4145"/>
        <v>1525.6499999999996</v>
      </c>
      <c r="P595" s="82">
        <f t="shared" si="4145"/>
        <v>2241.5999999999985</v>
      </c>
      <c r="Q595" s="82">
        <f t="shared" si="4145"/>
        <v>2321.9499999999989</v>
      </c>
      <c r="R595" s="82">
        <f t="shared" si="4145"/>
        <v>161.21500000000015</v>
      </c>
      <c r="S595" s="82">
        <f t="shared" si="4145"/>
        <v>-421.34000000000015</v>
      </c>
      <c r="T595" s="82">
        <f t="shared" si="4145"/>
        <v>967.81499999999869</v>
      </c>
      <c r="U595" s="82">
        <f t="shared" si="4145"/>
        <v>1046.6349999999984</v>
      </c>
      <c r="V595" s="82">
        <f t="shared" si="4145"/>
        <v>2437.4049999999988</v>
      </c>
      <c r="W595" s="82">
        <f t="shared" si="4145"/>
        <v>-2676.2545000000027</v>
      </c>
      <c r="X595" s="82">
        <f t="shared" si="4145"/>
        <v>-3423.6075000000019</v>
      </c>
      <c r="Y595" s="82">
        <f>Y590-Y151*Y613</f>
        <v>-2270.9025000000001</v>
      </c>
      <c r="Z595" s="82">
        <f>Z590-Z151*Z613</f>
        <v>-452.41649999999936</v>
      </c>
      <c r="AA595" s="82">
        <f t="shared" si="4145"/>
        <v>-125.53499999999985</v>
      </c>
      <c r="AB595" s="82">
        <f t="shared" si="4145"/>
        <v>-704.23749999999927</v>
      </c>
      <c r="AC595" s="82">
        <f t="shared" si="4145"/>
        <v>1861.9375000000036</v>
      </c>
      <c r="AD595" s="82">
        <f t="shared" si="4145"/>
        <v>810.68000000000029</v>
      </c>
      <c r="AE595" s="82">
        <f t="shared" ref="AE595:AK595" si="4146">AE590-AE151*AE613</f>
        <v>213.11000000000058</v>
      </c>
      <c r="AF595" s="82">
        <f t="shared" si="4146"/>
        <v>1888.7999999999956</v>
      </c>
      <c r="AG595" s="82">
        <f t="shared" si="4146"/>
        <v>2196.2999999999956</v>
      </c>
      <c r="AH595" s="82">
        <f t="shared" si="4146"/>
        <v>-323.10000000000582</v>
      </c>
      <c r="AI595" s="82">
        <f t="shared" si="4146"/>
        <v>-1732.614999999998</v>
      </c>
      <c r="AJ595" s="82">
        <f t="shared" si="4146"/>
        <v>-447.77999999999884</v>
      </c>
      <c r="AK595" s="82">
        <f t="shared" si="4146"/>
        <v>-1684.2599999999948</v>
      </c>
      <c r="AL595" s="82">
        <f t="shared" ref="AL595:AQ595" si="4147">AL590-AL151*AL613</f>
        <v>1285.8800000000047</v>
      </c>
      <c r="AM595" s="82">
        <f t="shared" si="4147"/>
        <v>826.99000000000524</v>
      </c>
      <c r="AN595" s="82">
        <f t="shared" si="4147"/>
        <v>5218.8300000000017</v>
      </c>
      <c r="AO595" s="82">
        <f t="shared" si="4147"/>
        <v>4803.4599999999991</v>
      </c>
      <c r="AP595" s="82">
        <f t="shared" si="4147"/>
        <v>9445.32</v>
      </c>
      <c r="AQ595" s="82">
        <f t="shared" si="4147"/>
        <v>11514.599999999999</v>
      </c>
      <c r="AR595" s="82">
        <f t="shared" ref="AR595" si="4148">AR590-AR151*AR613</f>
        <v>5911.6650000000009</v>
      </c>
      <c r="AS595" s="82">
        <f t="shared" ref="AS595:AT595" si="4149">AS590-AS151*AS613</f>
        <v>4744.3400000000038</v>
      </c>
      <c r="AT595" s="82">
        <f t="shared" si="4149"/>
        <v>4592.0999999999985</v>
      </c>
      <c r="AU595" s="82">
        <f t="shared" ref="AU595:AV595" si="4150">AU590-AU151*AU613</f>
        <v>5429.8799999999974</v>
      </c>
      <c r="AV595" s="82">
        <f t="shared" si="4150"/>
        <v>6230.1599999999962</v>
      </c>
      <c r="AW595" s="82">
        <f t="shared" ref="AW595:AX595" si="4151">AW590-AW151*AW613</f>
        <v>3922.6349999999948</v>
      </c>
      <c r="AX595" s="82">
        <f t="shared" si="4151"/>
        <v>3398.5649999999951</v>
      </c>
      <c r="AY595" s="82">
        <f t="shared" ref="AY595:BE595" si="4152">AY590-AY151*AY613</f>
        <v>3910.3249999999971</v>
      </c>
      <c r="AZ595" s="83">
        <f t="shared" si="4152"/>
        <v>3811.3499999999985</v>
      </c>
      <c r="BA595" s="82">
        <f t="shared" si="4152"/>
        <v>4383.5580680894418</v>
      </c>
      <c r="BB595" s="82">
        <f t="shared" si="4152"/>
        <v>3509.2754716617492</v>
      </c>
      <c r="BC595" s="82">
        <f t="shared" si="4152"/>
        <v>3290.2195060620288</v>
      </c>
      <c r="BD595" s="82">
        <f t="shared" si="4152"/>
        <v>2481.7700469700649</v>
      </c>
      <c r="BE595" s="82">
        <f t="shared" si="4152"/>
        <v>2230.8157057538556</v>
      </c>
      <c r="BF595" s="82">
        <f t="shared" ref="BF595:BM595" si="4153">BF590-BF151*BF613</f>
        <v>1386.6009134357737</v>
      </c>
      <c r="BG595" s="82">
        <f t="shared" si="4153"/>
        <v>2316.9898850901154</v>
      </c>
      <c r="BH595" s="82">
        <f t="shared" si="4153"/>
        <v>2777.9324695844771</v>
      </c>
      <c r="BI595" s="82">
        <f t="shared" si="4153"/>
        <v>3670.624736225931</v>
      </c>
      <c r="BJ595" s="82">
        <f t="shared" si="4153"/>
        <v>3858.7112643285946</v>
      </c>
      <c r="BK595" s="82">
        <f t="shared" si="4153"/>
        <v>4405.7296430043934</v>
      </c>
      <c r="BL595" s="82">
        <f t="shared" si="4153"/>
        <v>4482.1463519304089</v>
      </c>
      <c r="BM595" s="82">
        <f t="shared" si="4153"/>
        <v>5012.2884739690489</v>
      </c>
      <c r="BN595" s="82">
        <f t="shared" ref="BN595:BO595" si="4154">BN590-BN151*BN613</f>
        <v>5153.7368137556914</v>
      </c>
      <c r="BO595" s="82">
        <f t="shared" si="4154"/>
        <v>5739.8858506923716</v>
      </c>
      <c r="BP595" s="82">
        <f t="shared" ref="BP595:BQ595" si="4155">BP590-BP151*BP613</f>
        <v>5971.7895890963264</v>
      </c>
      <c r="BQ595" s="82">
        <f t="shared" si="4155"/>
        <v>6645.0823930201732</v>
      </c>
      <c r="BR595" s="82"/>
      <c r="BS595" s="82">
        <f t="shared" ref="BS595:CB595" si="4156">BS590-BS151*BS613</f>
        <v>1149.5549999999998</v>
      </c>
      <c r="BT595" s="82">
        <f t="shared" si="4156"/>
        <v>1558.1099999999997</v>
      </c>
      <c r="BU595" s="82">
        <f t="shared" si="4156"/>
        <v>2076.9</v>
      </c>
      <c r="BV595" s="82">
        <f t="shared" si="4156"/>
        <v>2567.85</v>
      </c>
      <c r="BW595" s="82">
        <f t="shared" si="4156"/>
        <v>2887.7</v>
      </c>
      <c r="BX595" s="82">
        <f t="shared" si="4156"/>
        <v>2071.5999999999995</v>
      </c>
      <c r="BY595" s="82">
        <f t="shared" si="4156"/>
        <v>1589.4499999999998</v>
      </c>
      <c r="BZ595" s="82">
        <f t="shared" si="4156"/>
        <v>1405.1999999999998</v>
      </c>
      <c r="CA595" s="82">
        <f t="shared" si="4156"/>
        <v>2775.7999999999993</v>
      </c>
      <c r="CB595" s="82">
        <f t="shared" si="4156"/>
        <v>259.84999999999945</v>
      </c>
      <c r="CC595" s="82">
        <f t="shared" ref="CC595:CR595" si="4157">CC590-CC151*CC613</f>
        <v>719.54999999999927</v>
      </c>
      <c r="CD595" s="82">
        <f t="shared" si="4157"/>
        <v>1147.5999999999995</v>
      </c>
      <c r="CE595" s="82">
        <f t="shared" si="4157"/>
        <v>-736.05000000000109</v>
      </c>
      <c r="CF595" s="82">
        <f t="shared" si="4157"/>
        <v>-160.95000000000073</v>
      </c>
      <c r="CG595" s="82">
        <f t="shared" si="4157"/>
        <v>653.09999999999854</v>
      </c>
      <c r="CH595" s="82">
        <f t="shared" si="4157"/>
        <v>1525.6499999999996</v>
      </c>
      <c r="CI595" s="82">
        <f t="shared" si="4157"/>
        <v>2321.9499999999989</v>
      </c>
      <c r="CJ595" s="82">
        <f t="shared" si="4157"/>
        <v>-421.34000000000015</v>
      </c>
      <c r="CK595" s="82">
        <f t="shared" si="4157"/>
        <v>1046.6349999999984</v>
      </c>
      <c r="CL595" s="82">
        <f t="shared" si="4157"/>
        <v>-2676.2545000000027</v>
      </c>
      <c r="CM595" s="82">
        <f t="shared" si="4157"/>
        <v>-2270.9025000000001</v>
      </c>
      <c r="CN595" s="82">
        <f t="shared" si="4157"/>
        <v>-125.53499999999985</v>
      </c>
      <c r="CO595" s="82">
        <f t="shared" si="4157"/>
        <v>1861.9375000000036</v>
      </c>
      <c r="CP595" s="82">
        <f t="shared" si="4157"/>
        <v>213.11000000000058</v>
      </c>
      <c r="CQ595" s="82">
        <f t="shared" si="4157"/>
        <v>2196.2999999999956</v>
      </c>
      <c r="CR595" s="82">
        <f t="shared" si="4157"/>
        <v>-1732.614999999998</v>
      </c>
      <c r="CS595" s="82">
        <f t="shared" ref="CS595:DC595" si="4158">CS590-CS151*CS613</f>
        <v>-1684.2599999999948</v>
      </c>
      <c r="CT595" s="82">
        <f t="shared" si="4158"/>
        <v>826.99000000000524</v>
      </c>
      <c r="CU595" s="82">
        <f t="shared" si="4158"/>
        <v>4803.4599999999991</v>
      </c>
      <c r="CV595" s="82">
        <f t="shared" si="4158"/>
        <v>11514.599999999999</v>
      </c>
      <c r="CW595" s="82">
        <f t="shared" si="4158"/>
        <v>4744.3400000000038</v>
      </c>
      <c r="CX595" s="82">
        <f t="shared" si="4158"/>
        <v>5429.8799999999974</v>
      </c>
      <c r="CY595" s="82">
        <f t="shared" si="4158"/>
        <v>3922.6349999999948</v>
      </c>
      <c r="CZ595" s="83">
        <f t="shared" si="4158"/>
        <v>3910.3249999999971</v>
      </c>
      <c r="DA595" s="82">
        <f t="shared" si="4158"/>
        <v>4383.5580680894418</v>
      </c>
      <c r="DB595" s="82">
        <f t="shared" si="4158"/>
        <v>3290.2195060620288</v>
      </c>
      <c r="DC595" s="82">
        <f t="shared" si="4158"/>
        <v>2230.8157057538701</v>
      </c>
      <c r="DD595" s="82">
        <f t="shared" ref="DD595:DI595" si="4159">DD590-DD151*DD613</f>
        <v>2316.9898850901154</v>
      </c>
      <c r="DE595" s="82">
        <f t="shared" si="4159"/>
        <v>3670.624736225931</v>
      </c>
      <c r="DF595" s="82">
        <f t="shared" si="4159"/>
        <v>4405.7296430043934</v>
      </c>
      <c r="DG595" s="82">
        <f t="shared" si="4159"/>
        <v>5012.2884739690489</v>
      </c>
      <c r="DH595" s="82">
        <f t="shared" si="4159"/>
        <v>5739.8858506923716</v>
      </c>
      <c r="DI595" s="82">
        <f t="shared" si="4159"/>
        <v>6645.0823930201732</v>
      </c>
    </row>
    <row r="596" spans="1:113" outlineLevel="1">
      <c r="C596" s="55"/>
      <c r="D596" s="55"/>
      <c r="E596" s="55"/>
      <c r="F596" s="55"/>
      <c r="G596" s="55"/>
      <c r="H596" s="55"/>
      <c r="I596" s="55"/>
      <c r="J596" s="55"/>
      <c r="K596" s="55"/>
      <c r="L596" s="55"/>
      <c r="M596" s="55"/>
      <c r="N596" s="55"/>
      <c r="O596" s="55"/>
      <c r="P596" s="55"/>
      <c r="Q596" s="55"/>
      <c r="R596" s="55"/>
      <c r="S596" s="55"/>
      <c r="T596" s="55"/>
      <c r="U596" s="55"/>
      <c r="V596" s="55"/>
      <c r="W596" s="55"/>
      <c r="X596" s="55"/>
      <c r="Y596" s="55"/>
      <c r="Z596" s="55"/>
      <c r="AA596" s="55"/>
      <c r="AB596" s="55"/>
      <c r="AC596" s="55"/>
      <c r="AD596" s="55"/>
      <c r="AE596" s="55"/>
      <c r="AF596" s="55"/>
      <c r="AG596" s="55"/>
      <c r="AH596" s="55"/>
      <c r="AI596" s="55"/>
      <c r="AJ596" s="55"/>
      <c r="AK596" s="55"/>
      <c r="AL596" s="55"/>
      <c r="AM596" s="55"/>
      <c r="AN596" s="55"/>
      <c r="AO596" s="55"/>
      <c r="AP596" s="55"/>
      <c r="AQ596" s="55"/>
      <c r="AR596" s="55"/>
      <c r="AS596" s="55"/>
      <c r="AT596" s="55"/>
      <c r="AU596" s="55"/>
      <c r="AV596" s="55"/>
      <c r="AW596" s="55"/>
      <c r="AX596" s="55"/>
      <c r="AY596" s="55"/>
      <c r="AZ596" s="56"/>
      <c r="BA596" s="55"/>
      <c r="BB596" s="55"/>
      <c r="BC596" s="55"/>
      <c r="BD596" s="55"/>
      <c r="BE596" s="55"/>
      <c r="BF596" s="55"/>
      <c r="BG596" s="55"/>
      <c r="BH596" s="55"/>
      <c r="BI596" s="55"/>
      <c r="BJ596" s="55"/>
      <c r="BK596" s="55"/>
      <c r="BL596" s="55"/>
      <c r="BM596" s="55"/>
      <c r="BN596" s="55"/>
      <c r="BO596" s="55"/>
      <c r="BP596" s="55"/>
      <c r="BQ596" s="55"/>
      <c r="BR596" s="55"/>
      <c r="BS596" s="55"/>
      <c r="BT596" s="55"/>
      <c r="BU596" s="55"/>
      <c r="BV596" s="55"/>
      <c r="BW596" s="55"/>
      <c r="BX596" s="55"/>
      <c r="BY596" s="55"/>
      <c r="BZ596" s="55"/>
      <c r="CA596" s="55"/>
      <c r="CB596" s="55"/>
      <c r="CC596" s="55"/>
      <c r="CD596" s="55"/>
      <c r="CE596" s="55"/>
      <c r="CF596" s="55"/>
      <c r="CG596" s="55"/>
      <c r="CH596" s="55"/>
      <c r="CI596" s="55"/>
      <c r="CJ596" s="55"/>
      <c r="CK596" s="55"/>
      <c r="CL596" s="55"/>
      <c r="CM596" s="55"/>
      <c r="CN596" s="55"/>
      <c r="CO596" s="55"/>
      <c r="CP596" s="55"/>
      <c r="CQ596" s="55"/>
      <c r="CR596" s="55"/>
      <c r="CS596" s="55"/>
      <c r="CT596" s="55"/>
      <c r="CU596" s="55"/>
      <c r="CV596" s="55"/>
      <c r="CW596" s="55"/>
      <c r="CX596" s="55"/>
      <c r="CY596" s="55"/>
      <c r="CZ596" s="56"/>
      <c r="DA596" s="55"/>
      <c r="DB596" s="55"/>
    </row>
    <row r="597" spans="1:113" s="24" customFormat="1" outlineLevel="1">
      <c r="A597" s="1"/>
      <c r="B597" s="24" t="s">
        <v>577</v>
      </c>
      <c r="C597" s="82"/>
      <c r="D597" s="82"/>
      <c r="E597" s="82"/>
      <c r="F597" s="82"/>
      <c r="G597" s="82"/>
      <c r="H597" s="82"/>
      <c r="I597" s="82"/>
      <c r="J597" s="82"/>
      <c r="K597" s="82"/>
      <c r="L597" s="82"/>
      <c r="M597" s="82"/>
      <c r="N597" s="82"/>
      <c r="O597" s="82"/>
      <c r="P597" s="82"/>
      <c r="Q597" s="82"/>
      <c r="R597" s="82"/>
      <c r="S597" s="82"/>
      <c r="T597" s="82"/>
      <c r="U597" s="82"/>
      <c r="V597" s="82"/>
      <c r="W597" s="82"/>
      <c r="X597" s="82"/>
      <c r="Y597" s="82"/>
      <c r="Z597" s="82"/>
      <c r="AA597" s="82"/>
      <c r="AB597" s="82"/>
      <c r="AC597" s="82"/>
      <c r="AD597" s="82"/>
      <c r="AE597" s="82"/>
      <c r="AF597" s="82"/>
      <c r="AG597" s="82"/>
      <c r="AH597" s="82"/>
      <c r="AI597" s="82"/>
      <c r="AJ597" s="82"/>
      <c r="AK597" s="82"/>
      <c r="AL597" s="82"/>
      <c r="AM597" s="82"/>
      <c r="AN597" s="82"/>
      <c r="AO597" s="82"/>
      <c r="AP597" s="82"/>
      <c r="AQ597" s="82"/>
      <c r="AR597" s="82"/>
      <c r="AS597" s="82"/>
      <c r="AT597" s="82"/>
      <c r="AU597" s="82"/>
      <c r="AV597" s="82"/>
      <c r="AW597" s="82"/>
      <c r="AX597" s="82"/>
      <c r="AY597" s="82"/>
      <c r="AZ597" s="83"/>
      <c r="BA597" s="82"/>
      <c r="BB597" s="82"/>
      <c r="BC597" s="82"/>
      <c r="BD597" s="82"/>
      <c r="BE597" s="82"/>
      <c r="BF597" s="82"/>
      <c r="BG597" s="82"/>
      <c r="BH597" s="82"/>
      <c r="BI597" s="82"/>
      <c r="BJ597" s="82"/>
      <c r="BK597" s="82"/>
      <c r="BL597" s="82"/>
      <c r="BM597" s="82"/>
      <c r="BN597" s="82"/>
      <c r="BO597" s="82"/>
      <c r="BP597" s="82"/>
      <c r="BQ597" s="82"/>
      <c r="BR597" s="82"/>
      <c r="BS597" s="82"/>
      <c r="BT597" s="82"/>
      <c r="BU597" s="82"/>
      <c r="BV597" s="82"/>
      <c r="BW597" s="82"/>
      <c r="BX597" s="82"/>
      <c r="BY597" s="82"/>
      <c r="BZ597" s="82"/>
      <c r="CA597" s="82"/>
      <c r="CB597" s="82"/>
      <c r="CC597" s="82"/>
      <c r="CD597" s="82"/>
      <c r="CE597" s="82"/>
      <c r="CF597" s="82"/>
      <c r="CG597" s="82"/>
      <c r="CH597" s="82"/>
      <c r="CI597" s="82"/>
      <c r="CJ597" s="82"/>
      <c r="CK597" s="82"/>
      <c r="CL597" s="82"/>
      <c r="CM597" s="82"/>
      <c r="CN597" s="82"/>
      <c r="CO597" s="82"/>
      <c r="CP597" s="82"/>
      <c r="CQ597" s="82"/>
      <c r="CR597" s="82"/>
      <c r="CS597" s="82"/>
      <c r="CT597" s="82"/>
      <c r="CU597" s="82"/>
      <c r="CV597" s="82"/>
      <c r="CW597" s="82"/>
      <c r="CX597" s="82"/>
      <c r="CY597" s="82"/>
      <c r="CZ597" s="83"/>
      <c r="DA597" s="82"/>
      <c r="DB597" s="82"/>
    </row>
    <row r="598" spans="1:113" outlineLevel="1">
      <c r="A598" s="1" t="s">
        <v>934</v>
      </c>
      <c r="B598" s="19" t="s">
        <v>404</v>
      </c>
      <c r="C598" s="53">
        <f>1390-436</f>
        <v>954</v>
      </c>
      <c r="D598" s="53">
        <f>1331-391</f>
        <v>940</v>
      </c>
      <c r="E598" s="53">
        <f>1351-392</f>
        <v>959</v>
      </c>
      <c r="F598" s="53">
        <f>1323-384</f>
        <v>939</v>
      </c>
      <c r="G598" s="53">
        <f>1321-391</f>
        <v>930</v>
      </c>
      <c r="H598" s="53">
        <f>1353-388</f>
        <v>965</v>
      </c>
      <c r="I598" s="53">
        <f>1390-398</f>
        <v>992</v>
      </c>
      <c r="J598" s="53">
        <f>1379-411</f>
        <v>968</v>
      </c>
      <c r="K598" s="53">
        <f>1389-414</f>
        <v>975</v>
      </c>
      <c r="L598" s="53">
        <f>1445-434</f>
        <v>1011</v>
      </c>
      <c r="M598" s="53">
        <f>1546-464</f>
        <v>1082</v>
      </c>
      <c r="N598" s="53">
        <f>1590-477</f>
        <v>1113</v>
      </c>
      <c r="O598" s="53">
        <f>1581-474</f>
        <v>1107</v>
      </c>
      <c r="P598" s="53">
        <v>0</v>
      </c>
      <c r="Q598" s="53">
        <v>0</v>
      </c>
      <c r="R598" s="53">
        <v>0</v>
      </c>
      <c r="S598" s="53">
        <v>590</v>
      </c>
      <c r="T598" s="53">
        <v>603</v>
      </c>
      <c r="U598" s="53">
        <v>603</v>
      </c>
      <c r="V598" s="53">
        <v>618</v>
      </c>
      <c r="W598" s="53">
        <v>620</v>
      </c>
      <c r="X598" s="53">
        <v>631</v>
      </c>
      <c r="Y598" s="53">
        <v>595</v>
      </c>
      <c r="Z598" s="53">
        <v>124</v>
      </c>
      <c r="AA598" s="164">
        <v>202</v>
      </c>
      <c r="AB598" s="164">
        <v>194</v>
      </c>
      <c r="AC598" s="164">
        <v>171</v>
      </c>
      <c r="AD598" s="164">
        <v>186</v>
      </c>
      <c r="AE598" s="164">
        <v>156</v>
      </c>
      <c r="AF598" s="164">
        <v>178</v>
      </c>
      <c r="AG598" s="164">
        <v>181</v>
      </c>
      <c r="AH598" s="164">
        <v>188</v>
      </c>
      <c r="AI598" s="164">
        <v>182</v>
      </c>
      <c r="AJ598" s="164">
        <v>185</v>
      </c>
      <c r="AK598" s="164">
        <v>176</v>
      </c>
      <c r="AL598" s="164">
        <v>764</v>
      </c>
      <c r="AM598" s="164">
        <v>799</v>
      </c>
      <c r="AN598" s="164">
        <v>482</v>
      </c>
      <c r="AO598" s="164">
        <v>1597</v>
      </c>
      <c r="AP598" s="164">
        <v>2061</v>
      </c>
      <c r="AQ598" s="164">
        <v>1596</v>
      </c>
      <c r="AR598" s="164">
        <v>1574</v>
      </c>
      <c r="AS598" s="164">
        <v>1020</v>
      </c>
      <c r="AT598" s="164">
        <v>1127</v>
      </c>
      <c r="AU598" s="164">
        <v>2156</v>
      </c>
      <c r="AV598" s="164">
        <v>2162</v>
      </c>
      <c r="AW598" s="164">
        <v>2074</v>
      </c>
      <c r="AX598" s="164">
        <v>2111</v>
      </c>
      <c r="AY598" s="164">
        <v>2194</v>
      </c>
      <c r="AZ598" s="171">
        <v>2228</v>
      </c>
      <c r="BA598" s="55">
        <f t="shared" ref="BA598:BE598" si="4160">AZ598*BA121/AZ121</f>
        <v>2238.1595099539472</v>
      </c>
      <c r="BB598" s="55">
        <f t="shared" si="4160"/>
        <v>2243.0928224263657</v>
      </c>
      <c r="BC598" s="55">
        <f t="shared" si="4160"/>
        <v>2247.7424546473967</v>
      </c>
      <c r="BD598" s="55">
        <f t="shared" si="4160"/>
        <v>2277.4755314908066</v>
      </c>
      <c r="BE598" s="55">
        <f t="shared" si="4160"/>
        <v>2306.4630601349772</v>
      </c>
      <c r="BF598" s="55">
        <f t="shared" ref="BF598:BM598" si="4161">BE598*BF121/BE121</f>
        <v>2343.5974300519315</v>
      </c>
      <c r="BG598" s="55">
        <f t="shared" si="4161"/>
        <v>2378.6188915911243</v>
      </c>
      <c r="BH598" s="55">
        <f t="shared" si="4161"/>
        <v>2414.6180100393767</v>
      </c>
      <c r="BI598" s="55">
        <f t="shared" si="4161"/>
        <v>2447.8839708787586</v>
      </c>
      <c r="BJ598" s="55">
        <f t="shared" si="4161"/>
        <v>2465.9069989079017</v>
      </c>
      <c r="BK598" s="55">
        <f t="shared" si="4161"/>
        <v>2488.2183046773785</v>
      </c>
      <c r="BL598" s="55">
        <f t="shared" si="4161"/>
        <v>2510.7476062285659</v>
      </c>
      <c r="BM598" s="55">
        <f t="shared" si="4161"/>
        <v>2533.497051182941</v>
      </c>
      <c r="BN598" s="55">
        <f t="shared" ref="BN598" si="4162">BM598*BN121/BM121</f>
        <v>2556.4688083708716</v>
      </c>
      <c r="BO598" s="55">
        <f t="shared" ref="BO598" si="4163">BN598*BO121/BN121</f>
        <v>2579.6650680412995</v>
      </c>
      <c r="BP598" s="55">
        <f t="shared" ref="BP598" si="4164">BO598*BP121/BO121</f>
        <v>2603.0880420734875</v>
      </c>
      <c r="BQ598" s="55">
        <f t="shared" ref="BQ598" si="4165">BP598*BQ121/BP121</f>
        <v>2626.7399641908705</v>
      </c>
      <c r="BR598" s="55"/>
      <c r="BS598" s="53">
        <v>462.9</v>
      </c>
      <c r="BT598" s="53">
        <v>397.4</v>
      </c>
      <c r="BU598" s="53">
        <v>396.3</v>
      </c>
      <c r="BV598" s="53">
        <v>476</v>
      </c>
      <c r="BW598" s="53">
        <v>613</v>
      </c>
      <c r="BX598" s="53">
        <f>690-0</f>
        <v>690</v>
      </c>
      <c r="BY598" s="53">
        <f>1076-337</f>
        <v>739</v>
      </c>
      <c r="BZ598" s="53">
        <f>1081-347</f>
        <v>734</v>
      </c>
      <c r="CA598" s="53">
        <f>1358-420</f>
        <v>938</v>
      </c>
      <c r="CB598" s="53">
        <f>1390-436</f>
        <v>954</v>
      </c>
      <c r="CC598" s="55">
        <f t="shared" ref="CC598:CC603" si="4166">E598</f>
        <v>959</v>
      </c>
      <c r="CD598" s="55">
        <f t="shared" ref="CD598:CD603" si="4167">G598</f>
        <v>930</v>
      </c>
      <c r="CE598" s="55">
        <f t="shared" ref="CE598:CE603" si="4168">I598</f>
        <v>992</v>
      </c>
      <c r="CF598" s="55">
        <f t="shared" ref="CF598:CF603" si="4169">K598</f>
        <v>975</v>
      </c>
      <c r="CG598" s="55">
        <f t="shared" ref="CG598:CG603" si="4170">M598</f>
        <v>1082</v>
      </c>
      <c r="CH598" s="55">
        <f t="shared" ref="CH598:CH603" si="4171">O598</f>
        <v>1107</v>
      </c>
      <c r="CI598" s="55">
        <f t="shared" ref="CI598:CI603" si="4172">Q598</f>
        <v>0</v>
      </c>
      <c r="CJ598" s="55">
        <f t="shared" ref="CJ598:CJ603" si="4173">S598</f>
        <v>590</v>
      </c>
      <c r="CK598" s="55">
        <f t="shared" ref="CK598:CK603" si="4174">U598</f>
        <v>603</v>
      </c>
      <c r="CL598" s="55">
        <f t="shared" ref="CL598:CL603" si="4175">W598</f>
        <v>620</v>
      </c>
      <c r="CM598" s="55">
        <f t="shared" ref="CM598:CM603" si="4176">Y598</f>
        <v>595</v>
      </c>
      <c r="CN598" s="55">
        <f t="shared" ref="CN598:CN603" si="4177">AA598</f>
        <v>202</v>
      </c>
      <c r="CO598" s="55">
        <f t="shared" ref="CO598:CO603" si="4178">AC598</f>
        <v>171</v>
      </c>
      <c r="CP598" s="55">
        <f t="shared" ref="CP598:CP603" si="4179">AE598</f>
        <v>156</v>
      </c>
      <c r="CQ598" s="55">
        <f t="shared" ref="CQ598:CQ603" si="4180">AG598</f>
        <v>181</v>
      </c>
      <c r="CR598" s="55">
        <f t="shared" ref="CR598:CR603" si="4181">AI598</f>
        <v>182</v>
      </c>
      <c r="CS598" s="55">
        <f t="shared" ref="CS598:CS603" si="4182">AK598</f>
        <v>176</v>
      </c>
      <c r="CT598" s="55">
        <f t="shared" ref="CT598:CT603" si="4183">AM598</f>
        <v>799</v>
      </c>
      <c r="CU598" s="55">
        <f t="shared" ref="CU598:CU603" si="4184">AO598</f>
        <v>1597</v>
      </c>
      <c r="CV598" s="55">
        <f t="shared" ref="CV598:CV603" si="4185">AQ598</f>
        <v>1596</v>
      </c>
      <c r="CW598" s="55">
        <f t="shared" ref="CW598:CW603" si="4186">AS598</f>
        <v>1020</v>
      </c>
      <c r="CX598" s="55">
        <f t="shared" ref="CX598:CX603" si="4187">AU598</f>
        <v>2156</v>
      </c>
      <c r="CY598" s="55">
        <f t="shared" ref="CY598:CY603" si="4188">AW598</f>
        <v>2074</v>
      </c>
      <c r="CZ598" s="56">
        <f t="shared" ref="CZ598:CZ603" si="4189">AY598</f>
        <v>2194</v>
      </c>
      <c r="DA598" s="55">
        <f t="shared" ref="DA598:DA603" si="4190">BA598</f>
        <v>2238.1595099539472</v>
      </c>
      <c r="DB598" s="55">
        <f t="shared" ref="DB598:DB603" si="4191">BC598</f>
        <v>2247.7424546473967</v>
      </c>
      <c r="DC598" s="55">
        <f t="shared" ref="DC598:DC603" si="4192">BE598</f>
        <v>2306.4630601349772</v>
      </c>
      <c r="DD598" s="55">
        <f t="shared" ref="DD598:DD603" si="4193">BG598</f>
        <v>2378.6188915911243</v>
      </c>
      <c r="DE598" s="55">
        <f t="shared" ref="DE598:DE603" si="4194">BI598</f>
        <v>2447.8839708787586</v>
      </c>
      <c r="DF598" s="55">
        <f t="shared" ref="DF598:DF603" si="4195">BK598</f>
        <v>2488.2183046773785</v>
      </c>
      <c r="DG598" s="55">
        <f t="shared" ref="DG598:DG603" si="4196">BM598</f>
        <v>2533.497051182941</v>
      </c>
      <c r="DH598" s="55">
        <f t="shared" ref="DH598:DH603" si="4197">BO598</f>
        <v>2579.6650680412995</v>
      </c>
      <c r="DI598" s="55">
        <f t="shared" ref="DI598:DI603" si="4198">BQ598</f>
        <v>2626.7399641908705</v>
      </c>
    </row>
    <row r="599" spans="1:113" outlineLevel="1">
      <c r="A599" s="1" t="s">
        <v>935</v>
      </c>
      <c r="B599" s="19" t="s">
        <v>405</v>
      </c>
      <c r="C599" s="55">
        <v>0</v>
      </c>
      <c r="D599" s="55">
        <v>0</v>
      </c>
      <c r="E599" s="55">
        <v>0</v>
      </c>
      <c r="F599" s="55">
        <v>0</v>
      </c>
      <c r="G599" s="55">
        <v>0</v>
      </c>
      <c r="H599" s="55">
        <v>0</v>
      </c>
      <c r="I599" s="55">
        <v>0</v>
      </c>
      <c r="J599" s="55">
        <v>0</v>
      </c>
      <c r="K599" s="55">
        <v>0</v>
      </c>
      <c r="L599" s="55">
        <v>0</v>
      </c>
      <c r="M599" s="55">
        <v>0</v>
      </c>
      <c r="N599" s="55">
        <v>0</v>
      </c>
      <c r="O599" s="55">
        <v>0</v>
      </c>
      <c r="P599" s="55">
        <f>-P567</f>
        <v>1592</v>
      </c>
      <c r="Q599" s="55">
        <f t="shared" ref="Q599:AC599" si="4199">-Q567</f>
        <v>1359</v>
      </c>
      <c r="R599" s="55">
        <f t="shared" si="4199"/>
        <v>627</v>
      </c>
      <c r="S599" s="55">
        <f t="shared" si="4199"/>
        <v>0</v>
      </c>
      <c r="T599" s="55">
        <f t="shared" si="4199"/>
        <v>73</v>
      </c>
      <c r="U599" s="55">
        <f t="shared" ref="U599:Z599" si="4200">-U567</f>
        <v>225</v>
      </c>
      <c r="V599" s="55">
        <f t="shared" si="4200"/>
        <v>0</v>
      </c>
      <c r="W599" s="55">
        <f t="shared" si="4200"/>
        <v>0</v>
      </c>
      <c r="X599" s="55">
        <f t="shared" si="4200"/>
        <v>0</v>
      </c>
      <c r="Y599" s="55">
        <f t="shared" si="4200"/>
        <v>0</v>
      </c>
      <c r="Z599" s="55">
        <f t="shared" si="4200"/>
        <v>0</v>
      </c>
      <c r="AA599" s="55">
        <f t="shared" si="4199"/>
        <v>0</v>
      </c>
      <c r="AB599" s="55">
        <f t="shared" si="4199"/>
        <v>0</v>
      </c>
      <c r="AC599" s="55">
        <f t="shared" si="4199"/>
        <v>0</v>
      </c>
      <c r="AD599" s="55">
        <f t="shared" ref="AD599:AI599" si="4201">-AD567</f>
        <v>0</v>
      </c>
      <c r="AE599" s="55">
        <f t="shared" si="4201"/>
        <v>0</v>
      </c>
      <c r="AF599" s="55">
        <f t="shared" si="4201"/>
        <v>0</v>
      </c>
      <c r="AG599" s="55">
        <f t="shared" si="4201"/>
        <v>0</v>
      </c>
      <c r="AH599" s="55">
        <f t="shared" si="4201"/>
        <v>0</v>
      </c>
      <c r="AI599" s="55">
        <f t="shared" si="4201"/>
        <v>0</v>
      </c>
      <c r="AJ599" s="164">
        <v>0</v>
      </c>
      <c r="AK599" s="164">
        <v>0</v>
      </c>
      <c r="AL599" s="164">
        <v>0</v>
      </c>
      <c r="AM599" s="164">
        <v>0</v>
      </c>
      <c r="AN599" s="164">
        <v>0</v>
      </c>
      <c r="AO599" s="164">
        <v>0</v>
      </c>
      <c r="AP599" s="164">
        <v>0</v>
      </c>
      <c r="AQ599" s="164">
        <v>0</v>
      </c>
      <c r="AR599" s="164">
        <v>0</v>
      </c>
      <c r="AS599" s="164">
        <v>0</v>
      </c>
      <c r="AT599" s="164">
        <v>0</v>
      </c>
      <c r="AU599" s="164">
        <v>0</v>
      </c>
      <c r="AV599" s="164">
        <v>0</v>
      </c>
      <c r="AW599" s="164">
        <v>0</v>
      </c>
      <c r="AX599" s="164">
        <v>0</v>
      </c>
      <c r="AY599" s="164">
        <v>0</v>
      </c>
      <c r="AZ599" s="171">
        <v>0</v>
      </c>
      <c r="BA599" s="54">
        <f t="shared" ref="BA599:BE599" si="4202">AZ599</f>
        <v>0</v>
      </c>
      <c r="BB599" s="54">
        <f t="shared" si="4202"/>
        <v>0</v>
      </c>
      <c r="BC599" s="54">
        <f t="shared" si="4202"/>
        <v>0</v>
      </c>
      <c r="BD599" s="54">
        <f t="shared" si="4202"/>
        <v>0</v>
      </c>
      <c r="BE599" s="54">
        <f t="shared" si="4202"/>
        <v>0</v>
      </c>
      <c r="BF599" s="54">
        <f t="shared" ref="BF599:BM601" si="4203">BE599</f>
        <v>0</v>
      </c>
      <c r="BG599" s="54">
        <f t="shared" si="4203"/>
        <v>0</v>
      </c>
      <c r="BH599" s="54">
        <f t="shared" si="4203"/>
        <v>0</v>
      </c>
      <c r="BI599" s="54">
        <f t="shared" si="4203"/>
        <v>0</v>
      </c>
      <c r="BJ599" s="54">
        <f t="shared" si="4203"/>
        <v>0</v>
      </c>
      <c r="BK599" s="54">
        <f t="shared" si="4203"/>
        <v>0</v>
      </c>
      <c r="BL599" s="54">
        <f t="shared" si="4203"/>
        <v>0</v>
      </c>
      <c r="BM599" s="54">
        <f t="shared" si="4203"/>
        <v>0</v>
      </c>
      <c r="BN599" s="54">
        <f t="shared" ref="BN599:BN601" si="4204">BM599</f>
        <v>0</v>
      </c>
      <c r="BO599" s="54">
        <f t="shared" ref="BO599:BO601" si="4205">BN599</f>
        <v>0</v>
      </c>
      <c r="BP599" s="54">
        <f t="shared" ref="BP599:BP601" si="4206">BO599</f>
        <v>0</v>
      </c>
      <c r="BQ599" s="54">
        <f t="shared" ref="BQ599:BQ601" si="4207">BP599</f>
        <v>0</v>
      </c>
      <c r="BR599" s="55"/>
      <c r="BS599" s="53">
        <f t="shared" ref="BS599:BZ599" si="4208">-BS567</f>
        <v>0</v>
      </c>
      <c r="BT599" s="53">
        <f t="shared" si="4208"/>
        <v>0</v>
      </c>
      <c r="BU599" s="53">
        <f t="shared" si="4208"/>
        <v>0</v>
      </c>
      <c r="BV599" s="53">
        <f t="shared" si="4208"/>
        <v>0</v>
      </c>
      <c r="BW599" s="53">
        <f t="shared" si="4208"/>
        <v>0</v>
      </c>
      <c r="BX599" s="53">
        <f t="shared" si="4208"/>
        <v>0</v>
      </c>
      <c r="BY599" s="53">
        <f t="shared" si="4208"/>
        <v>0</v>
      </c>
      <c r="BZ599" s="53">
        <f t="shared" si="4208"/>
        <v>0</v>
      </c>
      <c r="CA599" s="55">
        <f>-CA567</f>
        <v>0</v>
      </c>
      <c r="CB599" s="55">
        <f>-CB567</f>
        <v>0</v>
      </c>
      <c r="CC599" s="55">
        <f t="shared" si="4166"/>
        <v>0</v>
      </c>
      <c r="CD599" s="55">
        <f t="shared" si="4167"/>
        <v>0</v>
      </c>
      <c r="CE599" s="55">
        <f t="shared" si="4168"/>
        <v>0</v>
      </c>
      <c r="CF599" s="55">
        <f t="shared" si="4169"/>
        <v>0</v>
      </c>
      <c r="CG599" s="55">
        <f t="shared" si="4170"/>
        <v>0</v>
      </c>
      <c r="CH599" s="55">
        <f t="shared" si="4171"/>
        <v>0</v>
      </c>
      <c r="CI599" s="55">
        <f t="shared" si="4172"/>
        <v>1359</v>
      </c>
      <c r="CJ599" s="55">
        <f t="shared" si="4173"/>
        <v>0</v>
      </c>
      <c r="CK599" s="55">
        <f t="shared" si="4174"/>
        <v>225</v>
      </c>
      <c r="CL599" s="55">
        <f t="shared" si="4175"/>
        <v>0</v>
      </c>
      <c r="CM599" s="55">
        <f t="shared" si="4176"/>
        <v>0</v>
      </c>
      <c r="CN599" s="55">
        <f t="shared" si="4177"/>
        <v>0</v>
      </c>
      <c r="CO599" s="55">
        <f t="shared" si="4178"/>
        <v>0</v>
      </c>
      <c r="CP599" s="55">
        <f t="shared" si="4179"/>
        <v>0</v>
      </c>
      <c r="CQ599" s="55">
        <f t="shared" si="4180"/>
        <v>0</v>
      </c>
      <c r="CR599" s="55">
        <f t="shared" si="4181"/>
        <v>0</v>
      </c>
      <c r="CS599" s="55">
        <f t="shared" si="4182"/>
        <v>0</v>
      </c>
      <c r="CT599" s="55">
        <f t="shared" si="4183"/>
        <v>0</v>
      </c>
      <c r="CU599" s="55">
        <f t="shared" si="4184"/>
        <v>0</v>
      </c>
      <c r="CV599" s="55">
        <f t="shared" si="4185"/>
        <v>0</v>
      </c>
      <c r="CW599" s="55">
        <f t="shared" si="4186"/>
        <v>0</v>
      </c>
      <c r="CX599" s="55">
        <f t="shared" si="4187"/>
        <v>0</v>
      </c>
      <c r="CY599" s="55">
        <f t="shared" si="4188"/>
        <v>0</v>
      </c>
      <c r="CZ599" s="56">
        <f t="shared" si="4189"/>
        <v>0</v>
      </c>
      <c r="DA599" s="55">
        <f t="shared" si="4190"/>
        <v>0</v>
      </c>
      <c r="DB599" s="55">
        <f t="shared" si="4191"/>
        <v>0</v>
      </c>
      <c r="DC599" s="55">
        <f t="shared" si="4192"/>
        <v>0</v>
      </c>
      <c r="DD599" s="55">
        <f t="shared" si="4193"/>
        <v>0</v>
      </c>
      <c r="DE599" s="55">
        <f t="shared" si="4194"/>
        <v>0</v>
      </c>
      <c r="DF599" s="55">
        <f t="shared" si="4195"/>
        <v>0</v>
      </c>
      <c r="DG599" s="55">
        <f t="shared" si="4196"/>
        <v>0</v>
      </c>
      <c r="DH599" s="55">
        <f t="shared" si="4197"/>
        <v>0</v>
      </c>
      <c r="DI599" s="55">
        <f t="shared" si="4198"/>
        <v>0</v>
      </c>
    </row>
    <row r="600" spans="1:113" outlineLevel="1">
      <c r="A600" s="1" t="s">
        <v>936</v>
      </c>
      <c r="B600" s="19" t="s">
        <v>860</v>
      </c>
      <c r="C600" s="53">
        <v>317</v>
      </c>
      <c r="D600" s="53">
        <v>298</v>
      </c>
      <c r="E600" s="53">
        <v>297</v>
      </c>
      <c r="F600" s="53">
        <v>298</v>
      </c>
      <c r="G600" s="53">
        <v>250</v>
      </c>
      <c r="H600" s="53">
        <v>249</v>
      </c>
      <c r="I600" s="53">
        <v>267</v>
      </c>
      <c r="J600" s="53">
        <v>250</v>
      </c>
      <c r="K600" s="53">
        <v>237</v>
      </c>
      <c r="L600" s="53">
        <v>232</v>
      </c>
      <c r="M600" s="53">
        <v>235</v>
      </c>
      <c r="N600" s="53">
        <v>212</v>
      </c>
      <c r="O600" s="53">
        <v>191</v>
      </c>
      <c r="P600" s="53">
        <v>203</v>
      </c>
      <c r="Q600" s="53">
        <v>196</v>
      </c>
      <c r="R600" s="53">
        <v>320</v>
      </c>
      <c r="S600" s="53">
        <v>373</v>
      </c>
      <c r="T600" s="53">
        <v>350</v>
      </c>
      <c r="U600" s="53">
        <v>382</v>
      </c>
      <c r="V600" s="53">
        <v>350</v>
      </c>
      <c r="W600" s="53">
        <v>336</v>
      </c>
      <c r="X600" s="53">
        <v>368</v>
      </c>
      <c r="Y600" s="53">
        <v>358</v>
      </c>
      <c r="Z600" s="53">
        <v>324</v>
      </c>
      <c r="AA600" s="164">
        <v>0</v>
      </c>
      <c r="AB600" s="164">
        <v>0</v>
      </c>
      <c r="AC600" s="164">
        <v>0</v>
      </c>
      <c r="AD600" s="164">
        <v>-30</v>
      </c>
      <c r="AE600" s="164">
        <v>-20</v>
      </c>
      <c r="AF600" s="164">
        <v>-19</v>
      </c>
      <c r="AG600" s="164">
        <v>-25</v>
      </c>
      <c r="AH600" s="164">
        <v>-34</v>
      </c>
      <c r="AI600" s="164">
        <v>-29</v>
      </c>
      <c r="AJ600" s="164">
        <v>-31</v>
      </c>
      <c r="AK600" s="164">
        <v>-25</v>
      </c>
      <c r="AL600" s="164">
        <v>-23</v>
      </c>
      <c r="AM600" s="164">
        <v>-30</v>
      </c>
      <c r="AN600" s="164">
        <v>-21</v>
      </c>
      <c r="AO600" s="164">
        <v>-16</v>
      </c>
      <c r="AP600" s="164">
        <v>-49</v>
      </c>
      <c r="AQ600" s="164">
        <v>-34</v>
      </c>
      <c r="AR600" s="164">
        <v>-37</v>
      </c>
      <c r="AS600" s="164">
        <v>-519</v>
      </c>
      <c r="AT600" s="164">
        <v>-399</v>
      </c>
      <c r="AU600" s="164">
        <v>-467</v>
      </c>
      <c r="AV600" s="164">
        <v>-386</v>
      </c>
      <c r="AW600" s="164">
        <v>-425</v>
      </c>
      <c r="AX600" s="164">
        <v>-474</v>
      </c>
      <c r="AY600" s="164">
        <v>-444</v>
      </c>
      <c r="AZ600" s="171">
        <v>-586</v>
      </c>
      <c r="BA600" s="54">
        <f t="shared" ref="BA600:BE600" si="4209">AZ600</f>
        <v>-586</v>
      </c>
      <c r="BB600" s="54">
        <f t="shared" si="4209"/>
        <v>-586</v>
      </c>
      <c r="BC600" s="54">
        <f t="shared" si="4209"/>
        <v>-586</v>
      </c>
      <c r="BD600" s="54">
        <f t="shared" si="4209"/>
        <v>-586</v>
      </c>
      <c r="BE600" s="54">
        <f t="shared" si="4209"/>
        <v>-586</v>
      </c>
      <c r="BF600" s="54">
        <f t="shared" si="4203"/>
        <v>-586</v>
      </c>
      <c r="BG600" s="54">
        <f t="shared" si="4203"/>
        <v>-586</v>
      </c>
      <c r="BH600" s="54">
        <f t="shared" si="4203"/>
        <v>-586</v>
      </c>
      <c r="BI600" s="54">
        <f t="shared" si="4203"/>
        <v>-586</v>
      </c>
      <c r="BJ600" s="54">
        <f t="shared" si="4203"/>
        <v>-586</v>
      </c>
      <c r="BK600" s="54">
        <f t="shared" si="4203"/>
        <v>-586</v>
      </c>
      <c r="BL600" s="54">
        <f t="shared" si="4203"/>
        <v>-586</v>
      </c>
      <c r="BM600" s="54">
        <f t="shared" si="4203"/>
        <v>-586</v>
      </c>
      <c r="BN600" s="54">
        <f t="shared" si="4204"/>
        <v>-586</v>
      </c>
      <c r="BO600" s="54">
        <f t="shared" si="4205"/>
        <v>-586</v>
      </c>
      <c r="BP600" s="54">
        <f t="shared" si="4206"/>
        <v>-586</v>
      </c>
      <c r="BQ600" s="54">
        <f t="shared" si="4207"/>
        <v>-586</v>
      </c>
      <c r="BR600" s="55"/>
      <c r="BS600" s="53">
        <v>0</v>
      </c>
      <c r="BT600" s="53">
        <v>0</v>
      </c>
      <c r="BU600" s="53">
        <v>0</v>
      </c>
      <c r="BV600" s="53">
        <v>0</v>
      </c>
      <c r="BW600" s="53">
        <v>43</v>
      </c>
      <c r="BX600" s="53">
        <v>45</v>
      </c>
      <c r="BY600" s="53">
        <v>42</v>
      </c>
      <c r="BZ600" s="53">
        <v>40</v>
      </c>
      <c r="CA600" s="53">
        <v>39</v>
      </c>
      <c r="CB600" s="53">
        <v>0</v>
      </c>
      <c r="CC600" s="55">
        <f t="shared" si="4166"/>
        <v>297</v>
      </c>
      <c r="CD600" s="55">
        <f t="shared" si="4167"/>
        <v>250</v>
      </c>
      <c r="CE600" s="55">
        <f t="shared" si="4168"/>
        <v>267</v>
      </c>
      <c r="CF600" s="55">
        <f t="shared" si="4169"/>
        <v>237</v>
      </c>
      <c r="CG600" s="55">
        <f t="shared" si="4170"/>
        <v>235</v>
      </c>
      <c r="CH600" s="55">
        <f t="shared" si="4171"/>
        <v>191</v>
      </c>
      <c r="CI600" s="55">
        <f t="shared" si="4172"/>
        <v>196</v>
      </c>
      <c r="CJ600" s="55">
        <f t="shared" si="4173"/>
        <v>373</v>
      </c>
      <c r="CK600" s="55">
        <f t="shared" si="4174"/>
        <v>382</v>
      </c>
      <c r="CL600" s="55">
        <f t="shared" si="4175"/>
        <v>336</v>
      </c>
      <c r="CM600" s="55">
        <f t="shared" si="4176"/>
        <v>358</v>
      </c>
      <c r="CN600" s="55">
        <f t="shared" si="4177"/>
        <v>0</v>
      </c>
      <c r="CO600" s="55">
        <f t="shared" si="4178"/>
        <v>0</v>
      </c>
      <c r="CP600" s="55">
        <f t="shared" si="4179"/>
        <v>-20</v>
      </c>
      <c r="CQ600" s="55">
        <f t="shared" si="4180"/>
        <v>-25</v>
      </c>
      <c r="CR600" s="55">
        <f t="shared" si="4181"/>
        <v>-29</v>
      </c>
      <c r="CS600" s="55">
        <f t="shared" si="4182"/>
        <v>-25</v>
      </c>
      <c r="CT600" s="55">
        <f t="shared" si="4183"/>
        <v>-30</v>
      </c>
      <c r="CU600" s="55">
        <f t="shared" si="4184"/>
        <v>-16</v>
      </c>
      <c r="CV600" s="55">
        <f t="shared" si="4185"/>
        <v>-34</v>
      </c>
      <c r="CW600" s="55">
        <f t="shared" si="4186"/>
        <v>-519</v>
      </c>
      <c r="CX600" s="55">
        <f t="shared" si="4187"/>
        <v>-467</v>
      </c>
      <c r="CY600" s="55">
        <f t="shared" si="4188"/>
        <v>-425</v>
      </c>
      <c r="CZ600" s="56">
        <f t="shared" si="4189"/>
        <v>-444</v>
      </c>
      <c r="DA600" s="55">
        <f t="shared" si="4190"/>
        <v>-586</v>
      </c>
      <c r="DB600" s="55">
        <f t="shared" si="4191"/>
        <v>-586</v>
      </c>
      <c r="DC600" s="55">
        <f t="shared" si="4192"/>
        <v>-586</v>
      </c>
      <c r="DD600" s="55">
        <f t="shared" si="4193"/>
        <v>-586</v>
      </c>
      <c r="DE600" s="55">
        <f t="shared" si="4194"/>
        <v>-586</v>
      </c>
      <c r="DF600" s="55">
        <f t="shared" si="4195"/>
        <v>-586</v>
      </c>
      <c r="DG600" s="55">
        <f t="shared" si="4196"/>
        <v>-586</v>
      </c>
      <c r="DH600" s="55">
        <f t="shared" si="4197"/>
        <v>-586</v>
      </c>
      <c r="DI600" s="55">
        <f t="shared" si="4198"/>
        <v>-586</v>
      </c>
    </row>
    <row r="601" spans="1:113" outlineLevel="1">
      <c r="A601" s="1" t="s">
        <v>737</v>
      </c>
      <c r="B601" s="19" t="s">
        <v>716</v>
      </c>
      <c r="C601" s="53">
        <v>5348</v>
      </c>
      <c r="D601" s="53">
        <v>5241</v>
      </c>
      <c r="E601" s="53">
        <v>4934</v>
      </c>
      <c r="F601" s="53">
        <v>4620</v>
      </c>
      <c r="G601" s="53">
        <v>4990</v>
      </c>
      <c r="H601" s="53">
        <v>4381</v>
      </c>
      <c r="I601" s="53">
        <v>5338</v>
      </c>
      <c r="J601" s="53">
        <v>4374</v>
      </c>
      <c r="K601" s="53">
        <v>4783</v>
      </c>
      <c r="L601" s="53">
        <v>5349</v>
      </c>
      <c r="M601" s="53">
        <v>5335</v>
      </c>
      <c r="N601" s="53">
        <v>6780</v>
      </c>
      <c r="O601" s="53">
        <v>6922</v>
      </c>
      <c r="P601" s="53">
        <v>7532</v>
      </c>
      <c r="Q601" s="53">
        <v>6977</v>
      </c>
      <c r="R601" s="53">
        <v>8966</v>
      </c>
      <c r="S601" s="53">
        <v>7561</v>
      </c>
      <c r="T601" s="53">
        <v>8299</v>
      </c>
      <c r="U601" s="53">
        <v>7454</v>
      </c>
      <c r="V601" s="53">
        <v>5990</v>
      </c>
      <c r="W601" s="53">
        <v>5728</v>
      </c>
      <c r="X601" s="53">
        <v>4314</v>
      </c>
      <c r="Y601" s="53">
        <v>3726</v>
      </c>
      <c r="Z601" s="53">
        <v>2900</v>
      </c>
      <c r="AA601" s="164">
        <v>2901</v>
      </c>
      <c r="AB601" s="164">
        <v>2728</v>
      </c>
      <c r="AC601" s="164">
        <f>2530+234</f>
        <v>2764</v>
      </c>
      <c r="AD601" s="164">
        <f>2493+1254</f>
        <v>3747</v>
      </c>
      <c r="AE601" s="164">
        <f>2257+3268</f>
        <v>5525</v>
      </c>
      <c r="AF601" s="164">
        <f>2141+5033</f>
        <v>7174</v>
      </c>
      <c r="AG601" s="164">
        <f>1934+5834</f>
        <v>7768</v>
      </c>
      <c r="AH601" s="164">
        <f>1580+7639</f>
        <v>9219</v>
      </c>
      <c r="AI601" s="164">
        <f>7744+1495</f>
        <v>9239</v>
      </c>
      <c r="AJ601" s="164">
        <f>9255+1213</f>
        <v>10468</v>
      </c>
      <c r="AK601" s="164">
        <f>11262+1166</f>
        <v>12428</v>
      </c>
      <c r="AL601" s="164">
        <f>11586+605</f>
        <v>12191</v>
      </c>
      <c r="AM601" s="164">
        <f>11368+613</f>
        <v>11981</v>
      </c>
      <c r="AN601" s="164">
        <f>13986+288</f>
        <v>14274</v>
      </c>
      <c r="AO601" s="164">
        <f>14552+296</f>
        <v>14848</v>
      </c>
      <c r="AP601" s="164">
        <f>15533+277</f>
        <v>15810</v>
      </c>
      <c r="AQ601" s="164">
        <f>16644+266</f>
        <v>16910</v>
      </c>
      <c r="AR601" s="164">
        <f>17127+264</f>
        <v>17391</v>
      </c>
      <c r="AS601" s="164">
        <f>19491+0</f>
        <v>19491</v>
      </c>
      <c r="AT601" s="164">
        <f>22161+0</f>
        <v>22161</v>
      </c>
      <c r="AU601" s="164">
        <f>24320+0</f>
        <v>24320</v>
      </c>
      <c r="AV601" s="164">
        <f>25371+0</f>
        <v>25371</v>
      </c>
      <c r="AW601" s="164">
        <f>29179+0</f>
        <v>29179</v>
      </c>
      <c r="AX601" s="164">
        <v>29925</v>
      </c>
      <c r="AY601" s="164">
        <v>33079</v>
      </c>
      <c r="AZ601" s="171">
        <v>32790</v>
      </c>
      <c r="BA601" s="54">
        <f t="shared" ref="BA601:BE601" si="4210">AZ601</f>
        <v>32790</v>
      </c>
      <c r="BB601" s="54">
        <f t="shared" si="4210"/>
        <v>32790</v>
      </c>
      <c r="BC601" s="54">
        <f t="shared" si="4210"/>
        <v>32790</v>
      </c>
      <c r="BD601" s="54">
        <f t="shared" si="4210"/>
        <v>32790</v>
      </c>
      <c r="BE601" s="54">
        <f t="shared" si="4210"/>
        <v>32790</v>
      </c>
      <c r="BF601" s="54">
        <f t="shared" si="4203"/>
        <v>32790</v>
      </c>
      <c r="BG601" s="54">
        <f t="shared" si="4203"/>
        <v>32790</v>
      </c>
      <c r="BH601" s="54">
        <f t="shared" si="4203"/>
        <v>32790</v>
      </c>
      <c r="BI601" s="54">
        <f t="shared" si="4203"/>
        <v>32790</v>
      </c>
      <c r="BJ601" s="54">
        <f t="shared" si="4203"/>
        <v>32790</v>
      </c>
      <c r="BK601" s="54">
        <f t="shared" si="4203"/>
        <v>32790</v>
      </c>
      <c r="BL601" s="54">
        <f t="shared" si="4203"/>
        <v>32790</v>
      </c>
      <c r="BM601" s="54">
        <f t="shared" si="4203"/>
        <v>32790</v>
      </c>
      <c r="BN601" s="54">
        <f t="shared" si="4204"/>
        <v>32790</v>
      </c>
      <c r="BO601" s="54">
        <f t="shared" si="4205"/>
        <v>32790</v>
      </c>
      <c r="BP601" s="54">
        <f t="shared" si="4206"/>
        <v>32790</v>
      </c>
      <c r="BQ601" s="54">
        <f t="shared" si="4207"/>
        <v>32790</v>
      </c>
      <c r="BR601" s="55"/>
      <c r="BS601" s="53">
        <v>467.2</v>
      </c>
      <c r="BT601" s="53">
        <v>486.1</v>
      </c>
      <c r="BU601" s="53">
        <v>471.3</v>
      </c>
      <c r="BV601" s="53">
        <v>441</v>
      </c>
      <c r="BW601" s="53">
        <v>1641</v>
      </c>
      <c r="BX601" s="53">
        <v>1702</v>
      </c>
      <c r="BY601" s="53">
        <v>1885</v>
      </c>
      <c r="BZ601" s="53">
        <v>2335</v>
      </c>
      <c r="CA601" s="53">
        <v>5120</v>
      </c>
      <c r="CB601" s="53">
        <f>317+5348-840</f>
        <v>4825</v>
      </c>
      <c r="CC601" s="55">
        <f t="shared" si="4166"/>
        <v>4934</v>
      </c>
      <c r="CD601" s="55">
        <f t="shared" si="4167"/>
        <v>4990</v>
      </c>
      <c r="CE601" s="55">
        <f t="shared" si="4168"/>
        <v>5338</v>
      </c>
      <c r="CF601" s="55">
        <f t="shared" si="4169"/>
        <v>4783</v>
      </c>
      <c r="CG601" s="55">
        <f t="shared" si="4170"/>
        <v>5335</v>
      </c>
      <c r="CH601" s="55">
        <f t="shared" si="4171"/>
        <v>6922</v>
      </c>
      <c r="CI601" s="55">
        <f t="shared" si="4172"/>
        <v>6977</v>
      </c>
      <c r="CJ601" s="55">
        <f t="shared" si="4173"/>
        <v>7561</v>
      </c>
      <c r="CK601" s="55">
        <f t="shared" si="4174"/>
        <v>7454</v>
      </c>
      <c r="CL601" s="55">
        <f t="shared" si="4175"/>
        <v>5728</v>
      </c>
      <c r="CM601" s="55">
        <f t="shared" si="4176"/>
        <v>3726</v>
      </c>
      <c r="CN601" s="55">
        <f t="shared" si="4177"/>
        <v>2901</v>
      </c>
      <c r="CO601" s="55">
        <f t="shared" si="4178"/>
        <v>2764</v>
      </c>
      <c r="CP601" s="55">
        <f t="shared" si="4179"/>
        <v>5525</v>
      </c>
      <c r="CQ601" s="55">
        <f t="shared" si="4180"/>
        <v>7768</v>
      </c>
      <c r="CR601" s="55">
        <f t="shared" si="4181"/>
        <v>9239</v>
      </c>
      <c r="CS601" s="55">
        <f t="shared" si="4182"/>
        <v>12428</v>
      </c>
      <c r="CT601" s="55">
        <f t="shared" si="4183"/>
        <v>11981</v>
      </c>
      <c r="CU601" s="55">
        <f t="shared" si="4184"/>
        <v>14848</v>
      </c>
      <c r="CV601" s="55">
        <f t="shared" si="4185"/>
        <v>16910</v>
      </c>
      <c r="CW601" s="55">
        <f t="shared" si="4186"/>
        <v>19491</v>
      </c>
      <c r="CX601" s="55">
        <f t="shared" si="4187"/>
        <v>24320</v>
      </c>
      <c r="CY601" s="55">
        <f t="shared" si="4188"/>
        <v>29179</v>
      </c>
      <c r="CZ601" s="56">
        <f t="shared" si="4189"/>
        <v>33079</v>
      </c>
      <c r="DA601" s="55">
        <f t="shared" si="4190"/>
        <v>32790</v>
      </c>
      <c r="DB601" s="55">
        <f t="shared" si="4191"/>
        <v>32790</v>
      </c>
      <c r="DC601" s="55">
        <f t="shared" si="4192"/>
        <v>32790</v>
      </c>
      <c r="DD601" s="55">
        <f t="shared" si="4193"/>
        <v>32790</v>
      </c>
      <c r="DE601" s="55">
        <f t="shared" si="4194"/>
        <v>32790</v>
      </c>
      <c r="DF601" s="55">
        <f t="shared" si="4195"/>
        <v>32790</v>
      </c>
      <c r="DG601" s="55">
        <f t="shared" si="4196"/>
        <v>32790</v>
      </c>
      <c r="DH601" s="55">
        <f t="shared" si="4197"/>
        <v>32790</v>
      </c>
      <c r="DI601" s="55">
        <f t="shared" si="4198"/>
        <v>32790</v>
      </c>
    </row>
    <row r="602" spans="1:113" outlineLevel="1">
      <c r="A602" s="1" t="s">
        <v>738</v>
      </c>
      <c r="B602" s="19" t="s">
        <v>717</v>
      </c>
      <c r="C602" s="55">
        <v>0</v>
      </c>
      <c r="D602" s="55">
        <v>0</v>
      </c>
      <c r="E602" s="55">
        <v>0</v>
      </c>
      <c r="F602" s="55">
        <v>0</v>
      </c>
      <c r="G602" s="55">
        <v>0</v>
      </c>
      <c r="H602" s="55">
        <v>0</v>
      </c>
      <c r="I602" s="55">
        <v>0</v>
      </c>
      <c r="J602" s="55">
        <v>0</v>
      </c>
      <c r="K602" s="55">
        <v>0</v>
      </c>
      <c r="L602" s="55">
        <v>0</v>
      </c>
      <c r="M602" s="55">
        <v>0</v>
      </c>
      <c r="N602" s="55">
        <v>0</v>
      </c>
      <c r="O602" s="55">
        <v>0</v>
      </c>
      <c r="P602" s="55">
        <f>SUM(P584,P575:P578)</f>
        <v>-1650</v>
      </c>
      <c r="Q602" s="55">
        <f t="shared" ref="Q602:X602" si="4211">SUM(Q584,Q575:Q578)</f>
        <v>-1624</v>
      </c>
      <c r="R602" s="55">
        <f t="shared" si="4211"/>
        <v>-3722</v>
      </c>
      <c r="S602" s="55">
        <f t="shared" si="4211"/>
        <v>-1855</v>
      </c>
      <c r="T602" s="55">
        <f t="shared" si="4211"/>
        <v>-1919</v>
      </c>
      <c r="U602" s="55">
        <f t="shared" si="4211"/>
        <v>-1999</v>
      </c>
      <c r="V602" s="55">
        <f t="shared" si="4211"/>
        <v>-2005</v>
      </c>
      <c r="W602" s="55">
        <f t="shared" si="4211"/>
        <v>-2056</v>
      </c>
      <c r="X602" s="55">
        <f t="shared" si="4211"/>
        <v>-1944</v>
      </c>
      <c r="Y602" s="55">
        <f>SUM(Y584,Y575:Y578)</f>
        <v>-1871</v>
      </c>
      <c r="Z602" s="55">
        <f>SUM(Z584,Z575:Z578)</f>
        <v>-1758</v>
      </c>
      <c r="AA602" s="164">
        <v>0</v>
      </c>
      <c r="AB602" s="164">
        <v>0</v>
      </c>
      <c r="AC602" s="164">
        <v>0</v>
      </c>
      <c r="AD602" s="164">
        <v>0</v>
      </c>
      <c r="AE602" s="164">
        <v>0</v>
      </c>
      <c r="AF602" s="164">
        <v>0</v>
      </c>
      <c r="AG602" s="164">
        <v>0</v>
      </c>
      <c r="AH602" s="164">
        <v>0</v>
      </c>
      <c r="AI602" s="164">
        <v>0</v>
      </c>
      <c r="AJ602" s="164">
        <v>0</v>
      </c>
      <c r="AK602" s="164">
        <v>0</v>
      </c>
      <c r="AL602" s="164">
        <v>0</v>
      </c>
      <c r="AM602" s="164">
        <v>0</v>
      </c>
      <c r="AN602" s="164">
        <v>0</v>
      </c>
      <c r="AO602" s="164">
        <v>0</v>
      </c>
      <c r="AP602" s="164">
        <v>0</v>
      </c>
      <c r="AQ602" s="164">
        <v>0</v>
      </c>
      <c r="AR602" s="164">
        <v>0</v>
      </c>
      <c r="AS602" s="164">
        <v>0</v>
      </c>
      <c r="AT602" s="164">
        <v>0</v>
      </c>
      <c r="AU602" s="164">
        <v>0</v>
      </c>
      <c r="AV602" s="164">
        <v>0</v>
      </c>
      <c r="AW602" s="164">
        <v>0</v>
      </c>
      <c r="AX602" s="164">
        <v>0</v>
      </c>
      <c r="AY602" s="164">
        <v>0</v>
      </c>
      <c r="AZ602" s="171">
        <v>0</v>
      </c>
      <c r="BA602" s="55">
        <v>0</v>
      </c>
      <c r="BB602" s="55">
        <v>0</v>
      </c>
      <c r="BC602" s="55">
        <v>0</v>
      </c>
      <c r="BD602" s="55">
        <v>0</v>
      </c>
      <c r="BE602" s="55">
        <v>0</v>
      </c>
      <c r="BF602" s="55">
        <v>0</v>
      </c>
      <c r="BG602" s="55">
        <v>0</v>
      </c>
      <c r="BH602" s="55">
        <v>0</v>
      </c>
      <c r="BI602" s="55">
        <v>0</v>
      </c>
      <c r="BJ602" s="55">
        <v>0</v>
      </c>
      <c r="BK602" s="55">
        <v>0</v>
      </c>
      <c r="BL602" s="55">
        <v>0</v>
      </c>
      <c r="BM602" s="55">
        <v>0</v>
      </c>
      <c r="BN602" s="55">
        <v>0</v>
      </c>
      <c r="BO602" s="55">
        <v>0</v>
      </c>
      <c r="BP602" s="55">
        <v>0</v>
      </c>
      <c r="BQ602" s="55">
        <v>0</v>
      </c>
      <c r="BR602" s="55"/>
      <c r="BS602" s="53">
        <v>0</v>
      </c>
      <c r="BT602" s="53">
        <v>0</v>
      </c>
      <c r="BU602" s="53">
        <v>0</v>
      </c>
      <c r="BV602" s="53">
        <v>0</v>
      </c>
      <c r="BW602" s="53">
        <v>0</v>
      </c>
      <c r="BX602" s="53">
        <v>0</v>
      </c>
      <c r="BY602" s="53">
        <v>0</v>
      </c>
      <c r="BZ602" s="53">
        <v>0</v>
      </c>
      <c r="CA602" s="53">
        <v>0</v>
      </c>
      <c r="CB602" s="53">
        <v>0</v>
      </c>
      <c r="CC602" s="55">
        <f t="shared" si="4166"/>
        <v>0</v>
      </c>
      <c r="CD602" s="55">
        <f t="shared" si="4167"/>
        <v>0</v>
      </c>
      <c r="CE602" s="55">
        <f t="shared" si="4168"/>
        <v>0</v>
      </c>
      <c r="CF602" s="55">
        <f t="shared" si="4169"/>
        <v>0</v>
      </c>
      <c r="CG602" s="55">
        <f t="shared" si="4170"/>
        <v>0</v>
      </c>
      <c r="CH602" s="55">
        <f t="shared" si="4171"/>
        <v>0</v>
      </c>
      <c r="CI602" s="55">
        <f t="shared" si="4172"/>
        <v>-1624</v>
      </c>
      <c r="CJ602" s="55">
        <f t="shared" si="4173"/>
        <v>-1855</v>
      </c>
      <c r="CK602" s="55">
        <f t="shared" si="4174"/>
        <v>-1999</v>
      </c>
      <c r="CL602" s="55">
        <f t="shared" si="4175"/>
        <v>-2056</v>
      </c>
      <c r="CM602" s="55">
        <f t="shared" si="4176"/>
        <v>-1871</v>
      </c>
      <c r="CN602" s="55">
        <f t="shared" si="4177"/>
        <v>0</v>
      </c>
      <c r="CO602" s="55">
        <f t="shared" si="4178"/>
        <v>0</v>
      </c>
      <c r="CP602" s="55">
        <f t="shared" si="4179"/>
        <v>0</v>
      </c>
      <c r="CQ602" s="55">
        <f t="shared" si="4180"/>
        <v>0</v>
      </c>
      <c r="CR602" s="55">
        <f t="shared" si="4181"/>
        <v>0</v>
      </c>
      <c r="CS602" s="55">
        <f t="shared" si="4182"/>
        <v>0</v>
      </c>
      <c r="CT602" s="55">
        <f t="shared" si="4183"/>
        <v>0</v>
      </c>
      <c r="CU602" s="55">
        <f t="shared" si="4184"/>
        <v>0</v>
      </c>
      <c r="CV602" s="55">
        <f t="shared" si="4185"/>
        <v>0</v>
      </c>
      <c r="CW602" s="55">
        <f t="shared" si="4186"/>
        <v>0</v>
      </c>
      <c r="CX602" s="55">
        <f t="shared" si="4187"/>
        <v>0</v>
      </c>
      <c r="CY602" s="55">
        <f t="shared" si="4188"/>
        <v>0</v>
      </c>
      <c r="CZ602" s="56">
        <f t="shared" si="4189"/>
        <v>0</v>
      </c>
      <c r="DA602" s="55">
        <f t="shared" si="4190"/>
        <v>0</v>
      </c>
      <c r="DB602" s="55">
        <f t="shared" si="4191"/>
        <v>0</v>
      </c>
      <c r="DC602" s="55">
        <f t="shared" si="4192"/>
        <v>0</v>
      </c>
      <c r="DD602" s="55">
        <f t="shared" si="4193"/>
        <v>0</v>
      </c>
      <c r="DE602" s="55">
        <f t="shared" si="4194"/>
        <v>0</v>
      </c>
      <c r="DF602" s="55">
        <f t="shared" si="4195"/>
        <v>0</v>
      </c>
      <c r="DG602" s="55">
        <f t="shared" si="4196"/>
        <v>0</v>
      </c>
      <c r="DH602" s="55">
        <f t="shared" si="4197"/>
        <v>0</v>
      </c>
      <c r="DI602" s="55">
        <f t="shared" si="4198"/>
        <v>0</v>
      </c>
    </row>
    <row r="603" spans="1:113" outlineLevel="1">
      <c r="A603" s="1" t="s">
        <v>739</v>
      </c>
      <c r="B603" s="19" t="s">
        <v>271</v>
      </c>
      <c r="C603" s="55">
        <f t="shared" ref="C603:L603" si="4212">C604-SUM(C598:C602)</f>
        <v>-835</v>
      </c>
      <c r="D603" s="55">
        <f t="shared" si="4212"/>
        <v>-568</v>
      </c>
      <c r="E603" s="55">
        <f t="shared" si="4212"/>
        <v>-150</v>
      </c>
      <c r="F603" s="55">
        <f t="shared" si="4212"/>
        <v>4</v>
      </c>
      <c r="G603" s="55">
        <f t="shared" si="4212"/>
        <v>7</v>
      </c>
      <c r="H603" s="55">
        <f t="shared" si="4212"/>
        <v>5</v>
      </c>
      <c r="I603" s="55">
        <f t="shared" si="4212"/>
        <v>61</v>
      </c>
      <c r="J603" s="55">
        <f t="shared" si="4212"/>
        <v>61</v>
      </c>
      <c r="K603" s="55">
        <f t="shared" si="4212"/>
        <v>92</v>
      </c>
      <c r="L603" s="55">
        <f t="shared" si="4212"/>
        <v>52</v>
      </c>
      <c r="M603" s="55">
        <f t="shared" ref="M603:X603" si="4213">M604-SUM(M598:M602)</f>
        <v>73</v>
      </c>
      <c r="N603" s="55">
        <f t="shared" si="4213"/>
        <v>71</v>
      </c>
      <c r="O603" s="55">
        <f t="shared" si="4213"/>
        <v>145</v>
      </c>
      <c r="P603" s="55">
        <f t="shared" si="4213"/>
        <v>81</v>
      </c>
      <c r="Q603" s="55">
        <f t="shared" si="4213"/>
        <v>105</v>
      </c>
      <c r="R603" s="55">
        <f t="shared" si="4213"/>
        <v>118</v>
      </c>
      <c r="S603" s="55">
        <f t="shared" si="4213"/>
        <v>115</v>
      </c>
      <c r="T603" s="55">
        <f t="shared" si="4213"/>
        <v>123</v>
      </c>
      <c r="U603" s="55">
        <f t="shared" si="4213"/>
        <v>154</v>
      </c>
      <c r="V603" s="55">
        <f t="shared" si="4213"/>
        <v>158</v>
      </c>
      <c r="W603" s="55">
        <f t="shared" si="4213"/>
        <v>121</v>
      </c>
      <c r="X603" s="55">
        <f t="shared" si="4213"/>
        <v>219</v>
      </c>
      <c r="Y603" s="55">
        <f t="shared" ref="Y603:AK603" si="4214">Y604-SUM(Y598:Y602)</f>
        <v>131</v>
      </c>
      <c r="Z603" s="55">
        <f t="shared" si="4214"/>
        <v>476</v>
      </c>
      <c r="AA603" s="55">
        <f t="shared" si="4214"/>
        <v>-15</v>
      </c>
      <c r="AB603" s="55">
        <f t="shared" si="4214"/>
        <v>0</v>
      </c>
      <c r="AC603" s="55">
        <f t="shared" si="4214"/>
        <v>0</v>
      </c>
      <c r="AD603" s="55">
        <f t="shared" si="4214"/>
        <v>0</v>
      </c>
      <c r="AE603" s="55">
        <f t="shared" si="4214"/>
        <v>0</v>
      </c>
      <c r="AF603" s="55">
        <f t="shared" si="4214"/>
        <v>0</v>
      </c>
      <c r="AG603" s="55">
        <f t="shared" si="4214"/>
        <v>0</v>
      </c>
      <c r="AH603" s="55">
        <f t="shared" si="4214"/>
        <v>0</v>
      </c>
      <c r="AI603" s="55">
        <f t="shared" si="4214"/>
        <v>0</v>
      </c>
      <c r="AJ603" s="55">
        <f t="shared" si="4214"/>
        <v>0</v>
      </c>
      <c r="AK603" s="55">
        <f t="shared" si="4214"/>
        <v>0</v>
      </c>
      <c r="AL603" s="55">
        <f t="shared" ref="AL603:AQ603" si="4215">AL604-SUM(AL598:AL602)</f>
        <v>0</v>
      </c>
      <c r="AM603" s="55">
        <f t="shared" si="4215"/>
        <v>0</v>
      </c>
      <c r="AN603" s="55">
        <f t="shared" si="4215"/>
        <v>0</v>
      </c>
      <c r="AO603" s="55">
        <f t="shared" si="4215"/>
        <v>0</v>
      </c>
      <c r="AP603" s="55">
        <f t="shared" si="4215"/>
        <v>0</v>
      </c>
      <c r="AQ603" s="55">
        <f t="shared" si="4215"/>
        <v>0</v>
      </c>
      <c r="AR603" s="55">
        <f t="shared" ref="AR603" si="4216">AR604-SUM(AR598:AR602)</f>
        <v>0</v>
      </c>
      <c r="AS603" s="55">
        <f t="shared" ref="AS603:AT603" si="4217">AS604-SUM(AS598:AS602)</f>
        <v>0</v>
      </c>
      <c r="AT603" s="55">
        <f t="shared" si="4217"/>
        <v>0</v>
      </c>
      <c r="AU603" s="55">
        <f t="shared" ref="AU603:AV603" si="4218">AU604-SUM(AU598:AU602)</f>
        <v>0</v>
      </c>
      <c r="AV603" s="55">
        <f t="shared" si="4218"/>
        <v>0</v>
      </c>
      <c r="AW603" s="55">
        <f t="shared" ref="AW603:AX603" si="4219">AW604-SUM(AW598:AW602)</f>
        <v>0</v>
      </c>
      <c r="AX603" s="55">
        <f t="shared" si="4219"/>
        <v>0</v>
      </c>
      <c r="AY603" s="55">
        <f t="shared" ref="AY603:AZ603" si="4220">AY604-SUM(AY598:AY602)</f>
        <v>0</v>
      </c>
      <c r="AZ603" s="56">
        <f t="shared" si="4220"/>
        <v>0</v>
      </c>
      <c r="BA603" s="54">
        <f t="shared" ref="BA603:BE603" si="4221">AZ603</f>
        <v>0</v>
      </c>
      <c r="BB603" s="54">
        <f t="shared" si="4221"/>
        <v>0</v>
      </c>
      <c r="BC603" s="54">
        <f t="shared" si="4221"/>
        <v>0</v>
      </c>
      <c r="BD603" s="54">
        <f t="shared" si="4221"/>
        <v>0</v>
      </c>
      <c r="BE603" s="54">
        <f t="shared" si="4221"/>
        <v>0</v>
      </c>
      <c r="BF603" s="54">
        <f t="shared" ref="BF603:BM603" si="4222">BE603</f>
        <v>0</v>
      </c>
      <c r="BG603" s="54">
        <f t="shared" si="4222"/>
        <v>0</v>
      </c>
      <c r="BH603" s="54">
        <f t="shared" si="4222"/>
        <v>0</v>
      </c>
      <c r="BI603" s="54">
        <f t="shared" si="4222"/>
        <v>0</v>
      </c>
      <c r="BJ603" s="54">
        <f t="shared" si="4222"/>
        <v>0</v>
      </c>
      <c r="BK603" s="54">
        <f t="shared" si="4222"/>
        <v>0</v>
      </c>
      <c r="BL603" s="54">
        <f t="shared" si="4222"/>
        <v>0</v>
      </c>
      <c r="BM603" s="54">
        <f t="shared" si="4222"/>
        <v>0</v>
      </c>
      <c r="BN603" s="54">
        <f t="shared" ref="BN603" si="4223">BM603</f>
        <v>0</v>
      </c>
      <c r="BO603" s="54">
        <f t="shared" ref="BO603" si="4224">BN603</f>
        <v>0</v>
      </c>
      <c r="BP603" s="54">
        <f t="shared" ref="BP603" si="4225">BO603</f>
        <v>0</v>
      </c>
      <c r="BQ603" s="54">
        <f t="shared" ref="BQ603" si="4226">BP603</f>
        <v>0</v>
      </c>
      <c r="BR603" s="55"/>
      <c r="BS603" s="55">
        <f t="shared" ref="BS603:CB603" si="4227">BS604-SUM(BS598:BS602)</f>
        <v>226</v>
      </c>
      <c r="BT603" s="55">
        <f t="shared" si="4227"/>
        <v>0</v>
      </c>
      <c r="BU603" s="55">
        <f t="shared" si="4227"/>
        <v>0</v>
      </c>
      <c r="BV603" s="55">
        <f t="shared" si="4227"/>
        <v>0</v>
      </c>
      <c r="BW603" s="55">
        <f t="shared" si="4227"/>
        <v>0</v>
      </c>
      <c r="BX603" s="55">
        <f t="shared" si="4227"/>
        <v>0</v>
      </c>
      <c r="BY603" s="55">
        <f t="shared" si="4227"/>
        <v>0</v>
      </c>
      <c r="BZ603" s="55">
        <f t="shared" si="4227"/>
        <v>0</v>
      </c>
      <c r="CA603" s="55">
        <f t="shared" si="4227"/>
        <v>0</v>
      </c>
      <c r="CB603" s="55">
        <f t="shared" si="4227"/>
        <v>5</v>
      </c>
      <c r="CC603" s="55">
        <f t="shared" si="4166"/>
        <v>-150</v>
      </c>
      <c r="CD603" s="55">
        <f t="shared" si="4167"/>
        <v>7</v>
      </c>
      <c r="CE603" s="55">
        <f t="shared" si="4168"/>
        <v>61</v>
      </c>
      <c r="CF603" s="55">
        <f t="shared" si="4169"/>
        <v>92</v>
      </c>
      <c r="CG603" s="55">
        <f t="shared" si="4170"/>
        <v>73</v>
      </c>
      <c r="CH603" s="55">
        <f t="shared" si="4171"/>
        <v>145</v>
      </c>
      <c r="CI603" s="55">
        <f t="shared" si="4172"/>
        <v>105</v>
      </c>
      <c r="CJ603" s="55">
        <f t="shared" si="4173"/>
        <v>115</v>
      </c>
      <c r="CK603" s="55">
        <f t="shared" si="4174"/>
        <v>154</v>
      </c>
      <c r="CL603" s="55">
        <f t="shared" si="4175"/>
        <v>121</v>
      </c>
      <c r="CM603" s="55">
        <f t="shared" si="4176"/>
        <v>131</v>
      </c>
      <c r="CN603" s="55">
        <f t="shared" si="4177"/>
        <v>-15</v>
      </c>
      <c r="CO603" s="55">
        <f t="shared" si="4178"/>
        <v>0</v>
      </c>
      <c r="CP603" s="55">
        <f t="shared" si="4179"/>
        <v>0</v>
      </c>
      <c r="CQ603" s="55">
        <f t="shared" si="4180"/>
        <v>0</v>
      </c>
      <c r="CR603" s="55">
        <f t="shared" si="4181"/>
        <v>0</v>
      </c>
      <c r="CS603" s="55">
        <f t="shared" si="4182"/>
        <v>0</v>
      </c>
      <c r="CT603" s="55">
        <f t="shared" si="4183"/>
        <v>0</v>
      </c>
      <c r="CU603" s="55">
        <f t="shared" si="4184"/>
        <v>0</v>
      </c>
      <c r="CV603" s="55">
        <f t="shared" si="4185"/>
        <v>0</v>
      </c>
      <c r="CW603" s="55">
        <f t="shared" si="4186"/>
        <v>0</v>
      </c>
      <c r="CX603" s="55">
        <f t="shared" si="4187"/>
        <v>0</v>
      </c>
      <c r="CY603" s="55">
        <f t="shared" si="4188"/>
        <v>0</v>
      </c>
      <c r="CZ603" s="56">
        <f t="shared" si="4189"/>
        <v>0</v>
      </c>
      <c r="DA603" s="55">
        <f t="shared" si="4190"/>
        <v>0</v>
      </c>
      <c r="DB603" s="55">
        <f t="shared" si="4191"/>
        <v>0</v>
      </c>
      <c r="DC603" s="55">
        <f t="shared" si="4192"/>
        <v>0</v>
      </c>
      <c r="DD603" s="55">
        <f t="shared" si="4193"/>
        <v>0</v>
      </c>
      <c r="DE603" s="55">
        <f t="shared" si="4194"/>
        <v>0</v>
      </c>
      <c r="DF603" s="55">
        <f t="shared" si="4195"/>
        <v>0</v>
      </c>
      <c r="DG603" s="55">
        <f t="shared" si="4196"/>
        <v>0</v>
      </c>
      <c r="DH603" s="55">
        <f t="shared" si="4197"/>
        <v>0</v>
      </c>
      <c r="DI603" s="55">
        <f t="shared" si="4198"/>
        <v>0</v>
      </c>
    </row>
    <row r="604" spans="1:113" s="24" customFormat="1" outlineLevel="1">
      <c r="A604" s="1" t="s">
        <v>740</v>
      </c>
      <c r="B604" s="24" t="s">
        <v>168</v>
      </c>
      <c r="C604" s="81">
        <v>5784</v>
      </c>
      <c r="D604" s="81">
        <v>5911</v>
      </c>
      <c r="E604" s="81">
        <v>6040</v>
      </c>
      <c r="F604" s="81">
        <v>5861</v>
      </c>
      <c r="G604" s="81">
        <v>6177</v>
      </c>
      <c r="H604" s="81">
        <v>5600</v>
      </c>
      <c r="I604" s="81">
        <v>6658</v>
      </c>
      <c r="J604" s="81">
        <v>5653</v>
      </c>
      <c r="K604" s="81">
        <v>6087</v>
      </c>
      <c r="L604" s="81">
        <v>6644</v>
      </c>
      <c r="M604" s="81">
        <v>6725</v>
      </c>
      <c r="N604" s="81">
        <v>8176</v>
      </c>
      <c r="O604" s="81">
        <v>8365</v>
      </c>
      <c r="P604" s="81">
        <v>7758</v>
      </c>
      <c r="Q604" s="81">
        <v>7013</v>
      </c>
      <c r="R604" s="81">
        <v>6309</v>
      </c>
      <c r="S604" s="81">
        <v>6784</v>
      </c>
      <c r="T604" s="81">
        <v>7529</v>
      </c>
      <c r="U604" s="81">
        <v>6819</v>
      </c>
      <c r="V604" s="81">
        <v>5111</v>
      </c>
      <c r="W604" s="81">
        <v>4749</v>
      </c>
      <c r="X604" s="81">
        <v>3588</v>
      </c>
      <c r="Y604" s="81">
        <v>2939</v>
      </c>
      <c r="Z604" s="81">
        <v>2066</v>
      </c>
      <c r="AA604" s="166">
        <v>3088</v>
      </c>
      <c r="AB604" s="166">
        <v>2922</v>
      </c>
      <c r="AC604" s="166">
        <v>2935</v>
      </c>
      <c r="AD604" s="166">
        <v>3903</v>
      </c>
      <c r="AE604" s="166">
        <v>5661</v>
      </c>
      <c r="AF604" s="166">
        <v>7333</v>
      </c>
      <c r="AG604" s="166">
        <v>7924</v>
      </c>
      <c r="AH604" s="166">
        <v>9373</v>
      </c>
      <c r="AI604" s="166">
        <v>9392</v>
      </c>
      <c r="AJ604" s="166">
        <v>10622</v>
      </c>
      <c r="AK604" s="166">
        <v>12579</v>
      </c>
      <c r="AL604" s="166">
        <v>12932</v>
      </c>
      <c r="AM604" s="166">
        <v>12750</v>
      </c>
      <c r="AN604" s="166">
        <v>14735</v>
      </c>
      <c r="AO604" s="166">
        <v>16429</v>
      </c>
      <c r="AP604" s="166">
        <v>17822</v>
      </c>
      <c r="AQ604" s="166">
        <v>18472</v>
      </c>
      <c r="AR604" s="166">
        <v>18928</v>
      </c>
      <c r="AS604" s="166">
        <v>19992</v>
      </c>
      <c r="AT604" s="166">
        <v>22889</v>
      </c>
      <c r="AU604" s="166">
        <v>26009</v>
      </c>
      <c r="AV604" s="166">
        <v>27147</v>
      </c>
      <c r="AW604" s="166">
        <v>30828</v>
      </c>
      <c r="AX604" s="166">
        <v>31562</v>
      </c>
      <c r="AY604" s="166">
        <v>34829</v>
      </c>
      <c r="AZ604" s="167">
        <v>34432</v>
      </c>
      <c r="BA604" s="82">
        <f t="shared" ref="BA604:BE604" si="4228">SUM(BA598:BA603)</f>
        <v>34442.159509953948</v>
      </c>
      <c r="BB604" s="82">
        <f t="shared" si="4228"/>
        <v>34447.092822426363</v>
      </c>
      <c r="BC604" s="82">
        <f t="shared" si="4228"/>
        <v>34451.742454647399</v>
      </c>
      <c r="BD604" s="82">
        <f t="shared" si="4228"/>
        <v>34481.475531490803</v>
      </c>
      <c r="BE604" s="82">
        <f t="shared" si="4228"/>
        <v>34510.463060134978</v>
      </c>
      <c r="BF604" s="82">
        <f t="shared" ref="BF604:BM604" si="4229">SUM(BF598:BF603)</f>
        <v>34547.59743005193</v>
      </c>
      <c r="BG604" s="82">
        <f t="shared" si="4229"/>
        <v>34582.618891591126</v>
      </c>
      <c r="BH604" s="82">
        <f t="shared" si="4229"/>
        <v>34618.618010039376</v>
      </c>
      <c r="BI604" s="82">
        <f t="shared" si="4229"/>
        <v>34651.883970878756</v>
      </c>
      <c r="BJ604" s="82">
        <f t="shared" si="4229"/>
        <v>34669.9069989079</v>
      </c>
      <c r="BK604" s="82">
        <f t="shared" si="4229"/>
        <v>34692.218304677379</v>
      </c>
      <c r="BL604" s="82">
        <f t="shared" si="4229"/>
        <v>34714.747606228564</v>
      </c>
      <c r="BM604" s="82">
        <f t="shared" si="4229"/>
        <v>34737.497051182938</v>
      </c>
      <c r="BN604" s="82">
        <f t="shared" ref="BN604:BO604" si="4230">SUM(BN598:BN603)</f>
        <v>34760.468808370875</v>
      </c>
      <c r="BO604" s="82">
        <f t="shared" si="4230"/>
        <v>34783.6650680413</v>
      </c>
      <c r="BP604" s="82">
        <f t="shared" ref="BP604:BQ604" si="4231">SUM(BP598:BP603)</f>
        <v>34807.08804207349</v>
      </c>
      <c r="BQ604" s="82">
        <f t="shared" si="4231"/>
        <v>34830.739964190871</v>
      </c>
      <c r="BR604" s="82"/>
      <c r="BS604" s="81">
        <v>1156.0999999999999</v>
      </c>
      <c r="BT604" s="81">
        <v>883.5</v>
      </c>
      <c r="BU604" s="81">
        <v>867.6</v>
      </c>
      <c r="BV604" s="81">
        <v>917</v>
      </c>
      <c r="BW604" s="81">
        <v>2297</v>
      </c>
      <c r="BX604" s="81">
        <v>2437</v>
      </c>
      <c r="BY604" s="81">
        <v>2666</v>
      </c>
      <c r="BZ604" s="81">
        <v>3109</v>
      </c>
      <c r="CA604" s="81">
        <v>6097</v>
      </c>
      <c r="CB604" s="81">
        <v>5784</v>
      </c>
      <c r="CC604" s="82">
        <f t="shared" ref="CC604:CP604" si="4232">SUM(CC598:CC603)</f>
        <v>6040</v>
      </c>
      <c r="CD604" s="82">
        <f t="shared" si="4232"/>
        <v>6177</v>
      </c>
      <c r="CE604" s="82">
        <f t="shared" si="4232"/>
        <v>6658</v>
      </c>
      <c r="CF604" s="82">
        <f t="shared" si="4232"/>
        <v>6087</v>
      </c>
      <c r="CG604" s="82">
        <f t="shared" si="4232"/>
        <v>6725</v>
      </c>
      <c r="CH604" s="82">
        <f t="shared" si="4232"/>
        <v>8365</v>
      </c>
      <c r="CI604" s="82">
        <f t="shared" si="4232"/>
        <v>7013</v>
      </c>
      <c r="CJ604" s="82">
        <f t="shared" si="4232"/>
        <v>6784</v>
      </c>
      <c r="CK604" s="82">
        <f t="shared" si="4232"/>
        <v>6819</v>
      </c>
      <c r="CL604" s="82">
        <f t="shared" si="4232"/>
        <v>4749</v>
      </c>
      <c r="CM604" s="82">
        <f t="shared" si="4232"/>
        <v>2939</v>
      </c>
      <c r="CN604" s="82">
        <f t="shared" si="4232"/>
        <v>3088</v>
      </c>
      <c r="CO604" s="82">
        <f t="shared" si="4232"/>
        <v>2935</v>
      </c>
      <c r="CP604" s="82">
        <f t="shared" si="4232"/>
        <v>5661</v>
      </c>
      <c r="CQ604" s="82">
        <f t="shared" ref="CQ604:CX604" si="4233">SUM(CQ598:CQ603)</f>
        <v>7924</v>
      </c>
      <c r="CR604" s="82">
        <f t="shared" si="4233"/>
        <v>9392</v>
      </c>
      <c r="CS604" s="82">
        <f t="shared" si="4233"/>
        <v>12579</v>
      </c>
      <c r="CT604" s="82">
        <f t="shared" si="4233"/>
        <v>12750</v>
      </c>
      <c r="CU604" s="82">
        <f t="shared" si="4233"/>
        <v>16429</v>
      </c>
      <c r="CV604" s="82">
        <f t="shared" si="4233"/>
        <v>18472</v>
      </c>
      <c r="CW604" s="82">
        <f t="shared" si="4233"/>
        <v>19992</v>
      </c>
      <c r="CX604" s="82">
        <f t="shared" si="4233"/>
        <v>26009</v>
      </c>
      <c r="CY604" s="82">
        <f t="shared" ref="CY604:DD604" si="4234">SUM(CY598:CY603)</f>
        <v>30828</v>
      </c>
      <c r="CZ604" s="83">
        <f t="shared" si="4234"/>
        <v>34829</v>
      </c>
      <c r="DA604" s="82">
        <f t="shared" si="4234"/>
        <v>34442.159509953948</v>
      </c>
      <c r="DB604" s="82">
        <f t="shared" si="4234"/>
        <v>34451.742454647399</v>
      </c>
      <c r="DC604" s="82">
        <f t="shared" si="4234"/>
        <v>34510.463060134978</v>
      </c>
      <c r="DD604" s="82">
        <f t="shared" si="4234"/>
        <v>34582.618891591126</v>
      </c>
      <c r="DE604" s="82">
        <f>SUM(DE598:DE603)</f>
        <v>34651.883970878756</v>
      </c>
      <c r="DF604" s="82">
        <f>SUM(DF598:DF603)</f>
        <v>34692.218304677379</v>
      </c>
      <c r="DG604" s="82">
        <f>SUM(DG598:DG603)</f>
        <v>34737.497051182938</v>
      </c>
      <c r="DH604" s="82">
        <f>SUM(DH598:DH603)</f>
        <v>34783.6650680413</v>
      </c>
      <c r="DI604" s="82">
        <f>SUM(DI598:DI603)</f>
        <v>34830.739964190871</v>
      </c>
    </row>
    <row r="605" spans="1:113" outlineLevel="1">
      <c r="C605" s="55"/>
      <c r="D605" s="55"/>
      <c r="E605" s="55"/>
      <c r="F605" s="55"/>
      <c r="G605" s="55"/>
      <c r="H605" s="55"/>
      <c r="I605" s="55"/>
      <c r="J605" s="55"/>
      <c r="K605" s="55"/>
      <c r="L605" s="55"/>
      <c r="M605" s="55"/>
      <c r="N605" s="55"/>
      <c r="O605" s="55"/>
      <c r="P605" s="55"/>
      <c r="Q605" s="55"/>
      <c r="R605" s="55"/>
      <c r="S605" s="55"/>
      <c r="T605" s="55"/>
      <c r="U605" s="55"/>
      <c r="V605" s="55"/>
      <c r="W605" s="55"/>
      <c r="X605" s="55"/>
      <c r="Y605" s="55"/>
      <c r="Z605" s="55"/>
      <c r="AA605" s="55"/>
      <c r="AB605" s="55"/>
      <c r="AC605" s="55"/>
      <c r="AD605" s="55"/>
      <c r="AE605" s="55"/>
      <c r="AF605" s="55"/>
      <c r="AG605" s="55"/>
      <c r="AH605" s="55"/>
      <c r="AI605" s="55"/>
      <c r="AJ605" s="55"/>
      <c r="AK605" s="55"/>
      <c r="AL605" s="55"/>
      <c r="AM605" s="55"/>
      <c r="AN605" s="55"/>
      <c r="AO605" s="55"/>
      <c r="AP605" s="55"/>
      <c r="AQ605" s="55"/>
      <c r="AR605" s="55"/>
      <c r="AS605" s="55"/>
      <c r="AT605" s="55"/>
      <c r="AU605" s="55"/>
      <c r="AV605" s="55"/>
      <c r="AW605" s="55"/>
      <c r="AX605" s="55"/>
      <c r="AY605" s="55"/>
      <c r="AZ605" s="56"/>
      <c r="BA605" s="55"/>
      <c r="BB605" s="55"/>
      <c r="BC605" s="55"/>
      <c r="BD605" s="55"/>
      <c r="BE605" s="55"/>
      <c r="BF605" s="55"/>
      <c r="BG605" s="55"/>
      <c r="BH605" s="55"/>
      <c r="BI605" s="55"/>
      <c r="BJ605" s="55"/>
      <c r="BK605" s="55"/>
      <c r="BL605" s="55"/>
      <c r="BM605" s="55"/>
      <c r="BN605" s="55"/>
      <c r="BO605" s="55"/>
      <c r="BP605" s="55"/>
      <c r="BQ605" s="55"/>
      <c r="BR605" s="55"/>
      <c r="BS605" s="55"/>
      <c r="BT605" s="55"/>
      <c r="BU605" s="55"/>
      <c r="BV605" s="55"/>
      <c r="BW605" s="55"/>
      <c r="BX605" s="55"/>
      <c r="BY605" s="55"/>
      <c r="BZ605" s="55"/>
      <c r="CA605" s="55"/>
      <c r="CB605" s="55"/>
      <c r="CC605" s="55"/>
      <c r="CD605" s="55"/>
      <c r="CE605" s="55"/>
      <c r="CF605" s="55"/>
      <c r="CG605" s="55"/>
      <c r="CH605" s="55"/>
      <c r="CI605" s="55"/>
      <c r="CJ605" s="55"/>
      <c r="CK605" s="55"/>
      <c r="CL605" s="55"/>
      <c r="CM605" s="55"/>
      <c r="CN605" s="55"/>
      <c r="CO605" s="55"/>
      <c r="CP605" s="55"/>
      <c r="CQ605" s="55"/>
      <c r="CR605" s="55"/>
      <c r="CS605" s="55"/>
      <c r="CT605" s="55"/>
      <c r="CU605" s="55"/>
      <c r="CV605" s="55"/>
      <c r="CW605" s="55"/>
      <c r="CX605" s="55"/>
      <c r="CY605" s="55"/>
      <c r="CZ605" s="56"/>
      <c r="DA605" s="55"/>
      <c r="DB605" s="55"/>
    </row>
    <row r="606" spans="1:113" outlineLevel="1">
      <c r="A606" s="1" t="s">
        <v>741</v>
      </c>
      <c r="B606" s="19" t="s">
        <v>718</v>
      </c>
      <c r="C606" s="53">
        <f>-2005-144</f>
        <v>-2149</v>
      </c>
      <c r="D606" s="53">
        <f>-2328-38</f>
        <v>-2366</v>
      </c>
      <c r="E606" s="53">
        <f>-1741-40</f>
        <v>-1781</v>
      </c>
      <c r="F606" s="53">
        <f>-1868-42</f>
        <v>-1910</v>
      </c>
      <c r="G606" s="53">
        <f>-2072-42</f>
        <v>-2114</v>
      </c>
      <c r="H606" s="53">
        <f>-2075-63</f>
        <v>-2138</v>
      </c>
      <c r="I606" s="53">
        <f>-1886-5</f>
        <v>-1891</v>
      </c>
      <c r="J606" s="53">
        <f>-1776-27</f>
        <v>-1803</v>
      </c>
      <c r="K606" s="53">
        <f>-1721-28</f>
        <v>-1749</v>
      </c>
      <c r="L606" s="53">
        <f>-1918-130</f>
        <v>-2048</v>
      </c>
      <c r="M606" s="53">
        <f>-2012-151</f>
        <v>-2163</v>
      </c>
      <c r="N606" s="53">
        <f>-1622-166</f>
        <v>-1788</v>
      </c>
      <c r="O606" s="53">
        <f>-409-1339-178</f>
        <v>-1926</v>
      </c>
      <c r="P606" s="53">
        <v>0</v>
      </c>
      <c r="Q606" s="53">
        <v>0</v>
      </c>
      <c r="R606" s="53">
        <v>0</v>
      </c>
      <c r="S606" s="53">
        <v>0</v>
      </c>
      <c r="T606" s="53">
        <v>0</v>
      </c>
      <c r="U606" s="53">
        <v>0</v>
      </c>
      <c r="V606" s="53">
        <v>0</v>
      </c>
      <c r="W606" s="53">
        <v>0</v>
      </c>
      <c r="X606" s="53">
        <v>0</v>
      </c>
      <c r="Y606" s="53">
        <v>0</v>
      </c>
      <c r="Z606" s="53">
        <v>0</v>
      </c>
      <c r="AA606" s="164">
        <v>0</v>
      </c>
      <c r="AB606" s="164">
        <v>0</v>
      </c>
      <c r="AC606" s="164">
        <v>0</v>
      </c>
      <c r="AD606" s="164">
        <v>0</v>
      </c>
      <c r="AE606" s="164">
        <v>0</v>
      </c>
      <c r="AF606" s="164">
        <v>0</v>
      </c>
      <c r="AG606" s="164">
        <v>0</v>
      </c>
      <c r="AH606" s="164">
        <v>0</v>
      </c>
      <c r="AI606" s="164">
        <v>0</v>
      </c>
      <c r="AJ606" s="164">
        <v>0</v>
      </c>
      <c r="AK606" s="164">
        <v>0</v>
      </c>
      <c r="AL606" s="164">
        <v>0</v>
      </c>
      <c r="AM606" s="164">
        <v>0</v>
      </c>
      <c r="AN606" s="164">
        <v>0</v>
      </c>
      <c r="AO606" s="164">
        <v>0</v>
      </c>
      <c r="AP606" s="164"/>
      <c r="AQ606" s="164"/>
      <c r="AR606" s="164"/>
      <c r="AS606" s="164"/>
      <c r="AT606" s="164"/>
      <c r="AU606" s="164"/>
      <c r="AV606" s="164"/>
      <c r="AW606" s="164"/>
      <c r="AX606" s="164"/>
      <c r="AY606" s="164">
        <f t="shared" ref="AY606:BE606" si="4235">AX606</f>
        <v>0</v>
      </c>
      <c r="AZ606" s="171">
        <f t="shared" si="4235"/>
        <v>0</v>
      </c>
      <c r="BA606" s="55">
        <f t="shared" si="4235"/>
        <v>0</v>
      </c>
      <c r="BB606" s="55">
        <f t="shared" si="4235"/>
        <v>0</v>
      </c>
      <c r="BC606" s="55">
        <f t="shared" si="4235"/>
        <v>0</v>
      </c>
      <c r="BD606" s="55">
        <f t="shared" si="4235"/>
        <v>0</v>
      </c>
      <c r="BE606" s="55">
        <f t="shared" si="4235"/>
        <v>0</v>
      </c>
      <c r="BF606" s="55">
        <f t="shared" ref="BF606:BM606" si="4236">BE606</f>
        <v>0</v>
      </c>
      <c r="BG606" s="55">
        <f t="shared" si="4236"/>
        <v>0</v>
      </c>
      <c r="BH606" s="55">
        <f t="shared" si="4236"/>
        <v>0</v>
      </c>
      <c r="BI606" s="55">
        <f t="shared" si="4236"/>
        <v>0</v>
      </c>
      <c r="BJ606" s="55">
        <f t="shared" si="4236"/>
        <v>0</v>
      </c>
      <c r="BK606" s="55">
        <f t="shared" si="4236"/>
        <v>0</v>
      </c>
      <c r="BL606" s="55">
        <f t="shared" si="4236"/>
        <v>0</v>
      </c>
      <c r="BM606" s="55">
        <f t="shared" si="4236"/>
        <v>0</v>
      </c>
      <c r="BN606" s="55">
        <f t="shared" ref="BN606" si="4237">BM606</f>
        <v>0</v>
      </c>
      <c r="BO606" s="55">
        <f t="shared" ref="BO606" si="4238">BN606</f>
        <v>0</v>
      </c>
      <c r="BP606" s="55">
        <f t="shared" ref="BP606" si="4239">BO606</f>
        <v>0</v>
      </c>
      <c r="BQ606" s="55">
        <f t="shared" ref="BQ606" si="4240">BP606</f>
        <v>0</v>
      </c>
      <c r="BR606" s="55"/>
      <c r="BS606" s="53">
        <v>0</v>
      </c>
      <c r="BT606" s="53">
        <v>-42.4</v>
      </c>
      <c r="BU606" s="53">
        <v>-79.599999999999994</v>
      </c>
      <c r="BV606" s="53">
        <v>-282</v>
      </c>
      <c r="BW606" s="53">
        <v>-239</v>
      </c>
      <c r="BX606" s="53">
        <v>-487</v>
      </c>
      <c r="BY606" s="53">
        <v>-381</v>
      </c>
      <c r="BZ606" s="53">
        <f>-368-420</f>
        <v>-788</v>
      </c>
      <c r="CA606" s="53">
        <f>-2528-669</f>
        <v>-3197</v>
      </c>
      <c r="CB606" s="53">
        <f>12680-CB604-CB587</f>
        <v>-2119</v>
      </c>
      <c r="CC606" s="55">
        <f>E606</f>
        <v>-1781</v>
      </c>
      <c r="CD606" s="55">
        <f>G606</f>
        <v>-2114</v>
      </c>
      <c r="CE606" s="55">
        <f>I606</f>
        <v>-1891</v>
      </c>
      <c r="CF606" s="55">
        <f>K606</f>
        <v>-1749</v>
      </c>
      <c r="CG606" s="55">
        <f>M606</f>
        <v>-2163</v>
      </c>
      <c r="CH606" s="55">
        <f>O606</f>
        <v>-1926</v>
      </c>
      <c r="CI606" s="55">
        <f>Q606</f>
        <v>0</v>
      </c>
      <c r="CJ606" s="55">
        <f>S606</f>
        <v>0</v>
      </c>
      <c r="CK606" s="55">
        <f>U606</f>
        <v>0</v>
      </c>
      <c r="CL606" s="55">
        <f>W606</f>
        <v>0</v>
      </c>
      <c r="CM606" s="55">
        <f>Y606</f>
        <v>0</v>
      </c>
      <c r="CN606" s="55">
        <f>AA606</f>
        <v>0</v>
      </c>
      <c r="CO606" s="55">
        <f>AC606</f>
        <v>0</v>
      </c>
      <c r="CP606" s="55">
        <f>AE606</f>
        <v>0</v>
      </c>
      <c r="CQ606" s="55">
        <f>AG606</f>
        <v>0</v>
      </c>
      <c r="CR606" s="55">
        <f>AI606</f>
        <v>0</v>
      </c>
      <c r="CS606" s="55">
        <f>AK606</f>
        <v>0</v>
      </c>
      <c r="CT606" s="55">
        <f>AM606</f>
        <v>0</v>
      </c>
      <c r="CU606" s="55">
        <f>AO606</f>
        <v>0</v>
      </c>
      <c r="CV606" s="55">
        <f>AQ606</f>
        <v>0</v>
      </c>
      <c r="CW606" s="55">
        <f>AS606</f>
        <v>0</v>
      </c>
      <c r="CX606" s="55">
        <f>AU606</f>
        <v>0</v>
      </c>
      <c r="CY606" s="55">
        <f>AW606</f>
        <v>0</v>
      </c>
      <c r="CZ606" s="56">
        <f>AY606</f>
        <v>0</v>
      </c>
      <c r="DA606" s="55">
        <f>BA606</f>
        <v>0</v>
      </c>
      <c r="DB606" s="55">
        <f>BC606</f>
        <v>0</v>
      </c>
      <c r="DC606" s="55">
        <f>BE606</f>
        <v>0</v>
      </c>
      <c r="DD606" s="55">
        <f>BG606</f>
        <v>0</v>
      </c>
      <c r="DE606" s="55">
        <f>BI606</f>
        <v>0</v>
      </c>
      <c r="DF606" s="55">
        <f>BK606</f>
        <v>0</v>
      </c>
      <c r="DG606" s="55">
        <f>BM606</f>
        <v>0</v>
      </c>
      <c r="DH606" s="55">
        <f>BO606</f>
        <v>0</v>
      </c>
      <c r="DI606" s="55">
        <f>BQ606</f>
        <v>0</v>
      </c>
    </row>
    <row r="607" spans="1:113" s="24" customFormat="1" outlineLevel="1">
      <c r="A607" s="1" t="s">
        <v>742</v>
      </c>
      <c r="B607" s="24" t="s">
        <v>719</v>
      </c>
      <c r="C607" s="82">
        <f t="shared" ref="C607:L607" si="4241">C587+C604+C606</f>
        <v>12650</v>
      </c>
      <c r="D607" s="82">
        <f t="shared" si="4241"/>
        <v>12881</v>
      </c>
      <c r="E607" s="82">
        <f t="shared" si="4241"/>
        <v>13820</v>
      </c>
      <c r="F607" s="82">
        <f t="shared" si="4241"/>
        <v>14099</v>
      </c>
      <c r="G607" s="82">
        <f t="shared" si="4241"/>
        <v>14276</v>
      </c>
      <c r="H607" s="82">
        <f t="shared" si="4241"/>
        <v>14900</v>
      </c>
      <c r="I607" s="82">
        <f t="shared" si="4241"/>
        <v>17355</v>
      </c>
      <c r="J607" s="82">
        <f t="shared" si="4241"/>
        <v>17337</v>
      </c>
      <c r="K607" s="82">
        <f t="shared" si="4241"/>
        <v>18479</v>
      </c>
      <c r="L607" s="82">
        <f t="shared" si="4241"/>
        <v>19886</v>
      </c>
      <c r="M607" s="82">
        <f t="shared" ref="M607:AD607" si="4242">M587+M604+M606</f>
        <v>20916</v>
      </c>
      <c r="N607" s="82">
        <f t="shared" si="4242"/>
        <v>22941</v>
      </c>
      <c r="O607" s="82">
        <f t="shared" si="4242"/>
        <v>23951</v>
      </c>
      <c r="P607" s="82">
        <f t="shared" si="4242"/>
        <v>23954</v>
      </c>
      <c r="Q607" s="82">
        <f t="shared" si="4242"/>
        <v>23804</v>
      </c>
      <c r="R607" s="82">
        <f t="shared" si="4242"/>
        <v>27257</v>
      </c>
      <c r="S607" s="82">
        <f t="shared" si="4242"/>
        <v>30095</v>
      </c>
      <c r="T607" s="82">
        <f t="shared" si="4242"/>
        <v>34594</v>
      </c>
      <c r="U607" s="82">
        <f t="shared" si="4242"/>
        <v>33420</v>
      </c>
      <c r="V607" s="82">
        <f t="shared" si="4242"/>
        <v>32846</v>
      </c>
      <c r="W607" s="82">
        <f t="shared" si="4242"/>
        <v>32962</v>
      </c>
      <c r="X607" s="82">
        <f t="shared" si="4242"/>
        <v>33061</v>
      </c>
      <c r="Y607" s="82">
        <f>Y587+Y604+Y606</f>
        <v>33238</v>
      </c>
      <c r="Z607" s="82">
        <f>Z587+Z604+Z606</f>
        <v>33846</v>
      </c>
      <c r="AA607" s="82">
        <f t="shared" si="4242"/>
        <v>36838</v>
      </c>
      <c r="AB607" s="82">
        <f t="shared" si="4242"/>
        <v>38180</v>
      </c>
      <c r="AC607" s="82">
        <f t="shared" si="4242"/>
        <v>40543</v>
      </c>
      <c r="AD607" s="82">
        <f t="shared" si="4242"/>
        <v>44901</v>
      </c>
      <c r="AE607" s="82">
        <f t="shared" ref="AE607:AK607" si="4243">AE587+AE604+AE606</f>
        <v>46808</v>
      </c>
      <c r="AF607" s="82">
        <f t="shared" si="4243"/>
        <v>55305</v>
      </c>
      <c r="AG607" s="82">
        <f t="shared" si="4243"/>
        <v>56677</v>
      </c>
      <c r="AH607" s="82">
        <f t="shared" si="4243"/>
        <v>59791</v>
      </c>
      <c r="AI607" s="82">
        <f t="shared" si="4243"/>
        <v>62276</v>
      </c>
      <c r="AJ607" s="82">
        <f t="shared" si="4243"/>
        <v>64985</v>
      </c>
      <c r="AK607" s="82">
        <f t="shared" si="4243"/>
        <v>68944</v>
      </c>
      <c r="AL607" s="82">
        <f t="shared" ref="AL607:AQ607" si="4244">AL587+AL604+AL606</f>
        <v>70450</v>
      </c>
      <c r="AM607" s="82">
        <f t="shared" si="4244"/>
        <v>70105</v>
      </c>
      <c r="AN607" s="82">
        <f t="shared" si="4244"/>
        <v>77953</v>
      </c>
      <c r="AO607" s="82">
        <f t="shared" si="4244"/>
        <v>79843</v>
      </c>
      <c r="AP607" s="82">
        <f t="shared" si="4244"/>
        <v>85722</v>
      </c>
      <c r="AQ607" s="82">
        <f t="shared" si="4244"/>
        <v>89316</v>
      </c>
      <c r="AR607" s="82">
        <f t="shared" ref="AR607" si="4245">AR587+AR604+AR606</f>
        <v>84955</v>
      </c>
      <c r="AS607" s="82">
        <f t="shared" ref="AS607:AT607" si="4246">AS587+AS604+AS606</f>
        <v>87550</v>
      </c>
      <c r="AT607" s="82">
        <f t="shared" si="4246"/>
        <v>89753</v>
      </c>
      <c r="AU607" s="82">
        <f t="shared" ref="AU607:AV607" si="4247">AU587+AU604+AU606</f>
        <v>93780</v>
      </c>
      <c r="AV607" s="82">
        <f t="shared" si="4247"/>
        <v>95240</v>
      </c>
      <c r="AW607" s="82">
        <f t="shared" ref="AW607:AX607" si="4248">AW587+AW604+AW606</f>
        <v>97791</v>
      </c>
      <c r="AX607" s="82">
        <f t="shared" si="4248"/>
        <v>99705</v>
      </c>
      <c r="AY607" s="82">
        <f t="shared" ref="AY607:BE607" si="4249">AY587+AY604+AY606</f>
        <v>103703</v>
      </c>
      <c r="AZ607" s="83">
        <f t="shared" ref="AZ607" si="4250">AZ587+AZ604+AZ606</f>
        <v>104261</v>
      </c>
      <c r="BA607" s="82">
        <f t="shared" si="4249"/>
        <v>106329.64155180223</v>
      </c>
      <c r="BB607" s="82">
        <f t="shared" si="4249"/>
        <v>106010.55890712264</v>
      </c>
      <c r="BC607" s="82">
        <f t="shared" si="4249"/>
        <v>106318.95963860012</v>
      </c>
      <c r="BD607" s="82">
        <f t="shared" si="4249"/>
        <v>106250.40325055772</v>
      </c>
      <c r="BE607" s="82">
        <f t="shared" si="4249"/>
        <v>106719.09446584075</v>
      </c>
      <c r="BF607" s="82">
        <f t="shared" ref="BF607:BM607" si="4251">BF587+BF604+BF606</f>
        <v>106837.5174141311</v>
      </c>
      <c r="BG607" s="82">
        <f t="shared" si="4251"/>
        <v>108669.76812694987</v>
      </c>
      <c r="BH607" s="82">
        <f t="shared" si="4251"/>
        <v>110099.13542952947</v>
      </c>
      <c r="BI607" s="82">
        <f t="shared" si="4251"/>
        <v>111880.26077286116</v>
      </c>
      <c r="BJ607" s="82">
        <f t="shared" si="4251"/>
        <v>113161.97643053796</v>
      </c>
      <c r="BK607" s="82">
        <f t="shared" si="4251"/>
        <v>114921.31839015108</v>
      </c>
      <c r="BL607" s="82">
        <f t="shared" si="4251"/>
        <v>116232.61209885625</v>
      </c>
      <c r="BM607" s="82">
        <f t="shared" si="4251"/>
        <v>118020.61891340237</v>
      </c>
      <c r="BN607" s="82">
        <f t="shared" ref="BN607:BO607" si="4252">BN587+BN604+BN606</f>
        <v>119443.36243746561</v>
      </c>
      <c r="BO607" s="82">
        <f t="shared" si="4252"/>
        <v>121334.68864376927</v>
      </c>
      <c r="BP607" s="82">
        <f t="shared" ref="BP607:BQ607" si="4253">BP587+BP604+BP606</f>
        <v>122896.11189673307</v>
      </c>
      <c r="BQ607" s="82">
        <f t="shared" si="4253"/>
        <v>124923.73596323581</v>
      </c>
      <c r="BR607" s="82"/>
      <c r="BS607" s="82">
        <f t="shared" ref="BS607:CB607" si="4254">BS587+BS604+BS606</f>
        <v>7385.1</v>
      </c>
      <c r="BT607" s="82">
        <f t="shared" si="4254"/>
        <v>7387.6</v>
      </c>
      <c r="BU607" s="82">
        <f t="shared" si="4254"/>
        <v>7342.1</v>
      </c>
      <c r="BV607" s="82">
        <f t="shared" si="4254"/>
        <v>7847</v>
      </c>
      <c r="BW607" s="82">
        <f t="shared" si="4254"/>
        <v>9822</v>
      </c>
      <c r="BX607" s="82">
        <f t="shared" si="4254"/>
        <v>9418</v>
      </c>
      <c r="BY607" s="82">
        <f t="shared" si="4254"/>
        <v>9902</v>
      </c>
      <c r="BZ607" s="82">
        <f t="shared" si="4254"/>
        <v>9342</v>
      </c>
      <c r="CA607" s="82">
        <f t="shared" si="4254"/>
        <v>12518</v>
      </c>
      <c r="CB607" s="82">
        <f t="shared" si="4254"/>
        <v>12680</v>
      </c>
      <c r="CC607" s="82">
        <f t="shared" ref="CC607:CP607" si="4255">CC587+CC604+CC606</f>
        <v>13820</v>
      </c>
      <c r="CD607" s="82">
        <f t="shared" si="4255"/>
        <v>14276</v>
      </c>
      <c r="CE607" s="82">
        <f t="shared" si="4255"/>
        <v>17355</v>
      </c>
      <c r="CF607" s="82">
        <f t="shared" si="4255"/>
        <v>18479</v>
      </c>
      <c r="CG607" s="82">
        <f t="shared" si="4255"/>
        <v>20916</v>
      </c>
      <c r="CH607" s="82">
        <f t="shared" si="4255"/>
        <v>23951</v>
      </c>
      <c r="CI607" s="82">
        <f t="shared" si="4255"/>
        <v>23804</v>
      </c>
      <c r="CJ607" s="82">
        <f t="shared" si="4255"/>
        <v>30095</v>
      </c>
      <c r="CK607" s="82">
        <f t="shared" si="4255"/>
        <v>33420</v>
      </c>
      <c r="CL607" s="82">
        <f t="shared" si="4255"/>
        <v>32962</v>
      </c>
      <c r="CM607" s="82">
        <f t="shared" si="4255"/>
        <v>33238</v>
      </c>
      <c r="CN607" s="82">
        <f t="shared" si="4255"/>
        <v>36838</v>
      </c>
      <c r="CO607" s="82">
        <f t="shared" si="4255"/>
        <v>40543</v>
      </c>
      <c r="CP607" s="82">
        <f t="shared" si="4255"/>
        <v>46808</v>
      </c>
      <c r="CQ607" s="82">
        <f t="shared" ref="CQ607:CX607" si="4256">CQ587+CQ604+CQ606</f>
        <v>56677</v>
      </c>
      <c r="CR607" s="82">
        <f t="shared" si="4256"/>
        <v>62276</v>
      </c>
      <c r="CS607" s="82">
        <f t="shared" si="4256"/>
        <v>68944</v>
      </c>
      <c r="CT607" s="82">
        <f t="shared" si="4256"/>
        <v>70105</v>
      </c>
      <c r="CU607" s="82">
        <f t="shared" si="4256"/>
        <v>79843</v>
      </c>
      <c r="CV607" s="82">
        <f t="shared" si="4256"/>
        <v>89316</v>
      </c>
      <c r="CW607" s="82">
        <f t="shared" si="4256"/>
        <v>87550</v>
      </c>
      <c r="CX607" s="82">
        <f t="shared" si="4256"/>
        <v>93780</v>
      </c>
      <c r="CY607" s="82">
        <f t="shared" ref="CY607:DD607" si="4257">CY587+CY604+CY606</f>
        <v>97791</v>
      </c>
      <c r="CZ607" s="83">
        <f t="shared" si="4257"/>
        <v>103703</v>
      </c>
      <c r="DA607" s="82">
        <f t="shared" si="4257"/>
        <v>106329.64155180223</v>
      </c>
      <c r="DB607" s="82">
        <f t="shared" si="4257"/>
        <v>106318.95963860012</v>
      </c>
      <c r="DC607" s="82">
        <f t="shared" si="4257"/>
        <v>106719.09446584077</v>
      </c>
      <c r="DD607" s="82">
        <f t="shared" si="4257"/>
        <v>108669.76812694987</v>
      </c>
      <c r="DE607" s="82">
        <f>DE587+DE604+DE606</f>
        <v>111880.26077286116</v>
      </c>
      <c r="DF607" s="82">
        <f>DF587+DF604+DF606</f>
        <v>114921.31839015108</v>
      </c>
      <c r="DG607" s="82">
        <f>DG587+DG604+DG606</f>
        <v>118020.61891340237</v>
      </c>
      <c r="DH607" s="82">
        <f>DH587+DH604+DH606</f>
        <v>121334.68864376927</v>
      </c>
      <c r="DI607" s="82">
        <f>DI587+DI604+DI606</f>
        <v>124923.73596323581</v>
      </c>
    </row>
    <row r="608" spans="1:113" outlineLevel="1">
      <c r="C608" s="55"/>
      <c r="D608" s="55"/>
      <c r="E608" s="55"/>
      <c r="F608" s="55"/>
      <c r="G608" s="55"/>
      <c r="H608" s="55"/>
      <c r="I608" s="55"/>
      <c r="J608" s="55"/>
      <c r="K608" s="55"/>
      <c r="L608" s="55"/>
      <c r="M608" s="55"/>
      <c r="N608" s="55"/>
      <c r="O608" s="55"/>
      <c r="P608" s="55"/>
      <c r="Q608" s="55"/>
      <c r="R608" s="55"/>
      <c r="S608" s="55"/>
      <c r="T608" s="55"/>
      <c r="U608" s="55"/>
      <c r="V608" s="55"/>
      <c r="W608" s="55"/>
      <c r="X608" s="55"/>
      <c r="Y608" s="55"/>
      <c r="Z608" s="55"/>
      <c r="AA608" s="55"/>
      <c r="AB608" s="55"/>
      <c r="AC608" s="55"/>
      <c r="AD608" s="55"/>
      <c r="AE608" s="55"/>
      <c r="AF608" s="55"/>
      <c r="AG608" s="55"/>
      <c r="AH608" s="55"/>
      <c r="AI608" s="55"/>
      <c r="AP608" s="55"/>
      <c r="AQ608" s="55"/>
      <c r="AR608" s="55"/>
      <c r="AS608" s="55"/>
      <c r="AT608" s="55"/>
      <c r="AU608" s="55"/>
      <c r="AV608" s="55"/>
      <c r="AW608" s="55"/>
      <c r="AX608" s="55"/>
      <c r="AY608" s="55"/>
      <c r="AZ608" s="56"/>
      <c r="BA608" s="55"/>
      <c r="BB608" s="55"/>
      <c r="BC608" s="55"/>
      <c r="BD608" s="55"/>
      <c r="BE608" s="55"/>
      <c r="BF608" s="55"/>
      <c r="BG608" s="55"/>
      <c r="BH608" s="55"/>
      <c r="BI608" s="55"/>
      <c r="BJ608" s="55"/>
      <c r="BK608" s="55"/>
      <c r="BL608" s="55"/>
      <c r="BM608" s="55"/>
      <c r="BN608" s="55"/>
      <c r="BO608" s="55"/>
      <c r="BP608" s="55"/>
      <c r="BQ608" s="55"/>
      <c r="BR608" s="55"/>
      <c r="BS608" s="55"/>
      <c r="BT608" s="55"/>
      <c r="BU608" s="55"/>
      <c r="BV608" s="55"/>
      <c r="BW608" s="55"/>
      <c r="BX608" s="55"/>
      <c r="BY608" s="55"/>
      <c r="BZ608" s="55"/>
      <c r="CA608" s="55"/>
      <c r="CB608" s="55"/>
      <c r="CC608" s="55"/>
      <c r="CD608" s="55"/>
      <c r="CE608" s="55"/>
      <c r="CF608" s="55"/>
      <c r="CG608" s="55"/>
      <c r="CH608" s="55"/>
      <c r="CI608" s="55"/>
      <c r="CJ608" s="55"/>
      <c r="CK608" s="55"/>
      <c r="CL608" s="55"/>
      <c r="CM608" s="55"/>
      <c r="CN608" s="55"/>
      <c r="CO608" s="55"/>
      <c r="CP608" s="55"/>
      <c r="CQ608" s="55"/>
      <c r="CR608" s="55"/>
      <c r="CS608" s="55"/>
      <c r="CT608" s="55"/>
      <c r="CU608" s="55"/>
      <c r="CV608" s="55"/>
      <c r="CW608" s="55"/>
      <c r="CX608" s="55"/>
      <c r="CY608" s="55"/>
      <c r="CZ608" s="56"/>
      <c r="DA608" s="55"/>
      <c r="DB608" s="55"/>
    </row>
    <row r="609" spans="1:113" s="24" customFormat="1" outlineLevel="1">
      <c r="A609" s="1"/>
      <c r="B609" s="24" t="s">
        <v>720</v>
      </c>
      <c r="C609" s="82"/>
      <c r="D609" s="82"/>
      <c r="E609" s="82"/>
      <c r="F609" s="82"/>
      <c r="G609" s="82"/>
      <c r="H609" s="82"/>
      <c r="I609" s="82"/>
      <c r="J609" s="82"/>
      <c r="K609" s="82"/>
      <c r="L609" s="82"/>
      <c r="M609" s="82"/>
      <c r="N609" s="82"/>
      <c r="O609" s="82"/>
      <c r="P609" s="82"/>
      <c r="Q609" s="82"/>
      <c r="R609" s="82"/>
      <c r="S609" s="82"/>
      <c r="T609" s="82"/>
      <c r="U609" s="82"/>
      <c r="V609" s="82"/>
      <c r="W609" s="82"/>
      <c r="X609" s="82"/>
      <c r="Y609" s="82"/>
      <c r="Z609" s="82"/>
      <c r="AA609" s="82"/>
      <c r="AB609" s="82"/>
      <c r="AC609" s="164"/>
      <c r="AD609" s="50"/>
      <c r="AE609" s="164"/>
      <c r="AF609" s="164"/>
      <c r="AH609" s="164"/>
      <c r="AI609" s="164"/>
      <c r="AP609" s="82"/>
      <c r="AQ609" s="82"/>
      <c r="AR609" s="82"/>
      <c r="AS609" s="82"/>
      <c r="AT609" s="82"/>
      <c r="AU609" s="82"/>
      <c r="AV609" s="82"/>
      <c r="AW609" s="82"/>
      <c r="AX609" s="82"/>
      <c r="AY609" s="82"/>
      <c r="AZ609" s="83"/>
      <c r="BA609" s="82"/>
      <c r="BB609" s="82"/>
      <c r="BC609" s="82"/>
      <c r="BD609" s="82"/>
      <c r="BE609" s="82"/>
      <c r="BF609" s="82"/>
      <c r="BG609" s="82"/>
      <c r="BH609" s="82"/>
      <c r="BI609" s="82"/>
      <c r="BJ609" s="82"/>
      <c r="BK609" s="82"/>
      <c r="BL609" s="82"/>
      <c r="BM609" s="82"/>
      <c r="BN609" s="82"/>
      <c r="BO609" s="82"/>
      <c r="BP609" s="82"/>
      <c r="BQ609" s="82"/>
      <c r="BR609" s="82"/>
      <c r="BS609" s="82"/>
      <c r="BT609" s="82"/>
      <c r="BU609" s="82"/>
      <c r="BV609" s="82"/>
      <c r="BW609" s="82"/>
      <c r="BX609" s="82"/>
      <c r="BY609" s="82"/>
      <c r="BZ609" s="82"/>
      <c r="CA609" s="82"/>
      <c r="CB609" s="82"/>
      <c r="CC609" s="82"/>
      <c r="CD609" s="82"/>
      <c r="CE609" s="82"/>
      <c r="CF609" s="82"/>
      <c r="CG609" s="82"/>
      <c r="CH609" s="82"/>
      <c r="CI609" s="82"/>
      <c r="CJ609" s="82"/>
      <c r="CK609" s="82"/>
      <c r="CL609" s="82"/>
      <c r="CM609" s="82"/>
      <c r="CN609" s="82"/>
      <c r="CO609" s="82"/>
      <c r="CP609" s="82"/>
      <c r="CQ609" s="82"/>
      <c r="CR609" s="82"/>
      <c r="CS609" s="82"/>
      <c r="CT609" s="82"/>
      <c r="CU609" s="82"/>
      <c r="CV609" s="82"/>
      <c r="CW609" s="82"/>
      <c r="CX609" s="82"/>
      <c r="CY609" s="82"/>
      <c r="CZ609" s="83"/>
      <c r="DA609" s="82"/>
      <c r="DB609" s="82"/>
    </row>
    <row r="610" spans="1:113" outlineLevel="1">
      <c r="A610" s="1" t="s">
        <v>743</v>
      </c>
      <c r="B610" s="19" t="s">
        <v>762</v>
      </c>
      <c r="C610" s="55">
        <f t="shared" ref="C610:O610" si="4258">50%*C176</f>
        <v>36755.5</v>
      </c>
      <c r="D610" s="55">
        <f t="shared" si="4258"/>
        <v>39872.5</v>
      </c>
      <c r="E610" s="55">
        <f t="shared" si="4258"/>
        <v>42919</v>
      </c>
      <c r="F610" s="55">
        <f t="shared" si="4258"/>
        <v>46772.5</v>
      </c>
      <c r="G610" s="55">
        <f t="shared" si="4258"/>
        <v>50101.5</v>
      </c>
      <c r="H610" s="55">
        <f t="shared" si="4258"/>
        <v>56114</v>
      </c>
      <c r="I610" s="55">
        <f t="shared" si="4258"/>
        <v>64727.5</v>
      </c>
      <c r="J610" s="55">
        <f t="shared" si="4258"/>
        <v>70324.5</v>
      </c>
      <c r="K610" s="55">
        <f t="shared" si="4258"/>
        <v>75339</v>
      </c>
      <c r="L610" s="55">
        <f t="shared" si="4258"/>
        <v>79669.5</v>
      </c>
      <c r="M610" s="55">
        <f t="shared" si="4258"/>
        <v>83560.5</v>
      </c>
      <c r="N610" s="55">
        <f t="shared" si="4258"/>
        <v>88360.5</v>
      </c>
      <c r="O610" s="55">
        <f t="shared" si="4258"/>
        <v>96385</v>
      </c>
      <c r="P610" s="181">
        <f>18%*P613</f>
        <v>35681.040000000001</v>
      </c>
      <c r="Q610" s="53">
        <f>39128+241</f>
        <v>39369</v>
      </c>
      <c r="R610" s="53">
        <f>45231+316</f>
        <v>45547</v>
      </c>
      <c r="S610" s="53">
        <f>54841+20576</f>
        <v>75417</v>
      </c>
      <c r="T610" s="53">
        <f>56909+22531</f>
        <v>79440</v>
      </c>
      <c r="U610" s="53">
        <f>55882+22436</f>
        <v>78318</v>
      </c>
      <c r="V610" s="53">
        <f>56412+22605</f>
        <v>79017</v>
      </c>
      <c r="W610" s="53">
        <f>55709+23515</f>
        <v>79224</v>
      </c>
      <c r="X610" s="53">
        <f>53844+24660</f>
        <v>78504</v>
      </c>
      <c r="Y610" s="53">
        <f>54545+25705</f>
        <v>80250</v>
      </c>
      <c r="Z610" s="53">
        <f>63637+2257</f>
        <v>65894</v>
      </c>
      <c r="AA610" s="164">
        <f>66741+2432</f>
        <v>69173</v>
      </c>
      <c r="AB610" s="164">
        <f>67797+6182</f>
        <v>73979</v>
      </c>
      <c r="AC610" s="164">
        <f>65986+3543+6040</f>
        <v>75569</v>
      </c>
      <c r="AD610" s="164">
        <f>72278+3285+6416</f>
        <v>81979</v>
      </c>
      <c r="AE610" s="164">
        <f>74382+2949+6728</f>
        <v>84059</v>
      </c>
      <c r="AF610" s="164">
        <f>79511+2830+7044</f>
        <v>89385</v>
      </c>
      <c r="AG610" s="164">
        <f>83758+2813+7428</f>
        <v>93999</v>
      </c>
      <c r="AH610" s="164">
        <f>115647+2812+4788</f>
        <v>123247</v>
      </c>
      <c r="AI610" s="164">
        <f>134969+2766+5017</f>
        <v>142752</v>
      </c>
      <c r="AJ610" s="164">
        <f>136047+2534+5404</f>
        <v>143985</v>
      </c>
      <c r="AK610" s="164">
        <f>139203+2458+5627</f>
        <v>147288</v>
      </c>
      <c r="AL610" s="164">
        <f>143017+3415+6632</f>
        <v>153064</v>
      </c>
      <c r="AM610" s="164">
        <f>147956+3335+6732</f>
        <v>158023</v>
      </c>
      <c r="AN610" s="164">
        <f>147865+3314+6478</f>
        <v>157657</v>
      </c>
      <c r="AO610" s="164">
        <f>148294+3360+6635</f>
        <v>158289</v>
      </c>
      <c r="AP610" s="164">
        <f>151950+3087+6466</f>
        <v>161503</v>
      </c>
      <c r="AQ610" s="164">
        <f>159758+2947+6523</f>
        <v>169228</v>
      </c>
      <c r="AR610" s="164">
        <f>167999+2789+6380</f>
        <v>177168</v>
      </c>
      <c r="AS610" s="164">
        <f>171819+2725+6429</f>
        <v>180973</v>
      </c>
      <c r="AT610" s="164">
        <f>171742+6680</f>
        <v>178422</v>
      </c>
      <c r="AU610" s="164">
        <f>147716+7046</f>
        <v>154762</v>
      </c>
      <c r="AV610" s="164">
        <f>143896+6885</f>
        <v>150781</v>
      </c>
      <c r="AW610" s="164">
        <f>145228+6953</f>
        <v>152181</v>
      </c>
      <c r="AX610" s="164">
        <f>144873+7197</f>
        <v>152070</v>
      </c>
      <c r="AY610" s="164">
        <f>149143+7432</f>
        <v>156575</v>
      </c>
      <c r="AZ610" s="171">
        <f>154941+7497</f>
        <v>162438</v>
      </c>
      <c r="BA610" s="55">
        <f t="shared" ref="BA610:BE610" si="4259">BA145*BA176</f>
        <v>168633.53194446923</v>
      </c>
      <c r="BB610" s="55">
        <f t="shared" si="4259"/>
        <v>172520.77958340212</v>
      </c>
      <c r="BC610" s="55">
        <f t="shared" si="4259"/>
        <v>177231.878123345</v>
      </c>
      <c r="BD610" s="55">
        <f t="shared" si="4259"/>
        <v>182148.4315564695</v>
      </c>
      <c r="BE610" s="55">
        <f t="shared" si="4259"/>
        <v>187059.33493415028</v>
      </c>
      <c r="BF610" s="55">
        <f t="shared" ref="BF610:BM610" si="4260">BF145*BF176</f>
        <v>192118.30072354479</v>
      </c>
      <c r="BG610" s="55">
        <f t="shared" si="4260"/>
        <v>196664.1968485628</v>
      </c>
      <c r="BH610" s="55">
        <f t="shared" si="4260"/>
        <v>201332.26752569724</v>
      </c>
      <c r="BI610" s="55">
        <f t="shared" si="4260"/>
        <v>205200.55985676713</v>
      </c>
      <c r="BJ610" s="55">
        <f t="shared" si="4260"/>
        <v>209153.86039603344</v>
      </c>
      <c r="BK610" s="55">
        <f t="shared" si="4260"/>
        <v>213357.85298999373</v>
      </c>
      <c r="BL610" s="55">
        <f t="shared" si="4260"/>
        <v>217646.34583509259</v>
      </c>
      <c r="BM610" s="55">
        <f t="shared" si="4260"/>
        <v>222021.03738637798</v>
      </c>
      <c r="BN610" s="55">
        <f t="shared" ref="BN610:BO610" si="4261">BN145*BN176</f>
        <v>226483.66023784419</v>
      </c>
      <c r="BO610" s="55">
        <f t="shared" si="4261"/>
        <v>231035.98180862484</v>
      </c>
      <c r="BP610" s="55">
        <f t="shared" ref="BP610:BQ610" si="4262">BP145*BP176</f>
        <v>235679.80504297823</v>
      </c>
      <c r="BQ610" s="55">
        <f t="shared" si="4262"/>
        <v>240416.96912434202</v>
      </c>
      <c r="BR610" s="55"/>
      <c r="BS610" s="53">
        <v>11770.8</v>
      </c>
      <c r="BT610" s="53">
        <v>12926.4</v>
      </c>
      <c r="BU610" s="53">
        <v>14832.9</v>
      </c>
      <c r="BV610" s="53">
        <v>16559</v>
      </c>
      <c r="BW610" s="53">
        <v>17468</v>
      </c>
      <c r="BX610" s="53">
        <v>19710</v>
      </c>
      <c r="BY610" s="53">
        <v>23079</v>
      </c>
      <c r="BZ610" s="53">
        <v>28739</v>
      </c>
      <c r="CA610" s="53">
        <v>37828</v>
      </c>
      <c r="CB610" s="53">
        <v>38954</v>
      </c>
      <c r="CC610" s="55">
        <f>E610</f>
        <v>42919</v>
      </c>
      <c r="CD610" s="55">
        <f>G610</f>
        <v>50101.5</v>
      </c>
      <c r="CE610" s="55">
        <f>I610</f>
        <v>64727.5</v>
      </c>
      <c r="CF610" s="55">
        <f>K610</f>
        <v>75339</v>
      </c>
      <c r="CG610" s="55">
        <f>M610</f>
        <v>83560.5</v>
      </c>
      <c r="CH610" s="55">
        <f>O610</f>
        <v>96385</v>
      </c>
      <c r="CI610" s="55">
        <f>Q610</f>
        <v>39369</v>
      </c>
      <c r="CJ610" s="55">
        <f>S610</f>
        <v>75417</v>
      </c>
      <c r="CK610" s="55">
        <f>U610</f>
        <v>78318</v>
      </c>
      <c r="CL610" s="55">
        <f>W610</f>
        <v>79224</v>
      </c>
      <c r="CM610" s="55">
        <f>Y610</f>
        <v>80250</v>
      </c>
      <c r="CN610" s="55">
        <f>AA610</f>
        <v>69173</v>
      </c>
      <c r="CO610" s="55">
        <f>AC610</f>
        <v>75569</v>
      </c>
      <c r="CP610" s="55">
        <f>AE610</f>
        <v>84059</v>
      </c>
      <c r="CQ610" s="55">
        <f>AG610</f>
        <v>93999</v>
      </c>
      <c r="CR610" s="55">
        <f>AI610</f>
        <v>142752</v>
      </c>
      <c r="CS610" s="55">
        <f>AK610</f>
        <v>147288</v>
      </c>
      <c r="CT610" s="55">
        <f>AM610</f>
        <v>158023</v>
      </c>
      <c r="CU610" s="55">
        <f>AO610</f>
        <v>158289</v>
      </c>
      <c r="CV610" s="55">
        <f>AQ610</f>
        <v>169228</v>
      </c>
      <c r="CW610" s="55">
        <f>AS610</f>
        <v>180973</v>
      </c>
      <c r="CX610" s="55">
        <f>AU610</f>
        <v>154762</v>
      </c>
      <c r="CY610" s="55">
        <f>AW610</f>
        <v>152181</v>
      </c>
      <c r="CZ610" s="56">
        <f>AY610</f>
        <v>156575</v>
      </c>
      <c r="DA610" s="55">
        <f>BA610</f>
        <v>168633.53194446923</v>
      </c>
      <c r="DB610" s="55">
        <f>BC610</f>
        <v>177231.878123345</v>
      </c>
      <c r="DC610" s="55">
        <f>BE610</f>
        <v>187059.33493415028</v>
      </c>
      <c r="DD610" s="55">
        <f>BG610</f>
        <v>196664.1968485628</v>
      </c>
      <c r="DE610" s="55">
        <f>BI610</f>
        <v>205200.55985676713</v>
      </c>
      <c r="DF610" s="55">
        <f>BK610</f>
        <v>213357.85298999373</v>
      </c>
      <c r="DG610" s="55">
        <f>BM610</f>
        <v>222021.03738637798</v>
      </c>
      <c r="DH610" s="55">
        <f>BO610</f>
        <v>231035.98180862484</v>
      </c>
      <c r="DI610" s="55">
        <f>BQ610</f>
        <v>240416.96912434202</v>
      </c>
    </row>
    <row r="611" spans="1:113" outlineLevel="1">
      <c r="A611" s="1" t="s">
        <v>890</v>
      </c>
      <c r="B611" s="19" t="s">
        <v>623</v>
      </c>
      <c r="C611" s="164">
        <f>C613-644-C610</f>
        <v>100983.5</v>
      </c>
      <c r="D611" s="164">
        <f>D613-794-D610</f>
        <v>97604.5</v>
      </c>
      <c r="E611" s="164">
        <f>E613-1190-E610</f>
        <v>96940</v>
      </c>
      <c r="F611" s="164">
        <f>F613-1258-F610</f>
        <v>95740.5</v>
      </c>
      <c r="G611" s="164">
        <f>G613-1325-G610</f>
        <v>95381.5</v>
      </c>
      <c r="H611" s="164">
        <f>H613-2209-H610</f>
        <v>99148</v>
      </c>
      <c r="I611" s="164">
        <f>I613-2407-I610</f>
        <v>102186.5</v>
      </c>
      <c r="J611" s="164">
        <f>J613-2674-J610</f>
        <v>107675.5</v>
      </c>
      <c r="K611" s="164">
        <f>K613-2854-K610</f>
        <v>111366</v>
      </c>
      <c r="L611" s="164">
        <f>L613-3356-L610</f>
        <v>119641.5</v>
      </c>
      <c r="M611" s="164">
        <f>M613-3447-M610</f>
        <v>129430.5</v>
      </c>
      <c r="N611" s="164">
        <f>N613-3645-N610</f>
        <v>142563.5</v>
      </c>
      <c r="O611" s="164">
        <f>241224-O610</f>
        <v>144839</v>
      </c>
      <c r="P611" s="53">
        <f>181636-P610</f>
        <v>145954.96</v>
      </c>
      <c r="Q611" s="53">
        <f>187440-Q610</f>
        <v>148071</v>
      </c>
      <c r="R611" s="53">
        <f>221231-R610</f>
        <v>175684</v>
      </c>
      <c r="S611" s="53">
        <f>258453-S610</f>
        <v>183036</v>
      </c>
      <c r="T611" s="53">
        <f>258466-T610</f>
        <v>179026</v>
      </c>
      <c r="U611" s="53">
        <f>256763-U610</f>
        <v>178445</v>
      </c>
      <c r="V611" s="53">
        <f>244608-V610</f>
        <v>165591</v>
      </c>
      <c r="W611" s="53">
        <f>246742-W610</f>
        <v>167518</v>
      </c>
      <c r="X611" s="53">
        <f>258446-X610</f>
        <v>179942</v>
      </c>
      <c r="Y611" s="53">
        <f>261429-Y610</f>
        <v>181179</v>
      </c>
      <c r="Z611" s="53">
        <f>258467-Z610</f>
        <v>192573</v>
      </c>
      <c r="AA611" s="164">
        <f>279674-AA610</f>
        <v>210501</v>
      </c>
      <c r="AB611" s="164">
        <f>282204-AB610</f>
        <v>208225</v>
      </c>
      <c r="AC611" s="164">
        <f>289138-AC610</f>
        <v>213569</v>
      </c>
      <c r="AD611" s="164">
        <f>311524-AD610</f>
        <v>229545</v>
      </c>
      <c r="AE611" s="164">
        <f>319174-AE610</f>
        <v>235115</v>
      </c>
      <c r="AF611" s="164">
        <f>334957-AF610</f>
        <v>245572</v>
      </c>
      <c r="AG611" s="164">
        <f>344030-AG610</f>
        <v>250031</v>
      </c>
      <c r="AH611" s="164">
        <f>373526-AH610</f>
        <v>250279</v>
      </c>
      <c r="AI611" s="164">
        <f>377259-AI610</f>
        <v>234507</v>
      </c>
      <c r="AJ611" s="164">
        <f>366985-AJ610</f>
        <v>223000</v>
      </c>
      <c r="AK611" s="164">
        <f>369528-AK610</f>
        <v>222240</v>
      </c>
      <c r="AL611" s="164">
        <f>369356-AL610</f>
        <v>216292</v>
      </c>
      <c r="AM611" s="164">
        <f>372574-AM610</f>
        <v>214551</v>
      </c>
      <c r="AN611" s="164">
        <f>375217-AN610</f>
        <v>217560</v>
      </c>
      <c r="AO611" s="164">
        <f>374194-AO610</f>
        <v>215905</v>
      </c>
      <c r="AP611" s="164">
        <f>376900-AP610</f>
        <v>215397</v>
      </c>
      <c r="AQ611" s="164">
        <f>381550-AQ610</f>
        <v>212322</v>
      </c>
      <c r="AR611" s="164">
        <f>390687-AR610</f>
        <v>213519</v>
      </c>
      <c r="AS611" s="164">
        <f>393647-AS610</f>
        <v>212674</v>
      </c>
      <c r="AT611" s="164">
        <f>402017-AT610</f>
        <v>223595</v>
      </c>
      <c r="AU611" s="164">
        <f>362869-AU610</f>
        <v>208107</v>
      </c>
      <c r="AV611" s="164">
        <f>368735-AV610</f>
        <v>217954</v>
      </c>
      <c r="AW611" s="164">
        <f>370444-AW610</f>
        <v>218263</v>
      </c>
      <c r="AX611" s="164">
        <f>385117-AX610</f>
        <v>233047</v>
      </c>
      <c r="AY611" s="164">
        <f>398928-AY610</f>
        <v>242353</v>
      </c>
      <c r="AZ611" s="171">
        <f>409119-AZ610</f>
        <v>246681</v>
      </c>
      <c r="BA611" s="55">
        <f t="shared" ref="BA611:BE611" si="4263">BA146*(BA177+BA179)</f>
        <v>253121.01656647713</v>
      </c>
      <c r="BB611" s="55">
        <f t="shared" si="4263"/>
        <v>255369.41024759374</v>
      </c>
      <c r="BC611" s="55">
        <f t="shared" si="4263"/>
        <v>256441.13526441844</v>
      </c>
      <c r="BD611" s="55">
        <f t="shared" si="4263"/>
        <v>258920.48451828567</v>
      </c>
      <c r="BE611" s="55">
        <f t="shared" si="4263"/>
        <v>261220.03373243584</v>
      </c>
      <c r="BF611" s="55">
        <f t="shared" ref="BF611:BM611" si="4264">BF146*(BF177+BF179)</f>
        <v>265397.99245290487</v>
      </c>
      <c r="BG611" s="55">
        <f t="shared" si="4264"/>
        <v>269563.44910392858</v>
      </c>
      <c r="BH611" s="55">
        <f t="shared" si="4264"/>
        <v>273849.91677689366</v>
      </c>
      <c r="BI611" s="55">
        <f t="shared" si="4264"/>
        <v>278256.30824168795</v>
      </c>
      <c r="BJ611" s="55">
        <f t="shared" si="4264"/>
        <v>282781.91186938382</v>
      </c>
      <c r="BK611" s="55">
        <f t="shared" si="4264"/>
        <v>288042.91781107622</v>
      </c>
      <c r="BL611" s="55">
        <f t="shared" si="4264"/>
        <v>293404.81522879895</v>
      </c>
      <c r="BM611" s="55">
        <f t="shared" si="4264"/>
        <v>298869.57499377127</v>
      </c>
      <c r="BN611" s="55">
        <f t="shared" ref="BN611:BO611" si="4265">BN146*(BN177+BN179)</f>
        <v>304439.20690268179</v>
      </c>
      <c r="BO611" s="55">
        <f t="shared" si="4265"/>
        <v>310115.76045150787</v>
      </c>
      <c r="BP611" s="55">
        <f t="shared" ref="BP611:BQ611" si="4266">BP146*(BP177+BP179)</f>
        <v>315901.32562477578</v>
      </c>
      <c r="BQ611" s="55">
        <f t="shared" si="4266"/>
        <v>321798.03370057547</v>
      </c>
      <c r="BR611" s="55"/>
      <c r="BS611" s="164">
        <f>60537.8-BS610</f>
        <v>48767</v>
      </c>
      <c r="BT611" s="164">
        <f>58958.1-BT610</f>
        <v>46031.7</v>
      </c>
      <c r="BU611" s="164">
        <f>58514.1-BU610</f>
        <v>43681.2</v>
      </c>
      <c r="BV611" s="164">
        <f>62741-BV610</f>
        <v>46182</v>
      </c>
      <c r="BW611" s="164">
        <f>69451-BW610</f>
        <v>51983</v>
      </c>
      <c r="BX611" s="164">
        <f>76747-BX610</f>
        <v>57037</v>
      </c>
      <c r="BY611" s="164">
        <f>82091-BY610</f>
        <v>59012</v>
      </c>
      <c r="BZ611" s="164">
        <f>85559-BZ610</f>
        <v>56820</v>
      </c>
      <c r="CA611" s="164">
        <f>111685-CA610</f>
        <v>73857</v>
      </c>
      <c r="CB611" s="164">
        <f>118167-CB610</f>
        <v>79213</v>
      </c>
      <c r="CC611" s="55">
        <f>E611</f>
        <v>96940</v>
      </c>
      <c r="CD611" s="55">
        <f>G611</f>
        <v>95381.5</v>
      </c>
      <c r="CE611" s="55">
        <f>I611</f>
        <v>102186.5</v>
      </c>
      <c r="CF611" s="55">
        <f>K611</f>
        <v>111366</v>
      </c>
      <c r="CG611" s="55">
        <f>M611</f>
        <v>129430.5</v>
      </c>
      <c r="CH611" s="55">
        <f>O611</f>
        <v>144839</v>
      </c>
      <c r="CI611" s="55">
        <f>Q611</f>
        <v>148071</v>
      </c>
      <c r="CJ611" s="55">
        <f>S611</f>
        <v>183036</v>
      </c>
      <c r="CK611" s="55">
        <f>U611</f>
        <v>178445</v>
      </c>
      <c r="CL611" s="55">
        <f>W611</f>
        <v>167518</v>
      </c>
      <c r="CM611" s="55">
        <f>Y611</f>
        <v>181179</v>
      </c>
      <c r="CN611" s="55">
        <f>AA611</f>
        <v>210501</v>
      </c>
      <c r="CO611" s="55">
        <f>AC611</f>
        <v>213569</v>
      </c>
      <c r="CP611" s="55">
        <f>AE611</f>
        <v>235115</v>
      </c>
      <c r="CQ611" s="55">
        <f>AG611</f>
        <v>250031</v>
      </c>
      <c r="CR611" s="55">
        <f>AI611</f>
        <v>234507</v>
      </c>
      <c r="CS611" s="55">
        <f>AK611</f>
        <v>222240</v>
      </c>
      <c r="CT611" s="55">
        <f>AM611</f>
        <v>214551</v>
      </c>
      <c r="CU611" s="55">
        <f>AO611</f>
        <v>215905</v>
      </c>
      <c r="CV611" s="55">
        <f>AQ611</f>
        <v>212322</v>
      </c>
      <c r="CW611" s="55">
        <f>AS611</f>
        <v>212674</v>
      </c>
      <c r="CX611" s="55">
        <f>AU611</f>
        <v>208107</v>
      </c>
      <c r="CY611" s="55">
        <f>AW611</f>
        <v>218263</v>
      </c>
      <c r="CZ611" s="56">
        <f>AY611</f>
        <v>242353</v>
      </c>
      <c r="DA611" s="55">
        <f>BA611</f>
        <v>253121.01656647713</v>
      </c>
      <c r="DB611" s="55">
        <f>BC611</f>
        <v>256441.13526441844</v>
      </c>
      <c r="DC611" s="55">
        <f>BE611</f>
        <v>261220.03373243584</v>
      </c>
      <c r="DD611" s="55">
        <f>BG611</f>
        <v>269563.44910392858</v>
      </c>
      <c r="DE611" s="55">
        <f>BI611</f>
        <v>278256.30824168795</v>
      </c>
      <c r="DF611" s="55">
        <f>BK611</f>
        <v>288042.91781107622</v>
      </c>
      <c r="DG611" s="55">
        <f>BM611</f>
        <v>298869.57499377127</v>
      </c>
      <c r="DH611" s="55">
        <f>BO611</f>
        <v>310115.76045150787</v>
      </c>
      <c r="DI611" s="55">
        <f>BQ611</f>
        <v>321798.03370057547</v>
      </c>
    </row>
    <row r="612" spans="1:113" outlineLevel="1">
      <c r="A612" s="1" t="s">
        <v>891</v>
      </c>
      <c r="B612" s="19" t="s">
        <v>412</v>
      </c>
      <c r="C612" s="55">
        <f t="shared" ref="C612:K612" si="4267">C613-SUM(C610:C611)</f>
        <v>644</v>
      </c>
      <c r="D612" s="55">
        <f t="shared" si="4267"/>
        <v>794</v>
      </c>
      <c r="E612" s="55">
        <f t="shared" si="4267"/>
        <v>1190</v>
      </c>
      <c r="F612" s="55">
        <f t="shared" si="4267"/>
        <v>1258</v>
      </c>
      <c r="G612" s="55">
        <f t="shared" si="4267"/>
        <v>1325</v>
      </c>
      <c r="H612" s="55">
        <f t="shared" si="4267"/>
        <v>2209</v>
      </c>
      <c r="I612" s="55">
        <f t="shared" si="4267"/>
        <v>2407</v>
      </c>
      <c r="J612" s="55">
        <f t="shared" si="4267"/>
        <v>2674</v>
      </c>
      <c r="K612" s="55">
        <f t="shared" si="4267"/>
        <v>2854</v>
      </c>
      <c r="L612" s="55">
        <f>L613-SUM(L610:L611)</f>
        <v>3356</v>
      </c>
      <c r="M612" s="55">
        <f>M613-SUM(M610:M611)</f>
        <v>3447</v>
      </c>
      <c r="N612" s="55">
        <f>N613-SUM(N610:N611)</f>
        <v>3645</v>
      </c>
      <c r="O612" s="55">
        <f>O613-SUM(O610:O611)</f>
        <v>4123</v>
      </c>
      <c r="P612" s="55">
        <f>P613-SUM(P610:P611)</f>
        <v>16592</v>
      </c>
      <c r="Q612" s="55">
        <f t="shared" ref="Q612:X612" si="4268">Q613-SUM(Q610:Q611)</f>
        <v>18061</v>
      </c>
      <c r="R612" s="55">
        <f t="shared" si="4268"/>
        <v>18058</v>
      </c>
      <c r="S612" s="55">
        <f t="shared" si="4268"/>
        <v>30383</v>
      </c>
      <c r="T612" s="55">
        <f t="shared" si="4268"/>
        <v>38983</v>
      </c>
      <c r="U612" s="55">
        <f t="shared" si="4268"/>
        <v>34058</v>
      </c>
      <c r="V612" s="55">
        <f t="shared" si="4268"/>
        <v>40955</v>
      </c>
      <c r="W612" s="55">
        <f t="shared" si="4268"/>
        <v>34969</v>
      </c>
      <c r="X612" s="55">
        <f t="shared" si="4268"/>
        <v>39259</v>
      </c>
      <c r="Y612" s="55">
        <f t="shared" ref="Y612:AK612" si="4269">Y613-SUM(Y610:Y611)</f>
        <v>41358</v>
      </c>
      <c r="Z612" s="55">
        <f t="shared" si="4269"/>
        <v>43144</v>
      </c>
      <c r="AA612" s="55">
        <f t="shared" si="4269"/>
        <v>49484</v>
      </c>
      <c r="AB612" s="55">
        <f t="shared" si="4269"/>
        <v>51993</v>
      </c>
      <c r="AC612" s="55">
        <f t="shared" si="4269"/>
        <v>48577</v>
      </c>
      <c r="AD612" s="55">
        <f t="shared" si="4269"/>
        <v>41524</v>
      </c>
      <c r="AE612" s="55">
        <f t="shared" si="4269"/>
        <v>49547</v>
      </c>
      <c r="AF612" s="55">
        <f t="shared" si="4269"/>
        <v>57705</v>
      </c>
      <c r="AG612" s="55">
        <f t="shared" si="4269"/>
        <v>50637</v>
      </c>
      <c r="AH612" s="55">
        <f t="shared" si="4269"/>
        <v>62955</v>
      </c>
      <c r="AI612" s="55">
        <f t="shared" si="4269"/>
        <v>59804</v>
      </c>
      <c r="AJ612" s="55">
        <f t="shared" si="4269"/>
        <v>73851</v>
      </c>
      <c r="AK612" s="55">
        <f t="shared" si="4269"/>
        <v>89084</v>
      </c>
      <c r="AL612" s="55">
        <f t="shared" ref="AL612:AQ612" si="4270">AL613-SUM(AL610:AL611)</f>
        <v>75788</v>
      </c>
      <c r="AM612" s="55">
        <f t="shared" si="4270"/>
        <v>80188</v>
      </c>
      <c r="AN612" s="55">
        <f t="shared" si="4270"/>
        <v>73937</v>
      </c>
      <c r="AO612" s="55">
        <f t="shared" si="4270"/>
        <v>80754</v>
      </c>
      <c r="AP612" s="55">
        <f t="shared" si="4270"/>
        <v>76716</v>
      </c>
      <c r="AQ612" s="55">
        <f t="shared" si="4270"/>
        <v>69130</v>
      </c>
      <c r="AR612" s="55">
        <f t="shared" ref="AR612" si="4271">AR613-SUM(AR610:AR611)</f>
        <v>81240</v>
      </c>
      <c r="AS612" s="55">
        <f t="shared" ref="AS612:AT612" si="4272">AS613-SUM(AS610:AS611)</f>
        <v>104245</v>
      </c>
      <c r="AT612" s="55">
        <f t="shared" si="4272"/>
        <v>102363</v>
      </c>
      <c r="AU612" s="55">
        <f t="shared" ref="AU612:AV612" si="4273">AU613-SUM(AU610:AU611)</f>
        <v>105123</v>
      </c>
      <c r="AV612" s="55">
        <f t="shared" si="4273"/>
        <v>94909</v>
      </c>
      <c r="AW612" s="55">
        <f t="shared" ref="AW612:AX612" si="4274">AW613-SUM(AW610:AW611)</f>
        <v>97107</v>
      </c>
      <c r="AX612" s="55">
        <f t="shared" si="4274"/>
        <v>97252</v>
      </c>
      <c r="AY612" s="55">
        <f t="shared" ref="AY612:AZ612" si="4275">AY613-SUM(AY610:AY611)</f>
        <v>97217</v>
      </c>
      <c r="AZ612" s="56">
        <f t="shared" si="4275"/>
        <v>96191</v>
      </c>
      <c r="BA612" s="55">
        <f>AZ612*1.003</f>
        <v>96479.572999999989</v>
      </c>
      <c r="BB612" s="55">
        <f>BA612*0.986</f>
        <v>95128.858977999989</v>
      </c>
      <c r="BC612" s="55">
        <f>BB612*0.987</f>
        <v>93892.183811285984</v>
      </c>
      <c r="BD612" s="55">
        <f t="shared" ref="BD612:BG612" si="4276">BC612*0.987</f>
        <v>92671.585421739263</v>
      </c>
      <c r="BE612" s="55">
        <f t="shared" si="4276"/>
        <v>91466.85481125665</v>
      </c>
      <c r="BF612" s="55">
        <f t="shared" si="4276"/>
        <v>90277.785698710315</v>
      </c>
      <c r="BG612" s="55">
        <f t="shared" si="4276"/>
        <v>89104.174484627074</v>
      </c>
      <c r="BH612" s="55">
        <f>BG612*0.9905</f>
        <v>88257.684827023128</v>
      </c>
      <c r="BI612" s="55">
        <f>BH612*0.9905</f>
        <v>87419.236821166414</v>
      </c>
      <c r="BJ612" s="55">
        <f t="shared" ref="BJ612:BQ612" si="4277">BI612*1.01</f>
        <v>88293.429189378076</v>
      </c>
      <c r="BK612" s="55">
        <f t="shared" si="4277"/>
        <v>89176.363481271852</v>
      </c>
      <c r="BL612" s="55">
        <f t="shared" si="4277"/>
        <v>90068.127116084564</v>
      </c>
      <c r="BM612" s="55">
        <f t="shared" si="4277"/>
        <v>90968.808387245415</v>
      </c>
      <c r="BN612" s="55">
        <f t="shared" si="4277"/>
        <v>91878.496471117876</v>
      </c>
      <c r="BO612" s="55">
        <f t="shared" si="4277"/>
        <v>92797.281435829049</v>
      </c>
      <c r="BP612" s="55">
        <f t="shared" si="4277"/>
        <v>93725.254250187339</v>
      </c>
      <c r="BQ612" s="55">
        <f t="shared" si="4277"/>
        <v>94662.506792689208</v>
      </c>
      <c r="BR612" s="55"/>
      <c r="BS612" s="55">
        <f t="shared" ref="BS612:CA612" si="4278">BS613-BS610-BS611</f>
        <v>12299.099999999991</v>
      </c>
      <c r="BT612" s="55">
        <f t="shared" si="4278"/>
        <v>8789.7000000000044</v>
      </c>
      <c r="BU612" s="55">
        <f t="shared" si="4278"/>
        <v>8423.9000000000015</v>
      </c>
      <c r="BV612" s="55">
        <f t="shared" si="4278"/>
        <v>7642</v>
      </c>
      <c r="BW612" s="55">
        <f t="shared" si="4278"/>
        <v>7795</v>
      </c>
      <c r="BX612" s="55">
        <f t="shared" si="4278"/>
        <v>9721</v>
      </c>
      <c r="BY612" s="55">
        <f t="shared" si="4278"/>
        <v>12340</v>
      </c>
      <c r="BZ612" s="55">
        <f t="shared" si="4278"/>
        <v>13997</v>
      </c>
      <c r="CA612" s="55">
        <f t="shared" si="4278"/>
        <v>16799</v>
      </c>
      <c r="CB612" s="55">
        <f>CB613-CB610-CB611</f>
        <v>20216</v>
      </c>
      <c r="CC612" s="55">
        <f>E612</f>
        <v>1190</v>
      </c>
      <c r="CD612" s="55">
        <f>G612</f>
        <v>1325</v>
      </c>
      <c r="CE612" s="55">
        <f>I612</f>
        <v>2407</v>
      </c>
      <c r="CF612" s="55">
        <f>K612</f>
        <v>2854</v>
      </c>
      <c r="CG612" s="55">
        <f>M612</f>
        <v>3447</v>
      </c>
      <c r="CH612" s="55">
        <f>O612</f>
        <v>4123</v>
      </c>
      <c r="CI612" s="55">
        <f>Q612</f>
        <v>18061</v>
      </c>
      <c r="CJ612" s="55">
        <f>S612</f>
        <v>30383</v>
      </c>
      <c r="CK612" s="55">
        <f>U612</f>
        <v>34058</v>
      </c>
      <c r="CL612" s="55">
        <f>W612</f>
        <v>34969</v>
      </c>
      <c r="CM612" s="55">
        <f>Y612</f>
        <v>41358</v>
      </c>
      <c r="CN612" s="55">
        <f>AA612</f>
        <v>49484</v>
      </c>
      <c r="CO612" s="55">
        <f>AC612</f>
        <v>48577</v>
      </c>
      <c r="CP612" s="55">
        <f>AE612</f>
        <v>49547</v>
      </c>
      <c r="CQ612" s="55">
        <f>AG612</f>
        <v>50637</v>
      </c>
      <c r="CR612" s="55">
        <f>AI612</f>
        <v>59804</v>
      </c>
      <c r="CS612" s="55">
        <f>AK612</f>
        <v>89084</v>
      </c>
      <c r="CT612" s="55">
        <f>AM612</f>
        <v>80188</v>
      </c>
      <c r="CU612" s="55">
        <f>AO612</f>
        <v>80754</v>
      </c>
      <c r="CV612" s="55">
        <f>AQ612</f>
        <v>69130</v>
      </c>
      <c r="CW612" s="55">
        <f>AS612</f>
        <v>104245</v>
      </c>
      <c r="CX612" s="55">
        <f>AU612</f>
        <v>105123</v>
      </c>
      <c r="CY612" s="55">
        <f>AW612</f>
        <v>97107</v>
      </c>
      <c r="CZ612" s="56">
        <f>AY612</f>
        <v>97217</v>
      </c>
      <c r="DA612" s="55">
        <f>BA612</f>
        <v>96479.572999999989</v>
      </c>
      <c r="DB612" s="55">
        <f>BC612</f>
        <v>93892.183811285984</v>
      </c>
      <c r="DC612" s="55">
        <f>BE612</f>
        <v>91466.85481125665</v>
      </c>
      <c r="DD612" s="55">
        <f>BG612</f>
        <v>89104.174484627074</v>
      </c>
      <c r="DE612" s="55">
        <f>BI612</f>
        <v>87419.236821166414</v>
      </c>
      <c r="DF612" s="55">
        <f>BK612</f>
        <v>89176.363481271852</v>
      </c>
      <c r="DG612" s="55">
        <f>BM612</f>
        <v>90968.808387245415</v>
      </c>
      <c r="DH612" s="55">
        <f>BO612</f>
        <v>92797.281435829049</v>
      </c>
      <c r="DI612" s="55">
        <f>BQ612</f>
        <v>94662.506792689208</v>
      </c>
    </row>
    <row r="613" spans="1:113" s="24" customFormat="1" outlineLevel="1">
      <c r="A613" s="1" t="s">
        <v>892</v>
      </c>
      <c r="B613" s="24" t="s">
        <v>168</v>
      </c>
      <c r="C613" s="81">
        <v>138383</v>
      </c>
      <c r="D613" s="81">
        <v>138271</v>
      </c>
      <c r="E613" s="81">
        <v>141049</v>
      </c>
      <c r="F613" s="81">
        <v>143771</v>
      </c>
      <c r="G613" s="81">
        <v>146808</v>
      </c>
      <c r="H613" s="81">
        <v>157471</v>
      </c>
      <c r="I613" s="81">
        <v>169321</v>
      </c>
      <c r="J613" s="81">
        <v>180674</v>
      </c>
      <c r="K613" s="81">
        <v>189559</v>
      </c>
      <c r="L613" s="81">
        <v>202667</v>
      </c>
      <c r="M613" s="81">
        <v>216438</v>
      </c>
      <c r="N613" s="81">
        <v>234569</v>
      </c>
      <c r="O613" s="81">
        <v>245347</v>
      </c>
      <c r="P613" s="81">
        <v>198228</v>
      </c>
      <c r="Q613" s="81">
        <v>205501</v>
      </c>
      <c r="R613" s="81">
        <v>239289</v>
      </c>
      <c r="S613" s="81">
        <v>288836</v>
      </c>
      <c r="T613" s="81">
        <v>297449</v>
      </c>
      <c r="U613" s="81">
        <v>290821</v>
      </c>
      <c r="V613" s="81">
        <v>285563</v>
      </c>
      <c r="W613" s="81">
        <v>281711</v>
      </c>
      <c r="X613" s="81">
        <v>297705</v>
      </c>
      <c r="Y613" s="81">
        <v>302787</v>
      </c>
      <c r="Z613" s="81">
        <v>301611</v>
      </c>
      <c r="AA613" s="166">
        <v>329158</v>
      </c>
      <c r="AB613" s="166">
        <v>334197</v>
      </c>
      <c r="AC613" s="166">
        <v>337715</v>
      </c>
      <c r="AD613" s="166">
        <v>353048</v>
      </c>
      <c r="AE613" s="166">
        <v>368721</v>
      </c>
      <c r="AF613" s="166">
        <v>392662</v>
      </c>
      <c r="AG613" s="166">
        <v>394667</v>
      </c>
      <c r="AH613" s="166">
        <v>436481</v>
      </c>
      <c r="AI613" s="166">
        <v>437063</v>
      </c>
      <c r="AJ613" s="166">
        <v>440836</v>
      </c>
      <c r="AK613" s="166">
        <v>458612</v>
      </c>
      <c r="AL613" s="166">
        <v>445144</v>
      </c>
      <c r="AM613" s="166">
        <v>452762</v>
      </c>
      <c r="AN613" s="166">
        <v>449154</v>
      </c>
      <c r="AO613" s="166">
        <v>454948</v>
      </c>
      <c r="AP613" s="166">
        <v>453616</v>
      </c>
      <c r="AQ613" s="166">
        <v>450680</v>
      </c>
      <c r="AR613" s="166">
        <v>471927</v>
      </c>
      <c r="AS613" s="166">
        <v>497892</v>
      </c>
      <c r="AT613" s="166">
        <v>504380</v>
      </c>
      <c r="AU613" s="166">
        <v>467992</v>
      </c>
      <c r="AV613" s="166">
        <v>463644</v>
      </c>
      <c r="AW613" s="166">
        <v>467551</v>
      </c>
      <c r="AX613" s="166">
        <v>482369</v>
      </c>
      <c r="AY613" s="166">
        <v>496145</v>
      </c>
      <c r="AZ613" s="167">
        <v>505310</v>
      </c>
      <c r="BA613" s="82">
        <f t="shared" ref="BA613:BE613" si="4279">SUM(BA610:BA612)</f>
        <v>518234.12151094631</v>
      </c>
      <c r="BB613" s="82">
        <f t="shared" si="4279"/>
        <v>523019.04880899587</v>
      </c>
      <c r="BC613" s="82">
        <f t="shared" si="4279"/>
        <v>527565.19719904941</v>
      </c>
      <c r="BD613" s="82">
        <f t="shared" si="4279"/>
        <v>533740.5014964944</v>
      </c>
      <c r="BE613" s="82">
        <f t="shared" si="4279"/>
        <v>539746.22347784275</v>
      </c>
      <c r="BF613" s="82">
        <f t="shared" ref="BF613:BM613" si="4280">SUM(BF610:BF612)</f>
        <v>547794.07887515996</v>
      </c>
      <c r="BG613" s="82">
        <f t="shared" si="4280"/>
        <v>555331.82043711841</v>
      </c>
      <c r="BH613" s="82">
        <f t="shared" si="4280"/>
        <v>563439.86912961397</v>
      </c>
      <c r="BI613" s="82">
        <f t="shared" si="4280"/>
        <v>570876.10491962149</v>
      </c>
      <c r="BJ613" s="82">
        <f t="shared" si="4280"/>
        <v>580229.20145479531</v>
      </c>
      <c r="BK613" s="82">
        <f t="shared" si="4280"/>
        <v>590577.13428234181</v>
      </c>
      <c r="BL613" s="82">
        <f t="shared" si="4280"/>
        <v>601119.28817997617</v>
      </c>
      <c r="BM613" s="82">
        <f t="shared" si="4280"/>
        <v>611859.42076739471</v>
      </c>
      <c r="BN613" s="82">
        <f t="shared" ref="BN613:BO613" si="4281">SUM(BN610:BN612)</f>
        <v>622801.36361164378</v>
      </c>
      <c r="BO613" s="82">
        <f t="shared" si="4281"/>
        <v>633949.02369596169</v>
      </c>
      <c r="BP613" s="82">
        <f t="shared" ref="BP613:BQ613" si="4282">SUM(BP610:BP612)</f>
        <v>645306.38491794129</v>
      </c>
      <c r="BQ613" s="82">
        <f t="shared" si="4282"/>
        <v>656877.50961760664</v>
      </c>
      <c r="BR613" s="82"/>
      <c r="BS613" s="81">
        <v>72836.899999999994</v>
      </c>
      <c r="BT613" s="81">
        <v>67747.8</v>
      </c>
      <c r="BU613" s="81">
        <v>66938</v>
      </c>
      <c r="BV613" s="81">
        <v>70383</v>
      </c>
      <c r="BW613" s="81">
        <v>77246</v>
      </c>
      <c r="BX613" s="81">
        <v>86468</v>
      </c>
      <c r="BY613" s="81">
        <v>94431</v>
      </c>
      <c r="BZ613" s="81">
        <v>99556</v>
      </c>
      <c r="CA613" s="81">
        <v>128484</v>
      </c>
      <c r="CB613" s="81">
        <v>138383</v>
      </c>
      <c r="CC613" s="82">
        <f t="shared" ref="CC613:CP613" si="4283">SUM(CC610:CC612)</f>
        <v>141049</v>
      </c>
      <c r="CD613" s="82">
        <f t="shared" si="4283"/>
        <v>146808</v>
      </c>
      <c r="CE613" s="82">
        <f t="shared" si="4283"/>
        <v>169321</v>
      </c>
      <c r="CF613" s="82">
        <f t="shared" si="4283"/>
        <v>189559</v>
      </c>
      <c r="CG613" s="82">
        <f t="shared" si="4283"/>
        <v>216438</v>
      </c>
      <c r="CH613" s="82">
        <f t="shared" si="4283"/>
        <v>245347</v>
      </c>
      <c r="CI613" s="82">
        <f t="shared" si="4283"/>
        <v>205501</v>
      </c>
      <c r="CJ613" s="82">
        <f t="shared" si="4283"/>
        <v>288836</v>
      </c>
      <c r="CK613" s="82">
        <f t="shared" si="4283"/>
        <v>290821</v>
      </c>
      <c r="CL613" s="82">
        <f t="shared" si="4283"/>
        <v>281711</v>
      </c>
      <c r="CM613" s="82">
        <f t="shared" si="4283"/>
        <v>302787</v>
      </c>
      <c r="CN613" s="82">
        <f t="shared" si="4283"/>
        <v>329158</v>
      </c>
      <c r="CO613" s="82">
        <f t="shared" si="4283"/>
        <v>337715</v>
      </c>
      <c r="CP613" s="82">
        <f t="shared" si="4283"/>
        <v>368721</v>
      </c>
      <c r="CQ613" s="82">
        <f t="shared" ref="CQ613:CX613" si="4284">SUM(CQ610:CQ612)</f>
        <v>394667</v>
      </c>
      <c r="CR613" s="82">
        <f t="shared" si="4284"/>
        <v>437063</v>
      </c>
      <c r="CS613" s="82">
        <f t="shared" si="4284"/>
        <v>458612</v>
      </c>
      <c r="CT613" s="82">
        <f t="shared" si="4284"/>
        <v>452762</v>
      </c>
      <c r="CU613" s="82">
        <f t="shared" si="4284"/>
        <v>454948</v>
      </c>
      <c r="CV613" s="82">
        <f t="shared" si="4284"/>
        <v>450680</v>
      </c>
      <c r="CW613" s="82">
        <f t="shared" si="4284"/>
        <v>497892</v>
      </c>
      <c r="CX613" s="82">
        <f t="shared" si="4284"/>
        <v>467992</v>
      </c>
      <c r="CY613" s="82">
        <f t="shared" ref="CY613:DD613" si="4285">SUM(CY610:CY612)</f>
        <v>467551</v>
      </c>
      <c r="CZ613" s="83">
        <f t="shared" si="4285"/>
        <v>496145</v>
      </c>
      <c r="DA613" s="82">
        <f t="shared" si="4285"/>
        <v>518234.12151094631</v>
      </c>
      <c r="DB613" s="82">
        <f t="shared" si="4285"/>
        <v>527565.19719904941</v>
      </c>
      <c r="DC613" s="82">
        <f t="shared" si="4285"/>
        <v>539746.22347784275</v>
      </c>
      <c r="DD613" s="82">
        <f t="shared" si="4285"/>
        <v>555331.82043711841</v>
      </c>
      <c r="DE613" s="82">
        <f>SUM(DE610:DE612)</f>
        <v>570876.10491962149</v>
      </c>
      <c r="DF613" s="82">
        <f>SUM(DF610:DF612)</f>
        <v>590577.13428234181</v>
      </c>
      <c r="DG613" s="82">
        <f>SUM(DG610:DG612)</f>
        <v>611859.42076739471</v>
      </c>
      <c r="DH613" s="82">
        <f>SUM(DH610:DH612)</f>
        <v>633949.02369596169</v>
      </c>
      <c r="DI613" s="82">
        <f>SUM(DI610:DI612)</f>
        <v>656877.50961760664</v>
      </c>
    </row>
    <row r="614" spans="1:113" s="24" customFormat="1" outlineLevel="1">
      <c r="A614" s="1" t="s">
        <v>2408</v>
      </c>
      <c r="B614" s="19" t="s">
        <v>2409</v>
      </c>
      <c r="C614" s="81"/>
      <c r="D614" s="81"/>
      <c r="E614" s="81"/>
      <c r="F614" s="81"/>
      <c r="G614" s="81"/>
      <c r="H614" s="81"/>
      <c r="I614" s="81"/>
      <c r="J614" s="81"/>
      <c r="K614" s="81"/>
      <c r="L614" s="81"/>
      <c r="M614" s="81"/>
      <c r="N614" s="81"/>
      <c r="O614" s="81"/>
      <c r="P614" s="81"/>
      <c r="Q614" s="81"/>
      <c r="R614" s="81"/>
      <c r="S614" s="81"/>
      <c r="T614" s="81"/>
      <c r="U614" s="81"/>
      <c r="V614" s="81"/>
      <c r="W614" s="81"/>
      <c r="X614" s="81"/>
      <c r="Y614" s="81"/>
      <c r="Z614" s="166"/>
      <c r="AA614" s="164">
        <f>-16289</f>
        <v>-16289</v>
      </c>
      <c r="AB614" s="164">
        <v>-17543</v>
      </c>
      <c r="AC614" s="164">
        <v>-14762</v>
      </c>
      <c r="AD614" s="164">
        <v>-4846</v>
      </c>
      <c r="AE614" s="164">
        <v>-10847</v>
      </c>
      <c r="AF614" s="164">
        <v>-17511</v>
      </c>
      <c r="AG614" s="164">
        <v>-7448</v>
      </c>
      <c r="AH614" s="164">
        <v>-23498</v>
      </c>
      <c r="AI614" s="164">
        <v>-21404</v>
      </c>
      <c r="AJ614" s="164">
        <v>-27944</v>
      </c>
      <c r="AK614" s="164">
        <v>-24381</v>
      </c>
      <c r="AL614" s="164">
        <v>-13872</v>
      </c>
      <c r="AM614" s="164">
        <v>-9898</v>
      </c>
      <c r="AN614" s="164">
        <v>-8998</v>
      </c>
      <c r="AO614" s="164">
        <v>-11085</v>
      </c>
      <c r="AP614" s="164">
        <v>-15561</v>
      </c>
      <c r="AQ614" s="164">
        <v>-14619</v>
      </c>
      <c r="AR614" s="164">
        <v>-24356</v>
      </c>
      <c r="AS614" s="164">
        <v>-47640</v>
      </c>
      <c r="AT614" s="164">
        <v>-47850</v>
      </c>
      <c r="AU614" s="164">
        <v>-46578</v>
      </c>
      <c r="AV614" s="164">
        <v>-40307</v>
      </c>
      <c r="AW614" s="164">
        <v>-43644</v>
      </c>
      <c r="AX614" s="164">
        <v>-41679</v>
      </c>
      <c r="AY614" s="164">
        <f>-39841</f>
        <v>-39841</v>
      </c>
      <c r="AZ614" s="171">
        <v>-35179</v>
      </c>
      <c r="BA614" s="55">
        <f t="shared" ref="BA614:BE614" si="4286">AZ614*(BA612/AZ612)</f>
        <v>-35284.536999999997</v>
      </c>
      <c r="BB614" s="55">
        <f t="shared" si="4286"/>
        <v>-34790.553481999996</v>
      </c>
      <c r="BC614" s="55">
        <f t="shared" si="4286"/>
        <v>-34338.276286733999</v>
      </c>
      <c r="BD614" s="55">
        <f t="shared" si="4286"/>
        <v>-33891.878695006453</v>
      </c>
      <c r="BE614" s="55">
        <f t="shared" si="4286"/>
        <v>-33451.284271971366</v>
      </c>
      <c r="BF614" s="55">
        <f t="shared" ref="BF614:BM614" si="4287">BE614*(BF612/BE612)</f>
        <v>-33016.417576435735</v>
      </c>
      <c r="BG614" s="55">
        <f t="shared" si="4287"/>
        <v>-32587.204147942066</v>
      </c>
      <c r="BH614" s="55">
        <f t="shared" si="4287"/>
        <v>-32277.62570853662</v>
      </c>
      <c r="BI614" s="55">
        <f t="shared" si="4287"/>
        <v>-31970.988264305524</v>
      </c>
      <c r="BJ614" s="55">
        <f t="shared" si="4287"/>
        <v>-32290.69814694858</v>
      </c>
      <c r="BK614" s="55">
        <f t="shared" si="4287"/>
        <v>-32613.605128418065</v>
      </c>
      <c r="BL614" s="55">
        <f t="shared" si="4287"/>
        <v>-32939.741179702243</v>
      </c>
      <c r="BM614" s="55">
        <f t="shared" si="4287"/>
        <v>-33269.138591499264</v>
      </c>
      <c r="BN614" s="55">
        <f t="shared" ref="BN614" si="4288">BM614*(BN612/BM612)</f>
        <v>-33601.829977414258</v>
      </c>
      <c r="BO614" s="55">
        <f t="shared" ref="BO614" si="4289">BN614*(BO612/BN612)</f>
        <v>-33937.848277188401</v>
      </c>
      <c r="BP614" s="55">
        <f t="shared" ref="BP614" si="4290">BO614*(BP612/BO612)</f>
        <v>-34277.226759960286</v>
      </c>
      <c r="BQ614" s="55">
        <f t="shared" ref="BQ614" si="4291">BP614*(BQ612/BP612)</f>
        <v>-34619.99902755989</v>
      </c>
      <c r="BR614" s="82"/>
      <c r="BS614" s="81"/>
      <c r="BT614" s="81"/>
      <c r="BU614" s="81"/>
      <c r="BV614" s="81"/>
      <c r="BW614" s="81"/>
      <c r="BX614" s="81"/>
      <c r="BY614" s="81"/>
      <c r="BZ614" s="81"/>
      <c r="CA614" s="81"/>
      <c r="CB614" s="81"/>
      <c r="CC614" s="82"/>
      <c r="CD614" s="82"/>
      <c r="CE614" s="82"/>
      <c r="CF614" s="82"/>
      <c r="CG614" s="82"/>
      <c r="CH614" s="82"/>
      <c r="CI614" s="82"/>
      <c r="CJ614" s="82"/>
      <c r="CK614" s="82"/>
      <c r="CL614" s="82"/>
      <c r="CM614" s="82"/>
      <c r="CN614" s="55">
        <f>AA614</f>
        <v>-16289</v>
      </c>
      <c r="CO614" s="55">
        <f>AC614</f>
        <v>-14762</v>
      </c>
      <c r="CP614" s="55">
        <f>AE614</f>
        <v>-10847</v>
      </c>
      <c r="CQ614" s="55">
        <f>AG614</f>
        <v>-7448</v>
      </c>
      <c r="CR614" s="55">
        <f>AI614</f>
        <v>-21404</v>
      </c>
      <c r="CS614" s="55">
        <f>AK614</f>
        <v>-24381</v>
      </c>
      <c r="CT614" s="55">
        <f>AM614</f>
        <v>-9898</v>
      </c>
      <c r="CU614" s="55">
        <f>AO614</f>
        <v>-11085</v>
      </c>
      <c r="CV614" s="55">
        <f>AQ614</f>
        <v>-14619</v>
      </c>
      <c r="CW614" s="55">
        <f>AS614</f>
        <v>-47640</v>
      </c>
      <c r="CX614" s="55">
        <f>AU614</f>
        <v>-46578</v>
      </c>
      <c r="CY614" s="55">
        <f>AW614</f>
        <v>-43644</v>
      </c>
      <c r="CZ614" s="56">
        <f>AY614</f>
        <v>-39841</v>
      </c>
      <c r="DA614" s="55">
        <f>BA614</f>
        <v>-35284.536999999997</v>
      </c>
      <c r="DB614" s="55">
        <f>BC614</f>
        <v>-34338.276286733999</v>
      </c>
      <c r="DC614" s="55">
        <f>BE614</f>
        <v>-33451.284271971366</v>
      </c>
      <c r="DD614" s="55">
        <f>BG614</f>
        <v>-32587.204147942066</v>
      </c>
      <c r="DE614" s="55">
        <f>BI614</f>
        <v>-31970.988264305524</v>
      </c>
      <c r="DF614" s="55">
        <f>BK614</f>
        <v>-32613.605128418065</v>
      </c>
      <c r="DG614" s="55">
        <f>BM614</f>
        <v>-33269.138591499264</v>
      </c>
      <c r="DH614" s="55">
        <f>BO614</f>
        <v>-33937.848277188401</v>
      </c>
      <c r="DI614" s="55">
        <f>BQ614</f>
        <v>-34619.99902755989</v>
      </c>
    </row>
    <row r="615" spans="1:113" s="24" customFormat="1" outlineLevel="1">
      <c r="A615" s="1" t="s">
        <v>2410</v>
      </c>
      <c r="B615" s="19" t="s">
        <v>2405</v>
      </c>
      <c r="C615" s="81"/>
      <c r="D615" s="81"/>
      <c r="E615" s="81"/>
      <c r="F615" s="81"/>
      <c r="G615" s="81"/>
      <c r="H615" s="81"/>
      <c r="I615" s="81"/>
      <c r="J615" s="81"/>
      <c r="K615" s="81"/>
      <c r="L615" s="81"/>
      <c r="M615" s="81"/>
      <c r="N615" s="81"/>
      <c r="O615" s="81"/>
      <c r="P615" s="81"/>
      <c r="Q615" s="81"/>
      <c r="R615" s="81"/>
      <c r="S615" s="81"/>
      <c r="T615" s="81"/>
      <c r="U615" s="81"/>
      <c r="V615" s="81"/>
      <c r="W615" s="81"/>
      <c r="X615" s="81"/>
      <c r="Y615" s="81"/>
      <c r="Z615" s="81"/>
      <c r="AA615" s="55">
        <f t="shared" ref="AA615:AK615" si="4292">AA616-AA614-AA613</f>
        <v>-31536.954456196865</v>
      </c>
      <c r="AB615" s="55">
        <f t="shared" si="4292"/>
        <v>-29200.802574296074</v>
      </c>
      <c r="AC615" s="55">
        <f t="shared" si="4292"/>
        <v>-29889.606307327864</v>
      </c>
      <c r="AD615" s="55">
        <f t="shared" si="4292"/>
        <v>-71963.313147344277</v>
      </c>
      <c r="AE615" s="55">
        <f t="shared" si="4292"/>
        <v>-59064.880705921154</v>
      </c>
      <c r="AF615" s="55">
        <f t="shared" si="4292"/>
        <v>-63277.973963141383</v>
      </c>
      <c r="AG615" s="55">
        <f t="shared" si="4292"/>
        <v>-66776.310314006929</v>
      </c>
      <c r="AH615" s="55">
        <f t="shared" si="4292"/>
        <v>-101000.85700352088</v>
      </c>
      <c r="AI615" s="55">
        <f t="shared" si="4292"/>
        <v>-96239.826947204012</v>
      </c>
      <c r="AJ615" s="55">
        <f t="shared" si="4292"/>
        <v>-93770.952395655098</v>
      </c>
      <c r="AK615" s="55">
        <f t="shared" si="4292"/>
        <v>-93720.958206864714</v>
      </c>
      <c r="AL615" s="55">
        <f t="shared" ref="AL615:AQ615" si="4293">AL616-AL614-AL613</f>
        <v>-99429.486543417326</v>
      </c>
      <c r="AM615" s="55">
        <f t="shared" si="4293"/>
        <v>-102379.8641975309</v>
      </c>
      <c r="AN615" s="55">
        <f t="shared" si="4293"/>
        <v>-102342.79999999999</v>
      </c>
      <c r="AO615" s="55">
        <f t="shared" si="4293"/>
        <v>-105114.31034482759</v>
      </c>
      <c r="AP615" s="55">
        <f t="shared" si="4293"/>
        <v>-101306.29411764705</v>
      </c>
      <c r="AQ615" s="55">
        <f t="shared" si="4293"/>
        <v>-104905.53608247417</v>
      </c>
      <c r="AR615" s="55">
        <f t="shared" ref="AR615" si="4294">AR616-AR614-AR613</f>
        <v>-117923.1902173913</v>
      </c>
      <c r="AS615" s="55">
        <f t="shared" ref="AS615:AT615" si="4295">AS616-AS614-AS613</f>
        <v>-114231.50537634414</v>
      </c>
      <c r="AT615" s="55">
        <f t="shared" si="4295"/>
        <v>-115447.94594594592</v>
      </c>
      <c r="AU615" s="55">
        <f t="shared" ref="AU615:AV615" si="4296">AU616-AU614-AU613</f>
        <v>-79357.162303664954</v>
      </c>
      <c r="AV615" s="55">
        <f t="shared" si="4296"/>
        <v>-80637.273684210493</v>
      </c>
      <c r="AW615" s="55">
        <f t="shared" ref="AW615:AX615" si="4297">AW616-AW614-AW613</f>
        <v>-80245.392670157074</v>
      </c>
      <c r="AX615" s="55">
        <f t="shared" si="4297"/>
        <v>-83927.909574468096</v>
      </c>
      <c r="AY615" s="55">
        <f t="shared" ref="AY615:AZ615" si="4298">AY616-AY614-AY613</f>
        <v>-85173.171122994681</v>
      </c>
      <c r="AZ615" s="56">
        <f t="shared" si="4298"/>
        <v>-93101.819672131154</v>
      </c>
      <c r="BA615" s="54">
        <f t="shared" ref="BA615:BE615" si="4299">AZ615*(BA610/AZ610)</f>
        <v>-96652.807112674025</v>
      </c>
      <c r="BB615" s="54">
        <f t="shared" si="4299"/>
        <v>-98880.794582975606</v>
      </c>
      <c r="BC615" s="54">
        <f t="shared" si="4299"/>
        <v>-101580.97463150736</v>
      </c>
      <c r="BD615" s="54">
        <f t="shared" si="4299"/>
        <v>-104398.9117591447</v>
      </c>
      <c r="BE615" s="54">
        <f t="shared" si="4299"/>
        <v>-107213.61054080966</v>
      </c>
      <c r="BF615" s="54">
        <f t="shared" ref="BF615:BM615" si="4300">BE615*(BF610/BE610)</f>
        <v>-110113.17173124348</v>
      </c>
      <c r="BG615" s="54">
        <f t="shared" si="4300"/>
        <v>-112718.66552752063</v>
      </c>
      <c r="BH615" s="54">
        <f t="shared" si="4300"/>
        <v>-115394.18402934492</v>
      </c>
      <c r="BI615" s="54">
        <f t="shared" si="4300"/>
        <v>-117611.30720893563</v>
      </c>
      <c r="BJ615" s="54">
        <f t="shared" si="4300"/>
        <v>-119877.15309423654</v>
      </c>
      <c r="BK615" s="54">
        <f t="shared" si="4300"/>
        <v>-122286.68387143069</v>
      </c>
      <c r="BL615" s="54">
        <f t="shared" si="4300"/>
        <v>-124744.64621724645</v>
      </c>
      <c r="BM615" s="54">
        <f t="shared" si="4300"/>
        <v>-127252.01360621314</v>
      </c>
      <c r="BN615" s="54">
        <f t="shared" ref="BN615" si="4301">BM615*(BN610/BM610)</f>
        <v>-129809.77907969803</v>
      </c>
      <c r="BO615" s="54">
        <f t="shared" ref="BO615" si="4302">BN615*(BO610/BN610)</f>
        <v>-132418.95563919996</v>
      </c>
      <c r="BP615" s="54">
        <f t="shared" ref="BP615" si="4303">BO615*(BP610/BO610)</f>
        <v>-135080.57664754792</v>
      </c>
      <c r="BQ615" s="54">
        <f t="shared" ref="BQ615" si="4304">BP615*(BQ610/BP610)</f>
        <v>-137795.6962381636</v>
      </c>
      <c r="BR615" s="82"/>
      <c r="BS615" s="81"/>
      <c r="BT615" s="81"/>
      <c r="BU615" s="81"/>
      <c r="BV615" s="81"/>
      <c r="BW615" s="81"/>
      <c r="BX615" s="81"/>
      <c r="BY615" s="81"/>
      <c r="BZ615" s="81"/>
      <c r="CA615" s="81"/>
      <c r="CB615" s="81"/>
      <c r="CC615" s="82"/>
      <c r="CD615" s="82"/>
      <c r="CE615" s="82"/>
      <c r="CF615" s="82"/>
      <c r="CG615" s="82"/>
      <c r="CH615" s="82"/>
      <c r="CI615" s="82"/>
      <c r="CJ615" s="82"/>
      <c r="CK615" s="82"/>
      <c r="CL615" s="82"/>
      <c r="CM615" s="82"/>
      <c r="CN615" s="55">
        <f>AA615</f>
        <v>-31536.954456196865</v>
      </c>
      <c r="CO615" s="55">
        <f>AC615</f>
        <v>-29889.606307327864</v>
      </c>
      <c r="CP615" s="55">
        <f>AE615</f>
        <v>-59064.880705921154</v>
      </c>
      <c r="CQ615" s="55">
        <f>AG615</f>
        <v>-66776.310314006929</v>
      </c>
      <c r="CR615" s="55">
        <f>AI615</f>
        <v>-96239.826947204012</v>
      </c>
      <c r="CS615" s="55">
        <f>AK615</f>
        <v>-93720.958206864714</v>
      </c>
      <c r="CT615" s="55">
        <f>AM615</f>
        <v>-102379.8641975309</v>
      </c>
      <c r="CU615" s="55">
        <f>AO615</f>
        <v>-105114.31034482759</v>
      </c>
      <c r="CV615" s="55">
        <f>AQ615</f>
        <v>-104905.53608247417</v>
      </c>
      <c r="CW615" s="55">
        <f>AS615</f>
        <v>-114231.50537634414</v>
      </c>
      <c r="CX615" s="55">
        <f>AU615</f>
        <v>-79357.162303664954</v>
      </c>
      <c r="CY615" s="55">
        <f>AW615</f>
        <v>-80245.392670157074</v>
      </c>
      <c r="CZ615" s="56">
        <f>AY615</f>
        <v>-85173.171122994681</v>
      </c>
      <c r="DA615" s="55">
        <f>BA615</f>
        <v>-96652.807112674025</v>
      </c>
      <c r="DB615" s="55">
        <f>BC615</f>
        <v>-101580.97463150736</v>
      </c>
      <c r="DC615" s="55">
        <f>BE615</f>
        <v>-107213.61054080966</v>
      </c>
      <c r="DD615" s="55">
        <f>BG615</f>
        <v>-112718.66552752063</v>
      </c>
      <c r="DE615" s="55">
        <f>BI615</f>
        <v>-117611.30720893563</v>
      </c>
      <c r="DF615" s="55">
        <f>BK615</f>
        <v>-122286.68387143069</v>
      </c>
      <c r="DG615" s="55">
        <f>BM615</f>
        <v>-127252.01360621314</v>
      </c>
      <c r="DH615" s="55">
        <f>BO615</f>
        <v>-132418.95563919996</v>
      </c>
      <c r="DI615" s="55">
        <f>BQ615</f>
        <v>-137795.6962381636</v>
      </c>
    </row>
    <row r="616" spans="1:113" s="24" customFormat="1" outlineLevel="1">
      <c r="A616" s="1" t="s">
        <v>2411</v>
      </c>
      <c r="B616" s="24" t="s">
        <v>2412</v>
      </c>
      <c r="C616" s="81"/>
      <c r="D616" s="81"/>
      <c r="E616" s="81"/>
      <c r="F616" s="81"/>
      <c r="G616" s="81"/>
      <c r="H616" s="81"/>
      <c r="I616" s="81"/>
      <c r="J616" s="81"/>
      <c r="K616" s="81"/>
      <c r="L616" s="81"/>
      <c r="M616" s="81"/>
      <c r="N616" s="81"/>
      <c r="O616" s="81"/>
      <c r="P616" s="81"/>
      <c r="Q616" s="81"/>
      <c r="R616" s="81"/>
      <c r="S616" s="81"/>
      <c r="T616" s="81"/>
      <c r="U616" s="81"/>
      <c r="V616" s="81"/>
      <c r="W616" s="81"/>
      <c r="X616" s="81"/>
      <c r="Y616" s="81"/>
      <c r="Z616" s="166"/>
      <c r="AA616" s="166">
        <f>AA593/((AA593/AA613)+1.6%)</f>
        <v>281332.04554380313</v>
      </c>
      <c r="AB616" s="166">
        <f>AB593/((AB593/AB613)+1.6%)</f>
        <v>287453.19742570393</v>
      </c>
      <c r="AC616" s="166">
        <f>AC593/((AC593/AC613)+(0.4%+1.2%))</f>
        <v>293063.39369267214</v>
      </c>
      <c r="AD616" s="166">
        <f>AD593/((AD593/AD613)+(0.1%+0.8%+0.9%+1.1%))</f>
        <v>276238.68685265572</v>
      </c>
      <c r="AE616" s="166">
        <f>AE593/((AE593/AE613)+(0.3%+0.6%+0.5%+0.1%+0.5%+0.3%+0.1%))</f>
        <v>298809.11929407885</v>
      </c>
      <c r="AF616" s="166">
        <f>AF593/((AF593/AF613)+(0.5%+0.7%+0.6%+0.1%+0.5%+0.4%+0.1%+0.1%))</f>
        <v>311873.02603685862</v>
      </c>
      <c r="AG616" s="166">
        <f>AG593/((AG593/AG613)+(0.2%+0.7%+0.6%+0.1%+0.5%+0.4%+0.1%+0.1%))</f>
        <v>320442.68968599307</v>
      </c>
      <c r="AH616" s="166">
        <f>AH593/((AH593/AH613)+(0.6%+1.7%+0.1%+0.7%+0.4%+0.8%+0.1%))</f>
        <v>311982.14299647912</v>
      </c>
      <c r="AI616" s="166">
        <f>AI593/((AI593/AI613)+(0.5%+1.8%+0.1%+0.5%+0.4%+0.8%+0.1%))</f>
        <v>319419.17305279599</v>
      </c>
      <c r="AJ616" s="166">
        <f>AJ593/((AJ593/AJ613)+(0.7%+1.9%+0.1%+0.5%+0.4%+0.8%+0.1%))</f>
        <v>319121.0476043449</v>
      </c>
      <c r="AK616" s="166">
        <f>AK593/((AK593/AK613)+(0.6%+1.8%+0.1%+0.4%+0.3%+0.7%+0.1%))</f>
        <v>340510.04179313529</v>
      </c>
      <c r="AL616" s="166">
        <f>AL593/16.5%</f>
        <v>331842.51345658267</v>
      </c>
      <c r="AM616" s="166">
        <f>AM593/16.2%</f>
        <v>340484.1358024691</v>
      </c>
      <c r="AN616" s="166">
        <f>AN593/17.5%</f>
        <v>337813.2</v>
      </c>
      <c r="AO616" s="166">
        <f>AO593/17.4%</f>
        <v>338748.68965517241</v>
      </c>
      <c r="AP616" s="166">
        <f>AP593/18.7%</f>
        <v>336748.70588235295</v>
      </c>
      <c r="AQ616" s="166">
        <f>AQ593/19.4%</f>
        <v>331155.46391752583</v>
      </c>
      <c r="AR616" s="166">
        <f>AR593/18.4%</f>
        <v>329647.8097826087</v>
      </c>
      <c r="AS616" s="166">
        <f>AS593/18.6%</f>
        <v>336020.49462365586</v>
      </c>
      <c r="AT616" s="166">
        <f>AT593/18.5%</f>
        <v>341082.05405405408</v>
      </c>
      <c r="AU616" s="166">
        <f>AU593/19.1%</f>
        <v>342056.83769633505</v>
      </c>
      <c r="AV616" s="166">
        <f>AV593/19%</f>
        <v>342699.72631578951</v>
      </c>
      <c r="AW616" s="166">
        <f>AW593/19.1%</f>
        <v>343661.60732984293</v>
      </c>
      <c r="AX616" s="166">
        <f>AX593/18.8%</f>
        <v>356762.0904255319</v>
      </c>
      <c r="AY616" s="166">
        <f>AY593/18.7%</f>
        <v>371130.82887700532</v>
      </c>
      <c r="AZ616" s="167">
        <f>AZ593/18.3%</f>
        <v>377029.18032786885</v>
      </c>
      <c r="BA616" s="82">
        <f t="shared" ref="BA616:BE616" si="4305">SUM(BA613:BA615)</f>
        <v>386296.7773982723</v>
      </c>
      <c r="BB616" s="82">
        <f t="shared" si="4305"/>
        <v>389347.70074402023</v>
      </c>
      <c r="BC616" s="82">
        <f t="shared" si="4305"/>
        <v>391645.94628080807</v>
      </c>
      <c r="BD616" s="82">
        <f t="shared" si="4305"/>
        <v>395449.71104234323</v>
      </c>
      <c r="BE616" s="82">
        <f t="shared" si="4305"/>
        <v>399081.32866506174</v>
      </c>
      <c r="BF616" s="82">
        <f t="shared" ref="BF616:BM616" si="4306">SUM(BF613:BF615)</f>
        <v>404664.48956748075</v>
      </c>
      <c r="BG616" s="82">
        <f t="shared" si="4306"/>
        <v>410025.95076165569</v>
      </c>
      <c r="BH616" s="82">
        <f t="shared" si="4306"/>
        <v>415768.05939173244</v>
      </c>
      <c r="BI616" s="82">
        <f t="shared" si="4306"/>
        <v>421293.80944638036</v>
      </c>
      <c r="BJ616" s="82">
        <f t="shared" si="4306"/>
        <v>428061.35021361022</v>
      </c>
      <c r="BK616" s="82">
        <f t="shared" si="4306"/>
        <v>435676.84528249304</v>
      </c>
      <c r="BL616" s="82">
        <f t="shared" si="4306"/>
        <v>443434.90078302752</v>
      </c>
      <c r="BM616" s="82">
        <f t="shared" si="4306"/>
        <v>451338.26856968226</v>
      </c>
      <c r="BN616" s="82">
        <f t="shared" ref="BN616:BO616" si="4307">SUM(BN613:BN615)</f>
        <v>459389.75455453154</v>
      </c>
      <c r="BO616" s="82">
        <f t="shared" si="4307"/>
        <v>467592.21977957338</v>
      </c>
      <c r="BP616" s="82">
        <f t="shared" ref="BP616:BQ616" si="4308">SUM(BP613:BP615)</f>
        <v>475948.58151043311</v>
      </c>
      <c r="BQ616" s="82">
        <f t="shared" si="4308"/>
        <v>484461.81435188313</v>
      </c>
      <c r="BR616" s="82"/>
      <c r="BS616" s="81"/>
      <c r="BT616" s="81"/>
      <c r="BU616" s="81"/>
      <c r="BV616" s="81"/>
      <c r="BW616" s="81"/>
      <c r="BX616" s="81"/>
      <c r="BY616" s="81"/>
      <c r="BZ616" s="81"/>
      <c r="CA616" s="81"/>
      <c r="CB616" s="81"/>
      <c r="CC616" s="82"/>
      <c r="CD616" s="82"/>
      <c r="CE616" s="82"/>
      <c r="CF616" s="82"/>
      <c r="CG616" s="82"/>
      <c r="CH616" s="82"/>
      <c r="CI616" s="82"/>
      <c r="CJ616" s="82"/>
      <c r="CK616" s="82"/>
      <c r="CL616" s="82"/>
      <c r="CM616" s="82"/>
      <c r="CN616" s="82">
        <f t="shared" ref="CN616:DC616" si="4309">SUM(CN613:CN615)</f>
        <v>281332.04554380313</v>
      </c>
      <c r="CO616" s="82">
        <f t="shared" si="4309"/>
        <v>293063.39369267214</v>
      </c>
      <c r="CP616" s="82">
        <f t="shared" si="4309"/>
        <v>298809.11929407885</v>
      </c>
      <c r="CQ616" s="82">
        <f t="shared" si="4309"/>
        <v>320442.68968599307</v>
      </c>
      <c r="CR616" s="82">
        <f t="shared" si="4309"/>
        <v>319419.17305279599</v>
      </c>
      <c r="CS616" s="82">
        <f t="shared" si="4309"/>
        <v>340510.04179313529</v>
      </c>
      <c r="CT616" s="82">
        <f t="shared" si="4309"/>
        <v>340484.1358024691</v>
      </c>
      <c r="CU616" s="82">
        <f t="shared" si="4309"/>
        <v>338748.68965517241</v>
      </c>
      <c r="CV616" s="82">
        <f t="shared" si="4309"/>
        <v>331155.46391752583</v>
      </c>
      <c r="CW616" s="82">
        <f t="shared" si="4309"/>
        <v>336020.49462365586</v>
      </c>
      <c r="CX616" s="82">
        <f t="shared" si="4309"/>
        <v>342056.83769633505</v>
      </c>
      <c r="CY616" s="82">
        <f t="shared" si="4309"/>
        <v>343661.60732984293</v>
      </c>
      <c r="CZ616" s="83">
        <f t="shared" si="4309"/>
        <v>371130.82887700532</v>
      </c>
      <c r="DA616" s="82">
        <f t="shared" si="4309"/>
        <v>386296.7773982723</v>
      </c>
      <c r="DB616" s="82">
        <f t="shared" si="4309"/>
        <v>391645.94628080807</v>
      </c>
      <c r="DC616" s="82">
        <f t="shared" si="4309"/>
        <v>399081.32866506174</v>
      </c>
      <c r="DD616" s="82">
        <f t="shared" ref="DD616:DI616" si="4310">SUM(DD613:DD615)</f>
        <v>410025.95076165569</v>
      </c>
      <c r="DE616" s="82">
        <f t="shared" si="4310"/>
        <v>421293.80944638036</v>
      </c>
      <c r="DF616" s="82">
        <f t="shared" si="4310"/>
        <v>435676.84528249304</v>
      </c>
      <c r="DG616" s="82">
        <f t="shared" si="4310"/>
        <v>451338.26856968226</v>
      </c>
      <c r="DH616" s="82">
        <f t="shared" si="4310"/>
        <v>467592.21977957338</v>
      </c>
      <c r="DI616" s="82">
        <f t="shared" si="4310"/>
        <v>484461.81435188313</v>
      </c>
    </row>
    <row r="617" spans="1:113">
      <c r="C617" s="55"/>
      <c r="D617" s="55"/>
      <c r="E617" s="55"/>
      <c r="F617" s="55"/>
      <c r="G617" s="55"/>
      <c r="H617" s="55"/>
      <c r="I617" s="55"/>
      <c r="J617" s="55"/>
      <c r="K617" s="55"/>
      <c r="L617" s="55"/>
      <c r="M617" s="55"/>
      <c r="N617" s="55"/>
      <c r="O617" s="55"/>
      <c r="P617" s="55"/>
      <c r="Q617" s="55"/>
      <c r="R617" s="55"/>
      <c r="S617" s="55"/>
      <c r="T617" s="55"/>
      <c r="U617" s="55"/>
      <c r="V617" s="55"/>
      <c r="W617" s="55"/>
      <c r="X617" s="55"/>
      <c r="Y617" s="55"/>
      <c r="Z617" s="55"/>
      <c r="AA617" s="55"/>
      <c r="AB617" s="55"/>
      <c r="AC617" s="45"/>
      <c r="AD617" s="55"/>
      <c r="AE617" s="55"/>
      <c r="AF617" s="55"/>
      <c r="AG617" s="45"/>
      <c r="AH617" s="45"/>
      <c r="AI617" s="45"/>
      <c r="AJ617" s="55"/>
      <c r="AK617" s="55"/>
      <c r="AL617" s="55"/>
      <c r="AM617" s="55"/>
      <c r="AN617" s="55"/>
      <c r="AO617" s="55"/>
      <c r="AP617" s="45"/>
      <c r="AQ617" s="45"/>
      <c r="AR617" s="45"/>
      <c r="AS617" s="45"/>
      <c r="AT617" s="45"/>
      <c r="AU617" s="45"/>
      <c r="AV617" s="45"/>
      <c r="AW617" s="45"/>
      <c r="AX617" s="533"/>
      <c r="AY617" s="55"/>
      <c r="AZ617" s="56"/>
      <c r="BA617" s="55"/>
      <c r="BB617" s="55"/>
      <c r="BC617" s="55"/>
      <c r="BD617" s="55"/>
      <c r="BE617" s="55"/>
      <c r="BF617" s="55"/>
      <c r="BG617" s="55"/>
      <c r="BH617" s="55"/>
      <c r="BI617" s="55"/>
      <c r="BJ617" s="55"/>
      <c r="BK617" s="55"/>
      <c r="BL617" s="55"/>
      <c r="BM617" s="55"/>
      <c r="BN617" s="55"/>
      <c r="BO617" s="55"/>
      <c r="BP617" s="55"/>
      <c r="BQ617" s="55"/>
      <c r="BR617" s="55"/>
      <c r="BS617" s="55"/>
      <c r="BT617" s="55"/>
      <c r="BU617" s="55"/>
      <c r="BV617" s="55"/>
      <c r="BW617" s="55"/>
      <c r="BX617" s="55"/>
      <c r="BY617" s="55"/>
      <c r="BZ617" s="55"/>
      <c r="CA617" s="55"/>
      <c r="CB617" s="55"/>
      <c r="CC617" s="55"/>
      <c r="CD617" s="55"/>
      <c r="CE617" s="55"/>
      <c r="CF617" s="55"/>
      <c r="CG617" s="55"/>
      <c r="CH617" s="55"/>
      <c r="CI617" s="55"/>
      <c r="CJ617" s="55"/>
      <c r="CK617" s="55"/>
      <c r="CL617" s="55"/>
      <c r="CM617" s="55"/>
      <c r="CN617" s="55"/>
      <c r="CO617" s="55"/>
      <c r="CP617" s="55"/>
      <c r="CQ617" s="55"/>
      <c r="CR617" s="55"/>
      <c r="CS617" s="55"/>
      <c r="CT617" s="55"/>
      <c r="CU617" s="55"/>
      <c r="CV617" s="45"/>
      <c r="CW617" s="45"/>
      <c r="CX617" s="45"/>
      <c r="CY617" s="45"/>
      <c r="CZ617" s="43"/>
      <c r="DA617" s="42"/>
      <c r="DB617" s="42"/>
      <c r="DC617" s="42"/>
      <c r="DD617" s="42"/>
      <c r="DE617" s="42"/>
      <c r="DF617" s="42"/>
      <c r="DG617" s="232"/>
      <c r="DH617" s="232"/>
      <c r="DI617" s="232"/>
    </row>
    <row r="618" spans="1:113" s="36" customFormat="1" collapsed="1">
      <c r="A618" s="1" t="s">
        <v>26</v>
      </c>
      <c r="B618" s="2" t="s">
        <v>413</v>
      </c>
      <c r="C618" s="79" t="e">
        <f t="shared" ref="C618:L618" si="4311">C631</f>
        <v>#VALUE!</v>
      </c>
      <c r="D618" s="79">
        <f t="shared" si="4311"/>
        <v>733</v>
      </c>
      <c r="E618" s="79">
        <f t="shared" si="4311"/>
        <v>1047</v>
      </c>
      <c r="F618" s="79">
        <f t="shared" si="4311"/>
        <v>2092</v>
      </c>
      <c r="G618" s="79">
        <f t="shared" si="4311"/>
        <v>1255</v>
      </c>
      <c r="H618" s="79">
        <f t="shared" si="4311"/>
        <v>828</v>
      </c>
      <c r="I618" s="79">
        <f t="shared" si="4311"/>
        <v>715</v>
      </c>
      <c r="J618" s="79">
        <f t="shared" si="4311"/>
        <v>788</v>
      </c>
      <c r="K618" s="79">
        <f t="shared" si="4311"/>
        <v>1362</v>
      </c>
      <c r="L618" s="79">
        <f t="shared" si="4311"/>
        <v>951</v>
      </c>
      <c r="M618" s="79">
        <f t="shared" ref="M618:AG618" si="4312">M631</f>
        <v>1948</v>
      </c>
      <c r="N618" s="79">
        <f t="shared" si="4312"/>
        <v>1080</v>
      </c>
      <c r="O618" s="79">
        <f t="shared" si="4312"/>
        <v>1421</v>
      </c>
      <c r="P618" s="79">
        <f t="shared" si="4312"/>
        <v>636</v>
      </c>
      <c r="Q618" s="79">
        <f t="shared" si="4312"/>
        <v>1629</v>
      </c>
      <c r="R618" s="79">
        <f t="shared" si="4312"/>
        <v>-2998</v>
      </c>
      <c r="S618" s="79">
        <f t="shared" si="4312"/>
        <v>479</v>
      </c>
      <c r="T618" s="79">
        <f t="shared" si="4312"/>
        <v>1154</v>
      </c>
      <c r="U618" s="79">
        <f t="shared" si="4312"/>
        <v>1860</v>
      </c>
      <c r="V618" s="79">
        <f t="shared" si="4312"/>
        <v>2040</v>
      </c>
      <c r="W618" s="79">
        <f t="shared" si="4312"/>
        <v>2418</v>
      </c>
      <c r="X618" s="79">
        <f t="shared" si="4312"/>
        <v>1332</v>
      </c>
      <c r="Y618" s="79">
        <f>Y631</f>
        <v>2606</v>
      </c>
      <c r="Z618" s="79">
        <f>Z631</f>
        <v>1710</v>
      </c>
      <c r="AA618" s="79">
        <f t="shared" si="4312"/>
        <v>0</v>
      </c>
      <c r="AB618" s="79">
        <f t="shared" si="4312"/>
        <v>3224</v>
      </c>
      <c r="AC618" s="79">
        <f t="shared" si="4312"/>
        <v>2243</v>
      </c>
      <c r="AD618" s="79">
        <f t="shared" si="4312"/>
        <v>3534</v>
      </c>
      <c r="AE618" s="79">
        <f>AE631</f>
        <v>2639</v>
      </c>
      <c r="AF618" s="79">
        <f>AF631</f>
        <v>-2066</v>
      </c>
      <c r="AG618" s="79">
        <f t="shared" si="4312"/>
        <v>2829</v>
      </c>
      <c r="AH618" s="79">
        <f t="shared" ref="AH618:AM618" si="4313">AH631</f>
        <v>3222</v>
      </c>
      <c r="AI618" s="79">
        <f t="shared" si="4313"/>
        <v>2872</v>
      </c>
      <c r="AJ618" s="79">
        <f t="shared" si="4313"/>
        <v>2407</v>
      </c>
      <c r="AK618" s="79">
        <f t="shared" si="4313"/>
        <v>2972</v>
      </c>
      <c r="AL618" s="79">
        <f t="shared" si="4313"/>
        <v>3317</v>
      </c>
      <c r="AM618" s="79">
        <f t="shared" si="4313"/>
        <v>3541</v>
      </c>
      <c r="AN618" s="79">
        <f t="shared" ref="AN618:AS618" si="4314">AN631</f>
        <v>4089</v>
      </c>
      <c r="AO618" s="79">
        <f t="shared" si="4314"/>
        <v>3540</v>
      </c>
      <c r="AP618" s="79">
        <f t="shared" si="4314"/>
        <v>1471</v>
      </c>
      <c r="AQ618" s="79">
        <f t="shared" si="4314"/>
        <v>2661</v>
      </c>
      <c r="AR618" s="79">
        <f t="shared" si="4314"/>
        <v>9549</v>
      </c>
      <c r="AS618" s="79">
        <f t="shared" si="4314"/>
        <v>3457</v>
      </c>
      <c r="AT618" s="79">
        <f t="shared" ref="AT618:AU618" si="4315">AT631</f>
        <v>4902</v>
      </c>
      <c r="AU618" s="79">
        <f t="shared" si="4315"/>
        <v>4748</v>
      </c>
      <c r="AV618" s="79">
        <f t="shared" ref="AV618:AW618" si="4316">AV631</f>
        <v>4177</v>
      </c>
      <c r="AW618" s="79">
        <f t="shared" si="4316"/>
        <v>3728</v>
      </c>
      <c r="AX618" s="79">
        <f t="shared" ref="AX618" si="4317">AX631</f>
        <v>4202</v>
      </c>
      <c r="AY618" s="79">
        <f t="shared" ref="AY618:BE618" si="4318">AY631</f>
        <v>3764.9999999999982</v>
      </c>
      <c r="AZ618" s="80">
        <f t="shared" si="4318"/>
        <v>4351</v>
      </c>
      <c r="BA618" s="79">
        <f t="shared" si="4318"/>
        <v>3929.4907466999985</v>
      </c>
      <c r="BB618" s="79">
        <f t="shared" si="4318"/>
        <v>5681.1278633000129</v>
      </c>
      <c r="BC618" s="79">
        <f t="shared" si="4318"/>
        <v>5245.5747870286323</v>
      </c>
      <c r="BD618" s="79">
        <f t="shared" si="4318"/>
        <v>5726.1319001352676</v>
      </c>
      <c r="BE618" s="79">
        <f t="shared" si="4318"/>
        <v>5295.249907109338</v>
      </c>
      <c r="BF618" s="79">
        <f t="shared" ref="BF618:BM618" si="4319">BF631</f>
        <v>5855.1543624634105</v>
      </c>
      <c r="BG618" s="79">
        <f t="shared" si="4319"/>
        <v>4260.2083662481755</v>
      </c>
      <c r="BH618" s="79">
        <f t="shared" si="4319"/>
        <v>4833.6979540123621</v>
      </c>
      <c r="BI618" s="79">
        <f t="shared" si="4319"/>
        <v>4505.9896181471095</v>
      </c>
      <c r="BJ618" s="79">
        <f t="shared" si="4319"/>
        <v>5079.479205911287</v>
      </c>
      <c r="BK618" s="79">
        <f t="shared" si="4319"/>
        <v>4587.9167021134317</v>
      </c>
      <c r="BL618" s="79">
        <f t="shared" si="4319"/>
        <v>5161.4062898776092</v>
      </c>
      <c r="BM618" s="79">
        <f t="shared" si="4319"/>
        <v>4669.8437860797303</v>
      </c>
      <c r="BN618" s="79">
        <f t="shared" ref="BN618:BO618" si="4320">BN631</f>
        <v>5243.3333738439078</v>
      </c>
      <c r="BO618" s="79">
        <f t="shared" si="4320"/>
        <v>4751.7708700460353</v>
      </c>
      <c r="BP618" s="79">
        <f t="shared" ref="BP618:BQ618" si="4321">BP631</f>
        <v>5325.2604578102137</v>
      </c>
      <c r="BQ618" s="79">
        <f t="shared" si="4321"/>
        <v>4833.6979540123575</v>
      </c>
      <c r="BR618" s="79"/>
      <c r="BS618" s="79">
        <f t="shared" ref="BS618:CB618" si="4322">BS631</f>
        <v>1904.6000000000008</v>
      </c>
      <c r="BT618" s="79">
        <f t="shared" si="4322"/>
        <v>305.6999999999997</v>
      </c>
      <c r="BU618" s="79">
        <f t="shared" si="4322"/>
        <v>483.30000000000018</v>
      </c>
      <c r="BV618" s="79">
        <f t="shared" si="4322"/>
        <v>487</v>
      </c>
      <c r="BW618" s="79">
        <f t="shared" si="4322"/>
        <v>783.99999999999977</v>
      </c>
      <c r="BX618" s="79">
        <f t="shared" si="4322"/>
        <v>985</v>
      </c>
      <c r="BY618" s="79">
        <f t="shared" si="4322"/>
        <v>995</v>
      </c>
      <c r="BZ618" s="79">
        <f t="shared" si="4322"/>
        <v>-537</v>
      </c>
      <c r="CA618" s="79">
        <f t="shared" si="4322"/>
        <v>-7631</v>
      </c>
      <c r="CB618" s="79">
        <f t="shared" si="4322"/>
        <v>1804</v>
      </c>
      <c r="CC618" s="79">
        <f t="shared" ref="CC618:CO618" si="4323">CC631</f>
        <v>1780</v>
      </c>
      <c r="CD618" s="79">
        <f t="shared" si="4323"/>
        <v>3347</v>
      </c>
      <c r="CE618" s="79">
        <f t="shared" si="4323"/>
        <v>1543</v>
      </c>
      <c r="CF618" s="79">
        <f t="shared" si="4323"/>
        <v>2150</v>
      </c>
      <c r="CG618" s="79">
        <f t="shared" si="4323"/>
        <v>2899</v>
      </c>
      <c r="CH618" s="79">
        <f t="shared" si="4323"/>
        <v>2501</v>
      </c>
      <c r="CI618" s="79">
        <f t="shared" si="4323"/>
        <v>2265</v>
      </c>
      <c r="CJ618" s="79">
        <f t="shared" si="4323"/>
        <v>-2519</v>
      </c>
      <c r="CK618" s="79">
        <f t="shared" si="4323"/>
        <v>3014</v>
      </c>
      <c r="CL618" s="79">
        <f t="shared" si="4323"/>
        <v>4458</v>
      </c>
      <c r="CM618" s="79">
        <f t="shared" si="4323"/>
        <v>3938</v>
      </c>
      <c r="CN618" s="79">
        <f t="shared" si="4323"/>
        <v>1710</v>
      </c>
      <c r="CO618" s="79">
        <f t="shared" si="4323"/>
        <v>5467</v>
      </c>
      <c r="CP618" s="79">
        <f t="shared" ref="CP618:CX618" si="4324">CP631</f>
        <v>6173</v>
      </c>
      <c r="CQ618" s="79">
        <f t="shared" si="4324"/>
        <v>763</v>
      </c>
      <c r="CR618" s="79">
        <f t="shared" si="4324"/>
        <v>6094</v>
      </c>
      <c r="CS618" s="79">
        <f t="shared" si="4324"/>
        <v>5379</v>
      </c>
      <c r="CT618" s="79">
        <f t="shared" si="4324"/>
        <v>6857.9999999999964</v>
      </c>
      <c r="CU618" s="79">
        <f t="shared" si="4324"/>
        <v>7629</v>
      </c>
      <c r="CV618" s="79">
        <f t="shared" si="4324"/>
        <v>4132</v>
      </c>
      <c r="CW618" s="79">
        <f t="shared" si="4324"/>
        <v>13006</v>
      </c>
      <c r="CX618" s="79">
        <f t="shared" si="4324"/>
        <v>9650</v>
      </c>
      <c r="CY618" s="79">
        <f t="shared" ref="CY618:DD618" si="4325">CY631</f>
        <v>7905</v>
      </c>
      <c r="CZ618" s="80">
        <f t="shared" si="4325"/>
        <v>7967</v>
      </c>
      <c r="DA618" s="79">
        <f t="shared" si="4325"/>
        <v>8280.4907466999975</v>
      </c>
      <c r="DB618" s="79">
        <f t="shared" si="4325"/>
        <v>10926.702650328647</v>
      </c>
      <c r="DC618" s="79">
        <f t="shared" si="4325"/>
        <v>11021.381807244608</v>
      </c>
      <c r="DD618" s="79">
        <f t="shared" si="4325"/>
        <v>10115.362728711578</v>
      </c>
      <c r="DE618" s="79">
        <f>DE631</f>
        <v>9339.6875721594679</v>
      </c>
      <c r="DF618" s="79">
        <f>DF631</f>
        <v>9667.3959080247223</v>
      </c>
      <c r="DG618" s="79">
        <f>DG631</f>
        <v>9831.2500759573395</v>
      </c>
      <c r="DH618" s="79">
        <f>DH631</f>
        <v>9995.1042438899385</v>
      </c>
      <c r="DI618" s="79">
        <f>DI631</f>
        <v>10158.95841182257</v>
      </c>
    </row>
    <row r="619" spans="1:113" outlineLevel="1">
      <c r="C619" s="55"/>
      <c r="D619" s="55"/>
      <c r="E619" s="55"/>
      <c r="F619" s="55"/>
      <c r="G619" s="55"/>
      <c r="H619" s="55"/>
      <c r="I619" s="55"/>
      <c r="J619" s="55"/>
      <c r="K619" s="55"/>
      <c r="L619" s="55"/>
      <c r="M619" s="55"/>
      <c r="N619" s="55"/>
      <c r="O619" s="55"/>
      <c r="P619" s="55"/>
      <c r="Q619" s="55"/>
      <c r="R619" s="55"/>
      <c r="S619" s="55"/>
      <c r="T619" s="55"/>
      <c r="U619" s="55"/>
      <c r="V619" s="55"/>
      <c r="W619" s="55"/>
      <c r="X619" s="55"/>
      <c r="Y619" s="55"/>
      <c r="Z619" s="55"/>
      <c r="AA619" s="55"/>
      <c r="AB619" s="55"/>
      <c r="AC619" s="55"/>
      <c r="AD619" s="55"/>
      <c r="AE619" s="55"/>
      <c r="AF619" s="55"/>
      <c r="AG619" s="55"/>
      <c r="AH619" s="55"/>
      <c r="AI619" s="55"/>
      <c r="AJ619" s="55"/>
      <c r="AK619" s="55"/>
      <c r="AL619" s="55"/>
      <c r="AM619" s="55"/>
      <c r="AN619" s="55"/>
      <c r="AO619" s="55"/>
      <c r="AP619" s="55"/>
      <c r="AQ619" s="55"/>
      <c r="AR619" s="55"/>
      <c r="AS619" s="55"/>
      <c r="AT619" s="55"/>
      <c r="AU619" s="55"/>
      <c r="AV619" s="55"/>
      <c r="AW619" s="55"/>
      <c r="AX619" s="55"/>
      <c r="AY619" s="55"/>
      <c r="AZ619" s="56"/>
      <c r="BA619" s="55"/>
      <c r="BB619" s="55"/>
      <c r="BC619" s="55"/>
      <c r="BD619" s="55"/>
      <c r="BE619" s="55"/>
      <c r="BF619" s="55"/>
      <c r="BG619" s="55"/>
      <c r="BH619" s="55"/>
      <c r="BI619" s="55"/>
      <c r="BJ619" s="55"/>
      <c r="BK619" s="55"/>
      <c r="BL619" s="55"/>
      <c r="BM619" s="55"/>
      <c r="BN619" s="55"/>
      <c r="BO619" s="55"/>
      <c r="BP619" s="55"/>
      <c r="BQ619" s="55"/>
      <c r="BR619" s="55"/>
      <c r="BS619" s="55"/>
      <c r="BT619" s="55"/>
      <c r="BU619" s="55"/>
      <c r="BV619" s="55"/>
      <c r="BW619" s="55"/>
      <c r="BX619" s="55"/>
      <c r="BY619" s="55"/>
      <c r="BZ619" s="55"/>
      <c r="CA619" s="55"/>
      <c r="CB619" s="55"/>
      <c r="CC619" s="55"/>
      <c r="CD619" s="55"/>
      <c r="CE619" s="55"/>
      <c r="CF619" s="55"/>
      <c r="CG619" s="55"/>
      <c r="CH619" s="55"/>
      <c r="CI619" s="55"/>
      <c r="CJ619" s="55"/>
      <c r="CK619" s="55"/>
      <c r="CL619" s="55"/>
      <c r="CM619" s="55"/>
      <c r="CN619" s="55"/>
      <c r="CO619" s="55"/>
      <c r="CP619" s="55"/>
      <c r="CQ619" s="55"/>
      <c r="CR619" s="55"/>
      <c r="CS619" s="55"/>
      <c r="CT619" s="55"/>
      <c r="CU619" s="55"/>
      <c r="CV619" s="55"/>
      <c r="CW619" s="55"/>
      <c r="CX619" s="55"/>
      <c r="CY619" s="55"/>
      <c r="CZ619" s="56"/>
      <c r="DA619" s="55"/>
      <c r="DB619" s="55"/>
      <c r="DC619" s="55"/>
      <c r="DD619" s="55"/>
      <c r="DE619" s="55"/>
      <c r="DF619" s="55"/>
      <c r="DG619" s="55"/>
      <c r="DH619" s="55"/>
      <c r="DI619" s="55"/>
    </row>
    <row r="620" spans="1:113" s="24" customFormat="1" outlineLevel="1">
      <c r="A620" s="1" t="s">
        <v>60</v>
      </c>
      <c r="B620" s="24" t="s">
        <v>356</v>
      </c>
      <c r="C620" s="82">
        <f t="shared" ref="C620:L620" si="4326">C515</f>
        <v>1148.5</v>
      </c>
      <c r="D620" s="82">
        <f t="shared" si="4326"/>
        <v>1175</v>
      </c>
      <c r="E620" s="82">
        <f t="shared" si="4326"/>
        <v>1292</v>
      </c>
      <c r="F620" s="82">
        <f t="shared" si="4326"/>
        <v>1188</v>
      </c>
      <c r="G620" s="82">
        <f t="shared" si="4326"/>
        <v>1351</v>
      </c>
      <c r="H620" s="82">
        <f t="shared" si="4326"/>
        <v>1201</v>
      </c>
      <c r="I620" s="82">
        <f t="shared" si="4326"/>
        <v>1393</v>
      </c>
      <c r="J620" s="82">
        <f t="shared" si="4326"/>
        <v>1672</v>
      </c>
      <c r="K620" s="82">
        <f t="shared" si="4326"/>
        <v>1689</v>
      </c>
      <c r="L620" s="82">
        <f t="shared" si="4326"/>
        <v>2061</v>
      </c>
      <c r="M620" s="82">
        <f t="shared" ref="M620:AG620" si="4327">M515</f>
        <v>1992</v>
      </c>
      <c r="N620" s="82">
        <f t="shared" si="4327"/>
        <v>2268</v>
      </c>
      <c r="O620" s="82">
        <f t="shared" si="4327"/>
        <v>2204</v>
      </c>
      <c r="P620" s="82">
        <f t="shared" si="4327"/>
        <v>2360</v>
      </c>
      <c r="Q620" s="82">
        <f t="shared" si="4327"/>
        <v>2325</v>
      </c>
      <c r="R620" s="82">
        <f t="shared" si="4327"/>
        <v>1880</v>
      </c>
      <c r="S620" s="82">
        <f t="shared" si="4327"/>
        <v>2371</v>
      </c>
      <c r="T620" s="82">
        <f t="shared" si="4327"/>
        <v>2919</v>
      </c>
      <c r="U620" s="82">
        <f t="shared" si="4327"/>
        <v>3135</v>
      </c>
      <c r="V620" s="82">
        <f t="shared" si="4327"/>
        <v>3313</v>
      </c>
      <c r="W620" s="82">
        <f t="shared" si="4327"/>
        <v>3480</v>
      </c>
      <c r="X620" s="82">
        <f t="shared" si="4327"/>
        <v>3556</v>
      </c>
      <c r="Y620" s="82">
        <f>Y515</f>
        <v>3515</v>
      </c>
      <c r="Z620" s="82">
        <f>Z515</f>
        <v>3730</v>
      </c>
      <c r="AA620" s="82">
        <f t="shared" si="4327"/>
        <v>3990</v>
      </c>
      <c r="AB620" s="82">
        <f t="shared" si="4327"/>
        <v>4245</v>
      </c>
      <c r="AC620" s="82">
        <f>AC515</f>
        <v>4390</v>
      </c>
      <c r="AD620" s="82">
        <f>AD515</f>
        <v>4599</v>
      </c>
      <c r="AE620" s="82">
        <f>AE515</f>
        <v>4486</v>
      </c>
      <c r="AF620" s="82">
        <f>AF515</f>
        <v>4776</v>
      </c>
      <c r="AG620" s="82">
        <f t="shared" si="4327"/>
        <v>4619</v>
      </c>
      <c r="AH620" s="82">
        <f t="shared" ref="AH620:AM620" si="4328">AH515</f>
        <v>4828</v>
      </c>
      <c r="AI620" s="82">
        <f t="shared" si="4328"/>
        <v>4827</v>
      </c>
      <c r="AJ620" s="82">
        <f t="shared" si="4328"/>
        <v>4598</v>
      </c>
      <c r="AK620" s="82">
        <f t="shared" si="4328"/>
        <v>4317</v>
      </c>
      <c r="AL620" s="82">
        <f t="shared" si="4328"/>
        <v>4512.5931563709537</v>
      </c>
      <c r="AM620" s="82">
        <f t="shared" si="4328"/>
        <v>3708.406843629049</v>
      </c>
      <c r="AN620" s="82">
        <f t="shared" ref="AN620:AO620" si="4329">AN515</f>
        <v>4327</v>
      </c>
      <c r="AO620" s="82">
        <f t="shared" si="4329"/>
        <v>2898</v>
      </c>
      <c r="AP620" s="82">
        <f t="shared" ref="AP620:AQ620" si="4330">AP515</f>
        <v>3868</v>
      </c>
      <c r="AQ620" s="82">
        <f t="shared" si="4330"/>
        <v>4785</v>
      </c>
      <c r="AR620" s="82">
        <f t="shared" ref="AR620" si="4331">AR515</f>
        <v>4746</v>
      </c>
      <c r="AS620" s="82">
        <f t="shared" ref="AS620:AT620" si="4332">AS515</f>
        <v>4849</v>
      </c>
      <c r="AT620" s="82">
        <f t="shared" si="4332"/>
        <v>5180</v>
      </c>
      <c r="AU620" s="82">
        <f t="shared" ref="AU620:AV620" si="4333">AU515</f>
        <v>4892</v>
      </c>
      <c r="AV620" s="82">
        <f t="shared" si="4333"/>
        <v>5019</v>
      </c>
      <c r="AW620" s="82">
        <f t="shared" ref="AW620:AX620" si="4334">AW515</f>
        <v>4817</v>
      </c>
      <c r="AX620" s="82">
        <f t="shared" si="4334"/>
        <v>5132</v>
      </c>
      <c r="AY620" s="82">
        <f t="shared" ref="AY620:BE620" si="4335">AY515</f>
        <v>5119.9999999999982</v>
      </c>
      <c r="AZ620" s="83">
        <f t="shared" si="4335"/>
        <v>5445</v>
      </c>
      <c r="BA620" s="82">
        <f t="shared" si="4335"/>
        <v>5625.6840638307367</v>
      </c>
      <c r="BB620" s="82">
        <f t="shared" si="4335"/>
        <v>5758.6319266536393</v>
      </c>
      <c r="BC620" s="82">
        <f t="shared" si="4335"/>
        <v>5746.8596543950407</v>
      </c>
      <c r="BD620" s="82">
        <f t="shared" si="4335"/>
        <v>5792.7715355671517</v>
      </c>
      <c r="BE620" s="82">
        <f t="shared" si="4335"/>
        <v>5959.9388526669409</v>
      </c>
      <c r="BF620" s="82">
        <f t="shared" ref="BF620:BM620" si="4336">BF515</f>
        <v>6155.0271683031442</v>
      </c>
      <c r="BG620" s="82">
        <f t="shared" si="4336"/>
        <v>6268.383122056197</v>
      </c>
      <c r="BH620" s="82">
        <f t="shared" si="4336"/>
        <v>6432.36449871471</v>
      </c>
      <c r="BI620" s="82">
        <f t="shared" si="4336"/>
        <v>6453.6378299357511</v>
      </c>
      <c r="BJ620" s="82">
        <f t="shared" si="4336"/>
        <v>6516.2965499839902</v>
      </c>
      <c r="BK620" s="82">
        <f t="shared" si="4336"/>
        <v>6405.4470325453312</v>
      </c>
      <c r="BL620" s="82">
        <f t="shared" si="4336"/>
        <v>6519.4724320990208</v>
      </c>
      <c r="BM620" s="82">
        <f t="shared" si="4336"/>
        <v>6514.6168170682695</v>
      </c>
      <c r="BN620" s="82">
        <f t="shared" ref="BN620:BO620" si="4337">BN515</f>
        <v>6713.6073359828752</v>
      </c>
      <c r="BO620" s="82">
        <f t="shared" si="4337"/>
        <v>6701.0724439693104</v>
      </c>
      <c r="BP620" s="82">
        <f t="shared" ref="BP620:BQ620" si="4338">BP515</f>
        <v>6928.0811587323205</v>
      </c>
      <c r="BQ620" s="82">
        <f t="shared" si="4338"/>
        <v>6915.5301613732972</v>
      </c>
      <c r="BR620" s="82"/>
      <c r="BS620" s="82">
        <f t="shared" ref="BS620:CB620" si="4339">BS515</f>
        <v>408.9</v>
      </c>
      <c r="BT620" s="82">
        <f t="shared" si="4339"/>
        <v>579</v>
      </c>
      <c r="BU620" s="82">
        <f t="shared" si="4339"/>
        <v>682</v>
      </c>
      <c r="BV620" s="82">
        <f t="shared" si="4339"/>
        <v>1011</v>
      </c>
      <c r="BW620" s="82">
        <f t="shared" si="4339"/>
        <v>1119</v>
      </c>
      <c r="BX620" s="82">
        <f t="shared" si="4339"/>
        <v>1249</v>
      </c>
      <c r="BY620" s="82">
        <f t="shared" si="4339"/>
        <v>1297</v>
      </c>
      <c r="BZ620" s="82">
        <f t="shared" si="4339"/>
        <v>1469</v>
      </c>
      <c r="CA620" s="82">
        <f t="shared" si="4339"/>
        <v>1678</v>
      </c>
      <c r="CB620" s="82">
        <f t="shared" si="4339"/>
        <v>2253</v>
      </c>
      <c r="CC620" s="82">
        <f t="shared" ref="CC620:CO620" si="4340">CC515</f>
        <v>2467</v>
      </c>
      <c r="CD620" s="82">
        <f t="shared" si="4340"/>
        <v>2539</v>
      </c>
      <c r="CE620" s="82">
        <f t="shared" si="4340"/>
        <v>2594</v>
      </c>
      <c r="CF620" s="82">
        <f t="shared" si="4340"/>
        <v>3361</v>
      </c>
      <c r="CG620" s="82">
        <f t="shared" si="4340"/>
        <v>4053</v>
      </c>
      <c r="CH620" s="82">
        <f t="shared" si="4340"/>
        <v>4472</v>
      </c>
      <c r="CI620" s="82">
        <f t="shared" si="4340"/>
        <v>4685</v>
      </c>
      <c r="CJ620" s="82">
        <f t="shared" si="4340"/>
        <v>4251</v>
      </c>
      <c r="CK620" s="82">
        <f t="shared" si="4340"/>
        <v>6054</v>
      </c>
      <c r="CL620" s="82">
        <f t="shared" si="4340"/>
        <v>6793</v>
      </c>
      <c r="CM620" s="82">
        <f t="shared" si="4340"/>
        <v>7071</v>
      </c>
      <c r="CN620" s="82">
        <f t="shared" si="4340"/>
        <v>7720</v>
      </c>
      <c r="CO620" s="82">
        <f t="shared" si="4340"/>
        <v>8635</v>
      </c>
      <c r="CP620" s="82">
        <f t="shared" ref="CP620:CX620" si="4341">CP515</f>
        <v>9085</v>
      </c>
      <c r="CQ620" s="82">
        <f t="shared" si="4341"/>
        <v>9395</v>
      </c>
      <c r="CR620" s="82">
        <f t="shared" si="4341"/>
        <v>9655</v>
      </c>
      <c r="CS620" s="82">
        <f t="shared" si="4341"/>
        <v>8915</v>
      </c>
      <c r="CT620" s="82">
        <f t="shared" si="4341"/>
        <v>8221</v>
      </c>
      <c r="CU620" s="82">
        <f t="shared" si="4341"/>
        <v>7225</v>
      </c>
      <c r="CV620" s="82">
        <f t="shared" si="4341"/>
        <v>8653</v>
      </c>
      <c r="CW620" s="82">
        <f t="shared" si="4341"/>
        <v>9595</v>
      </c>
      <c r="CX620" s="82">
        <f t="shared" si="4341"/>
        <v>10072</v>
      </c>
      <c r="CY620" s="82">
        <f t="shared" ref="CY620:DD620" si="4342">CY515</f>
        <v>9836</v>
      </c>
      <c r="CZ620" s="83">
        <f t="shared" si="4342"/>
        <v>10252</v>
      </c>
      <c r="DA620" s="82">
        <f t="shared" si="4342"/>
        <v>11070.684063830735</v>
      </c>
      <c r="DB620" s="82">
        <f t="shared" si="4342"/>
        <v>11505.491581048682</v>
      </c>
      <c r="DC620" s="82">
        <f t="shared" si="4342"/>
        <v>11752.710388234094</v>
      </c>
      <c r="DD620" s="82">
        <f t="shared" si="4342"/>
        <v>12423.410290359334</v>
      </c>
      <c r="DE620" s="82">
        <f>DE515</f>
        <v>12886.002328650458</v>
      </c>
      <c r="DF620" s="82">
        <f>DF515</f>
        <v>12921.743582529325</v>
      </c>
      <c r="DG620" s="82">
        <f>DG515</f>
        <v>13034.089249167291</v>
      </c>
      <c r="DH620" s="82">
        <f>DH515</f>
        <v>13414.679779952181</v>
      </c>
      <c r="DI620" s="82">
        <f>DI515</f>
        <v>13843.611320105616</v>
      </c>
    </row>
    <row r="621" spans="1:113" outlineLevel="1">
      <c r="A621" s="1" t="s">
        <v>61</v>
      </c>
      <c r="B621" s="19" t="str">
        <f>B526</f>
        <v>Move in foreign currency translation reserve</v>
      </c>
      <c r="C621" s="55">
        <f t="shared" ref="C621:L622" si="4343">C526</f>
        <v>98</v>
      </c>
      <c r="D621" s="55">
        <f t="shared" si="4343"/>
        <v>-40</v>
      </c>
      <c r="E621" s="55">
        <f t="shared" si="4343"/>
        <v>-146</v>
      </c>
      <c r="F621" s="55">
        <f t="shared" si="4343"/>
        <v>156</v>
      </c>
      <c r="G621" s="55">
        <f t="shared" si="4343"/>
        <v>-129</v>
      </c>
      <c r="H621" s="55">
        <f t="shared" si="4343"/>
        <v>-173</v>
      </c>
      <c r="I621" s="55">
        <f t="shared" si="4343"/>
        <v>-8</v>
      </c>
      <c r="J621" s="55">
        <f t="shared" si="4343"/>
        <v>-151</v>
      </c>
      <c r="K621" s="55">
        <f t="shared" si="4343"/>
        <v>10</v>
      </c>
      <c r="L621" s="55">
        <f t="shared" si="4343"/>
        <v>104</v>
      </c>
      <c r="M621" s="55">
        <f t="shared" ref="M621:AG621" si="4344">M526</f>
        <v>-282</v>
      </c>
      <c r="N621" s="55">
        <f t="shared" si="4344"/>
        <v>87</v>
      </c>
      <c r="O621" s="55">
        <f t="shared" si="4344"/>
        <v>-46</v>
      </c>
      <c r="P621" s="55">
        <f t="shared" si="4344"/>
        <v>-101</v>
      </c>
      <c r="Q621" s="55">
        <f t="shared" si="4344"/>
        <v>-494</v>
      </c>
      <c r="R621" s="55">
        <f t="shared" si="4344"/>
        <v>574</v>
      </c>
      <c r="S621" s="55">
        <f t="shared" si="4344"/>
        <v>-312</v>
      </c>
      <c r="T621" s="55">
        <f t="shared" si="4344"/>
        <v>-100</v>
      </c>
      <c r="U621" s="55">
        <f t="shared" si="4344"/>
        <v>80</v>
      </c>
      <c r="V621" s="55">
        <f t="shared" si="4344"/>
        <v>-477</v>
      </c>
      <c r="W621" s="55">
        <f t="shared" si="4344"/>
        <v>-53</v>
      </c>
      <c r="X621" s="55">
        <f t="shared" si="4344"/>
        <v>3</v>
      </c>
      <c r="Y621" s="55">
        <f t="shared" si="4344"/>
        <v>187</v>
      </c>
      <c r="Z621" s="55">
        <f t="shared" si="4344"/>
        <v>20</v>
      </c>
      <c r="AA621" s="55">
        <f t="shared" si="4344"/>
        <v>446</v>
      </c>
      <c r="AB621" s="55">
        <f t="shared" si="4344"/>
        <v>434</v>
      </c>
      <c r="AC621" s="55">
        <f t="shared" ref="AC621:AF622" si="4345">AC526</f>
        <v>-49</v>
      </c>
      <c r="AD621" s="55">
        <f t="shared" si="4345"/>
        <v>388</v>
      </c>
      <c r="AE621" s="55">
        <f t="shared" si="4345"/>
        <v>10</v>
      </c>
      <c r="AF621" s="55">
        <f t="shared" si="4345"/>
        <v>381</v>
      </c>
      <c r="AG621" s="55">
        <f t="shared" si="4344"/>
        <v>2</v>
      </c>
      <c r="AH621" s="55">
        <f t="shared" ref="AH621:AK622" si="4346">AH526</f>
        <v>83</v>
      </c>
      <c r="AI621" s="55">
        <f t="shared" si="4346"/>
        <v>-365</v>
      </c>
      <c r="AJ621" s="55">
        <f t="shared" si="4346"/>
        <v>-250</v>
      </c>
      <c r="AK621" s="55">
        <f t="shared" si="4346"/>
        <v>238</v>
      </c>
      <c r="AL621" s="55">
        <f t="shared" ref="AL621:AO622" si="4347">AL526</f>
        <v>386</v>
      </c>
      <c r="AM621" s="55">
        <f t="shared" si="4347"/>
        <v>71</v>
      </c>
      <c r="AN621" s="55">
        <f t="shared" si="4347"/>
        <v>18</v>
      </c>
      <c r="AO621" s="55">
        <f t="shared" si="4347"/>
        <v>-204</v>
      </c>
      <c r="AP621" s="55">
        <f t="shared" ref="AP621:AQ621" si="4348">AP526</f>
        <v>-296</v>
      </c>
      <c r="AQ621" s="55">
        <f t="shared" si="4348"/>
        <v>84</v>
      </c>
      <c r="AR621" s="55">
        <f t="shared" ref="AR621" si="4349">AR526</f>
        <v>234</v>
      </c>
      <c r="AS621" s="55">
        <f t="shared" ref="AS621:AT621" si="4350">AS526</f>
        <v>-474</v>
      </c>
      <c r="AT621" s="55">
        <f t="shared" si="4350"/>
        <v>314</v>
      </c>
      <c r="AU621" s="55">
        <f t="shared" ref="AU621:AV621" si="4351">AU526</f>
        <v>-85</v>
      </c>
      <c r="AV621" s="55">
        <f t="shared" si="4351"/>
        <v>-15</v>
      </c>
      <c r="AW621" s="55">
        <f t="shared" ref="AW621:AX621" si="4352">AW526</f>
        <v>-20</v>
      </c>
      <c r="AX621" s="55">
        <f t="shared" si="4352"/>
        <v>54</v>
      </c>
      <c r="AY621" s="55">
        <f t="shared" ref="AY621:BE621" si="4353">AY526</f>
        <v>176</v>
      </c>
      <c r="AZ621" s="56">
        <f t="shared" si="4353"/>
        <v>-890</v>
      </c>
      <c r="BA621" s="55">
        <f t="shared" si="4353"/>
        <v>551.88496550938851</v>
      </c>
      <c r="BB621" s="55">
        <f t="shared" si="4353"/>
        <v>-249.31534930010557</v>
      </c>
      <c r="BC621" s="55">
        <f t="shared" si="4353"/>
        <v>-78.270953047117814</v>
      </c>
      <c r="BD621" s="55">
        <f t="shared" si="4353"/>
        <v>-74.792141517339545</v>
      </c>
      <c r="BE621" s="55">
        <f t="shared" si="4353"/>
        <v>-135.9058954689433</v>
      </c>
      <c r="BF621" s="55">
        <f t="shared" ref="BF621:BI622" si="4354">BF526</f>
        <v>-130.18013146023745</v>
      </c>
      <c r="BG621" s="55">
        <f t="shared" si="4354"/>
        <v>-122.8816807449727</v>
      </c>
      <c r="BH621" s="55">
        <f t="shared" si="4354"/>
        <v>-117.28052613016348</v>
      </c>
      <c r="BI621" s="55">
        <f t="shared" si="4354"/>
        <v>-111.5576993433436</v>
      </c>
      <c r="BJ621" s="55">
        <f t="shared" ref="BJ621:BM622" si="4355">BJ526</f>
        <v>-107.05776152016352</v>
      </c>
      <c r="BK621" s="55">
        <f t="shared" si="4355"/>
        <v>0</v>
      </c>
      <c r="BL621" s="55">
        <f t="shared" si="4355"/>
        <v>0</v>
      </c>
      <c r="BM621" s="55">
        <f t="shared" si="4355"/>
        <v>0</v>
      </c>
      <c r="BN621" s="55">
        <f t="shared" ref="BN621:BO621" si="4356">BN526</f>
        <v>0</v>
      </c>
      <c r="BO621" s="55">
        <f t="shared" si="4356"/>
        <v>0</v>
      </c>
      <c r="BP621" s="55">
        <f t="shared" ref="BP621:BQ621" si="4357">BP526</f>
        <v>0</v>
      </c>
      <c r="BQ621" s="55">
        <f t="shared" si="4357"/>
        <v>0</v>
      </c>
      <c r="BR621" s="55"/>
      <c r="BS621" s="55">
        <f t="shared" ref="BS621:CB622" si="4358">BS526</f>
        <v>1.6</v>
      </c>
      <c r="BT621" s="55">
        <f t="shared" si="4358"/>
        <v>21.4</v>
      </c>
      <c r="BU621" s="55">
        <f t="shared" si="4358"/>
        <v>-2.4</v>
      </c>
      <c r="BV621" s="55">
        <f t="shared" si="4358"/>
        <v>43</v>
      </c>
      <c r="BW621" s="55">
        <f t="shared" si="4358"/>
        <v>-34</v>
      </c>
      <c r="BX621" s="55">
        <f t="shared" si="4358"/>
        <v>28</v>
      </c>
      <c r="BY621" s="55">
        <f t="shared" si="4358"/>
        <v>-45</v>
      </c>
      <c r="BZ621" s="55">
        <f t="shared" si="4358"/>
        <v>-33</v>
      </c>
      <c r="CA621" s="55">
        <f t="shared" si="4358"/>
        <v>-26</v>
      </c>
      <c r="CB621" s="55">
        <f t="shared" si="4358"/>
        <v>98</v>
      </c>
      <c r="CC621" s="55">
        <f>SUM(D621:E621)</f>
        <v>-186</v>
      </c>
      <c r="CD621" s="55">
        <f>SUM(F621:G621)</f>
        <v>27</v>
      </c>
      <c r="CE621" s="55">
        <f>SUM(H621:I621)</f>
        <v>-181</v>
      </c>
      <c r="CF621" s="55">
        <f>SUM(J621:K621)</f>
        <v>-141</v>
      </c>
      <c r="CG621" s="55">
        <f>SUM(L621:M621)</f>
        <v>-178</v>
      </c>
      <c r="CH621" s="55">
        <f>SUM(N621:O621)</f>
        <v>41</v>
      </c>
      <c r="CI621" s="55">
        <f>SUM(P621:Q621)</f>
        <v>-595</v>
      </c>
      <c r="CJ621" s="55">
        <f>SUM(R621:S621)</f>
        <v>262</v>
      </c>
      <c r="CK621" s="55">
        <f>SUM(T621:U621)</f>
        <v>-20</v>
      </c>
      <c r="CL621" s="55">
        <f>SUM(V621:W621)</f>
        <v>-530</v>
      </c>
      <c r="CM621" s="55">
        <f>SUM(X621:Y621)</f>
        <v>190</v>
      </c>
      <c r="CN621" s="55">
        <f>SUM(Z621:AA621)</f>
        <v>466</v>
      </c>
      <c r="CO621" s="55">
        <f>SUM(AB621:AC621)</f>
        <v>385</v>
      </c>
      <c r="CP621" s="55">
        <f>SUM(AD621:AE621)</f>
        <v>398</v>
      </c>
      <c r="CQ621" s="55">
        <f>SUM(AF621:AG621)</f>
        <v>383</v>
      </c>
      <c r="CR621" s="55">
        <f>SUM(AH621:AI621)</f>
        <v>-282</v>
      </c>
      <c r="CS621" s="55">
        <f>SUM(AJ621:AK621)</f>
        <v>-12</v>
      </c>
      <c r="CT621" s="55">
        <f>SUM(AL621:AM621)</f>
        <v>457</v>
      </c>
      <c r="CU621" s="55">
        <f>SUM(AN621:AO621)</f>
        <v>-186</v>
      </c>
      <c r="CV621" s="55">
        <f>SUM(AP621:AQ621)</f>
        <v>-212</v>
      </c>
      <c r="CW621" s="55">
        <f>SUM(AR621:AS621)</f>
        <v>-240</v>
      </c>
      <c r="CX621" s="55">
        <f>SUM(AT621:AU621)</f>
        <v>229</v>
      </c>
      <c r="CY621" s="55">
        <f>SUM(AV621:AW621)</f>
        <v>-35</v>
      </c>
      <c r="CZ621" s="56">
        <f>SUM(AX621:AY621)</f>
        <v>230</v>
      </c>
      <c r="DA621" s="55">
        <f>SUM(AZ621:BA621)</f>
        <v>-338.11503449061149</v>
      </c>
      <c r="DB621" s="55">
        <f>SUM(BB621:BC621)</f>
        <v>-327.58630234722341</v>
      </c>
      <c r="DC621" s="55">
        <f>SUM(BD621:BE621)</f>
        <v>-210.69803698628283</v>
      </c>
      <c r="DD621" s="55">
        <f>SUM(BF621:BG621)</f>
        <v>-253.06181220521015</v>
      </c>
      <c r="DE621" s="55">
        <f>SUM(BH621:BI621)</f>
        <v>-228.83822547350707</v>
      </c>
      <c r="DF621" s="55">
        <f>SUM(BJ621:BK621)</f>
        <v>-107.05776152016352</v>
      </c>
      <c r="DG621" s="55">
        <f>SUM(BL621:BM621)</f>
        <v>0</v>
      </c>
      <c r="DH621" s="55">
        <f>SUM(BN621:BO621)</f>
        <v>0</v>
      </c>
      <c r="DI621" s="55">
        <f>SUM(BP621:BQ621)</f>
        <v>0</v>
      </c>
    </row>
    <row r="622" spans="1:113" outlineLevel="1">
      <c r="A622" s="1" t="s">
        <v>62</v>
      </c>
      <c r="B622" s="19" t="str">
        <f>B527</f>
        <v>Net effect of change in accounting policies</v>
      </c>
      <c r="C622" s="55">
        <f t="shared" si="4343"/>
        <v>-662.5</v>
      </c>
      <c r="D622" s="55">
        <f t="shared" si="4343"/>
        <v>-82</v>
      </c>
      <c r="E622" s="55">
        <f t="shared" si="4343"/>
        <v>64</v>
      </c>
      <c r="F622" s="55">
        <f t="shared" si="4343"/>
        <v>1242</v>
      </c>
      <c r="G622" s="55">
        <f t="shared" si="4343"/>
        <v>34</v>
      </c>
      <c r="H622" s="55">
        <f t="shared" si="4343"/>
        <v>37</v>
      </c>
      <c r="I622" s="55">
        <f t="shared" si="4343"/>
        <v>-225</v>
      </c>
      <c r="J622" s="55">
        <f t="shared" si="4343"/>
        <v>-2826</v>
      </c>
      <c r="K622" s="55">
        <f t="shared" si="4343"/>
        <v>178</v>
      </c>
      <c r="L622" s="55">
        <f t="shared" si="4343"/>
        <v>-1135</v>
      </c>
      <c r="M622" s="55">
        <f t="shared" ref="M622:AG622" si="4359">M527</f>
        <v>1352</v>
      </c>
      <c r="N622" s="55">
        <f t="shared" si="4359"/>
        <v>262</v>
      </c>
      <c r="O622" s="55">
        <f t="shared" si="4359"/>
        <v>609</v>
      </c>
      <c r="P622" s="55">
        <f t="shared" si="4359"/>
        <v>38</v>
      </c>
      <c r="Q622" s="55">
        <f t="shared" si="4359"/>
        <v>-324</v>
      </c>
      <c r="R622" s="55">
        <f t="shared" si="4359"/>
        <v>-1903</v>
      </c>
      <c r="S622" s="55">
        <f t="shared" si="4359"/>
        <v>41</v>
      </c>
      <c r="T622" s="55">
        <f t="shared" si="4359"/>
        <v>410</v>
      </c>
      <c r="U622" s="55">
        <f t="shared" si="4359"/>
        <v>246</v>
      </c>
      <c r="V622" s="55">
        <f t="shared" si="4359"/>
        <v>-147</v>
      </c>
      <c r="W622" s="55">
        <f t="shared" si="4359"/>
        <v>198</v>
      </c>
      <c r="X622" s="55">
        <f t="shared" si="4359"/>
        <v>77</v>
      </c>
      <c r="Y622" s="55">
        <f t="shared" si="4359"/>
        <v>698</v>
      </c>
      <c r="Z622" s="55">
        <f t="shared" si="4359"/>
        <v>352</v>
      </c>
      <c r="AA622" s="55">
        <f t="shared" si="4359"/>
        <v>410</v>
      </c>
      <c r="AB622" s="55">
        <f t="shared" si="4359"/>
        <v>107</v>
      </c>
      <c r="AC622" s="55">
        <f t="shared" si="4345"/>
        <v>200</v>
      </c>
      <c r="AD622" s="55">
        <f t="shared" si="4345"/>
        <v>299</v>
      </c>
      <c r="AE622" s="55">
        <f t="shared" si="4345"/>
        <v>85</v>
      </c>
      <c r="AF622" s="55">
        <f t="shared" si="4345"/>
        <v>580</v>
      </c>
      <c r="AG622" s="55">
        <f t="shared" si="4359"/>
        <v>-851</v>
      </c>
      <c r="AH622" s="55">
        <f t="shared" si="4346"/>
        <v>-565</v>
      </c>
      <c r="AI622" s="55">
        <f t="shared" si="4346"/>
        <v>113</v>
      </c>
      <c r="AJ622" s="55">
        <f t="shared" si="4346"/>
        <v>174</v>
      </c>
      <c r="AK622" s="55">
        <f t="shared" si="4346"/>
        <v>80</v>
      </c>
      <c r="AL622" s="55">
        <f t="shared" si="4347"/>
        <v>-949</v>
      </c>
      <c r="AM622" s="55">
        <f t="shared" si="4347"/>
        <v>1067</v>
      </c>
      <c r="AN622" s="55">
        <f t="shared" si="4347"/>
        <v>-579</v>
      </c>
      <c r="AO622" s="55">
        <f t="shared" si="4347"/>
        <v>1141</v>
      </c>
      <c r="AP622" s="55">
        <f t="shared" ref="AP622:AQ622" si="4360">AP527</f>
        <v>-120</v>
      </c>
      <c r="AQ622" s="55">
        <f t="shared" si="4360"/>
        <v>1063</v>
      </c>
      <c r="AR622" s="55">
        <f t="shared" ref="AR622" si="4361">AR527</f>
        <v>-610</v>
      </c>
      <c r="AS622" s="55">
        <f t="shared" ref="AS622:AT622" si="4362">AS527</f>
        <v>-2795</v>
      </c>
      <c r="AT622" s="55">
        <f t="shared" si="4362"/>
        <v>-879</v>
      </c>
      <c r="AU622" s="55">
        <f t="shared" ref="AU622:AV622" si="4363">AU527</f>
        <v>7</v>
      </c>
      <c r="AV622" s="55">
        <f t="shared" si="4363"/>
        <v>-271</v>
      </c>
      <c r="AW622" s="55">
        <f t="shared" ref="AW622:AX622" si="4364">AW527</f>
        <v>-638</v>
      </c>
      <c r="AX622" s="55">
        <f t="shared" si="4364"/>
        <v>1195</v>
      </c>
      <c r="AY622" s="55">
        <f t="shared" ref="AY622:BE622" si="4365">AY527</f>
        <v>2119</v>
      </c>
      <c r="AZ622" s="56">
        <f t="shared" si="4365"/>
        <v>-1670</v>
      </c>
      <c r="BA622" s="55">
        <f t="shared" si="4365"/>
        <v>0</v>
      </c>
      <c r="BB622" s="55">
        <f t="shared" si="4365"/>
        <v>0</v>
      </c>
      <c r="BC622" s="55">
        <f t="shared" si="4365"/>
        <v>0</v>
      </c>
      <c r="BD622" s="55">
        <f t="shared" si="4365"/>
        <v>0</v>
      </c>
      <c r="BE622" s="55">
        <f t="shared" si="4365"/>
        <v>0</v>
      </c>
      <c r="BF622" s="55">
        <f t="shared" si="4354"/>
        <v>0</v>
      </c>
      <c r="BG622" s="55">
        <f t="shared" si="4354"/>
        <v>0</v>
      </c>
      <c r="BH622" s="55">
        <f t="shared" si="4354"/>
        <v>0</v>
      </c>
      <c r="BI622" s="55">
        <f t="shared" si="4354"/>
        <v>0</v>
      </c>
      <c r="BJ622" s="55">
        <f t="shared" ref="BJ622:BK622" si="4366">BJ527</f>
        <v>0</v>
      </c>
      <c r="BK622" s="55">
        <f t="shared" si="4366"/>
        <v>0</v>
      </c>
      <c r="BL622" s="55">
        <f t="shared" si="4355"/>
        <v>0</v>
      </c>
      <c r="BM622" s="55">
        <f t="shared" si="4355"/>
        <v>0</v>
      </c>
      <c r="BN622" s="55">
        <f t="shared" ref="BN622:BO622" si="4367">BN527</f>
        <v>0</v>
      </c>
      <c r="BO622" s="55">
        <f t="shared" si="4367"/>
        <v>0</v>
      </c>
      <c r="BP622" s="55">
        <f t="shared" ref="BP622:BQ622" si="4368">BP527</f>
        <v>0</v>
      </c>
      <c r="BQ622" s="55">
        <f t="shared" si="4368"/>
        <v>0</v>
      </c>
      <c r="BR622" s="55"/>
      <c r="BS622" s="55">
        <f t="shared" si="4358"/>
        <v>6965.1</v>
      </c>
      <c r="BT622" s="55">
        <f t="shared" si="4358"/>
        <v>-61</v>
      </c>
      <c r="BU622" s="55">
        <f t="shared" si="4358"/>
        <v>200.10000000000036</v>
      </c>
      <c r="BV622" s="55">
        <f t="shared" si="4358"/>
        <v>64.199999999999818</v>
      </c>
      <c r="BW622" s="55">
        <f t="shared" si="4358"/>
        <v>320.69999999999982</v>
      </c>
      <c r="BX622" s="55">
        <f t="shared" si="4358"/>
        <v>-465</v>
      </c>
      <c r="BY622" s="55">
        <f t="shared" si="4358"/>
        <v>-184</v>
      </c>
      <c r="BZ622" s="55">
        <f t="shared" si="4358"/>
        <v>-1903</v>
      </c>
      <c r="CA622" s="55">
        <f t="shared" si="4358"/>
        <v>401</v>
      </c>
      <c r="CB622" s="55">
        <f t="shared" si="4358"/>
        <v>-449</v>
      </c>
      <c r="CC622" s="55">
        <f>SUM(D622:E622)</f>
        <v>-18</v>
      </c>
      <c r="CD622" s="55">
        <f>SUM(F622:G622)</f>
        <v>1276</v>
      </c>
      <c r="CE622" s="55">
        <f>SUM(H622:I622)</f>
        <v>-188</v>
      </c>
      <c r="CF622" s="55">
        <f>SUM(J622:K622)</f>
        <v>-2648</v>
      </c>
      <c r="CG622" s="55">
        <f>SUM(L622:M622)</f>
        <v>217</v>
      </c>
      <c r="CH622" s="55">
        <f>SUM(N622:O622)</f>
        <v>871</v>
      </c>
      <c r="CI622" s="55">
        <f>SUM(P622:Q622)</f>
        <v>-286</v>
      </c>
      <c r="CJ622" s="55">
        <f>SUM(R622:S622)</f>
        <v>-1862</v>
      </c>
      <c r="CK622" s="55">
        <f>SUM(T622:U622)</f>
        <v>656</v>
      </c>
      <c r="CL622" s="55">
        <f>SUM(V622:W622)</f>
        <v>51</v>
      </c>
      <c r="CM622" s="55">
        <f>SUM(X622:Y622)</f>
        <v>775</v>
      </c>
      <c r="CN622" s="55">
        <f>SUM(Z622:AA622)</f>
        <v>762</v>
      </c>
      <c r="CO622" s="55">
        <f>SUM(AB622:AC622)</f>
        <v>307</v>
      </c>
      <c r="CP622" s="55">
        <f>SUM(AD622:AE622)</f>
        <v>384</v>
      </c>
      <c r="CQ622" s="55">
        <f>SUM(AF622:AG622)</f>
        <v>-271</v>
      </c>
      <c r="CR622" s="55">
        <f>SUM(AH622:AI622)</f>
        <v>-452</v>
      </c>
      <c r="CS622" s="55">
        <f>SUM(AJ622:AK622)</f>
        <v>254</v>
      </c>
      <c r="CT622" s="55">
        <f>SUM(AL622:AM622)</f>
        <v>118</v>
      </c>
      <c r="CU622" s="55">
        <f>SUM(AN622:AO622)</f>
        <v>562</v>
      </c>
      <c r="CV622" s="55">
        <f>SUM(AP622:AQ622)</f>
        <v>943</v>
      </c>
      <c r="CW622" s="55">
        <f>SUM(AR622:AS622)</f>
        <v>-3405</v>
      </c>
      <c r="CX622" s="55">
        <f>SUM(AT622:AU622)</f>
        <v>-872</v>
      </c>
      <c r="CY622" s="55">
        <f>SUM(AV622:AW622)</f>
        <v>-909</v>
      </c>
      <c r="CZ622" s="56">
        <f>SUM(AX622:AY622)</f>
        <v>3314</v>
      </c>
      <c r="DA622" s="55">
        <f>SUM(AZ622:BA622)</f>
        <v>-1670</v>
      </c>
      <c r="DB622" s="55">
        <f>SUM(BB622:BC622)</f>
        <v>0</v>
      </c>
      <c r="DC622" s="55">
        <f>SUM(BD622:BE622)</f>
        <v>0</v>
      </c>
      <c r="DD622" s="55">
        <f>SUM(BF622:BG622)</f>
        <v>0</v>
      </c>
      <c r="DE622" s="55">
        <f>SUM(BH622:BI622)</f>
        <v>0</v>
      </c>
      <c r="DF622" s="55">
        <f>SUM(BJ622:BK622)</f>
        <v>0</v>
      </c>
      <c r="DG622" s="55">
        <f>SUM(BL622:BM622)</f>
        <v>0</v>
      </c>
      <c r="DH622" s="55">
        <f>SUM(BN622:BO622)</f>
        <v>0</v>
      </c>
      <c r="DI622" s="55">
        <f>SUM(BP622:BQ622)</f>
        <v>0</v>
      </c>
    </row>
    <row r="623" spans="1:113" outlineLevel="1">
      <c r="A623" s="1" t="s">
        <v>63</v>
      </c>
      <c r="B623" s="19" t="str">
        <f>B523</f>
        <v>Non-recurring items</v>
      </c>
      <c r="C623" s="55">
        <f t="shared" ref="C623:L623" si="4369">C523+C522+C536</f>
        <v>285</v>
      </c>
      <c r="D623" s="55">
        <f t="shared" si="4369"/>
        <v>174</v>
      </c>
      <c r="E623" s="55">
        <f t="shared" si="4369"/>
        <v>303</v>
      </c>
      <c r="F623" s="55">
        <f t="shared" si="4369"/>
        <v>-426</v>
      </c>
      <c r="G623" s="55">
        <f t="shared" si="4369"/>
        <v>181</v>
      </c>
      <c r="H623" s="55">
        <f t="shared" si="4369"/>
        <v>165</v>
      </c>
      <c r="I623" s="55">
        <f t="shared" si="4369"/>
        <v>36</v>
      </c>
      <c r="J623" s="55">
        <f t="shared" si="4369"/>
        <v>-28</v>
      </c>
      <c r="K623" s="55">
        <f t="shared" si="4369"/>
        <v>-25</v>
      </c>
      <c r="L623" s="55">
        <f t="shared" si="4369"/>
        <v>-19</v>
      </c>
      <c r="M623" s="55">
        <f t="shared" ref="M623:AG623" si="4370">M523+M522+M536</f>
        <v>-6</v>
      </c>
      <c r="N623" s="55">
        <f t="shared" si="4370"/>
        <v>4</v>
      </c>
      <c r="O623" s="55">
        <f t="shared" si="4370"/>
        <v>1</v>
      </c>
      <c r="P623" s="55">
        <f t="shared" si="4370"/>
        <v>-4</v>
      </c>
      <c r="Q623" s="55">
        <f t="shared" si="4370"/>
        <v>44</v>
      </c>
      <c r="R623" s="55">
        <f t="shared" si="4370"/>
        <v>641</v>
      </c>
      <c r="S623" s="55">
        <f t="shared" si="4370"/>
        <v>45</v>
      </c>
      <c r="T623" s="55">
        <f t="shared" si="4370"/>
        <v>-202</v>
      </c>
      <c r="U623" s="55">
        <f t="shared" si="4370"/>
        <v>8</v>
      </c>
      <c r="V623" s="55">
        <f t="shared" si="4370"/>
        <v>-7</v>
      </c>
      <c r="W623" s="55">
        <f t="shared" si="4370"/>
        <v>0</v>
      </c>
      <c r="X623" s="55">
        <f t="shared" si="4370"/>
        <v>-33</v>
      </c>
      <c r="Y623" s="55">
        <f>Y523+Y522+Y536</f>
        <v>-10</v>
      </c>
      <c r="Z623" s="55">
        <f>Z523+Z522+Z536</f>
        <v>-45</v>
      </c>
      <c r="AA623" s="55">
        <f t="shared" si="4370"/>
        <v>0</v>
      </c>
      <c r="AB623" s="55">
        <f t="shared" si="4370"/>
        <v>2</v>
      </c>
      <c r="AC623" s="55">
        <f>AC523+AC522+AC536</f>
        <v>40</v>
      </c>
      <c r="AD623" s="55">
        <f>AD523+AD522+AD536</f>
        <v>0</v>
      </c>
      <c r="AE623" s="55">
        <f>AE523+AE522+AE536</f>
        <v>0</v>
      </c>
      <c r="AF623" s="55">
        <f>AF523+AF522+AF536</f>
        <v>0</v>
      </c>
      <c r="AG623" s="55">
        <f t="shared" si="4370"/>
        <v>0</v>
      </c>
      <c r="AH623" s="55">
        <f t="shared" ref="AH623:AM623" si="4371">AH523+AH522+AH536</f>
        <v>79</v>
      </c>
      <c r="AI623" s="55">
        <f t="shared" si="4371"/>
        <v>147</v>
      </c>
      <c r="AJ623" s="55">
        <f t="shared" si="4371"/>
        <v>273</v>
      </c>
      <c r="AK623" s="55">
        <f t="shared" si="4371"/>
        <v>224</v>
      </c>
      <c r="AL623" s="55">
        <f t="shared" si="4371"/>
        <v>255.40684362904631</v>
      </c>
      <c r="AM623" s="55">
        <f t="shared" si="4371"/>
        <v>229.59315637095096</v>
      </c>
      <c r="AN623" s="55">
        <f t="shared" ref="AN623:AS623" si="4372">AN523+AN522+AN536</f>
        <v>164</v>
      </c>
      <c r="AO623" s="55">
        <f t="shared" si="4372"/>
        <v>18</v>
      </c>
      <c r="AP623" s="55">
        <f t="shared" si="4372"/>
        <v>99</v>
      </c>
      <c r="AQ623" s="55">
        <f t="shared" si="4372"/>
        <v>49</v>
      </c>
      <c r="AR623" s="55">
        <f t="shared" si="4372"/>
        <v>100</v>
      </c>
      <c r="AS623" s="55">
        <f t="shared" si="4372"/>
        <v>13</v>
      </c>
      <c r="AT623" s="55">
        <f t="shared" ref="AT623" si="4373">AT523+AT522+AT536</f>
        <v>10</v>
      </c>
      <c r="AU623" s="55">
        <f>AU523+AU522+AU536</f>
        <v>8</v>
      </c>
      <c r="AV623" s="55">
        <f>AV523+AV522+AV536</f>
        <v>6</v>
      </c>
      <c r="AW623" s="55">
        <f>AW523+AW522+AW536</f>
        <v>5</v>
      </c>
      <c r="AX623" s="55">
        <f>AX523+AX522+AX536</f>
        <v>10</v>
      </c>
      <c r="AY623" s="55">
        <f t="shared" ref="AY623:BE623" si="4374">AY523+AY522+AY536</f>
        <v>-129</v>
      </c>
      <c r="AZ623" s="56">
        <f t="shared" si="4374"/>
        <v>-33</v>
      </c>
      <c r="BA623" s="55">
        <f t="shared" si="4374"/>
        <v>0</v>
      </c>
      <c r="BB623" s="55">
        <f t="shared" si="4374"/>
        <v>0</v>
      </c>
      <c r="BC623" s="55">
        <f t="shared" si="4374"/>
        <v>0</v>
      </c>
      <c r="BD623" s="55">
        <f t="shared" si="4374"/>
        <v>0</v>
      </c>
      <c r="BE623" s="55">
        <f t="shared" si="4374"/>
        <v>0</v>
      </c>
      <c r="BF623" s="55">
        <f t="shared" ref="BF623:BM623" si="4375">BF523+BF522+BF536</f>
        <v>0</v>
      </c>
      <c r="BG623" s="55">
        <f t="shared" si="4375"/>
        <v>0</v>
      </c>
      <c r="BH623" s="55">
        <f t="shared" si="4375"/>
        <v>0</v>
      </c>
      <c r="BI623" s="55">
        <f t="shared" si="4375"/>
        <v>0</v>
      </c>
      <c r="BJ623" s="55">
        <f t="shared" si="4375"/>
        <v>0</v>
      </c>
      <c r="BK623" s="55">
        <f t="shared" si="4375"/>
        <v>0</v>
      </c>
      <c r="BL623" s="55">
        <f t="shared" si="4375"/>
        <v>0</v>
      </c>
      <c r="BM623" s="55">
        <f t="shared" si="4375"/>
        <v>0</v>
      </c>
      <c r="BN623" s="55">
        <f t="shared" ref="BN623:BO623" si="4376">BN523+BN522+BN536</f>
        <v>0</v>
      </c>
      <c r="BO623" s="55">
        <f t="shared" si="4376"/>
        <v>0</v>
      </c>
      <c r="BP623" s="55">
        <f t="shared" ref="BP623:BQ623" si="4377">BP523+BP522+BP536</f>
        <v>0</v>
      </c>
      <c r="BQ623" s="55">
        <f t="shared" si="4377"/>
        <v>0</v>
      </c>
      <c r="BR623" s="55"/>
      <c r="BS623" s="55">
        <f t="shared" ref="BS623:CB623" si="4378">BS523+BS522+BS536</f>
        <v>0</v>
      </c>
      <c r="BT623" s="55">
        <f t="shared" si="4378"/>
        <v>-136</v>
      </c>
      <c r="BU623" s="55">
        <f t="shared" si="4378"/>
        <v>0</v>
      </c>
      <c r="BV623" s="55">
        <f t="shared" si="4378"/>
        <v>-28</v>
      </c>
      <c r="BW623" s="55">
        <f t="shared" si="4378"/>
        <v>0</v>
      </c>
      <c r="BX623" s="55">
        <f t="shared" si="4378"/>
        <v>-128</v>
      </c>
      <c r="BY623" s="55">
        <f t="shared" si="4378"/>
        <v>-161</v>
      </c>
      <c r="BZ623" s="55">
        <f t="shared" si="4378"/>
        <v>0</v>
      </c>
      <c r="CA623" s="55">
        <f t="shared" si="4378"/>
        <v>987</v>
      </c>
      <c r="CB623" s="55">
        <f t="shared" si="4378"/>
        <v>0</v>
      </c>
      <c r="CC623" s="55">
        <f t="shared" ref="CC623:CR623" si="4379">CC523+CC522+CC536</f>
        <v>477</v>
      </c>
      <c r="CD623" s="55">
        <f t="shared" si="4379"/>
        <v>-245</v>
      </c>
      <c r="CE623" s="55">
        <f t="shared" si="4379"/>
        <v>201</v>
      </c>
      <c r="CF623" s="55">
        <f t="shared" si="4379"/>
        <v>-53</v>
      </c>
      <c r="CG623" s="55">
        <f t="shared" si="4379"/>
        <v>-25</v>
      </c>
      <c r="CH623" s="55">
        <f t="shared" si="4379"/>
        <v>5</v>
      </c>
      <c r="CI623" s="55">
        <f t="shared" si="4379"/>
        <v>40</v>
      </c>
      <c r="CJ623" s="55">
        <f t="shared" si="4379"/>
        <v>686</v>
      </c>
      <c r="CK623" s="55">
        <f t="shared" si="4379"/>
        <v>-194</v>
      </c>
      <c r="CL623" s="55">
        <f t="shared" si="4379"/>
        <v>-7</v>
      </c>
      <c r="CM623" s="55">
        <f t="shared" si="4379"/>
        <v>-43</v>
      </c>
      <c r="CN623" s="55">
        <f t="shared" si="4379"/>
        <v>-45</v>
      </c>
      <c r="CO623" s="55">
        <f t="shared" si="4379"/>
        <v>42</v>
      </c>
      <c r="CP623" s="55">
        <f t="shared" si="4379"/>
        <v>0</v>
      </c>
      <c r="CQ623" s="55">
        <f t="shared" si="4379"/>
        <v>0</v>
      </c>
      <c r="CR623" s="55">
        <f t="shared" si="4379"/>
        <v>226</v>
      </c>
      <c r="CS623" s="55">
        <f t="shared" ref="CS623:DC623" si="4380">CS523+CS522+CS536</f>
        <v>497</v>
      </c>
      <c r="CT623" s="55">
        <f t="shared" si="4380"/>
        <v>484.99999999999727</v>
      </c>
      <c r="CU623" s="55">
        <f t="shared" si="4380"/>
        <v>182</v>
      </c>
      <c r="CV623" s="55">
        <f t="shared" si="4380"/>
        <v>148</v>
      </c>
      <c r="CW623" s="55">
        <f t="shared" si="4380"/>
        <v>113</v>
      </c>
      <c r="CX623" s="55">
        <f t="shared" si="4380"/>
        <v>18</v>
      </c>
      <c r="CY623" s="55">
        <f t="shared" si="4380"/>
        <v>11</v>
      </c>
      <c r="CZ623" s="56">
        <f t="shared" si="4380"/>
        <v>-119</v>
      </c>
      <c r="DA623" s="55">
        <f t="shared" si="4380"/>
        <v>-33</v>
      </c>
      <c r="DB623" s="55">
        <f t="shared" si="4380"/>
        <v>0</v>
      </c>
      <c r="DC623" s="55">
        <f t="shared" si="4380"/>
        <v>0</v>
      </c>
      <c r="DD623" s="55">
        <f t="shared" ref="DD623:DI623" si="4381">DD523+DD522+DD536</f>
        <v>0</v>
      </c>
      <c r="DE623" s="55">
        <f t="shared" si="4381"/>
        <v>0</v>
      </c>
      <c r="DF623" s="55">
        <f t="shared" si="4381"/>
        <v>0</v>
      </c>
      <c r="DG623" s="55">
        <f t="shared" si="4381"/>
        <v>0</v>
      </c>
      <c r="DH623" s="55">
        <f t="shared" si="4381"/>
        <v>0</v>
      </c>
      <c r="DI623" s="55">
        <f t="shared" si="4381"/>
        <v>0</v>
      </c>
    </row>
    <row r="624" spans="1:113" s="24" customFormat="1" outlineLevel="1">
      <c r="A624" s="1" t="s">
        <v>20</v>
      </c>
      <c r="B624" s="24" t="s">
        <v>414</v>
      </c>
      <c r="C624" s="82">
        <f>SUM(C620:C623)</f>
        <v>869</v>
      </c>
      <c r="D624" s="82">
        <f t="shared" ref="D624:L624" si="4382">SUM(D620:D623)</f>
        <v>1227</v>
      </c>
      <c r="E624" s="82">
        <f t="shared" si="4382"/>
        <v>1513</v>
      </c>
      <c r="F624" s="82">
        <f t="shared" si="4382"/>
        <v>2160</v>
      </c>
      <c r="G624" s="82">
        <f t="shared" si="4382"/>
        <v>1437</v>
      </c>
      <c r="H624" s="82">
        <f t="shared" si="4382"/>
        <v>1230</v>
      </c>
      <c r="I624" s="82">
        <f t="shared" si="4382"/>
        <v>1196</v>
      </c>
      <c r="J624" s="82">
        <f t="shared" si="4382"/>
        <v>-1333</v>
      </c>
      <c r="K624" s="82">
        <f t="shared" si="4382"/>
        <v>1852</v>
      </c>
      <c r="L624" s="82">
        <f t="shared" si="4382"/>
        <v>1011</v>
      </c>
      <c r="M624" s="82">
        <f t="shared" ref="M624:AG624" si="4383">SUM(M620:M623)</f>
        <v>3056</v>
      </c>
      <c r="N624" s="82">
        <f t="shared" si="4383"/>
        <v>2621</v>
      </c>
      <c r="O624" s="82">
        <f t="shared" si="4383"/>
        <v>2768</v>
      </c>
      <c r="P624" s="82">
        <f t="shared" si="4383"/>
        <v>2293</v>
      </c>
      <c r="Q624" s="82">
        <f t="shared" si="4383"/>
        <v>1551</v>
      </c>
      <c r="R624" s="82">
        <f t="shared" si="4383"/>
        <v>1192</v>
      </c>
      <c r="S624" s="82">
        <f t="shared" si="4383"/>
        <v>2145</v>
      </c>
      <c r="T624" s="82">
        <f t="shared" si="4383"/>
        <v>3027</v>
      </c>
      <c r="U624" s="82">
        <f t="shared" si="4383"/>
        <v>3469</v>
      </c>
      <c r="V624" s="82">
        <f t="shared" si="4383"/>
        <v>2682</v>
      </c>
      <c r="W624" s="82">
        <f t="shared" si="4383"/>
        <v>3625</v>
      </c>
      <c r="X624" s="82">
        <f t="shared" si="4383"/>
        <v>3603</v>
      </c>
      <c r="Y624" s="82">
        <f>SUM(Y620:Y623)</f>
        <v>4390</v>
      </c>
      <c r="Z624" s="82">
        <f>SUM(Z620:Z623)</f>
        <v>4057</v>
      </c>
      <c r="AA624" s="82">
        <f t="shared" si="4383"/>
        <v>4846</v>
      </c>
      <c r="AB624" s="82">
        <f t="shared" si="4383"/>
        <v>4788</v>
      </c>
      <c r="AC624" s="82">
        <f>SUM(AC620:AC623)</f>
        <v>4581</v>
      </c>
      <c r="AD624" s="82">
        <f>SUM(AD620:AD623)</f>
        <v>5286</v>
      </c>
      <c r="AE624" s="82">
        <f>SUM(AE620:AE623)</f>
        <v>4581</v>
      </c>
      <c r="AF624" s="82">
        <f>SUM(AF620:AF623)</f>
        <v>5737</v>
      </c>
      <c r="AG624" s="82">
        <f t="shared" si="4383"/>
        <v>3770</v>
      </c>
      <c r="AH624" s="82">
        <f t="shared" ref="AH624:AM624" si="4384">SUM(AH620:AH623)</f>
        <v>4425</v>
      </c>
      <c r="AI624" s="82">
        <f t="shared" si="4384"/>
        <v>4722</v>
      </c>
      <c r="AJ624" s="82">
        <f t="shared" si="4384"/>
        <v>4795</v>
      </c>
      <c r="AK624" s="82">
        <f t="shared" si="4384"/>
        <v>4859</v>
      </c>
      <c r="AL624" s="82">
        <f t="shared" si="4384"/>
        <v>4205</v>
      </c>
      <c r="AM624" s="82">
        <f t="shared" si="4384"/>
        <v>5076</v>
      </c>
      <c r="AN624" s="82">
        <f t="shared" ref="AN624:AS624" si="4385">SUM(AN620:AN623)</f>
        <v>3930</v>
      </c>
      <c r="AO624" s="82">
        <f t="shared" si="4385"/>
        <v>3853</v>
      </c>
      <c r="AP624" s="82">
        <f t="shared" si="4385"/>
        <v>3551</v>
      </c>
      <c r="AQ624" s="82">
        <f t="shared" si="4385"/>
        <v>5981</v>
      </c>
      <c r="AR624" s="82">
        <f t="shared" si="4385"/>
        <v>4470</v>
      </c>
      <c r="AS624" s="82">
        <f t="shared" si="4385"/>
        <v>1593</v>
      </c>
      <c r="AT624" s="82">
        <f t="shared" ref="AT624:AU624" si="4386">SUM(AT620:AT623)</f>
        <v>4625</v>
      </c>
      <c r="AU624" s="82">
        <f t="shared" si="4386"/>
        <v>4822</v>
      </c>
      <c r="AV624" s="82">
        <f t="shared" ref="AV624:AW624" si="4387">SUM(AV620:AV623)</f>
        <v>4739</v>
      </c>
      <c r="AW624" s="82">
        <f t="shared" si="4387"/>
        <v>4164</v>
      </c>
      <c r="AX624" s="82">
        <f t="shared" ref="AX624" si="4388">SUM(AX620:AX623)</f>
        <v>6391</v>
      </c>
      <c r="AY624" s="82">
        <f t="shared" ref="AY624:BE624" si="4389">SUM(AY620:AY623)</f>
        <v>7285.9999999999982</v>
      </c>
      <c r="AZ624" s="83">
        <f t="shared" si="4389"/>
        <v>2852</v>
      </c>
      <c r="BA624" s="82">
        <f t="shared" si="4389"/>
        <v>6177.5690293401249</v>
      </c>
      <c r="BB624" s="82">
        <f t="shared" si="4389"/>
        <v>5509.3165773535338</v>
      </c>
      <c r="BC624" s="82">
        <f t="shared" si="4389"/>
        <v>5668.5887013479232</v>
      </c>
      <c r="BD624" s="82">
        <f t="shared" si="4389"/>
        <v>5717.9793940498121</v>
      </c>
      <c r="BE624" s="82">
        <f t="shared" si="4389"/>
        <v>5824.0329571979973</v>
      </c>
      <c r="BF624" s="82">
        <f t="shared" ref="BF624:BM624" si="4390">SUM(BF620:BF623)</f>
        <v>6024.8470368429071</v>
      </c>
      <c r="BG624" s="82">
        <f t="shared" si="4390"/>
        <v>6145.501441311224</v>
      </c>
      <c r="BH624" s="82">
        <f t="shared" si="4390"/>
        <v>6315.0839725845462</v>
      </c>
      <c r="BI624" s="82">
        <f t="shared" si="4390"/>
        <v>6342.0801305924078</v>
      </c>
      <c r="BJ624" s="82">
        <f t="shared" si="4390"/>
        <v>6409.2387884638265</v>
      </c>
      <c r="BK624" s="82">
        <f t="shared" si="4390"/>
        <v>6405.4470325453312</v>
      </c>
      <c r="BL624" s="82">
        <f t="shared" si="4390"/>
        <v>6519.4724320990208</v>
      </c>
      <c r="BM624" s="82">
        <f t="shared" si="4390"/>
        <v>6514.6168170682695</v>
      </c>
      <c r="BN624" s="82">
        <f t="shared" ref="BN624:BO624" si="4391">SUM(BN620:BN623)</f>
        <v>6713.6073359828752</v>
      </c>
      <c r="BO624" s="82">
        <f t="shared" si="4391"/>
        <v>6701.0724439693104</v>
      </c>
      <c r="BP624" s="82">
        <f t="shared" ref="BP624:BQ624" si="4392">SUM(BP620:BP623)</f>
        <v>6928.0811587323205</v>
      </c>
      <c r="BQ624" s="82">
        <f t="shared" si="4392"/>
        <v>6915.5301613732972</v>
      </c>
      <c r="BR624" s="82"/>
      <c r="BS624" s="82">
        <f t="shared" ref="BS624:CB624" si="4393">SUM(BS620:BS623)</f>
        <v>7375.6</v>
      </c>
      <c r="BT624" s="82">
        <f t="shared" si="4393"/>
        <v>403.4</v>
      </c>
      <c r="BU624" s="82">
        <f t="shared" si="4393"/>
        <v>879.70000000000039</v>
      </c>
      <c r="BV624" s="82">
        <f t="shared" si="4393"/>
        <v>1090.1999999999998</v>
      </c>
      <c r="BW624" s="82">
        <f t="shared" si="4393"/>
        <v>1405.6999999999998</v>
      </c>
      <c r="BX624" s="82">
        <f t="shared" si="4393"/>
        <v>684</v>
      </c>
      <c r="BY624" s="82">
        <f t="shared" si="4393"/>
        <v>907</v>
      </c>
      <c r="BZ624" s="82">
        <f t="shared" si="4393"/>
        <v>-467</v>
      </c>
      <c r="CA624" s="82">
        <f t="shared" si="4393"/>
        <v>3040</v>
      </c>
      <c r="CB624" s="82">
        <f t="shared" si="4393"/>
        <v>1902</v>
      </c>
      <c r="CC624" s="82">
        <f t="shared" ref="CC624:CP624" si="4394">SUM(CC620:CC623)</f>
        <v>2740</v>
      </c>
      <c r="CD624" s="82">
        <f t="shared" si="4394"/>
        <v>3597</v>
      </c>
      <c r="CE624" s="82">
        <f t="shared" si="4394"/>
        <v>2426</v>
      </c>
      <c r="CF624" s="82">
        <f t="shared" si="4394"/>
        <v>519</v>
      </c>
      <c r="CG624" s="82">
        <f t="shared" si="4394"/>
        <v>4067</v>
      </c>
      <c r="CH624" s="82">
        <f t="shared" si="4394"/>
        <v>5389</v>
      </c>
      <c r="CI624" s="82">
        <f t="shared" si="4394"/>
        <v>3844</v>
      </c>
      <c r="CJ624" s="82">
        <f t="shared" si="4394"/>
        <v>3337</v>
      </c>
      <c r="CK624" s="82">
        <f t="shared" si="4394"/>
        <v>6496</v>
      </c>
      <c r="CL624" s="82">
        <f t="shared" si="4394"/>
        <v>6307</v>
      </c>
      <c r="CM624" s="82">
        <f t="shared" si="4394"/>
        <v>7993</v>
      </c>
      <c r="CN624" s="82">
        <f t="shared" si="4394"/>
        <v>8903</v>
      </c>
      <c r="CO624" s="82">
        <f t="shared" si="4394"/>
        <v>9369</v>
      </c>
      <c r="CP624" s="82">
        <f t="shared" si="4394"/>
        <v>9867</v>
      </c>
      <c r="CQ624" s="82">
        <f t="shared" ref="CQ624:CX624" si="4395">SUM(CQ620:CQ623)</f>
        <v>9507</v>
      </c>
      <c r="CR624" s="82">
        <f t="shared" si="4395"/>
        <v>9147</v>
      </c>
      <c r="CS624" s="82">
        <f t="shared" si="4395"/>
        <v>9654</v>
      </c>
      <c r="CT624" s="82">
        <f t="shared" si="4395"/>
        <v>9280.9999999999964</v>
      </c>
      <c r="CU624" s="82">
        <f t="shared" si="4395"/>
        <v>7783</v>
      </c>
      <c r="CV624" s="82">
        <f t="shared" si="4395"/>
        <v>9532</v>
      </c>
      <c r="CW624" s="82">
        <f t="shared" si="4395"/>
        <v>6063</v>
      </c>
      <c r="CX624" s="82">
        <f t="shared" si="4395"/>
        <v>9447</v>
      </c>
      <c r="CY624" s="82">
        <f t="shared" ref="CY624:DD624" si="4396">SUM(CY620:CY623)</f>
        <v>8903</v>
      </c>
      <c r="CZ624" s="83">
        <f t="shared" si="4396"/>
        <v>13677</v>
      </c>
      <c r="DA624" s="82">
        <f t="shared" si="4396"/>
        <v>9029.569029340124</v>
      </c>
      <c r="DB624" s="82">
        <f t="shared" si="4396"/>
        <v>11177.905278701459</v>
      </c>
      <c r="DC624" s="82">
        <f t="shared" si="4396"/>
        <v>11542.012351247811</v>
      </c>
      <c r="DD624" s="82">
        <f t="shared" si="4396"/>
        <v>12170.348478154123</v>
      </c>
      <c r="DE624" s="82">
        <f>SUM(DE620:DE623)</f>
        <v>12657.16410317695</v>
      </c>
      <c r="DF624" s="82">
        <f>SUM(DF620:DF623)</f>
        <v>12814.685821009161</v>
      </c>
      <c r="DG624" s="82">
        <f>SUM(DG620:DG623)</f>
        <v>13034.089249167291</v>
      </c>
      <c r="DH624" s="82">
        <f>SUM(DH620:DH623)</f>
        <v>13414.679779952181</v>
      </c>
      <c r="DI624" s="82">
        <f>SUM(DI620:DI623)</f>
        <v>13843.611320105616</v>
      </c>
    </row>
    <row r="625" spans="1:113" outlineLevel="1">
      <c r="A625" s="1" t="s">
        <v>21</v>
      </c>
      <c r="B625" s="19" t="s">
        <v>541</v>
      </c>
      <c r="C625" s="55" t="e">
        <f t="shared" ref="C625:L625" si="4397">B613*B151-C613*C151</f>
        <v>#VALUE!</v>
      </c>
      <c r="D625" s="55">
        <f t="shared" si="4397"/>
        <v>5.6000000000003638</v>
      </c>
      <c r="E625" s="55">
        <f t="shared" si="4397"/>
        <v>-138.90000000000055</v>
      </c>
      <c r="F625" s="55">
        <f t="shared" si="4397"/>
        <v>-136.09999999999945</v>
      </c>
      <c r="G625" s="55">
        <f t="shared" si="4397"/>
        <v>-151.85000000000036</v>
      </c>
      <c r="H625" s="55">
        <f t="shared" si="4397"/>
        <v>-533.14999999999964</v>
      </c>
      <c r="I625" s="55">
        <f t="shared" si="4397"/>
        <v>-592.50000000000091</v>
      </c>
      <c r="J625" s="55">
        <f t="shared" si="4397"/>
        <v>-567.64999999999964</v>
      </c>
      <c r="K625" s="55">
        <f t="shared" si="4397"/>
        <v>-444.25</v>
      </c>
      <c r="L625" s="55">
        <f t="shared" si="4397"/>
        <v>-655.39999999999964</v>
      </c>
      <c r="M625" s="55">
        <f t="shared" ref="M625:AX625" si="4398">L613*L151-M613*M151</f>
        <v>-688.55000000000109</v>
      </c>
      <c r="N625" s="55">
        <f t="shared" si="4398"/>
        <v>-906.54999999999927</v>
      </c>
      <c r="O625" s="55">
        <f t="shared" si="4398"/>
        <v>-538.89999999999964</v>
      </c>
      <c r="P625" s="55">
        <f t="shared" si="4398"/>
        <v>2355.9499999999989</v>
      </c>
      <c r="Q625" s="55">
        <f t="shared" si="4398"/>
        <v>-363.64999999999964</v>
      </c>
      <c r="R625" s="55">
        <f t="shared" si="4398"/>
        <v>-5278.7349999999988</v>
      </c>
      <c r="S625" s="55">
        <f t="shared" si="4398"/>
        <v>-3220.5550000000003</v>
      </c>
      <c r="T625" s="55">
        <f t="shared" si="4398"/>
        <v>-559.84500000000116</v>
      </c>
      <c r="U625" s="55">
        <f t="shared" si="4398"/>
        <v>430.81999999999971</v>
      </c>
      <c r="V625" s="55">
        <f t="shared" si="4398"/>
        <v>341.77000000000044</v>
      </c>
      <c r="W625" s="55">
        <f t="shared" si="4398"/>
        <v>-5689.6595000000016</v>
      </c>
      <c r="X625" s="55">
        <f t="shared" si="4398"/>
        <v>-2009.3529999999992</v>
      </c>
      <c r="Y625" s="55">
        <f>X613*X151-Y613*Y151</f>
        <v>325.70500000000175</v>
      </c>
      <c r="Z625" s="55">
        <f>Y613*Y151-Z613*Z151</f>
        <v>433.48600000000079</v>
      </c>
      <c r="AA625" s="55">
        <f t="shared" si="4398"/>
        <v>-1654.1185000000005</v>
      </c>
      <c r="AB625" s="55">
        <f t="shared" si="4398"/>
        <v>-2086.7024999999994</v>
      </c>
      <c r="AC625" s="55">
        <f t="shared" si="4398"/>
        <v>-307.82499999999709</v>
      </c>
      <c r="AD625" s="55">
        <f t="shared" si="4398"/>
        <v>-2224.2575000000033</v>
      </c>
      <c r="AE625" s="55">
        <f t="shared" si="4398"/>
        <v>-1410.5699999999997</v>
      </c>
      <c r="AF625" s="55">
        <f t="shared" si="4398"/>
        <v>-6081.3100000000049</v>
      </c>
      <c r="AG625" s="55">
        <f t="shared" si="4398"/>
        <v>-200.5</v>
      </c>
      <c r="AH625" s="55">
        <f t="shared" si="4398"/>
        <v>-4181.4000000000015</v>
      </c>
      <c r="AI625" s="55">
        <f t="shared" si="4398"/>
        <v>-2243.5149999999921</v>
      </c>
      <c r="AJ625" s="55">
        <f t="shared" si="4398"/>
        <v>-396.16500000000087</v>
      </c>
      <c r="AK625" s="55">
        <f t="shared" si="4398"/>
        <v>-1866.4799999999959</v>
      </c>
      <c r="AL625" s="55">
        <f t="shared" si="4398"/>
        <v>1414.1399999999994</v>
      </c>
      <c r="AM625" s="55">
        <f t="shared" si="4398"/>
        <v>-799.88999999999942</v>
      </c>
      <c r="AN625" s="55">
        <f t="shared" si="4398"/>
        <v>378.83999999999651</v>
      </c>
      <c r="AO625" s="55">
        <f t="shared" si="4398"/>
        <v>-608.37000000000262</v>
      </c>
      <c r="AP625" s="55">
        <f t="shared" si="4398"/>
        <v>139.86000000000058</v>
      </c>
      <c r="AQ625" s="55">
        <f t="shared" si="4398"/>
        <v>308.27999999999884</v>
      </c>
      <c r="AR625" s="55">
        <f t="shared" si="4398"/>
        <v>-2230.9349999999977</v>
      </c>
      <c r="AS625" s="55">
        <f t="shared" si="4398"/>
        <v>-2726.3249999999971</v>
      </c>
      <c r="AT625" s="55">
        <f t="shared" si="4398"/>
        <v>-681.24000000000524</v>
      </c>
      <c r="AU625" s="55">
        <f t="shared" si="4398"/>
        <v>1480.7799999999988</v>
      </c>
      <c r="AV625" s="55">
        <f t="shared" si="4398"/>
        <v>478.27999999999884</v>
      </c>
      <c r="AW625" s="55">
        <f t="shared" si="4398"/>
        <v>-2767.5250000000015</v>
      </c>
      <c r="AX625" s="55">
        <f t="shared" si="4398"/>
        <v>-1704.0699999999997</v>
      </c>
      <c r="AY625" s="55">
        <f t="shared" ref="AY625:BE625" si="4399">AX613*AX151-AY613*AY151</f>
        <v>-1584.239999999998</v>
      </c>
      <c r="AZ625" s="56">
        <f t="shared" si="4399"/>
        <v>-1053.9749999999985</v>
      </c>
      <c r="BA625" s="55">
        <f t="shared" si="4399"/>
        <v>-1486.2739737588272</v>
      </c>
      <c r="BB625" s="55">
        <f t="shared" si="4399"/>
        <v>-550.26663927570189</v>
      </c>
      <c r="BC625" s="55">
        <f t="shared" si="4399"/>
        <v>-522.80706485615519</v>
      </c>
      <c r="BD625" s="55">
        <f t="shared" si="4399"/>
        <v>-710.159994206173</v>
      </c>
      <c r="BE625" s="55">
        <f t="shared" si="4399"/>
        <v>-690.65802785506094</v>
      </c>
      <c r="BF625" s="55">
        <f t="shared" ref="BF625:BM625" si="4400">BE613*BE151-BF613*BF151</f>
        <v>-925.50337069147645</v>
      </c>
      <c r="BG625" s="55">
        <f t="shared" si="4400"/>
        <v>-866.84027962522669</v>
      </c>
      <c r="BH625" s="55">
        <f t="shared" si="4400"/>
        <v>-932.42559963699023</v>
      </c>
      <c r="BI625" s="55">
        <f t="shared" si="4400"/>
        <v>-855.16711585086159</v>
      </c>
      <c r="BJ625" s="55">
        <f t="shared" si="4400"/>
        <v>-1075.6061015449959</v>
      </c>
      <c r="BK625" s="55">
        <f t="shared" si="4400"/>
        <v>-1190.0122751678427</v>
      </c>
      <c r="BL625" s="55">
        <f t="shared" si="4400"/>
        <v>-1212.3476982279535</v>
      </c>
      <c r="BM625" s="55">
        <f t="shared" si="4400"/>
        <v>-1235.1152475531271</v>
      </c>
      <c r="BN625" s="55">
        <f t="shared" ref="BN625" si="4401">BM613*BM151-BN613*BN151</f>
        <v>-1258.323427088646</v>
      </c>
      <c r="BO625" s="55">
        <f t="shared" ref="BO625" si="4402">BN613*BN151-BO613*BO151</f>
        <v>-1281.9809096965619</v>
      </c>
      <c r="BP625" s="55">
        <f t="shared" ref="BP625" si="4403">BO613*BO151-BP613*BP151</f>
        <v>-1306.0965405276511</v>
      </c>
      <c r="BQ625" s="55">
        <f t="shared" ref="BQ625" si="4404">BP613*BP151-BQ613*BQ151</f>
        <v>-1330.6793404615164</v>
      </c>
      <c r="BR625" s="55"/>
      <c r="BS625" s="55">
        <f t="shared" ref="BS625:CB625" si="4405">BR613*BR151-BS613*BS151</f>
        <v>-3641.8449999999998</v>
      </c>
      <c r="BT625" s="55">
        <f t="shared" si="4405"/>
        <v>254.45499999999947</v>
      </c>
      <c r="BU625" s="55">
        <f t="shared" si="4405"/>
        <v>40.490000000000236</v>
      </c>
      <c r="BV625" s="55">
        <f t="shared" si="4405"/>
        <v>-172.25</v>
      </c>
      <c r="BW625" s="55">
        <f t="shared" si="4405"/>
        <v>-343.15000000000009</v>
      </c>
      <c r="BX625" s="55">
        <f t="shared" si="4405"/>
        <v>-461.10000000000036</v>
      </c>
      <c r="BY625" s="55">
        <f t="shared" si="4405"/>
        <v>-398.14999999999964</v>
      </c>
      <c r="BZ625" s="55">
        <f t="shared" si="4405"/>
        <v>-256.25</v>
      </c>
      <c r="CA625" s="55">
        <f t="shared" si="4405"/>
        <v>-1446.4000000000005</v>
      </c>
      <c r="CB625" s="55">
        <f t="shared" si="4405"/>
        <v>-494.94999999999982</v>
      </c>
      <c r="CC625" s="55">
        <f>SUM(D625:E625)</f>
        <v>-133.30000000000018</v>
      </c>
      <c r="CD625" s="55">
        <f>SUM(F625:G625)</f>
        <v>-287.94999999999982</v>
      </c>
      <c r="CE625" s="55">
        <f>SUM(H625:I625)</f>
        <v>-1125.6500000000005</v>
      </c>
      <c r="CF625" s="55">
        <f>SUM(J625:K625)</f>
        <v>-1011.8999999999996</v>
      </c>
      <c r="CG625" s="55">
        <f>SUM(L625:M625)</f>
        <v>-1343.9500000000007</v>
      </c>
      <c r="CH625" s="55">
        <f>SUM(N625:O625)</f>
        <v>-1445.4499999999989</v>
      </c>
      <c r="CI625" s="55">
        <f>SUM(P625:Q625)</f>
        <v>1992.2999999999993</v>
      </c>
      <c r="CJ625" s="55">
        <f>SUM(R625:S625)</f>
        <v>-8499.2899999999991</v>
      </c>
      <c r="CK625" s="55">
        <f>SUM(T625:U625)</f>
        <v>-129.02500000000146</v>
      </c>
      <c r="CL625" s="55">
        <f>SUM(V625:W625)</f>
        <v>-5347.8895000000011</v>
      </c>
      <c r="CM625" s="55">
        <f>SUM(X625:Y625)</f>
        <v>-1683.6479999999974</v>
      </c>
      <c r="CN625" s="55">
        <f>SUM(Z625:AA625)</f>
        <v>-1220.6324999999997</v>
      </c>
      <c r="CO625" s="55">
        <f>SUM(AB625:AC625)</f>
        <v>-2394.5274999999965</v>
      </c>
      <c r="CP625" s="55">
        <f>SUM(AD625:AE625)</f>
        <v>-3634.8275000000031</v>
      </c>
      <c r="CQ625" s="55">
        <f>SUM(AF625:AG625)</f>
        <v>-6281.8100000000049</v>
      </c>
      <c r="CR625" s="55">
        <f>SUM(AH625:AI625)</f>
        <v>-6424.9149999999936</v>
      </c>
      <c r="CS625" s="55">
        <f>SUM(AJ625:AK625)</f>
        <v>-2262.6449999999968</v>
      </c>
      <c r="CT625" s="55">
        <f>SUM(AL625:AM625)</f>
        <v>614.25</v>
      </c>
      <c r="CU625" s="55">
        <f>SUM(AN625:AO625)</f>
        <v>-229.53000000000611</v>
      </c>
      <c r="CV625" s="55">
        <f>SUM(AP625:AQ625)</f>
        <v>448.13999999999942</v>
      </c>
      <c r="CW625" s="55">
        <f>SUM(AR625:AS625)</f>
        <v>-4957.2599999999948</v>
      </c>
      <c r="CX625" s="55">
        <f>SUM(AT625:AU625)</f>
        <v>799.5399999999936</v>
      </c>
      <c r="CY625" s="55">
        <f>SUM(AV625:AW625)</f>
        <v>-2289.2450000000026</v>
      </c>
      <c r="CZ625" s="56">
        <f>SUM(AX625:AY625)</f>
        <v>-3288.3099999999977</v>
      </c>
      <c r="DA625" s="55">
        <f>SUM(AZ625:BA625)</f>
        <v>-2540.2489737588257</v>
      </c>
      <c r="DB625" s="55">
        <f>SUM(BB625:BC625)</f>
        <v>-1073.0737041318571</v>
      </c>
      <c r="DC625" s="55">
        <f>SUM(BD625:BE625)</f>
        <v>-1400.8180220612339</v>
      </c>
      <c r="DD625" s="55">
        <f>SUM(BF625:BG625)</f>
        <v>-1792.3436503167031</v>
      </c>
      <c r="DE625" s="55">
        <f>SUM(BH625:BI625)</f>
        <v>-1787.5927154878518</v>
      </c>
      <c r="DF625" s="55">
        <f>SUM(BJ625:BK625)</f>
        <v>-2265.6183767128387</v>
      </c>
      <c r="DG625" s="55">
        <f>SUM(BL625:BM625)</f>
        <v>-2447.4629457810806</v>
      </c>
      <c r="DH625" s="55">
        <f>SUM(BN625:BO625)</f>
        <v>-2540.3043367852079</v>
      </c>
      <c r="DI625" s="55">
        <f>SUM(BP625:BQ625)</f>
        <v>-2636.7758809891675</v>
      </c>
    </row>
    <row r="626" spans="1:113" outlineLevel="1">
      <c r="A626" s="1" t="s">
        <v>22</v>
      </c>
      <c r="B626" s="19" t="s">
        <v>542</v>
      </c>
      <c r="C626" s="55" t="e">
        <f>(C576+C556)-(B576+B556)</f>
        <v>#VALUE!</v>
      </c>
      <c r="D626" s="55">
        <f>(D576+D556)-(C576+C556)</f>
        <v>-224</v>
      </c>
      <c r="E626" s="55">
        <f>(E576+E556)-(D576+D556)</f>
        <v>-335</v>
      </c>
      <c r="F626" s="55">
        <f t="shared" ref="F626:L626" si="4406">(F576+F556)-(E576+E556)</f>
        <v>-326</v>
      </c>
      <c r="G626" s="55">
        <f t="shared" si="4406"/>
        <v>519</v>
      </c>
      <c r="H626" s="55">
        <f t="shared" si="4406"/>
        <v>-47</v>
      </c>
      <c r="I626" s="55">
        <f t="shared" si="4406"/>
        <v>-305</v>
      </c>
      <c r="J626" s="55">
        <f t="shared" si="4406"/>
        <v>763</v>
      </c>
      <c r="K626" s="55">
        <f t="shared" si="4406"/>
        <v>255</v>
      </c>
      <c r="L626" s="55">
        <f t="shared" si="4406"/>
        <v>0</v>
      </c>
      <c r="M626" s="55">
        <f t="shared" ref="M626:X626" si="4407">(M576+M556)-(L576+L556)</f>
        <v>0</v>
      </c>
      <c r="N626" s="55">
        <f t="shared" si="4407"/>
        <v>1910</v>
      </c>
      <c r="O626" s="55">
        <f t="shared" si="4407"/>
        <v>0</v>
      </c>
      <c r="P626" s="55">
        <f t="shared" si="4407"/>
        <v>-296</v>
      </c>
      <c r="Q626" s="55">
        <f t="shared" si="4407"/>
        <v>-80</v>
      </c>
      <c r="R626" s="55">
        <f t="shared" si="4407"/>
        <v>-143</v>
      </c>
      <c r="S626" s="55">
        <f t="shared" si="4407"/>
        <v>-10</v>
      </c>
      <c r="T626" s="55">
        <f t="shared" si="4407"/>
        <v>-71</v>
      </c>
      <c r="U626" s="55">
        <f t="shared" si="4407"/>
        <v>-278</v>
      </c>
      <c r="V626" s="55">
        <f t="shared" si="4407"/>
        <v>-183</v>
      </c>
      <c r="W626" s="55">
        <f t="shared" si="4407"/>
        <v>10</v>
      </c>
      <c r="X626" s="55">
        <f t="shared" si="4407"/>
        <v>-260</v>
      </c>
      <c r="Y626" s="55">
        <f>(Y576+Y556)-(X576+X556)</f>
        <v>-196</v>
      </c>
      <c r="Z626" s="55">
        <f>(Z576+Z556)-(Y576+Y556)</f>
        <v>-116</v>
      </c>
      <c r="AA626" s="55">
        <f t="shared" ref="AA626:AX626" si="4408">(AA576+AA556)-(Z576+Z556)</f>
        <v>-670</v>
      </c>
      <c r="AB626" s="55">
        <f t="shared" si="4408"/>
        <v>-149</v>
      </c>
      <c r="AC626" s="55">
        <f t="shared" si="4408"/>
        <v>103</v>
      </c>
      <c r="AD626" s="55">
        <f t="shared" si="4408"/>
        <v>-97</v>
      </c>
      <c r="AE626" s="55">
        <f t="shared" si="4408"/>
        <v>-550</v>
      </c>
      <c r="AF626" s="55">
        <f t="shared" si="4408"/>
        <v>248</v>
      </c>
      <c r="AG626" s="55">
        <f t="shared" si="4408"/>
        <v>269</v>
      </c>
      <c r="AH626" s="55">
        <f t="shared" si="4408"/>
        <v>-420</v>
      </c>
      <c r="AI626" s="55">
        <f t="shared" si="4408"/>
        <v>-1073</v>
      </c>
      <c r="AJ626" s="55">
        <f t="shared" si="4408"/>
        <v>-200</v>
      </c>
      <c r="AK626" s="55">
        <f t="shared" si="4408"/>
        <v>-406</v>
      </c>
      <c r="AL626" s="55">
        <f t="shared" si="4408"/>
        <v>495</v>
      </c>
      <c r="AM626" s="55">
        <f t="shared" si="4408"/>
        <v>-22</v>
      </c>
      <c r="AN626" s="55">
        <f t="shared" si="4408"/>
        <v>400</v>
      </c>
      <c r="AO626" s="55">
        <f t="shared" si="4408"/>
        <v>1189</v>
      </c>
      <c r="AP626" s="55">
        <f t="shared" si="4408"/>
        <v>705</v>
      </c>
      <c r="AQ626" s="55">
        <f t="shared" si="4408"/>
        <v>18</v>
      </c>
      <c r="AR626" s="55">
        <f t="shared" si="4408"/>
        <v>689</v>
      </c>
      <c r="AS626" s="55">
        <f t="shared" si="4408"/>
        <v>-31</v>
      </c>
      <c r="AT626" s="55">
        <f t="shared" si="4408"/>
        <v>256</v>
      </c>
      <c r="AU626" s="55">
        <f t="shared" si="4408"/>
        <v>-17</v>
      </c>
      <c r="AV626" s="55">
        <f t="shared" si="4408"/>
        <v>0</v>
      </c>
      <c r="AW626" s="55">
        <f t="shared" si="4408"/>
        <v>-9</v>
      </c>
      <c r="AX626" s="55">
        <f t="shared" si="4408"/>
        <v>-6</v>
      </c>
      <c r="AY626" s="55">
        <f t="shared" ref="AY626:BE626" si="4409">(AY576+AY556)-(AX576+AX556)</f>
        <v>86</v>
      </c>
      <c r="AZ626" s="56">
        <f t="shared" si="4409"/>
        <v>-102</v>
      </c>
      <c r="BA626" s="55">
        <f t="shared" si="4409"/>
        <v>-2.6800000000000068</v>
      </c>
      <c r="BB626" s="55">
        <f t="shared" si="4409"/>
        <v>-2.7871999999999844</v>
      </c>
      <c r="BC626" s="55">
        <f t="shared" si="4409"/>
        <v>-2.8986880000000212</v>
      </c>
      <c r="BD626" s="55">
        <f t="shared" si="4409"/>
        <v>-3.0146355199999846</v>
      </c>
      <c r="BE626" s="55">
        <f t="shared" si="4409"/>
        <v>-3.1352209408000249</v>
      </c>
      <c r="BF626" s="55">
        <f t="shared" ref="BF626:BM626" si="4410">(BF576+BF556)-(BE576+BE556)</f>
        <v>-3.2606297784319906</v>
      </c>
      <c r="BG626" s="55">
        <f t="shared" si="4410"/>
        <v>-3.3910549695692964</v>
      </c>
      <c r="BH626" s="55">
        <f t="shared" si="4410"/>
        <v>-3.5266971683520296</v>
      </c>
      <c r="BI626" s="55">
        <f t="shared" si="4410"/>
        <v>-3.6677650550861358</v>
      </c>
      <c r="BJ626" s="55">
        <f t="shared" si="4410"/>
        <v>-2.8196128571332224</v>
      </c>
      <c r="BK626" s="55">
        <f t="shared" si="4410"/>
        <v>0.40338993556821379</v>
      </c>
      <c r="BL626" s="55">
        <f t="shared" si="4410"/>
        <v>-2.8700457635052601</v>
      </c>
      <c r="BM626" s="55">
        <f t="shared" si="4410"/>
        <v>-0.14387749623014656</v>
      </c>
      <c r="BN626" s="55">
        <f t="shared" ref="BN626" si="4411">(BN576+BN556)-(BM576+BM556)</f>
        <v>-2.9583209134864887</v>
      </c>
      <c r="BO626" s="55">
        <f t="shared" ref="BO626" si="4412">(BO576+BO556)-(BN576+BN556)</f>
        <v>0.41886154940340248</v>
      </c>
      <c r="BP626" s="55">
        <f t="shared" ref="BP626" si="4413">(BP576+BP556)-(BO576+BO556)</f>
        <v>-3.3320964745569768</v>
      </c>
      <c r="BQ626" s="55">
        <f t="shared" ref="BQ626" si="4414">(BQ576+BQ556)-(BP576+BP556)</f>
        <v>0.42683407579551158</v>
      </c>
      <c r="BR626" s="55"/>
      <c r="BS626" s="55">
        <f t="shared" ref="BS626:CB626" si="4415">(BS576+BS556)-(BR576+BR556)</f>
        <v>0</v>
      </c>
      <c r="BT626" s="55">
        <f t="shared" si="4415"/>
        <v>0</v>
      </c>
      <c r="BU626" s="55">
        <f t="shared" si="4415"/>
        <v>0</v>
      </c>
      <c r="BV626" s="55">
        <f t="shared" si="4415"/>
        <v>0</v>
      </c>
      <c r="BW626" s="55">
        <f t="shared" si="4415"/>
        <v>0</v>
      </c>
      <c r="BX626" s="55">
        <f t="shared" si="4415"/>
        <v>0</v>
      </c>
      <c r="BY626" s="55">
        <f t="shared" si="4415"/>
        <v>0</v>
      </c>
      <c r="BZ626" s="55">
        <f t="shared" si="4415"/>
        <v>0</v>
      </c>
      <c r="CA626" s="55">
        <f t="shared" si="4415"/>
        <v>-588</v>
      </c>
      <c r="CB626" s="55">
        <f t="shared" si="4415"/>
        <v>-870</v>
      </c>
      <c r="CC626" s="55">
        <f>SUM(D626:E626)</f>
        <v>-559</v>
      </c>
      <c r="CD626" s="55">
        <f>SUM(F626:G626)</f>
        <v>193</v>
      </c>
      <c r="CE626" s="55">
        <f>SUM(H626:I626)</f>
        <v>-352</v>
      </c>
      <c r="CF626" s="55">
        <f>SUM(J626:K626)</f>
        <v>1018</v>
      </c>
      <c r="CG626" s="55">
        <f>SUM(L626:M626)</f>
        <v>0</v>
      </c>
      <c r="CH626" s="55">
        <f>SUM(N626:O626)</f>
        <v>1910</v>
      </c>
      <c r="CI626" s="55">
        <f>SUM(P626:Q626)</f>
        <v>-376</v>
      </c>
      <c r="CJ626" s="55">
        <f>SUM(R626:S626)</f>
        <v>-153</v>
      </c>
      <c r="CK626" s="55">
        <f>SUM(T626:U626)</f>
        <v>-349</v>
      </c>
      <c r="CL626" s="55">
        <f>SUM(V626:W626)</f>
        <v>-173</v>
      </c>
      <c r="CM626" s="55">
        <f>SUM(X626:Y626)</f>
        <v>-456</v>
      </c>
      <c r="CN626" s="55">
        <f>SUM(Z626:AA626)</f>
        <v>-786</v>
      </c>
      <c r="CO626" s="55">
        <f>SUM(AB626:AC626)</f>
        <v>-46</v>
      </c>
      <c r="CP626" s="55">
        <f>SUM(AD626:AE626)</f>
        <v>-647</v>
      </c>
      <c r="CQ626" s="55">
        <f>SUM(AF626:AG626)</f>
        <v>517</v>
      </c>
      <c r="CR626" s="55">
        <f>SUM(AH626:AI626)</f>
        <v>-1493</v>
      </c>
      <c r="CS626" s="55">
        <f>SUM(AJ626:AK626)</f>
        <v>-606</v>
      </c>
      <c r="CT626" s="55">
        <f>SUM(AL626:AM626)</f>
        <v>473</v>
      </c>
      <c r="CU626" s="55">
        <f>SUM(AN626:AO626)</f>
        <v>1589</v>
      </c>
      <c r="CV626" s="55">
        <f>SUM(AP626:AQ626)</f>
        <v>723</v>
      </c>
      <c r="CW626" s="55">
        <f>SUM(AR626:AS626)</f>
        <v>658</v>
      </c>
      <c r="CX626" s="55">
        <f>SUM(AT626:AU626)</f>
        <v>239</v>
      </c>
      <c r="CY626" s="55">
        <f>SUM(AV626:AW626)</f>
        <v>-9</v>
      </c>
      <c r="CZ626" s="56">
        <f>SUM(AX626:AY626)</f>
        <v>80</v>
      </c>
      <c r="DA626" s="55">
        <f>SUM(AZ626:BA626)</f>
        <v>-104.68</v>
      </c>
      <c r="DB626" s="55">
        <f>SUM(BB626:BC626)</f>
        <v>-5.6858880000000056</v>
      </c>
      <c r="DC626" s="55">
        <f>SUM(BD626:BE626)</f>
        <v>-6.1498564608000095</v>
      </c>
      <c r="DD626" s="55">
        <f>SUM(BF626:BG626)</f>
        <v>-6.6516847480012871</v>
      </c>
      <c r="DE626" s="55">
        <f>SUM(BH626:BI626)</f>
        <v>-7.1944622234381654</v>
      </c>
      <c r="DF626" s="55">
        <f>SUM(BJ626:BK626)</f>
        <v>-2.4162229215650086</v>
      </c>
      <c r="DG626" s="55">
        <f>SUM(BL626:BM626)</f>
        <v>-3.0139232597354066</v>
      </c>
      <c r="DH626" s="55">
        <f>SUM(BN626:BO626)</f>
        <v>-2.5394593640830863</v>
      </c>
      <c r="DI626" s="55">
        <f>SUM(BP626:BQ626)</f>
        <v>-2.9052623987614652</v>
      </c>
    </row>
    <row r="627" spans="1:113" outlineLevel="1">
      <c r="A627" s="1" t="s">
        <v>23</v>
      </c>
      <c r="B627" s="19" t="s">
        <v>781</v>
      </c>
      <c r="C627" s="55" t="e">
        <f t="shared" ref="C627:L627" si="4416">C524+(C571+C572)-(B571+B572)</f>
        <v>#VALUE!</v>
      </c>
      <c r="D627" s="55">
        <f t="shared" si="4416"/>
        <v>-170</v>
      </c>
      <c r="E627" s="55">
        <f t="shared" si="4416"/>
        <v>-300</v>
      </c>
      <c r="F627" s="55">
        <f t="shared" si="4416"/>
        <v>467</v>
      </c>
      <c r="G627" s="55">
        <f t="shared" si="4416"/>
        <v>-177</v>
      </c>
      <c r="H627" s="55">
        <f t="shared" si="4416"/>
        <v>-306</v>
      </c>
      <c r="I627" s="55">
        <f t="shared" si="4416"/>
        <v>-30</v>
      </c>
      <c r="J627" s="55">
        <f t="shared" si="4416"/>
        <v>-133</v>
      </c>
      <c r="K627" s="55">
        <f t="shared" si="4416"/>
        <v>-318</v>
      </c>
      <c r="L627" s="55">
        <f t="shared" si="4416"/>
        <v>-41</v>
      </c>
      <c r="M627" s="55">
        <f t="shared" ref="M627:AX627" si="4417">M524+(M571+M572)-(L571+L572)</f>
        <v>-81</v>
      </c>
      <c r="N627" s="55">
        <f t="shared" si="4417"/>
        <v>1858</v>
      </c>
      <c r="O627" s="55">
        <f t="shared" si="4417"/>
        <v>-36</v>
      </c>
      <c r="P627" s="55">
        <f t="shared" si="4417"/>
        <v>-427</v>
      </c>
      <c r="Q627" s="55">
        <f t="shared" si="4417"/>
        <v>11</v>
      </c>
      <c r="R627" s="55">
        <f t="shared" si="4417"/>
        <v>-97</v>
      </c>
      <c r="S627" s="55">
        <f t="shared" si="4417"/>
        <v>-1056</v>
      </c>
      <c r="T627" s="55">
        <f t="shared" si="4417"/>
        <v>96</v>
      </c>
      <c r="U627" s="55">
        <f t="shared" si="4417"/>
        <v>-514</v>
      </c>
      <c r="V627" s="55">
        <f t="shared" si="4417"/>
        <v>-338</v>
      </c>
      <c r="W627" s="55">
        <f t="shared" si="4417"/>
        <v>-279</v>
      </c>
      <c r="X627" s="55">
        <f t="shared" si="4417"/>
        <v>-342</v>
      </c>
      <c r="Y627" s="55">
        <f>Y524+(Y571+Y572)-(X571+X572)</f>
        <v>-316</v>
      </c>
      <c r="Z627" s="55">
        <f>Z524+(Z571+Z572)-(Y571+Y572)</f>
        <v>-159</v>
      </c>
      <c r="AA627" s="55">
        <f t="shared" si="4417"/>
        <v>15</v>
      </c>
      <c r="AB627" s="55">
        <f t="shared" si="4417"/>
        <v>-23</v>
      </c>
      <c r="AC627" s="55">
        <f t="shared" si="4417"/>
        <v>545</v>
      </c>
      <c r="AD627" s="55">
        <f t="shared" si="4417"/>
        <v>-153</v>
      </c>
      <c r="AE627" s="55">
        <f t="shared" si="4417"/>
        <v>-58</v>
      </c>
      <c r="AF627" s="55">
        <f t="shared" si="4417"/>
        <v>-224</v>
      </c>
      <c r="AG627" s="55">
        <f t="shared" si="4417"/>
        <v>-62</v>
      </c>
      <c r="AH627" s="55">
        <f t="shared" si="4417"/>
        <v>176</v>
      </c>
      <c r="AI627" s="55">
        <f t="shared" si="4417"/>
        <v>23</v>
      </c>
      <c r="AJ627" s="55">
        <f t="shared" si="4417"/>
        <v>-566</v>
      </c>
      <c r="AK627" s="55">
        <f t="shared" si="4417"/>
        <v>102</v>
      </c>
      <c r="AL627" s="55">
        <f t="shared" si="4417"/>
        <v>364</v>
      </c>
      <c r="AM627" s="55">
        <f t="shared" si="4417"/>
        <v>-47</v>
      </c>
      <c r="AN627" s="55">
        <f t="shared" si="4417"/>
        <v>3688</v>
      </c>
      <c r="AO627" s="55">
        <f t="shared" si="4417"/>
        <v>608</v>
      </c>
      <c r="AP627" s="55">
        <f t="shared" si="4417"/>
        <v>908</v>
      </c>
      <c r="AQ627" s="55">
        <f t="shared" si="4417"/>
        <v>467</v>
      </c>
      <c r="AR627" s="55">
        <f t="shared" si="4417"/>
        <v>1422</v>
      </c>
      <c r="AS627" s="55">
        <f t="shared" si="4417"/>
        <v>350</v>
      </c>
      <c r="AT627" s="55">
        <f t="shared" si="4417"/>
        <v>-221</v>
      </c>
      <c r="AU627" s="55">
        <f t="shared" si="4417"/>
        <v>-330</v>
      </c>
      <c r="AV627" s="55">
        <f t="shared" si="4417"/>
        <v>-383</v>
      </c>
      <c r="AW627" s="55">
        <f t="shared" si="4417"/>
        <v>-277</v>
      </c>
      <c r="AX627" s="55">
        <f t="shared" si="4417"/>
        <v>-192</v>
      </c>
      <c r="AY627" s="55">
        <f t="shared" ref="AY627:BE627" si="4418">AY524+(AY571+AY572)-(AX571+AX572)</f>
        <v>-307</v>
      </c>
      <c r="AZ627" s="56">
        <f t="shared" si="4418"/>
        <v>-259</v>
      </c>
      <c r="BA627" s="55">
        <f t="shared" si="4418"/>
        <v>-186.91624079185567</v>
      </c>
      <c r="BB627" s="55">
        <f t="shared" si="4418"/>
        <v>-149.4174712055119</v>
      </c>
      <c r="BC627" s="55">
        <f t="shared" si="4418"/>
        <v>-116.36412706285591</v>
      </c>
      <c r="BD627" s="55">
        <f t="shared" si="4418"/>
        <v>-87.122323280334967</v>
      </c>
      <c r="BE627" s="55">
        <f t="shared" si="4418"/>
        <v>-85.944142509008088</v>
      </c>
      <c r="BF627" s="55">
        <f t="shared" ref="BF627:BM627" si="4419">BF524+(BF571+BF572)-(BE571+BE572)</f>
        <v>-85.143466227669705</v>
      </c>
      <c r="BG627" s="55">
        <f t="shared" si="4419"/>
        <v>-84.672768813910807</v>
      </c>
      <c r="BH627" s="55">
        <f t="shared" si="4419"/>
        <v>-84.491137272480046</v>
      </c>
      <c r="BI627" s="55">
        <f t="shared" si="4419"/>
        <v>-84.563364897896463</v>
      </c>
      <c r="BJ627" s="55">
        <f t="shared" si="4419"/>
        <v>-63.247340047746547</v>
      </c>
      <c r="BK627" s="55">
        <f t="shared" si="4419"/>
        <v>-80.903066523826055</v>
      </c>
      <c r="BL627" s="55">
        <f t="shared" si="4419"/>
        <v>-66.431689303937674</v>
      </c>
      <c r="BM627" s="55">
        <f t="shared" si="4419"/>
        <v>-79.371783900542141</v>
      </c>
      <c r="BN627" s="55">
        <f t="shared" ref="BN627" si="4420">BN524+(BN571+BN572)-(BM571+BM572)</f>
        <v>-67.543874350192709</v>
      </c>
      <c r="BO627" s="55">
        <f t="shared" ref="BO627" si="4421">BO524+(BO571+BO572)-(BN571+BN572)</f>
        <v>-81.590488839436148</v>
      </c>
      <c r="BP627" s="55">
        <f t="shared" ref="BP627" si="4422">BP524+(BP571+BP572)-(BO571+BO572)</f>
        <v>-61.48832551594387</v>
      </c>
      <c r="BQ627" s="55">
        <f t="shared" ref="BQ627" si="4423">BQ524+(BQ571+BQ572)-(BP571+BP572)</f>
        <v>-78.286897051371852</v>
      </c>
      <c r="BR627" s="55"/>
      <c r="BS627" s="55">
        <f t="shared" ref="BS627:CB627" si="4424">BS524+(BS571+BS572)-(BR571+BR572)</f>
        <v>-731.6</v>
      </c>
      <c r="BT627" s="55">
        <f t="shared" si="4424"/>
        <v>45.200000000000045</v>
      </c>
      <c r="BU627" s="55">
        <f t="shared" si="4424"/>
        <v>39.199999999999932</v>
      </c>
      <c r="BV627" s="55">
        <f t="shared" si="4424"/>
        <v>39.200000000000045</v>
      </c>
      <c r="BW627" s="55">
        <f t="shared" si="4424"/>
        <v>34</v>
      </c>
      <c r="BX627" s="55">
        <f t="shared" si="4424"/>
        <v>-43</v>
      </c>
      <c r="BY627" s="55">
        <f t="shared" si="4424"/>
        <v>-3</v>
      </c>
      <c r="BZ627" s="55">
        <f t="shared" si="4424"/>
        <v>-7</v>
      </c>
      <c r="CA627" s="55">
        <f t="shared" si="4424"/>
        <v>-8035</v>
      </c>
      <c r="CB627" s="55">
        <f t="shared" si="4424"/>
        <v>-1135</v>
      </c>
      <c r="CC627" s="55">
        <f>SUM(D627:E627)</f>
        <v>-470</v>
      </c>
      <c r="CD627" s="55">
        <f>SUM(F627:G627)</f>
        <v>290</v>
      </c>
      <c r="CE627" s="55">
        <f>SUM(H627:I627)</f>
        <v>-336</v>
      </c>
      <c r="CF627" s="55">
        <f>SUM(J627:K627)</f>
        <v>-451</v>
      </c>
      <c r="CG627" s="55">
        <f>SUM(L627:M627)</f>
        <v>-122</v>
      </c>
      <c r="CH627" s="55">
        <f>SUM(N627:O627)</f>
        <v>1822</v>
      </c>
      <c r="CI627" s="55">
        <f>SUM(P627:Q627)</f>
        <v>-416</v>
      </c>
      <c r="CJ627" s="55">
        <f>SUM(R627:S627)</f>
        <v>-1153</v>
      </c>
      <c r="CK627" s="55">
        <f>SUM(T627:U627)</f>
        <v>-418</v>
      </c>
      <c r="CL627" s="55">
        <f>SUM(V627:W627)</f>
        <v>-617</v>
      </c>
      <c r="CM627" s="55">
        <f>SUM(X627:Y627)</f>
        <v>-658</v>
      </c>
      <c r="CN627" s="55">
        <f>SUM(Z627:AA627)</f>
        <v>-144</v>
      </c>
      <c r="CO627" s="55">
        <f>SUM(AB627:AC627)</f>
        <v>522</v>
      </c>
      <c r="CP627" s="55">
        <f>SUM(AD627:AE627)</f>
        <v>-211</v>
      </c>
      <c r="CQ627" s="55">
        <f>SUM(AF627:AG627)</f>
        <v>-286</v>
      </c>
      <c r="CR627" s="55">
        <f>SUM(AH627:AI627)</f>
        <v>199</v>
      </c>
      <c r="CS627" s="55">
        <f>SUM(AJ627:AK627)</f>
        <v>-464</v>
      </c>
      <c r="CT627" s="55">
        <f>SUM(AL627:AM627)</f>
        <v>317</v>
      </c>
      <c r="CU627" s="55">
        <f>SUM(AN627:AO627)</f>
        <v>4296</v>
      </c>
      <c r="CV627" s="55">
        <f>SUM(AP627:AQ627)</f>
        <v>1375</v>
      </c>
      <c r="CW627" s="55">
        <f>SUM(AR627:AS627)</f>
        <v>1772</v>
      </c>
      <c r="CX627" s="55">
        <f>SUM(AT627:AU627)</f>
        <v>-551</v>
      </c>
      <c r="CY627" s="55">
        <f>SUM(AV627:AW627)</f>
        <v>-660</v>
      </c>
      <c r="CZ627" s="56">
        <f>SUM(AX627:AY627)</f>
        <v>-499</v>
      </c>
      <c r="DA627" s="55">
        <f>SUM(AZ627:BA627)</f>
        <v>-445.91624079185567</v>
      </c>
      <c r="DB627" s="55">
        <f>SUM(BB627:BC627)</f>
        <v>-265.78159826836782</v>
      </c>
      <c r="DC627" s="55">
        <f>SUM(BD627:BE627)</f>
        <v>-173.06646578934306</v>
      </c>
      <c r="DD627" s="55">
        <f>SUM(BF627:BG627)</f>
        <v>-169.81623504158051</v>
      </c>
      <c r="DE627" s="55">
        <f>SUM(BH627:BI627)</f>
        <v>-169.05450217037651</v>
      </c>
      <c r="DF627" s="55">
        <f>SUM(BJ627:BK627)</f>
        <v>-144.1504065715726</v>
      </c>
      <c r="DG627" s="55">
        <f>SUM(BL627:BM627)</f>
        <v>-145.80347320447981</v>
      </c>
      <c r="DH627" s="55">
        <f>SUM(BN627:BO627)</f>
        <v>-149.13436318962886</v>
      </c>
      <c r="DI627" s="55">
        <f>SUM(BP627:BQ627)</f>
        <v>-139.77522256731572</v>
      </c>
    </row>
    <row r="628" spans="1:113" outlineLevel="1">
      <c r="A628" s="1" t="s">
        <v>24</v>
      </c>
      <c r="B628" s="19" t="s">
        <v>782</v>
      </c>
      <c r="C628" s="55" t="e">
        <f t="shared" ref="C628:L628" si="4425">SUM(C561,C554,C573:C575,C577:C584)-SUM(B561,B554,B573:B575,B577:B584)+C540-B540+C528</f>
        <v>#VALUE!</v>
      </c>
      <c r="D628" s="55">
        <f t="shared" si="4425"/>
        <v>224</v>
      </c>
      <c r="E628" s="55">
        <f t="shared" si="4425"/>
        <v>438</v>
      </c>
      <c r="F628" s="55">
        <f t="shared" si="4425"/>
        <v>379</v>
      </c>
      <c r="G628" s="55">
        <f t="shared" si="4425"/>
        <v>-396</v>
      </c>
      <c r="H628" s="55">
        <f t="shared" si="4425"/>
        <v>-448</v>
      </c>
      <c r="I628" s="55">
        <f t="shared" si="4425"/>
        <v>-505</v>
      </c>
      <c r="J628" s="55">
        <f t="shared" si="4425"/>
        <v>2430</v>
      </c>
      <c r="K628" s="55">
        <f t="shared" si="4425"/>
        <v>221</v>
      </c>
      <c r="L628" s="55">
        <f t="shared" si="4425"/>
        <v>2438</v>
      </c>
      <c r="M628" s="55">
        <f t="shared" ref="M628:AX628" si="4426">SUM(M561,M554,M573:M575,M577:M584)-SUM(L561,L554,L573:L575,L577:L584)+M540-L540+M528</f>
        <v>-1326</v>
      </c>
      <c r="N628" s="55">
        <f t="shared" si="4426"/>
        <v>-4016</v>
      </c>
      <c r="O628" s="55">
        <f t="shared" si="4426"/>
        <v>-286</v>
      </c>
      <c r="P628" s="55">
        <f t="shared" si="4426"/>
        <v>-2574</v>
      </c>
      <c r="Q628" s="55">
        <f t="shared" si="4426"/>
        <v>591</v>
      </c>
      <c r="R628" s="55">
        <f t="shared" si="4426"/>
        <v>-832</v>
      </c>
      <c r="S628" s="55">
        <f t="shared" si="4426"/>
        <v>2038</v>
      </c>
      <c r="T628" s="55">
        <f t="shared" si="4426"/>
        <v>51</v>
      </c>
      <c r="U628" s="55">
        <f t="shared" si="4426"/>
        <v>-1169</v>
      </c>
      <c r="V628" s="55">
        <f t="shared" si="4426"/>
        <v>928</v>
      </c>
      <c r="W628" s="55">
        <f t="shared" si="4426"/>
        <v>-362</v>
      </c>
      <c r="X628" s="55">
        <f t="shared" si="4426"/>
        <v>-407</v>
      </c>
      <c r="Y628" s="55">
        <f>SUM(Y561,Y554,Y573:Y575,Y577:Y584)-SUM(X561,X554,X573:X575,X577:X584)+Y540-X540+Y528</f>
        <v>-445</v>
      </c>
      <c r="Z628" s="55">
        <f>SUM(Z561,Z554,Z573:Z575,Z577:Z584)-SUM(Y561,Y554,Y573:Y575,Y577:Y584)+Z540-Y540+Z528</f>
        <v>-687</v>
      </c>
      <c r="AA628" s="55">
        <f t="shared" si="4426"/>
        <v>-2210</v>
      </c>
      <c r="AB628" s="55">
        <f t="shared" si="4426"/>
        <v>116</v>
      </c>
      <c r="AC628" s="55">
        <f t="shared" si="4426"/>
        <v>-112</v>
      </c>
      <c r="AD628" s="55">
        <f t="shared" si="4426"/>
        <v>-329</v>
      </c>
      <c r="AE628" s="55">
        <f t="shared" si="4426"/>
        <v>-521</v>
      </c>
      <c r="AF628" s="55">
        <f t="shared" si="4426"/>
        <v>-70</v>
      </c>
      <c r="AG628" s="55">
        <f t="shared" si="4426"/>
        <v>-640</v>
      </c>
      <c r="AH628" s="55">
        <f t="shared" si="4426"/>
        <v>703</v>
      </c>
      <c r="AI628" s="55">
        <f t="shared" si="4426"/>
        <v>34</v>
      </c>
      <c r="AJ628" s="55">
        <f t="shared" si="4426"/>
        <v>59</v>
      </c>
      <c r="AK628" s="55">
        <f t="shared" si="4426"/>
        <v>-953</v>
      </c>
      <c r="AL628" s="55">
        <f t="shared" si="4426"/>
        <v>-191</v>
      </c>
      <c r="AM628" s="55">
        <f t="shared" si="4426"/>
        <v>-1125</v>
      </c>
      <c r="AN628" s="55">
        <f t="shared" si="4426"/>
        <v>84</v>
      </c>
      <c r="AO628" s="55">
        <f t="shared" si="4426"/>
        <v>-1917</v>
      </c>
      <c r="AP628" s="55">
        <f t="shared" si="4426"/>
        <v>809</v>
      </c>
      <c r="AQ628" s="55">
        <f t="shared" si="4426"/>
        <v>-2044</v>
      </c>
      <c r="AR628" s="55">
        <f t="shared" si="4426"/>
        <v>-404</v>
      </c>
      <c r="AS628" s="55">
        <f t="shared" si="4426"/>
        <v>3104</v>
      </c>
      <c r="AT628" s="55">
        <f t="shared" si="4426"/>
        <v>771</v>
      </c>
      <c r="AU628" s="55">
        <f t="shared" si="4426"/>
        <v>-370</v>
      </c>
      <c r="AV628" s="55">
        <f t="shared" si="4426"/>
        <v>143</v>
      </c>
      <c r="AW628" s="55">
        <f t="shared" si="4426"/>
        <v>310</v>
      </c>
      <c r="AX628" s="55">
        <f t="shared" si="4426"/>
        <v>-811</v>
      </c>
      <c r="AY628" s="55">
        <f t="shared" ref="AY628:BE628" si="4427">SUM(AY561,AY554,AY573:AY575,AY577:AY584)-SUM(AX561,AX554,AX573:AX575,AX577:AX584)+AY540-AX540+AY528</f>
        <v>-1204</v>
      </c>
      <c r="AZ628" s="56">
        <f t="shared" si="4427"/>
        <v>2815</v>
      </c>
      <c r="BA628" s="55">
        <f t="shared" si="4427"/>
        <v>0</v>
      </c>
      <c r="BB628" s="55">
        <f t="shared" si="4427"/>
        <v>0</v>
      </c>
      <c r="BC628" s="55">
        <f t="shared" si="4427"/>
        <v>0</v>
      </c>
      <c r="BD628" s="55">
        <f t="shared" si="4427"/>
        <v>0</v>
      </c>
      <c r="BE628" s="55">
        <f t="shared" si="4427"/>
        <v>0</v>
      </c>
      <c r="BF628" s="55">
        <f t="shared" ref="BF628:BM628" si="4428">SUM(BF561,BF554,BF573:BF575,BF577:BF584)-SUM(BE561,BE554,BE573:BE575,BE577:BE584)+BF540-BE540+BF528</f>
        <v>0</v>
      </c>
      <c r="BG628" s="55">
        <f t="shared" si="4428"/>
        <v>0</v>
      </c>
      <c r="BH628" s="55">
        <f t="shared" si="4428"/>
        <v>0</v>
      </c>
      <c r="BI628" s="55">
        <f t="shared" si="4428"/>
        <v>0</v>
      </c>
      <c r="BJ628" s="55">
        <f t="shared" si="4428"/>
        <v>0</v>
      </c>
      <c r="BK628" s="55">
        <f t="shared" si="4428"/>
        <v>0</v>
      </c>
      <c r="BL628" s="55">
        <f t="shared" si="4428"/>
        <v>0</v>
      </c>
      <c r="BM628" s="55">
        <f t="shared" si="4428"/>
        <v>0</v>
      </c>
      <c r="BN628" s="55">
        <f t="shared" ref="BN628" si="4429">SUM(BN561,BN554,BN573:BN575,BN577:BN584)-SUM(BM561,BM554,BM573:BM575,BM577:BM584)+BN540-BM540+BN528</f>
        <v>0</v>
      </c>
      <c r="BO628" s="55">
        <f t="shared" ref="BO628" si="4430">SUM(BO561,BO554,BO573:BO575,BO577:BO584)-SUM(BN561,BN554,BN573:BN575,BN577:BN584)+BO540-BN540+BO528</f>
        <v>0</v>
      </c>
      <c r="BP628" s="55">
        <f t="shared" ref="BP628" si="4431">SUM(BP561,BP554,BP573:BP575,BP577:BP584)-SUM(BO561,BO554,BO573:BO575,BO577:BO584)+BP540-BO540+BP528</f>
        <v>0</v>
      </c>
      <c r="BQ628" s="55">
        <f t="shared" ref="BQ628" si="4432">SUM(BQ561,BQ554,BQ573:BQ575,BQ577:BQ584)-SUM(BP561,BP554,BP573:BP575,BP577:BP584)+BQ540-BP540+BQ528</f>
        <v>0</v>
      </c>
      <c r="BR628" s="55"/>
      <c r="BS628" s="55">
        <f t="shared" ref="BS628:CB628" si="4433">SUM(BS561,BS554,BS573:BS575,BS577:BS584)-SUM(BR561,BR554,BR573:BR575,BR577:BR584)+BS540-BR540+BS528</f>
        <v>52</v>
      </c>
      <c r="BT628" s="55">
        <f t="shared" si="4433"/>
        <v>11.200000000000003</v>
      </c>
      <c r="BU628" s="55">
        <f t="shared" si="4433"/>
        <v>42.7</v>
      </c>
      <c r="BV628" s="55">
        <f t="shared" si="4433"/>
        <v>20.799999999999997</v>
      </c>
      <c r="BW628" s="55">
        <f t="shared" si="4433"/>
        <v>7.2999999999999972</v>
      </c>
      <c r="BX628" s="55">
        <f t="shared" si="4433"/>
        <v>-11</v>
      </c>
      <c r="BY628" s="55">
        <f t="shared" si="4433"/>
        <v>7</v>
      </c>
      <c r="BZ628" s="55">
        <f t="shared" si="4433"/>
        <v>9</v>
      </c>
      <c r="CA628" s="55">
        <f t="shared" si="4433"/>
        <v>769</v>
      </c>
      <c r="CB628" s="55">
        <f t="shared" si="4433"/>
        <v>-114</v>
      </c>
      <c r="CC628" s="55">
        <f>SUM(D628:E628)</f>
        <v>662</v>
      </c>
      <c r="CD628" s="55">
        <f>SUM(F628:G628)</f>
        <v>-17</v>
      </c>
      <c r="CE628" s="55">
        <f>SUM(H628:I628)</f>
        <v>-953</v>
      </c>
      <c r="CF628" s="55">
        <f>SUM(J628:K628)</f>
        <v>2651</v>
      </c>
      <c r="CG628" s="55">
        <f>SUM(L628:M628)</f>
        <v>1112</v>
      </c>
      <c r="CH628" s="55">
        <f>SUM(N628:O628)</f>
        <v>-4302</v>
      </c>
      <c r="CI628" s="55">
        <f>SUM(P628:Q628)</f>
        <v>-1983</v>
      </c>
      <c r="CJ628" s="55">
        <f>SUM(R628:S628)</f>
        <v>1206</v>
      </c>
      <c r="CK628" s="55">
        <f>SUM(T628:U628)</f>
        <v>-1118</v>
      </c>
      <c r="CL628" s="55">
        <f>SUM(V628:W628)</f>
        <v>566</v>
      </c>
      <c r="CM628" s="55">
        <f>SUM(X628:Y628)</f>
        <v>-852</v>
      </c>
      <c r="CN628" s="55">
        <f>SUM(Z628:AA628)</f>
        <v>-2897</v>
      </c>
      <c r="CO628" s="55">
        <f>SUM(AB628:AC628)</f>
        <v>4</v>
      </c>
      <c r="CP628" s="55">
        <f>SUM(AD628:AE628)</f>
        <v>-850</v>
      </c>
      <c r="CQ628" s="55">
        <f>SUM(AF628:AG628)</f>
        <v>-710</v>
      </c>
      <c r="CR628" s="55">
        <f>SUM(AH628:AI628)</f>
        <v>737</v>
      </c>
      <c r="CS628" s="55">
        <f>SUM(AJ628:AK628)</f>
        <v>-894</v>
      </c>
      <c r="CT628" s="55">
        <f>SUM(AL628:AM628)</f>
        <v>-1316</v>
      </c>
      <c r="CU628" s="55">
        <f>SUM(AN628:AO628)</f>
        <v>-1833</v>
      </c>
      <c r="CV628" s="55">
        <f>SUM(AP628:AQ628)</f>
        <v>-1235</v>
      </c>
      <c r="CW628" s="55">
        <f>SUM(AR628:AS628)</f>
        <v>2700</v>
      </c>
      <c r="CX628" s="55">
        <f>SUM(AT628:AU628)</f>
        <v>401</v>
      </c>
      <c r="CY628" s="55">
        <f>SUM(AV628:AW628)</f>
        <v>453</v>
      </c>
      <c r="CZ628" s="56">
        <f>SUM(AX628:AY628)</f>
        <v>-2015</v>
      </c>
      <c r="DA628" s="55">
        <f>SUM(AZ628:BA628)</f>
        <v>2815</v>
      </c>
      <c r="DB628" s="55">
        <f>SUM(BB628:BC628)</f>
        <v>0</v>
      </c>
      <c r="DC628" s="55">
        <f>SUM(BD628:BE628)</f>
        <v>0</v>
      </c>
      <c r="DD628" s="55">
        <f>SUM(BF628:BG628)</f>
        <v>0</v>
      </c>
      <c r="DE628" s="55">
        <f>SUM(BH628:BI628)</f>
        <v>0</v>
      </c>
      <c r="DF628" s="55">
        <f>SUM(BJ628:BK628)</f>
        <v>0</v>
      </c>
      <c r="DG628" s="55">
        <f>SUM(BL628:BM628)</f>
        <v>0</v>
      </c>
      <c r="DH628" s="55">
        <f>SUM(BN628:BO628)</f>
        <v>0</v>
      </c>
      <c r="DI628" s="55">
        <f>SUM(BP628:BQ628)</f>
        <v>0</v>
      </c>
    </row>
    <row r="629" spans="1:113" s="24" customFormat="1" outlineLevel="1">
      <c r="A629" s="1" t="s">
        <v>893</v>
      </c>
      <c r="B629" s="24" t="s">
        <v>783</v>
      </c>
      <c r="C629" s="82" t="e">
        <f t="shared" ref="C629:L629" si="4434">SUM(C624:C628)</f>
        <v>#VALUE!</v>
      </c>
      <c r="D629" s="82">
        <f t="shared" si="4434"/>
        <v>1062.6000000000004</v>
      </c>
      <c r="E629" s="82">
        <f t="shared" si="4434"/>
        <v>1177.0999999999995</v>
      </c>
      <c r="F629" s="82">
        <f t="shared" si="4434"/>
        <v>2543.9000000000005</v>
      </c>
      <c r="G629" s="82">
        <f t="shared" si="4434"/>
        <v>1231.1499999999996</v>
      </c>
      <c r="H629" s="82">
        <f t="shared" si="4434"/>
        <v>-104.14999999999964</v>
      </c>
      <c r="I629" s="82">
        <f t="shared" si="4434"/>
        <v>-236.50000000000091</v>
      </c>
      <c r="J629" s="82">
        <f t="shared" si="4434"/>
        <v>1159.3500000000004</v>
      </c>
      <c r="K629" s="82">
        <f t="shared" si="4434"/>
        <v>1565.75</v>
      </c>
      <c r="L629" s="82">
        <f t="shared" si="4434"/>
        <v>2752.6000000000004</v>
      </c>
      <c r="M629" s="82">
        <f t="shared" ref="M629:AG629" si="4435">SUM(M624:M628)</f>
        <v>960.44999999999891</v>
      </c>
      <c r="N629" s="82">
        <f t="shared" si="4435"/>
        <v>1466.4500000000007</v>
      </c>
      <c r="O629" s="82">
        <f t="shared" si="4435"/>
        <v>1907.1000000000004</v>
      </c>
      <c r="P629" s="82">
        <f t="shared" si="4435"/>
        <v>1351.9499999999989</v>
      </c>
      <c r="Q629" s="82">
        <f t="shared" si="4435"/>
        <v>1709.3500000000004</v>
      </c>
      <c r="R629" s="82">
        <f t="shared" si="4435"/>
        <v>-5158.7349999999988</v>
      </c>
      <c r="S629" s="82">
        <f t="shared" si="4435"/>
        <v>-103.55500000000029</v>
      </c>
      <c r="T629" s="82">
        <f t="shared" si="4435"/>
        <v>2543.1549999999988</v>
      </c>
      <c r="U629" s="82">
        <f t="shared" si="4435"/>
        <v>1938.8199999999997</v>
      </c>
      <c r="V629" s="82">
        <f t="shared" si="4435"/>
        <v>3430.7700000000004</v>
      </c>
      <c r="W629" s="82">
        <f t="shared" si="4435"/>
        <v>-2695.6595000000016</v>
      </c>
      <c r="X629" s="82">
        <f t="shared" si="4435"/>
        <v>584.64700000000084</v>
      </c>
      <c r="Y629" s="82">
        <f>SUM(Y624:Y628)</f>
        <v>3758.7050000000017</v>
      </c>
      <c r="Z629" s="82">
        <f>SUM(Z624:Z628)</f>
        <v>3528.4860000000008</v>
      </c>
      <c r="AA629" s="82">
        <f t="shared" si="4435"/>
        <v>326.88149999999951</v>
      </c>
      <c r="AB629" s="82">
        <f t="shared" si="4435"/>
        <v>2645.2975000000006</v>
      </c>
      <c r="AC629" s="82">
        <f>SUM(AC624:AC628)</f>
        <v>4809.1750000000029</v>
      </c>
      <c r="AD629" s="82">
        <f>SUM(AD624:AD628)</f>
        <v>2482.7424999999967</v>
      </c>
      <c r="AE629" s="82">
        <f>SUM(AE624:AE628)</f>
        <v>2041.4300000000003</v>
      </c>
      <c r="AF629" s="82">
        <f>SUM(AF624:AF628)</f>
        <v>-390.31000000000495</v>
      </c>
      <c r="AG629" s="82">
        <f t="shared" si="4435"/>
        <v>3136.5</v>
      </c>
      <c r="AH629" s="82">
        <f t="shared" ref="AH629:AM629" si="4436">SUM(AH624:AH628)</f>
        <v>702.59999999999854</v>
      </c>
      <c r="AI629" s="82">
        <f t="shared" si="4436"/>
        <v>1462.4850000000079</v>
      </c>
      <c r="AJ629" s="82">
        <f t="shared" si="4436"/>
        <v>3691.8349999999991</v>
      </c>
      <c r="AK629" s="82">
        <f t="shared" si="4436"/>
        <v>1735.5200000000041</v>
      </c>
      <c r="AL629" s="82">
        <f t="shared" si="4436"/>
        <v>6287.1399999999994</v>
      </c>
      <c r="AM629" s="82">
        <f t="shared" si="4436"/>
        <v>3082.1100000000006</v>
      </c>
      <c r="AN629" s="82">
        <f t="shared" ref="AN629:AS629" si="4437">SUM(AN624:AN628)</f>
        <v>8480.8399999999965</v>
      </c>
      <c r="AO629" s="82">
        <f t="shared" si="4437"/>
        <v>3124.6299999999974</v>
      </c>
      <c r="AP629" s="82">
        <f t="shared" si="4437"/>
        <v>6112.8600000000006</v>
      </c>
      <c r="AQ629" s="82">
        <f t="shared" si="4437"/>
        <v>4730.2799999999988</v>
      </c>
      <c r="AR629" s="82">
        <f t="shared" si="4437"/>
        <v>3946.0650000000023</v>
      </c>
      <c r="AS629" s="82">
        <f t="shared" si="4437"/>
        <v>2289.6750000000029</v>
      </c>
      <c r="AT629" s="82">
        <f t="shared" ref="AT629:AU629" si="4438">SUM(AT624:AT628)</f>
        <v>4749.7599999999948</v>
      </c>
      <c r="AU629" s="82">
        <f t="shared" si="4438"/>
        <v>5585.7799999999988</v>
      </c>
      <c r="AV629" s="82">
        <f t="shared" ref="AV629:AW629" si="4439">SUM(AV624:AV628)</f>
        <v>4977.2799999999988</v>
      </c>
      <c r="AW629" s="82">
        <f t="shared" si="4439"/>
        <v>1420.4749999999985</v>
      </c>
      <c r="AX629" s="82">
        <f t="shared" ref="AX629" si="4440">SUM(AX624:AX628)</f>
        <v>3677.9300000000003</v>
      </c>
      <c r="AY629" s="82">
        <f t="shared" ref="AY629:BE629" si="4441">SUM(AY624:AY628)</f>
        <v>4276.76</v>
      </c>
      <c r="AZ629" s="83">
        <f t="shared" si="4441"/>
        <v>4252.0250000000015</v>
      </c>
      <c r="BA629" s="82">
        <f t="shared" si="4441"/>
        <v>4501.6988147894417</v>
      </c>
      <c r="BB629" s="82">
        <f t="shared" si="4441"/>
        <v>4806.8452668723203</v>
      </c>
      <c r="BC629" s="82">
        <f t="shared" si="4441"/>
        <v>5026.5188214289119</v>
      </c>
      <c r="BD629" s="82">
        <f t="shared" si="4441"/>
        <v>4917.6824410433037</v>
      </c>
      <c r="BE629" s="82">
        <f t="shared" si="4441"/>
        <v>5044.2955658931287</v>
      </c>
      <c r="BF629" s="82">
        <f t="shared" ref="BF629:BM629" si="4442">SUM(BF624:BF628)</f>
        <v>5010.9395701453286</v>
      </c>
      <c r="BG629" s="82">
        <f t="shared" si="4442"/>
        <v>5190.5973379025172</v>
      </c>
      <c r="BH629" s="82">
        <f t="shared" si="4442"/>
        <v>5294.6405385067237</v>
      </c>
      <c r="BI629" s="82">
        <f t="shared" si="4442"/>
        <v>5398.6818847885634</v>
      </c>
      <c r="BJ629" s="82">
        <f t="shared" si="4442"/>
        <v>5267.5657340139505</v>
      </c>
      <c r="BK629" s="82">
        <f t="shared" si="4442"/>
        <v>5134.9350807892306</v>
      </c>
      <c r="BL629" s="82">
        <f t="shared" si="4442"/>
        <v>5237.8229988036246</v>
      </c>
      <c r="BM629" s="82">
        <f t="shared" si="4442"/>
        <v>5199.9859081183704</v>
      </c>
      <c r="BN629" s="82">
        <f t="shared" ref="BN629:BO629" si="4443">SUM(BN624:BN628)</f>
        <v>5384.7817136305503</v>
      </c>
      <c r="BO629" s="82">
        <f t="shared" si="4443"/>
        <v>5337.9199069827155</v>
      </c>
      <c r="BP629" s="82">
        <f t="shared" ref="BP629:BQ629" si="4444">SUM(BP624:BP628)</f>
        <v>5557.1641962141684</v>
      </c>
      <c r="BQ629" s="82">
        <f t="shared" si="4444"/>
        <v>5506.9907579362043</v>
      </c>
      <c r="BR629" s="82"/>
      <c r="BS629" s="82">
        <f t="shared" ref="BS629:CB629" si="4445">SUM(BS624:BS628)</f>
        <v>3054.1550000000007</v>
      </c>
      <c r="BT629" s="82">
        <f t="shared" si="4445"/>
        <v>714.25499999999954</v>
      </c>
      <c r="BU629" s="82">
        <f t="shared" si="4445"/>
        <v>1002.0900000000006</v>
      </c>
      <c r="BV629" s="82">
        <f t="shared" si="4445"/>
        <v>977.94999999999982</v>
      </c>
      <c r="BW629" s="82">
        <f t="shared" si="4445"/>
        <v>1103.8499999999997</v>
      </c>
      <c r="BX629" s="82">
        <f t="shared" si="4445"/>
        <v>168.89999999999964</v>
      </c>
      <c r="BY629" s="82">
        <f t="shared" si="4445"/>
        <v>512.85000000000036</v>
      </c>
      <c r="BZ629" s="82">
        <f t="shared" si="4445"/>
        <v>-721.25</v>
      </c>
      <c r="CA629" s="82">
        <f t="shared" si="4445"/>
        <v>-6260.4000000000005</v>
      </c>
      <c r="CB629" s="82">
        <f t="shared" si="4445"/>
        <v>-711.94999999999982</v>
      </c>
      <c r="CC629" s="82">
        <f t="shared" ref="CC629:CP629" si="4446">SUM(CC624:CC628)</f>
        <v>2239.6999999999998</v>
      </c>
      <c r="CD629" s="82">
        <f t="shared" si="4446"/>
        <v>3775.05</v>
      </c>
      <c r="CE629" s="82">
        <f t="shared" si="4446"/>
        <v>-340.65000000000055</v>
      </c>
      <c r="CF629" s="82">
        <f t="shared" si="4446"/>
        <v>2725.1000000000004</v>
      </c>
      <c r="CG629" s="82">
        <f t="shared" si="4446"/>
        <v>3713.0499999999993</v>
      </c>
      <c r="CH629" s="82">
        <f t="shared" si="4446"/>
        <v>3373.5500000000011</v>
      </c>
      <c r="CI629" s="82">
        <f t="shared" si="4446"/>
        <v>3061.2999999999993</v>
      </c>
      <c r="CJ629" s="82">
        <f t="shared" si="4446"/>
        <v>-5262.2899999999991</v>
      </c>
      <c r="CK629" s="82">
        <f t="shared" si="4446"/>
        <v>4481.9749999999985</v>
      </c>
      <c r="CL629" s="82">
        <f t="shared" si="4446"/>
        <v>735.11049999999886</v>
      </c>
      <c r="CM629" s="82">
        <f t="shared" si="4446"/>
        <v>4343.3520000000026</v>
      </c>
      <c r="CN629" s="82">
        <f t="shared" si="4446"/>
        <v>3855.3675000000003</v>
      </c>
      <c r="CO629" s="82">
        <f t="shared" si="4446"/>
        <v>7454.4725000000035</v>
      </c>
      <c r="CP629" s="82">
        <f t="shared" si="4446"/>
        <v>4524.1724999999969</v>
      </c>
      <c r="CQ629" s="82">
        <f t="shared" ref="CQ629:CX629" si="4447">SUM(CQ624:CQ628)</f>
        <v>2746.1899999999951</v>
      </c>
      <c r="CR629" s="82">
        <f t="shared" si="4447"/>
        <v>2165.0850000000064</v>
      </c>
      <c r="CS629" s="82">
        <f t="shared" si="4447"/>
        <v>5427.3550000000032</v>
      </c>
      <c r="CT629" s="82">
        <f t="shared" si="4447"/>
        <v>9369.2499999999964</v>
      </c>
      <c r="CU629" s="82">
        <f t="shared" si="4447"/>
        <v>11605.469999999994</v>
      </c>
      <c r="CV629" s="82">
        <f t="shared" si="4447"/>
        <v>10843.14</v>
      </c>
      <c r="CW629" s="82">
        <f t="shared" si="4447"/>
        <v>6235.7400000000052</v>
      </c>
      <c r="CX629" s="82">
        <f t="shared" si="4447"/>
        <v>10335.539999999994</v>
      </c>
      <c r="CY629" s="82">
        <f t="shared" ref="CY629:DD629" si="4448">SUM(CY624:CY628)</f>
        <v>6397.7549999999974</v>
      </c>
      <c r="CZ629" s="83">
        <f t="shared" si="4448"/>
        <v>7954.6900000000023</v>
      </c>
      <c r="DA629" s="82">
        <f t="shared" si="4448"/>
        <v>8753.7238147894423</v>
      </c>
      <c r="DB629" s="82">
        <f t="shared" si="4448"/>
        <v>9833.364088301234</v>
      </c>
      <c r="DC629" s="82">
        <f t="shared" si="4448"/>
        <v>9961.9780069364351</v>
      </c>
      <c r="DD629" s="82">
        <f t="shared" si="4448"/>
        <v>10201.536908047838</v>
      </c>
      <c r="DE629" s="82">
        <f>SUM(DE624:DE628)</f>
        <v>10693.322423295283</v>
      </c>
      <c r="DF629" s="82">
        <f>SUM(DF624:DF628)</f>
        <v>10402.500814803185</v>
      </c>
      <c r="DG629" s="82">
        <f>SUM(DG624:DG628)</f>
        <v>10437.808906921995</v>
      </c>
      <c r="DH629" s="82">
        <f>SUM(DH624:DH628)</f>
        <v>10722.701620613261</v>
      </c>
      <c r="DI629" s="82">
        <f>SUM(DI624:DI628)</f>
        <v>11064.154954150372</v>
      </c>
    </row>
    <row r="630" spans="1:113" outlineLevel="1">
      <c r="A630" s="1" t="s">
        <v>25</v>
      </c>
      <c r="B630" s="19" t="s">
        <v>784</v>
      </c>
      <c r="C630" s="55" t="e">
        <f t="shared" ref="C630:L630" si="4449">B595-C595</f>
        <v>#VALUE!</v>
      </c>
      <c r="D630" s="55">
        <f t="shared" si="4449"/>
        <v>-329.60000000000036</v>
      </c>
      <c r="E630" s="55">
        <f t="shared" si="4449"/>
        <v>-130.09999999999945</v>
      </c>
      <c r="F630" s="55">
        <f t="shared" si="4449"/>
        <v>-451.90000000000055</v>
      </c>
      <c r="G630" s="55">
        <f t="shared" si="4449"/>
        <v>23.850000000000364</v>
      </c>
      <c r="H630" s="55">
        <f t="shared" si="4449"/>
        <v>932.14999999999964</v>
      </c>
      <c r="I630" s="55">
        <f t="shared" si="4449"/>
        <v>951.50000000000091</v>
      </c>
      <c r="J630" s="55">
        <f t="shared" si="4449"/>
        <v>-371.35000000000036</v>
      </c>
      <c r="K630" s="55">
        <f t="shared" si="4449"/>
        <v>-203.75</v>
      </c>
      <c r="L630" s="55">
        <f t="shared" si="4449"/>
        <v>-1801.6000000000004</v>
      </c>
      <c r="M630" s="55">
        <f t="shared" ref="M630:AU630" si="4450">L595-M595</f>
        <v>987.55000000000109</v>
      </c>
      <c r="N630" s="55">
        <f t="shared" si="4450"/>
        <v>-386.45000000000073</v>
      </c>
      <c r="O630" s="55">
        <f t="shared" si="4450"/>
        <v>-486.10000000000036</v>
      </c>
      <c r="P630" s="55">
        <f t="shared" si="4450"/>
        <v>-715.94999999999891</v>
      </c>
      <c r="Q630" s="55">
        <f t="shared" si="4450"/>
        <v>-80.350000000000364</v>
      </c>
      <c r="R630" s="55">
        <f t="shared" si="4450"/>
        <v>2160.7349999999988</v>
      </c>
      <c r="S630" s="55">
        <f t="shared" si="4450"/>
        <v>582.55500000000029</v>
      </c>
      <c r="T630" s="55">
        <f t="shared" si="4450"/>
        <v>-1389.1549999999988</v>
      </c>
      <c r="U630" s="55">
        <f t="shared" si="4450"/>
        <v>-78.819999999999709</v>
      </c>
      <c r="V630" s="55">
        <f t="shared" si="4450"/>
        <v>-1390.7700000000004</v>
      </c>
      <c r="W630" s="55">
        <f t="shared" si="4450"/>
        <v>5113.6595000000016</v>
      </c>
      <c r="X630" s="55">
        <f t="shared" si="4450"/>
        <v>747.35299999999916</v>
      </c>
      <c r="Y630" s="55">
        <f>X595-Y595</f>
        <v>-1152.7050000000017</v>
      </c>
      <c r="Z630" s="55">
        <f>Y595-Z595</f>
        <v>-1818.4860000000008</v>
      </c>
      <c r="AA630" s="55">
        <f t="shared" si="4450"/>
        <v>-326.88149999999951</v>
      </c>
      <c r="AB630" s="55">
        <f t="shared" si="4450"/>
        <v>578.70249999999942</v>
      </c>
      <c r="AC630" s="55">
        <f t="shared" si="4450"/>
        <v>-2566.1750000000029</v>
      </c>
      <c r="AD630" s="55">
        <f t="shared" si="4450"/>
        <v>1051.2575000000033</v>
      </c>
      <c r="AE630" s="55">
        <f t="shared" si="4450"/>
        <v>597.56999999999971</v>
      </c>
      <c r="AF630" s="55">
        <f t="shared" si="4450"/>
        <v>-1675.6899999999951</v>
      </c>
      <c r="AG630" s="55">
        <f t="shared" si="4450"/>
        <v>-307.5</v>
      </c>
      <c r="AH630" s="55">
        <f t="shared" si="4450"/>
        <v>2519.4000000000015</v>
      </c>
      <c r="AI630" s="55">
        <f t="shared" si="4450"/>
        <v>1409.5149999999921</v>
      </c>
      <c r="AJ630" s="55">
        <f t="shared" si="4450"/>
        <v>-1284.8349999999991</v>
      </c>
      <c r="AK630" s="55">
        <f t="shared" si="4450"/>
        <v>1236.4799999999959</v>
      </c>
      <c r="AL630" s="55">
        <f t="shared" si="4450"/>
        <v>-2970.1399999999994</v>
      </c>
      <c r="AM630" s="55">
        <f t="shared" si="4450"/>
        <v>458.88999999999942</v>
      </c>
      <c r="AN630" s="55">
        <f t="shared" si="4450"/>
        <v>-4391.8399999999965</v>
      </c>
      <c r="AO630" s="55">
        <f t="shared" si="4450"/>
        <v>415.37000000000262</v>
      </c>
      <c r="AP630" s="55">
        <f t="shared" si="4450"/>
        <v>-4641.8600000000006</v>
      </c>
      <c r="AQ630" s="55">
        <f t="shared" si="4450"/>
        <v>-2069.2799999999988</v>
      </c>
      <c r="AR630" s="55">
        <f t="shared" si="4450"/>
        <v>5602.9349999999977</v>
      </c>
      <c r="AS630" s="55">
        <f t="shared" si="4450"/>
        <v>1167.3249999999971</v>
      </c>
      <c r="AT630" s="55">
        <f t="shared" si="4450"/>
        <v>152.24000000000524</v>
      </c>
      <c r="AU630" s="55">
        <f t="shared" si="4450"/>
        <v>-837.77999999999884</v>
      </c>
      <c r="AV630" s="55">
        <f>AU595-AV595</f>
        <v>-800.27999999999884</v>
      </c>
      <c r="AW630" s="55">
        <f>AV595-AW595</f>
        <v>2307.5250000000015</v>
      </c>
      <c r="AX630" s="55">
        <f>AW595-AX595</f>
        <v>524.06999999999971</v>
      </c>
      <c r="AY630" s="55">
        <f t="shared" ref="AY630:BE630" si="4451">AX595-AY595</f>
        <v>-511.76000000000204</v>
      </c>
      <c r="AZ630" s="56">
        <f t="shared" si="4451"/>
        <v>98.974999999998545</v>
      </c>
      <c r="BA630" s="55">
        <f t="shared" si="4451"/>
        <v>-572.20806808944326</v>
      </c>
      <c r="BB630" s="55">
        <f t="shared" si="4451"/>
        <v>874.28259642769262</v>
      </c>
      <c r="BC630" s="55">
        <f t="shared" si="4451"/>
        <v>219.05596559972037</v>
      </c>
      <c r="BD630" s="55">
        <f t="shared" si="4451"/>
        <v>808.44945909196394</v>
      </c>
      <c r="BE630" s="55">
        <f t="shared" si="4451"/>
        <v>250.95434121620929</v>
      </c>
      <c r="BF630" s="55">
        <f t="shared" ref="BF630:BM630" si="4452">BE595-BF595</f>
        <v>844.21479231808189</v>
      </c>
      <c r="BG630" s="55">
        <f t="shared" si="4452"/>
        <v>-930.38897165434173</v>
      </c>
      <c r="BH630" s="55">
        <f t="shared" si="4452"/>
        <v>-460.94258449436165</v>
      </c>
      <c r="BI630" s="55">
        <f t="shared" si="4452"/>
        <v>-892.6922666414539</v>
      </c>
      <c r="BJ630" s="55">
        <f t="shared" si="4452"/>
        <v>-188.08652810266358</v>
      </c>
      <c r="BK630" s="55">
        <f t="shared" si="4452"/>
        <v>-547.01837867579889</v>
      </c>
      <c r="BL630" s="55">
        <f t="shared" si="4452"/>
        <v>-76.416708926015417</v>
      </c>
      <c r="BM630" s="55">
        <f t="shared" si="4452"/>
        <v>-530.14212203864008</v>
      </c>
      <c r="BN630" s="55">
        <f t="shared" ref="BN630" si="4453">BM595-BN595</f>
        <v>-141.44833978664246</v>
      </c>
      <c r="BO630" s="55">
        <f t="shared" ref="BO630" si="4454">BN595-BO595</f>
        <v>-586.1490369366802</v>
      </c>
      <c r="BP630" s="55">
        <f t="shared" ref="BP630" si="4455">BO595-BP595</f>
        <v>-231.90373840395478</v>
      </c>
      <c r="BQ630" s="55">
        <f t="shared" ref="BQ630" si="4456">BP595-BQ595</f>
        <v>-673.2928039238468</v>
      </c>
      <c r="BR630" s="55"/>
      <c r="BS630" s="55">
        <f t="shared" ref="BS630:CB630" si="4457">BR595-BS595</f>
        <v>-1149.5549999999998</v>
      </c>
      <c r="BT630" s="55">
        <f t="shared" si="4457"/>
        <v>-408.55499999999984</v>
      </c>
      <c r="BU630" s="55">
        <f t="shared" si="4457"/>
        <v>-518.79000000000042</v>
      </c>
      <c r="BV630" s="55">
        <f t="shared" si="4457"/>
        <v>-490.94999999999982</v>
      </c>
      <c r="BW630" s="55">
        <f t="shared" si="4457"/>
        <v>-319.84999999999991</v>
      </c>
      <c r="BX630" s="55">
        <f t="shared" si="4457"/>
        <v>816.10000000000036</v>
      </c>
      <c r="BY630" s="55">
        <f t="shared" si="4457"/>
        <v>482.14999999999964</v>
      </c>
      <c r="BZ630" s="55">
        <f t="shared" si="4457"/>
        <v>184.25</v>
      </c>
      <c r="CA630" s="55">
        <f t="shared" si="4457"/>
        <v>-1370.5999999999995</v>
      </c>
      <c r="CB630" s="55">
        <f t="shared" si="4457"/>
        <v>2515.9499999999998</v>
      </c>
      <c r="CC630" s="55">
        <f>SUM(D630:E630)</f>
        <v>-459.69999999999982</v>
      </c>
      <c r="CD630" s="55">
        <f>SUM(F630:G630)</f>
        <v>-428.05000000000018</v>
      </c>
      <c r="CE630" s="55">
        <f>SUM(H630:I630)</f>
        <v>1883.6500000000005</v>
      </c>
      <c r="CF630" s="55">
        <f>SUM(J630:K630)</f>
        <v>-575.10000000000036</v>
      </c>
      <c r="CG630" s="55">
        <f>SUM(L630:M630)</f>
        <v>-814.04999999999927</v>
      </c>
      <c r="CH630" s="55">
        <f>SUM(N630:O630)</f>
        <v>-872.55000000000109</v>
      </c>
      <c r="CI630" s="55">
        <f>SUM(P630:Q630)</f>
        <v>-796.29999999999927</v>
      </c>
      <c r="CJ630" s="55">
        <f>SUM(R630:S630)</f>
        <v>2743.2899999999991</v>
      </c>
      <c r="CK630" s="55">
        <f>SUM(T630:U630)</f>
        <v>-1467.9749999999985</v>
      </c>
      <c r="CL630" s="55">
        <f>SUM(V630:W630)</f>
        <v>3722.8895000000011</v>
      </c>
      <c r="CM630" s="55">
        <f>SUM(X630:Y630)</f>
        <v>-405.35200000000259</v>
      </c>
      <c r="CN630" s="55">
        <f>SUM(Z630:AA630)</f>
        <v>-2145.3675000000003</v>
      </c>
      <c r="CO630" s="55">
        <f>SUM(AB630:AC630)</f>
        <v>-1987.4725000000035</v>
      </c>
      <c r="CP630" s="55">
        <f>SUM(AD630:AE630)</f>
        <v>1648.8275000000031</v>
      </c>
      <c r="CQ630" s="55">
        <f>SUM(AF630:AG630)</f>
        <v>-1983.1899999999951</v>
      </c>
      <c r="CR630" s="55">
        <f>SUM(AH630:AI630)</f>
        <v>3928.9149999999936</v>
      </c>
      <c r="CS630" s="55">
        <f>SUM(AJ630:AK630)</f>
        <v>-48.355000000003201</v>
      </c>
      <c r="CT630" s="55">
        <f>SUM(AL630:AM630)</f>
        <v>-2511.25</v>
      </c>
      <c r="CU630" s="55">
        <f>SUM(AN630:AO630)</f>
        <v>-3976.4699999999939</v>
      </c>
      <c r="CV630" s="55">
        <f>SUM(AP630:AQ630)</f>
        <v>-6711.1399999999994</v>
      </c>
      <c r="CW630" s="55">
        <f>SUM(AR630:AS630)</f>
        <v>6770.2599999999948</v>
      </c>
      <c r="CX630" s="55">
        <f>SUM(AT630:AU630)</f>
        <v>-685.5399999999936</v>
      </c>
      <c r="CY630" s="55">
        <f>SUM(AV630:AW630)</f>
        <v>1507.2450000000026</v>
      </c>
      <c r="CZ630" s="56">
        <f>SUM(AX630:AY630)</f>
        <v>12.309999999997672</v>
      </c>
      <c r="DA630" s="55">
        <f>SUM(AZ630:BA630)</f>
        <v>-473.23306808944471</v>
      </c>
      <c r="DB630" s="55">
        <f>SUM(BB630:BC630)</f>
        <v>1093.338562027413</v>
      </c>
      <c r="DC630" s="55">
        <f>SUM(BD630:BE630)</f>
        <v>1059.4038003081732</v>
      </c>
      <c r="DD630" s="55">
        <f>SUM(BF630:BG630)</f>
        <v>-86.17417933625984</v>
      </c>
      <c r="DE630" s="55">
        <f>SUM(BH630:BI630)</f>
        <v>-1353.6348511358156</v>
      </c>
      <c r="DF630" s="55">
        <f>SUM(BJ630:BK630)</f>
        <v>-735.10490677846246</v>
      </c>
      <c r="DG630" s="55">
        <f>SUM(BL630:BM630)</f>
        <v>-606.5588309646555</v>
      </c>
      <c r="DH630" s="55">
        <f>SUM(BN630:BO630)</f>
        <v>-727.59737672332267</v>
      </c>
      <c r="DI630" s="55">
        <f>SUM(BP630:BQ630)</f>
        <v>-905.19654232780158</v>
      </c>
    </row>
    <row r="631" spans="1:113" s="24" customFormat="1" outlineLevel="1">
      <c r="A631" s="1" t="s">
        <v>894</v>
      </c>
      <c r="B631" s="24" t="s">
        <v>650</v>
      </c>
      <c r="C631" s="82" t="e">
        <f t="shared" ref="C631:L631" si="4458">SUM(C629:C630)</f>
        <v>#VALUE!</v>
      </c>
      <c r="D631" s="82">
        <f t="shared" si="4458"/>
        <v>733</v>
      </c>
      <c r="E631" s="82">
        <f t="shared" si="4458"/>
        <v>1047</v>
      </c>
      <c r="F631" s="82">
        <f t="shared" si="4458"/>
        <v>2092</v>
      </c>
      <c r="G631" s="82">
        <f t="shared" si="4458"/>
        <v>1255</v>
      </c>
      <c r="H631" s="82">
        <f t="shared" si="4458"/>
        <v>828</v>
      </c>
      <c r="I631" s="82">
        <f t="shared" si="4458"/>
        <v>715</v>
      </c>
      <c r="J631" s="82">
        <f t="shared" si="4458"/>
        <v>788</v>
      </c>
      <c r="K631" s="82">
        <f t="shared" si="4458"/>
        <v>1362</v>
      </c>
      <c r="L631" s="82">
        <f t="shared" si="4458"/>
        <v>951</v>
      </c>
      <c r="M631" s="82">
        <f t="shared" ref="M631:AG631" si="4459">SUM(M629:M630)</f>
        <v>1948</v>
      </c>
      <c r="N631" s="82">
        <f t="shared" si="4459"/>
        <v>1080</v>
      </c>
      <c r="O631" s="82">
        <f t="shared" si="4459"/>
        <v>1421</v>
      </c>
      <c r="P631" s="82">
        <f t="shared" si="4459"/>
        <v>636</v>
      </c>
      <c r="Q631" s="82">
        <f t="shared" si="4459"/>
        <v>1629</v>
      </c>
      <c r="R631" s="82">
        <f t="shared" si="4459"/>
        <v>-2998</v>
      </c>
      <c r="S631" s="82">
        <f t="shared" si="4459"/>
        <v>479</v>
      </c>
      <c r="T631" s="82">
        <f t="shared" si="4459"/>
        <v>1154</v>
      </c>
      <c r="U631" s="82">
        <f t="shared" si="4459"/>
        <v>1860</v>
      </c>
      <c r="V631" s="82">
        <f t="shared" si="4459"/>
        <v>2040</v>
      </c>
      <c r="W631" s="82">
        <f t="shared" si="4459"/>
        <v>2418</v>
      </c>
      <c r="X631" s="82">
        <f t="shared" si="4459"/>
        <v>1332</v>
      </c>
      <c r="Y631" s="82">
        <f>SUM(Y629:Y630)</f>
        <v>2606</v>
      </c>
      <c r="Z631" s="82">
        <f>SUM(Z629:Z630)</f>
        <v>1710</v>
      </c>
      <c r="AA631" s="82">
        <f t="shared" si="4459"/>
        <v>0</v>
      </c>
      <c r="AB631" s="82">
        <f t="shared" si="4459"/>
        <v>3224</v>
      </c>
      <c r="AC631" s="82">
        <f>SUM(AC629:AC630)</f>
        <v>2243</v>
      </c>
      <c r="AD631" s="82">
        <f>SUM(AD629:AD630)</f>
        <v>3534</v>
      </c>
      <c r="AE631" s="82">
        <f>SUM(AE629:AE630)</f>
        <v>2639</v>
      </c>
      <c r="AF631" s="82">
        <f>SUM(AF629:AF630)</f>
        <v>-2066</v>
      </c>
      <c r="AG631" s="82">
        <f t="shared" si="4459"/>
        <v>2829</v>
      </c>
      <c r="AH631" s="82">
        <f t="shared" ref="AH631:AM631" si="4460">SUM(AH629:AH630)</f>
        <v>3222</v>
      </c>
      <c r="AI631" s="82">
        <f t="shared" si="4460"/>
        <v>2872</v>
      </c>
      <c r="AJ631" s="82">
        <f t="shared" si="4460"/>
        <v>2407</v>
      </c>
      <c r="AK631" s="82">
        <f t="shared" si="4460"/>
        <v>2972</v>
      </c>
      <c r="AL631" s="82">
        <f t="shared" si="4460"/>
        <v>3317</v>
      </c>
      <c r="AM631" s="82">
        <f t="shared" si="4460"/>
        <v>3541</v>
      </c>
      <c r="AN631" s="82">
        <f t="shared" ref="AN631:AS631" si="4461">SUM(AN629:AN630)</f>
        <v>4089</v>
      </c>
      <c r="AO631" s="82">
        <f t="shared" si="4461"/>
        <v>3540</v>
      </c>
      <c r="AP631" s="82">
        <f t="shared" si="4461"/>
        <v>1471</v>
      </c>
      <c r="AQ631" s="82">
        <f t="shared" si="4461"/>
        <v>2661</v>
      </c>
      <c r="AR631" s="82">
        <f t="shared" si="4461"/>
        <v>9549</v>
      </c>
      <c r="AS631" s="82">
        <f t="shared" si="4461"/>
        <v>3457</v>
      </c>
      <c r="AT631" s="82">
        <f t="shared" ref="AT631:AU631" si="4462">SUM(AT629:AT630)</f>
        <v>4902</v>
      </c>
      <c r="AU631" s="82">
        <f t="shared" si="4462"/>
        <v>4748</v>
      </c>
      <c r="AV631" s="82">
        <f t="shared" ref="AV631:AW631" si="4463">SUM(AV629:AV630)</f>
        <v>4177</v>
      </c>
      <c r="AW631" s="82">
        <f t="shared" si="4463"/>
        <v>3728</v>
      </c>
      <c r="AX631" s="82">
        <f t="shared" ref="AX631" si="4464">SUM(AX629:AX630)</f>
        <v>4202</v>
      </c>
      <c r="AY631" s="82">
        <f t="shared" ref="AY631:BE631" si="4465">SUM(AY629:AY630)</f>
        <v>3764.9999999999982</v>
      </c>
      <c r="AZ631" s="83">
        <f t="shared" si="4465"/>
        <v>4351</v>
      </c>
      <c r="BA631" s="82">
        <f t="shared" si="4465"/>
        <v>3929.4907466999985</v>
      </c>
      <c r="BB631" s="82">
        <f t="shared" si="4465"/>
        <v>5681.1278633000129</v>
      </c>
      <c r="BC631" s="82">
        <f t="shared" si="4465"/>
        <v>5245.5747870286323</v>
      </c>
      <c r="BD631" s="82">
        <f t="shared" si="4465"/>
        <v>5726.1319001352676</v>
      </c>
      <c r="BE631" s="82">
        <f t="shared" si="4465"/>
        <v>5295.249907109338</v>
      </c>
      <c r="BF631" s="82">
        <f t="shared" ref="BF631:BM631" si="4466">SUM(BF629:BF630)</f>
        <v>5855.1543624634105</v>
      </c>
      <c r="BG631" s="82">
        <f t="shared" si="4466"/>
        <v>4260.2083662481755</v>
      </c>
      <c r="BH631" s="82">
        <f t="shared" si="4466"/>
        <v>4833.6979540123621</v>
      </c>
      <c r="BI631" s="82">
        <f t="shared" si="4466"/>
        <v>4505.9896181471095</v>
      </c>
      <c r="BJ631" s="82">
        <f t="shared" si="4466"/>
        <v>5079.479205911287</v>
      </c>
      <c r="BK631" s="82">
        <f t="shared" si="4466"/>
        <v>4587.9167021134317</v>
      </c>
      <c r="BL631" s="82">
        <f t="shared" si="4466"/>
        <v>5161.4062898776092</v>
      </c>
      <c r="BM631" s="82">
        <f t="shared" si="4466"/>
        <v>4669.8437860797303</v>
      </c>
      <c r="BN631" s="82">
        <f t="shared" ref="BN631:BO631" si="4467">SUM(BN629:BN630)</f>
        <v>5243.3333738439078</v>
      </c>
      <c r="BO631" s="82">
        <f t="shared" si="4467"/>
        <v>4751.7708700460353</v>
      </c>
      <c r="BP631" s="82">
        <f t="shared" ref="BP631:BQ631" si="4468">SUM(BP629:BP630)</f>
        <v>5325.2604578102137</v>
      </c>
      <c r="BQ631" s="82">
        <f t="shared" si="4468"/>
        <v>4833.6979540123575</v>
      </c>
      <c r="BR631" s="82"/>
      <c r="BS631" s="82">
        <f t="shared" ref="BS631:CB631" si="4469">SUM(BS629:BS630)</f>
        <v>1904.6000000000008</v>
      </c>
      <c r="BT631" s="82">
        <f t="shared" si="4469"/>
        <v>305.6999999999997</v>
      </c>
      <c r="BU631" s="82">
        <f t="shared" si="4469"/>
        <v>483.30000000000018</v>
      </c>
      <c r="BV631" s="82">
        <f t="shared" si="4469"/>
        <v>487</v>
      </c>
      <c r="BW631" s="82">
        <f t="shared" si="4469"/>
        <v>783.99999999999977</v>
      </c>
      <c r="BX631" s="82">
        <f t="shared" si="4469"/>
        <v>985</v>
      </c>
      <c r="BY631" s="82">
        <f t="shared" si="4469"/>
        <v>995</v>
      </c>
      <c r="BZ631" s="82">
        <f t="shared" si="4469"/>
        <v>-537</v>
      </c>
      <c r="CA631" s="82">
        <f t="shared" si="4469"/>
        <v>-7631</v>
      </c>
      <c r="CB631" s="82">
        <f t="shared" si="4469"/>
        <v>1804</v>
      </c>
      <c r="CC631" s="82">
        <f t="shared" ref="CC631:CP631" si="4470">SUM(CC629:CC630)</f>
        <v>1780</v>
      </c>
      <c r="CD631" s="82">
        <f t="shared" si="4470"/>
        <v>3347</v>
      </c>
      <c r="CE631" s="82">
        <f t="shared" si="4470"/>
        <v>1543</v>
      </c>
      <c r="CF631" s="82">
        <f t="shared" si="4470"/>
        <v>2150</v>
      </c>
      <c r="CG631" s="82">
        <f t="shared" si="4470"/>
        <v>2899</v>
      </c>
      <c r="CH631" s="82">
        <f t="shared" si="4470"/>
        <v>2501</v>
      </c>
      <c r="CI631" s="82">
        <f t="shared" si="4470"/>
        <v>2265</v>
      </c>
      <c r="CJ631" s="82">
        <f t="shared" si="4470"/>
        <v>-2519</v>
      </c>
      <c r="CK631" s="82">
        <f t="shared" si="4470"/>
        <v>3014</v>
      </c>
      <c r="CL631" s="82">
        <f t="shared" si="4470"/>
        <v>4458</v>
      </c>
      <c r="CM631" s="82">
        <f t="shared" si="4470"/>
        <v>3938</v>
      </c>
      <c r="CN631" s="82">
        <f t="shared" si="4470"/>
        <v>1710</v>
      </c>
      <c r="CO631" s="82">
        <f t="shared" si="4470"/>
        <v>5467</v>
      </c>
      <c r="CP631" s="82">
        <f t="shared" si="4470"/>
        <v>6173</v>
      </c>
      <c r="CQ631" s="82">
        <f t="shared" ref="CQ631:CX631" si="4471">SUM(CQ629:CQ630)</f>
        <v>763</v>
      </c>
      <c r="CR631" s="82">
        <f t="shared" si="4471"/>
        <v>6094</v>
      </c>
      <c r="CS631" s="82">
        <f t="shared" si="4471"/>
        <v>5379</v>
      </c>
      <c r="CT631" s="82">
        <f t="shared" si="4471"/>
        <v>6857.9999999999964</v>
      </c>
      <c r="CU631" s="82">
        <f t="shared" si="4471"/>
        <v>7629</v>
      </c>
      <c r="CV631" s="82">
        <f t="shared" si="4471"/>
        <v>4132</v>
      </c>
      <c r="CW631" s="82">
        <f t="shared" si="4471"/>
        <v>13006</v>
      </c>
      <c r="CX631" s="82">
        <f t="shared" si="4471"/>
        <v>9650</v>
      </c>
      <c r="CY631" s="82">
        <f t="shared" ref="CY631:DD631" si="4472">SUM(CY629:CY630)</f>
        <v>7905</v>
      </c>
      <c r="CZ631" s="83">
        <f t="shared" si="4472"/>
        <v>7967</v>
      </c>
      <c r="DA631" s="82">
        <f t="shared" si="4472"/>
        <v>8280.4907466999975</v>
      </c>
      <c r="DB631" s="82">
        <f t="shared" si="4472"/>
        <v>10926.702650328647</v>
      </c>
      <c r="DC631" s="82">
        <f t="shared" si="4472"/>
        <v>11021.381807244608</v>
      </c>
      <c r="DD631" s="82">
        <f t="shared" si="4472"/>
        <v>10115.362728711578</v>
      </c>
      <c r="DE631" s="82">
        <f>SUM(DE629:DE630)</f>
        <v>9339.6875721594679</v>
      </c>
      <c r="DF631" s="82">
        <f>SUM(DF629:DF630)</f>
        <v>9667.3959080247223</v>
      </c>
      <c r="DG631" s="82">
        <f>SUM(DG629:DG630)</f>
        <v>9831.2500759573395</v>
      </c>
      <c r="DH631" s="82">
        <f>SUM(DH629:DH630)</f>
        <v>9995.1042438899385</v>
      </c>
      <c r="DI631" s="82">
        <f>SUM(DI629:DI630)</f>
        <v>10158.95841182257</v>
      </c>
    </row>
    <row r="632" spans="1:113" outlineLevel="1">
      <c r="C632" s="55"/>
      <c r="D632" s="55"/>
      <c r="E632" s="55"/>
      <c r="F632" s="55"/>
      <c r="G632" s="55"/>
      <c r="H632" s="55"/>
      <c r="I632" s="55"/>
      <c r="J632" s="55"/>
      <c r="K632" s="55"/>
      <c r="L632" s="55"/>
      <c r="M632" s="55"/>
      <c r="N632" s="55"/>
      <c r="O632" s="55"/>
      <c r="P632" s="55"/>
      <c r="Q632" s="55"/>
      <c r="R632" s="55"/>
      <c r="S632" s="55"/>
      <c r="T632" s="55"/>
      <c r="U632" s="55"/>
      <c r="V632" s="55"/>
      <c r="W632" s="55"/>
      <c r="X632" s="55"/>
      <c r="Y632" s="55"/>
      <c r="Z632" s="55"/>
      <c r="AA632" s="55"/>
      <c r="AB632" s="55"/>
      <c r="AC632" s="55"/>
      <c r="AD632" s="55"/>
      <c r="AE632" s="55"/>
      <c r="AF632" s="55"/>
      <c r="AG632" s="55"/>
      <c r="AH632" s="55"/>
      <c r="AI632" s="55"/>
      <c r="AJ632" s="55"/>
      <c r="AK632" s="55"/>
      <c r="AL632" s="55"/>
      <c r="AM632" s="55"/>
      <c r="AN632" s="55"/>
      <c r="AO632" s="55"/>
      <c r="AP632" s="55"/>
      <c r="AQ632" s="55"/>
      <c r="AR632" s="55"/>
      <c r="AS632" s="55"/>
      <c r="AT632" s="55"/>
      <c r="AU632" s="55"/>
      <c r="AV632" s="55"/>
      <c r="AW632" s="55"/>
      <c r="AX632" s="55"/>
      <c r="AY632" s="55"/>
      <c r="AZ632" s="56"/>
      <c r="BA632" s="55"/>
      <c r="BB632" s="55"/>
      <c r="BC632" s="55"/>
      <c r="BD632" s="55"/>
      <c r="BE632" s="55"/>
      <c r="BF632" s="55"/>
      <c r="BG632" s="55"/>
      <c r="BH632" s="55"/>
      <c r="BI632" s="55"/>
      <c r="BJ632" s="55"/>
      <c r="BK632" s="55"/>
      <c r="BL632" s="55"/>
      <c r="BM632" s="55"/>
      <c r="BN632" s="55"/>
      <c r="BO632" s="55"/>
      <c r="BP632" s="55"/>
      <c r="BQ632" s="55"/>
      <c r="BR632" s="55"/>
      <c r="BS632" s="55"/>
      <c r="BT632" s="55"/>
      <c r="BU632" s="55"/>
      <c r="BV632" s="55"/>
      <c r="BW632" s="55"/>
      <c r="BX632" s="55"/>
      <c r="BY632" s="55"/>
      <c r="BZ632" s="55"/>
      <c r="CA632" s="55"/>
      <c r="CB632" s="55"/>
      <c r="CC632" s="55"/>
      <c r="CD632" s="55"/>
      <c r="CE632" s="55"/>
      <c r="CF632" s="55"/>
      <c r="CG632" s="55"/>
      <c r="CH632" s="55"/>
      <c r="CI632" s="55"/>
      <c r="CJ632" s="55"/>
      <c r="CK632" s="55"/>
      <c r="CL632" s="55"/>
      <c r="CM632" s="55"/>
      <c r="CN632" s="55"/>
      <c r="CO632" s="55"/>
      <c r="CP632" s="55"/>
      <c r="CQ632" s="55"/>
      <c r="CR632" s="55"/>
      <c r="CS632" s="55"/>
      <c r="CT632" s="55"/>
      <c r="CU632" s="55"/>
      <c r="CV632" s="55"/>
      <c r="CW632" s="55"/>
      <c r="CX632" s="55"/>
      <c r="CY632" s="55"/>
      <c r="CZ632" s="56"/>
      <c r="DA632" s="55"/>
      <c r="DB632" s="55"/>
    </row>
    <row r="633" spans="1:113" outlineLevel="1">
      <c r="A633" s="1" t="s">
        <v>604</v>
      </c>
      <c r="B633" s="19" t="s">
        <v>651</v>
      </c>
      <c r="C633" s="55" t="e">
        <f t="shared" ref="C633:L633" si="4473">B553-C553-C535</f>
        <v>#VALUE!</v>
      </c>
      <c r="D633" s="55">
        <f t="shared" si="4473"/>
        <v>939</v>
      </c>
      <c r="E633" s="55">
        <f t="shared" si="4473"/>
        <v>1051</v>
      </c>
      <c r="F633" s="55">
        <f t="shared" si="4473"/>
        <v>2105</v>
      </c>
      <c r="G633" s="55">
        <f t="shared" si="4473"/>
        <v>1255</v>
      </c>
      <c r="H633" s="55">
        <f t="shared" si="4473"/>
        <v>1035</v>
      </c>
      <c r="I633" s="55">
        <f t="shared" si="4473"/>
        <v>1189</v>
      </c>
      <c r="J633" s="55">
        <f t="shared" si="4473"/>
        <v>1144</v>
      </c>
      <c r="K633" s="55">
        <f t="shared" si="4473"/>
        <v>1504</v>
      </c>
      <c r="L633" s="55">
        <f t="shared" si="4473"/>
        <v>1212</v>
      </c>
      <c r="M633" s="55">
        <f t="shared" ref="M633:AT633" si="4474">L553-M553-M535</f>
        <v>1668</v>
      </c>
      <c r="N633" s="55">
        <f t="shared" si="4474"/>
        <v>1380</v>
      </c>
      <c r="O633" s="55">
        <f t="shared" si="4474"/>
        <v>1939</v>
      </c>
      <c r="P633" s="55">
        <f t="shared" si="4474"/>
        <v>1486</v>
      </c>
      <c r="Q633" s="55">
        <f t="shared" si="4474"/>
        <v>2029</v>
      </c>
      <c r="R633" s="55">
        <f t="shared" si="4474"/>
        <v>1662</v>
      </c>
      <c r="S633" s="55">
        <f t="shared" si="4474"/>
        <v>1747</v>
      </c>
      <c r="T633" s="55">
        <f t="shared" si="4474"/>
        <v>1840</v>
      </c>
      <c r="U633" s="55">
        <f t="shared" si="4474"/>
        <v>2633</v>
      </c>
      <c r="V633" s="55">
        <f t="shared" si="4474"/>
        <v>2045</v>
      </c>
      <c r="W633" s="55">
        <f t="shared" si="4474"/>
        <v>2930</v>
      </c>
      <c r="X633" s="55">
        <f t="shared" si="4474"/>
        <v>2166</v>
      </c>
      <c r="Y633" s="55">
        <f>X553-Y553-Y535</f>
        <v>3137</v>
      </c>
      <c r="Z633" s="55">
        <f>Y553-Z553-Z535</f>
        <v>2639</v>
      </c>
      <c r="AA633" s="55">
        <f t="shared" si="4474"/>
        <v>0</v>
      </c>
      <c r="AB633" s="55">
        <f t="shared" si="4474"/>
        <v>3224</v>
      </c>
      <c r="AC633" s="55">
        <f t="shared" si="4474"/>
        <v>2950</v>
      </c>
      <c r="AD633" s="55">
        <f t="shared" si="4474"/>
        <v>3534</v>
      </c>
      <c r="AE633" s="55">
        <f t="shared" si="4474"/>
        <v>3210</v>
      </c>
      <c r="AF633" s="55">
        <f t="shared" si="4474"/>
        <v>3613</v>
      </c>
      <c r="AG633" s="55">
        <f t="shared" si="4474"/>
        <v>3381</v>
      </c>
      <c r="AH633" s="55">
        <f t="shared" si="4474"/>
        <v>3808</v>
      </c>
      <c r="AI633" s="55">
        <f t="shared" si="4474"/>
        <v>3429</v>
      </c>
      <c r="AJ633" s="55">
        <f t="shared" si="4474"/>
        <v>3979</v>
      </c>
      <c r="AK633" s="55">
        <f t="shared" si="4474"/>
        <v>3505</v>
      </c>
      <c r="AL633" s="55">
        <f t="shared" si="4474"/>
        <v>4065</v>
      </c>
      <c r="AM633" s="55">
        <f t="shared" si="4474"/>
        <v>3541</v>
      </c>
      <c r="AN633" s="55">
        <f t="shared" si="4474"/>
        <v>4089</v>
      </c>
      <c r="AO633" s="55">
        <f t="shared" si="4474"/>
        <v>3540</v>
      </c>
      <c r="AP633" s="55">
        <f t="shared" si="4474"/>
        <v>1735</v>
      </c>
      <c r="AQ633" s="55">
        <f t="shared" si="4474"/>
        <v>2661</v>
      </c>
      <c r="AR633" s="55">
        <f t="shared" si="4474"/>
        <v>3548</v>
      </c>
      <c r="AS633" s="55">
        <f t="shared" si="4474"/>
        <v>2987</v>
      </c>
      <c r="AT633" s="55">
        <f t="shared" si="4474"/>
        <v>3571</v>
      </c>
      <c r="AU633" s="55">
        <f>AT553-AU553-AU535</f>
        <v>3546</v>
      </c>
      <c r="AV633" s="55">
        <f>AU553-AV553-AV535</f>
        <v>4023</v>
      </c>
      <c r="AW633" s="55">
        <f>AV553-AW553-AW535</f>
        <v>3600</v>
      </c>
      <c r="AX633" s="55">
        <f>AW553-AX553-AX535</f>
        <v>4184</v>
      </c>
      <c r="AY633" s="55">
        <f t="shared" ref="AY633:BE633" si="4475">AX553-AY553-AY535</f>
        <v>3765</v>
      </c>
      <c r="AZ633" s="56">
        <f t="shared" si="4475"/>
        <v>4351</v>
      </c>
      <c r="BA633" s="55">
        <f t="shared" si="4475"/>
        <v>3929.4907467000003</v>
      </c>
      <c r="BB633" s="55">
        <f t="shared" si="4475"/>
        <v>4431.1278633000002</v>
      </c>
      <c r="BC633" s="55">
        <f t="shared" si="4475"/>
        <v>3995.5747870286282</v>
      </c>
      <c r="BD633" s="55">
        <f t="shared" si="4475"/>
        <v>4476.1319001352676</v>
      </c>
      <c r="BE633" s="55">
        <f t="shared" si="4475"/>
        <v>4045.2499071093284</v>
      </c>
      <c r="BF633" s="55">
        <f t="shared" ref="BF633:BM633" si="4476">BE553-BF553-BF535</f>
        <v>4605.1543624634251</v>
      </c>
      <c r="BG633" s="55">
        <f t="shared" si="4476"/>
        <v>4260.2083662481791</v>
      </c>
      <c r="BH633" s="55">
        <f t="shared" si="4476"/>
        <v>4833.6979540123575</v>
      </c>
      <c r="BI633" s="55">
        <f t="shared" si="4476"/>
        <v>4505.9896181471122</v>
      </c>
      <c r="BJ633" s="55">
        <f t="shared" si="4476"/>
        <v>5079.4792059112906</v>
      </c>
      <c r="BK633" s="55">
        <f t="shared" si="4476"/>
        <v>4587.9167021134235</v>
      </c>
      <c r="BL633" s="55">
        <f t="shared" si="4476"/>
        <v>5161.406289877601</v>
      </c>
      <c r="BM633" s="55">
        <f t="shared" si="4476"/>
        <v>4669.8437860797339</v>
      </c>
      <c r="BN633" s="55">
        <f t="shared" ref="BN633" si="4477">BM553-BN553-BN535</f>
        <v>5243.3333738439123</v>
      </c>
      <c r="BO633" s="55">
        <f t="shared" ref="BO633" si="4478">BN553-BO553-BO535</f>
        <v>4751.7708700460453</v>
      </c>
      <c r="BP633" s="55">
        <f t="shared" ref="BP633" si="4479">BO553-BP553-BP535</f>
        <v>5325.2604578102228</v>
      </c>
      <c r="BQ633" s="55">
        <f t="shared" ref="BQ633" si="4480">BP553-BQ553-BQ535</f>
        <v>4833.6979540123557</v>
      </c>
      <c r="BR633" s="55"/>
      <c r="BS633" s="55">
        <f t="shared" ref="BS633:CB633" si="4481">BR553-BS553-BS535</f>
        <v>0</v>
      </c>
      <c r="BT633" s="55">
        <f t="shared" si="4481"/>
        <v>365.2</v>
      </c>
      <c r="BU633" s="55">
        <f t="shared" si="4481"/>
        <v>539.29999999999995</v>
      </c>
      <c r="BV633" s="55">
        <f t="shared" si="4481"/>
        <v>575</v>
      </c>
      <c r="BW633" s="55">
        <f t="shared" si="4481"/>
        <v>867</v>
      </c>
      <c r="BX633" s="55">
        <f t="shared" si="4481"/>
        <v>864</v>
      </c>
      <c r="BY633" s="55">
        <f t="shared" si="4481"/>
        <v>980</v>
      </c>
      <c r="BZ633" s="55">
        <f t="shared" si="4481"/>
        <v>1144</v>
      </c>
      <c r="CA633" s="55">
        <f t="shared" si="4481"/>
        <v>1364</v>
      </c>
      <c r="CB633" s="55">
        <f t="shared" si="4481"/>
        <v>1738</v>
      </c>
      <c r="CC633" s="55">
        <f>SUM(D633:E633)</f>
        <v>1990</v>
      </c>
      <c r="CD633" s="55">
        <f>SUM(F633:G633)</f>
        <v>3360</v>
      </c>
      <c r="CE633" s="55">
        <f>SUM(H633:I633)</f>
        <v>2224</v>
      </c>
      <c r="CF633" s="55">
        <f>SUM(J633:K633)</f>
        <v>2648</v>
      </c>
      <c r="CG633" s="55">
        <f>SUM(L633:M633)</f>
        <v>2880</v>
      </c>
      <c r="CH633" s="55">
        <f>SUM(N633:O633)</f>
        <v>3319</v>
      </c>
      <c r="CI633" s="55">
        <f>SUM(P633:Q633)</f>
        <v>3515</v>
      </c>
      <c r="CJ633" s="55">
        <f>SUM(R633:S633)</f>
        <v>3409</v>
      </c>
      <c r="CK633" s="55">
        <f>SUM(T633:U633)</f>
        <v>4473</v>
      </c>
      <c r="CL633" s="55">
        <f>SUM(V633:W633)</f>
        <v>4975</v>
      </c>
      <c r="CM633" s="55">
        <f>SUM(X633:Y633)</f>
        <v>5303</v>
      </c>
      <c r="CN633" s="55">
        <f>SUM(Z633:AA633)</f>
        <v>2639</v>
      </c>
      <c r="CO633" s="55">
        <f>SUM(AB633:AC633)</f>
        <v>6174</v>
      </c>
      <c r="CP633" s="55">
        <f>SUM(AD633:AE633)</f>
        <v>6744</v>
      </c>
      <c r="CQ633" s="55">
        <f>SUM(AF633:AG633)</f>
        <v>6994</v>
      </c>
      <c r="CR633" s="55">
        <f>SUM(AH633:AI633)</f>
        <v>7237</v>
      </c>
      <c r="CS633" s="55">
        <f>SUM(AJ633:AK633)</f>
        <v>7484</v>
      </c>
      <c r="CT633" s="55">
        <f>SUM(AL633:AM633)</f>
        <v>7606</v>
      </c>
      <c r="CU633" s="55">
        <f>SUM(AN633:AO633)</f>
        <v>7629</v>
      </c>
      <c r="CV633" s="55">
        <f>SUM(AP633:AQ633)</f>
        <v>4396</v>
      </c>
      <c r="CW633" s="55">
        <f>SUM(AR633:AS633)</f>
        <v>6535</v>
      </c>
      <c r="CX633" s="55">
        <f>SUM(AT633:AU633)</f>
        <v>7117</v>
      </c>
      <c r="CY633" s="55">
        <f>SUM(AV633:AW633)</f>
        <v>7623</v>
      </c>
      <c r="CZ633" s="56">
        <f>SUM(AX633:AY633)</f>
        <v>7949</v>
      </c>
      <c r="DA633" s="55">
        <f>SUM(AZ633:BA633)</f>
        <v>8280.4907467000012</v>
      </c>
      <c r="DB633" s="55">
        <f>SUM(BB633:BC633)</f>
        <v>8426.7026503286288</v>
      </c>
      <c r="DC633" s="55">
        <f>SUM(BD633:BE633)</f>
        <v>8521.3818072445956</v>
      </c>
      <c r="DD633" s="55">
        <f>SUM(BF633:BG633)</f>
        <v>8865.3627287116033</v>
      </c>
      <c r="DE633" s="55">
        <f>SUM(BH633:BI633)</f>
        <v>9339.6875721594697</v>
      </c>
      <c r="DF633" s="55">
        <f>SUM(BJ633:BK633)</f>
        <v>9667.395908024715</v>
      </c>
      <c r="DG633" s="55">
        <f>SUM(BL633:BM633)</f>
        <v>9831.250075957334</v>
      </c>
      <c r="DH633" s="55">
        <f>SUM(BN633:BO633)</f>
        <v>9995.1042438899567</v>
      </c>
      <c r="DI633" s="55">
        <f>SUM(BP633:BQ633)</f>
        <v>10158.958411822579</v>
      </c>
    </row>
    <row r="634" spans="1:113" outlineLevel="1">
      <c r="A634" s="1" t="s">
        <v>744</v>
      </c>
      <c r="B634" s="19" t="str">
        <f>B537</f>
        <v>Net shares issued</v>
      </c>
      <c r="C634" s="55">
        <f t="shared" ref="C634:L634" si="4482">-C537</f>
        <v>304</v>
      </c>
      <c r="D634" s="55">
        <f t="shared" si="4482"/>
        <v>-206</v>
      </c>
      <c r="E634" s="55">
        <f t="shared" si="4482"/>
        <v>-4</v>
      </c>
      <c r="F634" s="55">
        <f t="shared" si="4482"/>
        <v>-13</v>
      </c>
      <c r="G634" s="55">
        <f t="shared" si="4482"/>
        <v>0</v>
      </c>
      <c r="H634" s="55">
        <f t="shared" si="4482"/>
        <v>-207</v>
      </c>
      <c r="I634" s="55">
        <f t="shared" si="4482"/>
        <v>-474</v>
      </c>
      <c r="J634" s="55">
        <f t="shared" si="4482"/>
        <v>-356</v>
      </c>
      <c r="K634" s="55">
        <f t="shared" si="4482"/>
        <v>-142</v>
      </c>
      <c r="L634" s="55">
        <f t="shared" si="4482"/>
        <v>-261</v>
      </c>
      <c r="M634" s="55">
        <f t="shared" ref="M634:AG634" si="4483">-M537</f>
        <v>280</v>
      </c>
      <c r="N634" s="55">
        <f t="shared" si="4483"/>
        <v>-300</v>
      </c>
      <c r="O634" s="55">
        <f t="shared" si="4483"/>
        <v>-518</v>
      </c>
      <c r="P634" s="55">
        <f t="shared" si="4483"/>
        <v>-850</v>
      </c>
      <c r="Q634" s="55">
        <f t="shared" si="4483"/>
        <v>-400</v>
      </c>
      <c r="R634" s="55">
        <f t="shared" si="4483"/>
        <v>-4660</v>
      </c>
      <c r="S634" s="55">
        <f t="shared" si="4483"/>
        <v>-1268</v>
      </c>
      <c r="T634" s="55">
        <f t="shared" si="4483"/>
        <v>-686</v>
      </c>
      <c r="U634" s="55">
        <f t="shared" si="4483"/>
        <v>-773</v>
      </c>
      <c r="V634" s="55">
        <f t="shared" si="4483"/>
        <v>-5</v>
      </c>
      <c r="W634" s="55">
        <f t="shared" si="4483"/>
        <v>-512</v>
      </c>
      <c r="X634" s="55">
        <f t="shared" si="4483"/>
        <v>-834</v>
      </c>
      <c r="Y634" s="55">
        <f>-Y537</f>
        <v>-531</v>
      </c>
      <c r="Z634" s="55">
        <f>-Z537</f>
        <v>-929</v>
      </c>
      <c r="AA634" s="55">
        <f t="shared" si="4483"/>
        <v>0</v>
      </c>
      <c r="AB634" s="55">
        <f t="shared" si="4483"/>
        <v>0</v>
      </c>
      <c r="AC634" s="55">
        <f>-AC537</f>
        <v>-707</v>
      </c>
      <c r="AD634" s="55">
        <f>-AD537</f>
        <v>0</v>
      </c>
      <c r="AE634" s="55">
        <f>-AE537</f>
        <v>-571</v>
      </c>
      <c r="AF634" s="55">
        <f>-AF537</f>
        <v>-5679</v>
      </c>
      <c r="AG634" s="55">
        <f t="shared" si="4483"/>
        <v>-552</v>
      </c>
      <c r="AH634" s="55">
        <f t="shared" ref="AH634:AM634" si="4484">-AH537</f>
        <v>-586</v>
      </c>
      <c r="AI634" s="55">
        <f t="shared" si="4484"/>
        <v>-557</v>
      </c>
      <c r="AJ634" s="55">
        <f t="shared" si="4484"/>
        <v>-1572</v>
      </c>
      <c r="AK634" s="55">
        <f t="shared" si="4484"/>
        <v>-533</v>
      </c>
      <c r="AL634" s="55">
        <f t="shared" si="4484"/>
        <v>-748</v>
      </c>
      <c r="AM634" s="55">
        <f t="shared" si="4484"/>
        <v>0</v>
      </c>
      <c r="AN634" s="55">
        <f t="shared" ref="AN634:AS634" si="4485">-AN537</f>
        <v>0</v>
      </c>
      <c r="AO634" s="55">
        <f t="shared" si="4485"/>
        <v>0</v>
      </c>
      <c r="AP634" s="55">
        <f t="shared" si="4485"/>
        <v>-264</v>
      </c>
      <c r="AQ634" s="55">
        <f t="shared" si="4485"/>
        <v>0</v>
      </c>
      <c r="AR634" s="55">
        <f t="shared" si="4485"/>
        <v>6001</v>
      </c>
      <c r="AS634" s="55">
        <f t="shared" si="4485"/>
        <v>470</v>
      </c>
      <c r="AT634" s="55">
        <f t="shared" ref="AT634:AU634" si="4486">-AT537</f>
        <v>1331</v>
      </c>
      <c r="AU634" s="55">
        <f t="shared" si="4486"/>
        <v>1202</v>
      </c>
      <c r="AV634" s="55">
        <f t="shared" ref="AV634:AW634" si="4487">-AV537</f>
        <v>154</v>
      </c>
      <c r="AW634" s="55">
        <f t="shared" si="4487"/>
        <v>128</v>
      </c>
      <c r="AX634" s="55">
        <f t="shared" ref="AX634" si="4488">-AX537</f>
        <v>18</v>
      </c>
      <c r="AY634" s="55">
        <f t="shared" ref="AY634:BE634" si="4489">-AY537</f>
        <v>0</v>
      </c>
      <c r="AZ634" s="56">
        <f t="shared" si="4489"/>
        <v>0</v>
      </c>
      <c r="BA634" s="55">
        <f t="shared" si="4489"/>
        <v>0</v>
      </c>
      <c r="BB634" s="55">
        <f t="shared" si="4489"/>
        <v>1250</v>
      </c>
      <c r="BC634" s="55">
        <f t="shared" si="4489"/>
        <v>1250</v>
      </c>
      <c r="BD634" s="55">
        <f t="shared" si="4489"/>
        <v>1250</v>
      </c>
      <c r="BE634" s="55">
        <f t="shared" si="4489"/>
        <v>1250</v>
      </c>
      <c r="BF634" s="55">
        <f t="shared" ref="BF634:BM634" si="4490">-BF537</f>
        <v>1250</v>
      </c>
      <c r="BG634" s="55">
        <f t="shared" si="4490"/>
        <v>0</v>
      </c>
      <c r="BH634" s="55">
        <f t="shared" si="4490"/>
        <v>0</v>
      </c>
      <c r="BI634" s="55">
        <f t="shared" si="4490"/>
        <v>0</v>
      </c>
      <c r="BJ634" s="55">
        <f t="shared" si="4490"/>
        <v>0</v>
      </c>
      <c r="BK634" s="55">
        <f t="shared" si="4490"/>
        <v>0</v>
      </c>
      <c r="BL634" s="55">
        <f t="shared" si="4490"/>
        <v>0</v>
      </c>
      <c r="BM634" s="55">
        <f t="shared" si="4490"/>
        <v>0</v>
      </c>
      <c r="BN634" s="55">
        <f t="shared" ref="BN634:BO634" si="4491">-BN537</f>
        <v>0</v>
      </c>
      <c r="BO634" s="55">
        <f t="shared" si="4491"/>
        <v>0</v>
      </c>
      <c r="BP634" s="55">
        <f t="shared" ref="BP634:BQ634" si="4492">-BP537</f>
        <v>0</v>
      </c>
      <c r="BQ634" s="55">
        <f t="shared" si="4492"/>
        <v>0</v>
      </c>
      <c r="BR634" s="55"/>
      <c r="BS634" s="55">
        <f t="shared" ref="BS634:CB634" si="4493">-BS537</f>
        <v>0</v>
      </c>
      <c r="BT634" s="55">
        <f t="shared" si="4493"/>
        <v>-59.5</v>
      </c>
      <c r="BU634" s="55">
        <f t="shared" si="4493"/>
        <v>-56</v>
      </c>
      <c r="BV634" s="55">
        <f t="shared" si="4493"/>
        <v>-88</v>
      </c>
      <c r="BW634" s="55">
        <f t="shared" si="4493"/>
        <v>-83</v>
      </c>
      <c r="BX634" s="55">
        <f t="shared" si="4493"/>
        <v>121</v>
      </c>
      <c r="BY634" s="55">
        <f t="shared" si="4493"/>
        <v>15</v>
      </c>
      <c r="BZ634" s="55">
        <f t="shared" si="4493"/>
        <v>-1681</v>
      </c>
      <c r="CA634" s="55">
        <f t="shared" si="4493"/>
        <v>-8995</v>
      </c>
      <c r="CB634" s="55">
        <f t="shared" si="4493"/>
        <v>66</v>
      </c>
      <c r="CC634" s="55">
        <f>SUM(D634:E634)</f>
        <v>-210</v>
      </c>
      <c r="CD634" s="55">
        <f>SUM(F634:G634)</f>
        <v>-13</v>
      </c>
      <c r="CE634" s="55">
        <f>SUM(H634:I634)</f>
        <v>-681</v>
      </c>
      <c r="CF634" s="55">
        <f>SUM(J634:K634)</f>
        <v>-498</v>
      </c>
      <c r="CG634" s="55">
        <f>SUM(L634:M634)</f>
        <v>19</v>
      </c>
      <c r="CH634" s="55">
        <f>SUM(N634:O634)</f>
        <v>-818</v>
      </c>
      <c r="CI634" s="55">
        <f>SUM(P634:Q634)</f>
        <v>-1250</v>
      </c>
      <c r="CJ634" s="55">
        <f>SUM(R634:S634)</f>
        <v>-5928</v>
      </c>
      <c r="CK634" s="55">
        <f>SUM(T634:U634)</f>
        <v>-1459</v>
      </c>
      <c r="CL634" s="55">
        <f>SUM(V634:W634)</f>
        <v>-517</v>
      </c>
      <c r="CM634" s="55">
        <f>SUM(X634:Y634)</f>
        <v>-1365</v>
      </c>
      <c r="CN634" s="55">
        <f>SUM(Z634:AA634)</f>
        <v>-929</v>
      </c>
      <c r="CO634" s="55">
        <f>SUM(AB634:AC634)</f>
        <v>-707</v>
      </c>
      <c r="CP634" s="55">
        <f>SUM(AD634:AE634)</f>
        <v>-571</v>
      </c>
      <c r="CQ634" s="55">
        <f>SUM(AF634:AG634)</f>
        <v>-6231</v>
      </c>
      <c r="CR634" s="55">
        <f>SUM(AH634:AI634)</f>
        <v>-1143</v>
      </c>
      <c r="CS634" s="55">
        <f>SUM(AJ634:AK634)</f>
        <v>-2105</v>
      </c>
      <c r="CT634" s="55">
        <f>SUM(AL634:AM634)</f>
        <v>-748</v>
      </c>
      <c r="CU634" s="55">
        <f>SUM(AN634:AO634)</f>
        <v>0</v>
      </c>
      <c r="CV634" s="55">
        <f>SUM(AP634:AQ634)</f>
        <v>-264</v>
      </c>
      <c r="CW634" s="55">
        <f>SUM(AR634:AS634)</f>
        <v>6471</v>
      </c>
      <c r="CX634" s="55">
        <f>SUM(AT634:AU634)</f>
        <v>2533</v>
      </c>
      <c r="CY634" s="55">
        <f>SUM(AV634:AW634)</f>
        <v>282</v>
      </c>
      <c r="CZ634" s="56">
        <f>SUM(AX634:AY634)</f>
        <v>18</v>
      </c>
      <c r="DA634" s="55">
        <f>SUM(AZ634:BA634)</f>
        <v>0</v>
      </c>
      <c r="DB634" s="55">
        <f>SUM(BB634:BC634)</f>
        <v>2500</v>
      </c>
      <c r="DC634" s="55">
        <f>SUM(BD634:BE634)</f>
        <v>2500</v>
      </c>
      <c r="DD634" s="55">
        <f>SUM(BF634:BG634)</f>
        <v>1250</v>
      </c>
      <c r="DE634" s="55">
        <f>SUM(BH634:BI634)</f>
        <v>0</v>
      </c>
      <c r="DF634" s="55">
        <f>SUM(BJ634:BK634)</f>
        <v>0</v>
      </c>
      <c r="DG634" s="55">
        <f>SUM(BL634:BM634)</f>
        <v>0</v>
      </c>
      <c r="DH634" s="55">
        <f>SUM(BN634:BO634)</f>
        <v>0</v>
      </c>
      <c r="DI634" s="55">
        <f>SUM(BP634:BQ634)</f>
        <v>0</v>
      </c>
    </row>
    <row r="635" spans="1:113" s="24" customFormat="1" outlineLevel="1">
      <c r="A635" s="1" t="s">
        <v>894</v>
      </c>
      <c r="B635" s="24" t="str">
        <f>B631</f>
        <v>Distributed cash flow</v>
      </c>
      <c r="C635" s="82" t="e">
        <f t="shared" ref="C635:L635" si="4494">SUM(C633:C634)</f>
        <v>#VALUE!</v>
      </c>
      <c r="D635" s="82">
        <f t="shared" si="4494"/>
        <v>733</v>
      </c>
      <c r="E635" s="82">
        <f t="shared" si="4494"/>
        <v>1047</v>
      </c>
      <c r="F635" s="82">
        <f t="shared" si="4494"/>
        <v>2092</v>
      </c>
      <c r="G635" s="82">
        <f t="shared" si="4494"/>
        <v>1255</v>
      </c>
      <c r="H635" s="82">
        <f t="shared" si="4494"/>
        <v>828</v>
      </c>
      <c r="I635" s="82">
        <f t="shared" si="4494"/>
        <v>715</v>
      </c>
      <c r="J635" s="82">
        <f t="shared" si="4494"/>
        <v>788</v>
      </c>
      <c r="K635" s="82">
        <f t="shared" si="4494"/>
        <v>1362</v>
      </c>
      <c r="L635" s="82">
        <f t="shared" si="4494"/>
        <v>951</v>
      </c>
      <c r="M635" s="82">
        <f t="shared" ref="M635:AG635" si="4495">SUM(M633:M634)</f>
        <v>1948</v>
      </c>
      <c r="N635" s="82">
        <f t="shared" si="4495"/>
        <v>1080</v>
      </c>
      <c r="O635" s="82">
        <f t="shared" si="4495"/>
        <v>1421</v>
      </c>
      <c r="P635" s="82">
        <f t="shared" si="4495"/>
        <v>636</v>
      </c>
      <c r="Q635" s="82">
        <f t="shared" si="4495"/>
        <v>1629</v>
      </c>
      <c r="R635" s="82">
        <f t="shared" si="4495"/>
        <v>-2998</v>
      </c>
      <c r="S635" s="82">
        <f t="shared" si="4495"/>
        <v>479</v>
      </c>
      <c r="T635" s="82">
        <f t="shared" si="4495"/>
        <v>1154</v>
      </c>
      <c r="U635" s="82">
        <f t="shared" si="4495"/>
        <v>1860</v>
      </c>
      <c r="V635" s="82">
        <f t="shared" si="4495"/>
        <v>2040</v>
      </c>
      <c r="W635" s="82">
        <f t="shared" si="4495"/>
        <v>2418</v>
      </c>
      <c r="X635" s="82">
        <f t="shared" si="4495"/>
        <v>1332</v>
      </c>
      <c r="Y635" s="82">
        <f>SUM(Y633:Y634)</f>
        <v>2606</v>
      </c>
      <c r="Z635" s="82">
        <f>SUM(Z633:Z634)</f>
        <v>1710</v>
      </c>
      <c r="AA635" s="82">
        <f t="shared" si="4495"/>
        <v>0</v>
      </c>
      <c r="AB635" s="82">
        <f t="shared" si="4495"/>
        <v>3224</v>
      </c>
      <c r="AC635" s="82">
        <f>SUM(AC633:AC634)</f>
        <v>2243</v>
      </c>
      <c r="AD635" s="82">
        <f>SUM(AD633:AD634)</f>
        <v>3534</v>
      </c>
      <c r="AE635" s="82">
        <f>SUM(AE633:AE634)</f>
        <v>2639</v>
      </c>
      <c r="AF635" s="82">
        <f>SUM(AF633:AF634)</f>
        <v>-2066</v>
      </c>
      <c r="AG635" s="82">
        <f t="shared" si="4495"/>
        <v>2829</v>
      </c>
      <c r="AH635" s="82">
        <f t="shared" ref="AH635:AM635" si="4496">SUM(AH633:AH634)</f>
        <v>3222</v>
      </c>
      <c r="AI635" s="82">
        <f t="shared" si="4496"/>
        <v>2872</v>
      </c>
      <c r="AJ635" s="82">
        <f t="shared" si="4496"/>
        <v>2407</v>
      </c>
      <c r="AK635" s="82">
        <f t="shared" si="4496"/>
        <v>2972</v>
      </c>
      <c r="AL635" s="82">
        <f t="shared" si="4496"/>
        <v>3317</v>
      </c>
      <c r="AM635" s="82">
        <f t="shared" si="4496"/>
        <v>3541</v>
      </c>
      <c r="AN635" s="82">
        <f t="shared" ref="AN635:AS635" si="4497">SUM(AN633:AN634)</f>
        <v>4089</v>
      </c>
      <c r="AO635" s="82">
        <f t="shared" si="4497"/>
        <v>3540</v>
      </c>
      <c r="AP635" s="82">
        <f t="shared" si="4497"/>
        <v>1471</v>
      </c>
      <c r="AQ635" s="82">
        <f t="shared" si="4497"/>
        <v>2661</v>
      </c>
      <c r="AR635" s="82">
        <f t="shared" si="4497"/>
        <v>9549</v>
      </c>
      <c r="AS635" s="82">
        <f t="shared" si="4497"/>
        <v>3457</v>
      </c>
      <c r="AT635" s="82">
        <f t="shared" ref="AT635:AU635" si="4498">SUM(AT633:AT634)</f>
        <v>4902</v>
      </c>
      <c r="AU635" s="82">
        <f t="shared" si="4498"/>
        <v>4748</v>
      </c>
      <c r="AV635" s="82">
        <f t="shared" ref="AV635:AW635" si="4499">SUM(AV633:AV634)</f>
        <v>4177</v>
      </c>
      <c r="AW635" s="82">
        <f t="shared" si="4499"/>
        <v>3728</v>
      </c>
      <c r="AX635" s="82">
        <f t="shared" ref="AX635" si="4500">SUM(AX633:AX634)</f>
        <v>4202</v>
      </c>
      <c r="AY635" s="82">
        <f t="shared" ref="AY635:BE635" si="4501">SUM(AY633:AY634)</f>
        <v>3765</v>
      </c>
      <c r="AZ635" s="83">
        <f t="shared" si="4501"/>
        <v>4351</v>
      </c>
      <c r="BA635" s="82">
        <f t="shared" si="4501"/>
        <v>3929.4907467000003</v>
      </c>
      <c r="BB635" s="82">
        <f t="shared" si="4501"/>
        <v>5681.1278633000002</v>
      </c>
      <c r="BC635" s="82">
        <f t="shared" si="4501"/>
        <v>5245.5747870286286</v>
      </c>
      <c r="BD635" s="82">
        <f t="shared" si="4501"/>
        <v>5726.1319001352676</v>
      </c>
      <c r="BE635" s="82">
        <f t="shared" si="4501"/>
        <v>5295.249907109328</v>
      </c>
      <c r="BF635" s="82">
        <f t="shared" ref="BF635:BM635" si="4502">SUM(BF633:BF634)</f>
        <v>5855.1543624634251</v>
      </c>
      <c r="BG635" s="82">
        <f t="shared" si="4502"/>
        <v>4260.2083662481791</v>
      </c>
      <c r="BH635" s="82">
        <f t="shared" si="4502"/>
        <v>4833.6979540123575</v>
      </c>
      <c r="BI635" s="82">
        <f t="shared" si="4502"/>
        <v>4505.9896181471122</v>
      </c>
      <c r="BJ635" s="82">
        <f t="shared" si="4502"/>
        <v>5079.4792059112906</v>
      </c>
      <c r="BK635" s="82">
        <f t="shared" si="4502"/>
        <v>4587.9167021134235</v>
      </c>
      <c r="BL635" s="82">
        <f t="shared" si="4502"/>
        <v>5161.406289877601</v>
      </c>
      <c r="BM635" s="82">
        <f t="shared" si="4502"/>
        <v>4669.8437860797339</v>
      </c>
      <c r="BN635" s="82">
        <f t="shared" ref="BN635:BO635" si="4503">SUM(BN633:BN634)</f>
        <v>5243.3333738439123</v>
      </c>
      <c r="BO635" s="82">
        <f t="shared" si="4503"/>
        <v>4751.7708700460453</v>
      </c>
      <c r="BP635" s="82">
        <f t="shared" ref="BP635:BQ635" si="4504">SUM(BP633:BP634)</f>
        <v>5325.2604578102228</v>
      </c>
      <c r="BQ635" s="82">
        <f t="shared" si="4504"/>
        <v>4833.6979540123557</v>
      </c>
      <c r="BR635" s="82"/>
      <c r="BS635" s="82">
        <f t="shared" ref="BS635:CB635" si="4505">SUM(BS633:BS634)</f>
        <v>0</v>
      </c>
      <c r="BT635" s="82">
        <f t="shared" si="4505"/>
        <v>305.7</v>
      </c>
      <c r="BU635" s="82">
        <f t="shared" si="4505"/>
        <v>483.29999999999995</v>
      </c>
      <c r="BV635" s="82">
        <f t="shared" si="4505"/>
        <v>487</v>
      </c>
      <c r="BW635" s="82">
        <f t="shared" si="4505"/>
        <v>784</v>
      </c>
      <c r="BX635" s="82">
        <f t="shared" si="4505"/>
        <v>985</v>
      </c>
      <c r="BY635" s="82">
        <f t="shared" si="4505"/>
        <v>995</v>
      </c>
      <c r="BZ635" s="82">
        <f t="shared" si="4505"/>
        <v>-537</v>
      </c>
      <c r="CA635" s="82">
        <f t="shared" si="4505"/>
        <v>-7631</v>
      </c>
      <c r="CB635" s="82">
        <f t="shared" si="4505"/>
        <v>1804</v>
      </c>
      <c r="CC635" s="82">
        <f t="shared" ref="CC635:CP635" si="4506">SUM(CC633:CC634)</f>
        <v>1780</v>
      </c>
      <c r="CD635" s="82">
        <f t="shared" si="4506"/>
        <v>3347</v>
      </c>
      <c r="CE635" s="82">
        <f t="shared" si="4506"/>
        <v>1543</v>
      </c>
      <c r="CF635" s="82">
        <f t="shared" si="4506"/>
        <v>2150</v>
      </c>
      <c r="CG635" s="82">
        <f t="shared" si="4506"/>
        <v>2899</v>
      </c>
      <c r="CH635" s="82">
        <f t="shared" si="4506"/>
        <v>2501</v>
      </c>
      <c r="CI635" s="82">
        <f t="shared" si="4506"/>
        <v>2265</v>
      </c>
      <c r="CJ635" s="82">
        <f t="shared" si="4506"/>
        <v>-2519</v>
      </c>
      <c r="CK635" s="82">
        <f t="shared" si="4506"/>
        <v>3014</v>
      </c>
      <c r="CL635" s="82">
        <f t="shared" si="4506"/>
        <v>4458</v>
      </c>
      <c r="CM635" s="82">
        <f t="shared" si="4506"/>
        <v>3938</v>
      </c>
      <c r="CN635" s="82">
        <f t="shared" si="4506"/>
        <v>1710</v>
      </c>
      <c r="CO635" s="82">
        <f t="shared" si="4506"/>
        <v>5467</v>
      </c>
      <c r="CP635" s="82">
        <f t="shared" si="4506"/>
        <v>6173</v>
      </c>
      <c r="CQ635" s="82">
        <f t="shared" ref="CQ635:CX635" si="4507">SUM(CQ633:CQ634)</f>
        <v>763</v>
      </c>
      <c r="CR635" s="82">
        <f t="shared" si="4507"/>
        <v>6094</v>
      </c>
      <c r="CS635" s="82">
        <f t="shared" si="4507"/>
        <v>5379</v>
      </c>
      <c r="CT635" s="82">
        <f t="shared" si="4507"/>
        <v>6858</v>
      </c>
      <c r="CU635" s="82">
        <f t="shared" si="4507"/>
        <v>7629</v>
      </c>
      <c r="CV635" s="82">
        <f t="shared" si="4507"/>
        <v>4132</v>
      </c>
      <c r="CW635" s="82">
        <f t="shared" si="4507"/>
        <v>13006</v>
      </c>
      <c r="CX635" s="82">
        <f t="shared" si="4507"/>
        <v>9650</v>
      </c>
      <c r="CY635" s="82">
        <f t="shared" ref="CY635:DD635" si="4508">SUM(CY633:CY634)</f>
        <v>7905</v>
      </c>
      <c r="CZ635" s="83">
        <f t="shared" si="4508"/>
        <v>7967</v>
      </c>
      <c r="DA635" s="82">
        <f t="shared" si="4508"/>
        <v>8280.4907467000012</v>
      </c>
      <c r="DB635" s="82">
        <f t="shared" si="4508"/>
        <v>10926.702650328629</v>
      </c>
      <c r="DC635" s="82">
        <f t="shared" si="4508"/>
        <v>11021.381807244596</v>
      </c>
      <c r="DD635" s="82">
        <f t="shared" si="4508"/>
        <v>10115.362728711603</v>
      </c>
      <c r="DE635" s="82">
        <f>SUM(DE633:DE634)</f>
        <v>9339.6875721594697</v>
      </c>
      <c r="DF635" s="82">
        <f>SUM(DF633:DF634)</f>
        <v>9667.395908024715</v>
      </c>
      <c r="DG635" s="82">
        <f>SUM(DG633:DG634)</f>
        <v>9831.250075957334</v>
      </c>
      <c r="DH635" s="82">
        <f>SUM(DH633:DH634)</f>
        <v>9995.1042438899567</v>
      </c>
      <c r="DI635" s="82">
        <f>SUM(DI633:DI634)</f>
        <v>10158.958411822579</v>
      </c>
    </row>
    <row r="636" spans="1:113" outlineLevel="1">
      <c r="A636" s="1" t="s">
        <v>745</v>
      </c>
      <c r="B636" s="19" t="s">
        <v>656</v>
      </c>
      <c r="C636" s="55" t="e">
        <f t="shared" ref="C636:L636" si="4509">C633/(1-C128)*C128*C132*C138</f>
        <v>#VALUE!</v>
      </c>
      <c r="D636" s="55">
        <f t="shared" si="4509"/>
        <v>281.7</v>
      </c>
      <c r="E636" s="55">
        <f t="shared" si="4509"/>
        <v>315.3</v>
      </c>
      <c r="F636" s="55">
        <f t="shared" si="4509"/>
        <v>631.5</v>
      </c>
      <c r="G636" s="55">
        <f t="shared" si="4509"/>
        <v>376.5</v>
      </c>
      <c r="H636" s="55">
        <f t="shared" si="4509"/>
        <v>310.5</v>
      </c>
      <c r="I636" s="55">
        <f t="shared" si="4509"/>
        <v>356.7</v>
      </c>
      <c r="J636" s="55">
        <f t="shared" si="4509"/>
        <v>343.2</v>
      </c>
      <c r="K636" s="55">
        <f t="shared" si="4509"/>
        <v>451.20000000000005</v>
      </c>
      <c r="L636" s="55">
        <f t="shared" si="4509"/>
        <v>363.59999999999997</v>
      </c>
      <c r="M636" s="55">
        <f t="shared" ref="M636:AG636" si="4510">M633/(1-M128)*M128*M132*M138</f>
        <v>428.91428571428571</v>
      </c>
      <c r="N636" s="55">
        <f t="shared" si="4510"/>
        <v>354.85714285714283</v>
      </c>
      <c r="O636" s="55">
        <f t="shared" si="4510"/>
        <v>498.59999999999997</v>
      </c>
      <c r="P636" s="55">
        <f t="shared" si="4510"/>
        <v>382.1142857142857</v>
      </c>
      <c r="Q636" s="55">
        <f t="shared" si="4510"/>
        <v>521.74285714285713</v>
      </c>
      <c r="R636" s="55">
        <f t="shared" si="4510"/>
        <v>427.37142857142851</v>
      </c>
      <c r="S636" s="55">
        <f t="shared" si="4510"/>
        <v>449.2285714285714</v>
      </c>
      <c r="T636" s="55">
        <f t="shared" si="4510"/>
        <v>473.14285714285717</v>
      </c>
      <c r="U636" s="55">
        <f t="shared" si="4510"/>
        <v>677.05714285714282</v>
      </c>
      <c r="V636" s="55">
        <f t="shared" si="4510"/>
        <v>525.85714285714289</v>
      </c>
      <c r="W636" s="55">
        <f t="shared" si="4510"/>
        <v>753.42857142857144</v>
      </c>
      <c r="X636" s="55">
        <f t="shared" si="4510"/>
        <v>556.97142857142853</v>
      </c>
      <c r="Y636" s="55">
        <f>Y633/(1-Y128)*Y128*Y132*Y138</f>
        <v>806.65714285714273</v>
      </c>
      <c r="Z636" s="55">
        <f>Z633/(1-Z128)*Z128*Z132*Z138</f>
        <v>678.6</v>
      </c>
      <c r="AA636" s="55">
        <f t="shared" si="4510"/>
        <v>0</v>
      </c>
      <c r="AB636" s="55">
        <f t="shared" si="4510"/>
        <v>829.02857142857147</v>
      </c>
      <c r="AC636" s="55">
        <f>AC633/(1-AC128)*AC128*AC132*AC138</f>
        <v>758.57142857142867</v>
      </c>
      <c r="AD636" s="55">
        <f>AD633/(1-AD128)*AD128*AD132*AD138</f>
        <v>908.74285714285702</v>
      </c>
      <c r="AE636" s="55">
        <f>AE633/(1-AE128)*AE128*AE132*AE138</f>
        <v>825.42857142857144</v>
      </c>
      <c r="AF636" s="55">
        <f>AF633/(1-AF128)*AF128*AF132*AF138</f>
        <v>929.05714285714271</v>
      </c>
      <c r="AG636" s="55">
        <f t="shared" si="4510"/>
        <v>869.4</v>
      </c>
      <c r="AH636" s="55">
        <f t="shared" ref="AH636:AM636" si="4511">AH633/(1-AH128)*AH128*AH132*AH138</f>
        <v>979.19999999999993</v>
      </c>
      <c r="AI636" s="55">
        <f t="shared" si="4511"/>
        <v>881.74285714285702</v>
      </c>
      <c r="AJ636" s="55">
        <f t="shared" si="4511"/>
        <v>1023.1714285714286</v>
      </c>
      <c r="AK636" s="55">
        <f t="shared" si="4511"/>
        <v>901.28571428571433</v>
      </c>
      <c r="AL636" s="55">
        <f t="shared" si="4511"/>
        <v>1045.2857142857144</v>
      </c>
      <c r="AM636" s="55">
        <f t="shared" si="4511"/>
        <v>910.54285714285709</v>
      </c>
      <c r="AN636" s="55">
        <f t="shared" ref="AN636:AS636" si="4512">AN633/(1-AN128)*AN128*AN132*AN138</f>
        <v>1051.4571428571428</v>
      </c>
      <c r="AO636" s="55">
        <f t="shared" si="4512"/>
        <v>910.28571428571433</v>
      </c>
      <c r="AP636" s="55">
        <f t="shared" si="4512"/>
        <v>446.14285714285717</v>
      </c>
      <c r="AQ636" s="55">
        <f t="shared" si="4512"/>
        <v>684.25714285714275</v>
      </c>
      <c r="AR636" s="55">
        <f t="shared" si="4512"/>
        <v>912.34285714285704</v>
      </c>
      <c r="AS636" s="55">
        <f t="shared" si="4512"/>
        <v>768.0857142857144</v>
      </c>
      <c r="AT636" s="55">
        <f t="shared" ref="AT636:AU636" si="4513">AT633/(1-AT128)*AT128*AT132*AT138</f>
        <v>918.25714285714275</v>
      </c>
      <c r="AU636" s="55">
        <f t="shared" si="4513"/>
        <v>911.82857142857142</v>
      </c>
      <c r="AV636" s="55">
        <f t="shared" ref="AV636:AW636" si="4514">AV633/(1-AV128)*AV128*AV132*AV138</f>
        <v>1034.4857142857143</v>
      </c>
      <c r="AW636" s="55">
        <f t="shared" si="4514"/>
        <v>925.71428571428567</v>
      </c>
      <c r="AX636" s="55">
        <f t="shared" ref="AX636" si="4515">AX633/(1-AX128)*AX128*AX132*AX138</f>
        <v>1075.8857142857144</v>
      </c>
      <c r="AY636" s="55">
        <f t="shared" ref="AY636:BE636" si="4516">AY633/(1-AY128)*AY128*AY132*AY138</f>
        <v>968.14285714285711</v>
      </c>
      <c r="AZ636" s="56">
        <f t="shared" si="4516"/>
        <v>1118.8285714285714</v>
      </c>
      <c r="BA636" s="55">
        <f t="shared" si="4516"/>
        <v>1010.4404777228572</v>
      </c>
      <c r="BB636" s="55">
        <f t="shared" si="4516"/>
        <v>1139.4328791342857</v>
      </c>
      <c r="BC636" s="55">
        <f t="shared" si="4516"/>
        <v>1027.4335166645044</v>
      </c>
      <c r="BD636" s="55">
        <f t="shared" si="4516"/>
        <v>1151.0053457490687</v>
      </c>
      <c r="BE636" s="55">
        <f t="shared" si="4516"/>
        <v>1040.2071189709702</v>
      </c>
      <c r="BF636" s="55">
        <f t="shared" ref="BF636:BM636" si="4517">BF633/(1-BF128)*BF128*BF132*BF138</f>
        <v>1184.1825503477378</v>
      </c>
      <c r="BG636" s="55">
        <f t="shared" si="4517"/>
        <v>1095.4821513209604</v>
      </c>
      <c r="BH636" s="55">
        <f t="shared" si="4517"/>
        <v>1242.9509024603205</v>
      </c>
      <c r="BI636" s="55">
        <f t="shared" si="4517"/>
        <v>1158.6830446664003</v>
      </c>
      <c r="BJ636" s="55">
        <f t="shared" si="4517"/>
        <v>1306.1517958057602</v>
      </c>
      <c r="BK636" s="55">
        <f t="shared" si="4517"/>
        <v>1179.7500091148802</v>
      </c>
      <c r="BL636" s="55">
        <f t="shared" si="4517"/>
        <v>1327.2187602542401</v>
      </c>
      <c r="BM636" s="55">
        <f t="shared" si="4517"/>
        <v>1200.8169735633601</v>
      </c>
      <c r="BN636" s="55">
        <f t="shared" ref="BN636:BO636" si="4518">BN633/(1-BN128)*BN128*BN132*BN138</f>
        <v>1348.2857247027202</v>
      </c>
      <c r="BO636" s="55">
        <f t="shared" si="4518"/>
        <v>1221.8839380118402</v>
      </c>
      <c r="BP636" s="55">
        <f t="shared" ref="BP636:BQ636" si="4519">BP633/(1-BP128)*BP128*BP132*BP138</f>
        <v>1369.3526891512001</v>
      </c>
      <c r="BQ636" s="55">
        <f t="shared" si="4519"/>
        <v>1242.9509024603201</v>
      </c>
      <c r="BR636" s="55"/>
      <c r="BS636" s="55">
        <f t="shared" ref="BS636:CB636" si="4520">BS633/(1-BS128)*BS128*BS132*BS138</f>
        <v>0</v>
      </c>
      <c r="BT636" s="55">
        <f t="shared" si="4520"/>
        <v>125.91223880597016</v>
      </c>
      <c r="BU636" s="55">
        <f t="shared" si="4520"/>
        <v>185.93776119402989</v>
      </c>
      <c r="BV636" s="55">
        <f t="shared" si="4520"/>
        <v>198.24626865671644</v>
      </c>
      <c r="BW636" s="55">
        <f t="shared" si="4520"/>
        <v>341.38124999999997</v>
      </c>
      <c r="BX636" s="55">
        <f t="shared" si="4520"/>
        <v>340.2</v>
      </c>
      <c r="BY636" s="55">
        <f t="shared" si="4520"/>
        <v>385.875</v>
      </c>
      <c r="BZ636" s="55">
        <f t="shared" si="4520"/>
        <v>450.45</v>
      </c>
      <c r="CA636" s="55">
        <f t="shared" si="4520"/>
        <v>537.07499999999993</v>
      </c>
      <c r="CB636" s="55">
        <f t="shared" si="4520"/>
        <v>626.73333333333335</v>
      </c>
      <c r="CC636" s="55">
        <f>SUM(D636:E636)</f>
        <v>597</v>
      </c>
      <c r="CD636" s="55">
        <f>SUM(F636:G636)</f>
        <v>1008</v>
      </c>
      <c r="CE636" s="55">
        <f>SUM(H636:I636)</f>
        <v>667.2</v>
      </c>
      <c r="CF636" s="55">
        <f>SUM(J636:K636)</f>
        <v>794.40000000000009</v>
      </c>
      <c r="CG636" s="55">
        <f>SUM(L636:M636)</f>
        <v>792.51428571428573</v>
      </c>
      <c r="CH636" s="55">
        <f>SUM(N636:O636)</f>
        <v>853.4571428571428</v>
      </c>
      <c r="CI636" s="55">
        <f>SUM(P636:Q636)</f>
        <v>903.85714285714289</v>
      </c>
      <c r="CJ636" s="55">
        <f>SUM(R636:S636)</f>
        <v>876.59999999999991</v>
      </c>
      <c r="CK636" s="55">
        <f>SUM(T636:U636)</f>
        <v>1150.2</v>
      </c>
      <c r="CL636" s="55">
        <f>SUM(V636:W636)</f>
        <v>1279.2857142857142</v>
      </c>
      <c r="CM636" s="55">
        <f>SUM(X636:Y636)</f>
        <v>1363.6285714285714</v>
      </c>
      <c r="CN636" s="55">
        <f>SUM(Z636:AA636)</f>
        <v>678.6</v>
      </c>
      <c r="CO636" s="55">
        <f>SUM(AB636:AC636)</f>
        <v>1587.6000000000001</v>
      </c>
      <c r="CP636" s="55">
        <f>SUM(AD636:AE636)</f>
        <v>1734.1714285714284</v>
      </c>
      <c r="CQ636" s="55">
        <f>SUM(AF636:AG636)</f>
        <v>1798.4571428571426</v>
      </c>
      <c r="CR636" s="55">
        <f>SUM(AH636:AI636)</f>
        <v>1860.9428571428571</v>
      </c>
      <c r="CS636" s="55">
        <f>SUM(AJ636:AK636)</f>
        <v>1924.457142857143</v>
      </c>
      <c r="CT636" s="55">
        <f>SUM(AL636:AM636)</f>
        <v>1955.8285714285716</v>
      </c>
      <c r="CU636" s="55">
        <f>SUM(AN636:AO636)</f>
        <v>1961.7428571428572</v>
      </c>
      <c r="CV636" s="55">
        <f>SUM(AP636:AQ636)</f>
        <v>1130.3999999999999</v>
      </c>
      <c r="CW636" s="55">
        <f>SUM(AR636:AS636)</f>
        <v>1680.4285714285716</v>
      </c>
      <c r="CX636" s="55">
        <f>SUM(AT636:AU636)</f>
        <v>1830.0857142857142</v>
      </c>
      <c r="CY636" s="55">
        <f>SUM(AV636:AW636)</f>
        <v>1960.1999999999998</v>
      </c>
      <c r="CZ636" s="56">
        <f>SUM(AX636:AY636)</f>
        <v>2044.0285714285715</v>
      </c>
      <c r="DA636" s="55">
        <f>SUM(AZ636:BA636)</f>
        <v>2129.2690491514286</v>
      </c>
      <c r="DB636" s="55">
        <f>SUM(BB636:BC636)</f>
        <v>2166.8663957987901</v>
      </c>
      <c r="DC636" s="55">
        <f>SUM(BD636:BE636)</f>
        <v>2191.212464720039</v>
      </c>
      <c r="DD636" s="55">
        <f>SUM(BF636:BG636)</f>
        <v>2279.6647016686984</v>
      </c>
      <c r="DE636" s="55">
        <f>SUM(BH636:BI636)</f>
        <v>2401.6339471267211</v>
      </c>
      <c r="DF636" s="55">
        <f>SUM(BJ636:BK636)</f>
        <v>2485.9018049206406</v>
      </c>
      <c r="DG636" s="55">
        <f>SUM(BL636:BM636)</f>
        <v>2528.0357338176</v>
      </c>
      <c r="DH636" s="55">
        <f>SUM(BN636:BO636)</f>
        <v>2570.1696627145602</v>
      </c>
      <c r="DI636" s="55">
        <f>SUM(BP636:BQ636)</f>
        <v>2612.3035916115205</v>
      </c>
    </row>
    <row r="637" spans="1:113" s="24" customFormat="1" outlineLevel="1">
      <c r="A637" s="1" t="s">
        <v>746</v>
      </c>
      <c r="B637" s="24" t="str">
        <f>B635&amp;" and value of franking credits"</f>
        <v>Distributed cash flow and value of franking credits</v>
      </c>
      <c r="C637" s="82" t="e">
        <f>SUM(C635:C636)</f>
        <v>#VALUE!</v>
      </c>
      <c r="D637" s="82">
        <f t="shared" ref="D637:L637" si="4521">SUM(D635:D636)</f>
        <v>1014.7</v>
      </c>
      <c r="E637" s="82">
        <f t="shared" si="4521"/>
        <v>1362.3</v>
      </c>
      <c r="F637" s="82">
        <f t="shared" si="4521"/>
        <v>2723.5</v>
      </c>
      <c r="G637" s="82">
        <f t="shared" si="4521"/>
        <v>1631.5</v>
      </c>
      <c r="H637" s="82">
        <f t="shared" si="4521"/>
        <v>1138.5</v>
      </c>
      <c r="I637" s="82">
        <f t="shared" si="4521"/>
        <v>1071.7</v>
      </c>
      <c r="J637" s="82">
        <f t="shared" si="4521"/>
        <v>1131.2</v>
      </c>
      <c r="K637" s="82">
        <f t="shared" si="4521"/>
        <v>1813.2</v>
      </c>
      <c r="L637" s="82">
        <f t="shared" si="4521"/>
        <v>1314.6</v>
      </c>
      <c r="M637" s="82">
        <f t="shared" ref="M637:AG637" si="4522">SUM(M635:M636)</f>
        <v>2376.9142857142856</v>
      </c>
      <c r="N637" s="82">
        <f t="shared" si="4522"/>
        <v>1434.8571428571429</v>
      </c>
      <c r="O637" s="82">
        <f t="shared" si="4522"/>
        <v>1919.6</v>
      </c>
      <c r="P637" s="82">
        <f t="shared" si="4522"/>
        <v>1018.1142857142856</v>
      </c>
      <c r="Q637" s="82">
        <f t="shared" si="4522"/>
        <v>2150.7428571428572</v>
      </c>
      <c r="R637" s="82">
        <f t="shared" si="4522"/>
        <v>-2570.6285714285714</v>
      </c>
      <c r="S637" s="82">
        <f t="shared" si="4522"/>
        <v>928.2285714285714</v>
      </c>
      <c r="T637" s="82">
        <f t="shared" si="4522"/>
        <v>1627.1428571428571</v>
      </c>
      <c r="U637" s="82">
        <f t="shared" si="4522"/>
        <v>2537.0571428571429</v>
      </c>
      <c r="V637" s="82">
        <f t="shared" si="4522"/>
        <v>2565.8571428571431</v>
      </c>
      <c r="W637" s="82">
        <f t="shared" si="4522"/>
        <v>3171.4285714285716</v>
      </c>
      <c r="X637" s="82">
        <f t="shared" si="4522"/>
        <v>1888.9714285714285</v>
      </c>
      <c r="Y637" s="82">
        <f>SUM(Y635:Y636)</f>
        <v>3412.6571428571428</v>
      </c>
      <c r="Z637" s="82">
        <f>SUM(Z635:Z636)</f>
        <v>2388.6</v>
      </c>
      <c r="AA637" s="82">
        <f t="shared" si="4522"/>
        <v>0</v>
      </c>
      <c r="AB637" s="82">
        <f t="shared" si="4522"/>
        <v>4053.0285714285715</v>
      </c>
      <c r="AC637" s="82">
        <f>SUM(AC635:AC636)</f>
        <v>3001.5714285714284</v>
      </c>
      <c r="AD637" s="82">
        <f>SUM(AD635:AD636)</f>
        <v>4442.7428571428572</v>
      </c>
      <c r="AE637" s="82">
        <f>SUM(AE635:AE636)</f>
        <v>3464.4285714285716</v>
      </c>
      <c r="AF637" s="82">
        <f>SUM(AF635:AF636)</f>
        <v>-1136.9428571428573</v>
      </c>
      <c r="AG637" s="82">
        <f t="shared" si="4522"/>
        <v>3698.4</v>
      </c>
      <c r="AH637" s="82">
        <f t="shared" ref="AH637:AM637" si="4523">SUM(AH635:AH636)</f>
        <v>4201.2</v>
      </c>
      <c r="AI637" s="82">
        <f t="shared" si="4523"/>
        <v>3753.7428571428572</v>
      </c>
      <c r="AJ637" s="82">
        <f t="shared" si="4523"/>
        <v>3430.1714285714288</v>
      </c>
      <c r="AK637" s="82">
        <f t="shared" si="4523"/>
        <v>3873.2857142857142</v>
      </c>
      <c r="AL637" s="82">
        <f t="shared" si="4523"/>
        <v>4362.2857142857147</v>
      </c>
      <c r="AM637" s="82">
        <f t="shared" si="4523"/>
        <v>4451.5428571428574</v>
      </c>
      <c r="AN637" s="82">
        <f t="shared" ref="AN637:AS637" si="4524">SUM(AN635:AN636)</f>
        <v>5140.4571428571426</v>
      </c>
      <c r="AO637" s="82">
        <f t="shared" si="4524"/>
        <v>4450.2857142857147</v>
      </c>
      <c r="AP637" s="82">
        <f t="shared" si="4524"/>
        <v>1917.1428571428571</v>
      </c>
      <c r="AQ637" s="82">
        <f t="shared" si="4524"/>
        <v>3345.2571428571428</v>
      </c>
      <c r="AR637" s="82">
        <f t="shared" si="4524"/>
        <v>10461.342857142858</v>
      </c>
      <c r="AS637" s="82">
        <f t="shared" si="4524"/>
        <v>4225.0857142857149</v>
      </c>
      <c r="AT637" s="82">
        <f t="shared" ref="AT637:AU637" si="4525">SUM(AT635:AT636)</f>
        <v>5820.2571428571428</v>
      </c>
      <c r="AU637" s="82">
        <f t="shared" si="4525"/>
        <v>5659.8285714285712</v>
      </c>
      <c r="AV637" s="82">
        <f t="shared" ref="AV637:AW637" si="4526">SUM(AV635:AV636)</f>
        <v>5211.4857142857145</v>
      </c>
      <c r="AW637" s="82">
        <f t="shared" si="4526"/>
        <v>4653.7142857142853</v>
      </c>
      <c r="AX637" s="82">
        <f t="shared" ref="AX637" si="4527">SUM(AX635:AX636)</f>
        <v>5277.8857142857141</v>
      </c>
      <c r="AY637" s="82">
        <f t="shared" ref="AY637:BE637" si="4528">SUM(AY635:AY636)</f>
        <v>4733.1428571428569</v>
      </c>
      <c r="AZ637" s="83">
        <f t="shared" si="4528"/>
        <v>5469.8285714285712</v>
      </c>
      <c r="BA637" s="82">
        <f t="shared" si="4528"/>
        <v>4939.9312244228577</v>
      </c>
      <c r="BB637" s="82">
        <f t="shared" si="4528"/>
        <v>6820.5607424342861</v>
      </c>
      <c r="BC637" s="82">
        <f t="shared" si="4528"/>
        <v>6273.0083036931328</v>
      </c>
      <c r="BD637" s="82">
        <f t="shared" si="4528"/>
        <v>6877.1372458843362</v>
      </c>
      <c r="BE637" s="82">
        <f t="shared" si="4528"/>
        <v>6335.4570260802984</v>
      </c>
      <c r="BF637" s="82">
        <f t="shared" ref="BF637:BM637" si="4529">SUM(BF635:BF636)</f>
        <v>7039.3369128111626</v>
      </c>
      <c r="BG637" s="82">
        <f t="shared" si="4529"/>
        <v>5355.690517569139</v>
      </c>
      <c r="BH637" s="82">
        <f t="shared" si="4529"/>
        <v>6076.6488564726778</v>
      </c>
      <c r="BI637" s="82">
        <f t="shared" si="4529"/>
        <v>5664.6726628135129</v>
      </c>
      <c r="BJ637" s="82">
        <f t="shared" si="4529"/>
        <v>6385.6310017170508</v>
      </c>
      <c r="BK637" s="82">
        <f t="shared" si="4529"/>
        <v>5767.6667112283039</v>
      </c>
      <c r="BL637" s="82">
        <f t="shared" si="4529"/>
        <v>6488.6250501318409</v>
      </c>
      <c r="BM637" s="82">
        <f t="shared" si="4529"/>
        <v>5870.660759643094</v>
      </c>
      <c r="BN637" s="82">
        <f t="shared" ref="BN637:BO637" si="4530">SUM(BN635:BN636)</f>
        <v>6591.6190985466328</v>
      </c>
      <c r="BO637" s="82">
        <f t="shared" si="4530"/>
        <v>5973.654808057885</v>
      </c>
      <c r="BP637" s="82">
        <f t="shared" ref="BP637:BQ637" si="4531">SUM(BP635:BP636)</f>
        <v>6694.6131469614229</v>
      </c>
      <c r="BQ637" s="82">
        <f t="shared" si="4531"/>
        <v>6076.648856472676</v>
      </c>
      <c r="BR637" s="82"/>
      <c r="BS637" s="82">
        <f t="shared" ref="BS637:CB637" si="4532">SUM(BS635:BS636)</f>
        <v>0</v>
      </c>
      <c r="BT637" s="82">
        <f t="shared" si="4532"/>
        <v>431.61223880597015</v>
      </c>
      <c r="BU637" s="82">
        <f t="shared" si="4532"/>
        <v>669.23776119402987</v>
      </c>
      <c r="BV637" s="82">
        <f t="shared" si="4532"/>
        <v>685.24626865671644</v>
      </c>
      <c r="BW637" s="82">
        <f t="shared" si="4532"/>
        <v>1125.3812499999999</v>
      </c>
      <c r="BX637" s="82">
        <f t="shared" si="4532"/>
        <v>1325.2</v>
      </c>
      <c r="BY637" s="82">
        <f t="shared" si="4532"/>
        <v>1380.875</v>
      </c>
      <c r="BZ637" s="82">
        <f t="shared" si="4532"/>
        <v>-86.550000000000011</v>
      </c>
      <c r="CA637" s="82">
        <f t="shared" si="4532"/>
        <v>-7093.9250000000002</v>
      </c>
      <c r="CB637" s="82">
        <f t="shared" si="4532"/>
        <v>2430.7333333333336</v>
      </c>
      <c r="CC637" s="82">
        <f t="shared" ref="CC637:CP637" si="4533">SUM(CC635:CC636)</f>
        <v>2377</v>
      </c>
      <c r="CD637" s="82">
        <f t="shared" si="4533"/>
        <v>4355</v>
      </c>
      <c r="CE637" s="82">
        <f t="shared" si="4533"/>
        <v>2210.1999999999998</v>
      </c>
      <c r="CF637" s="82">
        <f t="shared" si="4533"/>
        <v>2944.4</v>
      </c>
      <c r="CG637" s="82">
        <f t="shared" si="4533"/>
        <v>3691.5142857142855</v>
      </c>
      <c r="CH637" s="82">
        <f t="shared" si="4533"/>
        <v>3354.4571428571426</v>
      </c>
      <c r="CI637" s="82">
        <f t="shared" si="4533"/>
        <v>3168.8571428571431</v>
      </c>
      <c r="CJ637" s="82">
        <f t="shared" si="4533"/>
        <v>-1642.4</v>
      </c>
      <c r="CK637" s="82">
        <f t="shared" si="4533"/>
        <v>4164.2</v>
      </c>
      <c r="CL637" s="82">
        <f t="shared" si="4533"/>
        <v>5737.2857142857138</v>
      </c>
      <c r="CM637" s="82">
        <f t="shared" si="4533"/>
        <v>5301.6285714285714</v>
      </c>
      <c r="CN637" s="82">
        <f t="shared" si="4533"/>
        <v>2388.6</v>
      </c>
      <c r="CO637" s="82">
        <f t="shared" si="4533"/>
        <v>7054.6</v>
      </c>
      <c r="CP637" s="82">
        <f t="shared" si="4533"/>
        <v>7907.1714285714279</v>
      </c>
      <c r="CQ637" s="82">
        <f t="shared" ref="CQ637:CX637" si="4534">SUM(CQ635:CQ636)</f>
        <v>2561.4571428571426</v>
      </c>
      <c r="CR637" s="82">
        <f t="shared" si="4534"/>
        <v>7954.9428571428571</v>
      </c>
      <c r="CS637" s="82">
        <f t="shared" si="4534"/>
        <v>7303.4571428571435</v>
      </c>
      <c r="CT637" s="82">
        <f t="shared" si="4534"/>
        <v>8813.8285714285721</v>
      </c>
      <c r="CU637" s="82">
        <f t="shared" si="4534"/>
        <v>9590.7428571428572</v>
      </c>
      <c r="CV637" s="82">
        <f t="shared" si="4534"/>
        <v>5262.4</v>
      </c>
      <c r="CW637" s="82">
        <f t="shared" si="4534"/>
        <v>14686.428571428572</v>
      </c>
      <c r="CX637" s="82">
        <f t="shared" si="4534"/>
        <v>11480.085714285715</v>
      </c>
      <c r="CY637" s="82">
        <f t="shared" ref="CY637:DD637" si="4535">SUM(CY635:CY636)</f>
        <v>9865.2000000000007</v>
      </c>
      <c r="CZ637" s="83">
        <f t="shared" si="4535"/>
        <v>10011.028571428571</v>
      </c>
      <c r="DA637" s="82">
        <f t="shared" si="4535"/>
        <v>10409.759795851431</v>
      </c>
      <c r="DB637" s="82">
        <f t="shared" si="4535"/>
        <v>13093.569046127419</v>
      </c>
      <c r="DC637" s="82">
        <f t="shared" si="4535"/>
        <v>13212.594271964634</v>
      </c>
      <c r="DD637" s="82">
        <f t="shared" si="4535"/>
        <v>12395.027430380302</v>
      </c>
      <c r="DE637" s="82">
        <f>SUM(DE635:DE636)</f>
        <v>11741.32151928619</v>
      </c>
      <c r="DF637" s="82">
        <f>SUM(DF635:DF636)</f>
        <v>12153.297712945356</v>
      </c>
      <c r="DG637" s="82">
        <f>SUM(DG635:DG636)</f>
        <v>12359.285809774934</v>
      </c>
      <c r="DH637" s="82">
        <f>SUM(DH635:DH636)</f>
        <v>12565.273906604518</v>
      </c>
      <c r="DI637" s="82">
        <f>SUM(DI635:DI636)</f>
        <v>12771.2620034341</v>
      </c>
    </row>
    <row r="638" spans="1:113" outlineLevel="1">
      <c r="C638" s="55"/>
      <c r="D638" s="55"/>
      <c r="E638" s="55"/>
      <c r="F638" s="55"/>
      <c r="G638" s="55"/>
      <c r="H638" s="55"/>
      <c r="I638" s="55"/>
      <c r="J638" s="55"/>
      <c r="K638" s="55"/>
      <c r="L638" s="55"/>
      <c r="M638" s="55"/>
      <c r="N638" s="55"/>
      <c r="O638" s="55"/>
      <c r="P638" s="55"/>
      <c r="Q638" s="55"/>
      <c r="R638" s="55"/>
      <c r="S638" s="55"/>
      <c r="T638" s="55"/>
      <c r="U638" s="55"/>
      <c r="V638" s="55"/>
      <c r="W638" s="55"/>
      <c r="X638" s="55"/>
      <c r="Y638" s="55"/>
      <c r="Z638" s="55"/>
      <c r="AA638" s="55"/>
      <c r="AB638" s="55"/>
      <c r="AC638" s="55"/>
      <c r="AD638" s="55"/>
      <c r="AE638" s="55"/>
      <c r="AF638" s="55"/>
      <c r="AG638" s="55"/>
      <c r="AH638" s="55"/>
      <c r="AI638" s="55"/>
      <c r="AJ638" s="55"/>
      <c r="AK638" s="55"/>
      <c r="AL638" s="55"/>
      <c r="AM638" s="55"/>
      <c r="AN638" s="55"/>
      <c r="AO638" s="55"/>
      <c r="AP638" s="55"/>
      <c r="AQ638" s="55"/>
      <c r="AR638" s="55"/>
      <c r="AS638" s="55"/>
      <c r="AT638" s="55"/>
      <c r="AU638" s="55"/>
      <c r="AV638" s="55"/>
      <c r="AW638" s="55"/>
      <c r="AX638" s="55"/>
      <c r="AY638" s="55"/>
      <c r="AZ638" s="56"/>
      <c r="BA638" s="55"/>
      <c r="BB638" s="55"/>
      <c r="BC638" s="55"/>
      <c r="BD638" s="55"/>
      <c r="BE638" s="55"/>
      <c r="BF638" s="55"/>
      <c r="BG638" s="55"/>
      <c r="BH638" s="55"/>
      <c r="BI638" s="55"/>
      <c r="BJ638" s="55"/>
      <c r="BK638" s="55"/>
      <c r="BL638" s="55"/>
      <c r="BM638" s="55"/>
      <c r="BN638" s="55"/>
      <c r="BO638" s="55"/>
      <c r="BP638" s="55"/>
      <c r="BQ638" s="55"/>
      <c r="BR638" s="55"/>
      <c r="BS638" s="55"/>
      <c r="BT638" s="55"/>
      <c r="BU638" s="55"/>
      <c r="BV638" s="55"/>
      <c r="BW638" s="55"/>
      <c r="BX638" s="55"/>
      <c r="BY638" s="55"/>
      <c r="BZ638" s="55"/>
      <c r="CA638" s="55"/>
      <c r="CB638" s="55"/>
      <c r="CC638" s="55"/>
      <c r="CD638" s="55"/>
      <c r="CE638" s="55"/>
      <c r="CF638" s="55"/>
      <c r="CG638" s="55"/>
      <c r="CH638" s="55"/>
      <c r="CI638" s="55"/>
      <c r="CJ638" s="55"/>
      <c r="CK638" s="55"/>
      <c r="CL638" s="55"/>
      <c r="CM638" s="55"/>
      <c r="CN638" s="55"/>
      <c r="CO638" s="55"/>
      <c r="CP638" s="55"/>
      <c r="CQ638" s="55"/>
      <c r="CR638" s="55"/>
      <c r="CS638" s="55"/>
      <c r="CT638" s="55"/>
      <c r="CU638" s="55"/>
      <c r="CV638" s="55"/>
      <c r="CW638" s="55"/>
      <c r="CX638" s="55"/>
      <c r="CY638" s="55"/>
      <c r="CZ638" s="56"/>
      <c r="DA638" s="55"/>
      <c r="DB638" s="55"/>
    </row>
    <row r="639" spans="1:113" s="5" customFormat="1" ht="12.95" customHeight="1" outlineLevel="1">
      <c r="A639" s="1"/>
      <c r="B639" s="6" t="s">
        <v>657</v>
      </c>
      <c r="C639" s="568" t="e">
        <f t="shared" ref="C639:L639" si="4536">IF(ROUND(C631-C635,2)=0,"Ok","Error")</f>
        <v>#VALUE!</v>
      </c>
      <c r="D639" s="568" t="str">
        <f t="shared" si="4536"/>
        <v>Ok</v>
      </c>
      <c r="E639" s="568" t="str">
        <f t="shared" si="4536"/>
        <v>Ok</v>
      </c>
      <c r="F639" s="568" t="str">
        <f t="shared" si="4536"/>
        <v>Ok</v>
      </c>
      <c r="G639" s="568" t="str">
        <f t="shared" si="4536"/>
        <v>Ok</v>
      </c>
      <c r="H639" s="568" t="str">
        <f t="shared" si="4536"/>
        <v>Ok</v>
      </c>
      <c r="I639" s="568" t="str">
        <f t="shared" si="4536"/>
        <v>Ok</v>
      </c>
      <c r="J639" s="568" t="str">
        <f t="shared" si="4536"/>
        <v>Ok</v>
      </c>
      <c r="K639" s="568" t="str">
        <f t="shared" si="4536"/>
        <v>Ok</v>
      </c>
      <c r="L639" s="568" t="str">
        <f t="shared" si="4536"/>
        <v>Ok</v>
      </c>
      <c r="M639" s="97" t="str">
        <f t="shared" ref="M639:AG639" si="4537">IF(ROUND(M631-M635,2)=0,"Ok","Error")</f>
        <v>Ok</v>
      </c>
      <c r="N639" s="97" t="str">
        <f t="shared" si="4537"/>
        <v>Ok</v>
      </c>
      <c r="O639" s="97" t="str">
        <f t="shared" si="4537"/>
        <v>Ok</v>
      </c>
      <c r="P639" s="97" t="str">
        <f t="shared" si="4537"/>
        <v>Ok</v>
      </c>
      <c r="Q639" s="97" t="str">
        <f t="shared" si="4537"/>
        <v>Ok</v>
      </c>
      <c r="R639" s="97" t="str">
        <f t="shared" si="4537"/>
        <v>Ok</v>
      </c>
      <c r="S639" s="97" t="str">
        <f t="shared" si="4537"/>
        <v>Ok</v>
      </c>
      <c r="T639" s="100" t="str">
        <f t="shared" si="4537"/>
        <v>Ok</v>
      </c>
      <c r="U639" s="97" t="str">
        <f t="shared" ref="U639:Z639" si="4538">IF(ROUND(U631-U635,2)=0,"Ok","Error")</f>
        <v>Ok</v>
      </c>
      <c r="V639" s="97" t="str">
        <f t="shared" si="4538"/>
        <v>Ok</v>
      </c>
      <c r="W639" s="97" t="str">
        <f t="shared" si="4538"/>
        <v>Ok</v>
      </c>
      <c r="X639" s="97" t="str">
        <f t="shared" si="4538"/>
        <v>Ok</v>
      </c>
      <c r="Y639" s="100" t="str">
        <f t="shared" si="4538"/>
        <v>Ok</v>
      </c>
      <c r="Z639" s="100" t="str">
        <f t="shared" si="4538"/>
        <v>Ok</v>
      </c>
      <c r="AA639" s="100" t="str">
        <f t="shared" si="4537"/>
        <v>Ok</v>
      </c>
      <c r="AB639" s="100" t="str">
        <f t="shared" si="4537"/>
        <v>Ok</v>
      </c>
      <c r="AC639" s="100" t="str">
        <f t="shared" si="4537"/>
        <v>Ok</v>
      </c>
      <c r="AD639" s="100" t="str">
        <f t="shared" si="4537"/>
        <v>Ok</v>
      </c>
      <c r="AE639" s="100" t="str">
        <f>IF(ROUND(AE631-AE635,2)=0,"Ok","Error")</f>
        <v>Ok</v>
      </c>
      <c r="AF639" s="100" t="str">
        <f>IF(ROUND(AF631-AF635,2)=0,"Ok","Error")</f>
        <v>Ok</v>
      </c>
      <c r="AG639" s="100" t="str">
        <f t="shared" si="4537"/>
        <v>Ok</v>
      </c>
      <c r="AH639" s="100" t="str">
        <f t="shared" ref="AH639:AM639" si="4539">IF(ROUND(AH631-AH635,2)=0,"Ok","Error")</f>
        <v>Ok</v>
      </c>
      <c r="AI639" s="100" t="str">
        <f t="shared" si="4539"/>
        <v>Ok</v>
      </c>
      <c r="AJ639" s="100" t="str">
        <f t="shared" si="4539"/>
        <v>Ok</v>
      </c>
      <c r="AK639" s="100" t="str">
        <f t="shared" si="4539"/>
        <v>Ok</v>
      </c>
      <c r="AL639" s="100" t="str">
        <f t="shared" si="4539"/>
        <v>Ok</v>
      </c>
      <c r="AM639" s="100" t="str">
        <f t="shared" si="4539"/>
        <v>Ok</v>
      </c>
      <c r="AN639" s="100" t="str">
        <f t="shared" ref="AN639:AS639" si="4540">IF(ROUND(AN631-AN635,2)=0,"Ok","Error")</f>
        <v>Ok</v>
      </c>
      <c r="AO639" s="100" t="str">
        <f t="shared" si="4540"/>
        <v>Ok</v>
      </c>
      <c r="AP639" s="100" t="str">
        <f t="shared" si="4540"/>
        <v>Ok</v>
      </c>
      <c r="AQ639" s="100" t="str">
        <f t="shared" si="4540"/>
        <v>Ok</v>
      </c>
      <c r="AR639" s="100" t="str">
        <f t="shared" si="4540"/>
        <v>Ok</v>
      </c>
      <c r="AS639" s="100" t="str">
        <f t="shared" si="4540"/>
        <v>Ok</v>
      </c>
      <c r="AT639" s="100" t="str">
        <f t="shared" ref="AT639:AU639" si="4541">IF(ROUND(AT631-AT635,2)=0,"Ok","Error")</f>
        <v>Ok</v>
      </c>
      <c r="AU639" s="100" t="str">
        <f t="shared" si="4541"/>
        <v>Ok</v>
      </c>
      <c r="AV639" s="100" t="str">
        <f t="shared" ref="AV639:AW639" si="4542">IF(ROUND(AV631-AV635,2)=0,"Ok","Error")</f>
        <v>Ok</v>
      </c>
      <c r="AW639" s="100" t="str">
        <f t="shared" si="4542"/>
        <v>Ok</v>
      </c>
      <c r="AX639" s="100" t="str">
        <f t="shared" ref="AX639" si="4543">IF(ROUND(AX631-AX635,2)=0,"Ok","Error")</f>
        <v>Ok</v>
      </c>
      <c r="AY639" s="100" t="str">
        <f t="shared" ref="AY639:BE639" si="4544">IF(ROUND(AY631-AY635,2)=0,"Ok","Error")</f>
        <v>Ok</v>
      </c>
      <c r="AZ639" s="98" t="str">
        <f t="shared" si="4544"/>
        <v>Ok</v>
      </c>
      <c r="BA639" s="97" t="str">
        <f t="shared" si="4544"/>
        <v>Ok</v>
      </c>
      <c r="BB639" s="97" t="str">
        <f t="shared" si="4544"/>
        <v>Ok</v>
      </c>
      <c r="BC639" s="97" t="str">
        <f t="shared" si="4544"/>
        <v>Ok</v>
      </c>
      <c r="BD639" s="97" t="str">
        <f t="shared" si="4544"/>
        <v>Ok</v>
      </c>
      <c r="BE639" s="97" t="str">
        <f t="shared" si="4544"/>
        <v>Ok</v>
      </c>
      <c r="BF639" s="97" t="str">
        <f t="shared" ref="BF639:BM639" si="4545">IF(ROUND(BF631-BF635,2)=0,"Ok","Error")</f>
        <v>Ok</v>
      </c>
      <c r="BG639" s="97" t="str">
        <f t="shared" si="4545"/>
        <v>Ok</v>
      </c>
      <c r="BH639" s="97" t="str">
        <f t="shared" si="4545"/>
        <v>Ok</v>
      </c>
      <c r="BI639" s="97" t="str">
        <f t="shared" si="4545"/>
        <v>Ok</v>
      </c>
      <c r="BJ639" s="97" t="str">
        <f t="shared" si="4545"/>
        <v>Ok</v>
      </c>
      <c r="BK639" s="97" t="str">
        <f t="shared" si="4545"/>
        <v>Ok</v>
      </c>
      <c r="BL639" s="568" t="str">
        <f t="shared" si="4545"/>
        <v>Ok</v>
      </c>
      <c r="BM639" s="568" t="str">
        <f t="shared" si="4545"/>
        <v>Ok</v>
      </c>
      <c r="BN639" s="568" t="str">
        <f t="shared" ref="BN639:BO639" si="4546">IF(ROUND(BN631-BN635,2)=0,"Ok","Error")</f>
        <v>Ok</v>
      </c>
      <c r="BO639" s="568" t="str">
        <f t="shared" si="4546"/>
        <v>Ok</v>
      </c>
      <c r="BP639" s="568" t="str">
        <f t="shared" ref="BP639:BQ639" si="4547">IF(ROUND(BP631-BP635,2)=0,"Ok","Error")</f>
        <v>Ok</v>
      </c>
      <c r="BQ639" s="568" t="str">
        <f t="shared" si="4547"/>
        <v>Ok</v>
      </c>
      <c r="BR639" s="99"/>
      <c r="BS639" s="568" t="str">
        <f t="shared" ref="BS639:CB639" si="4548">IF(ROUND(BS631-BS635,2)=0,"Ok","Error")</f>
        <v>Error</v>
      </c>
      <c r="BT639" s="568" t="str">
        <f t="shared" si="4548"/>
        <v>Ok</v>
      </c>
      <c r="BU639" s="568" t="str">
        <f t="shared" si="4548"/>
        <v>Ok</v>
      </c>
      <c r="BV639" s="568" t="str">
        <f t="shared" si="4548"/>
        <v>Ok</v>
      </c>
      <c r="BW639" s="568" t="str">
        <f t="shared" si="4548"/>
        <v>Ok</v>
      </c>
      <c r="BX639" s="568" t="str">
        <f t="shared" si="4548"/>
        <v>Ok</v>
      </c>
      <c r="BY639" s="568" t="str">
        <f t="shared" si="4548"/>
        <v>Ok</v>
      </c>
      <c r="BZ639" s="568" t="str">
        <f t="shared" si="4548"/>
        <v>Ok</v>
      </c>
      <c r="CA639" s="568" t="str">
        <f t="shared" si="4548"/>
        <v>Ok</v>
      </c>
      <c r="CB639" s="568" t="str">
        <f t="shared" si="4548"/>
        <v>Ok</v>
      </c>
      <c r="CC639" s="97" t="str">
        <f>IF(ROUND(CC631-CC635,2)=0,"Ok","Drror")</f>
        <v>Ok</v>
      </c>
      <c r="CD639" s="97" t="str">
        <f>IF(ROUND(CD631-CD635,2)=0,"Ok","Error")</f>
        <v>Ok</v>
      </c>
      <c r="CE639" s="97" t="str">
        <f>IF(ROUND(CE631-CE635,2)=0,"Ok","Error")</f>
        <v>Ok</v>
      </c>
      <c r="CF639" s="97" t="str">
        <f>IF(ROUND(CF631-CF635,2)=0,"Ok","Error")</f>
        <v>Ok</v>
      </c>
      <c r="CG639" s="97" t="str">
        <f>IF(ROUND(CG631-CG635,2)=0,"Ok","Error")</f>
        <v>Ok</v>
      </c>
      <c r="CH639" s="97" t="str">
        <f>IF(ROUND(CH631-CH635,2)=0,"Ok","Error")</f>
        <v>Ok</v>
      </c>
      <c r="CI639" s="97" t="str">
        <f t="shared" ref="CI639:CN639" si="4549">IF(ROUND(CI631-CI635,2)=0,"Ok","Error")</f>
        <v>Ok</v>
      </c>
      <c r="CJ639" s="97" t="str">
        <f t="shared" si="4549"/>
        <v>Ok</v>
      </c>
      <c r="CK639" s="97" t="str">
        <f t="shared" si="4549"/>
        <v>Ok</v>
      </c>
      <c r="CL639" s="97" t="str">
        <f t="shared" si="4549"/>
        <v>Ok</v>
      </c>
      <c r="CM639" s="100" t="str">
        <f t="shared" si="4549"/>
        <v>Ok</v>
      </c>
      <c r="CN639" s="100" t="str">
        <f t="shared" si="4549"/>
        <v>Ok</v>
      </c>
      <c r="CO639" s="100" t="str">
        <f t="shared" ref="CO639:CX639" si="4550">IF(ROUND(CO631-CO635,2)=0,"Ok","Error")</f>
        <v>Ok</v>
      </c>
      <c r="CP639" s="100" t="str">
        <f t="shared" si="4550"/>
        <v>Ok</v>
      </c>
      <c r="CQ639" s="100" t="str">
        <f t="shared" si="4550"/>
        <v>Ok</v>
      </c>
      <c r="CR639" s="100" t="str">
        <f t="shared" si="4550"/>
        <v>Ok</v>
      </c>
      <c r="CS639" s="100" t="str">
        <f t="shared" si="4550"/>
        <v>Ok</v>
      </c>
      <c r="CT639" s="100" t="str">
        <f t="shared" si="4550"/>
        <v>Ok</v>
      </c>
      <c r="CU639" s="100" t="str">
        <f t="shared" si="4550"/>
        <v>Ok</v>
      </c>
      <c r="CV639" s="100" t="str">
        <f t="shared" si="4550"/>
        <v>Ok</v>
      </c>
      <c r="CW639" s="100" t="str">
        <f t="shared" si="4550"/>
        <v>Ok</v>
      </c>
      <c r="CX639" s="100" t="str">
        <f t="shared" si="4550"/>
        <v>Ok</v>
      </c>
      <c r="CY639" s="100" t="str">
        <f t="shared" ref="CY639:DD639" si="4551">IF(ROUND(CY631-CY635,2)=0,"Ok","Error")</f>
        <v>Ok</v>
      </c>
      <c r="CZ639" s="98" t="str">
        <f t="shared" si="4551"/>
        <v>Ok</v>
      </c>
      <c r="DA639" s="97" t="str">
        <f t="shared" si="4551"/>
        <v>Ok</v>
      </c>
      <c r="DB639" s="97" t="str">
        <f t="shared" si="4551"/>
        <v>Ok</v>
      </c>
      <c r="DC639" s="97" t="str">
        <f t="shared" si="4551"/>
        <v>Ok</v>
      </c>
      <c r="DD639" s="97" t="str">
        <f t="shared" si="4551"/>
        <v>Ok</v>
      </c>
      <c r="DE639" s="97" t="str">
        <f>IF(ROUND(DE631-DE635,2)=0,"Ok","Error")</f>
        <v>Ok</v>
      </c>
      <c r="DF639" s="97" t="str">
        <f>IF(ROUND(DF631-DF635,2)=0,"Ok","Error")</f>
        <v>Ok</v>
      </c>
      <c r="DG639" s="568" t="str">
        <f>IF(ROUND(DG631-DG635,2)=0,"Ok","Error")</f>
        <v>Ok</v>
      </c>
      <c r="DH639" s="568" t="str">
        <f>IF(ROUND(DH631-DH635,2)=0,"Ok","Error")</f>
        <v>Ok</v>
      </c>
      <c r="DI639" s="568" t="str">
        <f>IF(ROUND(DI631-DI635,2)=0,"Ok","Error")</f>
        <v>Ok</v>
      </c>
    </row>
    <row r="640" spans="1:113">
      <c r="CZ640" s="22"/>
    </row>
    <row r="641" spans="1:113" s="36" customFormat="1" collapsed="1">
      <c r="A641" s="1" t="s">
        <v>747</v>
      </c>
      <c r="B641" s="2" t="s">
        <v>658</v>
      </c>
      <c r="C641" s="104"/>
      <c r="D641" s="104"/>
      <c r="E641" s="10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c r="AM641" s="104"/>
      <c r="AN641" s="104"/>
      <c r="AO641" s="104"/>
      <c r="AP641" s="104"/>
      <c r="AQ641" s="104"/>
      <c r="AR641" s="104"/>
      <c r="AS641" s="104"/>
      <c r="AT641" s="104"/>
      <c r="AU641" s="104"/>
      <c r="AV641" s="104"/>
      <c r="AW641" s="104"/>
      <c r="AX641" s="104"/>
      <c r="AY641" s="104"/>
      <c r="AZ641" s="105"/>
      <c r="BA641" s="104"/>
      <c r="BB641" s="104"/>
      <c r="BC641" s="104"/>
      <c r="BD641" s="104"/>
      <c r="BE641" s="104"/>
      <c r="BF641" s="104"/>
      <c r="BG641" s="104"/>
      <c r="BH641" s="104"/>
      <c r="BI641" s="104"/>
      <c r="BJ641" s="104"/>
      <c r="BK641" s="104"/>
      <c r="BL641" s="104"/>
      <c r="BM641" s="104"/>
      <c r="BN641" s="104"/>
      <c r="BO641" s="104"/>
      <c r="BP641" s="104"/>
      <c r="BQ641" s="104"/>
      <c r="BR641" s="104"/>
      <c r="BS641" s="104">
        <f t="shared" ref="BS641:DC641" ca="1" si="4552">BS653</f>
        <v>38.434876388159942</v>
      </c>
      <c r="BT641" s="104">
        <f t="shared" ca="1" si="4552"/>
        <v>39.883064551163805</v>
      </c>
      <c r="BU641" s="104">
        <f t="shared" ca="1" si="4552"/>
        <v>41.278827722945145</v>
      </c>
      <c r="BV641" s="104">
        <f t="shared" ca="1" si="4552"/>
        <v>42.140740118308727</v>
      </c>
      <c r="BW641" s="104">
        <f t="shared" ca="1" si="4552"/>
        <v>42.849841940363653</v>
      </c>
      <c r="BX641" s="104">
        <f t="shared" ca="1" si="4552"/>
        <v>48.267814109704155</v>
      </c>
      <c r="BY641" s="104">
        <f t="shared" ca="1" si="4552"/>
        <v>51.503458299140341</v>
      </c>
      <c r="BZ641" s="104">
        <f t="shared" ca="1" si="4552"/>
        <v>56.590871496187887</v>
      </c>
      <c r="CA641" s="104">
        <f t="shared" ca="1" si="4552"/>
        <v>50.392268739825241</v>
      </c>
      <c r="CB641" s="104">
        <f t="shared" ca="1" si="4552"/>
        <v>53.647825652234644</v>
      </c>
      <c r="CC641" s="104">
        <f t="shared" ca="1" si="4552"/>
        <v>56.120287012580917</v>
      </c>
      <c r="CD641" s="104">
        <f t="shared" ca="1" si="4552"/>
        <v>57.627529338018903</v>
      </c>
      <c r="CE641" s="104">
        <f t="shared" ca="1" si="4552"/>
        <v>60.499680393741023</v>
      </c>
      <c r="CF641" s="104">
        <f t="shared" ca="1" si="4552"/>
        <v>62.759480313902195</v>
      </c>
      <c r="CG641" s="104">
        <f t="shared" ca="1" si="4552"/>
        <v>65.343104620061055</v>
      </c>
      <c r="CH641" s="104">
        <f t="shared" ca="1" si="4552"/>
        <v>67.626134792436972</v>
      </c>
      <c r="CI641" s="104">
        <f t="shared" ca="1" si="4552"/>
        <v>69.849468074541278</v>
      </c>
      <c r="CJ641" s="104">
        <f t="shared" ca="1" si="4552"/>
        <v>67.492114815814631</v>
      </c>
      <c r="CK641" s="104">
        <f t="shared" ca="1" si="4552"/>
        <v>69.403964914595221</v>
      </c>
      <c r="CL641" s="104">
        <f t="shared" ca="1" si="4552"/>
        <v>71.439770994112351</v>
      </c>
      <c r="CM641" s="104">
        <f t="shared" ca="1" si="4552"/>
        <v>72.848269945853005</v>
      </c>
      <c r="CN641" s="104">
        <f t="shared" ca="1" si="4552"/>
        <v>76.881357839096154</v>
      </c>
      <c r="CO641" s="104">
        <f t="shared" ca="1" si="4552"/>
        <v>78.930449304801002</v>
      </c>
      <c r="CP641" s="104">
        <f t="shared" ca="1" si="4552"/>
        <v>80.754915608709823</v>
      </c>
      <c r="CQ641" s="104">
        <f t="shared" ca="1" si="4552"/>
        <v>82.440583564701925</v>
      </c>
      <c r="CR641" s="104">
        <f t="shared" ca="1" si="4552"/>
        <v>84.74403739333674</v>
      </c>
      <c r="CS641" s="104">
        <f t="shared" ca="1" si="4552"/>
        <v>87.691192594230102</v>
      </c>
      <c r="CT641" s="104">
        <f ca="1">CT653</f>
        <v>88.346094933425945</v>
      </c>
      <c r="CU641" s="104">
        <f t="shared" ca="1" si="4552"/>
        <v>90.791131696434917</v>
      </c>
      <c r="CV641" s="104">
        <f t="shared" ca="1" si="4552"/>
        <v>95.690352310300298</v>
      </c>
      <c r="CW641" s="104">
        <f t="shared" ca="1" si="4552"/>
        <v>100.01917639282809</v>
      </c>
      <c r="CX641" s="104">
        <f t="shared" ca="1" si="4552"/>
        <v>103.8226138295168</v>
      </c>
      <c r="CY641" s="104">
        <f t="shared" ca="1" si="4552"/>
        <v>107.3284563979139</v>
      </c>
      <c r="CZ641" s="105">
        <f t="shared" ca="1" si="4552"/>
        <v>110.90859807777338</v>
      </c>
      <c r="DA641" s="104">
        <f t="shared" ca="1" si="4552"/>
        <v>114.53365251135534</v>
      </c>
      <c r="DB641" s="104">
        <f t="shared" ca="1" si="4552"/>
        <v>117.90476139575792</v>
      </c>
      <c r="DC641" s="104">
        <f t="shared" ca="1" si="4552"/>
        <v>121.38976498956268</v>
      </c>
      <c r="DD641" s="104">
        <f t="shared" ref="DD641:DI641" ca="1" si="4553">DD653</f>
        <v>125.12545937174384</v>
      </c>
      <c r="DE641" s="104">
        <f t="shared" ca="1" si="4553"/>
        <v>129.09591097011474</v>
      </c>
      <c r="DF641" s="104">
        <f t="shared" ca="1" si="4553"/>
        <v>133.1683041893121</v>
      </c>
      <c r="DG641" s="104">
        <f t="shared" ca="1" si="4553"/>
        <v>137.47742611930371</v>
      </c>
      <c r="DH641" s="104">
        <f t="shared" ca="1" si="4553"/>
        <v>142.04434561535038</v>
      </c>
      <c r="DI641" s="104">
        <f t="shared" ca="1" si="4553"/>
        <v>146.89200666083082</v>
      </c>
    </row>
    <row r="642" spans="1:113" outlineLevel="1">
      <c r="CZ642" s="22"/>
    </row>
    <row r="643" spans="1:113" outlineLevel="1">
      <c r="A643" s="1" t="s">
        <v>748</v>
      </c>
      <c r="B643" s="19" t="s">
        <v>659</v>
      </c>
      <c r="BS643" s="55">
        <f ca="1">IF(BS$1=Summary!$G$3,0,NPV(Summary!$G$8,OFFSET(BS631,0,1,1,MATCH(Summary!$G$3,BT$1:$JR$1,0))))</f>
        <v>18090.496837562067</v>
      </c>
      <c r="BT643" s="55">
        <f ca="1">IF(BT$1=Summary!$G$3,0,NPV(Summary!$G$8,OFFSET(BT631,0,1,1,MATCH(Summary!$G$3,BU$1:$JR$1,0))))</f>
        <v>19394.85105610509</v>
      </c>
      <c r="BU643" s="55">
        <f ca="1">IF(BU$1=Summary!$G$3,0,NPV(Summary!$G$8,OFFSET(BU631,0,1,1,MATCH(Summary!$G$3,BV$1:$JR$1,0))))</f>
        <v>20637.692800098441</v>
      </c>
      <c r="BV643" s="55">
        <f ca="1">IF(BV$1=Summary!$G$3,0,NPV(Summary!$G$8,OFFSET(BV631,0,1,1,MATCH(Summary!$G$3,BW$1:$JR$1,0))))</f>
        <v>21987.447459307205</v>
      </c>
      <c r="BW643" s="55">
        <f ca="1">IF(BW$1=Summary!$G$3,0,NPV(Summary!$G$8,OFFSET(BW631,0,1,1,MATCH(Summary!$G$3,BX$1:$JR$1,0))))</f>
        <v>23160.330283185547</v>
      </c>
      <c r="BX643" s="55">
        <f ca="1">IF(BX$1=Summary!$G$3,0,NPV(Summary!$G$8,OFFSET(BX631,0,1,1,MATCH(Summary!$G$3,BY$1:$JR$1,0))))</f>
        <v>24236.599678389059</v>
      </c>
      <c r="BY643" s="55">
        <f ca="1">IF(BY$1=Summary!$G$3,0,NPV(Summary!$G$8,OFFSET(BY631,0,1,1,MATCH(Summary!$G$3,BZ$1:$JR$1,0))))</f>
        <v>25398.657049765679</v>
      </c>
      <c r="BZ643" s="55">
        <f ca="1">IF(BZ$1=Summary!$G$3,0,NPV(Summary!$G$8,OFFSET(BZ631,0,1,1,MATCH(Summary!$G$3,CA$1:$JR$1,0))))</f>
        <v>28196.137527194827</v>
      </c>
      <c r="CA643" s="55">
        <f ca="1">IF(CA$1=Summary!$G$3,0,NPV(Summary!$G$8,OFFSET(CA631,0,1,1,MATCH(Summary!$G$3,CB$1:$JR$1,0))))</f>
        <v>38336.59376711517</v>
      </c>
      <c r="CB643" s="55">
        <f ca="1">IF(CB$1=Summary!$G$3,0,NPV(Summary!$G$8,OFFSET(CB631,0,1,1,MATCH(Summary!$G$3,CC$1:$JR$1,0))))</f>
        <v>39944.550612388404</v>
      </c>
      <c r="CC643" s="55">
        <f ca="1">IF(CC$1=Summary!$G$3,0,NPV(Summary!$G$8,OFFSET(CC631,0,1,1,MATCH(Summary!$G$3,CD$1:$KC$1,0))))</f>
        <v>41719.615616890973</v>
      </c>
      <c r="CD643" s="55">
        <f ca="1">IF(CD$1=Summary!$G$3,0,NPV(Summary!$G$8,OFFSET(CD631,0,1,1,MATCH(Summary!$G$3,CE$1:$KC$1,0))))</f>
        <v>42085.661406794279</v>
      </c>
      <c r="CE643" s="55">
        <f ca="1">IF(CE$1=Summary!$G$3,0,NPV(Summary!$G$8,OFFSET(CE631,0,1,1,MATCH(Summary!$G$3,CF$1:$KC$1,0))))</f>
        <v>44288.285271998968</v>
      </c>
      <c r="CF643" s="55">
        <f ca="1">IF(CF$1=Summary!$G$3,0,NPV(Summary!$G$8,OFFSET(CF631,0,1,1,MATCH(Summary!$G$3,CG$1:$KC$1,0))))</f>
        <v>46079.942661206893</v>
      </c>
      <c r="CG643" s="55">
        <f ca="1">IF(CG$1=Summary!$G$3,0,NPV(Summary!$G$8,OFFSET(CG631,0,1,1,MATCH(Summary!$G$3,CH$1:$KC$1,0))))</f>
        <v>47282.057558054272</v>
      </c>
      <c r="CH643" s="55">
        <f ca="1">IF(CH$1=Summary!$G$3,0,NPV(Summary!$G$8,OFFSET(CH631,0,1,1,MATCH(Summary!$G$3,CI$1:$KC$1,0))))</f>
        <v>48989.160680721114</v>
      </c>
      <c r="CI643" s="55">
        <f ca="1">IF(CI$1=Summary!$G$3,0,NPV(Summary!$G$8,OFFSET(CI631,0,1,1,MATCH(Summary!$G$3,CJ$1:$KC$1,0))))</f>
        <v>51084.195981305289</v>
      </c>
      <c r="CJ643" s="55">
        <f ca="1">IF(CJ$1=Summary!$G$3,0,NPV(Summary!$G$8,OFFSET(CJ631,0,1,1,MATCH(Summary!$G$3,CK$1:$KC$1,0))))</f>
        <v>58149.689423641452</v>
      </c>
      <c r="CK643" s="55">
        <f ca="1">IF(CK$1=Summary!$G$3,0,NPV(Summary!$G$8,OFFSET(CK631,0,1,1,MATCH(Summary!$G$3,CL$1:$KC$1,0))))</f>
        <v>60311.011782345537</v>
      </c>
      <c r="CL643" s="55">
        <f ca="1">IF(CL$1=Summary!$G$3,0,NPV(Summary!$G$8,OFFSET(CL631,0,1,1,MATCH(Summary!$G$3,CM$1:$KC$1,0))))</f>
        <v>61220.691830974305</v>
      </c>
      <c r="CM643" s="55">
        <f ca="1">IF(CM$1=Summary!$G$3,0,NPV(Summary!$G$8,OFFSET(CM631,0,1,1,MATCH(Summary!$G$3,CN$1:$KC$1,0))))</f>
        <v>62731.333403930999</v>
      </c>
      <c r="CN643" s="55">
        <f ca="1">IF(CN$1=Summary!$G$3,0,NPV(Summary!$G$8,OFFSET(CN631,0,1,1,MATCH(Summary!$G$3,CO$1:$KC$1,0))))</f>
        <v>66604.422076880859</v>
      </c>
      <c r="CO643" s="55">
        <f ca="1">IF(CO$1=Summary!$G$3,0,NPV(Summary!$G$8,OFFSET(CO631,0,1,1,MATCH(Summary!$G$3,CP$1:$KC$1,0))))</f>
        <v>67065.215641723247</v>
      </c>
      <c r="CP643" s="55">
        <f ca="1">IF(CP$1=Summary!$G$3,0,NPV(Summary!$G$8,OFFSET(CP631,0,1,1,MATCH(Summary!$G$3,CQ$1:$KC$1,0))))</f>
        <v>66861.019833836603</v>
      </c>
      <c r="CQ643" s="55">
        <f ca="1">IF(CQ$1=Summary!$G$3,0,NPV(Summary!$G$8,OFFSET(CQ631,0,1,1,MATCH(Summary!$G$3,CR$1:$KC$1,0))))</f>
        <v>72048.65059904808</v>
      </c>
      <c r="CR643" s="55">
        <f ca="1">IF(CR$1=Summary!$G$3,0,NPV(Summary!$G$8,OFFSET(CR631,0,1,1,MATCH(Summary!$G$3,CS$1:$KC$1,0))))</f>
        <v>72366.980502363353</v>
      </c>
      <c r="CS643" s="55">
        <f ca="1">IF(CS$1=Summary!$G$3,0,NPV(Summary!$G$8,OFFSET(CS631,0,1,1,MATCH(Summary!$G$3,CT$1:$KC$1,0))))</f>
        <v>73428.641767073685</v>
      </c>
      <c r="CT643" s="55">
        <f ca="1">IF(CT$1=Summary!$G$3,0,NPV(Summary!$G$8,OFFSET(CT631,0,1,1,MATCH(Summary!$G$3,CU$1:$KC$1,0))))</f>
        <v>73105.790884343267</v>
      </c>
      <c r="CU643" s="55">
        <f ca="1">IF(CU$1=Summary!$G$3,0,NPV(Summary!$G$8,OFFSET(CU631,0,1,1,MATCH(Summary!$G$3,CV$1:$KC$1,0))))</f>
        <v>71983.2062730498</v>
      </c>
      <c r="CV643" s="55">
        <f ca="1">IF(CV$1=Summary!$G$3,0,NPV(Summary!$G$8,OFFSET(CV631,0,1,1,MATCH(Summary!$G$3,CW$1:$KC$1,0))))</f>
        <v>74257.711631351238</v>
      </c>
      <c r="CW643" s="55">
        <f ca="1">IF(CW$1=Summary!$G$3,0,NPV(Summary!$G$8,OFFSET(CW631,0,1,1,MATCH(Summary!$G$3,CX$1:$KC$1,0))))</f>
        <v>67860.647966541481</v>
      </c>
      <c r="CX643" s="55">
        <f ca="1">IF(CX$1=Summary!$G$3,0,NPV(Summary!$G$8,OFFSET(CX631,0,1,1,MATCH(Summary!$G$3,CY$1:$KC$1,0))))</f>
        <v>64250.24563556366</v>
      </c>
      <c r="CY643" s="55">
        <f ca="1">IF(CY$1=Summary!$G$3,0,NPV(Summary!$G$8,OFFSET(CY631,0,1,1,MATCH(Summary!$G$3,CZ$1:$KC$1,0))))</f>
        <v>62063.517497128836</v>
      </c>
      <c r="CZ643" s="56">
        <f ca="1">IF(CZ$1=Summary!$G$3,0,NPV(Summary!$G$8,OFFSET(CZ631,0,1,1,MATCH(Summary!$G$3,DA$1:$KC$1,0))))</f>
        <v>59620.17055437329</v>
      </c>
      <c r="DA643" s="55">
        <f ca="1">IF(DA$1=Summary!$G$3,0,NPV(Summary!$G$8,OFFSET(DA631,0,1,1,MATCH(Summary!$G$3,DB$1:$KC$1,0))))</f>
        <v>56645.874987012518</v>
      </c>
      <c r="DB643" s="55">
        <f ca="1">IF(DB$1=Summary!$G$3,0,NPV(Summary!$G$8,OFFSET(DB631,0,1,1,MATCH(Summary!$G$3,DC$1:$KC$1,0))))</f>
        <v>50760.655210527977</v>
      </c>
      <c r="DC643" s="55">
        <f ca="1">IF(DC$1=Summary!$G$3,0,NPV(Summary!$G$8,OFFSET(DC631,0,1,1,MATCH(Summary!$G$3,DD$1:$KC$1,0))))</f>
        <v>44256.971717020366</v>
      </c>
      <c r="DD643" s="55">
        <f ca="1">IF(DD$1=Summary!$G$3,0,NPV(Summary!$G$8,OFFSET(DD631,0,1,1,MATCH(Summary!$G$3,DE$1:$KC$1,0))))</f>
        <v>38080.479471123595</v>
      </c>
      <c r="DE643" s="55">
        <f ca="1">IF(DE$1=Summary!$G$3,0,NPV(Summary!$G$8,OFFSET(DE631,0,1,1,MATCH(Summary!$G$3,DF$1:$KC$1,0))))</f>
        <v>32129.954571894126</v>
      </c>
      <c r="DF643" s="55">
        <f ca="1">IF(DF$1=Summary!$G$3,0,NPV(Summary!$G$8,OFFSET(DF631,0,1,1,MATCH(Summary!$G$3,DG$1:$KC$1,0))))</f>
        <v>25322.12462076798</v>
      </c>
      <c r="DG643" s="55">
        <f ca="1">IF(DG$1=Summary!$G$3,0,NPV(Summary!$G$8,OFFSET(DG631,0,1,1,MATCH(Summary!$G$3,DH$1:$KC$1,0))))</f>
        <v>17744.543636058992</v>
      </c>
      <c r="DH643" s="55">
        <f ca="1">IF(DH$1=Summary!$G$3,0,NPV(Summary!$G$8,OFFSET(DH631,0,1,1,MATCH(Summary!$G$3,DI$1:$KC$1,0))))</f>
        <v>9328.7037757783019</v>
      </c>
      <c r="DI643" s="55">
        <f ca="1">IF(DI$1=Summary!$G$3,0,NPV(Summary!$G$8,OFFSET(DI631,0,1,1,MATCH(Summary!$G$3,DJ$1:$KC$1,0))))</f>
        <v>0</v>
      </c>
    </row>
    <row r="644" spans="1:113" outlineLevel="1">
      <c r="A644" s="1" t="s">
        <v>6</v>
      </c>
      <c r="B644" s="19" t="s">
        <v>660</v>
      </c>
      <c r="BS644" s="55">
        <f ca="1">IF(BS$1=Summary!$G$3,((BS515-BS595*BS318*(1-BS129))*(1+Summary!$G$4)-BS613*Summary!$G$4*BS151)/(Summary!$G$8-Summary!$G$4)+BS595,(((OFFSET(BS515,0,MATCH(Summary!$G$3,BT$1:$JR$1,0),1,1)-OFFSET(BS595,0,MATCH(Summary!$G$3,BT$1:$JR$1,0),1,1)*OFFSET(BS318,0,MATCH(Summary!$G$3,BT$1:$JR$1,0),1,1)*(1-OFFSET(BS129,0,MATCH(Summary!$G$3,BT$1:$JR$1,0),1,1)))*(1+Summary!$G$4)-OFFSET(BS613,0,MATCH(Summary!$G$3,BT$1:$JR$1,0),1,1)*Summary!$G$4*OFFSET(BS151,0,MATCH(Summary!$G$3,BT$1:$JR$1,0),1,1))/(Summary!$G$8-Summary!$G$4)+OFFSET(BS595,0,MATCH(Summary!$G$3,BT$1:$JR$1,0),1,1))/(1+Summary!$G$8)^COUNTA(OFFSET(BS$1,0,0,1,MATCH(Summary!$G$3,BT$1:$JR$1,0))))</f>
        <v>5538.0494695768848</v>
      </c>
      <c r="BT644" s="55">
        <f ca="1">IF(BT$1=Summary!$G$3,((BT515-BT595*BT318*(1-BT129))*(1+Summary!$G$4)-BT613*Summary!$G$4*BT151)/(Summary!$G$8-Summary!$G$4)+BT595,(((OFFSET(BT515,0,MATCH(Summary!$G$3,BU$1:$JR$1,0),1,1)-OFFSET(BT595,0,MATCH(Summary!$G$3,BU$1:$JR$1,0),1,1)*OFFSET(BT318,0,MATCH(Summary!$G$3,BU$1:$JR$1,0),1,1)*(1-OFFSET(BT129,0,MATCH(Summary!$G$3,BU$1:$JR$1,0),1,1)))*(1+Summary!$G$4)-OFFSET(BT613,0,MATCH(Summary!$G$3,BU$1:$JR$1,0),1,1)*Summary!$G$4*OFFSET(BT151,0,MATCH(Summary!$G$3,BU$1:$JR$1,0),1,1))/(Summary!$G$8-Summary!$G$4)+OFFSET(BT595,0,MATCH(Summary!$G$3,BU$1:$JR$1,0),1,1))/(1+Summary!$G$8)^COUNTA(OFFSET(BT$1,0,0,1,MATCH(Summary!$G$3,BU$1:$JR$1,0))))</f>
        <v>6030.9358723692276</v>
      </c>
      <c r="BU644" s="55">
        <f ca="1">IF(BU$1=Summary!$G$3,((BU515-BU595*BU318*(1-BU129))*(1+Summary!$G$4)-BU613*Summary!$G$4*BU151)/(Summary!$G$8-Summary!$G$4)+BU595,(((OFFSET(BU515,0,MATCH(Summary!$G$3,BV$1:$JR$1,0),1,1)-OFFSET(BU595,0,MATCH(Summary!$G$3,BV$1:$JR$1,0),1,1)*OFFSET(BU318,0,MATCH(Summary!$G$3,BV$1:$JR$1,0),1,1)*(1-OFFSET(BU129,0,MATCH(Summary!$G$3,BV$1:$JR$1,0),1,1)))*(1+Summary!$G$4)-OFFSET(BU613,0,MATCH(Summary!$G$3,BV$1:$JR$1,0),1,1)*Summary!$G$4*OFFSET(BU151,0,MATCH(Summary!$G$3,BV$1:$JR$1,0),1,1))/(Summary!$G$8-Summary!$G$4)+OFFSET(BU595,0,MATCH(Summary!$G$3,BV$1:$JR$1,0),1,1))/(1+Summary!$G$8)^COUNTA(OFFSET(BU$1,0,0,1,MATCH(Summary!$G$3,BV$1:$JR$1,0))))</f>
        <v>6567.6891650100888</v>
      </c>
      <c r="BV644" s="55">
        <f ca="1">IF(BV$1=Summary!$G$3,((BV515-BV595*BV318*(1-BV129))*(1+Summary!$G$4)-BV613*Summary!$G$4*BV151)/(Summary!$G$8-Summary!$G$4)+BV595,(((OFFSET(BV515,0,MATCH(Summary!$G$3,BW$1:$JR$1,0),1,1)-OFFSET(BV595,0,MATCH(Summary!$G$3,BW$1:$JR$1,0),1,1)*OFFSET(BV318,0,MATCH(Summary!$G$3,BW$1:$JR$1,0),1,1)*(1-OFFSET(BV129,0,MATCH(Summary!$G$3,BW$1:$JR$1,0),1,1)))*(1+Summary!$G$4)-OFFSET(BV613,0,MATCH(Summary!$G$3,BW$1:$JR$1,0),1,1)*Summary!$G$4*OFFSET(BV151,0,MATCH(Summary!$G$3,BW$1:$JR$1,0),1,1))/(Summary!$G$8-Summary!$G$4)+OFFSET(BV595,0,MATCH(Summary!$G$3,BW$1:$JR$1,0),1,1))/(1+Summary!$G$8)^COUNTA(OFFSET(BV$1,0,0,1,MATCH(Summary!$G$3,BW$1:$JR$1,0))))</f>
        <v>7152.2135006959861</v>
      </c>
      <c r="BW644" s="55">
        <f ca="1">IF(BW$1=Summary!$G$3,((BW515-BW595*BW318*(1-BW129))*(1+Summary!$G$4)-BW613*Summary!$G$4*BW151)/(Summary!$G$8-Summary!$G$4)+BW595,(((OFFSET(BW515,0,MATCH(Summary!$G$3,BX$1:$JR$1,0),1,1)-OFFSET(BW595,0,MATCH(Summary!$G$3,BX$1:$JR$1,0),1,1)*OFFSET(BW318,0,MATCH(Summary!$G$3,BX$1:$JR$1,0),1,1)*(1-OFFSET(BW129,0,MATCH(Summary!$G$3,BX$1:$JR$1,0),1,1)))*(1+Summary!$G$4)-OFFSET(BW613,0,MATCH(Summary!$G$3,BX$1:$JR$1,0),1,1)*Summary!$G$4*OFFSET(BW151,0,MATCH(Summary!$G$3,BX$1:$JR$1,0),1,1))/(Summary!$G$8-Summary!$G$4)+OFFSET(BW595,0,MATCH(Summary!$G$3,BX$1:$JR$1,0),1,1))/(1+Summary!$G$8)^COUNTA(OFFSET(BW$1,0,0,1,MATCH(Summary!$G$3,BX$1:$JR$1,0))))</f>
        <v>7788.7605022579282</v>
      </c>
      <c r="BX644" s="55">
        <f ca="1">IF(BX$1=Summary!$G$3,((BX515-BX595*BX318*(1-BX129))*(1+Summary!$G$4)-BX613*Summary!$G$4*BX151)/(Summary!$G$8-Summary!$G$4)+BX595,(((OFFSET(BX515,0,MATCH(Summary!$G$3,BY$1:$JR$1,0),1,1)-OFFSET(BX595,0,MATCH(Summary!$G$3,BY$1:$JR$1,0),1,1)*OFFSET(BX318,0,MATCH(Summary!$G$3,BY$1:$JR$1,0),1,1)*(1-OFFSET(BX129,0,MATCH(Summary!$G$3,BY$1:$JR$1,0),1,1)))*(1+Summary!$G$4)-OFFSET(BX613,0,MATCH(Summary!$G$3,BY$1:$JR$1,0),1,1)*Summary!$G$4*OFFSET(BX151,0,MATCH(Summary!$G$3,BY$1:$JR$1,0),1,1))/(Summary!$G$8-Summary!$G$4)+OFFSET(BX595,0,MATCH(Summary!$G$3,BY$1:$JR$1,0),1,1))/(1+Summary!$G$8)^COUNTA(OFFSET(BX$1,0,0,1,MATCH(Summary!$G$3,BY$1:$JR$1,0))))</f>
        <v>8481.9601869588842</v>
      </c>
      <c r="BY644" s="55">
        <f ca="1">IF(BY$1=Summary!$G$3,((BY515-BY595*BY318*(1-BY129))*(1+Summary!$G$4)-BY613*Summary!$G$4*BY151)/(Summary!$G$8-Summary!$G$4)+BY595,(((OFFSET(BY515,0,MATCH(Summary!$G$3,BZ$1:$JR$1,0),1,1)-OFFSET(BY595,0,MATCH(Summary!$G$3,BZ$1:$JR$1,0),1,1)*OFFSET(BY318,0,MATCH(Summary!$G$3,BZ$1:$JR$1,0),1,1)*(1-OFFSET(BY129,0,MATCH(Summary!$G$3,BZ$1:$JR$1,0),1,1)))*(1+Summary!$G$4)-OFFSET(BY613,0,MATCH(Summary!$G$3,BZ$1:$JR$1,0),1,1)*Summary!$G$4*OFFSET(BY151,0,MATCH(Summary!$G$3,BZ$1:$JR$1,0),1,1))/(Summary!$G$8-Summary!$G$4)+OFFSET(BY595,0,MATCH(Summary!$G$3,BZ$1:$JR$1,0),1,1))/(1+Summary!$G$8)^COUNTA(OFFSET(BY$1,0,0,1,MATCH(Summary!$G$3,BZ$1:$JR$1,0))))</f>
        <v>9236.8546435982244</v>
      </c>
      <c r="BZ644" s="55">
        <f ca="1">IF(BZ$1=Summary!$G$3,((BZ515-BZ595*BZ318*(1-BZ129))*(1+Summary!$G$4)-BZ613*Summary!$G$4*BZ151)/(Summary!$G$8-Summary!$G$4)+BZ595,(((OFFSET(BZ515,0,MATCH(Summary!$G$3,CA$1:$JR$1,0),1,1)-OFFSET(BZ595,0,MATCH(Summary!$G$3,CA$1:$JR$1,0),1,1)*OFFSET(BZ318,0,MATCH(Summary!$G$3,CA$1:$JR$1,0),1,1)*(1-OFFSET(BZ129,0,MATCH(Summary!$G$3,CA$1:$JR$1,0),1,1)))*(1+Summary!$G$4)-OFFSET(BZ613,0,MATCH(Summary!$G$3,CA$1:$JR$1,0),1,1)*Summary!$G$4*OFFSET(BZ151,0,MATCH(Summary!$G$3,CA$1:$JR$1,0),1,1))/(Summary!$G$8-Summary!$G$4)+OFFSET(BZ595,0,MATCH(Summary!$G$3,CA$1:$JR$1,0),1,1))/(1+Summary!$G$8)^COUNTA(OFFSET(BZ$1,0,0,1,MATCH(Summary!$G$3,CA$1:$JR$1,0))))</f>
        <v>10058.934706878468</v>
      </c>
      <c r="CA644" s="55">
        <f ca="1">IF(CA$1=Summary!$G$3,((CA515-CA595*CA318*(1-CA129))*(1+Summary!$G$4)-CA613*Summary!$G$4*CA151)/(Summary!$G$8-Summary!$G$4)+CA595,(((OFFSET(CA515,0,MATCH(Summary!$G$3,CB$1:$JR$1,0),1,1)-OFFSET(CA595,0,MATCH(Summary!$G$3,CB$1:$JR$1,0),1,1)*OFFSET(CA318,0,MATCH(Summary!$G$3,CB$1:$JR$1,0),1,1)*(1-OFFSET(CA129,0,MATCH(Summary!$G$3,CB$1:$JR$1,0),1,1)))*(1+Summary!$G$4)-OFFSET(CA613,0,MATCH(Summary!$G$3,CB$1:$JR$1,0),1,1)*Summary!$G$4*OFFSET(CA151,0,MATCH(Summary!$G$3,CB$1:$JR$1,0),1,1))/(Summary!$G$8-Summary!$G$4)+OFFSET(CA595,0,MATCH(Summary!$G$3,CB$1:$JR$1,0),1,1))/(1+Summary!$G$8)^COUNTA(OFFSET(CA$1,0,0,1,MATCH(Summary!$G$3,CB$1:$JR$1,0))))</f>
        <v>10954.17989579065</v>
      </c>
      <c r="CB644" s="55">
        <f ca="1">IF(CB$1=Summary!$G$3,((CB515-CB595*CB318*(1-CB129))*(1+Summary!$G$4)-CB613*Summary!$G$4*CB151)/(Summary!$G$8-Summary!$G$4)+CB595,(((OFFSET(CB515,0,MATCH(Summary!$G$3,CC$1:$JR$1,0),1,1)-OFFSET(CB595,0,MATCH(Summary!$G$3,CC$1:$JR$1,0),1,1)*OFFSET(CB318,0,MATCH(Summary!$G$3,CC$1:$JR$1,0),1,1)*(1-OFFSET(CB129,0,MATCH(Summary!$G$3,CC$1:$JR$1,0),1,1)))*(1+Summary!$G$4)-OFFSET(CB613,0,MATCH(Summary!$G$3,CC$1:$JR$1,0),1,1)*Summary!$G$4*OFFSET(CB151,0,MATCH(Summary!$G$3,CC$1:$JR$1,0),1,1))/(Summary!$G$8-Summary!$G$4)+OFFSET(CB595,0,MATCH(Summary!$G$3,CC$1:$JR$1,0),1,1))/(1+Summary!$G$8)^COUNTA(OFFSET(CB$1,0,0,1,MATCH(Summary!$G$3,CC$1:$JR$1,0))))</f>
        <v>11929.10190651602</v>
      </c>
      <c r="CC644" s="55">
        <f ca="1">IF(CC$1=Summary!$G$3,((CC515-CC595*CC318*(1-CC129))*(1+Summary!$G$4)-CC613*Summary!$G$4*CC151)/(Summary!$G$8-Summary!$G$4)+CC595,(((OFFSET(CC515,0,MATCH(Summary!$G$3,CD$1:$KC$1,0),1,1)-OFFSET(CC595,0,MATCH(Summary!$G$3,CD$1:$KC$1,0),1,1)*OFFSET(CC318,0,MATCH(Summary!$G$3,CD$1:$KC$1,0),1,1)*(1-OFFSET(CC129,0,MATCH(Summary!$G$3,CD$1:$KC$1,0),1,1)))*(1+Summary!$G$4)-OFFSET(CC613,0,MATCH(Summary!$G$3,CD$1:$KC$1,0),1,1)*Summary!$G$4*OFFSET(CC151,0,MATCH(Summary!$G$3,CD$1:$KC$1,0),1,1))/(Summary!$G$8-Summary!$G$4)+OFFSET(CC595,0,MATCH(Summary!$G$3,CD$1:$KC$1,0),1,1))/(1+Summary!$G$8)^COUNTA(OFFSET(CC$1,0,0,1,MATCH(Summary!$G$3,CD$1:$KC$1,0))))</f>
        <v>12990.791976195946</v>
      </c>
      <c r="CD644" s="55">
        <f ca="1">IF(CD$1=Summary!$G$3,((CD515-CD595*CD318*(1-CD129))*(1+Summary!$G$4)-CD613*Summary!$G$4*CD151)/(Summary!$G$8-Summary!$G$4)+CD595,(((OFFSET(CD515,0,MATCH(Summary!$G$3,CE$1:$KC$1,0),1,1)-OFFSET(CD595,0,MATCH(Summary!$G$3,CE$1:$KC$1,0),1,1)*OFFSET(CD318,0,MATCH(Summary!$G$3,CE$1:$KC$1,0),1,1)*(1-OFFSET(CD129,0,MATCH(Summary!$G$3,CE$1:$KC$1,0),1,1)))*(1+Summary!$G$4)-OFFSET(CD613,0,MATCH(Summary!$G$3,CE$1:$KC$1,0),1,1)*Summary!$G$4*OFFSET(CD151,0,MATCH(Summary!$G$3,CE$1:$KC$1,0),1,1))/(Summary!$G$8-Summary!$G$4)+OFFSET(CD595,0,MATCH(Summary!$G$3,CE$1:$KC$1,0),1,1))/(1+Summary!$G$8)^COUNTA(OFFSET(CD$1,0,0,1,MATCH(Summary!$G$3,CE$1:$KC$1,0))))</f>
        <v>14146.972462077385</v>
      </c>
      <c r="CE644" s="55">
        <f ca="1">IF(CE$1=Summary!$G$3,((CE515-CE595*CE318*(1-CE129))*(1+Summary!$G$4)-CE613*Summary!$G$4*CE151)/(Summary!$G$8-Summary!$G$4)+CE595,(((OFFSET(CE515,0,MATCH(Summary!$G$3,CF$1:$KC$1,0),1,1)-OFFSET(CE595,0,MATCH(Summary!$G$3,CF$1:$KC$1,0),1,1)*OFFSET(CE318,0,MATCH(Summary!$G$3,CF$1:$KC$1,0),1,1)*(1-OFFSET(CE129,0,MATCH(Summary!$G$3,CF$1:$KC$1,0),1,1)))*(1+Summary!$G$4)-OFFSET(CE613,0,MATCH(Summary!$G$3,CF$1:$KC$1,0),1,1)*Summary!$G$4*OFFSET(CE151,0,MATCH(Summary!$G$3,CF$1:$KC$1,0),1,1))/(Summary!$G$8-Summary!$G$4)+OFFSET(CE595,0,MATCH(Summary!$G$3,CF$1:$KC$1,0),1,1))/(1+Summary!$G$8)^COUNTA(OFFSET(CE$1,0,0,1,MATCH(Summary!$G$3,CF$1:$KC$1,0))))</f>
        <v>15406.05301120227</v>
      </c>
      <c r="CF644" s="55">
        <f ca="1">IF(CF$1=Summary!$G$3,((CF515-CF595*CF318*(1-CF129))*(1+Summary!$G$4)-CF613*Summary!$G$4*CF151)/(Summary!$G$8-Summary!$G$4)+CF595,(((OFFSET(CF515,0,MATCH(Summary!$G$3,CG$1:$KC$1,0),1,1)-OFFSET(CF595,0,MATCH(Summary!$G$3,CG$1:$KC$1,0),1,1)*OFFSET(CF318,0,MATCH(Summary!$G$3,CG$1:$KC$1,0),1,1)*(1-OFFSET(CF129,0,MATCH(Summary!$G$3,CG$1:$KC$1,0),1,1)))*(1+Summary!$G$4)-OFFSET(CF613,0,MATCH(Summary!$G$3,CG$1:$KC$1,0),1,1)*Summary!$G$4*OFFSET(CF151,0,MATCH(Summary!$G$3,CG$1:$KC$1,0),1,1))/(Summary!$G$8-Summary!$G$4)+OFFSET(CF595,0,MATCH(Summary!$G$3,CG$1:$KC$1,0),1,1))/(1+Summary!$G$8)^COUNTA(OFFSET(CF$1,0,0,1,MATCH(Summary!$G$3,CG$1:$KC$1,0))))</f>
        <v>16777.191729199272</v>
      </c>
      <c r="CG644" s="55">
        <f ca="1">IF(CG$1=Summary!$G$3,((CG515-CG595*CG318*(1-CG129))*(1+Summary!$G$4)-CG613*Summary!$G$4*CG151)/(Summary!$G$8-Summary!$G$4)+CG595,(((OFFSET(CG515,0,MATCH(Summary!$G$3,CH$1:$KC$1,0),1,1)-OFFSET(CG595,0,MATCH(Summary!$G$3,CH$1:$KC$1,0),1,1)*OFFSET(CG318,0,MATCH(Summary!$G$3,CH$1:$KC$1,0),1,1)*(1-OFFSET(CG129,0,MATCH(Summary!$G$3,CH$1:$KC$1,0),1,1)))*(1+Summary!$G$4)-OFFSET(CG613,0,MATCH(Summary!$G$3,CH$1:$KC$1,0),1,1)*Summary!$G$4*OFFSET(CG151,0,MATCH(Summary!$G$3,CH$1:$KC$1,0),1,1))/(Summary!$G$8-Summary!$G$4)+OFFSET(CG595,0,MATCH(Summary!$G$3,CH$1:$KC$1,0),1,1))/(1+Summary!$G$8)^COUNTA(OFFSET(CG$1,0,0,1,MATCH(Summary!$G$3,CH$1:$KC$1,0))))</f>
        <v>18270.361793098011</v>
      </c>
      <c r="CH644" s="55">
        <f ca="1">IF(CH$1=Summary!$G$3,((CH515-CH595*CH318*(1-CH129))*(1+Summary!$G$4)-CH613*Summary!$G$4*CH151)/(Summary!$G$8-Summary!$G$4)+CH595,(((OFFSET(CH515,0,MATCH(Summary!$G$3,CI$1:$KC$1,0),1,1)-OFFSET(CH595,0,MATCH(Summary!$G$3,CI$1:$KC$1,0),1,1)*OFFSET(CH318,0,MATCH(Summary!$G$3,CI$1:$KC$1,0),1,1)*(1-OFFSET(CH129,0,MATCH(Summary!$G$3,CI$1:$KC$1,0),1,1)))*(1+Summary!$G$4)-OFFSET(CH613,0,MATCH(Summary!$G$3,CI$1:$KC$1,0),1,1)*Summary!$G$4*OFFSET(CH151,0,MATCH(Summary!$G$3,CI$1:$KC$1,0),1,1))/(Summary!$G$8-Summary!$G$4)+OFFSET(CH595,0,MATCH(Summary!$G$3,CI$1:$KC$1,0),1,1))/(1+Summary!$G$8)^COUNTA(OFFSET(CH$1,0,0,1,MATCH(Summary!$G$3,CI$1:$KC$1,0))))</f>
        <v>19896.423992683733</v>
      </c>
      <c r="CI644" s="55">
        <f ca="1">IF(CI$1=Summary!$G$3,((CI515-CI595*CI318*(1-CI129))*(1+Summary!$G$4)-CI613*Summary!$G$4*CI151)/(Summary!$G$8-Summary!$G$4)+CI595,(((OFFSET(CI515,0,MATCH(Summary!$G$3,CJ$1:$KC$1,0),1,1)-OFFSET(CI595,0,MATCH(Summary!$G$3,CJ$1:$KC$1,0),1,1)*OFFSET(CI318,0,MATCH(Summary!$G$3,CJ$1:$KC$1,0),1,1)*(1-OFFSET(CI129,0,MATCH(Summary!$G$3,CJ$1:$KC$1,0),1,1)))*(1+Summary!$G$4)-OFFSET(CI613,0,MATCH(Summary!$G$3,CJ$1:$KC$1,0),1,1)*Summary!$G$4*OFFSET(CI151,0,MATCH(Summary!$G$3,CJ$1:$KC$1,0),1,1))/(Summary!$G$8-Summary!$G$4)+OFFSET(CI595,0,MATCH(Summary!$G$3,CJ$1:$KC$1,0),1,1))/(1+Summary!$G$8)^COUNTA(OFFSET(CI$1,0,0,1,MATCH(Summary!$G$3,CJ$1:$KC$1,0))))</f>
        <v>21667.205728032583</v>
      </c>
      <c r="CJ644" s="55">
        <f ca="1">IF(CJ$1=Summary!$G$3,((CJ515-CJ595*CJ318*(1-CJ129))*(1+Summary!$G$4)-CJ613*Summary!$G$4*CJ151)/(Summary!$G$8-Summary!$G$4)+CJ595,(((OFFSET(CJ515,0,MATCH(Summary!$G$3,CK$1:$KC$1,0),1,1)-OFFSET(CJ595,0,MATCH(Summary!$G$3,CK$1:$KC$1,0),1,1)*OFFSET(CJ318,0,MATCH(Summary!$G$3,CK$1:$KC$1,0),1,1)*(1-OFFSET(CJ129,0,MATCH(Summary!$G$3,CK$1:$KC$1,0),1,1)))*(1+Summary!$G$4)-OFFSET(CJ613,0,MATCH(Summary!$G$3,CK$1:$KC$1,0),1,1)*Summary!$G$4*OFFSET(CJ151,0,MATCH(Summary!$G$3,CK$1:$KC$1,0),1,1))/(Summary!$G$8-Summary!$G$4)+OFFSET(CJ595,0,MATCH(Summary!$G$3,CK$1:$KC$1,0),1,1))/(1+Summary!$G$8)^COUNTA(OFFSET(CJ$1,0,0,1,MATCH(Summary!$G$3,CK$1:$KC$1,0))))</f>
        <v>23595.587037827492</v>
      </c>
      <c r="CK644" s="55">
        <f ca="1">IF(CK$1=Summary!$G$3,((CK515-CK595*CK318*(1-CK129))*(1+Summary!$G$4)-CK613*Summary!$G$4*CK151)/(Summary!$G$8-Summary!$G$4)+CK595,(((OFFSET(CK515,0,MATCH(Summary!$G$3,CL$1:$KC$1,0),1,1)-OFFSET(CK595,0,MATCH(Summary!$G$3,CL$1:$KC$1,0),1,1)*OFFSET(CK318,0,MATCH(Summary!$G$3,CL$1:$KC$1,0),1,1)*(1-OFFSET(CK129,0,MATCH(Summary!$G$3,CL$1:$KC$1,0),1,1)))*(1+Summary!$G$4)-OFFSET(CK613,0,MATCH(Summary!$G$3,CL$1:$KC$1,0),1,1)*Summary!$G$4*OFFSET(CK151,0,MATCH(Summary!$G$3,CL$1:$KC$1,0),1,1))/(Summary!$G$8-Summary!$G$4)+OFFSET(CK595,0,MATCH(Summary!$G$3,CL$1:$KC$1,0),1,1))/(1+Summary!$G$8)^COUNTA(OFFSET(CK$1,0,0,1,MATCH(Summary!$G$3,CL$1:$KC$1,0))))</f>
        <v>25695.594284194132</v>
      </c>
      <c r="CL644" s="55">
        <f ca="1">IF(CL$1=Summary!$G$3,((CL515-CL595*CL318*(1-CL129))*(1+Summary!$G$4)-CL613*Summary!$G$4*CL151)/(Summary!$G$8-Summary!$G$4)+CL595,(((OFFSET(CL515,0,MATCH(Summary!$G$3,CM$1:$KC$1,0),1,1)-OFFSET(CL595,0,MATCH(Summary!$G$3,CM$1:$KC$1,0),1,1)*OFFSET(CL318,0,MATCH(Summary!$G$3,CM$1:$KC$1,0),1,1)*(1-OFFSET(CL129,0,MATCH(Summary!$G$3,CM$1:$KC$1,0),1,1)))*(1+Summary!$G$4)-OFFSET(CL613,0,MATCH(Summary!$G$3,CM$1:$KC$1,0),1,1)*Summary!$G$4*OFFSET(CL151,0,MATCH(Summary!$G$3,CM$1:$KC$1,0),1,1))/(Summary!$G$8-Summary!$G$4)+OFFSET(CL595,0,MATCH(Summary!$G$3,CM$1:$KC$1,0),1,1))/(1+Summary!$G$8)^COUNTA(OFFSET(CL$1,0,0,1,MATCH(Summary!$G$3,CM$1:$KC$1,0))))</f>
        <v>27982.502175487411</v>
      </c>
      <c r="CM644" s="55">
        <f ca="1">IF(CM$1=Summary!$G$3,((CM515-CM595*CM318*(1-CM129))*(1+Summary!$G$4)-CM613*Summary!$G$4*CM151)/(Summary!$G$8-Summary!$G$4)+CM595,(((OFFSET(CM515,0,MATCH(Summary!$G$3,CN$1:$KC$1,0),1,1)-OFFSET(CM595,0,MATCH(Summary!$G$3,CN$1:$KC$1,0),1,1)*OFFSET(CM318,0,MATCH(Summary!$G$3,CN$1:$KC$1,0),1,1)*(1-OFFSET(CM129,0,MATCH(Summary!$G$3,CN$1:$KC$1,0),1,1)))*(1+Summary!$G$4)-OFFSET(CM613,0,MATCH(Summary!$G$3,CN$1:$KC$1,0),1,1)*Summary!$G$4*OFFSET(CM151,0,MATCH(Summary!$G$3,CN$1:$KC$1,0),1,1))/(Summary!$G$8-Summary!$G$4)+OFFSET(CM595,0,MATCH(Summary!$G$3,CN$1:$KC$1,0),1,1))/(1+Summary!$G$8)^COUNTA(OFFSET(CM$1,0,0,1,MATCH(Summary!$G$3,CN$1:$KC$1,0))))</f>
        <v>30472.944869105791</v>
      </c>
      <c r="CN644" s="55">
        <f ca="1">IF(CN$1=Summary!$G$3,((CN515-CN595*CN318*(1-CN129))*(1+Summary!$G$4)-CN613*Summary!$G$4*CN151)/(Summary!$G$8-Summary!$G$4)+CN595,(((OFFSET(CN515,0,MATCH(Summary!$G$3,CO$1:$KC$1,0),1,1)-OFFSET(CN595,0,MATCH(Summary!$G$3,CO$1:$KC$1,0),1,1)*OFFSET(CN318,0,MATCH(Summary!$G$3,CO$1:$KC$1,0),1,1)*(1-OFFSET(CN129,0,MATCH(Summary!$G$3,CO$1:$KC$1,0),1,1)))*(1+Summary!$G$4)-OFFSET(CN613,0,MATCH(Summary!$G$3,CO$1:$KC$1,0),1,1)*Summary!$G$4*OFFSET(CN151,0,MATCH(Summary!$G$3,CO$1:$KC$1,0),1,1))/(Summary!$G$8-Summary!$G$4)+OFFSET(CN595,0,MATCH(Summary!$G$3,CO$1:$KC$1,0),1,1))/(1+Summary!$G$8)^COUNTA(OFFSET(CN$1,0,0,1,MATCH(Summary!$G$3,CO$1:$KC$1,0))))</f>
        <v>33185.036962456208</v>
      </c>
      <c r="CO644" s="55">
        <f ca="1">IF(CO$1=Summary!$G$3,((CO515-CO595*CO318*(1-CO129))*(1+Summary!$G$4)-CO613*Summary!$G$4*CO151)/(Summary!$G$8-Summary!$G$4)+CO595,(((OFFSET(CO515,0,MATCH(Summary!$G$3,CP$1:$KC$1,0),1,1)-OFFSET(CO595,0,MATCH(Summary!$G$3,CP$1:$KC$1,0),1,1)*OFFSET(CO318,0,MATCH(Summary!$G$3,CP$1:$KC$1,0),1,1)*(1-OFFSET(CO129,0,MATCH(Summary!$G$3,CP$1:$KC$1,0),1,1)))*(1+Summary!$G$4)-OFFSET(CO613,0,MATCH(Summary!$G$3,CP$1:$KC$1,0),1,1)*Summary!$G$4*OFFSET(CO151,0,MATCH(Summary!$G$3,CP$1:$KC$1,0),1,1))/(Summary!$G$8-Summary!$G$4)+OFFSET(CO595,0,MATCH(Summary!$G$3,CP$1:$KC$1,0),1,1))/(1+Summary!$G$8)^COUNTA(OFFSET(CO$1,0,0,1,MATCH(Summary!$G$3,CP$1:$KC$1,0))))</f>
        <v>36138.505252114803</v>
      </c>
      <c r="CP644" s="55">
        <f ca="1">IF(CP$1=Summary!$G$3,((CP515-CP595*CP318*(1-CP129))*(1+Summary!$G$4)-CP613*Summary!$G$4*CP151)/(Summary!$G$8-Summary!$G$4)+CP595,(((OFFSET(CP515,0,MATCH(Summary!$G$3,CQ$1:$KC$1,0),1,1)-OFFSET(CP595,0,MATCH(Summary!$G$3,CQ$1:$KC$1,0),1,1)*OFFSET(CP318,0,MATCH(Summary!$G$3,CQ$1:$KC$1,0),1,1)*(1-OFFSET(CP129,0,MATCH(Summary!$G$3,CQ$1:$KC$1,0),1,1)))*(1+Summary!$G$4)-OFFSET(CP613,0,MATCH(Summary!$G$3,CQ$1:$KC$1,0),1,1)*Summary!$G$4*OFFSET(CP151,0,MATCH(Summary!$G$3,CQ$1:$KC$1,0),1,1))/(Summary!$G$8-Summary!$G$4)+OFFSET(CP595,0,MATCH(Summary!$G$3,CQ$1:$KC$1,0),1,1))/(1+Summary!$G$8)^COUNTA(OFFSET(CP$1,0,0,1,MATCH(Summary!$G$3,CQ$1:$KC$1,0))))</f>
        <v>39354.832219553027</v>
      </c>
      <c r="CQ644" s="55">
        <f ca="1">IF(CQ$1=Summary!$G$3,((CQ515-CQ595*CQ318*(1-CQ129))*(1+Summary!$G$4)-CQ613*Summary!$G$4*CQ151)/(Summary!$G$8-Summary!$G$4)+CQ595,(((OFFSET(CQ515,0,MATCH(Summary!$G$3,CR$1:$KC$1,0),1,1)-OFFSET(CQ595,0,MATCH(Summary!$G$3,CR$1:$KC$1,0),1,1)*OFFSET(CQ318,0,MATCH(Summary!$G$3,CR$1:$KC$1,0),1,1)*(1-OFFSET(CQ129,0,MATCH(Summary!$G$3,CR$1:$KC$1,0),1,1)))*(1+Summary!$G$4)-OFFSET(CQ613,0,MATCH(Summary!$G$3,CR$1:$KC$1,0),1,1)*Summary!$G$4*OFFSET(CQ151,0,MATCH(Summary!$G$3,CR$1:$KC$1,0),1,1))/(Summary!$G$8-Summary!$G$4)+OFFSET(CQ595,0,MATCH(Summary!$G$3,CR$1:$KC$1,0),1,1))/(1+Summary!$G$8)^COUNTA(OFFSET(CQ$1,0,0,1,MATCH(Summary!$G$3,CR$1:$KC$1,0))))</f>
        <v>42857.412287093241</v>
      </c>
      <c r="CR644" s="55">
        <f ca="1">IF(CR$1=Summary!$G$3,((CR515-CR595*CR318*(1-CR129))*(1+Summary!$G$4)-CR613*Summary!$G$4*CR151)/(Summary!$G$8-Summary!$G$4)+CR595,(((OFFSET(CR515,0,MATCH(Summary!$G$3,CS$1:$KC$1,0),1,1)-OFFSET(CR595,0,MATCH(Summary!$G$3,CS$1:$KC$1,0),1,1)*OFFSET(CR318,0,MATCH(Summary!$G$3,CS$1:$KC$1,0),1,1)*(1-OFFSET(CR129,0,MATCH(Summary!$G$3,CS$1:$KC$1,0),1,1)))*(1+Summary!$G$4)-OFFSET(CR613,0,MATCH(Summary!$G$3,CS$1:$KC$1,0),1,1)*Summary!$G$4*OFFSET(CR151,0,MATCH(Summary!$G$3,CS$1:$KC$1,0),1,1))/(Summary!$G$8-Summary!$G$4)+OFFSET(CR595,0,MATCH(Summary!$G$3,CS$1:$KC$1,0),1,1))/(1+Summary!$G$8)^COUNTA(OFFSET(CR$1,0,0,1,MATCH(Summary!$G$3,CS$1:$KC$1,0))))</f>
        <v>46671.721980644543</v>
      </c>
      <c r="CS644" s="55">
        <f ca="1">IF(CS$1=Summary!$G$3,((CS515-CS595*CS318*(1-CS129))*(1+Summary!$G$4)-CS613*Summary!$G$4*CS151)/(Summary!$G$8-Summary!$G$4)+CS595,(((OFFSET(CS515,0,MATCH(Summary!$G$3,CT$1:$KC$1,0),1,1)-OFFSET(CS595,0,MATCH(Summary!$G$3,CT$1:$KC$1,0),1,1)*OFFSET(CS318,0,MATCH(Summary!$G$3,CT$1:$KC$1,0),1,1)*(1-OFFSET(CS129,0,MATCH(Summary!$G$3,CT$1:$KC$1,0),1,1)))*(1+Summary!$G$4)-OFFSET(CS613,0,MATCH(Summary!$G$3,CT$1:$KC$1,0),1,1)*Summary!$G$4*OFFSET(CS151,0,MATCH(Summary!$G$3,CT$1:$KC$1,0),1,1))/(Summary!$G$8-Summary!$G$4)+OFFSET(CS595,0,MATCH(Summary!$G$3,CT$1:$KC$1,0),1,1))/(1+Summary!$G$8)^COUNTA(OFFSET(CS$1,0,0,1,MATCH(Summary!$G$3,CT$1:$KC$1,0))))</f>
        <v>50825.505236921912</v>
      </c>
      <c r="CT644" s="55">
        <f ca="1">IF(CT$1=Summary!$G$3,((CT515-CT595*CT318*(1-CT129))*(1+Summary!$G$4)-CT613*Summary!$G$4*CT151)/(Summary!$G$8-Summary!$G$4)+CT595,(((OFFSET(CT515,0,MATCH(Summary!$G$3,CU$1:$KC$1,0),1,1)-OFFSET(CT595,0,MATCH(Summary!$G$3,CU$1:$KC$1,0),1,1)*OFFSET(CT318,0,MATCH(Summary!$G$3,CU$1:$KC$1,0),1,1)*(1-OFFSET(CT129,0,MATCH(Summary!$G$3,CU$1:$KC$1,0),1,1)))*(1+Summary!$G$4)-OFFSET(CT613,0,MATCH(Summary!$G$3,CU$1:$KC$1,0),1,1)*Summary!$G$4*OFFSET(CT151,0,MATCH(Summary!$G$3,CU$1:$KC$1,0),1,1))/(Summary!$G$8-Summary!$G$4)+OFFSET(CT595,0,MATCH(Summary!$G$3,CU$1:$KC$1,0),1,1))/(1+Summary!$G$8)^COUNTA(OFFSET(CT$1,0,0,1,MATCH(Summary!$G$3,CU$1:$KC$1,0))))</f>
        <v>55348.975203007962</v>
      </c>
      <c r="CU644" s="55">
        <f ca="1">IF(CU$1=Summary!$G$3,((CU515-CU595*CU318*(1-CU129))*(1+Summary!$G$4)-CU613*Summary!$G$4*CU151)/(Summary!$G$8-Summary!$G$4)+CU595,(((OFFSET(CU515,0,MATCH(Summary!$G$3,CV$1:$KC$1,0),1,1)-OFFSET(CU595,0,MATCH(Summary!$G$3,CV$1:$KC$1,0),1,1)*OFFSET(CU318,0,MATCH(Summary!$G$3,CV$1:$KC$1,0),1,1)*(1-OFFSET(CU129,0,MATCH(Summary!$G$3,CV$1:$KC$1,0),1,1)))*(1+Summary!$G$4)-OFFSET(CU613,0,MATCH(Summary!$G$3,CV$1:$KC$1,0),1,1)*Summary!$G$4*OFFSET(CU151,0,MATCH(Summary!$G$3,CV$1:$KC$1,0),1,1))/(Summary!$G$8-Summary!$G$4)+OFFSET(CU595,0,MATCH(Summary!$G$3,CV$1:$KC$1,0),1,1))/(1+Summary!$G$8)^COUNTA(OFFSET(CU$1,0,0,1,MATCH(Summary!$G$3,CV$1:$KC$1,0))))</f>
        <v>60275.033996075661</v>
      </c>
      <c r="CV644" s="55">
        <f ca="1">IF(CV$1=Summary!$G$3,((CV515-CV595*CV318*(1-CV129))*(1+Summary!$G$4)-CV613*Summary!$G$4*CV151)/(Summary!$G$8-Summary!$G$4)+CV595,(((OFFSET(CV515,0,MATCH(Summary!$G$3,CW$1:$KC$1,0),1,1)-OFFSET(CV595,0,MATCH(Summary!$G$3,CW$1:$KC$1,0),1,1)*OFFSET(CV318,0,MATCH(Summary!$G$3,CW$1:$KC$1,0),1,1)*(1-OFFSET(CV129,0,MATCH(Summary!$G$3,CW$1:$KC$1,0),1,1)))*(1+Summary!$G$4)-OFFSET(CV613,0,MATCH(Summary!$G$3,CW$1:$KC$1,0),1,1)*Summary!$G$4*OFFSET(CV151,0,MATCH(Summary!$G$3,CW$1:$KC$1,0),1,1))/(Summary!$G$8-Summary!$G$4)+OFFSET(CV595,0,MATCH(Summary!$G$3,CW$1:$KC$1,0),1,1))/(1+Summary!$G$8)^COUNTA(OFFSET(CV$1,0,0,1,MATCH(Summary!$G$3,CW$1:$KC$1,0))))</f>
        <v>65639.512021726405</v>
      </c>
      <c r="CW644" s="55">
        <f ca="1">IF(CW$1=Summary!$G$3,((CW515-CW595*CW318*(1-CW129))*(1+Summary!$G$4)-CW613*Summary!$G$4*CW151)/(Summary!$G$8-Summary!$G$4)+CW595,(((OFFSET(CW515,0,MATCH(Summary!$G$3,CX$1:$KC$1,0),1,1)-OFFSET(CW595,0,MATCH(Summary!$G$3,CX$1:$KC$1,0),1,1)*OFFSET(CW318,0,MATCH(Summary!$G$3,CX$1:$KC$1,0),1,1)*(1-OFFSET(CW129,0,MATCH(Summary!$G$3,CX$1:$KC$1,0),1,1)))*(1+Summary!$G$4)-OFFSET(CW613,0,MATCH(Summary!$G$3,CX$1:$KC$1,0),1,1)*Summary!$G$4*OFFSET(CW151,0,MATCH(Summary!$G$3,CX$1:$KC$1,0),1,1))/(Summary!$G$8-Summary!$G$4)+OFFSET(CW595,0,MATCH(Summary!$G$3,CX$1:$KC$1,0),1,1))/(1+Summary!$G$8)^COUNTA(OFFSET(CW$1,0,0,1,MATCH(Summary!$G$3,CX$1:$KC$1,0))))</f>
        <v>71481.428591660049</v>
      </c>
      <c r="CX644" s="55">
        <f ca="1">IF(CX$1=Summary!$G$3,((CX515-CX595*CX318*(1-CX129))*(1+Summary!$G$4)-CX613*Summary!$G$4*CX151)/(Summary!$G$8-Summary!$G$4)+CX595,(((OFFSET(CX515,0,MATCH(Summary!$G$3,CY$1:$KC$1,0),1,1)-OFFSET(CX595,0,MATCH(Summary!$G$3,CY$1:$KC$1,0),1,1)*OFFSET(CX318,0,MATCH(Summary!$G$3,CY$1:$KC$1,0),1,1)*(1-OFFSET(CX129,0,MATCH(Summary!$G$3,CY$1:$KC$1,0),1,1)))*(1+Summary!$G$4)-OFFSET(CX613,0,MATCH(Summary!$G$3,CY$1:$KC$1,0),1,1)*Summary!$G$4*OFFSET(CX151,0,MATCH(Summary!$G$3,CY$1:$KC$1,0),1,1))/(Summary!$G$8-Summary!$G$4)+OFFSET(CX595,0,MATCH(Summary!$G$3,CY$1:$KC$1,0),1,1))/(1+Summary!$G$8)^COUNTA(OFFSET(CX$1,0,0,1,MATCH(Summary!$G$3,CY$1:$KC$1,0))))</f>
        <v>77843.275736317795</v>
      </c>
      <c r="CY644" s="55">
        <f ca="1">IF(CY$1=Summary!$G$3,((CY515-CY595*CY318*(1-CY129))*(1+Summary!$G$4)-CY613*Summary!$G$4*CY151)/(Summary!$G$8-Summary!$G$4)+CY595,(((OFFSET(CY515,0,MATCH(Summary!$G$3,CZ$1:$KC$1,0),1,1)-OFFSET(CY595,0,MATCH(Summary!$G$3,CZ$1:$KC$1,0),1,1)*OFFSET(CY318,0,MATCH(Summary!$G$3,CZ$1:$KC$1,0),1,1)*(1-OFFSET(CY129,0,MATCH(Summary!$G$3,CZ$1:$KC$1,0),1,1)))*(1+Summary!$G$4)-OFFSET(CY613,0,MATCH(Summary!$G$3,CZ$1:$KC$1,0),1,1)*Summary!$G$4*OFFSET(CY151,0,MATCH(Summary!$G$3,CZ$1:$KC$1,0),1,1))/(Summary!$G$8-Summary!$G$4)+OFFSET(CY595,0,MATCH(Summary!$G$3,CZ$1:$KC$1,0),1,1))/(1+Summary!$G$8)^COUNTA(OFFSET(CY$1,0,0,1,MATCH(Summary!$G$3,CZ$1:$KC$1,0))))</f>
        <v>84771.327276850076</v>
      </c>
      <c r="CZ644" s="56">
        <f ca="1">IF(CZ$1=Summary!$G$3,((CZ515-CZ595*CZ318*(1-CZ129))*(1+Summary!$G$4)-CZ613*Summary!$G$4*CZ151)/(Summary!$G$8-Summary!$G$4)+CZ595,(((OFFSET(CZ515,0,MATCH(Summary!$G$3,DA$1:$KC$1,0),1,1)-OFFSET(CZ595,0,MATCH(Summary!$G$3,DA$1:$KC$1,0),1,1)*OFFSET(CZ318,0,MATCH(Summary!$G$3,DA$1:$KC$1,0),1,1)*(1-OFFSET(CZ129,0,MATCH(Summary!$G$3,DA$1:$KC$1,0),1,1)))*(1+Summary!$G$4)-OFFSET(CZ613,0,MATCH(Summary!$G$3,DA$1:$KC$1,0),1,1)*Summary!$G$4*OFFSET(CZ151,0,MATCH(Summary!$G$3,DA$1:$KC$1,0),1,1))/(Summary!$G$8-Summary!$G$4)+OFFSET(CZ595,0,MATCH(Summary!$G$3,DA$1:$KC$1,0),1,1))/(1+Summary!$G$8)^COUNTA(OFFSET(CZ$1,0,0,1,MATCH(Summary!$G$3,DA$1:$KC$1,0))))</f>
        <v>92315.975404489756</v>
      </c>
      <c r="DA644" s="55">
        <f ca="1">IF(DA$1=Summary!$G$3,((DA515-DA595*DA318*(1-DA129))*(1+Summary!$G$4)-DA613*Summary!$G$4*DA151)/(Summary!$G$8-Summary!$G$4)+DA595,(((OFFSET(DA515,0,MATCH(Summary!$G$3,DB$1:$KC$1,0),1,1)-OFFSET(DA595,0,MATCH(Summary!$G$3,DB$1:$KC$1,0),1,1)*OFFSET(DA318,0,MATCH(Summary!$G$3,DB$1:$KC$1,0),1,1)*(1-OFFSET(DA129,0,MATCH(Summary!$G$3,DB$1:$KC$1,0),1,1)))*(1+Summary!$G$4)-OFFSET(DA613,0,MATCH(Summary!$G$3,DB$1:$KC$1,0),1,1)*Summary!$G$4*OFFSET(DA151,0,MATCH(Summary!$G$3,DB$1:$KC$1,0),1,1))/(Summary!$G$8-Summary!$G$4)+OFFSET(DA595,0,MATCH(Summary!$G$3,DB$1:$KC$1,0),1,1))/(1+Summary!$G$8)^COUNTA(OFFSET(DA$1,0,0,1,MATCH(Summary!$G$3,DB$1:$KC$1,0))))</f>
        <v>100532.09721548932</v>
      </c>
      <c r="DB644" s="55">
        <f ca="1">IF(DB$1=Summary!$G$3,((DB515-DB595*DB318*(1-DB129))*(1+Summary!$G$4)-DB613*Summary!$G$4*DB151)/(Summary!$G$8-Summary!$G$4)+DB595,(((OFFSET(DB515,0,MATCH(Summary!$G$3,DC$1:$KC$1,0),1,1)-OFFSET(DB595,0,MATCH(Summary!$G$3,DC$1:$KC$1,0),1,1)*OFFSET(DB318,0,MATCH(Summary!$G$3,DC$1:$KC$1,0),1,1)*(1-OFFSET(DB129,0,MATCH(Summary!$G$3,DC$1:$KC$1,0),1,1)))*(1+Summary!$G$4)-OFFSET(DB613,0,MATCH(Summary!$G$3,DC$1:$KC$1,0),1,1)*Summary!$G$4*OFFSET(DB151,0,MATCH(Summary!$G$3,DC$1:$KC$1,0),1,1))/(Summary!$G$8-Summary!$G$4)+OFFSET(DB595,0,MATCH(Summary!$G$3,DC$1:$KC$1,0),1,1))/(1+Summary!$G$8)^COUNTA(OFFSET(DB$1,0,0,1,MATCH(Summary!$G$3,DC$1:$KC$1,0))))</f>
        <v>109479.45386766788</v>
      </c>
      <c r="DC644" s="55">
        <f ca="1">IF(DC$1=Summary!$G$3,((DC515-DC595*DC318*(1-DC129))*(1+Summary!$G$4)-DC613*Summary!$G$4*DC151)/(Summary!$G$8-Summary!$G$4)+DC595,(((OFFSET(DC515,0,MATCH(Summary!$G$3,DD$1:$KC$1,0),1,1)-OFFSET(DC595,0,MATCH(Summary!$G$3,DD$1:$KC$1,0),1,1)*OFFSET(DC318,0,MATCH(Summary!$G$3,DD$1:$KC$1,0),1,1)*(1-OFFSET(DC129,0,MATCH(Summary!$G$3,DD$1:$KC$1,0),1,1)))*(1+Summary!$G$4)-OFFSET(DC613,0,MATCH(Summary!$G$3,DD$1:$KC$1,0),1,1)*Summary!$G$4*OFFSET(DC151,0,MATCH(Summary!$G$3,DD$1:$KC$1,0),1,1))/(Summary!$G$8-Summary!$G$4)+OFFSET(DC595,0,MATCH(Summary!$G$3,DD$1:$KC$1,0),1,1))/(1+Summary!$G$8)^COUNTA(OFFSET(DC$1,0,0,1,MATCH(Summary!$G$3,DD$1:$KC$1,0))))</f>
        <v>119223.12526189032</v>
      </c>
      <c r="DD644" s="55">
        <f ca="1">IF(DD$1=Summary!$G$3,((DD515-DD595*DD318*(1-DD129))*(1+Summary!$G$4)-DD613*Summary!$G$4*DD151)/(Summary!$G$8-Summary!$G$4)+DD595,(((OFFSET(DD515,0,MATCH(Summary!$G$3,DE$1:$KC$1,0),1,1)-OFFSET(DD595,0,MATCH(Summary!$G$3,DE$1:$KC$1,0),1,1)*OFFSET(DD318,0,MATCH(Summary!$G$3,DE$1:$KC$1,0),1,1)*(1-OFFSET(DD129,0,MATCH(Summary!$G$3,DE$1:$KC$1,0),1,1)))*(1+Summary!$G$4)-OFFSET(DD613,0,MATCH(Summary!$G$3,DE$1:$KC$1,0),1,1)*Summary!$G$4*OFFSET(DD151,0,MATCH(Summary!$G$3,DE$1:$KC$1,0),1,1))/(Summary!$G$8-Summary!$G$4)+OFFSET(DD595,0,MATCH(Summary!$G$3,DE$1:$KC$1,0),1,1))/(1+Summary!$G$8)^COUNTA(OFFSET(DD$1,0,0,1,MATCH(Summary!$G$3,DE$1:$KC$1,0))))</f>
        <v>129833.98341019856</v>
      </c>
      <c r="DE644" s="55">
        <f ca="1">IF(DE$1=Summary!$G$3,((DE515-DE595*DE318*(1-DE129))*(1+Summary!$G$4)-DE613*Summary!$G$4*DE151)/(Summary!$G$8-Summary!$G$4)+DE595,(((OFFSET(DE515,0,MATCH(Summary!$G$3,DF$1:$KC$1,0),1,1)-OFFSET(DE595,0,MATCH(Summary!$G$3,DF$1:$KC$1,0),1,1)*OFFSET(DE318,0,MATCH(Summary!$G$3,DF$1:$KC$1,0),1,1)*(1-OFFSET(DE129,0,MATCH(Summary!$G$3,DF$1:$KC$1,0),1,1)))*(1+Summary!$G$4)-OFFSET(DE613,0,MATCH(Summary!$G$3,DF$1:$KC$1,0),1,1)*Summary!$G$4*OFFSET(DE151,0,MATCH(Summary!$G$3,DF$1:$KC$1,0),1,1))/(Summary!$G$8-Summary!$G$4)+OFFSET(DE595,0,MATCH(Summary!$G$3,DF$1:$KC$1,0),1,1))/(1+Summary!$G$8)^COUNTA(OFFSET(DE$1,0,0,1,MATCH(Summary!$G$3,DF$1:$KC$1,0))))</f>
        <v>141389.20793370623</v>
      </c>
      <c r="DF644" s="55">
        <f ca="1">IF(DF$1=Summary!$G$3,((DF515-DF595*DF318*(1-DF129))*(1+Summary!$G$4)-DF613*Summary!$G$4*DF151)/(Summary!$G$8-Summary!$G$4)+DF595,(((OFFSET(DF515,0,MATCH(Summary!$G$3,DG$1:$KC$1,0),1,1)-OFFSET(DF595,0,MATCH(Summary!$G$3,DG$1:$KC$1,0),1,1)*OFFSET(DF318,0,MATCH(Summary!$G$3,DG$1:$KC$1,0),1,1)*(1-OFFSET(DF129,0,MATCH(Summary!$G$3,DG$1:$KC$1,0),1,1)))*(1+Summary!$G$4)-OFFSET(DF613,0,MATCH(Summary!$G$3,DG$1:$KC$1,0),1,1)*Summary!$G$4*OFFSET(DF151,0,MATCH(Summary!$G$3,DG$1:$KC$1,0),1,1))/(Summary!$G$8-Summary!$G$4)+OFFSET(DF595,0,MATCH(Summary!$G$3,DG$1:$KC$1,0),1,1))/(1+Summary!$G$8)^COUNTA(OFFSET(DF$1,0,0,1,MATCH(Summary!$G$3,DG$1:$KC$1,0))))</f>
        <v>153972.84743980609</v>
      </c>
      <c r="DG644" s="55">
        <f ca="1">IF(DG$1=Summary!$G$3,((DG515-DG595*DG318*(1-DG129))*(1+Summary!$G$4)-DG613*Summary!$G$4*DG151)/(Summary!$G$8-Summary!$G$4)+DG595,(((OFFSET(DG515,0,MATCH(Summary!$G$3,DH$1:$KC$1,0),1,1)-OFFSET(DG595,0,MATCH(Summary!$G$3,DH$1:$KC$1,0),1,1)*OFFSET(DG318,0,MATCH(Summary!$G$3,DH$1:$KC$1,0),1,1)*(1-OFFSET(DG129,0,MATCH(Summary!$G$3,DH$1:$KC$1,0),1,1)))*(1+Summary!$G$4)-OFFSET(DG613,0,MATCH(Summary!$G$3,DH$1:$KC$1,0),1,1)*Summary!$G$4*OFFSET(DG151,0,MATCH(Summary!$G$3,DH$1:$KC$1,0),1,1))/(Summary!$G$8-Summary!$G$4)+OFFSET(DG595,0,MATCH(Summary!$G$3,DH$1:$KC$1,0),1,1))/(1+Summary!$G$8)^COUNTA(OFFSET(DG$1,0,0,1,MATCH(Summary!$G$3,DH$1:$KC$1,0))))</f>
        <v>167676.43086194884</v>
      </c>
      <c r="DH644" s="55">
        <f ca="1">IF(DH$1=Summary!$G$3,((DH515-DH595*DH318*(1-DH129))*(1+Summary!$G$4)-DH613*Summary!$G$4*DH151)/(Summary!$G$8-Summary!$G$4)+DH595,(((OFFSET(DH515,0,MATCH(Summary!$G$3,DI$1:$KC$1,0),1,1)-OFFSET(DH595,0,MATCH(Summary!$G$3,DI$1:$KC$1,0),1,1)*OFFSET(DH318,0,MATCH(Summary!$G$3,DI$1:$KC$1,0),1,1)*(1-OFFSET(DH129,0,MATCH(Summary!$G$3,DI$1:$KC$1,0),1,1)))*(1+Summary!$G$4)-OFFSET(DH613,0,MATCH(Summary!$G$3,DI$1:$KC$1,0),1,1)*Summary!$G$4*OFFSET(DH151,0,MATCH(Summary!$G$3,DI$1:$KC$1,0),1,1))/(Summary!$G$8-Summary!$G$4)+OFFSET(DH595,0,MATCH(Summary!$G$3,DI$1:$KC$1,0),1,1))/(1+Summary!$G$8)^COUNTA(OFFSET(DH$1,0,0,1,MATCH(Summary!$G$3,DI$1:$KC$1,0))))</f>
        <v>182599.6332086623</v>
      </c>
      <c r="DI644" s="55">
        <f ca="1">IF(DI$1=Summary!$G$3,((DI515-DI595*DI318*(1-DI129))*(1+Summary!$G$4)-DI613*Summary!$G$4*DI151)/(Summary!$G$8-Summary!$G$4)+DI595,(((OFFSET(DI515,0,MATCH(Summary!$G$3,DJ$1:$KC$1,0),1,1)-OFFSET(DI595,0,MATCH(Summary!$G$3,DJ$1:$KC$1,0),1,1)*OFFSET(DI318,0,MATCH(Summary!$G$3,DJ$1:$KC$1,0),1,1)*(1-OFFSET(DI129,0,MATCH(Summary!$G$3,DJ$1:$KC$1,0),1,1)))*(1+Summary!$G$4)-OFFSET(DI613,0,MATCH(Summary!$G$3,DJ$1:$KC$1,0),1,1)*Summary!$G$4*OFFSET(DI151,0,MATCH(Summary!$G$3,DJ$1:$KC$1,0),1,1))/(Summary!$G$8-Summary!$G$4)+OFFSET(DI595,0,MATCH(Summary!$G$3,DJ$1:$KC$1,0),1,1))/(1+Summary!$G$8)^COUNTA(OFFSET(DI$1,0,0,1,MATCH(Summary!$G$3,DJ$1:$KC$1,0))))</f>
        <v>198851.00056423323</v>
      </c>
    </row>
    <row r="645" spans="1:113" s="24" customFormat="1" outlineLevel="1">
      <c r="A645" s="1" t="s">
        <v>749</v>
      </c>
      <c r="B645" s="24" t="s">
        <v>168</v>
      </c>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23"/>
      <c r="BA645" s="13"/>
      <c r="BB645" s="13"/>
      <c r="BC645" s="13"/>
      <c r="BD645" s="13"/>
      <c r="BE645" s="13"/>
      <c r="BF645" s="13"/>
      <c r="BG645" s="13"/>
      <c r="BH645" s="13"/>
      <c r="BI645" s="13"/>
      <c r="BJ645" s="13"/>
      <c r="BK645" s="13"/>
      <c r="BL645" s="13"/>
      <c r="BM645" s="13"/>
      <c r="BN645" s="13"/>
      <c r="BO645" s="13"/>
      <c r="BP645" s="13"/>
      <c r="BQ645" s="13"/>
      <c r="BR645" s="13"/>
      <c r="BS645" s="82">
        <f t="shared" ref="BS645:DC645" ca="1" si="4554">SUM(BS643:BS644)</f>
        <v>23628.546307138953</v>
      </c>
      <c r="BT645" s="82">
        <f t="shared" ca="1" si="4554"/>
        <v>25425.786928474317</v>
      </c>
      <c r="BU645" s="82">
        <f t="shared" ca="1" si="4554"/>
        <v>27205.381965108529</v>
      </c>
      <c r="BV645" s="82">
        <f t="shared" ca="1" si="4554"/>
        <v>29139.660960003192</v>
      </c>
      <c r="BW645" s="82">
        <f t="shared" ca="1" si="4554"/>
        <v>30949.090785443477</v>
      </c>
      <c r="BX645" s="82">
        <f t="shared" ca="1" si="4554"/>
        <v>32718.559865347943</v>
      </c>
      <c r="BY645" s="82">
        <f t="shared" ca="1" si="4554"/>
        <v>34635.511693363907</v>
      </c>
      <c r="BZ645" s="82">
        <f t="shared" ca="1" si="4554"/>
        <v>38255.072234073297</v>
      </c>
      <c r="CA645" s="82">
        <f t="shared" ca="1" si="4554"/>
        <v>49290.77366290582</v>
      </c>
      <c r="CB645" s="82">
        <f t="shared" ca="1" si="4554"/>
        <v>51873.652518904426</v>
      </c>
      <c r="CC645" s="82">
        <f t="shared" ca="1" si="4554"/>
        <v>54710.407593086915</v>
      </c>
      <c r="CD645" s="82">
        <f t="shared" ca="1" si="4554"/>
        <v>56232.633868871664</v>
      </c>
      <c r="CE645" s="82">
        <f t="shared" ca="1" si="4554"/>
        <v>59694.338283201236</v>
      </c>
      <c r="CF645" s="82">
        <f t="shared" ca="1" si="4554"/>
        <v>62857.134390406165</v>
      </c>
      <c r="CG645" s="82">
        <f t="shared" ca="1" si="4554"/>
        <v>65552.41935115229</v>
      </c>
      <c r="CH645" s="82">
        <f t="shared" ca="1" si="4554"/>
        <v>68885.584673404839</v>
      </c>
      <c r="CI645" s="82">
        <f t="shared" ca="1" si="4554"/>
        <v>72751.401709337864</v>
      </c>
      <c r="CJ645" s="82">
        <f t="shared" ca="1" si="4554"/>
        <v>81745.276461468951</v>
      </c>
      <c r="CK645" s="82">
        <f t="shared" ca="1" si="4554"/>
        <v>86006.606066539665</v>
      </c>
      <c r="CL645" s="82">
        <f t="shared" ca="1" si="4554"/>
        <v>89203.194006461708</v>
      </c>
      <c r="CM645" s="82">
        <f t="shared" ca="1" si="4554"/>
        <v>93204.278273036791</v>
      </c>
      <c r="CN645" s="82">
        <f t="shared" ca="1" si="4554"/>
        <v>99789.45903933706</v>
      </c>
      <c r="CO645" s="82">
        <f t="shared" ca="1" si="4554"/>
        <v>103203.72089383805</v>
      </c>
      <c r="CP645" s="82">
        <f t="shared" ca="1" si="4554"/>
        <v>106215.85205338962</v>
      </c>
      <c r="CQ645" s="82">
        <f t="shared" ca="1" si="4554"/>
        <v>114906.06288614133</v>
      </c>
      <c r="CR645" s="82">
        <f t="shared" ca="1" si="4554"/>
        <v>119038.70248300789</v>
      </c>
      <c r="CS645" s="82">
        <f t="shared" ca="1" si="4554"/>
        <v>124254.1470039956</v>
      </c>
      <c r="CT645" s="82">
        <f ca="1">SUM(CT643:CT644)</f>
        <v>128454.76608735122</v>
      </c>
      <c r="CU645" s="82">
        <f t="shared" ca="1" si="4554"/>
        <v>132258.24026912547</v>
      </c>
      <c r="CV645" s="82">
        <f t="shared" ca="1" si="4554"/>
        <v>139897.22365307764</v>
      </c>
      <c r="CW645" s="82">
        <f t="shared" ca="1" si="4554"/>
        <v>139342.07655820152</v>
      </c>
      <c r="CX645" s="82">
        <f t="shared" ca="1" si="4554"/>
        <v>142093.52137188145</v>
      </c>
      <c r="CY645" s="82">
        <f t="shared" ca="1" si="4554"/>
        <v>146834.84477397893</v>
      </c>
      <c r="CZ645" s="83">
        <f t="shared" ca="1" si="4554"/>
        <v>151936.14595886305</v>
      </c>
      <c r="DA645" s="82">
        <f t="shared" ca="1" si="4554"/>
        <v>157177.97220250184</v>
      </c>
      <c r="DB645" s="82">
        <f t="shared" ca="1" si="4554"/>
        <v>160240.10907819585</v>
      </c>
      <c r="DC645" s="82">
        <f t="shared" ca="1" si="4554"/>
        <v>163480.09697891067</v>
      </c>
      <c r="DD645" s="82">
        <f ca="1">SUM(DD643:DD644)</f>
        <v>167914.46288132216</v>
      </c>
      <c r="DE645" s="82">
        <f t="shared" ref="DE645:DI645" ca="1" si="4555">SUM(DE643:DE644)</f>
        <v>173519.16250560037</v>
      </c>
      <c r="DF645" s="82">
        <f t="shared" ca="1" si="4555"/>
        <v>179294.97206057407</v>
      </c>
      <c r="DG645" s="82">
        <f t="shared" ca="1" si="4555"/>
        <v>185420.97449800782</v>
      </c>
      <c r="DH645" s="82">
        <f t="shared" ca="1" si="4555"/>
        <v>191928.3369844406</v>
      </c>
      <c r="DI645" s="82">
        <f t="shared" ca="1" si="4555"/>
        <v>198851.00056423323</v>
      </c>
    </row>
    <row r="646" spans="1:113" outlineLevel="1">
      <c r="BS646" s="55"/>
      <c r="BT646" s="55"/>
      <c r="BU646" s="55"/>
      <c r="BV646" s="55"/>
      <c r="BW646" s="55"/>
      <c r="BX646" s="55"/>
      <c r="BY646" s="55"/>
      <c r="BZ646" s="55"/>
      <c r="CA646" s="55"/>
      <c r="CB646" s="55"/>
      <c r="CC646" s="55"/>
      <c r="CD646" s="55"/>
      <c r="CE646" s="55"/>
      <c r="CF646" s="55"/>
      <c r="CG646" s="55"/>
      <c r="CH646" s="55"/>
      <c r="CI646" s="55"/>
      <c r="CJ646" s="55"/>
      <c r="CK646" s="55"/>
      <c r="CL646" s="55"/>
      <c r="CM646" s="55"/>
      <c r="CN646" s="55"/>
      <c r="CO646" s="55"/>
      <c r="CP646" s="55"/>
      <c r="CQ646" s="55"/>
      <c r="CR646" s="55"/>
      <c r="CS646" s="55"/>
      <c r="CT646" s="55"/>
      <c r="CU646" s="55"/>
      <c r="CV646" s="55"/>
      <c r="CW646" s="55"/>
      <c r="CX646" s="55"/>
      <c r="CY646" s="55"/>
      <c r="CZ646" s="56"/>
      <c r="DA646" s="55"/>
      <c r="DB646" s="55"/>
    </row>
    <row r="647" spans="1:113" outlineLevel="1">
      <c r="A647" s="1" t="s">
        <v>750</v>
      </c>
      <c r="B647" s="19" t="s">
        <v>661</v>
      </c>
      <c r="BS647" s="55">
        <f ca="1">IF(BS$1=Summary!$G$3,0,NPV(Summary!$G$8,OFFSET(BS636,0,1,1,MATCH(Summary!$G$3,BT$1:$JR$1,0))))</f>
        <v>7836.7038538844436</v>
      </c>
      <c r="BT647" s="55">
        <f ca="1">IF(BT$1=Summary!$G$3,0,NPV(Summary!$G$8,OFFSET(BT636,0,1,1,MATCH(Summary!$G$3,BU$1:$JR$1,0))))</f>
        <v>8408.2582580741855</v>
      </c>
      <c r="BU647" s="55">
        <f ca="1">IF(BU$1=Summary!$G$3,0,NPV(Summary!$G$8,OFFSET(BU636,0,1,1,MATCH(Summary!$G$3,BV$1:$JR$1,0))))</f>
        <v>8970.6554818487621</v>
      </c>
      <c r="BV647" s="55">
        <f ca="1">IF(BV$1=Summary!$G$3,0,NPV(Summary!$G$8,OFFSET(BV636,0,1,1,MATCH(Summary!$G$3,BW$1:$JR$1,0))))</f>
        <v>9570.7975510765827</v>
      </c>
      <c r="BW647" s="55">
        <f ca="1">IF(BW$1=Summary!$G$3,0,NPV(Summary!$G$8,OFFSET(BW636,0,1,1,MATCH(Summary!$G$3,BX$1:$JR$1,0))))</f>
        <v>10081.217283122396</v>
      </c>
      <c r="BX647" s="55">
        <f ca="1">IF(BX$1=Summary!$G$3,0,NPV(Summary!$G$8,OFFSET(BX636,0,1,1,MATCH(Summary!$G$3,BY$1:$JR$1,0))))</f>
        <v>10638.245621320295</v>
      </c>
      <c r="BY647" s="55">
        <f ca="1">IF(BY$1=Summary!$G$3,0,NPV(Summary!$G$8,OFFSET(BY636,0,1,1,MATCH(Summary!$G$3,BZ$1:$JR$1,0))))</f>
        <v>11199.174481617798</v>
      </c>
      <c r="BZ647" s="55">
        <f ca="1">IF(BZ$1=Summary!$G$3,0,NPV(Summary!$G$8,OFFSET(BZ636,0,1,1,MATCH(Summary!$G$3,CA$1:$JR$1,0))))</f>
        <v>11745.451010481782</v>
      </c>
      <c r="CA647" s="55">
        <f ca="1">IF(CA$1=Summary!$G$3,0,NPV(Summary!$G$8,OFFSET(CA636,0,1,1,MATCH(Summary!$G$3,CB$1:$JR$1,0))))</f>
        <v>12253.721150414658</v>
      </c>
      <c r="CB647" s="55">
        <f ca="1">IF(CB$1=Summary!$G$3,0,NPV(Summary!$G$8,OFFSET(CB636,0,1,1,MATCH(Summary!$G$3,CC$1:$JR$1,0))))</f>
        <v>12717.568999468233</v>
      </c>
      <c r="CC647" s="55">
        <f ca="1">IF(CC$1=Summary!$G$3,0,NPV(Summary!$G$8,OFFSET(CC636,0,1,1,MATCH(Summary!$G$3,CD$1:$KC$1,0))))</f>
        <v>13252.4326404209</v>
      </c>
      <c r="CD647" s="55">
        <f ca="1">IF(CD$1=Summary!$G$3,0,NPV(Summary!$G$8,OFFSET(CD636,0,1,1,MATCH(Summary!$G$3,CE$1:$KC$1,0))))</f>
        <v>13423.899145418365</v>
      </c>
      <c r="CE647" s="55">
        <f ca="1">IF(CE$1=Summary!$G$3,0,NPV(Summary!$G$8,OFFSET(CE636,0,1,1,MATCH(Summary!$G$3,CF$1:$KC$1,0))))</f>
        <v>13951.426169360599</v>
      </c>
      <c r="CF647" s="55">
        <f ca="1">IF(CF$1=Summary!$G$3,0,NPV(Summary!$G$8,OFFSET(CF636,0,1,1,MATCH(Summary!$G$3,CG$1:$KC$1,0))))</f>
        <v>14398.703098433691</v>
      </c>
      <c r="CG647" s="55">
        <f ca="1">IF(CG$1=Summary!$G$3,0,NPV(Summary!$G$8,OFFSET(CG636,0,1,1,MATCH(Summary!$G$3,CH$1:$KC$1,0))))</f>
        <v>14887.673388480005</v>
      </c>
      <c r="CH647" s="55">
        <f ca="1">IF(CH$1=Summary!$G$3,0,NPV(Summary!$G$8,OFFSET(CH636,0,1,1,MATCH(Summary!$G$3,CI$1:$KC$1,0))))</f>
        <v>15359.219177197581</v>
      </c>
      <c r="CI647" s="55">
        <f ca="1">IF(CI$1=Summary!$G$3,0,NPV(Summary!$G$8,OFFSET(CI636,0,1,1,MATCH(Summary!$G$3,CJ$1:$KC$1,0))))</f>
        <v>15822.332541111018</v>
      </c>
      <c r="CJ647" s="55">
        <f ca="1">IF(CJ$1=Summary!$G$3,0,NPV(Summary!$G$8,OFFSET(CJ636,0,1,1,MATCH(Summary!$G$3,CK$1:$KC$1,0))))</f>
        <v>16353.920137269901</v>
      </c>
      <c r="CK647" s="55">
        <f ca="1">IF(CK$1=Summary!$G$3,0,NPV(Summary!$G$8,OFFSET(CK636,0,1,1,MATCH(Summary!$G$3,CL$1:$KC$1,0))))</f>
        <v>16659.219029486918</v>
      </c>
      <c r="CL647" s="55">
        <f ca="1">IF(CL$1=Summary!$G$3,0,NPV(Summary!$G$8,OFFSET(CL636,0,1,1,MATCH(Summary!$G$3,CM$1:$KC$1,0))))</f>
        <v>16862.603808825537</v>
      </c>
      <c r="CM647" s="55">
        <f ca="1">IF(CM$1=Summary!$G$3,0,NPV(Summary!$G$8,OFFSET(CM636,0,1,1,MATCH(Summary!$G$3,CN$1:$KC$1,0))))</f>
        <v>16999.746976382445</v>
      </c>
      <c r="CN647" s="55">
        <f ca="1">IF(CN$1=Summary!$G$3,0,NPV(Summary!$G$8,OFFSET(CN636,0,1,1,MATCH(Summary!$G$3,CO$1:$KC$1,0))))</f>
        <v>17834.124457280475</v>
      </c>
      <c r="CO647" s="55">
        <f ca="1">IF(CO$1=Summary!$G$3,0,NPV(Summary!$G$8,OFFSET(CO636,0,1,1,MATCH(Summary!$G$3,CP$1:$KC$1,0))))</f>
        <v>17833.761533978439</v>
      </c>
      <c r="CP647" s="55">
        <f ca="1">IF(CP$1=Summary!$G$3,0,NPV(Summary!$G$8,OFFSET(CP636,0,1,1,MATCH(Summary!$G$3,CQ$1:$KC$1,0))))</f>
        <v>17686.794881931095</v>
      </c>
      <c r="CQ647" s="55">
        <f ca="1">IF(CQ$1=Summary!$G$3,0,NPV(Summary!$G$8,OFFSET(CQ636,0,1,1,MATCH(Summary!$G$3,CR$1:$KC$1,0))))</f>
        <v>17462.462483565814</v>
      </c>
      <c r="CR647" s="55">
        <f ca="1">IF(CR$1=Summary!$G$3,0,NPV(Summary!$G$8,OFFSET(CR636,0,1,1,MATCH(Summary!$G$3,CS$1:$KC$1,0))))</f>
        <v>17155.678787460314</v>
      </c>
      <c r="CS647" s="55">
        <f ca="1">IF(CS$1=Summary!$G$3,0,NPV(Summary!$G$8,OFFSET(CS636,0,1,1,MATCH(Summary!$G$3,CT$1:$KC$1,0))))</f>
        <v>16758.077056687147</v>
      </c>
      <c r="CT647" s="55">
        <f ca="1">IF(CT$1=Summary!$G$3,0,NPV(Summary!$G$8,OFFSET(CT636,0,1,1,MATCH(Summary!$G$3,CU$1:$KC$1,0))))</f>
        <v>16293.71734330373</v>
      </c>
      <c r="CU647" s="55">
        <f ca="1">IF(CU$1=Summary!$G$3,0,NPV(Summary!$G$8,OFFSET(CU636,0,1,1,MATCH(Summary!$G$3,CV$1:$KC$1,0))))</f>
        <v>15782.115329714901</v>
      </c>
      <c r="CV647" s="55">
        <f ca="1">IF(CV$1=Summary!$G$3,0,NPV(Summary!$G$8,OFFSET(CV636,0,1,1,MATCH(Summary!$G$3,CW$1:$KC$1,0))))</f>
        <v>16056.323594059524</v>
      </c>
      <c r="CW647" s="55">
        <f ca="1">IF(CW$1=Summary!$G$3,0,NPV(Summary!$G$8,OFFSET(CW636,0,1,1,MATCH(Summary!$G$3,CX$1:$KC$1,0))))</f>
        <v>15804.907822502249</v>
      </c>
      <c r="CX647" s="55">
        <f ca="1">IF(CX$1=Summary!$G$3,0,NPV(Summary!$G$8,OFFSET(CX636,0,1,1,MATCH(Summary!$G$3,CY$1:$KC$1,0))))</f>
        <v>15381.45890441924</v>
      </c>
      <c r="CY647" s="55">
        <f ca="1">IF(CY$1=Summary!$G$3,0,NPV(Summary!$G$8,OFFSET(CY636,0,1,1,MATCH(Summary!$G$3,CZ$1:$KC$1,0))))</f>
        <v>14790.208746912549</v>
      </c>
      <c r="CZ647" s="56">
        <f ca="1">IF(CZ$1=Summary!$G$3,0,NPV(Summary!$G$8,OFFSET(CZ636,0,1,1,MATCH(Summary!$G$3,DA$1:$KC$1,0))))</f>
        <v>14062.508753959195</v>
      </c>
      <c r="DA647" s="55">
        <f ca="1">IF(DA$1=Summary!$G$3,0,NPV(Summary!$G$8,OFFSET(DA636,0,1,1,MATCH(Summary!$G$3,DB$1:$KC$1,0))))</f>
        <v>13184.802983910133</v>
      </c>
      <c r="DB647" s="55">
        <f ca="1">IF(DB$1=Summary!$G$3,0,NPV(Summary!$G$8,OFFSET(DB636,0,1,1,MATCH(Summary!$G$3,DC$1:$KC$1,0))))</f>
        <v>12191.384053679345</v>
      </c>
      <c r="DC647" s="55">
        <f ca="1">IF(DC$1=Summary!$G$3,0,NPV(Summary!$G$8,OFFSET(DC636,0,1,1,MATCH(Summary!$G$3,DD$1:$KC$1,0))))</f>
        <v>11085.204769736767</v>
      </c>
      <c r="DD647" s="55">
        <f ca="1">IF(DD$1=Summary!$G$3,0,NPV(Summary!$G$8,OFFSET(DD636,0,1,1,MATCH(Summary!$G$3,DE$1:$KC$1,0))))</f>
        <v>9792.1232925746408</v>
      </c>
      <c r="DE647" s="55">
        <f ca="1">IF(DE$1=Summary!$G$3,0,NPV(Summary!$G$8,OFFSET(DE636,0,1,1,MATCH(Summary!$G$3,DF$1:$KC$1,0))))</f>
        <v>8261.9883184870632</v>
      </c>
      <c r="DF647" s="55">
        <f ca="1">IF(DF$1=Summary!$G$3,0,NPV(Summary!$G$8,OFFSET(DF636,0,1,1,MATCH(Summary!$G$3,DG$1:$KC$1,0))))</f>
        <v>6511.4034739117706</v>
      </c>
      <c r="DG647" s="55">
        <f ca="1">IF(DG$1=Summary!$G$3,0,NPV(Summary!$G$8,OFFSET(DG636,0,1,1,MATCH(Summary!$G$3,DH$1:$KC$1,0))))</f>
        <v>4562.8826492723183</v>
      </c>
      <c r="DH647" s="55">
        <f ca="1">IF(DH$1=Summary!$G$3,0,NPV(Summary!$G$8,OFFSET(DH636,0,1,1,MATCH(Summary!$G$3,DI$1:$KC$1,0))))</f>
        <v>2398.8095423429941</v>
      </c>
      <c r="DI647" s="55">
        <f ca="1">IF(DI$1=Summary!$G$3,0,NPV(Summary!$G$8,OFFSET(DI636,0,1,1,MATCH(Summary!$G$3,DJ$1:$KC$1,0))))</f>
        <v>0</v>
      </c>
    </row>
    <row r="648" spans="1:113" outlineLevel="1">
      <c r="A648" s="1" t="s">
        <v>751</v>
      </c>
      <c r="B648" s="19" t="s">
        <v>546</v>
      </c>
      <c r="BS648" s="55">
        <f ca="1">IF(BS$1=Summary!$G$3,BS636*(1+Summary!$G$4)/(Summary!$G$8-Summary!$G$4),OFFSET(BS636,0,MATCH(Summary!$G$3,BT$1:$JR$1,0),1,1)*(1+Summary!$G$4)/(Summary!$G$8-Summary!$G$4)/(1+Summary!$G$8)^COUNTA(OFFSET(BS$1,0,0,1,MATCH(Summary!$G$3,BT$1:$JR$1,0))))</f>
        <v>1165.1895719674644</v>
      </c>
      <c r="BT648" s="55">
        <f ca="1">IF(BT$1=Summary!$G$3,BT636*(1+Summary!$G$4)/(Summary!$G$8-Summary!$G$4),OFFSET(BT636,0,MATCH(Summary!$G$3,BU$1:$JR$1,0),1,1)*(1+Summary!$G$4)/(Summary!$G$8-Summary!$G$4)/(1+Summary!$G$8)^COUNTA(OFFSET(BT$1,0,0,1,MATCH(Summary!$G$3,BU$1:$JR$1,0))))</f>
        <v>1268.8914438725687</v>
      </c>
      <c r="BU648" s="55">
        <f ca="1">IF(BU$1=Summary!$G$3,BU636*(1+Summary!$G$4)/(Summary!$G$8-Summary!$G$4),OFFSET(BU636,0,MATCH(Summary!$G$3,BV$1:$JR$1,0),1,1)*(1+Summary!$G$4)/(Summary!$G$8-Summary!$G$4)/(1+Summary!$G$8)^COUNTA(OFFSET(BU$1,0,0,1,MATCH(Summary!$G$3,BV$1:$JR$1,0))))</f>
        <v>1381.8227823772274</v>
      </c>
      <c r="BV648" s="55">
        <f ca="1">IF(BV$1=Summary!$G$3,BV636*(1+Summary!$G$4)/(Summary!$G$8-Summary!$G$4),OFFSET(BV636,0,MATCH(Summary!$G$3,BW$1:$JR$1,0),1,1)*(1+Summary!$G$4)/(Summary!$G$8-Summary!$G$4)/(1+Summary!$G$8)^COUNTA(OFFSET(BV$1,0,0,1,MATCH(Summary!$G$3,BW$1:$JR$1,0))))</f>
        <v>1504.8050100088005</v>
      </c>
      <c r="BW648" s="55">
        <f ca="1">IF(BW$1=Summary!$G$3,BW636*(1+Summary!$G$4)/(Summary!$G$8-Summary!$G$4),OFFSET(BW636,0,MATCH(Summary!$G$3,BX$1:$JR$1,0),1,1)*(1+Summary!$G$4)/(Summary!$G$8-Summary!$G$4)/(1+Summary!$G$8)^COUNTA(OFFSET(BW$1,0,0,1,MATCH(Summary!$G$3,BX$1:$JR$1,0))))</f>
        <v>1638.7326558995837</v>
      </c>
      <c r="BX648" s="55">
        <f ca="1">IF(BX$1=Summary!$G$3,BX636*(1+Summary!$G$4)/(Summary!$G$8-Summary!$G$4),OFFSET(BX636,0,MATCH(Summary!$G$3,BY$1:$JR$1,0),1,1)*(1+Summary!$G$4)/(Summary!$G$8-Summary!$G$4)/(1+Summary!$G$8)^COUNTA(OFFSET(BX$1,0,0,1,MATCH(Summary!$G$3,BY$1:$JR$1,0))))</f>
        <v>1784.5798622746468</v>
      </c>
      <c r="BY648" s="55">
        <f ca="1">IF(BY$1=Summary!$G$3,BY636*(1+Summary!$G$4)/(Summary!$G$8-Summary!$G$4),OFFSET(BY636,0,MATCH(Summary!$G$3,BZ$1:$JR$1,0),1,1)*(1+Summary!$G$4)/(Summary!$G$8-Summary!$G$4)/(1+Summary!$G$8)^COUNTA(OFFSET(BY$1,0,0,1,MATCH(Summary!$G$3,BZ$1:$JR$1,0))))</f>
        <v>1943.4074700170902</v>
      </c>
      <c r="BZ648" s="55">
        <f ca="1">IF(BZ$1=Summary!$G$3,BZ636*(1+Summary!$G$4)/(Summary!$G$8-Summary!$G$4),OFFSET(BZ636,0,MATCH(Summary!$G$3,CA$1:$JR$1,0),1,1)*(1+Summary!$G$4)/(Summary!$G$8-Summary!$G$4)/(1+Summary!$G$8)^COUNTA(OFFSET(BZ$1,0,0,1,MATCH(Summary!$G$3,CA$1:$JR$1,0))))</f>
        <v>2116.3707348486114</v>
      </c>
      <c r="CA648" s="55">
        <f ca="1">IF(CA$1=Summary!$G$3,CA636*(1+Summary!$G$4)/(Summary!$G$8-Summary!$G$4),OFFSET(CA636,0,MATCH(Summary!$G$3,CB$1:$JR$1,0),1,1)*(1+Summary!$G$4)/(Summary!$G$8-Summary!$G$4)/(1+Summary!$G$8)^COUNTA(OFFSET(CA$1,0,0,1,MATCH(Summary!$G$3,CB$1:$JR$1,0))))</f>
        <v>2304.7277302501375</v>
      </c>
      <c r="CB648" s="55">
        <f ca="1">IF(CB$1=Summary!$G$3,CB636*(1+Summary!$G$4)/(Summary!$G$8-Summary!$G$4),OFFSET(CB636,0,MATCH(Summary!$G$3,CC$1:$JR$1,0),1,1)*(1+Summary!$G$4)/(Summary!$G$8-Summary!$G$4)/(1+Summary!$G$8)^COUNTA(OFFSET(CB$1,0,0,1,MATCH(Summary!$G$3,CC$1:$JR$1,0))))</f>
        <v>2509.8484982424002</v>
      </c>
      <c r="CC648" s="55">
        <f ca="1">IF(CC$1=Summary!$G$3,CC636*(1+Summary!$G$4)/(Summary!$G$8-Summary!$G$4),OFFSET(CC636,0,MATCH(Summary!$G$3,CD$1:$KC$1,0),1,1)*(1+Summary!$G$4)/(Summary!$G$8-Summary!$G$4)/(1+Summary!$G$8)^COUNTA(OFFSET(CC$1,0,0,1,MATCH(Summary!$G$3,CD$1:$KC$1,0))))</f>
        <v>2733.2250145859739</v>
      </c>
      <c r="CD648" s="55">
        <f ca="1">IF(CD$1=Summary!$G$3,CD636*(1+Summary!$G$4)/(Summary!$G$8-Summary!$G$4),OFFSET(CD636,0,MATCH(Summary!$G$3,CE$1:$KC$1,0),1,1)*(1+Summary!$G$4)/(Summary!$G$8-Summary!$G$4)/(1+Summary!$G$8)^COUNTA(OFFSET(CD$1,0,0,1,MATCH(Summary!$G$3,CE$1:$KC$1,0))))</f>
        <v>2976.4820408841256</v>
      </c>
      <c r="CE648" s="55">
        <f ca="1">IF(CE$1=Summary!$G$3,CE636*(1+Summary!$G$4)/(Summary!$G$8-Summary!$G$4),OFFSET(CE636,0,MATCH(Summary!$G$3,CF$1:$KC$1,0),1,1)*(1+Summary!$G$4)/(Summary!$G$8-Summary!$G$4)/(1+Summary!$G$8)^COUNTA(OFFSET(CE$1,0,0,1,MATCH(Summary!$G$3,CF$1:$KC$1,0))))</f>
        <v>3241.3889425228122</v>
      </c>
      <c r="CF648" s="55">
        <f ca="1">IF(CF$1=Summary!$G$3,CF636*(1+Summary!$G$4)/(Summary!$G$8-Summary!$G$4),OFFSET(CF636,0,MATCH(Summary!$G$3,CG$1:$KC$1,0),1,1)*(1+Summary!$G$4)/(Summary!$G$8-Summary!$G$4)/(1+Summary!$G$8)^COUNTA(OFFSET(CF$1,0,0,1,MATCH(Summary!$G$3,CG$1:$KC$1,0))))</f>
        <v>3529.8725584073427</v>
      </c>
      <c r="CG648" s="55">
        <f ca="1">IF(CG$1=Summary!$G$3,CG636*(1+Summary!$G$4)/(Summary!$G$8-Summary!$G$4),OFFSET(CG636,0,MATCH(Summary!$G$3,CH$1:$KC$1,0),1,1)*(1+Summary!$G$4)/(Summary!$G$8-Summary!$G$4)/(1+Summary!$G$8)^COUNTA(OFFSET(CG$1,0,0,1,MATCH(Summary!$G$3,CH$1:$KC$1,0))))</f>
        <v>3844.0312161055967</v>
      </c>
      <c r="CH648" s="55">
        <f ca="1">IF(CH$1=Summary!$G$3,CH636*(1+Summary!$G$4)/(Summary!$G$8-Summary!$G$4),OFFSET(CH636,0,MATCH(Summary!$G$3,CI$1:$KC$1,0),1,1)*(1+Summary!$G$4)/(Summary!$G$8-Summary!$G$4)/(1+Summary!$G$8)^COUNTA(OFFSET(CH$1,0,0,1,MATCH(Summary!$G$3,CI$1:$KC$1,0))))</f>
        <v>4186.1499943389945</v>
      </c>
      <c r="CI648" s="55">
        <f ca="1">IF(CI$1=Summary!$G$3,CI636*(1+Summary!$G$4)/(Summary!$G$8-Summary!$G$4),OFFSET(CI636,0,MATCH(Summary!$G$3,CJ$1:$KC$1,0),1,1)*(1+Summary!$G$4)/(Summary!$G$8-Summary!$G$4)/(1+Summary!$G$8)^COUNTA(OFFSET(CI$1,0,0,1,MATCH(Summary!$G$3,CJ$1:$KC$1,0))))</f>
        <v>4558.7173438351647</v>
      </c>
      <c r="CJ648" s="55">
        <f ca="1">IF(CJ$1=Summary!$G$3,CJ636*(1+Summary!$G$4)/(Summary!$G$8-Summary!$G$4),OFFSET(CJ636,0,MATCH(Summary!$G$3,CK$1:$KC$1,0),1,1)*(1+Summary!$G$4)/(Summary!$G$8-Summary!$G$4)/(1+Summary!$G$8)^COUNTA(OFFSET(CJ$1,0,0,1,MATCH(Summary!$G$3,CK$1:$KC$1,0))))</f>
        <v>4964.4431874364964</v>
      </c>
      <c r="CK648" s="55">
        <f ca="1">IF(CK$1=Summary!$G$3,CK636*(1+Summary!$G$4)/(Summary!$G$8-Summary!$G$4),OFFSET(CK636,0,MATCH(Summary!$G$3,CL$1:$KC$1,0),1,1)*(1+Summary!$G$4)/(Summary!$G$8-Summary!$G$4)/(1+Summary!$G$8)^COUNTA(OFFSET(CK$1,0,0,1,MATCH(Summary!$G$3,CL$1:$KC$1,0))))</f>
        <v>5406.2786311183427</v>
      </c>
      <c r="CL648" s="55">
        <f ca="1">IF(CL$1=Summary!$G$3,CL636*(1+Summary!$G$4)/(Summary!$G$8-Summary!$G$4),OFFSET(CL636,0,MATCH(Summary!$G$3,CM$1:$KC$1,0),1,1)*(1+Summary!$G$4)/(Summary!$G$8-Summary!$G$4)/(1+Summary!$G$8)^COUNTA(OFFSET(CL$1,0,0,1,MATCH(Summary!$G$3,CM$1:$KC$1,0))))</f>
        <v>5887.4374292878756</v>
      </c>
      <c r="CM648" s="55">
        <f ca="1">IF(CM$1=Summary!$G$3,CM636*(1+Summary!$G$4)/(Summary!$G$8-Summary!$G$4),OFFSET(CM636,0,MATCH(Summary!$G$3,CN$1:$KC$1,0),1,1)*(1+Summary!$G$4)/(Summary!$G$8-Summary!$G$4)/(1+Summary!$G$8)^COUNTA(OFFSET(CM$1,0,0,1,MATCH(Summary!$G$3,CN$1:$KC$1,0))))</f>
        <v>6411.4193604944967</v>
      </c>
      <c r="CN648" s="55">
        <f ca="1">IF(CN$1=Summary!$G$3,CN636*(1+Summary!$G$4)/(Summary!$G$8-Summary!$G$4),OFFSET(CN636,0,MATCH(Summary!$G$3,CO$1:$KC$1,0),1,1)*(1+Summary!$G$4)/(Summary!$G$8-Summary!$G$4)/(1+Summary!$G$8)^COUNTA(OFFSET(CN$1,0,0,1,MATCH(Summary!$G$3,CO$1:$KC$1,0))))</f>
        <v>6982.0356835785078</v>
      </c>
      <c r="CO648" s="55">
        <f ca="1">IF(CO$1=Summary!$G$3,CO636*(1+Summary!$G$4)/(Summary!$G$8-Summary!$G$4),OFFSET(CO636,0,MATCH(Summary!$G$3,CP$1:$KC$1,0),1,1)*(1+Summary!$G$4)/(Summary!$G$8-Summary!$G$4)/(1+Summary!$G$8)^COUNTA(OFFSET(CO$1,0,0,1,MATCH(Summary!$G$3,CP$1:$KC$1,0))))</f>
        <v>7603.4368594169937</v>
      </c>
      <c r="CP648" s="55">
        <f ca="1">IF(CP$1=Summary!$G$3,CP636*(1+Summary!$G$4)/(Summary!$G$8-Summary!$G$4),OFFSET(CP636,0,MATCH(Summary!$G$3,CQ$1:$KC$1,0),1,1)*(1+Summary!$G$4)/(Summary!$G$8-Summary!$G$4)/(1+Summary!$G$8)^COUNTA(OFFSET(CP$1,0,0,1,MATCH(Summary!$G$3,CQ$1:$KC$1,0))))</f>
        <v>8280.1427399051081</v>
      </c>
      <c r="CQ648" s="55">
        <f ca="1">IF(CQ$1=Summary!$G$3,CQ636*(1+Summary!$G$4)/(Summary!$G$8-Summary!$G$4),OFFSET(CQ636,0,MATCH(Summary!$G$3,CR$1:$KC$1,0),1,1)*(1+Summary!$G$4)/(Summary!$G$8-Summary!$G$4)/(1+Summary!$G$8)^COUNTA(OFFSET(CQ$1,0,0,1,MATCH(Summary!$G$3,CR$1:$KC$1,0))))</f>
        <v>9017.0754437566611</v>
      </c>
      <c r="CR648" s="55">
        <f ca="1">IF(CR$1=Summary!$G$3,CR636*(1+Summary!$G$4)/(Summary!$G$8-Summary!$G$4),OFFSET(CR636,0,MATCH(Summary!$G$3,CS$1:$KC$1,0),1,1)*(1+Summary!$G$4)/(Summary!$G$8-Summary!$G$4)/(1+Summary!$G$8)^COUNTA(OFFSET(CR$1,0,0,1,MATCH(Summary!$G$3,CS$1:$KC$1,0))))</f>
        <v>9819.5951582510042</v>
      </c>
      <c r="CS648" s="55">
        <f ca="1">IF(CS$1=Summary!$G$3,CS636*(1+Summary!$G$4)/(Summary!$G$8-Summary!$G$4),OFFSET(CS636,0,MATCH(Summary!$G$3,CT$1:$KC$1,0),1,1)*(1+Summary!$G$4)/(Summary!$G$8-Summary!$G$4)/(1+Summary!$G$8)^COUNTA(OFFSET(CS$1,0,0,1,MATCH(Summary!$G$3,CT$1:$KC$1,0))))</f>
        <v>10693.539127335343</v>
      </c>
      <c r="CT648" s="55">
        <f ca="1">IF(CT$1=Summary!$G$3,CT636*(1+Summary!$G$4)/(Summary!$G$8-Summary!$G$4),OFFSET(CT636,0,MATCH(Summary!$G$3,CU$1:$KC$1,0),1,1)*(1+Summary!$G$4)/(Summary!$G$8-Summary!$G$4)/(1+Summary!$G$8)^COUNTA(OFFSET(CT$1,0,0,1,MATCH(Summary!$G$3,CU$1:$KC$1,0))))</f>
        <v>11645.264109668189</v>
      </c>
      <c r="CU648" s="55">
        <f ca="1">IF(CU$1=Summary!$G$3,CU636*(1+Summary!$G$4)/(Summary!$G$8-Summary!$G$4),OFFSET(CU636,0,MATCH(Summary!$G$3,CV$1:$KC$1,0),1,1)*(1+Summary!$G$4)/(Summary!$G$8-Summary!$G$4)/(1+Summary!$G$8)^COUNTA(OFFSET(CU$1,0,0,1,MATCH(Summary!$G$3,CV$1:$KC$1,0))))</f>
        <v>12681.692615428658</v>
      </c>
      <c r="CV648" s="55">
        <f ca="1">IF(CV$1=Summary!$G$3,CV636*(1+Summary!$G$4)/(Summary!$G$8-Summary!$G$4),OFFSET(CV636,0,MATCH(Summary!$G$3,CW$1:$KC$1,0),1,1)*(1+Summary!$G$4)/(Summary!$G$8-Summary!$G$4)/(1+Summary!$G$8)^COUNTA(OFFSET(CV$1,0,0,1,MATCH(Summary!$G$3,CW$1:$KC$1,0))))</f>
        <v>13810.363258201809</v>
      </c>
      <c r="CW648" s="55">
        <f ca="1">IF(CW$1=Summary!$G$3,CW636*(1+Summary!$G$4)/(Summary!$G$8-Summary!$G$4),OFFSET(CW636,0,MATCH(Summary!$G$3,CX$1:$KC$1,0),1,1)*(1+Summary!$G$4)/(Summary!$G$8-Summary!$G$4)/(1+Summary!$G$8)^COUNTA(OFFSET(CW$1,0,0,1,MATCH(Summary!$G$3,CX$1:$KC$1,0))))</f>
        <v>15039.485588181769</v>
      </c>
      <c r="CX648" s="55">
        <f ca="1">IF(CX$1=Summary!$G$3,CX636*(1+Summary!$G$4)/(Summary!$G$8-Summary!$G$4),OFFSET(CX636,0,MATCH(Summary!$G$3,CY$1:$KC$1,0),1,1)*(1+Summary!$G$4)/(Summary!$G$8-Summary!$G$4)/(1+Summary!$G$8)^COUNTA(OFFSET(CX$1,0,0,1,MATCH(Summary!$G$3,CY$1:$KC$1,0))))</f>
        <v>16377.999805529947</v>
      </c>
      <c r="CY648" s="55">
        <f ca="1">IF(CY$1=Summary!$G$3,CY636*(1+Summary!$G$4)/(Summary!$G$8-Summary!$G$4),OFFSET(CY636,0,MATCH(Summary!$G$3,CZ$1:$KC$1,0),1,1)*(1+Summary!$G$4)/(Summary!$G$8-Summary!$G$4)/(1+Summary!$G$8)^COUNTA(OFFSET(CY$1,0,0,1,MATCH(Summary!$G$3,CZ$1:$KC$1,0))))</f>
        <v>17835.64178822211</v>
      </c>
      <c r="CZ648" s="56">
        <f ca="1">IF(CZ$1=Summary!$G$3,CZ636*(1+Summary!$G$4)/(Summary!$G$8-Summary!$G$4),OFFSET(CZ636,0,MATCH(Summary!$G$3,DA$1:$KC$1,0),1,1)*(1+Summary!$G$4)/(Summary!$G$8-Summary!$G$4)/(1+Summary!$G$8)^COUNTA(OFFSET(CZ$1,0,0,1,MATCH(Summary!$G$3,DA$1:$KC$1,0))))</f>
        <v>19423.013907373883</v>
      </c>
      <c r="DA648" s="55">
        <f ca="1">IF(DA$1=Summary!$G$3,DA636*(1+Summary!$G$4)/(Summary!$G$8-Summary!$G$4),OFFSET(DA636,0,MATCH(Summary!$G$3,DB$1:$KC$1,0),1,1)*(1+Summary!$G$4)/(Summary!$G$8-Summary!$G$4)/(1+Summary!$G$8)^COUNTA(OFFSET(DA$1,0,0,1,MATCH(Summary!$G$3,DB$1:$KC$1,0))))</f>
        <v>21151.662145130158</v>
      </c>
      <c r="DB648" s="55">
        <f ca="1">IF(DB$1=Summary!$G$3,DB636*(1+Summary!$G$4)/(Summary!$G$8-Summary!$G$4),OFFSET(DB636,0,MATCH(Summary!$G$3,DC$1:$KC$1,0),1,1)*(1+Summary!$G$4)/(Summary!$G$8-Summary!$G$4)/(1+Summary!$G$8)^COUNTA(OFFSET(DB$1,0,0,1,MATCH(Summary!$G$3,DC$1:$KC$1,0))))</f>
        <v>23034.160076046741</v>
      </c>
      <c r="DC648" s="55">
        <f ca="1">IF(DC$1=Summary!$G$3,DC636*(1+Summary!$G$4)/(Summary!$G$8-Summary!$G$4),OFFSET(DC636,0,MATCH(Summary!$G$3,DD$1:$KC$1,0),1,1)*(1+Summary!$G$4)/(Summary!$G$8-Summary!$G$4)/(1+Summary!$G$8)^COUNTA(OFFSET(DC$1,0,0,1,MATCH(Summary!$G$3,DD$1:$KC$1,0))))</f>
        <v>25084.200322814901</v>
      </c>
      <c r="DD648" s="55">
        <f ca="1">IF(DD$1=Summary!$G$3,DD636*(1+Summary!$G$4)/(Summary!$G$8-Summary!$G$4),OFFSET(DD636,0,MATCH(Summary!$G$3,DE$1:$KC$1,0),1,1)*(1+Summary!$G$4)/(Summary!$G$8-Summary!$G$4)/(1+Summary!$G$8)^COUNTA(OFFSET(DD$1,0,0,1,MATCH(Summary!$G$3,DE$1:$KC$1,0))))</f>
        <v>27316.694151545427</v>
      </c>
      <c r="DE648" s="55">
        <f ca="1">IF(DE$1=Summary!$G$3,DE636*(1+Summary!$G$4)/(Summary!$G$8-Summary!$G$4),OFFSET(DE636,0,MATCH(Summary!$G$3,DF$1:$KC$1,0),1,1)*(1+Summary!$G$4)/(Summary!$G$8-Summary!$G$4)/(1+Summary!$G$8)^COUNTA(OFFSET(DE$1,0,0,1,MATCH(Summary!$G$3,DF$1:$KC$1,0))))</f>
        <v>29747.87993103297</v>
      </c>
      <c r="DF648" s="55">
        <f ca="1">IF(DF$1=Summary!$G$3,DF636*(1+Summary!$G$4)/(Summary!$G$8-Summary!$G$4),OFFSET(DF636,0,MATCH(Summary!$G$3,DG$1:$KC$1,0),1,1)*(1+Summary!$G$4)/(Summary!$G$8-Summary!$G$4)/(1+Summary!$G$8)^COUNTA(OFFSET(DF$1,0,0,1,MATCH(Summary!$G$3,DG$1:$KC$1,0))))</f>
        <v>32395.441244894908</v>
      </c>
      <c r="DG648" s="55">
        <f ca="1">IF(DG$1=Summary!$G$3,DG636*(1+Summary!$G$4)/(Summary!$G$8-Summary!$G$4),OFFSET(DG636,0,MATCH(Summary!$G$3,DH$1:$KC$1,0),1,1)*(1+Summary!$G$4)/(Summary!$G$8-Summary!$G$4)/(1+Summary!$G$8)^COUNTA(OFFSET(DG$1,0,0,1,MATCH(Summary!$G$3,DH$1:$KC$1,0))))</f>
        <v>35278.635515690548</v>
      </c>
      <c r="DH648" s="55">
        <f ca="1">IF(DH$1=Summary!$G$3,DH636*(1+Summary!$G$4)/(Summary!$G$8-Summary!$G$4),OFFSET(DH636,0,MATCH(Summary!$G$3,DI$1:$KC$1,0),1,1)*(1+Summary!$G$4)/(Summary!$G$8-Summary!$G$4)/(1+Summary!$G$8)^COUNTA(OFFSET(DH$1,0,0,1,MATCH(Summary!$G$3,DI$1:$KC$1,0))))</f>
        <v>38418.434076587015</v>
      </c>
      <c r="DI648" s="55">
        <f ca="1">IF(DI$1=Summary!$G$3,DI636*(1+Summary!$G$4)/(Summary!$G$8-Summary!$G$4),OFFSET(DI636,0,MATCH(Summary!$G$3,DJ$1:$KC$1,0),1,1)*(1+Summary!$G$4)/(Summary!$G$8-Summary!$G$4)/(1+Summary!$G$8)^COUNTA(OFFSET(DI$1,0,0,1,MATCH(Summary!$G$3,DJ$1:$KC$1,0))))</f>
        <v>41837.674709403254</v>
      </c>
    </row>
    <row r="649" spans="1:113" s="24" customFormat="1" outlineLevel="1">
      <c r="A649" s="1" t="s">
        <v>752</v>
      </c>
      <c r="B649" s="24" t="s">
        <v>168</v>
      </c>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23"/>
      <c r="BA649" s="13"/>
      <c r="BB649" s="13"/>
      <c r="BC649" s="13"/>
      <c r="BD649" s="13"/>
      <c r="BE649" s="13"/>
      <c r="BF649" s="13"/>
      <c r="BG649" s="13"/>
      <c r="BH649" s="13"/>
      <c r="BI649" s="13"/>
      <c r="BJ649" s="13"/>
      <c r="BK649" s="13"/>
      <c r="BL649" s="13"/>
      <c r="BM649" s="13"/>
      <c r="BN649" s="13"/>
      <c r="BO649" s="13"/>
      <c r="BP649" s="13"/>
      <c r="BQ649" s="13"/>
      <c r="BR649" s="13"/>
      <c r="BS649" s="82">
        <f t="shared" ref="BS649:DB649" ca="1" si="4556">SUM(BS647:BS648)</f>
        <v>9001.8934258519075</v>
      </c>
      <c r="BT649" s="82">
        <f t="shared" ca="1" si="4556"/>
        <v>9677.1497019467533</v>
      </c>
      <c r="BU649" s="82">
        <f t="shared" ca="1" si="4556"/>
        <v>10352.478264225989</v>
      </c>
      <c r="BV649" s="82">
        <f t="shared" ca="1" si="4556"/>
        <v>11075.602561085383</v>
      </c>
      <c r="BW649" s="82">
        <f t="shared" ca="1" si="4556"/>
        <v>11719.949939021979</v>
      </c>
      <c r="BX649" s="82">
        <f t="shared" ca="1" si="4556"/>
        <v>12422.825483594941</v>
      </c>
      <c r="BY649" s="82">
        <f t="shared" ca="1" si="4556"/>
        <v>13142.581951634887</v>
      </c>
      <c r="BZ649" s="82">
        <f t="shared" ca="1" si="4556"/>
        <v>13861.821745330393</v>
      </c>
      <c r="CA649" s="82">
        <f t="shared" ca="1" si="4556"/>
        <v>14558.448880664795</v>
      </c>
      <c r="CB649" s="82">
        <f t="shared" ca="1" si="4556"/>
        <v>15227.417497710632</v>
      </c>
      <c r="CC649" s="82">
        <f t="shared" ca="1" si="4556"/>
        <v>15985.657655006875</v>
      </c>
      <c r="CD649" s="82">
        <f t="shared" ca="1" si="4556"/>
        <v>16400.381186302489</v>
      </c>
      <c r="CE649" s="82">
        <f t="shared" ca="1" si="4556"/>
        <v>17192.81511188341</v>
      </c>
      <c r="CF649" s="82">
        <f t="shared" ca="1" si="4556"/>
        <v>17928.575656841032</v>
      </c>
      <c r="CG649" s="82">
        <f t="shared" ca="1" si="4556"/>
        <v>18731.7046045856</v>
      </c>
      <c r="CH649" s="82">
        <f t="shared" ca="1" si="4556"/>
        <v>19545.369171536575</v>
      </c>
      <c r="CI649" s="82">
        <f t="shared" ca="1" si="4556"/>
        <v>20381.049884946184</v>
      </c>
      <c r="CJ649" s="82">
        <f t="shared" ca="1" si="4556"/>
        <v>21318.363324706399</v>
      </c>
      <c r="CK649" s="82">
        <f t="shared" ca="1" si="4556"/>
        <v>22065.497660605259</v>
      </c>
      <c r="CL649" s="82">
        <f t="shared" ca="1" si="4556"/>
        <v>22750.041238113412</v>
      </c>
      <c r="CM649" s="82">
        <f t="shared" ca="1" si="4556"/>
        <v>23411.16633687694</v>
      </c>
      <c r="CN649" s="82">
        <f t="shared" ca="1" si="4556"/>
        <v>24816.160140858985</v>
      </c>
      <c r="CO649" s="82">
        <f t="shared" ca="1" si="4556"/>
        <v>25437.198393395433</v>
      </c>
      <c r="CP649" s="82">
        <f t="shared" ca="1" si="4556"/>
        <v>25966.937621836201</v>
      </c>
      <c r="CQ649" s="82">
        <f t="shared" ca="1" si="4556"/>
        <v>26479.537927322475</v>
      </c>
      <c r="CR649" s="82">
        <f t="shared" ca="1" si="4556"/>
        <v>26975.27394571132</v>
      </c>
      <c r="CS649" s="82">
        <f t="shared" ca="1" si="4556"/>
        <v>27451.616184022489</v>
      </c>
      <c r="CT649" s="82">
        <f ca="1">SUM(CT647:CT648)</f>
        <v>27938.981452971919</v>
      </c>
      <c r="CU649" s="82">
        <f t="shared" ca="1" si="4556"/>
        <v>28463.807945143559</v>
      </c>
      <c r="CV649" s="82">
        <f t="shared" ca="1" si="4556"/>
        <v>29866.686852261333</v>
      </c>
      <c r="CW649" s="82">
        <f t="shared" ca="1" si="4556"/>
        <v>30844.393410684017</v>
      </c>
      <c r="CX649" s="82">
        <f t="shared" ca="1" si="4556"/>
        <v>31759.458709949187</v>
      </c>
      <c r="CY649" s="82">
        <f t="shared" ca="1" si="4556"/>
        <v>32625.850535134661</v>
      </c>
      <c r="CZ649" s="83">
        <f t="shared" ca="1" si="4556"/>
        <v>33485.522661333074</v>
      </c>
      <c r="DA649" s="82">
        <f t="shared" ca="1" si="4556"/>
        <v>34336.465129040291</v>
      </c>
      <c r="DB649" s="82">
        <f t="shared" ca="1" si="4556"/>
        <v>35225.544129726084</v>
      </c>
      <c r="DC649" s="82">
        <f t="shared" ref="DC649:DD649" ca="1" si="4557">SUM(DC647:DC648)</f>
        <v>36169.405092551664</v>
      </c>
      <c r="DD649" s="82">
        <f t="shared" ca="1" si="4557"/>
        <v>37108.817444120068</v>
      </c>
      <c r="DE649" s="82">
        <f t="shared" ref="DE649:DI649" ca="1" si="4558">SUM(DE647:DE648)</f>
        <v>38009.868249520034</v>
      </c>
      <c r="DF649" s="82">
        <f t="shared" ca="1" si="4558"/>
        <v>38906.844718806678</v>
      </c>
      <c r="DG649" s="82">
        <f t="shared" ca="1" si="4558"/>
        <v>39841.518164962865</v>
      </c>
      <c r="DH649" s="82">
        <f t="shared" ca="1" si="4558"/>
        <v>40817.243618930006</v>
      </c>
      <c r="DI649" s="82">
        <f t="shared" ca="1" si="4558"/>
        <v>41837.674709403254</v>
      </c>
    </row>
    <row r="650" spans="1:113" outlineLevel="1">
      <c r="BS650" s="55"/>
      <c r="BT650" s="55"/>
      <c r="BU650" s="55"/>
      <c r="BV650" s="55"/>
      <c r="BW650" s="55"/>
      <c r="BX650" s="55"/>
      <c r="BY650" s="55"/>
      <c r="BZ650" s="55"/>
      <c r="CA650" s="55"/>
      <c r="CB650" s="55"/>
      <c r="CC650" s="55"/>
      <c r="CD650" s="55"/>
      <c r="CE650" s="55"/>
      <c r="CF650" s="55"/>
      <c r="CG650" s="55"/>
      <c r="CH650" s="55"/>
      <c r="CI650" s="55"/>
      <c r="CJ650" s="55"/>
      <c r="CK650" s="55"/>
      <c r="CL650" s="55"/>
      <c r="CM650" s="55"/>
      <c r="CN650" s="55"/>
      <c r="CO650" s="55"/>
      <c r="CP650" s="55"/>
      <c r="CQ650" s="55"/>
      <c r="CR650" s="55"/>
      <c r="CS650" s="55"/>
      <c r="CT650" s="55"/>
      <c r="CU650" s="55"/>
      <c r="CV650" s="55"/>
      <c r="CW650" s="55"/>
      <c r="CX650" s="55"/>
      <c r="CY650" s="55"/>
      <c r="CZ650" s="56"/>
      <c r="DA650" s="57"/>
      <c r="DB650" s="55"/>
    </row>
    <row r="651" spans="1:113" s="24" customFormat="1" outlineLevel="1">
      <c r="A651" s="1" t="s">
        <v>753</v>
      </c>
      <c r="B651" s="24" t="s">
        <v>547</v>
      </c>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23"/>
      <c r="BA651" s="13"/>
      <c r="BB651" s="13"/>
      <c r="BC651" s="13"/>
      <c r="BD651" s="13"/>
      <c r="BE651" s="13"/>
      <c r="BF651" s="13"/>
      <c r="BG651" s="13"/>
      <c r="BH651" s="13"/>
      <c r="BI651" s="13"/>
      <c r="BJ651" s="13"/>
      <c r="BK651" s="13"/>
      <c r="BL651" s="13"/>
      <c r="BM651" s="13"/>
      <c r="BN651" s="13"/>
      <c r="BO651" s="13"/>
      <c r="BP651" s="13"/>
      <c r="BQ651" s="13"/>
      <c r="BR651" s="13"/>
      <c r="BS651" s="82">
        <f t="shared" ref="BS651:DB651" ca="1" si="4559">BS645+BS649</f>
        <v>32630.439732990861</v>
      </c>
      <c r="BT651" s="82">
        <f t="shared" ca="1" si="4559"/>
        <v>35102.936630421071</v>
      </c>
      <c r="BU651" s="82">
        <f t="shared" ca="1" si="4559"/>
        <v>37557.860229334517</v>
      </c>
      <c r="BV651" s="82">
        <f t="shared" ca="1" si="4559"/>
        <v>40215.263521088578</v>
      </c>
      <c r="BW651" s="82">
        <f t="shared" ca="1" si="4559"/>
        <v>42669.040724465456</v>
      </c>
      <c r="BX651" s="82">
        <f t="shared" ca="1" si="4559"/>
        <v>45141.385348942888</v>
      </c>
      <c r="BY651" s="82">
        <f t="shared" ca="1" si="4559"/>
        <v>47778.093644998793</v>
      </c>
      <c r="BZ651" s="82">
        <f t="shared" ca="1" si="4559"/>
        <v>52116.893979403692</v>
      </c>
      <c r="CA651" s="82">
        <f t="shared" ca="1" si="4559"/>
        <v>63849.222543570613</v>
      </c>
      <c r="CB651" s="82">
        <f t="shared" ca="1" si="4559"/>
        <v>67101.070016615064</v>
      </c>
      <c r="CC651" s="82">
        <f t="shared" ca="1" si="4559"/>
        <v>70696.065248093786</v>
      </c>
      <c r="CD651" s="82">
        <f t="shared" ca="1" si="4559"/>
        <v>72633.015055174154</v>
      </c>
      <c r="CE651" s="82">
        <f t="shared" ca="1" si="4559"/>
        <v>76887.15339508465</v>
      </c>
      <c r="CF651" s="82">
        <f t="shared" ca="1" si="4559"/>
        <v>80785.710047247194</v>
      </c>
      <c r="CG651" s="82">
        <f t="shared" ca="1" si="4559"/>
        <v>84284.123955737887</v>
      </c>
      <c r="CH651" s="82">
        <f t="shared" ca="1" si="4559"/>
        <v>88430.95384494141</v>
      </c>
      <c r="CI651" s="82">
        <f t="shared" ca="1" si="4559"/>
        <v>93132.451594284052</v>
      </c>
      <c r="CJ651" s="82">
        <f t="shared" ca="1" si="4559"/>
        <v>103063.63978617535</v>
      </c>
      <c r="CK651" s="82">
        <f t="shared" ca="1" si="4559"/>
        <v>108072.10372714492</v>
      </c>
      <c r="CL651" s="82">
        <f t="shared" ca="1" si="4559"/>
        <v>111953.23524457512</v>
      </c>
      <c r="CM651" s="82">
        <f t="shared" ca="1" si="4559"/>
        <v>116615.44460991373</v>
      </c>
      <c r="CN651" s="82">
        <f t="shared" ca="1" si="4559"/>
        <v>124605.61918019605</v>
      </c>
      <c r="CO651" s="82">
        <f t="shared" ca="1" si="4559"/>
        <v>128640.91928723348</v>
      </c>
      <c r="CP651" s="82">
        <f t="shared" ca="1" si="4559"/>
        <v>132182.78967522582</v>
      </c>
      <c r="CQ651" s="82">
        <f t="shared" ca="1" si="4559"/>
        <v>141385.6008134638</v>
      </c>
      <c r="CR651" s="82">
        <f t="shared" ca="1" si="4559"/>
        <v>146013.97642871921</v>
      </c>
      <c r="CS651" s="82">
        <f t="shared" ca="1" si="4559"/>
        <v>151705.76318801809</v>
      </c>
      <c r="CT651" s="82">
        <f ca="1">CT645+CT649</f>
        <v>156393.74754032315</v>
      </c>
      <c r="CU651" s="82">
        <f t="shared" ca="1" si="4559"/>
        <v>160722.04821426902</v>
      </c>
      <c r="CV651" s="82">
        <f t="shared" ca="1" si="4559"/>
        <v>169763.91050533898</v>
      </c>
      <c r="CW651" s="82">
        <f t="shared" ca="1" si="4559"/>
        <v>170186.46996888553</v>
      </c>
      <c r="CX651" s="82">
        <f t="shared" ca="1" si="4559"/>
        <v>173852.98008183064</v>
      </c>
      <c r="CY651" s="82">
        <f t="shared" ca="1" si="4559"/>
        <v>179460.69530911359</v>
      </c>
      <c r="CZ651" s="83">
        <f t="shared" ca="1" si="4559"/>
        <v>185421.66862019611</v>
      </c>
      <c r="DA651" s="82">
        <f t="shared" ca="1" si="4559"/>
        <v>191514.43733154214</v>
      </c>
      <c r="DB651" s="82">
        <f t="shared" ca="1" si="4559"/>
        <v>195465.65320792195</v>
      </c>
      <c r="DC651" s="82">
        <f t="shared" ref="DC651:DD651" ca="1" si="4560">DC645+DC649</f>
        <v>199649.50207146234</v>
      </c>
      <c r="DD651" s="82">
        <f t="shared" ca="1" si="4560"/>
        <v>205023.28032544223</v>
      </c>
      <c r="DE651" s="82">
        <f t="shared" ref="DE651:DI651" ca="1" si="4561">DE645+DE649</f>
        <v>211529.03075512039</v>
      </c>
      <c r="DF651" s="82">
        <f t="shared" ca="1" si="4561"/>
        <v>218201.81677938075</v>
      </c>
      <c r="DG651" s="82">
        <f t="shared" ca="1" si="4561"/>
        <v>225262.49266297068</v>
      </c>
      <c r="DH651" s="82">
        <f t="shared" ca="1" si="4561"/>
        <v>232745.58060337062</v>
      </c>
      <c r="DI651" s="82">
        <f t="shared" ca="1" si="4561"/>
        <v>240688.67527363647</v>
      </c>
    </row>
    <row r="652" spans="1:113" outlineLevel="1">
      <c r="A652" s="1" t="s">
        <v>754</v>
      </c>
      <c r="B652" s="19" t="str">
        <f>B543</f>
        <v>Shares on issue - EOP</v>
      </c>
      <c r="BS652" s="55">
        <f t="shared" ref="BS652:CB652" si="4562">BS543</f>
        <v>848.97995777196866</v>
      </c>
      <c r="BT652" s="55">
        <f t="shared" si="4562"/>
        <v>880.14642368791476</v>
      </c>
      <c r="BU652" s="55">
        <f t="shared" si="4562"/>
        <v>909.85772370802329</v>
      </c>
      <c r="BV652" s="55">
        <f t="shared" si="4562"/>
        <v>954.30842951940474</v>
      </c>
      <c r="BW652" s="55">
        <f t="shared" si="4562"/>
        <v>995.78058616529256</v>
      </c>
      <c r="BX652" s="55">
        <f t="shared" si="4562"/>
        <v>935.22746330182986</v>
      </c>
      <c r="BY652" s="55">
        <f t="shared" si="4562"/>
        <v>927.6676794691333</v>
      </c>
      <c r="BZ652" s="55">
        <f t="shared" si="4562"/>
        <v>920.94171023527042</v>
      </c>
      <c r="CA652" s="55">
        <f t="shared" si="4562"/>
        <v>1267.0440156846973</v>
      </c>
      <c r="CB652" s="55">
        <f t="shared" si="4562"/>
        <v>1250.7696108988537</v>
      </c>
      <c r="CC652" s="55">
        <f t="shared" ref="CC652:CR652" si="4563">CC543</f>
        <v>1259.7238719083048</v>
      </c>
      <c r="CD652" s="55">
        <f t="shared" si="4563"/>
        <v>1260.3874552583952</v>
      </c>
      <c r="CE652" s="55">
        <f t="shared" si="4563"/>
        <v>1270.8687532676452</v>
      </c>
      <c r="CF652" s="55">
        <f t="shared" si="4563"/>
        <v>1287.2271988739192</v>
      </c>
      <c r="CG652" s="55">
        <f t="shared" si="4563"/>
        <v>1289.8702081238689</v>
      </c>
      <c r="CH652" s="55">
        <f t="shared" si="4563"/>
        <v>1307.6446571486024</v>
      </c>
      <c r="CI652" s="55">
        <f t="shared" si="4563"/>
        <v>1333.3308636637844</v>
      </c>
      <c r="CJ652" s="55">
        <f t="shared" si="4563"/>
        <v>1527.0471234667202</v>
      </c>
      <c r="CK652" s="55">
        <f t="shared" si="4563"/>
        <v>1557.1459621958577</v>
      </c>
      <c r="CL652" s="55">
        <f t="shared" si="4563"/>
        <v>1567.0995817414034</v>
      </c>
      <c r="CM652" s="55">
        <f t="shared" si="4563"/>
        <v>1600.7990951136135</v>
      </c>
      <c r="CN652" s="55">
        <f t="shared" si="4563"/>
        <v>1620.7520611301024</v>
      </c>
      <c r="CO652" s="55">
        <f t="shared" si="4563"/>
        <v>1629.8009249949728</v>
      </c>
      <c r="CP652" s="55">
        <f t="shared" si="4563"/>
        <v>1636.8389302232054</v>
      </c>
      <c r="CQ652" s="55">
        <f t="shared" si="4563"/>
        <v>1715</v>
      </c>
      <c r="CR652" s="55">
        <f t="shared" si="4563"/>
        <v>1723</v>
      </c>
      <c r="CS652" s="55">
        <f t="shared" ref="CS652:DC652" si="4564">CS543</f>
        <v>1730</v>
      </c>
      <c r="CT652" s="55">
        <f>CT543</f>
        <v>1770.239507</v>
      </c>
      <c r="CU652" s="55">
        <f t="shared" si="4564"/>
        <v>1770.239507</v>
      </c>
      <c r="CV652" s="55">
        <f t="shared" si="4564"/>
        <v>1774.0964100000001</v>
      </c>
      <c r="CW652" s="55">
        <f t="shared" si="4564"/>
        <v>1701.5384059999999</v>
      </c>
      <c r="CX652" s="55">
        <f t="shared" si="4564"/>
        <v>1674.519391</v>
      </c>
      <c r="CY652" s="55">
        <f t="shared" si="4564"/>
        <v>1672.0700300000001</v>
      </c>
      <c r="CZ652" s="56">
        <f t="shared" si="4564"/>
        <v>1671.842146</v>
      </c>
      <c r="DA652" s="55">
        <f>DA543</f>
        <v>1672.123722</v>
      </c>
      <c r="DB652" s="55">
        <f t="shared" si="4564"/>
        <v>1657.8266296797287</v>
      </c>
      <c r="DC652" s="55">
        <f t="shared" si="4564"/>
        <v>1644.6979865940805</v>
      </c>
      <c r="DD652" s="55">
        <f>DD543</f>
        <v>1638.5416793262229</v>
      </c>
      <c r="DE652" s="55">
        <f t="shared" ref="DE652:DI652" si="4565">DE543</f>
        <v>1638.5416793262229</v>
      </c>
      <c r="DF652" s="55">
        <f t="shared" si="4565"/>
        <v>1638.5416793262229</v>
      </c>
      <c r="DG652" s="55">
        <f t="shared" si="4565"/>
        <v>1638.5416793262229</v>
      </c>
      <c r="DH652" s="55">
        <f t="shared" si="4565"/>
        <v>1638.5416793262229</v>
      </c>
      <c r="DI652" s="55">
        <f t="shared" si="4565"/>
        <v>1638.5416793262229</v>
      </c>
    </row>
    <row r="653" spans="1:113" s="24" customFormat="1" outlineLevel="1">
      <c r="A653" s="1" t="s">
        <v>755</v>
      </c>
      <c r="B653" s="24" t="s">
        <v>548</v>
      </c>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23"/>
      <c r="BA653" s="13"/>
      <c r="BB653" s="13"/>
      <c r="BC653" s="13"/>
      <c r="BD653" s="13"/>
      <c r="BE653" s="13"/>
      <c r="BF653" s="13"/>
      <c r="BG653" s="13"/>
      <c r="BH653" s="13"/>
      <c r="BI653" s="13"/>
      <c r="BJ653" s="13"/>
      <c r="BK653" s="13"/>
      <c r="BL653" s="13"/>
      <c r="BM653" s="13"/>
      <c r="BN653" s="13"/>
      <c r="BO653" s="13"/>
      <c r="BP653" s="13"/>
      <c r="BQ653" s="13"/>
      <c r="BR653" s="13"/>
      <c r="BS653" s="106">
        <f t="shared" ref="BS653:DB653" ca="1" si="4566">BS651/BS652</f>
        <v>38.434876388159942</v>
      </c>
      <c r="BT653" s="106">
        <f t="shared" ca="1" si="4566"/>
        <v>39.883064551163805</v>
      </c>
      <c r="BU653" s="106">
        <f t="shared" ca="1" si="4566"/>
        <v>41.278827722945145</v>
      </c>
      <c r="BV653" s="106">
        <f t="shared" ca="1" si="4566"/>
        <v>42.140740118308727</v>
      </c>
      <c r="BW653" s="106">
        <f t="shared" ca="1" si="4566"/>
        <v>42.849841940363653</v>
      </c>
      <c r="BX653" s="106">
        <f t="shared" ca="1" si="4566"/>
        <v>48.267814109704155</v>
      </c>
      <c r="BY653" s="106">
        <f t="shared" ca="1" si="4566"/>
        <v>51.503458299140341</v>
      </c>
      <c r="BZ653" s="106">
        <f t="shared" ca="1" si="4566"/>
        <v>56.590871496187887</v>
      </c>
      <c r="CA653" s="106">
        <f t="shared" ca="1" si="4566"/>
        <v>50.392268739825241</v>
      </c>
      <c r="CB653" s="106">
        <f t="shared" ca="1" si="4566"/>
        <v>53.647825652234644</v>
      </c>
      <c r="CC653" s="106">
        <f t="shared" ca="1" si="4566"/>
        <v>56.120287012580917</v>
      </c>
      <c r="CD653" s="106">
        <f t="shared" ca="1" si="4566"/>
        <v>57.627529338018903</v>
      </c>
      <c r="CE653" s="106">
        <f t="shared" ca="1" si="4566"/>
        <v>60.499680393741023</v>
      </c>
      <c r="CF653" s="106">
        <f t="shared" ca="1" si="4566"/>
        <v>62.759480313902195</v>
      </c>
      <c r="CG653" s="106">
        <f t="shared" ca="1" si="4566"/>
        <v>65.343104620061055</v>
      </c>
      <c r="CH653" s="106">
        <f t="shared" ca="1" si="4566"/>
        <v>67.626134792436972</v>
      </c>
      <c r="CI653" s="106">
        <f t="shared" ca="1" si="4566"/>
        <v>69.849468074541278</v>
      </c>
      <c r="CJ653" s="106">
        <f t="shared" ca="1" si="4566"/>
        <v>67.492114815814631</v>
      </c>
      <c r="CK653" s="106">
        <f t="shared" ca="1" si="4566"/>
        <v>69.403964914595221</v>
      </c>
      <c r="CL653" s="106">
        <f t="shared" ca="1" si="4566"/>
        <v>71.439770994112351</v>
      </c>
      <c r="CM653" s="106">
        <f t="shared" ca="1" si="4566"/>
        <v>72.848269945853005</v>
      </c>
      <c r="CN653" s="106">
        <f t="shared" ca="1" si="4566"/>
        <v>76.881357839096154</v>
      </c>
      <c r="CO653" s="106">
        <f t="shared" ca="1" si="4566"/>
        <v>78.930449304801002</v>
      </c>
      <c r="CP653" s="106">
        <f t="shared" ca="1" si="4566"/>
        <v>80.754915608709823</v>
      </c>
      <c r="CQ653" s="106">
        <f t="shared" ca="1" si="4566"/>
        <v>82.440583564701925</v>
      </c>
      <c r="CR653" s="106">
        <f t="shared" ca="1" si="4566"/>
        <v>84.74403739333674</v>
      </c>
      <c r="CS653" s="106">
        <f t="shared" ca="1" si="4566"/>
        <v>87.691192594230102</v>
      </c>
      <c r="CT653" s="106">
        <f ca="1">CT651/CT652</f>
        <v>88.346094933425945</v>
      </c>
      <c r="CU653" s="106">
        <f t="shared" ca="1" si="4566"/>
        <v>90.791131696434917</v>
      </c>
      <c r="CV653" s="106">
        <f t="shared" ca="1" si="4566"/>
        <v>95.690352310300298</v>
      </c>
      <c r="CW653" s="106">
        <f t="shared" ca="1" si="4566"/>
        <v>100.01917639282809</v>
      </c>
      <c r="CX653" s="106">
        <f t="shared" ca="1" si="4566"/>
        <v>103.8226138295168</v>
      </c>
      <c r="CY653" s="106">
        <f t="shared" ca="1" si="4566"/>
        <v>107.3284563979139</v>
      </c>
      <c r="CZ653" s="107">
        <f t="shared" ca="1" si="4566"/>
        <v>110.90859807777338</v>
      </c>
      <c r="DA653" s="106">
        <f t="shared" ca="1" si="4566"/>
        <v>114.53365251135534</v>
      </c>
      <c r="DB653" s="106">
        <f t="shared" ca="1" si="4566"/>
        <v>117.90476139575792</v>
      </c>
      <c r="DC653" s="106">
        <f t="shared" ref="DC653:DD653" ca="1" si="4567">DC651/DC652</f>
        <v>121.38976498956268</v>
      </c>
      <c r="DD653" s="106">
        <f t="shared" ca="1" si="4567"/>
        <v>125.12545937174384</v>
      </c>
      <c r="DE653" s="106">
        <f t="shared" ref="DE653:DI653" ca="1" si="4568">DE651/DE652</f>
        <v>129.09591097011474</v>
      </c>
      <c r="DF653" s="106">
        <f t="shared" ca="1" si="4568"/>
        <v>133.1683041893121</v>
      </c>
      <c r="DG653" s="106">
        <f t="shared" ca="1" si="4568"/>
        <v>137.47742611930371</v>
      </c>
      <c r="DH653" s="106">
        <f t="shared" ca="1" si="4568"/>
        <v>142.04434561535038</v>
      </c>
      <c r="DI653" s="106">
        <f t="shared" ca="1" si="4568"/>
        <v>146.89200666083082</v>
      </c>
    </row>
    <row r="654" spans="1:113" outlineLevel="1">
      <c r="CZ654" s="22"/>
    </row>
    <row r="655" spans="1:113" s="5" customFormat="1" ht="12.95" customHeight="1" outlineLevel="1">
      <c r="A655" s="1"/>
      <c r="B655" s="6" t="s">
        <v>441</v>
      </c>
      <c r="C655" s="568"/>
      <c r="D655" s="568"/>
      <c r="E655" s="568"/>
      <c r="F655" s="568"/>
      <c r="G655" s="568"/>
      <c r="H655" s="568"/>
      <c r="I655" s="568"/>
      <c r="J655" s="568"/>
      <c r="K655" s="568"/>
      <c r="L655" s="568"/>
      <c r="M655" s="97"/>
      <c r="N655" s="97"/>
      <c r="O655" s="97"/>
      <c r="P655" s="97"/>
      <c r="Q655" s="97"/>
      <c r="R655" s="97"/>
      <c r="S655" s="97"/>
      <c r="T655" s="100"/>
      <c r="U655" s="97"/>
      <c r="V655" s="97"/>
      <c r="W655" s="97"/>
      <c r="X655" s="97"/>
      <c r="Y655" s="100"/>
      <c r="Z655" s="100"/>
      <c r="AA655" s="100"/>
      <c r="AB655" s="100"/>
      <c r="AC655" s="100"/>
      <c r="AD655" s="100"/>
      <c r="AE655" s="100"/>
      <c r="AF655" s="100"/>
      <c r="AG655" s="100"/>
      <c r="AH655" s="100"/>
      <c r="AI655" s="100"/>
      <c r="AJ655" s="100"/>
      <c r="AK655" s="100"/>
      <c r="AL655" s="100"/>
      <c r="AM655" s="100"/>
      <c r="AN655" s="100"/>
      <c r="AO655" s="100"/>
      <c r="AP655" s="100"/>
      <c r="AQ655" s="100"/>
      <c r="AR655" s="100"/>
      <c r="AS655" s="100"/>
      <c r="AT655" s="100"/>
      <c r="AU655" s="100"/>
      <c r="AV655" s="100"/>
      <c r="AW655" s="100"/>
      <c r="AX655" s="100"/>
      <c r="AY655" s="100"/>
      <c r="AZ655" s="98"/>
      <c r="BA655" s="97"/>
      <c r="BB655" s="97"/>
      <c r="BC655" s="97"/>
      <c r="BD655" s="97"/>
      <c r="BE655" s="97"/>
      <c r="BF655" s="97"/>
      <c r="BG655" s="97"/>
      <c r="BH655" s="97"/>
      <c r="BI655" s="97"/>
      <c r="BJ655" s="97"/>
      <c r="BK655" s="97"/>
      <c r="BL655" s="568"/>
      <c r="BM655" s="568"/>
      <c r="BN655" s="568"/>
      <c r="BO655" s="568"/>
      <c r="BP655" s="568"/>
      <c r="BQ655" s="568"/>
      <c r="BR655" s="99"/>
      <c r="BS655" s="568" t="e">
        <f ca="1">IF(ISNA(BS651),"Ok",IF(ROUND((BS651+BS637)/BR651-1,5)&lt;&gt;Summary!$G$8,"Error","Ok"))</f>
        <v>#DIV/0!</v>
      </c>
      <c r="BT655" s="568" t="str">
        <f ca="1">IF(ISNA(BT651),"Ok",IF(ROUND((BT651+BT637)/BS651-1,5)&lt;&gt;Summary!$G$8,"Error","Ok"))</f>
        <v>Ok</v>
      </c>
      <c r="BU655" s="568" t="str">
        <f ca="1">IF(ISNA(BU651),"Ok",IF(ROUND((BU651+BU637)/BT651-1,5)&lt;&gt;Summary!$G$8,"Error","Ok"))</f>
        <v>Ok</v>
      </c>
      <c r="BV655" s="568" t="str">
        <f ca="1">IF(ISNA(BV651),"Ok",IF(ROUND((BV651+BV637)/BU651-1,5)&lt;&gt;Summary!$G$8,"Error","Ok"))</f>
        <v>Ok</v>
      </c>
      <c r="BW655" s="568" t="str">
        <f ca="1">IF(ISNA(BW651),"Ok",IF(ROUND((BW651+BW637)/BV651-1,5)&lt;&gt;Summary!$G$8,"Error","Ok"))</f>
        <v>Ok</v>
      </c>
      <c r="BX655" s="568" t="str">
        <f ca="1">IF(ISNA(BX651),"Ok",IF(ROUND((BX651+BX637)/BW651-1,5)&lt;&gt;Summary!$G$8,"Error","Ok"))</f>
        <v>Ok</v>
      </c>
      <c r="BY655" s="568" t="str">
        <f ca="1">IF(ISNA(BY651),"Ok",IF(ROUND((BY651+BY637)/BX651-1,5)&lt;&gt;Summary!$G$8,"Error","Ok"))</f>
        <v>Ok</v>
      </c>
      <c r="BZ655" s="568" t="str">
        <f ca="1">IF(ISNA(BZ651),"Ok",IF(ROUND((BZ651+BZ637)/BY651-1,5)&lt;&gt;Summary!$G$8,"Error","Ok"))</f>
        <v>Ok</v>
      </c>
      <c r="CA655" s="568" t="str">
        <f ca="1">IF(ISNA(CA651),"Ok",IF(ROUND((CA651+CA637)/BZ651-1,5)&lt;&gt;Summary!$G$8,"Error","Ok"))</f>
        <v>Ok</v>
      </c>
      <c r="CB655" s="568" t="str">
        <f ca="1">IF(ISNA(CB651),"Ok",IF(ROUND((CB651+CB637)/CA651-1,5)&lt;&gt;Summary!$G$8,"Error","Ok"))</f>
        <v>Ok</v>
      </c>
      <c r="CC655" s="97" t="str">
        <f ca="1">IF(ISNA(CC651),"Ok",IF(ROUND((CC651+CC637)/CB651-1,5)&lt;&gt;Summary!$G$8,"Error","Ok"))</f>
        <v>Ok</v>
      </c>
      <c r="CD655" s="97" t="str">
        <f ca="1">IF(ISNA(CD651),"Ok",IF(ROUND((CD651+CD637)/CC651-1,5)&lt;&gt;Summary!$G$8,"Error","Ok"))</f>
        <v>Ok</v>
      </c>
      <c r="CE655" s="97" t="str">
        <f ca="1">IF(ISNA(CE651),"Ok",IF(ROUND((CE651+CE637)/CD651-1,5)&lt;&gt;Summary!$G$8,"Error","Ok"))</f>
        <v>Ok</v>
      </c>
      <c r="CF655" s="97" t="str">
        <f ca="1">IF(ISNA(CF651),"Ok",IF(ROUND((CF651+CF637)/CE651-1,5)&lt;&gt;Summary!$G$8,"Error","Ok"))</f>
        <v>Ok</v>
      </c>
      <c r="CG655" s="97" t="str">
        <f ca="1">IF(ISNA(CG651),"Ok",IF(ROUND((CG651+CG637)/CF651-1,5)&lt;&gt;Summary!$G$8,"Error","Ok"))</f>
        <v>Ok</v>
      </c>
      <c r="CH655" s="97" t="str">
        <f ca="1">IF(ISNA(CH651),"Ok",IF(ROUND((CH651+CH637)/CG651-1,5)&lt;&gt;Summary!$G$8,"Error","Ok"))</f>
        <v>Ok</v>
      </c>
      <c r="CI655" s="97" t="str">
        <f ca="1">IF(ISNA(CI651),"Ok",IF(ROUND((CI651+CI637)/CH651-1,5)&lt;&gt;Summary!$G$8,"Error","Ok"))</f>
        <v>Ok</v>
      </c>
      <c r="CJ655" s="97" t="str">
        <f ca="1">IF(ISNA(CJ651),"Ok",IF(ROUND((CJ651+CJ637)/CI651-1,5)&lt;&gt;Summary!$G$8,"Error","Ok"))</f>
        <v>Ok</v>
      </c>
      <c r="CK655" s="97" t="str">
        <f ca="1">IF(ISNA(CK651),"Ok",IF(ROUND((CK651+CK637)/CJ651-1,5)&lt;&gt;Summary!$G$8,"Error","Ok"))</f>
        <v>Ok</v>
      </c>
      <c r="CL655" s="97" t="str">
        <f ca="1">IF(ISNA(CL651),"Ok",IF(ROUND((CL651+CL637)/CK651-1,5)&lt;&gt;Summary!$G$8,"Error","Ok"))</f>
        <v>Ok</v>
      </c>
      <c r="CM655" s="100" t="str">
        <f ca="1">IF(ISNA(CM651),"Ok",IF(ROUND((CM651+CM637)/CL651-1,5)&lt;&gt;Summary!$G$8,"Error","Ok"))</f>
        <v>Ok</v>
      </c>
      <c r="CN655" s="100" t="str">
        <f ca="1">IF(ISNA(CN651),"Ok",IF(ROUND((CN651+CN637)/CM651-1,5)&lt;&gt;Summary!$G$8,"Error","Ok"))</f>
        <v>Ok</v>
      </c>
      <c r="CO655" s="100" t="str">
        <f ca="1">IF(ISNA(CO651),"Ok",IF(ROUND((CO651+CO637)/CN651-1,5)&lt;&gt;Summary!$G$8,"Error","Ok"))</f>
        <v>Ok</v>
      </c>
      <c r="CP655" s="100" t="str">
        <f ca="1">IF(ISNA(CP651),"Ok",IF(ROUND((CP651+CP637)/CO651-1,5)&lt;&gt;Summary!$G$8,"Error","Ok"))</f>
        <v>Ok</v>
      </c>
      <c r="CQ655" s="100" t="str">
        <f ca="1">IF(ISNA(CQ651),"Ok",IF(ROUND((CQ651+CQ637)/CP651-1,5)&lt;&gt;Summary!$G$8,"Error","Ok"))</f>
        <v>Ok</v>
      </c>
      <c r="CR655" s="100" t="str">
        <f ca="1">IF(ISNA(CR651),"Ok",IF(ROUND((CR651+CR637)/CQ651-1,5)&lt;&gt;Summary!$G$8,"Error","Ok"))</f>
        <v>Ok</v>
      </c>
      <c r="CS655" s="100" t="str">
        <f ca="1">IF(ISNA(CS651),"Ok",IF(ROUND((CS651+CS637)/CR651-1,5)&lt;&gt;Summary!$G$8,"Error","Ok"))</f>
        <v>Ok</v>
      </c>
      <c r="CT655" s="100" t="str">
        <f ca="1">IF(ISNA(CT651),"Ok",IF(ROUND((CT651+CT637)/CS651-1,5)&lt;&gt;Summary!$G$8,"Error","Ok"))</f>
        <v>Ok</v>
      </c>
      <c r="CU655" s="100" t="str">
        <f ca="1">IF(ISNA(CU651),"Ok",IF(ROUND((CU651+CU637)/CT651-1,5)&lt;&gt;Summary!$G$8,"Error","Ok"))</f>
        <v>Ok</v>
      </c>
      <c r="CV655" s="100" t="str">
        <f ca="1">IF(ISNA(CV651),"Ok",IF(ROUND((CV651+CV637)/CU651-1,5)&lt;&gt;Summary!$G$8,"Error","Ok"))</f>
        <v>Ok</v>
      </c>
      <c r="CW655" s="100" t="str">
        <f ca="1">IF(ISNA(CW651),"Ok",IF(ROUND((CW651+CW637)/CV651-1,5)&lt;&gt;Summary!$G$8,"Error","Ok"))</f>
        <v>Ok</v>
      </c>
      <c r="CX655" s="100" t="str">
        <f ca="1">IF(ISNA(CX651),"Ok",IF(ROUND((CX651+CX637)/CW651-1,5)&lt;&gt;Summary!$G$8,"Error","Ok"))</f>
        <v>Ok</v>
      </c>
      <c r="CY655" s="100" t="str">
        <f ca="1">IF(ISNA(CY651),"Ok",IF(ROUND((CY651+CY637)/CX651-1,5)&lt;&gt;Summary!$G$8,"Error","Ok"))</f>
        <v>Ok</v>
      </c>
      <c r="CZ655" s="98" t="str">
        <f ca="1">IF(ISNA(CZ651),"Ok",IF(ROUND((CZ651+CZ637)/CY651-1,5)&lt;&gt;Summary!$G$8,"Error","Ok"))</f>
        <v>Ok</v>
      </c>
      <c r="DA655" s="97" t="str">
        <f ca="1">IF(ISNA(DA651),"Ok",IF(ROUND((DA651+DA637)/CZ651-1,5)&lt;&gt;Summary!$G$8,"Error","Ok"))</f>
        <v>Ok</v>
      </c>
      <c r="DB655" s="97" t="str">
        <f ca="1">IF(ISNA(DB651),"Ok",IF(ROUND((DB651+DB637)/DA651-1,5)&lt;&gt;Summary!$G$8,"Error","Ok"))</f>
        <v>Ok</v>
      </c>
      <c r="DC655" s="97" t="str">
        <f ca="1">IF(ISNA(DC651),"Ok",IF(ROUND((DC651+DC637)/DB651-1,5)&lt;&gt;Summary!$G$8,"Error","Ok"))</f>
        <v>Ok</v>
      </c>
      <c r="DD655" s="97" t="str">
        <f ca="1">IF(ISNA(DD651),"Ok",IF(ROUND((DD651+DD637)/DC651-1,5)&lt;&gt;Summary!$G$8,"Error","Ok"))</f>
        <v>Ok</v>
      </c>
      <c r="DE655" s="97" t="str">
        <f ca="1">IF(ISNA(DE651),"Ok",IF(ROUND((DE651+DE637)/DD651-1,5)&lt;&gt;Summary!$G$8,"Error","Ok"))</f>
        <v>Ok</v>
      </c>
      <c r="DF655" s="97" t="str">
        <f ca="1">IF(ISNA(DF651),"Ok",IF(ROUND((DF651+DF637)/DE651-1,5)&lt;&gt;Summary!$G$8,"Error","Ok"))</f>
        <v>Ok</v>
      </c>
      <c r="DG655" s="568" t="str">
        <f ca="1">IF(ISNA(DG651),"Ok",IF(ROUND((DG651+DG637)/DF651-1,5)&lt;&gt;Summary!$G$8,"Error","Ok"))</f>
        <v>Ok</v>
      </c>
      <c r="DH655" s="568" t="str">
        <f ca="1">IF(ISNA(DH651),"Ok",IF(ROUND((DH651+DH637)/DG651-1,5)&lt;&gt;Summary!$G$8,"Error","Ok"))</f>
        <v>Ok</v>
      </c>
      <c r="DI655" s="568" t="str">
        <f ca="1">IF(ISNA(DI651),"Ok",IF(ROUND((DI651+DI637)/DH651-1,5)&lt;&gt;Summary!$G$8,"Error","Ok"))</f>
        <v>Ok</v>
      </c>
    </row>
    <row r="656" spans="1:113">
      <c r="CZ656" s="22"/>
    </row>
    <row r="657" spans="1:113" s="36" customFormat="1" collapsed="1">
      <c r="A657" s="1" t="s">
        <v>756</v>
      </c>
      <c r="B657" s="2" t="s">
        <v>446</v>
      </c>
      <c r="C657" s="3"/>
      <c r="D657" s="79"/>
      <c r="E657" s="79"/>
      <c r="F657" s="79"/>
      <c r="G657" s="79"/>
      <c r="H657" s="79"/>
      <c r="I657" s="79"/>
      <c r="J657" s="79"/>
      <c r="K657" s="79"/>
      <c r="L657" s="79"/>
      <c r="M657" s="79"/>
      <c r="N657" s="79"/>
      <c r="O657" s="79"/>
      <c r="P657" s="79"/>
      <c r="Q657" s="79"/>
      <c r="R657" s="79"/>
      <c r="S657" s="79"/>
      <c r="T657" s="79"/>
      <c r="U657" s="79"/>
      <c r="V657" s="79"/>
      <c r="W657" s="79"/>
      <c r="X657" s="79"/>
      <c r="Y657" s="79"/>
      <c r="Z657" s="79"/>
      <c r="AA657" s="79"/>
      <c r="AB657" s="79"/>
      <c r="AC657" s="79"/>
      <c r="AD657" s="79"/>
      <c r="AE657" s="79"/>
      <c r="AF657" s="79"/>
      <c r="AG657" s="79"/>
      <c r="AH657" s="79"/>
      <c r="AI657" s="79"/>
      <c r="AJ657" s="79"/>
      <c r="AK657" s="79"/>
      <c r="AL657" s="79"/>
      <c r="AM657" s="79"/>
      <c r="AN657" s="79"/>
      <c r="AO657" s="79"/>
      <c r="AP657" s="79"/>
      <c r="AQ657" s="79"/>
      <c r="AR657" s="79"/>
      <c r="AS657" s="79"/>
      <c r="AT657" s="79"/>
      <c r="AU657" s="79"/>
      <c r="AV657" s="79"/>
      <c r="AW657" s="79"/>
      <c r="AX657" s="79"/>
      <c r="AY657" s="79"/>
      <c r="AZ657" s="80"/>
      <c r="BA657" s="79"/>
      <c r="BB657" s="79"/>
      <c r="BC657" s="79"/>
      <c r="BD657" s="79"/>
      <c r="BE657" s="79"/>
      <c r="BF657" s="79"/>
      <c r="BG657" s="79"/>
      <c r="BH657" s="79"/>
      <c r="BI657" s="79"/>
      <c r="BJ657" s="79"/>
      <c r="BK657" s="79"/>
      <c r="BL657" s="79"/>
      <c r="BM657" s="79"/>
      <c r="BN657" s="79"/>
      <c r="BO657" s="79"/>
      <c r="BP657" s="79"/>
      <c r="BQ657" s="79"/>
      <c r="BR657" s="79"/>
      <c r="BS657" s="79"/>
      <c r="BT657" s="79"/>
      <c r="BU657" s="79"/>
      <c r="BV657" s="79"/>
      <c r="BW657" s="79"/>
      <c r="BX657" s="79"/>
      <c r="BY657" s="79"/>
      <c r="BZ657" s="79"/>
      <c r="CA657" s="79"/>
      <c r="CB657" s="79"/>
      <c r="CC657" s="79"/>
      <c r="CD657" s="79"/>
      <c r="CE657" s="79"/>
      <c r="CF657" s="79"/>
      <c r="CG657" s="79"/>
      <c r="CH657" s="79"/>
      <c r="CI657" s="79"/>
      <c r="CJ657" s="79"/>
      <c r="CK657" s="79"/>
      <c r="CL657" s="79"/>
      <c r="CM657" s="79"/>
      <c r="CN657" s="79"/>
      <c r="CO657" s="79"/>
      <c r="CP657" s="79"/>
      <c r="CQ657" s="79"/>
      <c r="CR657" s="79"/>
      <c r="CS657" s="79"/>
      <c r="CT657" s="79"/>
      <c r="CU657" s="79"/>
      <c r="CV657" s="79"/>
      <c r="CW657" s="79"/>
      <c r="CX657" s="79"/>
      <c r="CY657" s="79"/>
      <c r="CZ657" s="80"/>
      <c r="DA657" s="79"/>
      <c r="DB657" s="79"/>
      <c r="DC657" s="79"/>
      <c r="DD657" s="79"/>
      <c r="DE657" s="79"/>
      <c r="DF657" s="79"/>
      <c r="DG657" s="79"/>
      <c r="DH657" s="79"/>
      <c r="DI657" s="79"/>
    </row>
    <row r="658" spans="1:113" outlineLevel="1">
      <c r="U658" s="108"/>
      <c r="Z658" s="55"/>
      <c r="CZ658" s="22"/>
    </row>
    <row r="659" spans="1:113" s="24" customFormat="1" outlineLevel="1">
      <c r="A659" s="1"/>
      <c r="B659" s="24" t="s">
        <v>447</v>
      </c>
      <c r="C659" s="13"/>
      <c r="D659" s="13"/>
      <c r="E659" s="13"/>
      <c r="F659" s="13"/>
      <c r="G659" s="13"/>
      <c r="H659" s="13"/>
      <c r="I659" s="13"/>
      <c r="J659" s="13"/>
      <c r="K659" s="13"/>
      <c r="L659" s="13"/>
      <c r="M659" s="13"/>
      <c r="N659" s="13"/>
      <c r="O659" s="13"/>
      <c r="P659" s="13"/>
      <c r="Q659" s="13"/>
      <c r="R659" s="13"/>
      <c r="S659" s="13"/>
      <c r="T659" s="13"/>
      <c r="U659" s="108"/>
      <c r="V659" s="13"/>
      <c r="W659" s="13"/>
      <c r="X659" s="82"/>
      <c r="Y659" s="82"/>
      <c r="Z659" s="82"/>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815"/>
      <c r="AY659" s="815"/>
      <c r="AZ659" s="816"/>
      <c r="BA659" s="815"/>
      <c r="BB659" s="815"/>
      <c r="BC659" s="815"/>
      <c r="BD659" s="815"/>
      <c r="BE659" s="815"/>
      <c r="BF659" s="815"/>
      <c r="BG659" s="815"/>
      <c r="BH659" s="815"/>
      <c r="BI659" s="815"/>
      <c r="BJ659" s="13"/>
      <c r="BK659" s="13"/>
      <c r="BL659" s="13"/>
      <c r="BM659" s="13"/>
      <c r="BN659" s="13"/>
      <c r="BO659" s="13"/>
      <c r="BP659" s="13"/>
      <c r="BQ659" s="13"/>
      <c r="BR659" s="13"/>
      <c r="BS659" s="13"/>
      <c r="BT659" s="13"/>
      <c r="BU659" s="13"/>
      <c r="BV659" s="13"/>
      <c r="BW659" s="13"/>
      <c r="BX659" s="13"/>
      <c r="BY659" s="13"/>
      <c r="BZ659" s="13"/>
      <c r="CA659" s="13"/>
      <c r="CB659" s="82"/>
      <c r="CC659" s="13"/>
      <c r="CD659" s="13"/>
      <c r="CE659" s="13"/>
      <c r="CF659" s="13"/>
      <c r="CG659" s="13"/>
      <c r="CH659" s="13"/>
      <c r="CI659" s="13"/>
      <c r="CJ659" s="13"/>
      <c r="CK659" s="13"/>
      <c r="CL659" s="13"/>
      <c r="CM659" s="13"/>
      <c r="CN659" s="13"/>
      <c r="CO659" s="13"/>
      <c r="CP659" s="13"/>
      <c r="CQ659" s="13"/>
      <c r="CR659" s="13"/>
      <c r="CS659" s="13"/>
      <c r="CT659" s="13"/>
      <c r="CU659" s="13"/>
      <c r="CV659" s="13"/>
      <c r="CW659" s="13"/>
      <c r="CX659" s="13"/>
      <c r="CY659" s="13"/>
      <c r="CZ659" s="23"/>
      <c r="DA659" s="13"/>
      <c r="DB659" s="13"/>
    </row>
    <row r="660" spans="1:113" outlineLevel="1">
      <c r="A660" s="1" t="s">
        <v>757</v>
      </c>
      <c r="B660" s="19" t="s">
        <v>493</v>
      </c>
      <c r="C660" s="53">
        <v>230411</v>
      </c>
      <c r="D660" s="53">
        <v>239653</v>
      </c>
      <c r="E660" s="53">
        <v>249648</v>
      </c>
      <c r="F660" s="53">
        <v>262017</v>
      </c>
      <c r="G660" s="53">
        <v>265110</v>
      </c>
      <c r="H660" s="53">
        <v>285879</v>
      </c>
      <c r="I660" s="53">
        <v>305995</v>
      </c>
      <c r="J660" s="53">
        <v>325359</v>
      </c>
      <c r="K660" s="53">
        <v>337404</v>
      </c>
      <c r="L660" s="53">
        <v>351193</v>
      </c>
      <c r="M660" s="53">
        <v>369103</v>
      </c>
      <c r="N660" s="53">
        <v>397261</v>
      </c>
      <c r="O660" s="53">
        <v>440157</v>
      </c>
      <c r="P660" s="53">
        <v>472664</v>
      </c>
      <c r="Q660" s="53">
        <v>487572</v>
      </c>
      <c r="R660" s="53">
        <v>618761</v>
      </c>
      <c r="S660" s="53">
        <v>620372</v>
      </c>
      <c r="T660" s="53">
        <v>625476</v>
      </c>
      <c r="U660" s="53">
        <v>646330</v>
      </c>
      <c r="V660" s="53">
        <v>649642</v>
      </c>
      <c r="W660" s="53">
        <v>667899</v>
      </c>
      <c r="X660" s="53">
        <v>701986</v>
      </c>
      <c r="Y660" s="53">
        <v>718859</v>
      </c>
      <c r="Z660" s="53">
        <v>722183</v>
      </c>
      <c r="AA660" s="164">
        <v>753857</v>
      </c>
      <c r="AB660" s="164">
        <v>782301</v>
      </c>
      <c r="AC660" s="164">
        <v>791451</v>
      </c>
      <c r="AD660" s="164">
        <v>850714</v>
      </c>
      <c r="AE660" s="164">
        <v>873446</v>
      </c>
      <c r="AF660" s="164">
        <v>902991</v>
      </c>
      <c r="AG660" s="164">
        <v>933001</v>
      </c>
      <c r="AH660" s="164">
        <v>971663</v>
      </c>
      <c r="AI660" s="164">
        <v>976318</v>
      </c>
      <c r="AJ660" s="164">
        <v>961930</v>
      </c>
      <c r="AK660" s="164">
        <v>975165</v>
      </c>
      <c r="AL660" s="164">
        <v>980430</v>
      </c>
      <c r="AM660" s="164">
        <v>976502</v>
      </c>
      <c r="AN660" s="164">
        <v>979868</v>
      </c>
      <c r="AO660" s="164">
        <v>1015471</v>
      </c>
      <c r="AP660" s="164">
        <v>1059233</v>
      </c>
      <c r="AQ660" s="164">
        <v>1091975</v>
      </c>
      <c r="AR660" s="164">
        <v>1149813</v>
      </c>
      <c r="AS660" s="164">
        <v>1215260</v>
      </c>
      <c r="AT660" s="164">
        <v>1232181</v>
      </c>
      <c r="AU660" s="164">
        <v>1252423</v>
      </c>
      <c r="AV660" s="164">
        <v>1275969</v>
      </c>
      <c r="AW660" s="164">
        <v>1254076</v>
      </c>
      <c r="AX660" s="164">
        <v>1308566</v>
      </c>
      <c r="AY660" s="164">
        <v>1353799</v>
      </c>
      <c r="AZ660" s="171">
        <v>1408728</v>
      </c>
      <c r="BA660" s="55">
        <f t="shared" ref="BA660:BE660" si="4569">AZ660*BA181/AZ181</f>
        <v>1465920.9840762294</v>
      </c>
      <c r="BB660" s="55">
        <f t="shared" si="4569"/>
        <v>1502409.8107068178</v>
      </c>
      <c r="BC660" s="55">
        <f t="shared" si="4569"/>
        <v>1542253.9608506304</v>
      </c>
      <c r="BD660" s="55">
        <f t="shared" si="4569"/>
        <v>1579796.0890614653</v>
      </c>
      <c r="BE660" s="55">
        <f t="shared" si="4569"/>
        <v>1617077.6013371346</v>
      </c>
      <c r="BF660" s="55">
        <f t="shared" ref="BF660:BM660" si="4570">BE660*BF181/BE181</f>
        <v>1655443.3487638228</v>
      </c>
      <c r="BG660" s="55">
        <f t="shared" si="4570"/>
        <v>1690682.7682752947</v>
      </c>
      <c r="BH660" s="55">
        <f t="shared" si="4570"/>
        <v>1726886.1238196925</v>
      </c>
      <c r="BI660" s="55">
        <f t="shared" si="4570"/>
        <v>1758475.3589734477</v>
      </c>
      <c r="BJ660" s="55">
        <f t="shared" si="4570"/>
        <v>1790800.4006294466</v>
      </c>
      <c r="BK660" s="55">
        <f t="shared" si="4570"/>
        <v>1826009.1009091984</v>
      </c>
      <c r="BL660" s="55">
        <f t="shared" si="4570"/>
        <v>1861916.4688331212</v>
      </c>
      <c r="BM660" s="55">
        <f t="shared" si="4570"/>
        <v>1898536.4415430578</v>
      </c>
      <c r="BN660" s="55">
        <f t="shared" ref="BN660" si="4571">BM660*BN181/BM181</f>
        <v>1935883.2350361508</v>
      </c>
      <c r="BO660" s="55">
        <f t="shared" ref="BO660" si="4572">BN660*BO181/BN181</f>
        <v>1973971.349753876</v>
      </c>
      <c r="BP660" s="55">
        <f t="shared" ref="BP660" si="4573">BO660*BP181/BO181</f>
        <v>2012815.5762832044</v>
      </c>
      <c r="BQ660" s="55">
        <f t="shared" ref="BQ660" si="4574">BP660*BQ181/BP181</f>
        <v>2052431.0011721533</v>
      </c>
      <c r="BR660" s="55"/>
      <c r="BS660" s="53">
        <v>88340</v>
      </c>
      <c r="BT660" s="53">
        <v>90979</v>
      </c>
      <c r="BU660" s="53">
        <v>91321</v>
      </c>
      <c r="BV660" s="53">
        <v>102774</v>
      </c>
      <c r="BW660" s="53">
        <v>109285</v>
      </c>
      <c r="BX660" s="53">
        <v>120103</v>
      </c>
      <c r="BY660" s="53">
        <v>130544</v>
      </c>
      <c r="BZ660" s="53">
        <v>138096</v>
      </c>
      <c r="CA660" s="53">
        <v>218259</v>
      </c>
      <c r="CB660" s="53">
        <v>230411</v>
      </c>
      <c r="CC660" s="55">
        <f t="shared" ref="CC660:CC681" si="4575">E660</f>
        <v>249648</v>
      </c>
      <c r="CD660" s="55">
        <f t="shared" ref="CD660:CD681" si="4576">G660</f>
        <v>265110</v>
      </c>
      <c r="CE660" s="55">
        <f t="shared" ref="CE660:CE681" si="4577">I660</f>
        <v>305995</v>
      </c>
      <c r="CF660" s="55">
        <f t="shared" ref="CF660:CF681" si="4578">K660</f>
        <v>337404</v>
      </c>
      <c r="CG660" s="55">
        <f t="shared" ref="CG660:CG681" si="4579">M660</f>
        <v>369103</v>
      </c>
      <c r="CH660" s="55">
        <f t="shared" ref="CH660:CH681" si="4580">O660</f>
        <v>440157</v>
      </c>
      <c r="CI660" s="55">
        <f t="shared" ref="CI660:CI681" si="4581">Q660</f>
        <v>487572</v>
      </c>
      <c r="CJ660" s="55">
        <f t="shared" ref="CJ660:CJ681" si="4582">S660</f>
        <v>620372</v>
      </c>
      <c r="CK660" s="55">
        <f t="shared" ref="CK660:CK681" si="4583">U660</f>
        <v>646330</v>
      </c>
      <c r="CL660" s="55">
        <f t="shared" ref="CL660:CL681" si="4584">W660</f>
        <v>667899</v>
      </c>
      <c r="CM660" s="55">
        <f t="shared" ref="CM660:CM681" si="4585">Y660</f>
        <v>718859</v>
      </c>
      <c r="CN660" s="55">
        <f t="shared" ref="CN660:CN681" si="4586">AA660</f>
        <v>753857</v>
      </c>
      <c r="CO660" s="55">
        <f t="shared" ref="CO660:CO681" si="4587">AC660</f>
        <v>791451</v>
      </c>
      <c r="CP660" s="55">
        <f t="shared" ref="CP660:CP681" si="4588">AE660</f>
        <v>873446</v>
      </c>
      <c r="CQ660" s="55">
        <f t="shared" ref="CQ660:CQ681" si="4589">AG660</f>
        <v>933001</v>
      </c>
      <c r="CR660" s="55">
        <f t="shared" ref="CR660:CR681" si="4590">AI660</f>
        <v>976318</v>
      </c>
      <c r="CS660" s="55">
        <f t="shared" ref="CS660:CS681" si="4591">AK660</f>
        <v>975165</v>
      </c>
      <c r="CT660" s="55">
        <f t="shared" ref="CT660:CT681" si="4592">AM660</f>
        <v>976502</v>
      </c>
      <c r="CU660" s="55">
        <f t="shared" ref="CU660:CU681" si="4593">AO660</f>
        <v>1015471</v>
      </c>
      <c r="CV660" s="55">
        <f t="shared" ref="CV660:CV681" si="4594">AQ660</f>
        <v>1091975</v>
      </c>
      <c r="CW660" s="55">
        <f t="shared" ref="CW660:CW681" si="4595">AS660</f>
        <v>1215260</v>
      </c>
      <c r="CX660" s="55">
        <f t="shared" ref="CX660:CX681" si="4596">AU660</f>
        <v>1252423</v>
      </c>
      <c r="CY660" s="55">
        <f t="shared" ref="CY660:CY681" si="4597">AW660</f>
        <v>1254076</v>
      </c>
      <c r="CZ660" s="56">
        <f t="shared" ref="CZ660:CZ681" si="4598">AY660</f>
        <v>1353799</v>
      </c>
      <c r="DA660" s="55">
        <f t="shared" ref="DA660:DA681" si="4599">BA660</f>
        <v>1465920.9840762294</v>
      </c>
      <c r="DB660" s="55">
        <f t="shared" ref="DB660:DB681" si="4600">BC660</f>
        <v>1542253.9608506304</v>
      </c>
      <c r="DC660" s="55">
        <f t="shared" ref="DC660:DC681" si="4601">BE660</f>
        <v>1617077.6013371346</v>
      </c>
      <c r="DD660" s="55">
        <f t="shared" ref="DD660:DD681" si="4602">BG660</f>
        <v>1690682.7682752947</v>
      </c>
      <c r="DE660" s="55">
        <f t="shared" ref="DE660:DE681" si="4603">BI660</f>
        <v>1758475.3589734477</v>
      </c>
      <c r="DF660" s="55">
        <f t="shared" ref="DF660:DF681" si="4604">BK660</f>
        <v>1826009.1009091984</v>
      </c>
      <c r="DG660" s="55">
        <f t="shared" ref="DG660:DG681" si="4605">BM660</f>
        <v>1898536.4415430578</v>
      </c>
      <c r="DH660" s="55">
        <f t="shared" ref="DH660:DH681" si="4606">BO660</f>
        <v>1973971.349753876</v>
      </c>
      <c r="DI660" s="55">
        <f t="shared" ref="DI660:DI681" si="4607">BQ660</f>
        <v>2052431.0011721533</v>
      </c>
    </row>
    <row r="661" spans="1:113" outlineLevel="1">
      <c r="A661" s="1" t="s">
        <v>758</v>
      </c>
      <c r="B661" s="19" t="s">
        <v>494</v>
      </c>
      <c r="C661" s="53">
        <f>5716</f>
        <v>5716</v>
      </c>
      <c r="D661" s="53">
        <f>5554</f>
        <v>5554</v>
      </c>
      <c r="E661" s="53">
        <f>5391</f>
        <v>5391</v>
      </c>
      <c r="F661" s="53">
        <f>5161</f>
        <v>5161</v>
      </c>
      <c r="G661" s="53">
        <f>5029</f>
        <v>5029</v>
      </c>
      <c r="H661" s="53">
        <f>4867</f>
        <v>4867</v>
      </c>
      <c r="I661" s="53">
        <f>4705</f>
        <v>4705</v>
      </c>
      <c r="J661" s="53">
        <f>7638-J106</f>
        <v>7475</v>
      </c>
      <c r="K661" s="53">
        <f>7656-K106</f>
        <v>7474</v>
      </c>
      <c r="L661" s="53">
        <f>7740-L106</f>
        <v>7552</v>
      </c>
      <c r="M661" s="53">
        <f>7809-M106</f>
        <v>7580</v>
      </c>
      <c r="N661" s="53">
        <f>7846-N106</f>
        <v>7579</v>
      </c>
      <c r="O661" s="53">
        <f>7835-O106</f>
        <v>7538</v>
      </c>
      <c r="P661" s="53">
        <f>8213-P106</f>
        <v>7897</v>
      </c>
      <c r="Q661" s="53">
        <f>8258-Q106</f>
        <v>7905</v>
      </c>
      <c r="R661" s="53">
        <f>8486-R106</f>
        <v>7915</v>
      </c>
      <c r="S661" s="53">
        <f>9245-S106</f>
        <v>8572</v>
      </c>
      <c r="T661" s="53">
        <f>9322-T106</f>
        <v>8523</v>
      </c>
      <c r="U661" s="53">
        <f>9420-U106</f>
        <v>8470</v>
      </c>
      <c r="V661" s="53">
        <f>9482-V106</f>
        <v>8382</v>
      </c>
      <c r="W661" s="53">
        <f>9603-W106</f>
        <v>8306</v>
      </c>
      <c r="X661" s="53">
        <f>10026-X106</f>
        <v>8546</v>
      </c>
      <c r="Y661" s="53">
        <f>10281-Y106</f>
        <v>8581</v>
      </c>
      <c r="Z661" s="53">
        <f>10366-Z106</f>
        <v>8535</v>
      </c>
      <c r="AA661" s="53">
        <f>10423-AA106</f>
        <v>8500</v>
      </c>
      <c r="AB661" s="164">
        <f>9942-AB106</f>
        <v>7992</v>
      </c>
      <c r="AC661" s="164">
        <f>9792-AC106</f>
        <v>7938</v>
      </c>
      <c r="AD661" s="164">
        <f>9881-AD106</f>
        <v>7902</v>
      </c>
      <c r="AE661" s="164">
        <f>9970-AE106</f>
        <v>7881</v>
      </c>
      <c r="AF661" s="164">
        <f>10018-AF106</f>
        <v>7835</v>
      </c>
      <c r="AG661" s="164">
        <f>10384-AG106</f>
        <v>8156</v>
      </c>
      <c r="AH661" s="164">
        <f>10000-AH106</f>
        <v>8103</v>
      </c>
      <c r="AI661" s="164">
        <f>10024-AI106</f>
        <v>8090</v>
      </c>
      <c r="AJ661" s="164">
        <f>9140-AJ106</f>
        <v>7244</v>
      </c>
      <c r="AK661" s="164">
        <f>9090-AK106</f>
        <v>7271</v>
      </c>
      <c r="AL661" s="164">
        <f>8161-AL106</f>
        <v>6379</v>
      </c>
      <c r="AM661" s="164">
        <f>7965-AM106</f>
        <v>6253</v>
      </c>
      <c r="AN661" s="164">
        <f>7729-AN106</f>
        <v>6311</v>
      </c>
      <c r="AO661" s="164">
        <f>6891-AO106</f>
        <v>5595</v>
      </c>
      <c r="AP661" s="164">
        <f>6880-AP106</f>
        <v>5546</v>
      </c>
      <c r="AQ661" s="164">
        <f>6942-AQ106</f>
        <v>5515</v>
      </c>
      <c r="AR661" s="164">
        <f>7073-AR106</f>
        <v>5488</v>
      </c>
      <c r="AS661" s="164">
        <f>6899-AS106</f>
        <v>5490</v>
      </c>
      <c r="AT661" s="164">
        <f>7136-AT106</f>
        <v>5493</v>
      </c>
      <c r="AU661" s="164">
        <f>7393-AU106</f>
        <v>5481</v>
      </c>
      <c r="AV661" s="164">
        <f>7510-AV106</f>
        <v>5475</v>
      </c>
      <c r="AW661" s="164">
        <f>7600-AW106</f>
        <v>5471</v>
      </c>
      <c r="AX661" s="164">
        <f>7783-AX106</f>
        <v>5468</v>
      </c>
      <c r="AY661" s="164">
        <f>8082-AY106</f>
        <v>5475</v>
      </c>
      <c r="AZ661" s="171">
        <v>8296</v>
      </c>
      <c r="BA661" s="55">
        <f t="shared" ref="BA661:BE661" si="4608">AZ661-(BA571-AZ571)</f>
        <v>8296</v>
      </c>
      <c r="BB661" s="55">
        <f t="shared" si="4608"/>
        <v>8296</v>
      </c>
      <c r="BC661" s="55">
        <f t="shared" si="4608"/>
        <v>8296</v>
      </c>
      <c r="BD661" s="55">
        <f t="shared" si="4608"/>
        <v>8296</v>
      </c>
      <c r="BE661" s="55">
        <f t="shared" si="4608"/>
        <v>8296</v>
      </c>
      <c r="BF661" s="55">
        <f t="shared" ref="BF661:BM661" si="4609">BE661-(BF571-BE571)</f>
        <v>8296</v>
      </c>
      <c r="BG661" s="55">
        <f t="shared" si="4609"/>
        <v>8296</v>
      </c>
      <c r="BH661" s="55">
        <f t="shared" si="4609"/>
        <v>8296</v>
      </c>
      <c r="BI661" s="55">
        <f t="shared" si="4609"/>
        <v>8296</v>
      </c>
      <c r="BJ661" s="55">
        <f t="shared" si="4609"/>
        <v>8296</v>
      </c>
      <c r="BK661" s="55">
        <f t="shared" si="4609"/>
        <v>8296</v>
      </c>
      <c r="BL661" s="55">
        <f t="shared" si="4609"/>
        <v>8296</v>
      </c>
      <c r="BM661" s="55">
        <f t="shared" si="4609"/>
        <v>8296</v>
      </c>
      <c r="BN661" s="55">
        <f t="shared" ref="BN661" si="4610">BM661-(BN571-BM571)</f>
        <v>8296</v>
      </c>
      <c r="BO661" s="55">
        <f t="shared" ref="BO661" si="4611">BN661-(BO571-BN571)</f>
        <v>8296</v>
      </c>
      <c r="BP661" s="55">
        <f t="shared" ref="BP661" si="4612">BO661-(BP571-BO571)</f>
        <v>8296</v>
      </c>
      <c r="BQ661" s="55">
        <f t="shared" ref="BQ661" si="4613">BP661-(BQ571-BP571)</f>
        <v>8296</v>
      </c>
      <c r="BR661" s="55"/>
      <c r="BS661" s="53">
        <v>0</v>
      </c>
      <c r="BT661" s="53">
        <v>0</v>
      </c>
      <c r="BU661" s="53">
        <v>0</v>
      </c>
      <c r="BV661" s="53">
        <v>0</v>
      </c>
      <c r="BW661" s="53">
        <v>0</v>
      </c>
      <c r="BX661" s="53">
        <v>0</v>
      </c>
      <c r="BY661" s="53">
        <v>0</v>
      </c>
      <c r="BZ661" s="53">
        <v>491</v>
      </c>
      <c r="CA661" s="53">
        <v>5905</v>
      </c>
      <c r="CB661" s="53">
        <v>5716</v>
      </c>
      <c r="CC661" s="55">
        <f t="shared" si="4575"/>
        <v>5391</v>
      </c>
      <c r="CD661" s="55">
        <f t="shared" si="4576"/>
        <v>5029</v>
      </c>
      <c r="CE661" s="55">
        <f t="shared" si="4577"/>
        <v>4705</v>
      </c>
      <c r="CF661" s="55">
        <f t="shared" si="4578"/>
        <v>7474</v>
      </c>
      <c r="CG661" s="55">
        <f t="shared" si="4579"/>
        <v>7580</v>
      </c>
      <c r="CH661" s="55">
        <f t="shared" si="4580"/>
        <v>7538</v>
      </c>
      <c r="CI661" s="55">
        <f t="shared" si="4581"/>
        <v>7905</v>
      </c>
      <c r="CJ661" s="55">
        <f t="shared" si="4582"/>
        <v>8572</v>
      </c>
      <c r="CK661" s="55">
        <f t="shared" si="4583"/>
        <v>8470</v>
      </c>
      <c r="CL661" s="55">
        <f t="shared" si="4584"/>
        <v>8306</v>
      </c>
      <c r="CM661" s="55">
        <f t="shared" si="4585"/>
        <v>8581</v>
      </c>
      <c r="CN661" s="55">
        <f t="shared" si="4586"/>
        <v>8500</v>
      </c>
      <c r="CO661" s="55">
        <f t="shared" si="4587"/>
        <v>7938</v>
      </c>
      <c r="CP661" s="55">
        <f t="shared" si="4588"/>
        <v>7881</v>
      </c>
      <c r="CQ661" s="55">
        <f t="shared" si="4589"/>
        <v>8156</v>
      </c>
      <c r="CR661" s="55">
        <f t="shared" si="4590"/>
        <v>8090</v>
      </c>
      <c r="CS661" s="55">
        <f t="shared" si="4591"/>
        <v>7271</v>
      </c>
      <c r="CT661" s="55">
        <f t="shared" si="4592"/>
        <v>6253</v>
      </c>
      <c r="CU661" s="55">
        <f t="shared" si="4593"/>
        <v>5595</v>
      </c>
      <c r="CV661" s="55">
        <f t="shared" si="4594"/>
        <v>5515</v>
      </c>
      <c r="CW661" s="55">
        <f t="shared" si="4595"/>
        <v>5490</v>
      </c>
      <c r="CX661" s="55">
        <f t="shared" si="4596"/>
        <v>5481</v>
      </c>
      <c r="CY661" s="55">
        <f t="shared" si="4597"/>
        <v>5471</v>
      </c>
      <c r="CZ661" s="56">
        <f t="shared" si="4598"/>
        <v>5475</v>
      </c>
      <c r="DA661" s="55">
        <f t="shared" si="4599"/>
        <v>8296</v>
      </c>
      <c r="DB661" s="55">
        <f t="shared" si="4600"/>
        <v>8296</v>
      </c>
      <c r="DC661" s="55">
        <f t="shared" si="4601"/>
        <v>8296</v>
      </c>
      <c r="DD661" s="55">
        <f t="shared" si="4602"/>
        <v>8296</v>
      </c>
      <c r="DE661" s="55">
        <f t="shared" si="4603"/>
        <v>8296</v>
      </c>
      <c r="DF661" s="55">
        <f t="shared" si="4604"/>
        <v>8296</v>
      </c>
      <c r="DG661" s="55">
        <f t="shared" si="4605"/>
        <v>8296</v>
      </c>
      <c r="DH661" s="55">
        <f t="shared" si="4606"/>
        <v>8296</v>
      </c>
      <c r="DI661" s="55">
        <f t="shared" si="4607"/>
        <v>8296</v>
      </c>
    </row>
    <row r="662" spans="1:113" outlineLevel="1">
      <c r="A662" s="1" t="s">
        <v>759</v>
      </c>
      <c r="B662" s="19" t="s">
        <v>909</v>
      </c>
      <c r="C662" s="53">
        <v>4622</v>
      </c>
      <c r="D662" s="53">
        <v>4628</v>
      </c>
      <c r="E662" s="53">
        <v>7728</v>
      </c>
      <c r="F662" s="53">
        <v>6735</v>
      </c>
      <c r="G662" s="53">
        <v>7066</v>
      </c>
      <c r="H662" s="53">
        <v>7620</v>
      </c>
      <c r="I662" s="53">
        <v>8369</v>
      </c>
      <c r="J662" s="53">
        <v>6397</v>
      </c>
      <c r="K662" s="53">
        <v>6087</v>
      </c>
      <c r="L662" s="53">
        <v>5279</v>
      </c>
      <c r="M662" s="53">
        <v>7107</v>
      </c>
      <c r="N662" s="53">
        <v>5686</v>
      </c>
      <c r="O662" s="53">
        <v>5495</v>
      </c>
      <c r="P662" s="53">
        <v>7779</v>
      </c>
      <c r="Q662" s="53">
        <v>6984</v>
      </c>
      <c r="R662" s="53">
        <v>14846</v>
      </c>
      <c r="S662" s="53">
        <v>14421</v>
      </c>
      <c r="T662" s="53">
        <v>11923</v>
      </c>
      <c r="U662" s="53">
        <v>10072</v>
      </c>
      <c r="V662" s="53">
        <v>12771</v>
      </c>
      <c r="W662" s="53">
        <v>10393</v>
      </c>
      <c r="X662" s="53">
        <v>8428</v>
      </c>
      <c r="Y662" s="53">
        <v>10886</v>
      </c>
      <c r="Z662" s="53">
        <v>9650</v>
      </c>
      <c r="AA662" s="164">
        <v>7744</v>
      </c>
      <c r="AB662" s="164">
        <v>7599</v>
      </c>
      <c r="AC662" s="164">
        <v>8065</v>
      </c>
      <c r="AD662" s="164">
        <v>9795</v>
      </c>
      <c r="AE662" s="164">
        <v>13063</v>
      </c>
      <c r="AF662" s="164">
        <v>12350</v>
      </c>
      <c r="AG662" s="164">
        <v>11591</v>
      </c>
      <c r="AH662" s="164">
        <v>10612</v>
      </c>
      <c r="AI662" s="164">
        <v>10037</v>
      </c>
      <c r="AJ662" s="164">
        <v>6955</v>
      </c>
      <c r="AK662" s="164">
        <v>9222</v>
      </c>
      <c r="AL662" s="164">
        <v>7744</v>
      </c>
      <c r="AM662" s="164">
        <v>8093</v>
      </c>
      <c r="AN662" s="164">
        <v>7710</v>
      </c>
      <c r="AO662" s="164">
        <v>8547</v>
      </c>
      <c r="AP662" s="164">
        <v>7280</v>
      </c>
      <c r="AQ662" s="164">
        <v>5085</v>
      </c>
      <c r="AR662" s="164">
        <v>5072</v>
      </c>
      <c r="AS662" s="164">
        <v>6845</v>
      </c>
      <c r="AT662" s="164">
        <v>7598</v>
      </c>
      <c r="AU662" s="164">
        <v>6079</v>
      </c>
      <c r="AV662" s="164">
        <v>7906</v>
      </c>
      <c r="AW662" s="164">
        <v>5862</v>
      </c>
      <c r="AX662" s="164">
        <v>6279</v>
      </c>
      <c r="AY662" s="164">
        <v>7604</v>
      </c>
      <c r="AZ662" s="171">
        <v>7299</v>
      </c>
      <c r="BA662" s="55">
        <f t="shared" ref="BA662:BE662" si="4614">AZ662*BA$660/AZ$660</f>
        <v>7595.3322875476306</v>
      </c>
      <c r="BB662" s="55">
        <f t="shared" si="4614"/>
        <v>7784.3907470775493</v>
      </c>
      <c r="BC662" s="55">
        <f t="shared" si="4614"/>
        <v>7990.8340433701551</v>
      </c>
      <c r="BD662" s="55">
        <f t="shared" si="4614"/>
        <v>8185.349942685626</v>
      </c>
      <c r="BE662" s="55">
        <f t="shared" si="4614"/>
        <v>8378.5155204977436</v>
      </c>
      <c r="BF662" s="55">
        <f t="shared" ref="BF662:BM666" si="4615">BE662*BF$660/BE$660</f>
        <v>8577.2988132749142</v>
      </c>
      <c r="BG662" s="55">
        <f t="shared" si="4615"/>
        <v>8759.8837572912416</v>
      </c>
      <c r="BH662" s="55">
        <f t="shared" si="4615"/>
        <v>8947.4631140716556</v>
      </c>
      <c r="BI662" s="55">
        <f t="shared" si="4615"/>
        <v>9111.135467703627</v>
      </c>
      <c r="BJ662" s="55">
        <f t="shared" si="4615"/>
        <v>9278.6202334264181</v>
      </c>
      <c r="BK662" s="55">
        <f t="shared" si="4615"/>
        <v>9461.0460128117284</v>
      </c>
      <c r="BL662" s="55">
        <f t="shared" si="4615"/>
        <v>9647.0917778399762</v>
      </c>
      <c r="BM662" s="55">
        <f t="shared" si="4615"/>
        <v>9836.8297406048441</v>
      </c>
      <c r="BN662" s="55">
        <f t="shared" ref="BN662:BN666" si="4616">BM662*BN$660/BM$660</f>
        <v>10030.333558024591</v>
      </c>
      <c r="BO662" s="55">
        <f t="shared" ref="BO662:BO666" si="4617">BN662*BO$660/BN$660</f>
        <v>10227.678360800341</v>
      </c>
      <c r="BP662" s="55">
        <f t="shared" ref="BP662:BP666" si="4618">BO662*BP$660/BO$660</f>
        <v>10428.94078295534</v>
      </c>
      <c r="BQ662" s="55">
        <f t="shared" ref="BQ662:BQ666" si="4619">BP662*BQ$660/BP$660</f>
        <v>10634.198991966901</v>
      </c>
      <c r="BR662" s="55"/>
      <c r="BS662" s="53">
        <v>2816</v>
      </c>
      <c r="BT662" s="53">
        <v>5181.8</v>
      </c>
      <c r="BU662" s="53">
        <v>4312.2</v>
      </c>
      <c r="BV662" s="53">
        <v>5033</v>
      </c>
      <c r="BW662" s="53">
        <v>5713</v>
      </c>
      <c r="BX662" s="53">
        <v>4839</v>
      </c>
      <c r="BY662" s="53">
        <v>3448</v>
      </c>
      <c r="BZ662" s="53">
        <v>1206</v>
      </c>
      <c r="CA662" s="53">
        <v>5154</v>
      </c>
      <c r="CB662" s="53">
        <v>4622</v>
      </c>
      <c r="CC662" s="55">
        <f t="shared" si="4575"/>
        <v>7728</v>
      </c>
      <c r="CD662" s="55">
        <f t="shared" si="4576"/>
        <v>7066</v>
      </c>
      <c r="CE662" s="55">
        <f t="shared" si="4577"/>
        <v>8369</v>
      </c>
      <c r="CF662" s="55">
        <f t="shared" si="4578"/>
        <v>6087</v>
      </c>
      <c r="CG662" s="55">
        <f t="shared" si="4579"/>
        <v>7107</v>
      </c>
      <c r="CH662" s="55">
        <f t="shared" si="4580"/>
        <v>5495</v>
      </c>
      <c r="CI662" s="55">
        <f t="shared" si="4581"/>
        <v>6984</v>
      </c>
      <c r="CJ662" s="55">
        <f t="shared" si="4582"/>
        <v>14421</v>
      </c>
      <c r="CK662" s="55">
        <f t="shared" si="4583"/>
        <v>10072</v>
      </c>
      <c r="CL662" s="55">
        <f t="shared" si="4584"/>
        <v>10393</v>
      </c>
      <c r="CM662" s="55">
        <f t="shared" si="4585"/>
        <v>10886</v>
      </c>
      <c r="CN662" s="55">
        <f t="shared" si="4586"/>
        <v>7744</v>
      </c>
      <c r="CO662" s="55">
        <f t="shared" si="4587"/>
        <v>8065</v>
      </c>
      <c r="CP662" s="55">
        <f t="shared" si="4588"/>
        <v>13063</v>
      </c>
      <c r="CQ662" s="55">
        <f t="shared" si="4589"/>
        <v>11591</v>
      </c>
      <c r="CR662" s="55">
        <f t="shared" si="4590"/>
        <v>10037</v>
      </c>
      <c r="CS662" s="55">
        <f t="shared" si="4591"/>
        <v>9222</v>
      </c>
      <c r="CT662" s="55">
        <f t="shared" si="4592"/>
        <v>8093</v>
      </c>
      <c r="CU662" s="55">
        <f t="shared" si="4593"/>
        <v>8547</v>
      </c>
      <c r="CV662" s="55">
        <f t="shared" si="4594"/>
        <v>5085</v>
      </c>
      <c r="CW662" s="55">
        <f t="shared" si="4595"/>
        <v>6845</v>
      </c>
      <c r="CX662" s="55">
        <f t="shared" si="4596"/>
        <v>6079</v>
      </c>
      <c r="CY662" s="55">
        <f t="shared" si="4597"/>
        <v>5862</v>
      </c>
      <c r="CZ662" s="56">
        <f t="shared" si="4598"/>
        <v>7604</v>
      </c>
      <c r="DA662" s="55">
        <f t="shared" si="4599"/>
        <v>7595.3322875476306</v>
      </c>
      <c r="DB662" s="55">
        <f t="shared" si="4600"/>
        <v>7990.8340433701551</v>
      </c>
      <c r="DC662" s="55">
        <f t="shared" si="4601"/>
        <v>8378.5155204977436</v>
      </c>
      <c r="DD662" s="55">
        <f t="shared" si="4602"/>
        <v>8759.8837572912416</v>
      </c>
      <c r="DE662" s="55">
        <f t="shared" si="4603"/>
        <v>9111.135467703627</v>
      </c>
      <c r="DF662" s="55">
        <f t="shared" si="4604"/>
        <v>9461.0460128117284</v>
      </c>
      <c r="DG662" s="55">
        <f t="shared" si="4605"/>
        <v>9836.8297406048441</v>
      </c>
      <c r="DH662" s="55">
        <f t="shared" si="4606"/>
        <v>10227.678360800341</v>
      </c>
      <c r="DI662" s="55">
        <f t="shared" si="4607"/>
        <v>10634.198991966901</v>
      </c>
    </row>
    <row r="663" spans="1:113" outlineLevel="1">
      <c r="A663" s="1" t="s">
        <v>760</v>
      </c>
      <c r="B663" s="19" t="s">
        <v>1069</v>
      </c>
      <c r="C663" s="53">
        <v>6909</v>
      </c>
      <c r="D663" s="53">
        <v>7080</v>
      </c>
      <c r="E663" s="53">
        <v>8389</v>
      </c>
      <c r="F663" s="53">
        <v>13462</v>
      </c>
      <c r="G663" s="53">
        <v>10435</v>
      </c>
      <c r="H663" s="53">
        <v>12134</v>
      </c>
      <c r="I663" s="53">
        <f>14896</f>
        <v>14896</v>
      </c>
      <c r="J663" s="53">
        <v>15884</v>
      </c>
      <c r="K663" s="53">
        <f>14631</f>
        <v>14631</v>
      </c>
      <c r="L663" s="53">
        <f>15617+3590+9605</f>
        <v>28812</v>
      </c>
      <c r="M663" s="53">
        <f>15758+2207+11203</f>
        <v>29168</v>
      </c>
      <c r="N663" s="53">
        <f>18887+3305+11434</f>
        <v>33626</v>
      </c>
      <c r="O663" s="53">
        <f>21469+4073+9672</f>
        <v>35214</v>
      </c>
      <c r="P663" s="53">
        <f>22321+5540+10518</f>
        <v>38379</v>
      </c>
      <c r="Q663" s="53">
        <f>21676+3266+11488</f>
        <v>36430</v>
      </c>
      <c r="R663" s="53">
        <f>29721+2052+17350</f>
        <v>49123</v>
      </c>
      <c r="S663" s="53">
        <f>25401+1677+21504</f>
        <v>48582</v>
      </c>
      <c r="T663" s="53">
        <f>21711+642+29573</f>
        <v>51926</v>
      </c>
      <c r="U663" s="53">
        <f>22851+654+32915</f>
        <v>56420</v>
      </c>
      <c r="V663" s="53">
        <f>20240+358+38029</f>
        <v>58627</v>
      </c>
      <c r="W663" s="53">
        <f>20469+824+45171</f>
        <v>66464</v>
      </c>
      <c r="X663" s="53">
        <f>16512+1227+59971</f>
        <v>77710</v>
      </c>
      <c r="Y663" s="53">
        <f>13816+980+60827</f>
        <v>75623</v>
      </c>
      <c r="Z663" s="53">
        <f>17736+1211+58792</f>
        <v>77739</v>
      </c>
      <c r="AA663" s="164">
        <f>19617+907+59601</f>
        <v>80125</v>
      </c>
      <c r="AB663" s="164">
        <f>18855+645+64042</f>
        <v>83542</v>
      </c>
      <c r="AC663" s="164">
        <f>21459+760+66137</f>
        <v>88356</v>
      </c>
      <c r="AD663" s="164">
        <f>29931+624+69591</f>
        <v>100146</v>
      </c>
      <c r="AE663" s="164">
        <f>26424+1278+74684</f>
        <v>102386</v>
      </c>
      <c r="AF663" s="164">
        <f>27140+1488+78161</f>
        <v>106789</v>
      </c>
      <c r="AG663" s="164">
        <f>34067+1480+80898</f>
        <v>116445</v>
      </c>
      <c r="AH663" s="164">
        <f>34199+803+81675</f>
        <v>116677</v>
      </c>
      <c r="AI663" s="164">
        <f>32704+1111+83535</f>
        <v>117350</v>
      </c>
      <c r="AJ663" s="164">
        <f>34696+1038+83913</f>
        <v>119647</v>
      </c>
      <c r="AK663" s="164">
        <f>32254+258+82240</f>
        <v>114752</v>
      </c>
      <c r="AL663" s="164">
        <f>33615+1029+6990+75246</f>
        <v>116880</v>
      </c>
      <c r="AM663" s="164">
        <f>32506+1171+7355+78912</f>
        <v>119944</v>
      </c>
      <c r="AN663" s="164">
        <f>38609+1204+6285+73113</f>
        <v>119211</v>
      </c>
      <c r="AO663" s="164">
        <f>(46545-30285)+5173+79549</f>
        <v>100982</v>
      </c>
      <c r="AP663" s="164">
        <f>(50702-32398)+4391+89672</f>
        <v>112367</v>
      </c>
      <c r="AQ663" s="164">
        <f>(36970-21449)+4278+86560</f>
        <v>106359</v>
      </c>
      <c r="AR663" s="164">
        <f>(32269-19904)+3930+85406</f>
        <v>101701</v>
      </c>
      <c r="AS663" s="164">
        <f>(25315-35736)+3217+79086</f>
        <v>71882</v>
      </c>
      <c r="AT663" s="164">
        <f>(24885-29668)+2581+80202</f>
        <v>78000</v>
      </c>
      <c r="AU663" s="164">
        <f>(67627-23945)+2032+84671</f>
        <v>130385</v>
      </c>
      <c r="AV663" s="164">
        <f>(82649-30603)+1623+112760</f>
        <v>166429</v>
      </c>
      <c r="AW663" s="164">
        <f>(79033-18058)+1239+96774</f>
        <v>158988</v>
      </c>
      <c r="AX663" s="164">
        <f>(87650-41143)+837+102189</f>
        <v>149533</v>
      </c>
      <c r="AY663" s="164">
        <f>96370-24719+633+107018</f>
        <v>179302</v>
      </c>
      <c r="AZ663" s="171">
        <f>117676-19676+471+115215</f>
        <v>213686</v>
      </c>
      <c r="BA663" s="55">
        <f t="shared" ref="BA663:BE663" si="4620">AZ663*BA$660/AZ$660</f>
        <v>222361.44337538059</v>
      </c>
      <c r="BB663" s="55">
        <f t="shared" si="4620"/>
        <v>227896.33116591498</v>
      </c>
      <c r="BC663" s="55">
        <f t="shared" si="4620"/>
        <v>233940.17857125564</v>
      </c>
      <c r="BD663" s="55">
        <f t="shared" si="4620"/>
        <v>239634.83872485557</v>
      </c>
      <c r="BE663" s="55">
        <f t="shared" si="4620"/>
        <v>245289.96677806292</v>
      </c>
      <c r="BF663" s="55">
        <f t="shared" si="4615"/>
        <v>251109.55942094311</v>
      </c>
      <c r="BG663" s="55">
        <f t="shared" si="4615"/>
        <v>256454.92814913506</v>
      </c>
      <c r="BH663" s="55">
        <f t="shared" si="4615"/>
        <v>261946.5136311161</v>
      </c>
      <c r="BI663" s="55">
        <f t="shared" si="4615"/>
        <v>266738.19612984214</v>
      </c>
      <c r="BJ663" s="55">
        <f t="shared" si="4615"/>
        <v>271641.49105356325</v>
      </c>
      <c r="BK663" s="55">
        <f t="shared" si="4615"/>
        <v>276982.20006763766</v>
      </c>
      <c r="BL663" s="55">
        <f t="shared" si="4615"/>
        <v>282428.88801746996</v>
      </c>
      <c r="BM663" s="55">
        <f t="shared" si="4615"/>
        <v>287983.66898902407</v>
      </c>
      <c r="BN663" s="55">
        <f t="shared" si="4616"/>
        <v>293648.6993670424</v>
      </c>
      <c r="BO663" s="55">
        <f t="shared" si="4617"/>
        <v>299426.17868283071</v>
      </c>
      <c r="BP663" s="55">
        <f t="shared" si="4618"/>
        <v>305318.35047905118</v>
      </c>
      <c r="BQ663" s="55">
        <f t="shared" si="4619"/>
        <v>311327.5031918672</v>
      </c>
      <c r="BR663" s="55"/>
      <c r="BS663" s="53">
        <f>1088.5+6992</f>
        <v>8080.5</v>
      </c>
      <c r="BT663" s="53">
        <f>1302.5+8263.5</f>
        <v>9566</v>
      </c>
      <c r="BU663" s="53">
        <f>2293.4+9607.8</f>
        <v>11901.199999999999</v>
      </c>
      <c r="BV663" s="53">
        <f>4812+7596</f>
        <v>12408</v>
      </c>
      <c r="BW663" s="53">
        <f>2883+8394</f>
        <v>11277</v>
      </c>
      <c r="BX663" s="53">
        <f>2635+9233</f>
        <v>11868</v>
      </c>
      <c r="BY663" s="53">
        <f>4009+6858</f>
        <v>10867</v>
      </c>
      <c r="BZ663" s="53">
        <f>4708+7187</f>
        <v>11895</v>
      </c>
      <c r="CA663" s="53">
        <f>7347+9149</f>
        <v>16496</v>
      </c>
      <c r="CB663" s="53">
        <f>6909+9705</f>
        <v>16614</v>
      </c>
      <c r="CC663" s="55">
        <f t="shared" si="4575"/>
        <v>8389</v>
      </c>
      <c r="CD663" s="55">
        <f t="shared" si="4576"/>
        <v>10435</v>
      </c>
      <c r="CE663" s="55">
        <f t="shared" si="4577"/>
        <v>14896</v>
      </c>
      <c r="CF663" s="55">
        <f t="shared" si="4578"/>
        <v>14631</v>
      </c>
      <c r="CG663" s="55">
        <f t="shared" si="4579"/>
        <v>29168</v>
      </c>
      <c r="CH663" s="55">
        <f t="shared" si="4580"/>
        <v>35214</v>
      </c>
      <c r="CI663" s="55">
        <f t="shared" si="4581"/>
        <v>36430</v>
      </c>
      <c r="CJ663" s="55">
        <f t="shared" si="4582"/>
        <v>48582</v>
      </c>
      <c r="CK663" s="55">
        <f t="shared" si="4583"/>
        <v>56420</v>
      </c>
      <c r="CL663" s="55">
        <f t="shared" si="4584"/>
        <v>66464</v>
      </c>
      <c r="CM663" s="55">
        <f t="shared" si="4585"/>
        <v>75623</v>
      </c>
      <c r="CN663" s="55">
        <f t="shared" si="4586"/>
        <v>80125</v>
      </c>
      <c r="CO663" s="55">
        <f t="shared" si="4587"/>
        <v>88356</v>
      </c>
      <c r="CP663" s="55">
        <f t="shared" si="4588"/>
        <v>102386</v>
      </c>
      <c r="CQ663" s="55">
        <f t="shared" si="4589"/>
        <v>116445</v>
      </c>
      <c r="CR663" s="55">
        <f t="shared" si="4590"/>
        <v>117350</v>
      </c>
      <c r="CS663" s="55">
        <f t="shared" si="4591"/>
        <v>114752</v>
      </c>
      <c r="CT663" s="55">
        <f t="shared" si="4592"/>
        <v>119944</v>
      </c>
      <c r="CU663" s="55">
        <f t="shared" si="4593"/>
        <v>100982</v>
      </c>
      <c r="CV663" s="55">
        <f t="shared" si="4594"/>
        <v>106359</v>
      </c>
      <c r="CW663" s="55">
        <f t="shared" si="4595"/>
        <v>71882</v>
      </c>
      <c r="CX663" s="55">
        <f t="shared" si="4596"/>
        <v>130385</v>
      </c>
      <c r="CY663" s="55">
        <f t="shared" si="4597"/>
        <v>158988</v>
      </c>
      <c r="CZ663" s="56">
        <f t="shared" si="4598"/>
        <v>179302</v>
      </c>
      <c r="DA663" s="55">
        <f t="shared" si="4599"/>
        <v>222361.44337538059</v>
      </c>
      <c r="DB663" s="55">
        <f t="shared" si="4600"/>
        <v>233940.17857125564</v>
      </c>
      <c r="DC663" s="55">
        <f t="shared" si="4601"/>
        <v>245289.96677806292</v>
      </c>
      <c r="DD663" s="55">
        <f t="shared" si="4602"/>
        <v>256454.92814913506</v>
      </c>
      <c r="DE663" s="55">
        <f t="shared" si="4603"/>
        <v>266738.19612984214</v>
      </c>
      <c r="DF663" s="55">
        <f t="shared" si="4604"/>
        <v>276982.20006763766</v>
      </c>
      <c r="DG663" s="55">
        <f t="shared" si="4605"/>
        <v>287983.66898902407</v>
      </c>
      <c r="DH663" s="55">
        <f t="shared" si="4606"/>
        <v>299426.17868283071</v>
      </c>
      <c r="DI663" s="55">
        <f t="shared" si="4607"/>
        <v>311327.5031918672</v>
      </c>
    </row>
    <row r="664" spans="1:113" outlineLevel="1">
      <c r="A664" s="1" t="s">
        <v>1070</v>
      </c>
      <c r="B664" s="19" t="s">
        <v>1071</v>
      </c>
      <c r="C664" s="53">
        <v>0</v>
      </c>
      <c r="D664" s="53">
        <v>0</v>
      </c>
      <c r="E664" s="53">
        <v>0</v>
      </c>
      <c r="F664" s="53">
        <v>0</v>
      </c>
      <c r="G664" s="53">
        <v>0</v>
      </c>
      <c r="H664" s="53">
        <v>0</v>
      </c>
      <c r="I664" s="53">
        <v>0</v>
      </c>
      <c r="J664" s="53">
        <v>0</v>
      </c>
      <c r="K664" s="53">
        <v>0</v>
      </c>
      <c r="L664" s="53">
        <v>8238</v>
      </c>
      <c r="M664" s="53">
        <v>9675</v>
      </c>
      <c r="N664" s="53">
        <v>10519</v>
      </c>
      <c r="O664" s="53">
        <v>12743</v>
      </c>
      <c r="P664" s="53">
        <v>15583</v>
      </c>
      <c r="Q664" s="53">
        <v>18232</v>
      </c>
      <c r="R664" s="53">
        <v>43661</v>
      </c>
      <c r="S664" s="53">
        <v>26358</v>
      </c>
      <c r="T664" s="53">
        <v>20237</v>
      </c>
      <c r="U664" s="53">
        <v>27689</v>
      </c>
      <c r="V664" s="53">
        <v>25988</v>
      </c>
      <c r="W664" s="53">
        <v>30317</v>
      </c>
      <c r="X664" s="53">
        <v>37191</v>
      </c>
      <c r="Y664" s="53">
        <v>39567</v>
      </c>
      <c r="Z664" s="53">
        <v>37703</v>
      </c>
      <c r="AA664" s="164">
        <v>45340</v>
      </c>
      <c r="AB664" s="164">
        <v>37181</v>
      </c>
      <c r="AC664" s="164">
        <v>29247</v>
      </c>
      <c r="AD664" s="164">
        <v>53489</v>
      </c>
      <c r="AE664" s="164">
        <v>46154</v>
      </c>
      <c r="AF664" s="164">
        <v>45532</v>
      </c>
      <c r="AG664" s="164">
        <v>46567</v>
      </c>
      <c r="AH664" s="164">
        <v>45837</v>
      </c>
      <c r="AI664" s="164">
        <v>31724</v>
      </c>
      <c r="AJ664" s="164">
        <v>25228</v>
      </c>
      <c r="AK664" s="164">
        <v>32133</v>
      </c>
      <c r="AL664" s="164">
        <v>28569</v>
      </c>
      <c r="AM664" s="164">
        <v>25215</v>
      </c>
      <c r="AN664" s="164">
        <v>24818</v>
      </c>
      <c r="AO664" s="164">
        <v>30285</v>
      </c>
      <c r="AP664" s="164">
        <v>32398</v>
      </c>
      <c r="AQ664" s="164">
        <v>21449</v>
      </c>
      <c r="AR664" s="164">
        <v>19904</v>
      </c>
      <c r="AS664" s="164">
        <v>35736</v>
      </c>
      <c r="AT664" s="164">
        <v>29668</v>
      </c>
      <c r="AU664" s="164">
        <v>23945</v>
      </c>
      <c r="AV664" s="164">
        <v>30603</v>
      </c>
      <c r="AW664" s="164">
        <v>18058</v>
      </c>
      <c r="AX664" s="164">
        <v>41143</v>
      </c>
      <c r="AY664" s="164">
        <v>24719</v>
      </c>
      <c r="AZ664" s="171">
        <v>19673</v>
      </c>
      <c r="BA664" s="55">
        <f t="shared" ref="BA664:BE664" si="4621">AZ664*BA$660/AZ$660</f>
        <v>20471.704629801963</v>
      </c>
      <c r="BB664" s="55">
        <f t="shared" si="4621"/>
        <v>20981.274033053382</v>
      </c>
      <c r="BC664" s="55">
        <f t="shared" si="4621"/>
        <v>21537.700799454862</v>
      </c>
      <c r="BD664" s="55">
        <f t="shared" si="4621"/>
        <v>22061.979644123068</v>
      </c>
      <c r="BE664" s="55">
        <f t="shared" si="4621"/>
        <v>22582.618966262788</v>
      </c>
      <c r="BF664" s="55">
        <f t="shared" si="4615"/>
        <v>23118.399719626981</v>
      </c>
      <c r="BG664" s="55">
        <f t="shared" si="4615"/>
        <v>23610.521051814019</v>
      </c>
      <c r="BH664" s="55">
        <f t="shared" si="4615"/>
        <v>24116.103828350682</v>
      </c>
      <c r="BI664" s="55">
        <f t="shared" si="4615"/>
        <v>24557.250041941825</v>
      </c>
      <c r="BJ664" s="55">
        <f t="shared" si="4615"/>
        <v>25008.671852609648</v>
      </c>
      <c r="BK664" s="55">
        <f t="shared" si="4615"/>
        <v>25500.364188251133</v>
      </c>
      <c r="BL664" s="55">
        <f t="shared" si="4615"/>
        <v>26001.813473824594</v>
      </c>
      <c r="BM664" s="55">
        <f t="shared" si="4615"/>
        <v>26513.214342638574</v>
      </c>
      <c r="BN664" s="55">
        <f t="shared" si="4616"/>
        <v>27034.765322238341</v>
      </c>
      <c r="BO664" s="55">
        <f t="shared" si="4617"/>
        <v>27566.668912457182</v>
      </c>
      <c r="BP664" s="55">
        <f t="shared" si="4618"/>
        <v>28109.131665033601</v>
      </c>
      <c r="BQ664" s="55">
        <f t="shared" si="4619"/>
        <v>28662.364264825959</v>
      </c>
      <c r="BR664" s="55"/>
      <c r="BS664" s="53">
        <v>0</v>
      </c>
      <c r="BT664" s="53">
        <v>0</v>
      </c>
      <c r="BU664" s="53">
        <v>0</v>
      </c>
      <c r="BV664" s="53">
        <v>0</v>
      </c>
      <c r="BW664" s="53">
        <v>0</v>
      </c>
      <c r="BX664" s="53">
        <v>0</v>
      </c>
      <c r="BY664" s="53">
        <v>0</v>
      </c>
      <c r="BZ664" s="53">
        <v>0</v>
      </c>
      <c r="CA664" s="53">
        <v>0</v>
      </c>
      <c r="CB664" s="53">
        <v>0</v>
      </c>
      <c r="CC664" s="55">
        <f t="shared" si="4575"/>
        <v>0</v>
      </c>
      <c r="CD664" s="55">
        <f t="shared" si="4576"/>
        <v>0</v>
      </c>
      <c r="CE664" s="55">
        <f t="shared" si="4577"/>
        <v>0</v>
      </c>
      <c r="CF664" s="55">
        <f t="shared" si="4578"/>
        <v>0</v>
      </c>
      <c r="CG664" s="55">
        <f t="shared" si="4579"/>
        <v>9675</v>
      </c>
      <c r="CH664" s="55">
        <f t="shared" si="4580"/>
        <v>12743</v>
      </c>
      <c r="CI664" s="55">
        <f t="shared" si="4581"/>
        <v>18232</v>
      </c>
      <c r="CJ664" s="55">
        <f t="shared" si="4582"/>
        <v>26358</v>
      </c>
      <c r="CK664" s="55">
        <f t="shared" si="4583"/>
        <v>27689</v>
      </c>
      <c r="CL664" s="55">
        <f t="shared" si="4584"/>
        <v>30317</v>
      </c>
      <c r="CM664" s="55">
        <f t="shared" si="4585"/>
        <v>39567</v>
      </c>
      <c r="CN664" s="55">
        <f t="shared" si="4586"/>
        <v>45340</v>
      </c>
      <c r="CO664" s="55">
        <f t="shared" si="4587"/>
        <v>29247</v>
      </c>
      <c r="CP664" s="55">
        <f t="shared" si="4588"/>
        <v>46154</v>
      </c>
      <c r="CQ664" s="55">
        <f t="shared" si="4589"/>
        <v>46567</v>
      </c>
      <c r="CR664" s="55">
        <f t="shared" si="4590"/>
        <v>31724</v>
      </c>
      <c r="CS664" s="55">
        <f t="shared" si="4591"/>
        <v>32133</v>
      </c>
      <c r="CT664" s="55">
        <f t="shared" si="4592"/>
        <v>25215</v>
      </c>
      <c r="CU664" s="55">
        <f t="shared" si="4593"/>
        <v>30285</v>
      </c>
      <c r="CV664" s="55">
        <f t="shared" si="4594"/>
        <v>21449</v>
      </c>
      <c r="CW664" s="55">
        <f t="shared" si="4595"/>
        <v>35736</v>
      </c>
      <c r="CX664" s="55">
        <f t="shared" si="4596"/>
        <v>23945</v>
      </c>
      <c r="CY664" s="55">
        <f t="shared" si="4597"/>
        <v>18058</v>
      </c>
      <c r="CZ664" s="56">
        <f t="shared" si="4598"/>
        <v>24719</v>
      </c>
      <c r="DA664" s="55">
        <f t="shared" si="4599"/>
        <v>20471.704629801963</v>
      </c>
      <c r="DB664" s="55">
        <f t="shared" si="4600"/>
        <v>21537.700799454862</v>
      </c>
      <c r="DC664" s="55">
        <f t="shared" si="4601"/>
        <v>22582.618966262788</v>
      </c>
      <c r="DD664" s="55">
        <f t="shared" si="4602"/>
        <v>23610.521051814019</v>
      </c>
      <c r="DE664" s="55">
        <f t="shared" si="4603"/>
        <v>24557.250041941825</v>
      </c>
      <c r="DF664" s="55">
        <f t="shared" si="4604"/>
        <v>25500.364188251133</v>
      </c>
      <c r="DG664" s="55">
        <f t="shared" si="4605"/>
        <v>26513.214342638574</v>
      </c>
      <c r="DH664" s="55">
        <f t="shared" si="4606"/>
        <v>27566.668912457182</v>
      </c>
      <c r="DI664" s="55">
        <f t="shared" si="4607"/>
        <v>28662.364264825959</v>
      </c>
    </row>
    <row r="665" spans="1:113" outlineLevel="1">
      <c r="A665" s="1" t="s">
        <v>895</v>
      </c>
      <c r="B665" s="19" t="s">
        <v>910</v>
      </c>
      <c r="C665" s="53">
        <f>-643-514</f>
        <v>-1157</v>
      </c>
      <c r="D665" s="53">
        <f>-635-466</f>
        <v>-1101</v>
      </c>
      <c r="E665" s="53">
        <f>-631-426</f>
        <v>-1057</v>
      </c>
      <c r="F665" s="53">
        <f>-628-542</f>
        <v>-1170</v>
      </c>
      <c r="G665" s="53">
        <f>-618-549</f>
        <v>-1167</v>
      </c>
      <c r="H665" s="53">
        <f>-678-536</f>
        <v>-1214</v>
      </c>
      <c r="I665" s="53">
        <f>-758-541</f>
        <v>-1299</v>
      </c>
      <c r="J665" s="53">
        <f>-824-827</f>
        <v>-1651</v>
      </c>
      <c r="K665" s="53">
        <f>-889-683</f>
        <v>-1572</v>
      </c>
      <c r="L665" s="53">
        <f>-921-620</f>
        <v>-1541</v>
      </c>
      <c r="M665" s="53">
        <f>-934-645</f>
        <v>-1579</v>
      </c>
      <c r="N665" s="53">
        <f>-931-586</f>
        <v>-1517</v>
      </c>
      <c r="O665" s="53">
        <f>-941-979</f>
        <v>-1920</v>
      </c>
      <c r="P665" s="53">
        <f>-978-950</f>
        <v>-1928</v>
      </c>
      <c r="Q665" s="53">
        <f>-1047-1182</f>
        <v>-2229</v>
      </c>
      <c r="R665" s="53">
        <f>-1082-1156</f>
        <v>-2238</v>
      </c>
      <c r="S665" s="53">
        <f>-1134-1083</f>
        <v>-2217</v>
      </c>
      <c r="T665" s="53">
        <f>-1197-1224</f>
        <v>-2421</v>
      </c>
      <c r="U665" s="53">
        <f>-1213-1169</f>
        <v>-2382</v>
      </c>
      <c r="V665" s="53">
        <f>-1183-1097</f>
        <v>-2280</v>
      </c>
      <c r="W665" s="53">
        <f>-1153-984</f>
        <v>-2137</v>
      </c>
      <c r="X665" s="53">
        <f>-1136-863</f>
        <v>-1999</v>
      </c>
      <c r="Y665" s="53">
        <f>-1032-839</f>
        <v>-1871</v>
      </c>
      <c r="Z665" s="53">
        <f>-969-762</f>
        <v>-1731</v>
      </c>
      <c r="AA665" s="164">
        <f>-900-755</f>
        <v>-1655</v>
      </c>
      <c r="AB665" s="164">
        <f>-841-695</f>
        <v>-1536</v>
      </c>
      <c r="AC665" s="164">
        <f>-802-651</f>
        <v>-1453</v>
      </c>
      <c r="AD665" s="164">
        <f>-790-694</f>
        <v>-1484</v>
      </c>
      <c r="AE665" s="164">
        <f>-756-592</f>
        <v>-1348</v>
      </c>
      <c r="AF665" s="164">
        <f>-722-540</f>
        <v>-1262</v>
      </c>
      <c r="AG665" s="164">
        <f>-701-482</f>
        <v>-1183</v>
      </c>
      <c r="AH665" s="164">
        <f>-689-427</f>
        <v>-1116</v>
      </c>
      <c r="AI665" s="164">
        <f>-681-403</f>
        <v>-1084</v>
      </c>
      <c r="AJ665" s="164">
        <f>-677-380</f>
        <v>-1057</v>
      </c>
      <c r="AK665" s="164">
        <f>-692-367</f>
        <v>-1059</v>
      </c>
      <c r="AL665" s="164">
        <f>-792-427</f>
        <v>-1219</v>
      </c>
      <c r="AM665" s="164">
        <f>-739-386</f>
        <v>-1125</v>
      </c>
      <c r="AN665" s="164">
        <f>-667-313</f>
        <v>-980</v>
      </c>
      <c r="AO665" s="164">
        <f>-627-257</f>
        <v>-884</v>
      </c>
      <c r="AP665" s="164">
        <f>-639-213</f>
        <v>-852</v>
      </c>
      <c r="AQ665" s="164">
        <f>-622-188</f>
        <v>-810</v>
      </c>
      <c r="AR665" s="164">
        <f>-622-183</f>
        <v>-805</v>
      </c>
      <c r="AS665" s="164">
        <f>-680-199</f>
        <v>-879</v>
      </c>
      <c r="AT665" s="164">
        <f>-868-239</f>
        <v>-1107</v>
      </c>
      <c r="AU665" s="164">
        <f>-1089-289</f>
        <v>-1378</v>
      </c>
      <c r="AV665" s="164">
        <f>-1241-369</f>
        <v>-1610</v>
      </c>
      <c r="AW665" s="164">
        <f>-1363-463</f>
        <v>-1826</v>
      </c>
      <c r="AX665" s="164">
        <f>-1427-524</f>
        <v>-1951</v>
      </c>
      <c r="AY665" s="164">
        <f>-1427-524</f>
        <v>-1951</v>
      </c>
      <c r="AZ665" s="171">
        <f>-1413-549</f>
        <v>-1962</v>
      </c>
      <c r="BA665" s="55">
        <f t="shared" ref="BA665:BE665" si="4622">AZ665*BA$660/AZ$660</f>
        <v>-2041.6552881447392</v>
      </c>
      <c r="BB665" s="55">
        <f t="shared" si="4622"/>
        <v>-2092.4749480430405</v>
      </c>
      <c r="BC665" s="55">
        <f t="shared" si="4622"/>
        <v>-2147.9677206593014</v>
      </c>
      <c r="BD665" s="55">
        <f t="shared" si="4622"/>
        <v>-2200.25436190563</v>
      </c>
      <c r="BE665" s="55">
        <f t="shared" si="4622"/>
        <v>-2252.1780314038319</v>
      </c>
      <c r="BF665" s="55">
        <f t="shared" si="4615"/>
        <v>-2305.6117648507161</v>
      </c>
      <c r="BG665" s="55">
        <f t="shared" si="4615"/>
        <v>-2354.6913182361159</v>
      </c>
      <c r="BH665" s="55">
        <f t="shared" si="4615"/>
        <v>-2405.1133894791865</v>
      </c>
      <c r="BI665" s="55">
        <f t="shared" si="4615"/>
        <v>-2449.1091639449937</v>
      </c>
      <c r="BJ665" s="55">
        <f t="shared" si="4615"/>
        <v>-2494.1297298236227</v>
      </c>
      <c r="BK665" s="55">
        <f t="shared" si="4615"/>
        <v>-2543.1664991281818</v>
      </c>
      <c r="BL665" s="55">
        <f t="shared" si="4615"/>
        <v>-2593.1763348571062</v>
      </c>
      <c r="BM665" s="55">
        <f t="shared" si="4615"/>
        <v>-2644.1786479061088</v>
      </c>
      <c r="BN665" s="55">
        <f t="shared" si="4616"/>
        <v>-2696.1932375454489</v>
      </c>
      <c r="BO665" s="55">
        <f t="shared" si="4617"/>
        <v>-2749.2402992040347</v>
      </c>
      <c r="BP665" s="55">
        <f t="shared" si="4618"/>
        <v>-2803.3404324096941</v>
      </c>
      <c r="BQ665" s="55">
        <f t="shared" si="4619"/>
        <v>-2858.5146488887572</v>
      </c>
      <c r="BR665" s="55"/>
      <c r="BS665" s="53">
        <f>-577.9-555.7-268.9-539.7-168.9</f>
        <v>-2111.1</v>
      </c>
      <c r="BT665" s="53">
        <f>-498.1-443-258.5-271.9-99.8</f>
        <v>-1571.3</v>
      </c>
      <c r="BU665" s="53">
        <f>-441.3-402.7-211.2-231.2-110</f>
        <v>-1396.4</v>
      </c>
      <c r="BV665" s="53">
        <f>-521.6-424.9-131.8-148.6-106.1</f>
        <v>-1332.9999999999998</v>
      </c>
      <c r="BW665" s="53">
        <f>-334-439-190-123-97</f>
        <v>-1183</v>
      </c>
      <c r="BX665" s="53">
        <f>-400-442-177-109-99</f>
        <v>-1227</v>
      </c>
      <c r="BY665" s="53">
        <f>-425-473-295-102-109</f>
        <v>-1404</v>
      </c>
      <c r="BZ665" s="53">
        <f>-437-489-243-68-136</f>
        <v>-1373</v>
      </c>
      <c r="CA665" s="53">
        <f>-558-691-216-131-120</f>
        <v>-1716</v>
      </c>
      <c r="CB665" s="53">
        <f>-643-514-186-68-93</f>
        <v>-1504</v>
      </c>
      <c r="CC665" s="55">
        <f t="shared" si="4575"/>
        <v>-1057</v>
      </c>
      <c r="CD665" s="55">
        <f t="shared" si="4576"/>
        <v>-1167</v>
      </c>
      <c r="CE665" s="55">
        <f t="shared" si="4577"/>
        <v>-1299</v>
      </c>
      <c r="CF665" s="55">
        <f t="shared" si="4578"/>
        <v>-1572</v>
      </c>
      <c r="CG665" s="55">
        <f t="shared" si="4579"/>
        <v>-1579</v>
      </c>
      <c r="CH665" s="55">
        <f t="shared" si="4580"/>
        <v>-1920</v>
      </c>
      <c r="CI665" s="55">
        <f t="shared" si="4581"/>
        <v>-2229</v>
      </c>
      <c r="CJ665" s="55">
        <f t="shared" si="4582"/>
        <v>-2217</v>
      </c>
      <c r="CK665" s="55">
        <f t="shared" si="4583"/>
        <v>-2382</v>
      </c>
      <c r="CL665" s="55">
        <f t="shared" si="4584"/>
        <v>-2137</v>
      </c>
      <c r="CM665" s="55">
        <f t="shared" si="4585"/>
        <v>-1871</v>
      </c>
      <c r="CN665" s="55">
        <f t="shared" si="4586"/>
        <v>-1655</v>
      </c>
      <c r="CO665" s="55">
        <f t="shared" si="4587"/>
        <v>-1453</v>
      </c>
      <c r="CP665" s="55">
        <f t="shared" si="4588"/>
        <v>-1348</v>
      </c>
      <c r="CQ665" s="55">
        <f t="shared" si="4589"/>
        <v>-1183</v>
      </c>
      <c r="CR665" s="55">
        <f t="shared" si="4590"/>
        <v>-1084</v>
      </c>
      <c r="CS665" s="55">
        <f t="shared" si="4591"/>
        <v>-1059</v>
      </c>
      <c r="CT665" s="55">
        <f t="shared" si="4592"/>
        <v>-1125</v>
      </c>
      <c r="CU665" s="55">
        <f t="shared" si="4593"/>
        <v>-884</v>
      </c>
      <c r="CV665" s="55">
        <f t="shared" si="4594"/>
        <v>-810</v>
      </c>
      <c r="CW665" s="55">
        <f t="shared" si="4595"/>
        <v>-879</v>
      </c>
      <c r="CX665" s="55">
        <f t="shared" si="4596"/>
        <v>-1378</v>
      </c>
      <c r="CY665" s="55">
        <f t="shared" si="4597"/>
        <v>-1826</v>
      </c>
      <c r="CZ665" s="56">
        <f t="shared" si="4598"/>
        <v>-1951</v>
      </c>
      <c r="DA665" s="55">
        <f t="shared" si="4599"/>
        <v>-2041.6552881447392</v>
      </c>
      <c r="DB665" s="55">
        <f t="shared" si="4600"/>
        <v>-2147.9677206593014</v>
      </c>
      <c r="DC665" s="55">
        <f t="shared" si="4601"/>
        <v>-2252.1780314038319</v>
      </c>
      <c r="DD665" s="55">
        <f t="shared" si="4602"/>
        <v>-2354.6913182361159</v>
      </c>
      <c r="DE665" s="55">
        <f t="shared" si="4603"/>
        <v>-2449.1091639449937</v>
      </c>
      <c r="DF665" s="55">
        <f t="shared" si="4604"/>
        <v>-2543.1664991281818</v>
      </c>
      <c r="DG665" s="55">
        <f t="shared" si="4605"/>
        <v>-2644.1786479061088</v>
      </c>
      <c r="DH665" s="55">
        <f t="shared" si="4606"/>
        <v>-2749.2402992040347</v>
      </c>
      <c r="DI665" s="55">
        <f t="shared" si="4607"/>
        <v>-2858.5146488887572</v>
      </c>
    </row>
    <row r="666" spans="1:113" outlineLevel="1">
      <c r="A666" s="1" t="s">
        <v>896</v>
      </c>
      <c r="B666" s="19" t="s">
        <v>911</v>
      </c>
      <c r="C666" s="53">
        <v>919</v>
      </c>
      <c r="D666" s="53">
        <v>879</v>
      </c>
      <c r="E666" s="53">
        <v>862</v>
      </c>
      <c r="F666" s="53">
        <v>832</v>
      </c>
      <c r="G666" s="53">
        <v>821</v>
      </c>
      <c r="H666" s="53">
        <v>1027</v>
      </c>
      <c r="I666" s="53">
        <v>1204</v>
      </c>
      <c r="J666" s="53">
        <v>1063</v>
      </c>
      <c r="K666" s="53">
        <v>1132</v>
      </c>
      <c r="L666" s="53">
        <v>1143</v>
      </c>
      <c r="M666" s="53">
        <v>1313</v>
      </c>
      <c r="N666" s="53">
        <v>1325</v>
      </c>
      <c r="O666" s="53">
        <v>1436</v>
      </c>
      <c r="P666" s="53">
        <v>1490</v>
      </c>
      <c r="Q666" s="53">
        <v>1640</v>
      </c>
      <c r="R666" s="53">
        <v>2428</v>
      </c>
      <c r="S666" s="53">
        <v>2472</v>
      </c>
      <c r="T666" s="53">
        <v>2367</v>
      </c>
      <c r="U666" s="53">
        <v>2351</v>
      </c>
      <c r="V666" s="53">
        <v>2268</v>
      </c>
      <c r="W666" s="53">
        <v>2366</v>
      </c>
      <c r="X666" s="53">
        <v>2448</v>
      </c>
      <c r="Y666" s="53">
        <v>2503</v>
      </c>
      <c r="Z666" s="53">
        <v>2598</v>
      </c>
      <c r="AA666" s="164">
        <v>2718</v>
      </c>
      <c r="AB666" s="164">
        <v>2801</v>
      </c>
      <c r="AC666" s="164">
        <v>2816</v>
      </c>
      <c r="AD666" s="164">
        <v>2689</v>
      </c>
      <c r="AE666" s="164">
        <v>2833</v>
      </c>
      <c r="AF666" s="164">
        <v>3321</v>
      </c>
      <c r="AG666" s="164">
        <v>3940</v>
      </c>
      <c r="AH666" s="164">
        <v>4094</v>
      </c>
      <c r="AI666" s="164">
        <v>3873</v>
      </c>
      <c r="AJ666" s="164">
        <v>2635</v>
      </c>
      <c r="AK666" s="164">
        <v>2576</v>
      </c>
      <c r="AL666" s="164">
        <v>2417</v>
      </c>
      <c r="AM666" s="164">
        <v>2383</v>
      </c>
      <c r="AN666" s="164">
        <v>5205</v>
      </c>
      <c r="AO666" s="164">
        <v>5602</v>
      </c>
      <c r="AP666" s="164">
        <v>5468</v>
      </c>
      <c r="AQ666" s="164">
        <v>5284</v>
      </c>
      <c r="AR666" s="164">
        <v>4999</v>
      </c>
      <c r="AS666" s="164">
        <v>4887</v>
      </c>
      <c r="AT666" s="164">
        <v>5068</v>
      </c>
      <c r="AU666" s="164">
        <v>4950</v>
      </c>
      <c r="AV666" s="164">
        <v>4783</v>
      </c>
      <c r="AW666" s="164">
        <v>3676</v>
      </c>
      <c r="AX666" s="164">
        <v>3629</v>
      </c>
      <c r="AY666" s="164">
        <v>3563</v>
      </c>
      <c r="AZ666" s="171">
        <v>3537</v>
      </c>
      <c r="BA666" s="55">
        <f t="shared" ref="BA666:BE666" si="4623">AZ666*BA$660/AZ$660</f>
        <v>3680.598753398544</v>
      </c>
      <c r="BB666" s="55">
        <f t="shared" si="4623"/>
        <v>3772.2140118390598</v>
      </c>
      <c r="BC666" s="55">
        <f t="shared" si="4623"/>
        <v>3872.2537349500258</v>
      </c>
      <c r="BD666" s="55">
        <f t="shared" si="4623"/>
        <v>3966.513597380334</v>
      </c>
      <c r="BE666" s="55">
        <f t="shared" si="4623"/>
        <v>4060.1191116592026</v>
      </c>
      <c r="BF666" s="55">
        <f t="shared" si="4615"/>
        <v>4156.4468971850074</v>
      </c>
      <c r="BG666" s="55">
        <f t="shared" si="4615"/>
        <v>4244.9251746183199</v>
      </c>
      <c r="BH666" s="55">
        <f t="shared" si="4615"/>
        <v>4335.8236791987174</v>
      </c>
      <c r="BI666" s="55">
        <f t="shared" si="4615"/>
        <v>4415.1371625246911</v>
      </c>
      <c r="BJ666" s="55">
        <f t="shared" si="4615"/>
        <v>4496.2980909205689</v>
      </c>
      <c r="BK666" s="55">
        <f t="shared" si="4615"/>
        <v>4584.6992392540178</v>
      </c>
      <c r="BL666" s="55">
        <f t="shared" si="4615"/>
        <v>4674.8545853157948</v>
      </c>
      <c r="BM666" s="55">
        <f t="shared" si="4615"/>
        <v>4766.7991221426664</v>
      </c>
      <c r="BN666" s="55">
        <f t="shared" si="4616"/>
        <v>4860.5685429145042</v>
      </c>
      <c r="BO666" s="55">
        <f t="shared" si="4617"/>
        <v>4956.1992549870929</v>
      </c>
      <c r="BP666" s="55">
        <f t="shared" si="4618"/>
        <v>5053.7283942064705</v>
      </c>
      <c r="BQ666" s="55">
        <f t="shared" si="4619"/>
        <v>5153.1938395104698</v>
      </c>
      <c r="BR666" s="55"/>
      <c r="BS666" s="53">
        <v>3103.3</v>
      </c>
      <c r="BT666" s="53">
        <v>2739.2</v>
      </c>
      <c r="BU666" s="53">
        <v>2693.1</v>
      </c>
      <c r="BV666" s="53">
        <v>2706</v>
      </c>
      <c r="BW666" s="53">
        <v>2578</v>
      </c>
      <c r="BX666" s="53">
        <v>2010</v>
      </c>
      <c r="BY666" s="53">
        <v>1662</v>
      </c>
      <c r="BZ666" s="53">
        <v>1001</v>
      </c>
      <c r="CA666" s="53">
        <v>1073</v>
      </c>
      <c r="CB666" s="53">
        <v>1361</v>
      </c>
      <c r="CC666" s="55">
        <f t="shared" si="4575"/>
        <v>862</v>
      </c>
      <c r="CD666" s="55">
        <f t="shared" si="4576"/>
        <v>821</v>
      </c>
      <c r="CE666" s="55">
        <f t="shared" si="4577"/>
        <v>1204</v>
      </c>
      <c r="CF666" s="55">
        <f t="shared" si="4578"/>
        <v>1132</v>
      </c>
      <c r="CG666" s="55">
        <f t="shared" si="4579"/>
        <v>1313</v>
      </c>
      <c r="CH666" s="55">
        <f t="shared" si="4580"/>
        <v>1436</v>
      </c>
      <c r="CI666" s="55">
        <f t="shared" si="4581"/>
        <v>1640</v>
      </c>
      <c r="CJ666" s="55">
        <f t="shared" si="4582"/>
        <v>2472</v>
      </c>
      <c r="CK666" s="55">
        <f t="shared" si="4583"/>
        <v>2351</v>
      </c>
      <c r="CL666" s="55">
        <f t="shared" si="4584"/>
        <v>2366</v>
      </c>
      <c r="CM666" s="55">
        <f t="shared" si="4585"/>
        <v>2503</v>
      </c>
      <c r="CN666" s="55">
        <f t="shared" si="4586"/>
        <v>2718</v>
      </c>
      <c r="CO666" s="55">
        <f t="shared" si="4587"/>
        <v>2816</v>
      </c>
      <c r="CP666" s="55">
        <f t="shared" si="4588"/>
        <v>2833</v>
      </c>
      <c r="CQ666" s="55">
        <f t="shared" si="4589"/>
        <v>3940</v>
      </c>
      <c r="CR666" s="55">
        <f t="shared" si="4590"/>
        <v>3873</v>
      </c>
      <c r="CS666" s="55">
        <f t="shared" si="4591"/>
        <v>2576</v>
      </c>
      <c r="CT666" s="55">
        <f t="shared" si="4592"/>
        <v>2383</v>
      </c>
      <c r="CU666" s="55">
        <f t="shared" si="4593"/>
        <v>5602</v>
      </c>
      <c r="CV666" s="55">
        <f t="shared" si="4594"/>
        <v>5284</v>
      </c>
      <c r="CW666" s="55">
        <f t="shared" si="4595"/>
        <v>4887</v>
      </c>
      <c r="CX666" s="55">
        <f t="shared" si="4596"/>
        <v>4950</v>
      </c>
      <c r="CY666" s="55">
        <f t="shared" si="4597"/>
        <v>3676</v>
      </c>
      <c r="CZ666" s="56">
        <f t="shared" si="4598"/>
        <v>3563</v>
      </c>
      <c r="DA666" s="55">
        <f t="shared" si="4599"/>
        <v>3680.598753398544</v>
      </c>
      <c r="DB666" s="55">
        <f t="shared" si="4600"/>
        <v>3872.2537349500258</v>
      </c>
      <c r="DC666" s="55">
        <f t="shared" si="4601"/>
        <v>4060.1191116592026</v>
      </c>
      <c r="DD666" s="55">
        <f t="shared" si="4602"/>
        <v>4244.9251746183199</v>
      </c>
      <c r="DE666" s="55">
        <f t="shared" si="4603"/>
        <v>4415.1371625246911</v>
      </c>
      <c r="DF666" s="55">
        <f t="shared" si="4604"/>
        <v>4584.6992392540178</v>
      </c>
      <c r="DG666" s="55">
        <f t="shared" si="4605"/>
        <v>4766.7991221426664</v>
      </c>
      <c r="DH666" s="55">
        <f t="shared" si="4606"/>
        <v>4956.1992549870929</v>
      </c>
      <c r="DI666" s="55">
        <f t="shared" si="4607"/>
        <v>5153.1938395104698</v>
      </c>
    </row>
    <row r="667" spans="1:113" outlineLevel="1">
      <c r="A667" s="1" t="s">
        <v>900</v>
      </c>
      <c r="B667" s="19" t="s">
        <v>931</v>
      </c>
      <c r="C667" s="55">
        <f t="shared" ref="C667:J667" si="4624">C660-SUM(C661:C666,C668:C669,C178,-SUM(C120:C121))</f>
        <v>73235</v>
      </c>
      <c r="D667" s="55">
        <f t="shared" si="4624"/>
        <v>74637</v>
      </c>
      <c r="E667" s="55">
        <f t="shared" si="4624"/>
        <v>74904</v>
      </c>
      <c r="F667" s="55">
        <f t="shared" si="4624"/>
        <v>76996</v>
      </c>
      <c r="G667" s="55">
        <f t="shared" si="4624"/>
        <v>76717</v>
      </c>
      <c r="H667" s="55">
        <f t="shared" si="4624"/>
        <v>79320</v>
      </c>
      <c r="I667" s="55">
        <f t="shared" si="4624"/>
        <v>82037</v>
      </c>
      <c r="J667" s="55">
        <f t="shared" si="4624"/>
        <v>77298</v>
      </c>
      <c r="K667" s="55">
        <f>K660-SUM(K661:K666,K668:K669,K178,-SUM(K120:K121))</f>
        <v>75199</v>
      </c>
      <c r="L667" s="55">
        <f>L660-SUM(L661:L666,L668:L669,L178,-SUM(L120:L121))</f>
        <v>48644</v>
      </c>
      <c r="M667" s="55">
        <f>M660-SUM(M661:M666,M668:M669,M178,-SUM(M120:M121))</f>
        <v>50605</v>
      </c>
      <c r="N667" s="55">
        <f>N660-SUM(N661:N666,N668:N669,N178,-SUM(N120:N121))</f>
        <v>52726</v>
      </c>
      <c r="O667" s="55">
        <f>O660-SUM(O661:O666,O668:O669,O178,-SUM(O120:O121))</f>
        <v>53242</v>
      </c>
      <c r="P667" s="55">
        <f t="shared" ref="P667:Z667" si="4625">P660-SUM(P661:P666,P668:P669,P178,-SUM(P120:P121))</f>
        <v>52441</v>
      </c>
      <c r="Q667" s="55">
        <f t="shared" si="4625"/>
        <v>48718</v>
      </c>
      <c r="R667" s="55">
        <f t="shared" si="4625"/>
        <v>43086</v>
      </c>
      <c r="S667" s="55">
        <f t="shared" si="4625"/>
        <v>43196</v>
      </c>
      <c r="T667" s="55">
        <f t="shared" si="4625"/>
        <v>37907</v>
      </c>
      <c r="U667" s="55">
        <f t="shared" si="4625"/>
        <v>38667</v>
      </c>
      <c r="V667" s="55">
        <f t="shared" si="4625"/>
        <v>35984</v>
      </c>
      <c r="W667" s="55">
        <f t="shared" si="4625"/>
        <v>37201</v>
      </c>
      <c r="X667" s="55">
        <f t="shared" si="4625"/>
        <v>35492</v>
      </c>
      <c r="Y667" s="55">
        <f>Y660-SUM(Y661:Y666,Y668:Y669,Y178,-SUM(Y120:Y121))</f>
        <v>36342</v>
      </c>
      <c r="Z667" s="55">
        <f t="shared" si="4625"/>
        <v>32196</v>
      </c>
      <c r="AA667" s="55">
        <f t="shared" ref="AA667:AK667" si="4626">AA660-SUM(AA661:AA666,AA668:AA669,AA178,-SUM(AA120:AA121))</f>
        <v>31552</v>
      </c>
      <c r="AB667" s="55">
        <f t="shared" si="4626"/>
        <v>30305</v>
      </c>
      <c r="AC667" s="55">
        <f t="shared" si="4626"/>
        <v>30489</v>
      </c>
      <c r="AD667" s="55">
        <f t="shared" si="4626"/>
        <v>25719</v>
      </c>
      <c r="AE667" s="55">
        <f t="shared" si="4626"/>
        <v>27493</v>
      </c>
      <c r="AF667" s="55">
        <f t="shared" si="4626"/>
        <v>25050</v>
      </c>
      <c r="AG667" s="55">
        <f t="shared" si="4626"/>
        <v>25983</v>
      </c>
      <c r="AH667" s="55">
        <f t="shared" si="4626"/>
        <v>27035</v>
      </c>
      <c r="AI667" s="55">
        <f t="shared" si="4626"/>
        <v>25972</v>
      </c>
      <c r="AJ667" s="55">
        <f t="shared" si="4626"/>
        <v>24917</v>
      </c>
      <c r="AK667" s="55">
        <f t="shared" si="4626"/>
        <v>27674</v>
      </c>
      <c r="AL667" s="55">
        <f t="shared" ref="AL667:AQ667" si="4627">AL660-SUM(AL661:AL666,AL668:AL669,AL178,-SUM(AL120:AL121))</f>
        <v>26109</v>
      </c>
      <c r="AM667" s="55">
        <f t="shared" si="4627"/>
        <v>28262</v>
      </c>
      <c r="AN667" s="55">
        <f t="shared" si="4627"/>
        <v>12057</v>
      </c>
      <c r="AO667" s="55">
        <f t="shared" si="4627"/>
        <v>45284</v>
      </c>
      <c r="AP667" s="55">
        <f t="shared" si="4627"/>
        <v>44336</v>
      </c>
      <c r="AQ667" s="55">
        <f t="shared" si="4627"/>
        <v>33866</v>
      </c>
      <c r="AR667" s="55">
        <f t="shared" ref="AR667" si="4628">AR660-SUM(AR661:AR666,AR668:AR669,AR178,-SUM(AR120:AR121))</f>
        <v>30098</v>
      </c>
      <c r="AS667" s="55">
        <f t="shared" ref="AS667:AT667" si="4629">AS660-SUM(AS661:AS666,AS668:AS669,AS178,-SUM(AS120:AS121))</f>
        <v>48607</v>
      </c>
      <c r="AT667" s="55">
        <f t="shared" si="4629"/>
        <v>43294</v>
      </c>
      <c r="AU667" s="55">
        <f t="shared" ref="AU667:AV667" si="4630">AU660-SUM(AU661:AU666,AU668:AU669,AU178,-SUM(AU120:AU121))</f>
        <v>38592</v>
      </c>
      <c r="AV667" s="55">
        <f t="shared" si="4630"/>
        <v>47139</v>
      </c>
      <c r="AW667" s="55">
        <f t="shared" ref="AW667:AX667" si="4631">AW660-SUM(AW661:AW666,AW668:AW669,AW178,-SUM(AW120:AW121))</f>
        <v>37109</v>
      </c>
      <c r="AX667" s="55">
        <f t="shared" si="4631"/>
        <v>57990</v>
      </c>
      <c r="AY667" s="55">
        <f t="shared" ref="AY667:BE667" si="4632">AY660-SUM(AY661:AY666,AY668:AY669,AY178,-SUM(AY120:AY121))</f>
        <v>42918</v>
      </c>
      <c r="AZ667" s="56">
        <f t="shared" ref="AZ667" si="4633">AZ660-SUM(AZ661:AZ666,AZ668:AZ669,AZ178,-SUM(AZ120:AZ121))</f>
        <v>34104</v>
      </c>
      <c r="BA667" s="55">
        <f t="shared" si="4632"/>
        <v>35573.631227842299</v>
      </c>
      <c r="BB667" s="55">
        <f t="shared" si="4632"/>
        <v>36490.086266401689</v>
      </c>
      <c r="BC667" s="55">
        <f t="shared" si="4632"/>
        <v>37442.038084766362</v>
      </c>
      <c r="BD667" s="55">
        <f t="shared" si="4632"/>
        <v>38401.513962443918</v>
      </c>
      <c r="BE667" s="55">
        <f t="shared" si="4632"/>
        <v>39360.750673626782</v>
      </c>
      <c r="BF667" s="55">
        <f t="shared" ref="BF667:BM667" si="4634">BF660-SUM(BF661:BF666,BF668:BF669,BF178,-SUM(BF120:BF121))</f>
        <v>40393.491927055176</v>
      </c>
      <c r="BG667" s="55">
        <f t="shared" si="4634"/>
        <v>41350.058531148126</v>
      </c>
      <c r="BH667" s="55">
        <f t="shared" si="4634"/>
        <v>42291.185407154029</v>
      </c>
      <c r="BI667" s="55">
        <f t="shared" si="4634"/>
        <v>43103.635306735057</v>
      </c>
      <c r="BJ667" s="55">
        <f t="shared" si="4634"/>
        <v>43980.76867540041</v>
      </c>
      <c r="BK667" s="55">
        <f t="shared" si="4634"/>
        <v>44943.164819815662</v>
      </c>
      <c r="BL667" s="55">
        <f t="shared" si="4634"/>
        <v>45924.095671728719</v>
      </c>
      <c r="BM667" s="55">
        <f t="shared" si="4634"/>
        <v>46923.925446074689</v>
      </c>
      <c r="BN667" s="55">
        <f t="shared" ref="BN667:BO667" si="4635">BN660-SUM(BN661:BN666,BN668:BN669,BN178,-SUM(BN120:BN121))</f>
        <v>47943.025590366218</v>
      </c>
      <c r="BO667" s="55">
        <f t="shared" si="4635"/>
        <v>48981.774929110659</v>
      </c>
      <c r="BP667" s="55">
        <f t="shared" ref="BP667:BQ667" si="4636">BP660-SUM(BP661:BP666,BP668:BP669,BP178,-SUM(BP120:BP121))</f>
        <v>50040.559811120154</v>
      </c>
      <c r="BQ667" s="55">
        <f t="shared" si="4636"/>
        <v>51119.77425977285</v>
      </c>
      <c r="BR667" s="55"/>
      <c r="BS667" s="55">
        <f t="shared" ref="BS667:CB667" si="4637">BS660-SUM(BS661:BS666,BS668:BS669,BS178,-SUM(BS120:BS121))</f>
        <v>16843.899999999994</v>
      </c>
      <c r="BT667" s="55">
        <f t="shared" si="4637"/>
        <v>14249.400000000009</v>
      </c>
      <c r="BU667" s="55">
        <f t="shared" si="4637"/>
        <v>13973.199999999997</v>
      </c>
      <c r="BV667" s="55">
        <f t="shared" si="4637"/>
        <v>19366</v>
      </c>
      <c r="BW667" s="55">
        <f t="shared" si="4637"/>
        <v>17870</v>
      </c>
      <c r="BX667" s="55">
        <f t="shared" si="4637"/>
        <v>18974</v>
      </c>
      <c r="BY667" s="55">
        <f t="shared" si="4637"/>
        <v>24353</v>
      </c>
      <c r="BZ667" s="55">
        <f t="shared" si="4637"/>
        <v>20944</v>
      </c>
      <c r="CA667" s="55">
        <f t="shared" si="4637"/>
        <v>56107</v>
      </c>
      <c r="CB667" s="55">
        <f t="shared" si="4637"/>
        <v>63435</v>
      </c>
      <c r="CC667" s="55">
        <f t="shared" si="4575"/>
        <v>74904</v>
      </c>
      <c r="CD667" s="55">
        <f t="shared" si="4576"/>
        <v>76717</v>
      </c>
      <c r="CE667" s="55">
        <f t="shared" si="4577"/>
        <v>82037</v>
      </c>
      <c r="CF667" s="55">
        <f t="shared" si="4578"/>
        <v>75199</v>
      </c>
      <c r="CG667" s="55">
        <f t="shared" si="4579"/>
        <v>50605</v>
      </c>
      <c r="CH667" s="55">
        <f t="shared" si="4580"/>
        <v>53242</v>
      </c>
      <c r="CI667" s="55">
        <f t="shared" si="4581"/>
        <v>48718</v>
      </c>
      <c r="CJ667" s="55">
        <f t="shared" si="4582"/>
        <v>43196</v>
      </c>
      <c r="CK667" s="55">
        <f t="shared" si="4583"/>
        <v>38667</v>
      </c>
      <c r="CL667" s="55">
        <f t="shared" si="4584"/>
        <v>37201</v>
      </c>
      <c r="CM667" s="55">
        <f t="shared" si="4585"/>
        <v>36342</v>
      </c>
      <c r="CN667" s="55">
        <f t="shared" si="4586"/>
        <v>31552</v>
      </c>
      <c r="CO667" s="55">
        <f t="shared" si="4587"/>
        <v>30489</v>
      </c>
      <c r="CP667" s="55">
        <f t="shared" si="4588"/>
        <v>27493</v>
      </c>
      <c r="CQ667" s="55">
        <f t="shared" si="4589"/>
        <v>25983</v>
      </c>
      <c r="CR667" s="55">
        <f t="shared" si="4590"/>
        <v>25972</v>
      </c>
      <c r="CS667" s="55">
        <f t="shared" si="4591"/>
        <v>27674</v>
      </c>
      <c r="CT667" s="55">
        <f t="shared" si="4592"/>
        <v>28262</v>
      </c>
      <c r="CU667" s="55">
        <f t="shared" si="4593"/>
        <v>45284</v>
      </c>
      <c r="CV667" s="55">
        <f t="shared" si="4594"/>
        <v>33866</v>
      </c>
      <c r="CW667" s="55">
        <f t="shared" si="4595"/>
        <v>48607</v>
      </c>
      <c r="CX667" s="55">
        <f t="shared" si="4596"/>
        <v>38592</v>
      </c>
      <c r="CY667" s="55">
        <f t="shared" si="4597"/>
        <v>37109</v>
      </c>
      <c r="CZ667" s="56">
        <f t="shared" si="4598"/>
        <v>42918</v>
      </c>
      <c r="DA667" s="55">
        <f t="shared" si="4599"/>
        <v>35573.631227842299</v>
      </c>
      <c r="DB667" s="55">
        <f t="shared" si="4600"/>
        <v>37442.038084766362</v>
      </c>
      <c r="DC667" s="55">
        <f t="shared" si="4601"/>
        <v>39360.750673626782</v>
      </c>
      <c r="DD667" s="55">
        <f t="shared" si="4602"/>
        <v>41350.058531148126</v>
      </c>
      <c r="DE667" s="55">
        <f t="shared" si="4603"/>
        <v>43103.635306735057</v>
      </c>
      <c r="DF667" s="55">
        <f t="shared" si="4604"/>
        <v>44943.164819815662</v>
      </c>
      <c r="DG667" s="55">
        <f t="shared" si="4605"/>
        <v>46923.925446074689</v>
      </c>
      <c r="DH667" s="55">
        <f t="shared" si="4606"/>
        <v>48981.774929110659</v>
      </c>
      <c r="DI667" s="55">
        <f t="shared" si="4607"/>
        <v>51119.77425977285</v>
      </c>
    </row>
    <row r="668" spans="1:113" outlineLevel="1">
      <c r="A668" s="1" t="s">
        <v>901</v>
      </c>
      <c r="B668" s="19" t="s">
        <v>802</v>
      </c>
      <c r="C668" s="53">
        <v>3709</v>
      </c>
      <c r="D668" s="53">
        <v>5865</v>
      </c>
      <c r="E668" s="53">
        <v>6044</v>
      </c>
      <c r="F668" s="53">
        <v>5015</v>
      </c>
      <c r="G668" s="53">
        <v>5575</v>
      </c>
      <c r="H668" s="53">
        <v>5892</v>
      </c>
      <c r="I668" s="53">
        <v>6453</v>
      </c>
      <c r="J668" s="53">
        <v>5905</v>
      </c>
      <c r="K668" s="53">
        <v>6055</v>
      </c>
      <c r="L668" s="53">
        <v>7269</v>
      </c>
      <c r="M668" s="53">
        <v>5868</v>
      </c>
      <c r="N668" s="53">
        <v>9139</v>
      </c>
      <c r="O668" s="53">
        <v>10108</v>
      </c>
      <c r="P668" s="53">
        <v>6951</v>
      </c>
      <c r="Q668" s="53">
        <v>7736</v>
      </c>
      <c r="R668" s="53">
        <v>12588</v>
      </c>
      <c r="S668" s="53">
        <v>11340</v>
      </c>
      <c r="T668" s="53">
        <v>11686</v>
      </c>
      <c r="U668" s="53">
        <v>10119</v>
      </c>
      <c r="V668" s="53">
        <v>14362</v>
      </c>
      <c r="W668" s="53">
        <v>13241</v>
      </c>
      <c r="X668" s="53">
        <v>19220</v>
      </c>
      <c r="Y668" s="53">
        <v>19666</v>
      </c>
      <c r="Z668" s="53">
        <v>18837</v>
      </c>
      <c r="AA668" s="164">
        <v>20634</v>
      </c>
      <c r="AB668" s="164">
        <v>31051</v>
      </c>
      <c r="AC668" s="164">
        <v>26409</v>
      </c>
      <c r="AD668" s="164">
        <v>30047</v>
      </c>
      <c r="AE668" s="164">
        <v>33116</v>
      </c>
      <c r="AF668" s="164">
        <v>31587</v>
      </c>
      <c r="AG668" s="164">
        <v>23372</v>
      </c>
      <c r="AH668" s="164">
        <v>44709</v>
      </c>
      <c r="AI668" s="164">
        <v>45850</v>
      </c>
      <c r="AJ668" s="164">
        <v>37322</v>
      </c>
      <c r="AK668" s="164">
        <v>36417</v>
      </c>
      <c r="AL668" s="164">
        <v>37220</v>
      </c>
      <c r="AM668" s="164">
        <v>29387</v>
      </c>
      <c r="AN668" s="164">
        <v>37105</v>
      </c>
      <c r="AO668" s="164">
        <v>44165</v>
      </c>
      <c r="AP668" s="164">
        <v>63019</v>
      </c>
      <c r="AQ668" s="164">
        <v>100041</v>
      </c>
      <c r="AR668" s="164">
        <v>134355</v>
      </c>
      <c r="AS668" s="164">
        <v>161154</v>
      </c>
      <c r="AT668" s="164">
        <v>156140</v>
      </c>
      <c r="AU668" s="164">
        <v>116619</v>
      </c>
      <c r="AV668" s="164">
        <v>91534</v>
      </c>
      <c r="AW668" s="164">
        <v>83080</v>
      </c>
      <c r="AX668" s="164">
        <v>76498</v>
      </c>
      <c r="AY668" s="164">
        <v>83819</v>
      </c>
      <c r="AZ668" s="171">
        <v>82606</v>
      </c>
      <c r="BA668" s="55">
        <f t="shared" ref="BA668:BE668" si="4638">AZ668*BA$660/AZ$660</f>
        <v>85959.723105241748</v>
      </c>
      <c r="BB668" s="55">
        <f t="shared" si="4638"/>
        <v>88099.381018370739</v>
      </c>
      <c r="BC668" s="55">
        <f t="shared" si="4638"/>
        <v>90435.79079142827</v>
      </c>
      <c r="BD668" s="55">
        <f t="shared" si="4638"/>
        <v>92637.212955951312</v>
      </c>
      <c r="BE668" s="55">
        <f t="shared" si="4638"/>
        <v>94823.352936873052</v>
      </c>
      <c r="BF668" s="55">
        <f t="shared" ref="BF668:BM669" si="4639">BE668*BF$660/BE$660</f>
        <v>97073.071074035804</v>
      </c>
      <c r="BG668" s="55">
        <f t="shared" si="4639"/>
        <v>99139.465358925881</v>
      </c>
      <c r="BH668" s="55">
        <f t="shared" si="4639"/>
        <v>101262.38361433113</v>
      </c>
      <c r="BI668" s="55">
        <f t="shared" si="4639"/>
        <v>103114.73577820598</v>
      </c>
      <c r="BJ668" s="55">
        <f t="shared" si="4639"/>
        <v>105010.23469001539</v>
      </c>
      <c r="BK668" s="55">
        <f t="shared" si="4639"/>
        <v>107074.82763862518</v>
      </c>
      <c r="BL668" s="55">
        <f t="shared" si="4639"/>
        <v>109180.38956024779</v>
      </c>
      <c r="BM668" s="55">
        <f t="shared" si="4639"/>
        <v>111327.73771097456</v>
      </c>
      <c r="BN668" s="55">
        <f t="shared" ref="BN668:BN669" si="4640">BM668*BN$660/BM$660</f>
        <v>113517.70569861337</v>
      </c>
      <c r="BO668" s="55">
        <f t="shared" ref="BO668:BO669" si="4641">BN668*BO$660/BN$660</f>
        <v>115751.14381042233</v>
      </c>
      <c r="BP668" s="55">
        <f t="shared" ref="BP668:BP669" si="4642">BO668*BP$660/BO$660</f>
        <v>118028.91934741862</v>
      </c>
      <c r="BQ668" s="55">
        <f t="shared" ref="BQ668:BQ669" si="4643">BP668*BQ$660/BP$660</f>
        <v>120351.91696539491</v>
      </c>
      <c r="BR668" s="55"/>
      <c r="BS668" s="53">
        <v>2236.5</v>
      </c>
      <c r="BT668" s="53">
        <v>2854.4</v>
      </c>
      <c r="BU668" s="53">
        <v>1845.7</v>
      </c>
      <c r="BV668" s="53">
        <v>1887</v>
      </c>
      <c r="BW668" s="53">
        <v>3065</v>
      </c>
      <c r="BX668" s="53">
        <v>2007</v>
      </c>
      <c r="BY668" s="53">
        <v>1526</v>
      </c>
      <c r="BZ668" s="53">
        <v>1814</v>
      </c>
      <c r="CA668" s="53">
        <v>2575</v>
      </c>
      <c r="CB668" s="53">
        <v>3709</v>
      </c>
      <c r="CC668" s="55">
        <f t="shared" si="4575"/>
        <v>6044</v>
      </c>
      <c r="CD668" s="55">
        <f t="shared" si="4576"/>
        <v>5575</v>
      </c>
      <c r="CE668" s="55">
        <f t="shared" si="4577"/>
        <v>6453</v>
      </c>
      <c r="CF668" s="55">
        <f t="shared" si="4578"/>
        <v>6055</v>
      </c>
      <c r="CG668" s="55">
        <f t="shared" si="4579"/>
        <v>5868</v>
      </c>
      <c r="CH668" s="55">
        <f t="shared" si="4580"/>
        <v>10108</v>
      </c>
      <c r="CI668" s="55">
        <f t="shared" si="4581"/>
        <v>7736</v>
      </c>
      <c r="CJ668" s="55">
        <f t="shared" si="4582"/>
        <v>11340</v>
      </c>
      <c r="CK668" s="55">
        <f t="shared" si="4583"/>
        <v>10119</v>
      </c>
      <c r="CL668" s="55">
        <f t="shared" si="4584"/>
        <v>13241</v>
      </c>
      <c r="CM668" s="55">
        <f t="shared" si="4585"/>
        <v>19666</v>
      </c>
      <c r="CN668" s="55">
        <f t="shared" si="4586"/>
        <v>20634</v>
      </c>
      <c r="CO668" s="55">
        <f t="shared" si="4587"/>
        <v>26409</v>
      </c>
      <c r="CP668" s="55">
        <f t="shared" si="4588"/>
        <v>33116</v>
      </c>
      <c r="CQ668" s="55">
        <f t="shared" si="4589"/>
        <v>23372</v>
      </c>
      <c r="CR668" s="55">
        <f t="shared" si="4590"/>
        <v>45850</v>
      </c>
      <c r="CS668" s="55">
        <f t="shared" si="4591"/>
        <v>36417</v>
      </c>
      <c r="CT668" s="55">
        <f t="shared" si="4592"/>
        <v>29387</v>
      </c>
      <c r="CU668" s="55">
        <f t="shared" si="4593"/>
        <v>44165</v>
      </c>
      <c r="CV668" s="55">
        <f t="shared" si="4594"/>
        <v>100041</v>
      </c>
      <c r="CW668" s="55">
        <f t="shared" si="4595"/>
        <v>161154</v>
      </c>
      <c r="CX668" s="55">
        <f t="shared" si="4596"/>
        <v>116619</v>
      </c>
      <c r="CY668" s="55">
        <f t="shared" si="4597"/>
        <v>83080</v>
      </c>
      <c r="CZ668" s="56">
        <f t="shared" si="4598"/>
        <v>83819</v>
      </c>
      <c r="DA668" s="55">
        <f t="shared" si="4599"/>
        <v>85959.723105241748</v>
      </c>
      <c r="DB668" s="55">
        <f t="shared" si="4600"/>
        <v>90435.79079142827</v>
      </c>
      <c r="DC668" s="55">
        <f t="shared" si="4601"/>
        <v>94823.352936873052</v>
      </c>
      <c r="DD668" s="55">
        <f t="shared" si="4602"/>
        <v>99139.465358925881</v>
      </c>
      <c r="DE668" s="55">
        <f t="shared" si="4603"/>
        <v>103114.73577820598</v>
      </c>
      <c r="DF668" s="55">
        <f t="shared" si="4604"/>
        <v>107074.82763862518</v>
      </c>
      <c r="DG668" s="55">
        <f t="shared" si="4605"/>
        <v>111327.73771097456</v>
      </c>
      <c r="DH668" s="55">
        <f t="shared" si="4606"/>
        <v>115751.14381042233</v>
      </c>
      <c r="DI668" s="55">
        <f t="shared" si="4607"/>
        <v>120351.91696539491</v>
      </c>
    </row>
    <row r="669" spans="1:113" outlineLevel="1">
      <c r="A669" s="1" t="s">
        <v>902</v>
      </c>
      <c r="B669" s="19" t="s">
        <v>803</v>
      </c>
      <c r="C669" s="53">
        <v>400</v>
      </c>
      <c r="D669" s="53">
        <v>335</v>
      </c>
      <c r="E669" s="53">
        <v>313</v>
      </c>
      <c r="F669" s="53">
        <v>323</v>
      </c>
      <c r="G669" s="53">
        <v>287</v>
      </c>
      <c r="H669" s="53">
        <v>251</v>
      </c>
      <c r="I669" s="53">
        <v>239</v>
      </c>
      <c r="J669" s="53">
        <v>233</v>
      </c>
      <c r="K669" s="53">
        <v>52</v>
      </c>
      <c r="L669" s="53">
        <v>191</v>
      </c>
      <c r="M669" s="53">
        <v>190</v>
      </c>
      <c r="N669" s="53">
        <v>216</v>
      </c>
      <c r="O669" s="53">
        <v>836</v>
      </c>
      <c r="P669" s="53">
        <v>872</v>
      </c>
      <c r="Q669" s="53">
        <v>906</v>
      </c>
      <c r="R669" s="53">
        <v>1062</v>
      </c>
      <c r="S669" s="53">
        <v>1047</v>
      </c>
      <c r="T669" s="53">
        <v>1339</v>
      </c>
      <c r="U669" s="53">
        <v>1490</v>
      </c>
      <c r="V669" s="53">
        <v>1683</v>
      </c>
      <c r="W669" s="53">
        <v>1712</v>
      </c>
      <c r="X669" s="53">
        <v>1863</v>
      </c>
      <c r="Y669" s="53">
        <v>1898</v>
      </c>
      <c r="Z669" s="53">
        <v>2029</v>
      </c>
      <c r="AA669" s="164">
        <v>2281</v>
      </c>
      <c r="AB669" s="164">
        <v>2220</v>
      </c>
      <c r="AC669" s="164">
        <v>1844</v>
      </c>
      <c r="AD669" s="164">
        <v>2102</v>
      </c>
      <c r="AE669" s="164">
        <v>2637</v>
      </c>
      <c r="AF669" s="164">
        <v>2673</v>
      </c>
      <c r="AG669" s="164">
        <v>2776</v>
      </c>
      <c r="AH669" s="164">
        <v>2842</v>
      </c>
      <c r="AI669" s="164">
        <v>2778</v>
      </c>
      <c r="AJ669" s="164">
        <v>2750</v>
      </c>
      <c r="AK669" s="164">
        <v>2842</v>
      </c>
      <c r="AL669" s="164">
        <v>2831</v>
      </c>
      <c r="AM669" s="164">
        <v>3001</v>
      </c>
      <c r="AN669" s="164">
        <v>3054</v>
      </c>
      <c r="AO669" s="164">
        <v>3034</v>
      </c>
      <c r="AP669" s="164">
        <v>2865</v>
      </c>
      <c r="AQ669" s="164">
        <v>3941</v>
      </c>
      <c r="AR669" s="164">
        <v>5151</v>
      </c>
      <c r="AS669" s="164">
        <v>2801</v>
      </c>
      <c r="AT669" s="164">
        <v>1840</v>
      </c>
      <c r="AU669" s="164">
        <v>1827</v>
      </c>
      <c r="AV669" s="164">
        <v>1774</v>
      </c>
      <c r="AW669" s="164">
        <v>1671</v>
      </c>
      <c r="AX669" s="164">
        <v>771</v>
      </c>
      <c r="AY669" s="164">
        <v>798</v>
      </c>
      <c r="AZ669" s="171">
        <v>798</v>
      </c>
      <c r="BA669" s="55">
        <f t="shared" ref="BA669:BE669" si="4644">AZ669*BA$660/AZ$660</f>
        <v>830.3980223952608</v>
      </c>
      <c r="BB669" s="55">
        <f t="shared" si="4644"/>
        <v>851.0677923233161</v>
      </c>
      <c r="BC669" s="55">
        <f t="shared" si="4644"/>
        <v>873.6382472406334</v>
      </c>
      <c r="BD669" s="55">
        <f t="shared" si="4644"/>
        <v>894.90467930718296</v>
      </c>
      <c r="BE669" s="55">
        <f t="shared" si="4644"/>
        <v>916.02348066272077</v>
      </c>
      <c r="BF669" s="55">
        <f t="shared" si="4639"/>
        <v>937.7564670493739</v>
      </c>
      <c r="BG669" s="55">
        <f t="shared" si="4639"/>
        <v>957.71848723364963</v>
      </c>
      <c r="BH669" s="55">
        <f t="shared" si="4639"/>
        <v>978.22654679122888</v>
      </c>
      <c r="BI669" s="55">
        <f t="shared" si="4639"/>
        <v>996.12085261371305</v>
      </c>
      <c r="BJ669" s="55">
        <f t="shared" si="4639"/>
        <v>1014.4319696224521</v>
      </c>
      <c r="BK669" s="55">
        <f t="shared" si="4639"/>
        <v>1034.3765883304227</v>
      </c>
      <c r="BL669" s="55">
        <f t="shared" si="4639"/>
        <v>1054.7169802324013</v>
      </c>
      <c r="BM669" s="55">
        <f t="shared" si="4639"/>
        <v>1075.4610402798548</v>
      </c>
      <c r="BN669" s="55">
        <f t="shared" si="4640"/>
        <v>1096.6168213869871</v>
      </c>
      <c r="BO669" s="55">
        <f t="shared" si="4641"/>
        <v>1118.1925375967485</v>
      </c>
      <c r="BP669" s="55">
        <f t="shared" si="4642"/>
        <v>1140.1965673103653</v>
      </c>
      <c r="BQ669" s="55">
        <f t="shared" si="4643"/>
        <v>1162.6374565816661</v>
      </c>
      <c r="BR669" s="55"/>
      <c r="BS669" s="53">
        <v>0</v>
      </c>
      <c r="BT669" s="53">
        <v>0</v>
      </c>
      <c r="BU669" s="53">
        <v>0</v>
      </c>
      <c r="BV669" s="53">
        <v>0</v>
      </c>
      <c r="BW669" s="53">
        <v>0</v>
      </c>
      <c r="BX669" s="53">
        <v>0</v>
      </c>
      <c r="BY669" s="53">
        <v>276</v>
      </c>
      <c r="BZ669" s="53">
        <v>281</v>
      </c>
      <c r="CA669" s="53">
        <v>403</v>
      </c>
      <c r="CB669" s="53">
        <v>400</v>
      </c>
      <c r="CC669" s="55">
        <f t="shared" si="4575"/>
        <v>313</v>
      </c>
      <c r="CD669" s="55">
        <f t="shared" si="4576"/>
        <v>287</v>
      </c>
      <c r="CE669" s="55">
        <f t="shared" si="4577"/>
        <v>239</v>
      </c>
      <c r="CF669" s="55">
        <f t="shared" si="4578"/>
        <v>52</v>
      </c>
      <c r="CG669" s="55">
        <f t="shared" si="4579"/>
        <v>190</v>
      </c>
      <c r="CH669" s="55">
        <f t="shared" si="4580"/>
        <v>836</v>
      </c>
      <c r="CI669" s="55">
        <f t="shared" si="4581"/>
        <v>906</v>
      </c>
      <c r="CJ669" s="55">
        <f t="shared" si="4582"/>
        <v>1047</v>
      </c>
      <c r="CK669" s="55">
        <f t="shared" si="4583"/>
        <v>1490</v>
      </c>
      <c r="CL669" s="55">
        <f t="shared" si="4584"/>
        <v>1712</v>
      </c>
      <c r="CM669" s="55">
        <f t="shared" si="4585"/>
        <v>1898</v>
      </c>
      <c r="CN669" s="55">
        <f t="shared" si="4586"/>
        <v>2281</v>
      </c>
      <c r="CO669" s="55">
        <f t="shared" si="4587"/>
        <v>1844</v>
      </c>
      <c r="CP669" s="55">
        <f t="shared" si="4588"/>
        <v>2637</v>
      </c>
      <c r="CQ669" s="55">
        <f t="shared" si="4589"/>
        <v>2776</v>
      </c>
      <c r="CR669" s="55">
        <f t="shared" si="4590"/>
        <v>2778</v>
      </c>
      <c r="CS669" s="55">
        <f t="shared" si="4591"/>
        <v>2842</v>
      </c>
      <c r="CT669" s="55">
        <f t="shared" si="4592"/>
        <v>3001</v>
      </c>
      <c r="CU669" s="55">
        <f t="shared" si="4593"/>
        <v>3034</v>
      </c>
      <c r="CV669" s="55">
        <f t="shared" si="4594"/>
        <v>3941</v>
      </c>
      <c r="CW669" s="55">
        <f t="shared" si="4595"/>
        <v>2801</v>
      </c>
      <c r="CX669" s="55">
        <f t="shared" si="4596"/>
        <v>1827</v>
      </c>
      <c r="CY669" s="55">
        <f t="shared" si="4597"/>
        <v>1671</v>
      </c>
      <c r="CZ669" s="56">
        <f t="shared" si="4598"/>
        <v>798</v>
      </c>
      <c r="DA669" s="55">
        <f t="shared" si="4599"/>
        <v>830.3980223952608</v>
      </c>
      <c r="DB669" s="55">
        <f t="shared" si="4600"/>
        <v>873.6382472406334</v>
      </c>
      <c r="DC669" s="55">
        <f t="shared" si="4601"/>
        <v>916.02348066272077</v>
      </c>
      <c r="DD669" s="55">
        <f t="shared" si="4602"/>
        <v>957.71848723364963</v>
      </c>
      <c r="DE669" s="55">
        <f t="shared" si="4603"/>
        <v>996.12085261371305</v>
      </c>
      <c r="DF669" s="55">
        <f t="shared" si="4604"/>
        <v>1034.3765883304227</v>
      </c>
      <c r="DG669" s="55">
        <f t="shared" si="4605"/>
        <v>1075.4610402798548</v>
      </c>
      <c r="DH669" s="55">
        <f t="shared" si="4606"/>
        <v>1118.1925375967485</v>
      </c>
      <c r="DI669" s="55">
        <f t="shared" si="4607"/>
        <v>1162.6374565816661</v>
      </c>
    </row>
    <row r="670" spans="1:113" outlineLevel="1">
      <c r="A670" s="1" t="s">
        <v>1072</v>
      </c>
      <c r="B670" s="19" t="s">
        <v>1073</v>
      </c>
      <c r="C670" s="53">
        <f>117355-C204</f>
        <v>467</v>
      </c>
      <c r="D670" s="53">
        <f>126194-D204</f>
        <v>1741</v>
      </c>
      <c r="E670" s="53">
        <f>132800-E204</f>
        <v>777</v>
      </c>
      <c r="F670" s="53">
        <f>139348-F204</f>
        <v>1303</v>
      </c>
      <c r="G670" s="53">
        <f>140974-G204</f>
        <v>3822</v>
      </c>
      <c r="H670" s="53">
        <f>158914-H204</f>
        <v>4796</v>
      </c>
      <c r="I670" s="53">
        <f>163177-I204</f>
        <v>4143</v>
      </c>
      <c r="J670" s="53">
        <f>167423-J204</f>
        <v>3671</v>
      </c>
      <c r="K670" s="53">
        <f>168026-K204</f>
        <v>2663</v>
      </c>
      <c r="L670" s="53">
        <f>168723-L204</f>
        <v>1189</v>
      </c>
      <c r="M670" s="53">
        <f>173227-M204</f>
        <v>1410</v>
      </c>
      <c r="N670" s="53">
        <f>188819-N204</f>
        <v>2493</v>
      </c>
      <c r="O670" s="53">
        <f>219068-O204</f>
        <v>3353</v>
      </c>
      <c r="P670" s="53">
        <f>253107-P204</f>
        <v>3346</v>
      </c>
      <c r="Q670" s="53">
        <f>263706-Q204</f>
        <v>1589</v>
      </c>
      <c r="R670" s="53">
        <f>350184-R204</f>
        <v>10062</v>
      </c>
      <c r="S670" s="53">
        <f>368721-S204</f>
        <v>8574</v>
      </c>
      <c r="T670" s="53">
        <f>370167-T204</f>
        <v>3978</v>
      </c>
      <c r="U670" s="53">
        <f>374663-U204</f>
        <v>5760</v>
      </c>
      <c r="V670" s="53">
        <f>395345-V204</f>
        <v>4485</v>
      </c>
      <c r="W670" s="53">
        <f>401147-W204</f>
        <v>4063</v>
      </c>
      <c r="X670" s="53">
        <f>431827-X204</f>
        <v>3696</v>
      </c>
      <c r="Y670" s="53">
        <f>437655-Y204</f>
        <v>5245</v>
      </c>
      <c r="Z670" s="53">
        <f>448410-Z204</f>
        <v>4628</v>
      </c>
      <c r="AA670" s="164">
        <f>459429-AA204</f>
        <v>5572</v>
      </c>
      <c r="AB670" s="164">
        <f>485436-AB204</f>
        <v>10634</v>
      </c>
      <c r="AC670" s="164">
        <f>498352-AC204</f>
        <v>9961</v>
      </c>
      <c r="AD670" s="164">
        <f>522563-AD204</f>
        <v>9067</v>
      </c>
      <c r="AE670" s="164">
        <f>543231-AE204</f>
        <v>12976</v>
      </c>
      <c r="AF670" s="164">
        <f>560498-AF204</f>
        <v>11939</v>
      </c>
      <c r="AG670" s="164">
        <f>588045-AG204</f>
        <v>17124</v>
      </c>
      <c r="AH670" s="164">
        <f>606091-AH204</f>
        <v>13015</v>
      </c>
      <c r="AI670" s="164">
        <f>626655-AI204</f>
        <v>16270</v>
      </c>
      <c r="AJ670" s="164">
        <f>624897-AJ204</f>
        <v>12270</v>
      </c>
      <c r="AK670" s="164">
        <f>622234-AK204</f>
        <v>14696</v>
      </c>
      <c r="AL670" s="164">
        <f>637010-AL204</f>
        <v>18243</v>
      </c>
      <c r="AM670" s="164">
        <f>636040-AM204</f>
        <v>19099</v>
      </c>
      <c r="AN670" s="164">
        <f>662824-AN204</f>
        <v>20346</v>
      </c>
      <c r="AO670" s="164">
        <f>701999-AO204</f>
        <v>16877</v>
      </c>
      <c r="AP670" s="164">
        <f>747980-AP204</f>
        <v>26633</v>
      </c>
      <c r="AQ670" s="164">
        <f>766381-AQ204</f>
        <v>19318</v>
      </c>
      <c r="AR670" s="164">
        <f>815124-AR204</f>
        <v>24157</v>
      </c>
      <c r="AS670" s="164">
        <f>857586-AS204</f>
        <v>33164</v>
      </c>
      <c r="AT670" s="164">
        <f>906324-AT204</f>
        <v>61053</v>
      </c>
      <c r="AU670" s="164">
        <f>926082-AU204</f>
        <v>63386</v>
      </c>
      <c r="AV670" s="164">
        <f>921372-AV204</f>
        <v>51057</v>
      </c>
      <c r="AW670" s="164">
        <f>942210-AW204</f>
        <v>59288</v>
      </c>
      <c r="AX670" s="164">
        <f>902502-AX204</f>
        <v>0</v>
      </c>
      <c r="AY670" s="164">
        <f>937857-AY204</f>
        <v>0</v>
      </c>
      <c r="AZ670" s="171">
        <f>982534-AZ204</f>
        <v>0</v>
      </c>
      <c r="BA670" s="55">
        <f t="shared" ref="BA670:BE670" si="4645">AZ670*BA$204/AZ$204</f>
        <v>0</v>
      </c>
      <c r="BB670" s="55">
        <f t="shared" si="4645"/>
        <v>0</v>
      </c>
      <c r="BC670" s="55">
        <f t="shared" si="4645"/>
        <v>0</v>
      </c>
      <c r="BD670" s="55">
        <f t="shared" si="4645"/>
        <v>0</v>
      </c>
      <c r="BE670" s="55">
        <f t="shared" si="4645"/>
        <v>0</v>
      </c>
      <c r="BF670" s="55">
        <f t="shared" ref="BF670:BM670" si="4646">BE670*BF$204/BE$204</f>
        <v>0</v>
      </c>
      <c r="BG670" s="55">
        <f t="shared" si="4646"/>
        <v>0</v>
      </c>
      <c r="BH670" s="55">
        <f t="shared" si="4646"/>
        <v>0</v>
      </c>
      <c r="BI670" s="55">
        <f t="shared" si="4646"/>
        <v>0</v>
      </c>
      <c r="BJ670" s="55">
        <f t="shared" si="4646"/>
        <v>0</v>
      </c>
      <c r="BK670" s="55">
        <f t="shared" si="4646"/>
        <v>0</v>
      </c>
      <c r="BL670" s="55">
        <f t="shared" si="4646"/>
        <v>0</v>
      </c>
      <c r="BM670" s="55">
        <f t="shared" si="4646"/>
        <v>0</v>
      </c>
      <c r="BN670" s="55">
        <f t="shared" ref="BN670" si="4647">BM670*BN$204/BM$204</f>
        <v>0</v>
      </c>
      <c r="BO670" s="55">
        <f t="shared" ref="BO670" si="4648">BN670*BO$204/BN$204</f>
        <v>0</v>
      </c>
      <c r="BP670" s="55">
        <f t="shared" ref="BP670" si="4649">BO670*BP$204/BO$204</f>
        <v>0</v>
      </c>
      <c r="BQ670" s="55">
        <f t="shared" ref="BQ670" si="4650">BP670*BQ$204/BP$204</f>
        <v>0</v>
      </c>
      <c r="BR670" s="55"/>
      <c r="BS670" s="53">
        <f>63325.2-BS204</f>
        <v>-7746.8000000000029</v>
      </c>
      <c r="BT670" s="53">
        <f>63325.2-BT204</f>
        <v>-11413.800000000003</v>
      </c>
      <c r="BU670" s="53">
        <f>62602.2-BU204</f>
        <v>-10534.800000000003</v>
      </c>
      <c r="BV670" s="53">
        <f>64333-BV204</f>
        <v>-11124</v>
      </c>
      <c r="BW670" s="53">
        <f>71381-BW204</f>
        <v>1573</v>
      </c>
      <c r="BX670" s="53">
        <f>77880-BX204</f>
        <v>827</v>
      </c>
      <c r="BY670" s="53">
        <f>83886-BY204</f>
        <v>739</v>
      </c>
      <c r="BZ670" s="53">
        <f>93428-BZ204</f>
        <v>683</v>
      </c>
      <c r="CA670" s="53">
        <f>112594-CA204</f>
        <v>979</v>
      </c>
      <c r="CB670" s="53">
        <f>117355-CB204</f>
        <v>467</v>
      </c>
      <c r="CC670" s="55">
        <f t="shared" si="4575"/>
        <v>777</v>
      </c>
      <c r="CD670" s="55">
        <f t="shared" si="4576"/>
        <v>3822</v>
      </c>
      <c r="CE670" s="55">
        <f t="shared" si="4577"/>
        <v>4143</v>
      </c>
      <c r="CF670" s="55">
        <f t="shared" si="4578"/>
        <v>2663</v>
      </c>
      <c r="CG670" s="55">
        <f t="shared" si="4579"/>
        <v>1410</v>
      </c>
      <c r="CH670" s="55">
        <f t="shared" si="4580"/>
        <v>3353</v>
      </c>
      <c r="CI670" s="55">
        <f t="shared" si="4581"/>
        <v>1589</v>
      </c>
      <c r="CJ670" s="55">
        <f t="shared" si="4582"/>
        <v>8574</v>
      </c>
      <c r="CK670" s="55">
        <f t="shared" si="4583"/>
        <v>5760</v>
      </c>
      <c r="CL670" s="55">
        <f t="shared" si="4584"/>
        <v>4063</v>
      </c>
      <c r="CM670" s="55">
        <f t="shared" si="4585"/>
        <v>5245</v>
      </c>
      <c r="CN670" s="55">
        <f t="shared" si="4586"/>
        <v>5572</v>
      </c>
      <c r="CO670" s="55">
        <f t="shared" si="4587"/>
        <v>9961</v>
      </c>
      <c r="CP670" s="55">
        <f t="shared" si="4588"/>
        <v>12976</v>
      </c>
      <c r="CQ670" s="55">
        <f t="shared" si="4589"/>
        <v>17124</v>
      </c>
      <c r="CR670" s="55">
        <f t="shared" si="4590"/>
        <v>16270</v>
      </c>
      <c r="CS670" s="55">
        <f t="shared" si="4591"/>
        <v>14696</v>
      </c>
      <c r="CT670" s="55">
        <f t="shared" si="4592"/>
        <v>19099</v>
      </c>
      <c r="CU670" s="55">
        <f t="shared" si="4593"/>
        <v>16877</v>
      </c>
      <c r="CV670" s="55">
        <f t="shared" si="4594"/>
        <v>19318</v>
      </c>
      <c r="CW670" s="55">
        <f t="shared" si="4595"/>
        <v>33164</v>
      </c>
      <c r="CX670" s="55">
        <f t="shared" si="4596"/>
        <v>63386</v>
      </c>
      <c r="CY670" s="55">
        <f t="shared" si="4597"/>
        <v>59288</v>
      </c>
      <c r="CZ670" s="56">
        <f t="shared" si="4598"/>
        <v>0</v>
      </c>
      <c r="DA670" s="55">
        <f t="shared" si="4599"/>
        <v>0</v>
      </c>
      <c r="DB670" s="55">
        <f t="shared" si="4600"/>
        <v>0</v>
      </c>
      <c r="DC670" s="55">
        <f t="shared" si="4601"/>
        <v>0</v>
      </c>
      <c r="DD670" s="55">
        <f t="shared" si="4602"/>
        <v>0</v>
      </c>
      <c r="DE670" s="55">
        <f t="shared" si="4603"/>
        <v>0</v>
      </c>
      <c r="DF670" s="55">
        <f t="shared" si="4604"/>
        <v>0</v>
      </c>
      <c r="DG670" s="55">
        <f t="shared" si="4605"/>
        <v>0</v>
      </c>
      <c r="DH670" s="55">
        <f t="shared" si="4606"/>
        <v>0</v>
      </c>
      <c r="DI670" s="55">
        <f t="shared" si="4607"/>
        <v>0</v>
      </c>
    </row>
    <row r="671" spans="1:113" outlineLevel="1">
      <c r="A671" s="1" t="s">
        <v>903</v>
      </c>
      <c r="B671" s="19" t="s">
        <v>664</v>
      </c>
      <c r="C671" s="53">
        <v>6903</v>
      </c>
      <c r="D671" s="53">
        <v>7267</v>
      </c>
      <c r="E671" s="53">
        <v>7864</v>
      </c>
      <c r="F671" s="53">
        <v>8458</v>
      </c>
      <c r="G671" s="53">
        <v>7538</v>
      </c>
      <c r="H671" s="53">
        <v>5846</v>
      </c>
      <c r="I671" s="53">
        <v>6641</v>
      </c>
      <c r="J671" s="53">
        <v>9512</v>
      </c>
      <c r="K671" s="53">
        <v>8023</v>
      </c>
      <c r="L671" s="53">
        <v>9902</v>
      </c>
      <c r="M671" s="53">
        <v>11184</v>
      </c>
      <c r="N671" s="53">
        <v>12432</v>
      </c>
      <c r="O671" s="53">
        <v>14386</v>
      </c>
      <c r="P671" s="53">
        <v>17972</v>
      </c>
      <c r="Q671" s="53">
        <v>17672</v>
      </c>
      <c r="R671" s="53">
        <v>21682</v>
      </c>
      <c r="S671" s="53">
        <v>15109</v>
      </c>
      <c r="T671" s="53">
        <v>13675</v>
      </c>
      <c r="U671" s="53">
        <v>12608</v>
      </c>
      <c r="V671" s="53">
        <v>13242</v>
      </c>
      <c r="W671" s="53">
        <v>15899</v>
      </c>
      <c r="X671" s="53">
        <v>17424</v>
      </c>
      <c r="Y671" s="53">
        <v>22126</v>
      </c>
      <c r="Z671" s="53">
        <v>23479</v>
      </c>
      <c r="AA671" s="164">
        <v>25922</v>
      </c>
      <c r="AB671" s="164">
        <v>29585</v>
      </c>
      <c r="AC671" s="164">
        <v>24978</v>
      </c>
      <c r="AD671" s="164">
        <v>33957</v>
      </c>
      <c r="AE671" s="164">
        <v>36416</v>
      </c>
      <c r="AF671" s="164">
        <v>35053</v>
      </c>
      <c r="AG671" s="164">
        <v>28771</v>
      </c>
      <c r="AH671" s="164">
        <v>34031</v>
      </c>
      <c r="AI671" s="164">
        <v>28432</v>
      </c>
      <c r="AJ671" s="164">
        <v>24466</v>
      </c>
      <c r="AK671" s="164">
        <v>20899</v>
      </c>
      <c r="AL671" s="164">
        <v>22545</v>
      </c>
      <c r="AM671" s="164">
        <v>23370</v>
      </c>
      <c r="AN671" s="164">
        <v>23822</v>
      </c>
      <c r="AO671" s="164">
        <v>16429</v>
      </c>
      <c r="AP671" s="164">
        <v>11847</v>
      </c>
      <c r="AQ671" s="164">
        <v>19059</v>
      </c>
      <c r="AR671" s="164">
        <v>21487</v>
      </c>
      <c r="AS671" s="164">
        <v>26052</v>
      </c>
      <c r="AT671" s="164">
        <v>19863</v>
      </c>
      <c r="AU671" s="164">
        <v>21910</v>
      </c>
      <c r="AV671" s="164">
        <v>20544</v>
      </c>
      <c r="AW671" s="164">
        <v>24633</v>
      </c>
      <c r="AX671" s="164">
        <v>27599</v>
      </c>
      <c r="AY671" s="164">
        <v>27956</v>
      </c>
      <c r="AZ671" s="171">
        <v>32982</v>
      </c>
      <c r="BA671" s="55">
        <f t="shared" ref="BA671:BE671" si="4651">AZ671*(BA$660-BA$541)/(AZ$660-AZ$541)</f>
        <v>34343.020147926967</v>
      </c>
      <c r="BB671" s="55">
        <f t="shared" si="4651"/>
        <v>35251.127389528257</v>
      </c>
      <c r="BC671" s="55">
        <f t="shared" si="4651"/>
        <v>36227.61392431405</v>
      </c>
      <c r="BD671" s="55">
        <f t="shared" si="4651"/>
        <v>37157.758182055324</v>
      </c>
      <c r="BE671" s="55">
        <f t="shared" si="4651"/>
        <v>38068.146583761452</v>
      </c>
      <c r="BF671" s="55">
        <f t="shared" ref="BF671:BM671" si="4652">BE671*(BF$660-BF$541)/(BE$660-BE$541)</f>
        <v>39014.287073737127</v>
      </c>
      <c r="BG671" s="55">
        <f t="shared" si="4652"/>
        <v>39840.489929867101</v>
      </c>
      <c r="BH671" s="55">
        <f t="shared" si="4652"/>
        <v>40700.575126443568</v>
      </c>
      <c r="BI671" s="55">
        <f t="shared" si="4652"/>
        <v>41437.579380725729</v>
      </c>
      <c r="BJ671" s="55">
        <f t="shared" si="4652"/>
        <v>42205.352166634519</v>
      </c>
      <c r="BK671" s="55">
        <f t="shared" si="4652"/>
        <v>43032.472614062426</v>
      </c>
      <c r="BL671" s="55">
        <f t="shared" si="4652"/>
        <v>43888.280721157054</v>
      </c>
      <c r="BM671" s="55">
        <f t="shared" si="4652"/>
        <v>44749.684462370737</v>
      </c>
      <c r="BN671" s="55">
        <f t="shared" ref="BN671" si="4653">BM671*(BN$660-BN$541)/(BM$660-BM$541)</f>
        <v>45638.368594482228</v>
      </c>
      <c r="BO671" s="55">
        <f t="shared" ref="BO671" si="4654">BN671*(BO$660-BO$541)/(BN$660-BN$541)</f>
        <v>46533.549905660693</v>
      </c>
      <c r="BP671" s="55">
        <f t="shared" ref="BP671" si="4655">BO671*(BP$660-BP$541)/(BO$660-BO$541)</f>
        <v>47456.04313660731</v>
      </c>
      <c r="BQ671" s="55">
        <f t="shared" ref="BQ671" si="4656">BP671*(BQ$660-BQ$541)/(BP$660-BP$541)</f>
        <v>48385.774021134283</v>
      </c>
      <c r="BR671" s="55"/>
      <c r="BS671" s="53">
        <v>3782.2</v>
      </c>
      <c r="BT671" s="53">
        <v>3111.8</v>
      </c>
      <c r="BU671" s="53">
        <v>3414.1</v>
      </c>
      <c r="BV671" s="53">
        <v>3802</v>
      </c>
      <c r="BW671" s="53">
        <v>2852</v>
      </c>
      <c r="BX671" s="53">
        <v>3621</v>
      </c>
      <c r="BY671" s="53">
        <v>3397</v>
      </c>
      <c r="BZ671" s="53">
        <v>3249</v>
      </c>
      <c r="CA671" s="53">
        <v>4633</v>
      </c>
      <c r="CB671" s="53">
        <v>6903</v>
      </c>
      <c r="CC671" s="55">
        <f t="shared" si="4575"/>
        <v>7864</v>
      </c>
      <c r="CD671" s="55">
        <f t="shared" si="4576"/>
        <v>7538</v>
      </c>
      <c r="CE671" s="55">
        <f t="shared" si="4577"/>
        <v>6641</v>
      </c>
      <c r="CF671" s="55">
        <f t="shared" si="4578"/>
        <v>8023</v>
      </c>
      <c r="CG671" s="55">
        <f t="shared" si="4579"/>
        <v>11184</v>
      </c>
      <c r="CH671" s="55">
        <f t="shared" si="4580"/>
        <v>14386</v>
      </c>
      <c r="CI671" s="55">
        <f t="shared" si="4581"/>
        <v>17672</v>
      </c>
      <c r="CJ671" s="55">
        <f t="shared" si="4582"/>
        <v>15109</v>
      </c>
      <c r="CK671" s="55">
        <f t="shared" si="4583"/>
        <v>12608</v>
      </c>
      <c r="CL671" s="55">
        <f t="shared" si="4584"/>
        <v>15899</v>
      </c>
      <c r="CM671" s="55">
        <f t="shared" si="4585"/>
        <v>22126</v>
      </c>
      <c r="CN671" s="55">
        <f t="shared" si="4586"/>
        <v>25922</v>
      </c>
      <c r="CO671" s="55">
        <f t="shared" si="4587"/>
        <v>24978</v>
      </c>
      <c r="CP671" s="55">
        <f t="shared" si="4588"/>
        <v>36416</v>
      </c>
      <c r="CQ671" s="55">
        <f t="shared" si="4589"/>
        <v>28771</v>
      </c>
      <c r="CR671" s="55">
        <f t="shared" si="4590"/>
        <v>28432</v>
      </c>
      <c r="CS671" s="55">
        <f t="shared" si="4591"/>
        <v>20899</v>
      </c>
      <c r="CT671" s="55">
        <f t="shared" si="4592"/>
        <v>23370</v>
      </c>
      <c r="CU671" s="55">
        <f t="shared" si="4593"/>
        <v>16429</v>
      </c>
      <c r="CV671" s="55">
        <f t="shared" si="4594"/>
        <v>19059</v>
      </c>
      <c r="CW671" s="55">
        <f t="shared" si="4595"/>
        <v>26052</v>
      </c>
      <c r="CX671" s="55">
        <f t="shared" si="4596"/>
        <v>21910</v>
      </c>
      <c r="CY671" s="55">
        <f t="shared" si="4597"/>
        <v>24633</v>
      </c>
      <c r="CZ671" s="56">
        <f t="shared" si="4598"/>
        <v>27956</v>
      </c>
      <c r="DA671" s="55">
        <f t="shared" si="4599"/>
        <v>34343.020147926967</v>
      </c>
      <c r="DB671" s="55">
        <f t="shared" si="4600"/>
        <v>36227.61392431405</v>
      </c>
      <c r="DC671" s="55">
        <f t="shared" si="4601"/>
        <v>38068.146583761452</v>
      </c>
      <c r="DD671" s="55">
        <f t="shared" si="4602"/>
        <v>39840.489929867101</v>
      </c>
      <c r="DE671" s="55">
        <f t="shared" si="4603"/>
        <v>41437.579380725729</v>
      </c>
      <c r="DF671" s="55">
        <f t="shared" si="4604"/>
        <v>43032.472614062426</v>
      </c>
      <c r="DG671" s="55">
        <f t="shared" si="4605"/>
        <v>44749.684462370737</v>
      </c>
      <c r="DH671" s="55">
        <f t="shared" si="4606"/>
        <v>46533.549905660693</v>
      </c>
      <c r="DI671" s="55">
        <f t="shared" si="4607"/>
        <v>48385.774021134283</v>
      </c>
    </row>
    <row r="672" spans="1:113" outlineLevel="1">
      <c r="A672" s="1" t="s">
        <v>1047</v>
      </c>
      <c r="B672" s="19" t="s">
        <v>665</v>
      </c>
      <c r="C672" s="53">
        <v>24484</v>
      </c>
      <c r="D672" s="53">
        <v>24751</v>
      </c>
      <c r="E672" s="53">
        <v>23575</v>
      </c>
      <c r="F672" s="53">
        <v>29025</v>
      </c>
      <c r="G672" s="53">
        <v>30629</v>
      </c>
      <c r="H672" s="53">
        <v>33457</v>
      </c>
      <c r="I672" s="53">
        <v>44042</v>
      </c>
      <c r="J672" s="53">
        <v>58850</v>
      </c>
      <c r="K672" s="53">
        <v>70765</v>
      </c>
      <c r="L672" s="53">
        <v>70036</v>
      </c>
      <c r="M672" s="53">
        <v>78591</v>
      </c>
      <c r="N672" s="53">
        <v>82561</v>
      </c>
      <c r="O672" s="53">
        <v>88525</v>
      </c>
      <c r="P672" s="53">
        <v>81468</v>
      </c>
      <c r="Q672" s="53">
        <v>85817</v>
      </c>
      <c r="R672" s="53">
        <v>102399</v>
      </c>
      <c r="S672" s="53">
        <v>101819</v>
      </c>
      <c r="T672" s="53">
        <v>119207</v>
      </c>
      <c r="U672" s="53">
        <v>130210</v>
      </c>
      <c r="V672" s="53">
        <v>113609</v>
      </c>
      <c r="W672" s="53">
        <v>118652</v>
      </c>
      <c r="X672" s="53">
        <v>119307</v>
      </c>
      <c r="Y672" s="53">
        <v>124712</v>
      </c>
      <c r="Z672" s="53">
        <v>119284</v>
      </c>
      <c r="AA672" s="164">
        <v>132808</v>
      </c>
      <c r="AB672" s="164">
        <v>142675</v>
      </c>
      <c r="AC672" s="164">
        <v>142219</v>
      </c>
      <c r="AD672" s="164">
        <v>153249</v>
      </c>
      <c r="AE672" s="164">
        <v>154429</v>
      </c>
      <c r="AF672" s="164">
        <v>160798</v>
      </c>
      <c r="AG672" s="164">
        <v>161284</v>
      </c>
      <c r="AH672" s="164">
        <v>175583</v>
      </c>
      <c r="AI672" s="164">
        <v>167571</v>
      </c>
      <c r="AJ672" s="164">
        <v>166510</v>
      </c>
      <c r="AK672" s="164">
        <v>172294</v>
      </c>
      <c r="AL672" s="164">
        <v>168851</v>
      </c>
      <c r="AM672" s="164">
        <v>163990</v>
      </c>
      <c r="AN672" s="164">
        <v>153327</v>
      </c>
      <c r="AO672" s="164">
        <v>142503</v>
      </c>
      <c r="AP672" s="164">
        <v>122548</v>
      </c>
      <c r="AQ672" s="164">
        <v>103003</v>
      </c>
      <c r="AR672" s="164">
        <v>117466</v>
      </c>
      <c r="AS672" s="164">
        <v>116902</v>
      </c>
      <c r="AT672" s="164">
        <v>118843</v>
      </c>
      <c r="AU672" s="164">
        <v>122267</v>
      </c>
      <c r="AV672" s="164">
        <v>139275</v>
      </c>
      <c r="AW672" s="164">
        <v>144530</v>
      </c>
      <c r="AX672" s="164">
        <v>167125</v>
      </c>
      <c r="AY672" s="164">
        <v>170509</v>
      </c>
      <c r="AZ672" s="171">
        <v>169499</v>
      </c>
      <c r="BA672" s="55">
        <f t="shared" ref="BA672:BE672" si="4657">(BA660-BA541)-SUM(BA670:BA671,BA673:BA674,BA204)</f>
        <v>163896.90092068678</v>
      </c>
      <c r="BB672" s="55">
        <f t="shared" si="4657"/>
        <v>169688.75238062255</v>
      </c>
      <c r="BC672" s="55">
        <f t="shared" si="4657"/>
        <v>177187.94924474368</v>
      </c>
      <c r="BD672" s="55">
        <f t="shared" si="4657"/>
        <v>182454.19064239901</v>
      </c>
      <c r="BE672" s="55">
        <f t="shared" si="4657"/>
        <v>186380.77935718442</v>
      </c>
      <c r="BF672" s="55">
        <f t="shared" ref="BF672:BM672" si="4658">(BF660-BF541)-SUM(BF670:BF671,BF673:BF674,BF204)</f>
        <v>190849.98845723621</v>
      </c>
      <c r="BG672" s="55">
        <f t="shared" si="4658"/>
        <v>190518.82489220053</v>
      </c>
      <c r="BH672" s="55">
        <f t="shared" si="4658"/>
        <v>190631.87327453634</v>
      </c>
      <c r="BI672" s="55">
        <f t="shared" si="4658"/>
        <v>194672.95135031501</v>
      </c>
      <c r="BJ672" s="55">
        <f t="shared" si="4658"/>
        <v>199236.08835823298</v>
      </c>
      <c r="BK672" s="55">
        <f t="shared" si="4658"/>
        <v>203142.06621721573</v>
      </c>
      <c r="BL672" s="55">
        <f t="shared" si="4658"/>
        <v>207546.90086811269</v>
      </c>
      <c r="BM672" s="55">
        <f t="shared" si="4658"/>
        <v>211651.03760279808</v>
      </c>
      <c r="BN672" s="55">
        <f t="shared" ref="BN672:BO672" si="4659">(BN660-BN541)-SUM(BN670:BN671,BN673:BN674,BN204)</f>
        <v>216186.49691143702</v>
      </c>
      <c r="BO672" s="55">
        <f t="shared" si="4659"/>
        <v>220432.31898728688</v>
      </c>
      <c r="BP672" s="55">
        <f t="shared" ref="BP672:BQ672" si="4660">(BP660-BP541)-SUM(BP670:BP671,BP673:BP674,BP204)</f>
        <v>225090.36703282292</v>
      </c>
      <c r="BQ672" s="55">
        <f t="shared" si="4660"/>
        <v>229463.53067976492</v>
      </c>
      <c r="BR672" s="55"/>
      <c r="BS672" s="53">
        <v>4649.3999999999996</v>
      </c>
      <c r="BT672" s="53">
        <v>3424.8</v>
      </c>
      <c r="BU672" s="53">
        <v>3935.8</v>
      </c>
      <c r="BV672" s="53">
        <v>4921</v>
      </c>
      <c r="BW672" s="53">
        <v>6673</v>
      </c>
      <c r="BX672" s="53">
        <v>10154</v>
      </c>
      <c r="BY672" s="53">
        <v>10608</v>
      </c>
      <c r="BZ672" s="53">
        <v>10763</v>
      </c>
      <c r="CA672" s="53">
        <v>25275</v>
      </c>
      <c r="CB672" s="53">
        <v>24484</v>
      </c>
      <c r="CC672" s="55">
        <f t="shared" si="4575"/>
        <v>23575</v>
      </c>
      <c r="CD672" s="55">
        <f t="shared" si="4576"/>
        <v>30629</v>
      </c>
      <c r="CE672" s="55">
        <f t="shared" si="4577"/>
        <v>44042</v>
      </c>
      <c r="CF672" s="55">
        <f t="shared" si="4578"/>
        <v>70765</v>
      </c>
      <c r="CG672" s="55">
        <f t="shared" si="4579"/>
        <v>78591</v>
      </c>
      <c r="CH672" s="55">
        <f t="shared" si="4580"/>
        <v>88525</v>
      </c>
      <c r="CI672" s="55">
        <f t="shared" si="4581"/>
        <v>85817</v>
      </c>
      <c r="CJ672" s="55">
        <f t="shared" si="4582"/>
        <v>101819</v>
      </c>
      <c r="CK672" s="55">
        <f t="shared" si="4583"/>
        <v>130210</v>
      </c>
      <c r="CL672" s="55">
        <f t="shared" si="4584"/>
        <v>118652</v>
      </c>
      <c r="CM672" s="55">
        <f t="shared" si="4585"/>
        <v>124712</v>
      </c>
      <c r="CN672" s="55">
        <f t="shared" si="4586"/>
        <v>132808</v>
      </c>
      <c r="CO672" s="55">
        <f t="shared" si="4587"/>
        <v>142219</v>
      </c>
      <c r="CP672" s="55">
        <f t="shared" si="4588"/>
        <v>154429</v>
      </c>
      <c r="CQ672" s="55">
        <f t="shared" si="4589"/>
        <v>161284</v>
      </c>
      <c r="CR672" s="55">
        <f t="shared" si="4590"/>
        <v>167571</v>
      </c>
      <c r="CS672" s="55">
        <f t="shared" si="4591"/>
        <v>172294</v>
      </c>
      <c r="CT672" s="55">
        <f t="shared" si="4592"/>
        <v>163990</v>
      </c>
      <c r="CU672" s="55">
        <f t="shared" si="4593"/>
        <v>142503</v>
      </c>
      <c r="CV672" s="55">
        <f t="shared" si="4594"/>
        <v>103003</v>
      </c>
      <c r="CW672" s="55">
        <f t="shared" si="4595"/>
        <v>116902</v>
      </c>
      <c r="CX672" s="55">
        <f t="shared" si="4596"/>
        <v>122267</v>
      </c>
      <c r="CY672" s="55">
        <f t="shared" si="4597"/>
        <v>144530</v>
      </c>
      <c r="CZ672" s="56">
        <f t="shared" si="4598"/>
        <v>170509</v>
      </c>
      <c r="DA672" s="55">
        <f t="shared" si="4599"/>
        <v>163896.90092068678</v>
      </c>
      <c r="DB672" s="55">
        <f t="shared" si="4600"/>
        <v>177187.94924474368</v>
      </c>
      <c r="DC672" s="55">
        <f t="shared" si="4601"/>
        <v>186380.77935718442</v>
      </c>
      <c r="DD672" s="55">
        <f t="shared" si="4602"/>
        <v>190518.82489220053</v>
      </c>
      <c r="DE672" s="55">
        <f t="shared" si="4603"/>
        <v>194672.95135031501</v>
      </c>
      <c r="DF672" s="55">
        <f t="shared" si="4604"/>
        <v>203142.06621721573</v>
      </c>
      <c r="DG672" s="55">
        <f t="shared" si="4605"/>
        <v>211651.03760279808</v>
      </c>
      <c r="DH672" s="55">
        <f t="shared" si="4606"/>
        <v>220432.31898728688</v>
      </c>
      <c r="DI672" s="55">
        <f t="shared" si="4607"/>
        <v>229463.53067976492</v>
      </c>
    </row>
    <row r="673" spans="1:113" outlineLevel="1">
      <c r="A673" s="1" t="s">
        <v>937</v>
      </c>
      <c r="B673" s="19" t="s">
        <v>662</v>
      </c>
      <c r="C673" s="53">
        <v>1007</v>
      </c>
      <c r="D673" s="53">
        <v>981</v>
      </c>
      <c r="E673" s="53">
        <v>834</v>
      </c>
      <c r="F673" s="53">
        <v>745</v>
      </c>
      <c r="G673" s="53">
        <v>819</v>
      </c>
      <c r="H673" s="53">
        <v>1041</v>
      </c>
      <c r="I673" s="53">
        <v>997</v>
      </c>
      <c r="J673" s="53">
        <v>849</v>
      </c>
      <c r="K673" s="53">
        <v>871</v>
      </c>
      <c r="L673" s="53">
        <v>846</v>
      </c>
      <c r="M673" s="53">
        <v>821</v>
      </c>
      <c r="N673" s="53">
        <v>826</v>
      </c>
      <c r="O673" s="53">
        <v>878</v>
      </c>
      <c r="P673" s="53">
        <v>875</v>
      </c>
      <c r="Q673" s="53">
        <v>1174</v>
      </c>
      <c r="R673" s="53">
        <v>1191</v>
      </c>
      <c r="S673" s="53">
        <v>1243</v>
      </c>
      <c r="T673" s="53">
        <v>1106</v>
      </c>
      <c r="U673" s="53">
        <v>1197</v>
      </c>
      <c r="V673" s="53">
        <v>1194</v>
      </c>
      <c r="W673" s="53">
        <v>1277</v>
      </c>
      <c r="X673" s="53">
        <v>1255</v>
      </c>
      <c r="Y673" s="53">
        <v>1224</v>
      </c>
      <c r="Z673" s="53">
        <v>1223</v>
      </c>
      <c r="AA673" s="164">
        <v>1249</v>
      </c>
      <c r="AB673" s="164">
        <v>1252</v>
      </c>
      <c r="AC673" s="164">
        <v>1363</v>
      </c>
      <c r="AD673" s="164">
        <v>1473</v>
      </c>
      <c r="AE673" s="164">
        <v>1726</v>
      </c>
      <c r="AF673" s="164">
        <v>1657</v>
      </c>
      <c r="AG673" s="164">
        <v>1656</v>
      </c>
      <c r="AH673" s="164">
        <v>1625</v>
      </c>
      <c r="AI673" s="164">
        <v>1780</v>
      </c>
      <c r="AJ673" s="164">
        <v>2120</v>
      </c>
      <c r="AK673" s="164">
        <v>1889</v>
      </c>
      <c r="AL673" s="164">
        <v>2171</v>
      </c>
      <c r="AM673" s="164">
        <v>2751</v>
      </c>
      <c r="AN673" s="164">
        <v>2999</v>
      </c>
      <c r="AO673" s="164">
        <v>3408</v>
      </c>
      <c r="AP673" s="164">
        <v>3607</v>
      </c>
      <c r="AQ673" s="164">
        <v>3733</v>
      </c>
      <c r="AR673" s="164">
        <v>3776</v>
      </c>
      <c r="AS673" s="164">
        <v>3636</v>
      </c>
      <c r="AT673" s="164">
        <v>3163</v>
      </c>
      <c r="AU673" s="164">
        <v>3013</v>
      </c>
      <c r="AV673" s="164">
        <v>2772</v>
      </c>
      <c r="AW673" s="164">
        <v>2908</v>
      </c>
      <c r="AX673" s="164">
        <v>2711</v>
      </c>
      <c r="AY673" s="164">
        <v>2831</v>
      </c>
      <c r="AZ673" s="171">
        <v>3098</v>
      </c>
      <c r="BA673" s="55">
        <f t="shared" ref="BA673:BE673" si="4661">AZ673*(BA$660-BA$541)/(AZ$660-AZ$541)</f>
        <v>3225.8406530312818</v>
      </c>
      <c r="BB673" s="55">
        <f t="shared" si="4661"/>
        <v>3311.1391866096214</v>
      </c>
      <c r="BC673" s="55">
        <f t="shared" si="4661"/>
        <v>3402.8605887309723</v>
      </c>
      <c r="BD673" s="55">
        <f t="shared" si="4661"/>
        <v>3490.2290597297733</v>
      </c>
      <c r="BE673" s="55">
        <f t="shared" si="4661"/>
        <v>3575.7418627279412</v>
      </c>
      <c r="BF673" s="55">
        <f t="shared" ref="BF673:BM674" si="4662">BE673*(BF$660-BF$541)/(BE$660-BE$541)</f>
        <v>3664.6128601794185</v>
      </c>
      <c r="BG673" s="55">
        <f t="shared" si="4662"/>
        <v>3742.2181129927912</v>
      </c>
      <c r="BH673" s="55">
        <f t="shared" si="4662"/>
        <v>3823.0059348045042</v>
      </c>
      <c r="BI673" s="55">
        <f t="shared" si="4662"/>
        <v>3892.232760945009</v>
      </c>
      <c r="BJ673" s="55">
        <f t="shared" si="4662"/>
        <v>3964.349675951541</v>
      </c>
      <c r="BK673" s="55">
        <f t="shared" si="4662"/>
        <v>4042.0411181361164</v>
      </c>
      <c r="BL673" s="55">
        <f t="shared" si="4662"/>
        <v>4122.4271928368371</v>
      </c>
      <c r="BM673" s="55">
        <f t="shared" si="4662"/>
        <v>4203.3388655759072</v>
      </c>
      <c r="BN673" s="55">
        <f t="shared" ref="BN673:BN674" si="4663">BM673*(BN$660-BN$541)/(BM$660-BM$541)</f>
        <v>4286.812986044084</v>
      </c>
      <c r="BO673" s="55">
        <f t="shared" ref="BO673:BO674" si="4664">BN673*(BO$660-BO$541)/(BN$660-BN$541)</f>
        <v>4370.8973866877941</v>
      </c>
      <c r="BP673" s="55">
        <f t="shared" ref="BP673:BP674" si="4665">BO673*(BP$660-BP$541)/(BO$660-BO$541)</f>
        <v>4457.5471965681118</v>
      </c>
      <c r="BQ673" s="55">
        <f t="shared" ref="BQ673:BQ674" si="4666">BP673*(BQ$660-BQ$541)/(BP$660-BP$541)</f>
        <v>4544.8768394116196</v>
      </c>
      <c r="BR673" s="55"/>
      <c r="BS673" s="53">
        <v>604.6</v>
      </c>
      <c r="BT673" s="53">
        <v>807.4</v>
      </c>
      <c r="BU673" s="53">
        <v>687.7</v>
      </c>
      <c r="BV673" s="53">
        <v>874</v>
      </c>
      <c r="BW673" s="53">
        <v>858</v>
      </c>
      <c r="BX673" s="53">
        <v>835</v>
      </c>
      <c r="BY673" s="53">
        <v>875</v>
      </c>
      <c r="BZ673" s="53">
        <v>805</v>
      </c>
      <c r="CA673" s="53">
        <v>1554</v>
      </c>
      <c r="CB673" s="53">
        <v>1007</v>
      </c>
      <c r="CC673" s="55">
        <f t="shared" si="4575"/>
        <v>834</v>
      </c>
      <c r="CD673" s="55">
        <f t="shared" si="4576"/>
        <v>819</v>
      </c>
      <c r="CE673" s="55">
        <f t="shared" si="4577"/>
        <v>997</v>
      </c>
      <c r="CF673" s="55">
        <f t="shared" si="4578"/>
        <v>871</v>
      </c>
      <c r="CG673" s="55">
        <f t="shared" si="4579"/>
        <v>821</v>
      </c>
      <c r="CH673" s="55">
        <f t="shared" si="4580"/>
        <v>878</v>
      </c>
      <c r="CI673" s="55">
        <f t="shared" si="4581"/>
        <v>1174</v>
      </c>
      <c r="CJ673" s="55">
        <f t="shared" si="4582"/>
        <v>1243</v>
      </c>
      <c r="CK673" s="55">
        <f t="shared" si="4583"/>
        <v>1197</v>
      </c>
      <c r="CL673" s="55">
        <f t="shared" si="4584"/>
        <v>1277</v>
      </c>
      <c r="CM673" s="55">
        <f t="shared" si="4585"/>
        <v>1224</v>
      </c>
      <c r="CN673" s="55">
        <f t="shared" si="4586"/>
        <v>1249</v>
      </c>
      <c r="CO673" s="55">
        <f t="shared" si="4587"/>
        <v>1363</v>
      </c>
      <c r="CP673" s="55">
        <f t="shared" si="4588"/>
        <v>1726</v>
      </c>
      <c r="CQ673" s="55">
        <f t="shared" si="4589"/>
        <v>1656</v>
      </c>
      <c r="CR673" s="55">
        <f t="shared" si="4590"/>
        <v>1780</v>
      </c>
      <c r="CS673" s="55">
        <f t="shared" si="4591"/>
        <v>1889</v>
      </c>
      <c r="CT673" s="55">
        <f t="shared" si="4592"/>
        <v>2751</v>
      </c>
      <c r="CU673" s="55">
        <f t="shared" si="4593"/>
        <v>3408</v>
      </c>
      <c r="CV673" s="55">
        <f t="shared" si="4594"/>
        <v>3733</v>
      </c>
      <c r="CW673" s="55">
        <f t="shared" si="4595"/>
        <v>3636</v>
      </c>
      <c r="CX673" s="55">
        <f t="shared" si="4596"/>
        <v>3013</v>
      </c>
      <c r="CY673" s="55">
        <f t="shared" si="4597"/>
        <v>2908</v>
      </c>
      <c r="CZ673" s="56">
        <f t="shared" si="4598"/>
        <v>2831</v>
      </c>
      <c r="DA673" s="55">
        <f t="shared" si="4599"/>
        <v>3225.8406530312818</v>
      </c>
      <c r="DB673" s="55">
        <f t="shared" si="4600"/>
        <v>3402.8605887309723</v>
      </c>
      <c r="DC673" s="55">
        <f t="shared" si="4601"/>
        <v>3575.7418627279412</v>
      </c>
      <c r="DD673" s="55">
        <f t="shared" si="4602"/>
        <v>3742.2181129927912</v>
      </c>
      <c r="DE673" s="55">
        <f t="shared" si="4603"/>
        <v>3892.232760945009</v>
      </c>
      <c r="DF673" s="55">
        <f t="shared" si="4604"/>
        <v>4042.0411181361164</v>
      </c>
      <c r="DG673" s="55">
        <f t="shared" si="4605"/>
        <v>4203.3388655759072</v>
      </c>
      <c r="DH673" s="55">
        <f t="shared" si="4606"/>
        <v>4370.8973866877941</v>
      </c>
      <c r="DI673" s="55">
        <f t="shared" si="4607"/>
        <v>4544.8768394116196</v>
      </c>
    </row>
    <row r="674" spans="1:113" outlineLevel="1">
      <c r="A674" s="1" t="s">
        <v>938</v>
      </c>
      <c r="B674" s="19" t="s">
        <v>663</v>
      </c>
      <c r="C674" s="55">
        <f t="shared" ref="C674:L674" si="4667">(C660-C541)-SUM(C670:C673,C204)</f>
        <v>60814</v>
      </c>
      <c r="D674" s="55">
        <f t="shared" si="4667"/>
        <v>60056</v>
      </c>
      <c r="E674" s="55">
        <f t="shared" si="4667"/>
        <v>63519</v>
      </c>
      <c r="F674" s="55">
        <f t="shared" si="4667"/>
        <v>61995</v>
      </c>
      <c r="G674" s="55">
        <f t="shared" si="4667"/>
        <v>62998</v>
      </c>
      <c r="H674" s="55">
        <f t="shared" si="4667"/>
        <v>63420</v>
      </c>
      <c r="I674" s="55">
        <f t="shared" si="4667"/>
        <v>66253</v>
      </c>
      <c r="J674" s="55">
        <f t="shared" si="4667"/>
        <v>66624</v>
      </c>
      <c r="K674" s="55">
        <f t="shared" si="4667"/>
        <v>67076</v>
      </c>
      <c r="L674" s="55">
        <f t="shared" si="4667"/>
        <v>81836</v>
      </c>
      <c r="M674" s="55">
        <f t="shared" ref="M674:X674" si="4668">(M660-M541)-SUM(M670:M673,M204)</f>
        <v>83937</v>
      </c>
      <c r="N674" s="55">
        <f t="shared" si="4668"/>
        <v>90136</v>
      </c>
      <c r="O674" s="55">
        <f t="shared" si="4668"/>
        <v>92856</v>
      </c>
      <c r="P674" s="55">
        <f t="shared" si="4668"/>
        <v>93604</v>
      </c>
      <c r="Q674" s="55">
        <f t="shared" si="4668"/>
        <v>93066</v>
      </c>
      <c r="R674" s="55">
        <f t="shared" si="4668"/>
        <v>113318</v>
      </c>
      <c r="S674" s="55">
        <f t="shared" si="4668"/>
        <v>102038</v>
      </c>
      <c r="T674" s="55">
        <f t="shared" si="4668"/>
        <v>87738</v>
      </c>
      <c r="U674" s="55">
        <f t="shared" si="4668"/>
        <v>92082</v>
      </c>
      <c r="V674" s="55">
        <f t="shared" si="4668"/>
        <v>90903</v>
      </c>
      <c r="W674" s="55">
        <f t="shared" si="4668"/>
        <v>93637</v>
      </c>
      <c r="X674" s="55">
        <f t="shared" si="4668"/>
        <v>93298</v>
      </c>
      <c r="Y674" s="55">
        <f>(Y660-Y541)-SUM(Y670:Y673,Y204)</f>
        <v>91570</v>
      </c>
      <c r="Z674" s="55">
        <f>(Z660-Z541)-SUM(Z670:Z673,Z204)</f>
        <v>86439</v>
      </c>
      <c r="AA674" s="55">
        <f>(AA660-AA541)-SUM(AA670:AA673,AA204)</f>
        <v>88912</v>
      </c>
      <c r="AB674" s="55">
        <f t="shared" ref="AB674:AI674" si="4669">AA674*(AB$660-AB$541)/(AA$660-AA$541)</f>
        <v>92294.150621188164</v>
      </c>
      <c r="AC674" s="55">
        <f t="shared" si="4669"/>
        <v>93152.617370679916</v>
      </c>
      <c r="AD674" s="55">
        <f t="shared" si="4669"/>
        <v>100380.35760108427</v>
      </c>
      <c r="AE674" s="55">
        <f t="shared" si="4669"/>
        <v>102987.51572170771</v>
      </c>
      <c r="AF674" s="55">
        <f t="shared" si="4669"/>
        <v>105858.77883442512</v>
      </c>
      <c r="AG674" s="55">
        <f t="shared" si="4669"/>
        <v>109512.81700926134</v>
      </c>
      <c r="AH674" s="55">
        <f t="shared" si="4669"/>
        <v>114216.2457420375</v>
      </c>
      <c r="AI674" s="55">
        <f t="shared" si="4669"/>
        <v>114561.56552970409</v>
      </c>
      <c r="AJ674" s="55">
        <f t="shared" ref="AJ674:AZ674" si="4670">AI674*(AJ$660-AJ$541)/(AI$660-AI$541)</f>
        <v>112450.35742037499</v>
      </c>
      <c r="AK674" s="55">
        <f t="shared" si="4670"/>
        <v>113889.62920713804</v>
      </c>
      <c r="AL674" s="55">
        <f t="shared" si="4670"/>
        <v>114460.39222950082</v>
      </c>
      <c r="AM674" s="55">
        <f t="shared" si="4670"/>
        <v>113832.89182290493</v>
      </c>
      <c r="AN674" s="55">
        <f t="shared" si="4670"/>
        <v>114066.61971990064</v>
      </c>
      <c r="AO674" s="55">
        <f t="shared" si="4670"/>
        <v>118437.15565845949</v>
      </c>
      <c r="AP674" s="55">
        <f t="shared" si="4670"/>
        <v>123556.07275807548</v>
      </c>
      <c r="AQ674" s="55">
        <f t="shared" si="4670"/>
        <v>127189.27375197655</v>
      </c>
      <c r="AR674" s="55">
        <f t="shared" si="4670"/>
        <v>134958.40411113625</v>
      </c>
      <c r="AS674" s="55">
        <f t="shared" si="4670"/>
        <v>143402.73444770728</v>
      </c>
      <c r="AT674" s="55">
        <f t="shared" si="4670"/>
        <v>145563.77605601991</v>
      </c>
      <c r="AU674" s="55">
        <f t="shared" si="4670"/>
        <v>148104.65687824716</v>
      </c>
      <c r="AV674" s="55">
        <f t="shared" si="4670"/>
        <v>151023.11746103459</v>
      </c>
      <c r="AW674" s="55">
        <f t="shared" si="4670"/>
        <v>148243.73878473011</v>
      </c>
      <c r="AX674" s="55">
        <f t="shared" si="4670"/>
        <v>154810.46338378137</v>
      </c>
      <c r="AY674" s="55">
        <f t="shared" si="4670"/>
        <v>160047.49968375877</v>
      </c>
      <c r="AZ674" s="56">
        <f t="shared" si="4670"/>
        <v>167136.28353286651</v>
      </c>
      <c r="BA674" s="55">
        <f t="shared" ref="BA674:BE674" si="4671">AZ674*(BA$660-BA$541)/(AZ$660-AZ$541)</f>
        <v>174033.25307194435</v>
      </c>
      <c r="BB674" s="55">
        <f t="shared" si="4671"/>
        <v>178635.08647836369</v>
      </c>
      <c r="BC674" s="55">
        <f t="shared" si="4671"/>
        <v>183583.43194995381</v>
      </c>
      <c r="BD674" s="55">
        <f t="shared" si="4671"/>
        <v>188296.93793468224</v>
      </c>
      <c r="BE674" s="55">
        <f t="shared" si="4671"/>
        <v>192910.33111983136</v>
      </c>
      <c r="BF674" s="55">
        <f t="shared" si="4662"/>
        <v>197704.89801069605</v>
      </c>
      <c r="BG674" s="55">
        <f t="shared" si="4662"/>
        <v>201891.68094738285</v>
      </c>
      <c r="BH674" s="55">
        <f t="shared" si="4662"/>
        <v>206250.16264277507</v>
      </c>
      <c r="BI674" s="55">
        <f t="shared" si="4662"/>
        <v>209984.93166856587</v>
      </c>
      <c r="BJ674" s="55">
        <f t="shared" si="4662"/>
        <v>213875.62022700594</v>
      </c>
      <c r="BK674" s="55">
        <f t="shared" si="4662"/>
        <v>218067.05305755421</v>
      </c>
      <c r="BL674" s="55">
        <f t="shared" si="4662"/>
        <v>222403.86060218746</v>
      </c>
      <c r="BM674" s="55">
        <f t="shared" si="4662"/>
        <v>226769.02402247011</v>
      </c>
      <c r="BN674" s="55">
        <f t="shared" si="4663"/>
        <v>231272.43082241391</v>
      </c>
      <c r="BO674" s="55">
        <f t="shared" si="4664"/>
        <v>235808.76207699053</v>
      </c>
      <c r="BP674" s="55">
        <f t="shared" si="4665"/>
        <v>240483.49648377739</v>
      </c>
      <c r="BQ674" s="55">
        <f t="shared" si="4666"/>
        <v>245194.90769976075</v>
      </c>
      <c r="BR674" s="55"/>
      <c r="BS674" s="55">
        <f t="shared" ref="BS674:CB674" si="4672">(BS660-BS541)-SUM(BS670:BS673,BS204)</f>
        <v>10455.600000000006</v>
      </c>
      <c r="BT674" s="55">
        <f t="shared" si="4672"/>
        <v>14677.900000000009</v>
      </c>
      <c r="BU674" s="55">
        <f t="shared" si="4672"/>
        <v>14610.199999999997</v>
      </c>
      <c r="BV674" s="55">
        <f t="shared" si="4672"/>
        <v>22149</v>
      </c>
      <c r="BW674" s="55">
        <f t="shared" si="4672"/>
        <v>20154</v>
      </c>
      <c r="BX674" s="55">
        <f t="shared" si="4672"/>
        <v>20589</v>
      </c>
      <c r="BY674" s="55">
        <f t="shared" si="4672"/>
        <v>24889</v>
      </c>
      <c r="BZ674" s="55">
        <f t="shared" si="4672"/>
        <v>22889</v>
      </c>
      <c r="CA674" s="55">
        <f t="shared" si="4672"/>
        <v>55768</v>
      </c>
      <c r="CB674" s="55">
        <f t="shared" si="4672"/>
        <v>60814</v>
      </c>
      <c r="CC674" s="55">
        <f t="shared" si="4575"/>
        <v>63519</v>
      </c>
      <c r="CD674" s="55">
        <f t="shared" si="4576"/>
        <v>62998</v>
      </c>
      <c r="CE674" s="55">
        <f t="shared" si="4577"/>
        <v>66253</v>
      </c>
      <c r="CF674" s="55">
        <f t="shared" si="4578"/>
        <v>67076</v>
      </c>
      <c r="CG674" s="55">
        <f t="shared" si="4579"/>
        <v>83937</v>
      </c>
      <c r="CH674" s="55">
        <f t="shared" si="4580"/>
        <v>92856</v>
      </c>
      <c r="CI674" s="55">
        <f t="shared" si="4581"/>
        <v>93066</v>
      </c>
      <c r="CJ674" s="55">
        <f t="shared" si="4582"/>
        <v>102038</v>
      </c>
      <c r="CK674" s="55">
        <f t="shared" si="4583"/>
        <v>92082</v>
      </c>
      <c r="CL674" s="55">
        <f t="shared" si="4584"/>
        <v>93637</v>
      </c>
      <c r="CM674" s="55">
        <f t="shared" si="4585"/>
        <v>91570</v>
      </c>
      <c r="CN674" s="55">
        <f t="shared" si="4586"/>
        <v>88912</v>
      </c>
      <c r="CO674" s="55">
        <f t="shared" si="4587"/>
        <v>93152.617370679916</v>
      </c>
      <c r="CP674" s="55">
        <f t="shared" si="4588"/>
        <v>102987.51572170771</v>
      </c>
      <c r="CQ674" s="55">
        <f t="shared" si="4589"/>
        <v>109512.81700926134</v>
      </c>
      <c r="CR674" s="55">
        <f t="shared" si="4590"/>
        <v>114561.56552970409</v>
      </c>
      <c r="CS674" s="55">
        <f t="shared" si="4591"/>
        <v>113889.62920713804</v>
      </c>
      <c r="CT674" s="55">
        <f t="shared" si="4592"/>
        <v>113832.89182290493</v>
      </c>
      <c r="CU674" s="55">
        <f t="shared" si="4593"/>
        <v>118437.15565845949</v>
      </c>
      <c r="CV674" s="55">
        <f t="shared" si="4594"/>
        <v>127189.27375197655</v>
      </c>
      <c r="CW674" s="55">
        <f t="shared" si="4595"/>
        <v>143402.73444770728</v>
      </c>
      <c r="CX674" s="55">
        <f t="shared" si="4596"/>
        <v>148104.65687824716</v>
      </c>
      <c r="CY674" s="55">
        <f t="shared" si="4597"/>
        <v>148243.73878473011</v>
      </c>
      <c r="CZ674" s="56">
        <f t="shared" si="4598"/>
        <v>160047.49968375877</v>
      </c>
      <c r="DA674" s="55">
        <f t="shared" si="4599"/>
        <v>174033.25307194435</v>
      </c>
      <c r="DB674" s="55">
        <f t="shared" si="4600"/>
        <v>183583.43194995381</v>
      </c>
      <c r="DC674" s="55">
        <f t="shared" si="4601"/>
        <v>192910.33111983136</v>
      </c>
      <c r="DD674" s="55">
        <f t="shared" si="4602"/>
        <v>201891.68094738285</v>
      </c>
      <c r="DE674" s="55">
        <f t="shared" si="4603"/>
        <v>209984.93166856587</v>
      </c>
      <c r="DF674" s="55">
        <f t="shared" si="4604"/>
        <v>218067.05305755421</v>
      </c>
      <c r="DG674" s="55">
        <f t="shared" si="4605"/>
        <v>226769.02402247011</v>
      </c>
      <c r="DH674" s="55">
        <f t="shared" si="4606"/>
        <v>235808.76207699053</v>
      </c>
      <c r="DI674" s="55">
        <f t="shared" si="4607"/>
        <v>245194.90769976075</v>
      </c>
    </row>
    <row r="675" spans="1:113" outlineLevel="1">
      <c r="A675" s="1" t="s">
        <v>939</v>
      </c>
      <c r="B675" s="19" t="s">
        <v>552</v>
      </c>
      <c r="C675" s="53">
        <v>4091</v>
      </c>
      <c r="D675" s="53">
        <v>4131</v>
      </c>
      <c r="E675" s="53">
        <v>4226</v>
      </c>
      <c r="F675" s="53">
        <v>4014</v>
      </c>
      <c r="G675" s="53">
        <v>3850</v>
      </c>
      <c r="H675" s="53">
        <v>3626</v>
      </c>
      <c r="I675" s="53">
        <v>3946</v>
      </c>
      <c r="J675" s="53">
        <v>1098</v>
      </c>
      <c r="K675" s="53">
        <v>1265</v>
      </c>
      <c r="L675" s="53">
        <v>1936</v>
      </c>
      <c r="M675" s="53">
        <v>1904</v>
      </c>
      <c r="N675" s="53">
        <v>1979</v>
      </c>
      <c r="O675" s="53">
        <v>2143</v>
      </c>
      <c r="P675" s="53">
        <v>1673</v>
      </c>
      <c r="Q675" s="53">
        <v>1206</v>
      </c>
      <c r="R675" s="53">
        <v>958</v>
      </c>
      <c r="S675" s="53">
        <v>516</v>
      </c>
      <c r="T675" s="53">
        <v>459</v>
      </c>
      <c r="U675" s="53">
        <v>1089</v>
      </c>
      <c r="V675" s="53">
        <v>269</v>
      </c>
      <c r="W675" s="53">
        <v>392</v>
      </c>
      <c r="X675" s="53">
        <v>829</v>
      </c>
      <c r="Y675" s="53">
        <v>1571</v>
      </c>
      <c r="Z675" s="53">
        <v>1262</v>
      </c>
      <c r="AA675" s="164">
        <v>1333</v>
      </c>
      <c r="AB675" s="164">
        <v>1780</v>
      </c>
      <c r="AC675" s="164">
        <v>2009</v>
      </c>
      <c r="AD675" s="164">
        <v>2674</v>
      </c>
      <c r="AE675" s="164">
        <v>2345</v>
      </c>
      <c r="AF675" s="164">
        <v>2554</v>
      </c>
      <c r="AG675" s="164">
        <v>2734</v>
      </c>
      <c r="AH675" s="164">
        <v>2144</v>
      </c>
      <c r="AI675" s="164">
        <v>1869</v>
      </c>
      <c r="AJ675" s="164">
        <v>1494</v>
      </c>
      <c r="AK675" s="164">
        <v>1676</v>
      </c>
      <c r="AL675" s="164">
        <v>2051</v>
      </c>
      <c r="AM675" s="164">
        <v>3092</v>
      </c>
      <c r="AN675" s="164">
        <v>1910</v>
      </c>
      <c r="AO675" s="164">
        <v>2666</v>
      </c>
      <c r="AP675" s="164">
        <v>2287</v>
      </c>
      <c r="AQ675" s="164">
        <v>3249</v>
      </c>
      <c r="AR675" s="164">
        <v>2848</v>
      </c>
      <c r="AS675" s="164">
        <v>-460</v>
      </c>
      <c r="AT675" s="164">
        <v>-1540</v>
      </c>
      <c r="AU675" s="164">
        <v>-2295</v>
      </c>
      <c r="AV675" s="164">
        <v>-1583</v>
      </c>
      <c r="AW675" s="164">
        <v>-2147</v>
      </c>
      <c r="AX675" s="164">
        <v>-900</v>
      </c>
      <c r="AY675" s="164">
        <v>1242</v>
      </c>
      <c r="AZ675" s="171">
        <v>-1367</v>
      </c>
      <c r="BA675" s="55">
        <f t="shared" ref="BA675:BE675" si="4673">AZ675+SUM(BA526:BA528)</f>
        <v>-815.11503449061149</v>
      </c>
      <c r="BB675" s="55">
        <f t="shared" si="4673"/>
        <v>-1064.4303837907171</v>
      </c>
      <c r="BC675" s="55">
        <f t="shared" si="4673"/>
        <v>-1142.7013368378348</v>
      </c>
      <c r="BD675" s="55">
        <f t="shared" si="4673"/>
        <v>-1217.4934783551744</v>
      </c>
      <c r="BE675" s="55">
        <f t="shared" si="4673"/>
        <v>-1353.3993738241177</v>
      </c>
      <c r="BF675" s="55">
        <f t="shared" ref="BF675:BK675" si="4674">BE675+SUM(BF526:BF528)</f>
        <v>-1483.579505284355</v>
      </c>
      <c r="BG675" s="55">
        <f t="shared" si="4674"/>
        <v>-1606.4611860293278</v>
      </c>
      <c r="BH675" s="55">
        <f t="shared" si="4674"/>
        <v>-1723.7417121594913</v>
      </c>
      <c r="BI675" s="55">
        <f t="shared" si="4674"/>
        <v>-1835.2994115028348</v>
      </c>
      <c r="BJ675" s="55">
        <f t="shared" si="4674"/>
        <v>-1942.3571730229983</v>
      </c>
      <c r="BK675" s="55">
        <f t="shared" si="4674"/>
        <v>-1942.3571730229983</v>
      </c>
      <c r="BL675" s="55">
        <f t="shared" ref="BL675:BM675" si="4675">BK675+SUM(BL526:BL528)</f>
        <v>-1942.3571730229983</v>
      </c>
      <c r="BM675" s="55">
        <f t="shared" si="4675"/>
        <v>-1942.3571730229983</v>
      </c>
      <c r="BN675" s="55">
        <f t="shared" ref="BN675" si="4676">BM675+SUM(BN526:BN528)</f>
        <v>-1942.3571730229983</v>
      </c>
      <c r="BO675" s="55">
        <f t="shared" ref="BO675" si="4677">BN675+SUM(BO526:BO528)</f>
        <v>-1942.3571730229983</v>
      </c>
      <c r="BP675" s="55">
        <f t="shared" ref="BP675" si="4678">BO675+SUM(BP526:BP528)</f>
        <v>-1942.3571730229983</v>
      </c>
      <c r="BQ675" s="55">
        <f t="shared" ref="BQ675" si="4679">BP675+SUM(BQ526:BQ528)</f>
        <v>-1942.3571730229983</v>
      </c>
      <c r="BR675" s="55"/>
      <c r="BS675" s="53">
        <v>3491.3</v>
      </c>
      <c r="BT675" s="53">
        <v>3393.9</v>
      </c>
      <c r="BU675" s="53">
        <v>3615.6</v>
      </c>
      <c r="BV675" s="53">
        <v>4135</v>
      </c>
      <c r="BW675" s="53">
        <v>4415</v>
      </c>
      <c r="BX675" s="53">
        <v>4078</v>
      </c>
      <c r="BY675" s="53">
        <v>4112</v>
      </c>
      <c r="BZ675" s="53">
        <v>1511</v>
      </c>
      <c r="CA675" s="53">
        <v>3265</v>
      </c>
      <c r="CB675" s="53">
        <v>4091</v>
      </c>
      <c r="CC675" s="55">
        <f t="shared" si="4575"/>
        <v>4226</v>
      </c>
      <c r="CD675" s="55">
        <f t="shared" si="4576"/>
        <v>3850</v>
      </c>
      <c r="CE675" s="55">
        <f t="shared" si="4577"/>
        <v>3946</v>
      </c>
      <c r="CF675" s="55">
        <f t="shared" si="4578"/>
        <v>1265</v>
      </c>
      <c r="CG675" s="55">
        <f t="shared" si="4579"/>
        <v>1904</v>
      </c>
      <c r="CH675" s="55">
        <f t="shared" si="4580"/>
        <v>2143</v>
      </c>
      <c r="CI675" s="55">
        <f t="shared" si="4581"/>
        <v>1206</v>
      </c>
      <c r="CJ675" s="55">
        <f t="shared" si="4582"/>
        <v>516</v>
      </c>
      <c r="CK675" s="55">
        <f t="shared" si="4583"/>
        <v>1089</v>
      </c>
      <c r="CL675" s="55">
        <f t="shared" si="4584"/>
        <v>392</v>
      </c>
      <c r="CM675" s="55">
        <f t="shared" si="4585"/>
        <v>1571</v>
      </c>
      <c r="CN675" s="55">
        <f t="shared" si="4586"/>
        <v>1333</v>
      </c>
      <c r="CO675" s="55">
        <f t="shared" si="4587"/>
        <v>2009</v>
      </c>
      <c r="CP675" s="55">
        <f t="shared" si="4588"/>
        <v>2345</v>
      </c>
      <c r="CQ675" s="55">
        <f t="shared" si="4589"/>
        <v>2734</v>
      </c>
      <c r="CR675" s="55">
        <f t="shared" si="4590"/>
        <v>1869</v>
      </c>
      <c r="CS675" s="55">
        <f t="shared" si="4591"/>
        <v>1676</v>
      </c>
      <c r="CT675" s="55">
        <f t="shared" si="4592"/>
        <v>3092</v>
      </c>
      <c r="CU675" s="55">
        <f t="shared" si="4593"/>
        <v>2666</v>
      </c>
      <c r="CV675" s="55">
        <f t="shared" si="4594"/>
        <v>3249</v>
      </c>
      <c r="CW675" s="55">
        <f t="shared" si="4595"/>
        <v>-460</v>
      </c>
      <c r="CX675" s="55">
        <f t="shared" si="4596"/>
        <v>-2295</v>
      </c>
      <c r="CY675" s="55">
        <f t="shared" si="4597"/>
        <v>-2147</v>
      </c>
      <c r="CZ675" s="56">
        <f t="shared" si="4598"/>
        <v>1242</v>
      </c>
      <c r="DA675" s="55">
        <f t="shared" si="4599"/>
        <v>-815.11503449061149</v>
      </c>
      <c r="DB675" s="55">
        <f t="shared" si="4600"/>
        <v>-1142.7013368378348</v>
      </c>
      <c r="DC675" s="55">
        <f t="shared" si="4601"/>
        <v>-1353.3993738241177</v>
      </c>
      <c r="DD675" s="55">
        <f t="shared" si="4602"/>
        <v>-1606.4611860293278</v>
      </c>
      <c r="DE675" s="55">
        <f t="shared" si="4603"/>
        <v>-1835.2994115028348</v>
      </c>
      <c r="DF675" s="55">
        <f t="shared" si="4604"/>
        <v>-1942.3571730229983</v>
      </c>
      <c r="DG675" s="55">
        <f t="shared" si="4605"/>
        <v>-1942.3571730229983</v>
      </c>
      <c r="DH675" s="55">
        <f t="shared" si="4606"/>
        <v>-1942.3571730229983</v>
      </c>
      <c r="DI675" s="55">
        <f t="shared" si="4607"/>
        <v>-1942.3571730229983</v>
      </c>
    </row>
    <row r="676" spans="1:113" outlineLevel="1">
      <c r="A676" s="1" t="s">
        <v>940</v>
      </c>
      <c r="B676" s="19" t="s">
        <v>553</v>
      </c>
      <c r="C676" s="53">
        <v>1160</v>
      </c>
      <c r="D676" s="53">
        <v>1246</v>
      </c>
      <c r="E676" s="53">
        <v>1452</v>
      </c>
      <c r="F676" s="53">
        <v>2424</v>
      </c>
      <c r="G676" s="53">
        <v>2809</v>
      </c>
      <c r="H676" s="53">
        <v>2996</v>
      </c>
      <c r="I676" s="53">
        <v>2840</v>
      </c>
      <c r="J676" s="53">
        <v>3357</v>
      </c>
      <c r="K676" s="53">
        <v>3843</v>
      </c>
      <c r="L676" s="53">
        <v>3590</v>
      </c>
      <c r="M676" s="53">
        <v>4487</v>
      </c>
      <c r="N676" s="53">
        <v>5141</v>
      </c>
      <c r="O676" s="53">
        <v>6367</v>
      </c>
      <c r="P676" s="53">
        <v>7159</v>
      </c>
      <c r="Q676" s="53">
        <v>7747</v>
      </c>
      <c r="R676" s="53">
        <v>7206</v>
      </c>
      <c r="S676" s="53">
        <v>7825</v>
      </c>
      <c r="T676" s="53">
        <v>9320</v>
      </c>
      <c r="U676" s="53">
        <v>9938</v>
      </c>
      <c r="V676" s="53">
        <v>10534</v>
      </c>
      <c r="W676" s="53">
        <v>11826</v>
      </c>
      <c r="X676" s="53">
        <v>11928</v>
      </c>
      <c r="Y676" s="53">
        <v>13356</v>
      </c>
      <c r="Z676" s="53">
        <v>14489</v>
      </c>
      <c r="AA676" s="164">
        <v>16405</v>
      </c>
      <c r="AB676" s="164">
        <v>17455</v>
      </c>
      <c r="AC676" s="164">
        <v>18827</v>
      </c>
      <c r="AD676" s="164">
        <v>19823</v>
      </c>
      <c r="AE676" s="164">
        <v>21528</v>
      </c>
      <c r="AF676" s="164">
        <v>22365</v>
      </c>
      <c r="AG676" s="164">
        <v>23435</v>
      </c>
      <c r="AH676" s="164">
        <v>24606</v>
      </c>
      <c r="AI676" s="164">
        <v>26274</v>
      </c>
      <c r="AJ676" s="164">
        <v>27267</v>
      </c>
      <c r="AK676" s="164">
        <v>28360</v>
      </c>
      <c r="AL676" s="164">
        <v>27959</v>
      </c>
      <c r="AM676" s="164">
        <v>28482</v>
      </c>
      <c r="AN676" s="164">
        <v>31066</v>
      </c>
      <c r="AO676" s="164">
        <v>31211</v>
      </c>
      <c r="AP676" s="164">
        <v>34211</v>
      </c>
      <c r="AQ676" s="164">
        <v>37044</v>
      </c>
      <c r="AR676" s="164">
        <v>34861</v>
      </c>
      <c r="AS676" s="164">
        <v>36826</v>
      </c>
      <c r="AT676" s="164">
        <v>38716</v>
      </c>
      <c r="AU676" s="164">
        <v>40010</v>
      </c>
      <c r="AV676" s="164">
        <v>40643</v>
      </c>
      <c r="AW676" s="164">
        <v>41600</v>
      </c>
      <c r="AX676" s="164">
        <v>42578</v>
      </c>
      <c r="AY676" s="164">
        <v>43974</v>
      </c>
      <c r="AZ676" s="171">
        <v>45019</v>
      </c>
      <c r="BA676" s="55">
        <f t="shared" ref="BA676:BE676" si="4680">AZ676+BA525+BA535+BA536</f>
        <v>46715.193317130732</v>
      </c>
      <c r="BB676" s="55">
        <f t="shared" si="4680"/>
        <v>48042.697380484373</v>
      </c>
      <c r="BC676" s="55">
        <f t="shared" si="4680"/>
        <v>49793.982247850785</v>
      </c>
      <c r="BD676" s="55">
        <f t="shared" si="4680"/>
        <v>51110.621883282671</v>
      </c>
      <c r="BE676" s="55">
        <f t="shared" si="4680"/>
        <v>53025.310828840287</v>
      </c>
      <c r="BF676" s="55">
        <f t="shared" ref="BF676:BM676" si="4681">BE676+BF525+BF535+BF536</f>
        <v>54575.183634680012</v>
      </c>
      <c r="BG676" s="55">
        <f t="shared" si="4681"/>
        <v>56583.358390488029</v>
      </c>
      <c r="BH676" s="55">
        <f t="shared" si="4681"/>
        <v>58182.024935190384</v>
      </c>
      <c r="BI676" s="55">
        <f t="shared" si="4681"/>
        <v>60129.673146979025</v>
      </c>
      <c r="BJ676" s="55">
        <f t="shared" si="4681"/>
        <v>61566.490491051729</v>
      </c>
      <c r="BK676" s="55">
        <f t="shared" si="4681"/>
        <v>63384.020821483646</v>
      </c>
      <c r="BL676" s="55">
        <f t="shared" si="4681"/>
        <v>64742.086963705064</v>
      </c>
      <c r="BM676" s="55">
        <f t="shared" si="4681"/>
        <v>66586.859994693601</v>
      </c>
      <c r="BN676" s="55">
        <f t="shared" ref="BN676" si="4682">BM676+BN525+BN535+BN536</f>
        <v>68057.133956832564</v>
      </c>
      <c r="BO676" s="55">
        <f t="shared" ref="BO676" si="4683">BN676+BO525+BO535+BO536</f>
        <v>70006.435530755829</v>
      </c>
      <c r="BP676" s="55">
        <f t="shared" ref="BP676" si="4684">BO676+BP525+BP535+BP536</f>
        <v>71609.256231677937</v>
      </c>
      <c r="BQ676" s="55">
        <f t="shared" ref="BQ676" si="4685">BP676+BQ525+BQ535+BQ536</f>
        <v>73691.088439038882</v>
      </c>
      <c r="BR676" s="55"/>
      <c r="BS676" s="53">
        <v>290.7</v>
      </c>
      <c r="BT676" s="53">
        <v>424</v>
      </c>
      <c r="BU676" s="53">
        <v>539.70000000000005</v>
      </c>
      <c r="BV676" s="53">
        <v>535</v>
      </c>
      <c r="BW676" s="53">
        <v>794</v>
      </c>
      <c r="BX676" s="53">
        <v>908</v>
      </c>
      <c r="BY676" s="53">
        <v>755</v>
      </c>
      <c r="BZ676" s="53">
        <v>1698</v>
      </c>
      <c r="CA676" s="53">
        <v>1686</v>
      </c>
      <c r="CB676" s="53">
        <v>1160</v>
      </c>
      <c r="CC676" s="55">
        <f t="shared" si="4575"/>
        <v>1452</v>
      </c>
      <c r="CD676" s="55">
        <f t="shared" si="4576"/>
        <v>2809</v>
      </c>
      <c r="CE676" s="55">
        <f t="shared" si="4577"/>
        <v>2840</v>
      </c>
      <c r="CF676" s="55">
        <f t="shared" si="4578"/>
        <v>3843</v>
      </c>
      <c r="CG676" s="55">
        <f t="shared" si="4579"/>
        <v>4487</v>
      </c>
      <c r="CH676" s="55">
        <f t="shared" si="4580"/>
        <v>6367</v>
      </c>
      <c r="CI676" s="55">
        <f t="shared" si="4581"/>
        <v>7747</v>
      </c>
      <c r="CJ676" s="55">
        <f t="shared" si="4582"/>
        <v>7825</v>
      </c>
      <c r="CK676" s="55">
        <f t="shared" si="4583"/>
        <v>9938</v>
      </c>
      <c r="CL676" s="55">
        <f t="shared" si="4584"/>
        <v>11826</v>
      </c>
      <c r="CM676" s="55">
        <f t="shared" si="4585"/>
        <v>13356</v>
      </c>
      <c r="CN676" s="55">
        <f t="shared" si="4586"/>
        <v>16405</v>
      </c>
      <c r="CO676" s="55">
        <f t="shared" si="4587"/>
        <v>18827</v>
      </c>
      <c r="CP676" s="55">
        <f t="shared" si="4588"/>
        <v>21528</v>
      </c>
      <c r="CQ676" s="55">
        <f t="shared" si="4589"/>
        <v>23435</v>
      </c>
      <c r="CR676" s="55">
        <f t="shared" si="4590"/>
        <v>26274</v>
      </c>
      <c r="CS676" s="55">
        <f t="shared" si="4591"/>
        <v>28360</v>
      </c>
      <c r="CT676" s="55">
        <f t="shared" si="4592"/>
        <v>28482</v>
      </c>
      <c r="CU676" s="55">
        <f t="shared" si="4593"/>
        <v>31211</v>
      </c>
      <c r="CV676" s="55">
        <f t="shared" si="4594"/>
        <v>37044</v>
      </c>
      <c r="CW676" s="55">
        <f t="shared" si="4595"/>
        <v>36826</v>
      </c>
      <c r="CX676" s="55">
        <f t="shared" si="4596"/>
        <v>40010</v>
      </c>
      <c r="CY676" s="55">
        <f t="shared" si="4597"/>
        <v>41600</v>
      </c>
      <c r="CZ676" s="56">
        <f t="shared" si="4598"/>
        <v>43974</v>
      </c>
      <c r="DA676" s="55">
        <f t="shared" si="4599"/>
        <v>46715.193317130732</v>
      </c>
      <c r="DB676" s="55">
        <f t="shared" si="4600"/>
        <v>49793.982247850785</v>
      </c>
      <c r="DC676" s="55">
        <f t="shared" si="4601"/>
        <v>53025.310828840287</v>
      </c>
      <c r="DD676" s="55">
        <f t="shared" si="4602"/>
        <v>56583.358390488029</v>
      </c>
      <c r="DE676" s="55">
        <f t="shared" si="4603"/>
        <v>60129.673146979025</v>
      </c>
      <c r="DF676" s="55">
        <f t="shared" si="4604"/>
        <v>63384.020821483646</v>
      </c>
      <c r="DG676" s="55">
        <f t="shared" si="4605"/>
        <v>66586.859994693601</v>
      </c>
      <c r="DH676" s="55">
        <f t="shared" si="4606"/>
        <v>70006.435530755829</v>
      </c>
      <c r="DI676" s="55">
        <f t="shared" si="4607"/>
        <v>73691.088439038882</v>
      </c>
    </row>
    <row r="677" spans="1:113" outlineLevel="1">
      <c r="A677" s="1" t="s">
        <v>2218</v>
      </c>
      <c r="B677" s="19" t="s">
        <v>1635</v>
      </c>
      <c r="C677" s="164">
        <f>643+514+186</f>
        <v>1343</v>
      </c>
      <c r="D677" s="164">
        <f>635+466+160</f>
        <v>1261</v>
      </c>
      <c r="E677" s="164">
        <f>631+426+162</f>
        <v>1219</v>
      </c>
      <c r="F677" s="164">
        <f>628+542+146</f>
        <v>1316</v>
      </c>
      <c r="G677" s="164">
        <f>618+549+143</f>
        <v>1310</v>
      </c>
      <c r="H677" s="164">
        <f>678+536+127</f>
        <v>1341</v>
      </c>
      <c r="I677" s="164">
        <f>758+541+11</f>
        <v>1310</v>
      </c>
      <c r="J677" s="164">
        <f>824+827</f>
        <v>1651</v>
      </c>
      <c r="K677" s="164">
        <f>889+683</f>
        <v>1572</v>
      </c>
      <c r="L677" s="164">
        <v>1541</v>
      </c>
      <c r="M677" s="164">
        <v>1579</v>
      </c>
      <c r="N677" s="164">
        <v>1517</v>
      </c>
      <c r="O677" s="164">
        <v>1920</v>
      </c>
      <c r="P677" s="164">
        <v>1928</v>
      </c>
      <c r="Q677" s="164">
        <v>2229</v>
      </c>
      <c r="R677" s="164">
        <v>2238</v>
      </c>
      <c r="S677" s="164">
        <v>2217</v>
      </c>
      <c r="T677" s="164">
        <v>2421</v>
      </c>
      <c r="U677" s="164">
        <v>2382</v>
      </c>
      <c r="V677" s="164">
        <v>2280</v>
      </c>
      <c r="W677" s="164">
        <v>2137</v>
      </c>
      <c r="X677" s="164">
        <v>1999</v>
      </c>
      <c r="Y677" s="164">
        <v>1871</v>
      </c>
      <c r="Z677" s="164">
        <v>1731</v>
      </c>
      <c r="AA677" s="164">
        <f t="shared" ref="AA677:AK677" si="4686">-AA665</f>
        <v>1655</v>
      </c>
      <c r="AB677" s="164">
        <f t="shared" si="4686"/>
        <v>1536</v>
      </c>
      <c r="AC677" s="55">
        <f t="shared" si="4686"/>
        <v>1453</v>
      </c>
      <c r="AD677" s="55">
        <f t="shared" si="4686"/>
        <v>1484</v>
      </c>
      <c r="AE677" s="55">
        <f t="shared" si="4686"/>
        <v>1348</v>
      </c>
      <c r="AF677" s="55">
        <f t="shared" si="4686"/>
        <v>1262</v>
      </c>
      <c r="AG677" s="55">
        <f t="shared" si="4686"/>
        <v>1183</v>
      </c>
      <c r="AH677" s="55">
        <f t="shared" si="4686"/>
        <v>1116</v>
      </c>
      <c r="AI677" s="55">
        <f t="shared" si="4686"/>
        <v>1084</v>
      </c>
      <c r="AJ677" s="55">
        <f t="shared" si="4686"/>
        <v>1057</v>
      </c>
      <c r="AK677" s="55">
        <f t="shared" si="4686"/>
        <v>1059</v>
      </c>
      <c r="AL677" s="55">
        <f t="shared" ref="AL677:AQ677" si="4687">-AL665</f>
        <v>1219</v>
      </c>
      <c r="AM677" s="55">
        <f t="shared" si="4687"/>
        <v>1125</v>
      </c>
      <c r="AN677" s="55">
        <f t="shared" si="4687"/>
        <v>980</v>
      </c>
      <c r="AO677" s="55">
        <f t="shared" si="4687"/>
        <v>884</v>
      </c>
      <c r="AP677" s="55">
        <f t="shared" si="4687"/>
        <v>852</v>
      </c>
      <c r="AQ677" s="55">
        <f t="shared" si="4687"/>
        <v>810</v>
      </c>
      <c r="AR677" s="55">
        <f t="shared" ref="AR677" si="4688">-AR665</f>
        <v>805</v>
      </c>
      <c r="AS677" s="55">
        <f t="shared" ref="AS677:AT677" si="4689">-AS665</f>
        <v>879</v>
      </c>
      <c r="AT677" s="55">
        <f t="shared" si="4689"/>
        <v>1107</v>
      </c>
      <c r="AU677" s="55">
        <f t="shared" ref="AU677:AV677" si="4690">-AU665</f>
        <v>1378</v>
      </c>
      <c r="AV677" s="55">
        <f t="shared" si="4690"/>
        <v>1610</v>
      </c>
      <c r="AW677" s="55">
        <f t="shared" ref="AW677:AX677" si="4691">-AW665</f>
        <v>1826</v>
      </c>
      <c r="AX677" s="55">
        <f t="shared" si="4691"/>
        <v>1951</v>
      </c>
      <c r="AY677" s="55">
        <f t="shared" ref="AY677:BE677" si="4692">-AY665</f>
        <v>1951</v>
      </c>
      <c r="AZ677" s="56">
        <f t="shared" ref="AZ677" si="4693">-AZ665</f>
        <v>1962</v>
      </c>
      <c r="BA677" s="55">
        <f t="shared" si="4692"/>
        <v>2041.6552881447392</v>
      </c>
      <c r="BB677" s="55">
        <f t="shared" si="4692"/>
        <v>2092.4749480430405</v>
      </c>
      <c r="BC677" s="55">
        <f t="shared" si="4692"/>
        <v>2147.9677206593014</v>
      </c>
      <c r="BD677" s="55">
        <f t="shared" si="4692"/>
        <v>2200.25436190563</v>
      </c>
      <c r="BE677" s="55">
        <f t="shared" si="4692"/>
        <v>2252.1780314038319</v>
      </c>
      <c r="BF677" s="55">
        <f t="shared" ref="BF677:BM677" si="4694">-BF665</f>
        <v>2305.6117648507161</v>
      </c>
      <c r="BG677" s="55">
        <f t="shared" si="4694"/>
        <v>2354.6913182361159</v>
      </c>
      <c r="BH677" s="55">
        <f t="shared" si="4694"/>
        <v>2405.1133894791865</v>
      </c>
      <c r="BI677" s="55">
        <f t="shared" si="4694"/>
        <v>2449.1091639449937</v>
      </c>
      <c r="BJ677" s="55">
        <f t="shared" si="4694"/>
        <v>2494.1297298236227</v>
      </c>
      <c r="BK677" s="55">
        <f t="shared" si="4694"/>
        <v>2543.1664991281818</v>
      </c>
      <c r="BL677" s="55">
        <f t="shared" si="4694"/>
        <v>2593.1763348571062</v>
      </c>
      <c r="BM677" s="55">
        <f t="shared" si="4694"/>
        <v>2644.1786479061088</v>
      </c>
      <c r="BN677" s="55">
        <f t="shared" ref="BN677:BO677" si="4695">-BN665</f>
        <v>2696.1932375454489</v>
      </c>
      <c r="BO677" s="55">
        <f t="shared" si="4695"/>
        <v>2749.2402992040347</v>
      </c>
      <c r="BP677" s="55">
        <f t="shared" ref="BP677:BQ677" si="4696">-BP665</f>
        <v>2803.3404324096941</v>
      </c>
      <c r="BQ677" s="55">
        <f t="shared" si="4696"/>
        <v>2858.5146488887572</v>
      </c>
      <c r="BR677" s="55"/>
      <c r="BS677" s="55"/>
      <c r="BT677" s="55"/>
      <c r="BU677" s="55"/>
      <c r="BV677" s="55"/>
      <c r="BW677" s="55"/>
      <c r="BX677" s="55"/>
      <c r="BY677" s="55"/>
      <c r="BZ677" s="55"/>
      <c r="CA677" s="55">
        <f t="shared" ref="CA677:CB681" si="4697">O677</f>
        <v>1920</v>
      </c>
      <c r="CB677" s="55">
        <f t="shared" si="4697"/>
        <v>1928</v>
      </c>
      <c r="CC677" s="55">
        <f t="shared" si="4575"/>
        <v>1219</v>
      </c>
      <c r="CD677" s="55">
        <f t="shared" si="4576"/>
        <v>1310</v>
      </c>
      <c r="CE677" s="55">
        <f t="shared" si="4577"/>
        <v>1310</v>
      </c>
      <c r="CF677" s="55">
        <f t="shared" si="4578"/>
        <v>1572</v>
      </c>
      <c r="CG677" s="55">
        <f t="shared" si="4579"/>
        <v>1579</v>
      </c>
      <c r="CH677" s="55">
        <f t="shared" si="4580"/>
        <v>1920</v>
      </c>
      <c r="CI677" s="55">
        <f t="shared" si="4581"/>
        <v>2229</v>
      </c>
      <c r="CJ677" s="55">
        <f t="shared" si="4582"/>
        <v>2217</v>
      </c>
      <c r="CK677" s="55">
        <f t="shared" si="4583"/>
        <v>2382</v>
      </c>
      <c r="CL677" s="55">
        <f t="shared" si="4584"/>
        <v>2137</v>
      </c>
      <c r="CM677" s="55">
        <f t="shared" si="4585"/>
        <v>1871</v>
      </c>
      <c r="CN677" s="55">
        <f t="shared" si="4586"/>
        <v>1655</v>
      </c>
      <c r="CO677" s="55">
        <f t="shared" si="4587"/>
        <v>1453</v>
      </c>
      <c r="CP677" s="55">
        <f t="shared" si="4588"/>
        <v>1348</v>
      </c>
      <c r="CQ677" s="55">
        <f t="shared" si="4589"/>
        <v>1183</v>
      </c>
      <c r="CR677" s="55">
        <f t="shared" si="4590"/>
        <v>1084</v>
      </c>
      <c r="CS677" s="55">
        <f t="shared" si="4591"/>
        <v>1059</v>
      </c>
      <c r="CT677" s="55">
        <f t="shared" si="4592"/>
        <v>1125</v>
      </c>
      <c r="CU677" s="55">
        <f t="shared" si="4593"/>
        <v>884</v>
      </c>
      <c r="CV677" s="55">
        <f t="shared" si="4594"/>
        <v>810</v>
      </c>
      <c r="CW677" s="55">
        <f t="shared" si="4595"/>
        <v>879</v>
      </c>
      <c r="CX677" s="55">
        <f t="shared" si="4596"/>
        <v>1378</v>
      </c>
      <c r="CY677" s="55">
        <f t="shared" si="4597"/>
        <v>1826</v>
      </c>
      <c r="CZ677" s="56">
        <f t="shared" si="4598"/>
        <v>1951</v>
      </c>
      <c r="DA677" s="55">
        <f t="shared" si="4599"/>
        <v>2041.6552881447392</v>
      </c>
      <c r="DB677" s="55">
        <f t="shared" si="4600"/>
        <v>2147.9677206593014</v>
      </c>
      <c r="DC677" s="55">
        <f t="shared" si="4601"/>
        <v>2252.1780314038319</v>
      </c>
      <c r="DD677" s="55">
        <f t="shared" si="4602"/>
        <v>2354.6913182361159</v>
      </c>
      <c r="DE677" s="55">
        <f t="shared" si="4603"/>
        <v>2449.1091639449937</v>
      </c>
      <c r="DF677" s="55">
        <f t="shared" si="4604"/>
        <v>2543.1664991281818</v>
      </c>
      <c r="DG677" s="55">
        <f t="shared" si="4605"/>
        <v>2644.1786479061088</v>
      </c>
      <c r="DH677" s="55">
        <f t="shared" si="4606"/>
        <v>2749.2402992040347</v>
      </c>
      <c r="DI677" s="55">
        <f t="shared" si="4607"/>
        <v>2858.5146488887572</v>
      </c>
    </row>
    <row r="678" spans="1:113" outlineLevel="1">
      <c r="A678" s="1" t="s">
        <v>2219</v>
      </c>
      <c r="B678" s="19" t="s">
        <v>2220</v>
      </c>
      <c r="C678" s="164">
        <v>12075</v>
      </c>
      <c r="D678" s="164">
        <v>11865</v>
      </c>
      <c r="E678" s="164">
        <v>12517</v>
      </c>
      <c r="F678" s="164">
        <v>12831</v>
      </c>
      <c r="G678" s="164">
        <v>13197</v>
      </c>
      <c r="H678" s="164">
        <v>13734</v>
      </c>
      <c r="I678" s="164">
        <v>15019</v>
      </c>
      <c r="J678" s="164">
        <v>16297</v>
      </c>
      <c r="K678" s="164">
        <v>16786</v>
      </c>
      <c r="L678" s="164">
        <v>17263</v>
      </c>
      <c r="M678" s="164">
        <v>18310</v>
      </c>
      <c r="N678" s="164">
        <v>18395</v>
      </c>
      <c r="O678" s="164">
        <v>18721</v>
      </c>
      <c r="P678" s="164">
        <v>19805</v>
      </c>
      <c r="Q678" s="164">
        <v>18278</v>
      </c>
      <c r="R678" s="164">
        <v>14732</v>
      </c>
      <c r="S678" s="164">
        <v>14728</v>
      </c>
      <c r="T678" s="164">
        <v>10960</v>
      </c>
      <c r="U678" s="164">
        <v>11569</v>
      </c>
      <c r="V678" s="164">
        <v>10146</v>
      </c>
      <c r="W678" s="164">
        <v>10734</v>
      </c>
      <c r="X678" s="164">
        <v>10732</v>
      </c>
      <c r="Y678" s="164">
        <v>9717</v>
      </c>
      <c r="Z678" s="164">
        <v>8155</v>
      </c>
      <c r="AA678" s="164">
        <v>6063</v>
      </c>
      <c r="AB678" s="164">
        <v>4807</v>
      </c>
      <c r="AC678" s="164">
        <v>5027</v>
      </c>
      <c r="AD678" s="164">
        <v>2026</v>
      </c>
      <c r="AE678" s="164">
        <v>1944</v>
      </c>
      <c r="AF678" s="164">
        <v>1640</v>
      </c>
      <c r="AG678" s="164">
        <v>1431</v>
      </c>
      <c r="AH678" s="164">
        <v>1440</v>
      </c>
      <c r="AI678" s="164">
        <v>463</v>
      </c>
      <c r="AJ678" s="164">
        <v>222</v>
      </c>
      <c r="AK678" s="164">
        <v>379</v>
      </c>
      <c r="AL678" s="164">
        <v>53</v>
      </c>
      <c r="AM678" s="164">
        <v>32</v>
      </c>
      <c r="AN678" s="164">
        <f t="shared" ref="AN678:AZ678" si="4698">AM678</f>
        <v>32</v>
      </c>
      <c r="AO678" s="164">
        <f t="shared" si="4698"/>
        <v>32</v>
      </c>
      <c r="AP678" s="164">
        <f t="shared" si="4698"/>
        <v>32</v>
      </c>
      <c r="AQ678" s="164">
        <f t="shared" si="4698"/>
        <v>32</v>
      </c>
      <c r="AR678" s="164">
        <f t="shared" si="4698"/>
        <v>32</v>
      </c>
      <c r="AS678" s="164">
        <f t="shared" si="4698"/>
        <v>32</v>
      </c>
      <c r="AT678" s="164">
        <f t="shared" si="4698"/>
        <v>32</v>
      </c>
      <c r="AU678" s="164">
        <f t="shared" si="4698"/>
        <v>32</v>
      </c>
      <c r="AV678" s="164">
        <f t="shared" si="4698"/>
        <v>32</v>
      </c>
      <c r="AW678" s="164">
        <f t="shared" si="4698"/>
        <v>32</v>
      </c>
      <c r="AX678" s="164">
        <f t="shared" si="4698"/>
        <v>32</v>
      </c>
      <c r="AY678" s="164">
        <f t="shared" si="4698"/>
        <v>32</v>
      </c>
      <c r="AZ678" s="171">
        <f t="shared" si="4698"/>
        <v>32</v>
      </c>
      <c r="BA678" s="55">
        <f t="shared" ref="BA678:BE678" si="4699">AZ678</f>
        <v>32</v>
      </c>
      <c r="BB678" s="55">
        <f t="shared" si="4699"/>
        <v>32</v>
      </c>
      <c r="BC678" s="55">
        <f t="shared" si="4699"/>
        <v>32</v>
      </c>
      <c r="BD678" s="55">
        <f t="shared" si="4699"/>
        <v>32</v>
      </c>
      <c r="BE678" s="55">
        <f t="shared" si="4699"/>
        <v>32</v>
      </c>
      <c r="BF678" s="55">
        <f t="shared" ref="BF678:BM678" si="4700">BE678</f>
        <v>32</v>
      </c>
      <c r="BG678" s="55">
        <f t="shared" si="4700"/>
        <v>32</v>
      </c>
      <c r="BH678" s="55">
        <f t="shared" si="4700"/>
        <v>32</v>
      </c>
      <c r="BI678" s="55">
        <f t="shared" si="4700"/>
        <v>32</v>
      </c>
      <c r="BJ678" s="55">
        <f t="shared" si="4700"/>
        <v>32</v>
      </c>
      <c r="BK678" s="55">
        <f t="shared" si="4700"/>
        <v>32</v>
      </c>
      <c r="BL678" s="55">
        <f t="shared" si="4700"/>
        <v>32</v>
      </c>
      <c r="BM678" s="55">
        <f t="shared" si="4700"/>
        <v>32</v>
      </c>
      <c r="BN678" s="55">
        <f t="shared" ref="BN678" si="4701">BM678</f>
        <v>32</v>
      </c>
      <c r="BO678" s="55">
        <f t="shared" ref="BO678" si="4702">BN678</f>
        <v>32</v>
      </c>
      <c r="BP678" s="55">
        <f t="shared" ref="BP678" si="4703">BO678</f>
        <v>32</v>
      </c>
      <c r="BQ678" s="55">
        <f t="shared" ref="BQ678" si="4704">BP678</f>
        <v>32</v>
      </c>
      <c r="BR678" s="55"/>
      <c r="BS678" s="55"/>
      <c r="BT678" s="55"/>
      <c r="BU678" s="55"/>
      <c r="BV678" s="55"/>
      <c r="BW678" s="55"/>
      <c r="BX678" s="55"/>
      <c r="BY678" s="55"/>
      <c r="BZ678" s="55"/>
      <c r="CA678" s="55">
        <f t="shared" si="4697"/>
        <v>18721</v>
      </c>
      <c r="CB678" s="55">
        <f t="shared" si="4697"/>
        <v>19805</v>
      </c>
      <c r="CC678" s="55">
        <f t="shared" si="4575"/>
        <v>12517</v>
      </c>
      <c r="CD678" s="55">
        <f t="shared" si="4576"/>
        <v>13197</v>
      </c>
      <c r="CE678" s="55">
        <f t="shared" si="4577"/>
        <v>15019</v>
      </c>
      <c r="CF678" s="55">
        <f t="shared" si="4578"/>
        <v>16786</v>
      </c>
      <c r="CG678" s="55">
        <f t="shared" si="4579"/>
        <v>18310</v>
      </c>
      <c r="CH678" s="55">
        <f t="shared" si="4580"/>
        <v>18721</v>
      </c>
      <c r="CI678" s="55">
        <f t="shared" si="4581"/>
        <v>18278</v>
      </c>
      <c r="CJ678" s="55">
        <f t="shared" si="4582"/>
        <v>14728</v>
      </c>
      <c r="CK678" s="55">
        <f t="shared" si="4583"/>
        <v>11569</v>
      </c>
      <c r="CL678" s="55">
        <f t="shared" si="4584"/>
        <v>10734</v>
      </c>
      <c r="CM678" s="55">
        <f t="shared" si="4585"/>
        <v>9717</v>
      </c>
      <c r="CN678" s="55">
        <f t="shared" si="4586"/>
        <v>6063</v>
      </c>
      <c r="CO678" s="55">
        <f t="shared" si="4587"/>
        <v>5027</v>
      </c>
      <c r="CP678" s="55">
        <f t="shared" si="4588"/>
        <v>1944</v>
      </c>
      <c r="CQ678" s="55">
        <f t="shared" si="4589"/>
        <v>1431</v>
      </c>
      <c r="CR678" s="55">
        <f t="shared" si="4590"/>
        <v>463</v>
      </c>
      <c r="CS678" s="55">
        <f t="shared" si="4591"/>
        <v>379</v>
      </c>
      <c r="CT678" s="55">
        <f t="shared" si="4592"/>
        <v>32</v>
      </c>
      <c r="CU678" s="55">
        <f t="shared" si="4593"/>
        <v>32</v>
      </c>
      <c r="CV678" s="55">
        <f t="shared" si="4594"/>
        <v>32</v>
      </c>
      <c r="CW678" s="55">
        <f t="shared" si="4595"/>
        <v>32</v>
      </c>
      <c r="CX678" s="55">
        <f t="shared" si="4596"/>
        <v>32</v>
      </c>
      <c r="CY678" s="55">
        <f t="shared" si="4597"/>
        <v>32</v>
      </c>
      <c r="CZ678" s="56">
        <f t="shared" si="4598"/>
        <v>32</v>
      </c>
      <c r="DA678" s="55">
        <f t="shared" si="4599"/>
        <v>32</v>
      </c>
      <c r="DB678" s="55">
        <f t="shared" si="4600"/>
        <v>32</v>
      </c>
      <c r="DC678" s="55">
        <f t="shared" si="4601"/>
        <v>32</v>
      </c>
      <c r="DD678" s="55">
        <f t="shared" si="4602"/>
        <v>32</v>
      </c>
      <c r="DE678" s="55">
        <f t="shared" si="4603"/>
        <v>32</v>
      </c>
      <c r="DF678" s="55">
        <f t="shared" si="4604"/>
        <v>32</v>
      </c>
      <c r="DG678" s="55">
        <f t="shared" si="4605"/>
        <v>32</v>
      </c>
      <c r="DH678" s="55">
        <f t="shared" si="4606"/>
        <v>32</v>
      </c>
      <c r="DI678" s="55">
        <f t="shared" si="4607"/>
        <v>32</v>
      </c>
    </row>
    <row r="679" spans="1:113" outlineLevel="1">
      <c r="A679" s="1" t="s">
        <v>2221</v>
      </c>
      <c r="B679" s="19" t="s">
        <v>2222</v>
      </c>
      <c r="C679" s="164">
        <v>715</v>
      </c>
      <c r="D679" s="164">
        <v>1045</v>
      </c>
      <c r="E679" s="164">
        <v>943</v>
      </c>
      <c r="F679" s="164">
        <v>919</v>
      </c>
      <c r="G679" s="164">
        <v>665</v>
      </c>
      <c r="H679" s="164">
        <v>597</v>
      </c>
      <c r="I679" s="164">
        <v>363</v>
      </c>
      <c r="J679" s="164">
        <v>445</v>
      </c>
      <c r="K679" s="164">
        <v>395</v>
      </c>
      <c r="L679" s="164">
        <v>396</v>
      </c>
      <c r="M679" s="164">
        <v>326</v>
      </c>
      <c r="N679" s="164">
        <v>338</v>
      </c>
      <c r="O679" s="164">
        <v>421</v>
      </c>
      <c r="P679" s="164">
        <v>562</v>
      </c>
      <c r="Q679" s="164">
        <v>683</v>
      </c>
      <c r="R679" s="164">
        <v>2714</v>
      </c>
      <c r="S679" s="164">
        <v>4210</v>
      </c>
      <c r="T679" s="164">
        <v>4823</v>
      </c>
      <c r="U679" s="164">
        <v>5216</v>
      </c>
      <c r="V679" s="164">
        <v>5184</v>
      </c>
      <c r="W679" s="164">
        <v>5297</v>
      </c>
      <c r="X679" s="164">
        <v>4692</v>
      </c>
      <c r="Y679" s="164">
        <v>4687</v>
      </c>
      <c r="Z679" s="164">
        <v>4480</v>
      </c>
      <c r="AA679" s="164">
        <v>4330</v>
      </c>
      <c r="AB679" s="164">
        <v>3939</v>
      </c>
      <c r="AC679" s="164">
        <v>3367</v>
      </c>
      <c r="AD679" s="164">
        <v>3360</v>
      </c>
      <c r="AE679" s="164">
        <v>2855</v>
      </c>
      <c r="AF679" s="164">
        <v>2788</v>
      </c>
      <c r="AG679" s="164">
        <v>3116</v>
      </c>
      <c r="AH679" s="164">
        <v>3375</v>
      </c>
      <c r="AI679" s="164">
        <v>3187</v>
      </c>
      <c r="AJ679" s="164">
        <v>3367</v>
      </c>
      <c r="AK679" s="164">
        <v>3179</v>
      </c>
      <c r="AL679" s="164">
        <v>3560</v>
      </c>
      <c r="AM679" s="164">
        <v>3622</v>
      </c>
      <c r="AN679" s="164">
        <v>3383</v>
      </c>
      <c r="AO679" s="164">
        <v>3548</v>
      </c>
      <c r="AP679" s="164">
        <v>3100</v>
      </c>
      <c r="AQ679" s="164">
        <v>3409</v>
      </c>
      <c r="AR679" s="164">
        <v>3482</v>
      </c>
      <c r="AS679" s="164">
        <v>2951</v>
      </c>
      <c r="AT679" s="164">
        <v>3036</v>
      </c>
      <c r="AU679" s="164">
        <v>3326</v>
      </c>
      <c r="AV679" s="164">
        <v>3237</v>
      </c>
      <c r="AW679" s="164">
        <v>3900</v>
      </c>
      <c r="AX679" s="164">
        <f>AX124</f>
        <v>5223.916583205636</v>
      </c>
      <c r="AY679" s="164">
        <f>AY124</f>
        <v>5518.1195043447078</v>
      </c>
      <c r="AZ679" s="171">
        <f>AZ124</f>
        <v>5254.0614038607782</v>
      </c>
      <c r="BA679" s="55">
        <f t="shared" ref="BA679:BE679" si="4705">AZ679*(BA124/AZ124)</f>
        <v>5045.1415346261829</v>
      </c>
      <c r="BB679" s="55">
        <f t="shared" si="4705"/>
        <v>5580.3358384678695</v>
      </c>
      <c r="BC679" s="55">
        <f t="shared" si="4705"/>
        <v>6162.9411640850885</v>
      </c>
      <c r="BD679" s="55">
        <f t="shared" si="4705"/>
        <v>6610.6367365554943</v>
      </c>
      <c r="BE679" s="55">
        <f t="shared" si="4705"/>
        <v>7065.7330806442878</v>
      </c>
      <c r="BF679" s="55">
        <f t="shared" ref="BF679:BM679" si="4706">BE679*(BF124/BE124)</f>
        <v>6925.2701138324537</v>
      </c>
      <c r="BG679" s="55">
        <f t="shared" si="4706"/>
        <v>6757.2338293447274</v>
      </c>
      <c r="BH679" s="55">
        <f t="shared" si="4706"/>
        <v>6578.8983971872285</v>
      </c>
      <c r="BI679" s="55">
        <f t="shared" si="4706"/>
        <v>6371.0878831607788</v>
      </c>
      <c r="BJ679" s="55">
        <f t="shared" si="4706"/>
        <v>6474.7082417380871</v>
      </c>
      <c r="BK679" s="55">
        <f t="shared" si="4706"/>
        <v>6595.166719104358</v>
      </c>
      <c r="BL679" s="55">
        <f t="shared" si="4706"/>
        <v>6717.9352553674526</v>
      </c>
      <c r="BM679" s="55">
        <f t="shared" si="4706"/>
        <v>6843.0589765258555</v>
      </c>
      <c r="BN679" s="55">
        <f t="shared" ref="BN679" si="4707">BM679*(BN124/BM124)</f>
        <v>6970.5838998339887</v>
      </c>
      <c r="BO679" s="55">
        <f t="shared" ref="BO679" si="4708">BN679*(BO124/BN124)</f>
        <v>7100.5569515199404</v>
      </c>
      <c r="BP679" s="55">
        <f t="shared" ref="BP679" si="4709">BO679*(BP124/BO124)</f>
        <v>7233.0259848567439</v>
      </c>
      <c r="BQ679" s="55">
        <f t="shared" ref="BQ679" si="4710">BP679*(BQ124/BP124)</f>
        <v>7368.0397985943746</v>
      </c>
      <c r="BR679" s="55"/>
      <c r="BS679" s="55"/>
      <c r="BT679" s="55"/>
      <c r="BU679" s="55"/>
      <c r="BV679" s="55"/>
      <c r="BW679" s="55"/>
      <c r="BX679" s="55"/>
      <c r="BY679" s="55"/>
      <c r="BZ679" s="55"/>
      <c r="CA679" s="55">
        <f t="shared" si="4697"/>
        <v>421</v>
      </c>
      <c r="CB679" s="55">
        <f t="shared" si="4697"/>
        <v>562</v>
      </c>
      <c r="CC679" s="55">
        <f t="shared" si="4575"/>
        <v>943</v>
      </c>
      <c r="CD679" s="55">
        <f t="shared" si="4576"/>
        <v>665</v>
      </c>
      <c r="CE679" s="55">
        <f t="shared" si="4577"/>
        <v>363</v>
      </c>
      <c r="CF679" s="55">
        <f t="shared" si="4578"/>
        <v>395</v>
      </c>
      <c r="CG679" s="55">
        <f t="shared" si="4579"/>
        <v>326</v>
      </c>
      <c r="CH679" s="55">
        <f t="shared" si="4580"/>
        <v>421</v>
      </c>
      <c r="CI679" s="55">
        <f t="shared" si="4581"/>
        <v>683</v>
      </c>
      <c r="CJ679" s="55">
        <f t="shared" si="4582"/>
        <v>4210</v>
      </c>
      <c r="CK679" s="55">
        <f t="shared" si="4583"/>
        <v>5216</v>
      </c>
      <c r="CL679" s="55">
        <f t="shared" si="4584"/>
        <v>5297</v>
      </c>
      <c r="CM679" s="55">
        <f t="shared" si="4585"/>
        <v>4687</v>
      </c>
      <c r="CN679" s="55">
        <f t="shared" si="4586"/>
        <v>4330</v>
      </c>
      <c r="CO679" s="55">
        <f t="shared" si="4587"/>
        <v>3367</v>
      </c>
      <c r="CP679" s="55">
        <f t="shared" si="4588"/>
        <v>2855</v>
      </c>
      <c r="CQ679" s="55">
        <f t="shared" si="4589"/>
        <v>3116</v>
      </c>
      <c r="CR679" s="55">
        <f t="shared" si="4590"/>
        <v>3187</v>
      </c>
      <c r="CS679" s="55">
        <f t="shared" si="4591"/>
        <v>3179</v>
      </c>
      <c r="CT679" s="55">
        <f t="shared" si="4592"/>
        <v>3622</v>
      </c>
      <c r="CU679" s="55">
        <f t="shared" si="4593"/>
        <v>3548</v>
      </c>
      <c r="CV679" s="55">
        <f t="shared" si="4594"/>
        <v>3409</v>
      </c>
      <c r="CW679" s="55">
        <f t="shared" si="4595"/>
        <v>2951</v>
      </c>
      <c r="CX679" s="55">
        <f t="shared" si="4596"/>
        <v>3326</v>
      </c>
      <c r="CY679" s="55">
        <f t="shared" si="4597"/>
        <v>3900</v>
      </c>
      <c r="CZ679" s="56">
        <f t="shared" si="4598"/>
        <v>5518.1195043447078</v>
      </c>
      <c r="DA679" s="55">
        <f t="shared" si="4599"/>
        <v>5045.1415346261829</v>
      </c>
      <c r="DB679" s="55">
        <f t="shared" si="4600"/>
        <v>6162.9411640850885</v>
      </c>
      <c r="DC679" s="55">
        <f t="shared" si="4601"/>
        <v>7065.7330806442878</v>
      </c>
      <c r="DD679" s="55">
        <f t="shared" si="4602"/>
        <v>6757.2338293447274</v>
      </c>
      <c r="DE679" s="55">
        <f t="shared" si="4603"/>
        <v>6371.0878831607788</v>
      </c>
      <c r="DF679" s="55">
        <f t="shared" si="4604"/>
        <v>6595.166719104358</v>
      </c>
      <c r="DG679" s="55">
        <f t="shared" si="4605"/>
        <v>6843.0589765258555</v>
      </c>
      <c r="DH679" s="55">
        <f t="shared" si="4606"/>
        <v>7100.5569515199404</v>
      </c>
      <c r="DI679" s="55">
        <f t="shared" si="4607"/>
        <v>7368.0397985943746</v>
      </c>
    </row>
    <row r="680" spans="1:113" outlineLevel="1">
      <c r="A680" s="1" t="s">
        <v>2223</v>
      </c>
      <c r="B680" s="19" t="s">
        <v>1493</v>
      </c>
      <c r="C680" s="164">
        <v>1256</v>
      </c>
      <c r="D680" s="164">
        <v>1248</v>
      </c>
      <c r="E680" s="164">
        <v>1253</v>
      </c>
      <c r="F680" s="164">
        <v>1253</v>
      </c>
      <c r="G680" s="164">
        <v>1254</v>
      </c>
      <c r="H680" s="164">
        <v>1257</v>
      </c>
      <c r="I680" s="164">
        <f>1255</f>
        <v>1255</v>
      </c>
      <c r="J680" s="164">
        <v>1256</v>
      </c>
      <c r="K680" s="164">
        <v>1264</v>
      </c>
      <c r="L680" s="164">
        <v>1273</v>
      </c>
      <c r="M680" s="164">
        <v>1277</v>
      </c>
      <c r="N680" s="164">
        <v>1276</v>
      </c>
      <c r="O680" s="164">
        <v>1286</v>
      </c>
      <c r="P680" s="164">
        <v>1300</v>
      </c>
      <c r="Q680" s="164">
        <v>1311.0119870000001</v>
      </c>
      <c r="R680" s="164">
        <v>1350.075</v>
      </c>
      <c r="S680" s="164">
        <v>1487.80744</v>
      </c>
      <c r="T680" s="164">
        <v>1516.740513</v>
      </c>
      <c r="U680" s="164">
        <v>1532.3529129999999</v>
      </c>
      <c r="V680" s="164">
        <v>1539.380404</v>
      </c>
      <c r="W680" s="164">
        <v>1544.6364510000001</v>
      </c>
      <c r="X680" s="164">
        <v>1557.2251389999999</v>
      </c>
      <c r="Y680" s="164">
        <v>1576.125595</v>
      </c>
      <c r="Z680" s="164">
        <v>1589.6833300000001</v>
      </c>
      <c r="AA680" s="164">
        <f t="shared" ref="AA680:AK680" si="4711">AA543</f>
        <v>1620.7520611301024</v>
      </c>
      <c r="AB680" s="164">
        <f t="shared" si="4711"/>
        <v>1620.7520611301024</v>
      </c>
      <c r="AC680" s="164">
        <f t="shared" si="4711"/>
        <v>1629.8009249949728</v>
      </c>
      <c r="AD680" s="164">
        <f t="shared" si="4711"/>
        <v>1630.1218520008042</v>
      </c>
      <c r="AE680" s="164">
        <f t="shared" si="4711"/>
        <v>1636.8389302232054</v>
      </c>
      <c r="AF680" s="164">
        <f t="shared" si="4711"/>
        <v>1708</v>
      </c>
      <c r="AG680" s="164">
        <f t="shared" si="4711"/>
        <v>1715</v>
      </c>
      <c r="AH680" s="164">
        <f t="shared" si="4711"/>
        <v>1723</v>
      </c>
      <c r="AI680" s="164">
        <f t="shared" si="4711"/>
        <v>1730</v>
      </c>
      <c r="AJ680" s="164">
        <f t="shared" si="4711"/>
        <v>1753</v>
      </c>
      <c r="AK680" s="164">
        <f t="shared" si="4711"/>
        <v>1760</v>
      </c>
      <c r="AL680" s="164">
        <f t="shared" ref="AL680:AQ680" si="4712">AL543</f>
        <v>1770.239507</v>
      </c>
      <c r="AM680" s="164">
        <f t="shared" si="4712"/>
        <v>1770.239507</v>
      </c>
      <c r="AN680" s="164">
        <f t="shared" si="4712"/>
        <v>1770.239507</v>
      </c>
      <c r="AO680" s="164">
        <f t="shared" si="4712"/>
        <v>1770.239507</v>
      </c>
      <c r="AP680" s="164">
        <f t="shared" si="4712"/>
        <v>1774.0964100000001</v>
      </c>
      <c r="AQ680" s="164">
        <f t="shared" si="4712"/>
        <v>1774.0964100000001</v>
      </c>
      <c r="AR680" s="164">
        <f t="shared" ref="AR680" si="4713">AR543</f>
        <v>1706.391603</v>
      </c>
      <c r="AS680" s="164">
        <f t="shared" ref="AS680:AT680" si="4714">AS543</f>
        <v>1701.5384059999999</v>
      </c>
      <c r="AT680" s="164">
        <f t="shared" si="4714"/>
        <v>1688.4141689999999</v>
      </c>
      <c r="AU680" s="164">
        <f t="shared" ref="AU680:AV680" si="4715">AU543</f>
        <v>1674.519391</v>
      </c>
      <c r="AV680" s="164">
        <f t="shared" si="4715"/>
        <v>1673.220748</v>
      </c>
      <c r="AW680" s="164">
        <f t="shared" ref="AW680:AY680" si="4716">AW543</f>
        <v>1672.0700300000001</v>
      </c>
      <c r="AX680" s="164">
        <f t="shared" si="4716"/>
        <v>1671.9987630000001</v>
      </c>
      <c r="AY680" s="164">
        <f t="shared" si="4716"/>
        <v>1671.842146</v>
      </c>
      <c r="AZ680" s="171">
        <f t="shared" ref="AZ680" si="4717">AZ543</f>
        <v>1672.123722</v>
      </c>
      <c r="BA680" s="55">
        <f t="shared" ref="BA680:BE680" si="4718">(AZ680-AZ543)+BA543</f>
        <v>1672.123722</v>
      </c>
      <c r="BB680" s="55">
        <f t="shared" si="4718"/>
        <v>1664.8228279285952</v>
      </c>
      <c r="BC680" s="55">
        <f t="shared" si="4718"/>
        <v>1657.8266296797287</v>
      </c>
      <c r="BD680" s="55">
        <f t="shared" si="4718"/>
        <v>1651.1224110650321</v>
      </c>
      <c r="BE680" s="55">
        <f t="shared" si="4718"/>
        <v>1644.6979865940805</v>
      </c>
      <c r="BF680" s="55">
        <f t="shared" ref="BF680:BM680" si="4719">(BE680-BE543)+BF543</f>
        <v>1638.5416793262229</v>
      </c>
      <c r="BG680" s="55">
        <f t="shared" si="4719"/>
        <v>1638.5416793262229</v>
      </c>
      <c r="BH680" s="55">
        <f t="shared" si="4719"/>
        <v>1638.5416793262229</v>
      </c>
      <c r="BI680" s="55">
        <f t="shared" si="4719"/>
        <v>1638.5416793262229</v>
      </c>
      <c r="BJ680" s="55">
        <f t="shared" si="4719"/>
        <v>1638.5416793262229</v>
      </c>
      <c r="BK680" s="55">
        <f t="shared" si="4719"/>
        <v>1638.5416793262229</v>
      </c>
      <c r="BL680" s="55">
        <f t="shared" si="4719"/>
        <v>1638.5416793262229</v>
      </c>
      <c r="BM680" s="55">
        <f t="shared" si="4719"/>
        <v>1638.5416793262229</v>
      </c>
      <c r="BN680" s="55">
        <f t="shared" ref="BN680" si="4720">(BM680-BM543)+BN543</f>
        <v>1638.5416793262229</v>
      </c>
      <c r="BO680" s="55">
        <f t="shared" ref="BO680" si="4721">(BN680-BN543)+BO543</f>
        <v>1638.5416793262229</v>
      </c>
      <c r="BP680" s="55">
        <f t="shared" ref="BP680" si="4722">(BO680-BO543)+BP543</f>
        <v>1638.5416793262229</v>
      </c>
      <c r="BQ680" s="55">
        <f t="shared" ref="BQ680" si="4723">(BP680-BP543)+BQ543</f>
        <v>1638.5416793262229</v>
      </c>
      <c r="BR680" s="55"/>
      <c r="BS680" s="55"/>
      <c r="BT680" s="55"/>
      <c r="BU680" s="55"/>
      <c r="BV680" s="55"/>
      <c r="BW680" s="55"/>
      <c r="BX680" s="55"/>
      <c r="BY680" s="55"/>
      <c r="BZ680" s="55"/>
      <c r="CA680" s="55">
        <f t="shared" si="4697"/>
        <v>1286</v>
      </c>
      <c r="CB680" s="55">
        <f t="shared" si="4697"/>
        <v>1300</v>
      </c>
      <c r="CC680" s="55">
        <f t="shared" si="4575"/>
        <v>1253</v>
      </c>
      <c r="CD680" s="55">
        <f t="shared" si="4576"/>
        <v>1254</v>
      </c>
      <c r="CE680" s="55">
        <f t="shared" si="4577"/>
        <v>1255</v>
      </c>
      <c r="CF680" s="55">
        <f t="shared" si="4578"/>
        <v>1264</v>
      </c>
      <c r="CG680" s="55">
        <f t="shared" si="4579"/>
        <v>1277</v>
      </c>
      <c r="CH680" s="55">
        <f t="shared" si="4580"/>
        <v>1286</v>
      </c>
      <c r="CI680" s="55">
        <f t="shared" si="4581"/>
        <v>1311.0119870000001</v>
      </c>
      <c r="CJ680" s="55">
        <f t="shared" si="4582"/>
        <v>1487.80744</v>
      </c>
      <c r="CK680" s="55">
        <f t="shared" si="4583"/>
        <v>1532.3529129999999</v>
      </c>
      <c r="CL680" s="55">
        <f t="shared" si="4584"/>
        <v>1544.6364510000001</v>
      </c>
      <c r="CM680" s="55">
        <f t="shared" si="4585"/>
        <v>1576.125595</v>
      </c>
      <c r="CN680" s="55">
        <f t="shared" si="4586"/>
        <v>1620.7520611301024</v>
      </c>
      <c r="CO680" s="55">
        <f t="shared" si="4587"/>
        <v>1629.8009249949728</v>
      </c>
      <c r="CP680" s="55">
        <f t="shared" si="4588"/>
        <v>1636.8389302232054</v>
      </c>
      <c r="CQ680" s="55">
        <f t="shared" si="4589"/>
        <v>1715</v>
      </c>
      <c r="CR680" s="55">
        <f t="shared" si="4590"/>
        <v>1730</v>
      </c>
      <c r="CS680" s="55">
        <f t="shared" si="4591"/>
        <v>1760</v>
      </c>
      <c r="CT680" s="55">
        <f t="shared" si="4592"/>
        <v>1770.239507</v>
      </c>
      <c r="CU680" s="55">
        <f t="shared" si="4593"/>
        <v>1770.239507</v>
      </c>
      <c r="CV680" s="55">
        <f t="shared" si="4594"/>
        <v>1774.0964100000001</v>
      </c>
      <c r="CW680" s="55">
        <f t="shared" si="4595"/>
        <v>1701.5384059999999</v>
      </c>
      <c r="CX680" s="55">
        <f t="shared" si="4596"/>
        <v>1674.519391</v>
      </c>
      <c r="CY680" s="55">
        <f t="shared" si="4597"/>
        <v>1672.0700300000001</v>
      </c>
      <c r="CZ680" s="56">
        <f t="shared" si="4598"/>
        <v>1671.842146</v>
      </c>
      <c r="DA680" s="55">
        <f t="shared" si="4599"/>
        <v>1672.123722</v>
      </c>
      <c r="DB680" s="55">
        <f t="shared" si="4600"/>
        <v>1657.8266296797287</v>
      </c>
      <c r="DC680" s="55">
        <f t="shared" si="4601"/>
        <v>1644.6979865940805</v>
      </c>
      <c r="DD680" s="55">
        <f t="shared" si="4602"/>
        <v>1638.5416793262229</v>
      </c>
      <c r="DE680" s="55">
        <f t="shared" si="4603"/>
        <v>1638.5416793262229</v>
      </c>
      <c r="DF680" s="55">
        <f t="shared" si="4604"/>
        <v>1638.5416793262229</v>
      </c>
      <c r="DG680" s="55">
        <f t="shared" si="4605"/>
        <v>1638.5416793262229</v>
      </c>
      <c r="DH680" s="55">
        <f t="shared" si="4606"/>
        <v>1638.5416793262229</v>
      </c>
      <c r="DI680" s="55">
        <f t="shared" si="4607"/>
        <v>1638.5416793262229</v>
      </c>
    </row>
    <row r="681" spans="1:113" outlineLevel="1">
      <c r="A681" s="1" t="s">
        <v>2224</v>
      </c>
      <c r="B681" s="19" t="s">
        <v>2225</v>
      </c>
      <c r="C681" s="164"/>
      <c r="D681" s="164"/>
      <c r="E681" s="164"/>
      <c r="F681" s="164"/>
      <c r="G681" s="164"/>
      <c r="H681" s="164"/>
      <c r="I681" s="164"/>
      <c r="J681" s="164"/>
      <c r="K681" s="164"/>
      <c r="L681" s="164">
        <v>47</v>
      </c>
      <c r="M681" s="164">
        <v>56</v>
      </c>
      <c r="N681" s="164">
        <v>56</v>
      </c>
      <c r="O681" s="164">
        <v>45</v>
      </c>
      <c r="P681" s="164">
        <v>80</v>
      </c>
      <c r="Q681" s="164">
        <v>118</v>
      </c>
      <c r="R681" s="164">
        <v>183</v>
      </c>
      <c r="S681" s="164">
        <v>122</v>
      </c>
      <c r="T681" s="164">
        <v>96</v>
      </c>
      <c r="U681" s="164">
        <v>124</v>
      </c>
      <c r="V681" s="164">
        <v>123</v>
      </c>
      <c r="W681" s="164">
        <v>121</v>
      </c>
      <c r="X681" s="164">
        <v>108</v>
      </c>
      <c r="Y681" s="164">
        <v>104</v>
      </c>
      <c r="Z681" s="164">
        <v>93</v>
      </c>
      <c r="AA681" s="164">
        <v>0</v>
      </c>
      <c r="AB681" s="164">
        <v>0</v>
      </c>
      <c r="AC681" s="164">
        <v>0</v>
      </c>
      <c r="AD681" s="164">
        <v>1</v>
      </c>
      <c r="AE681" s="164">
        <v>2</v>
      </c>
      <c r="AF681" s="164">
        <v>0</v>
      </c>
      <c r="AG681" s="164">
        <v>0</v>
      </c>
      <c r="AH681" s="164">
        <v>0</v>
      </c>
      <c r="AI681" s="164">
        <v>0</v>
      </c>
      <c r="AJ681" s="164">
        <v>0</v>
      </c>
      <c r="AK681" s="164">
        <v>0</v>
      </c>
      <c r="AL681" s="164">
        <v>0</v>
      </c>
      <c r="AM681" s="164">
        <v>0</v>
      </c>
      <c r="AN681" s="164">
        <v>0</v>
      </c>
      <c r="AO681" s="164">
        <v>0</v>
      </c>
      <c r="AP681" s="164">
        <v>0</v>
      </c>
      <c r="AQ681" s="164">
        <v>0</v>
      </c>
      <c r="AR681" s="164">
        <v>0</v>
      </c>
      <c r="AS681" s="164">
        <v>0</v>
      </c>
      <c r="AT681" s="164">
        <v>0</v>
      </c>
      <c r="AU681" s="164">
        <v>0</v>
      </c>
      <c r="AV681" s="164">
        <v>0</v>
      </c>
      <c r="AW681" s="164">
        <v>0</v>
      </c>
      <c r="AX681" s="164">
        <v>0</v>
      </c>
      <c r="AY681" s="164">
        <v>0</v>
      </c>
      <c r="AZ681" s="171">
        <v>0</v>
      </c>
      <c r="BA681" s="55">
        <f t="shared" ref="BA681:BE681" si="4724">AZ681</f>
        <v>0</v>
      </c>
      <c r="BB681" s="55">
        <f t="shared" si="4724"/>
        <v>0</v>
      </c>
      <c r="BC681" s="55">
        <f t="shared" si="4724"/>
        <v>0</v>
      </c>
      <c r="BD681" s="55">
        <f t="shared" si="4724"/>
        <v>0</v>
      </c>
      <c r="BE681" s="55">
        <f t="shared" si="4724"/>
        <v>0</v>
      </c>
      <c r="BF681" s="55">
        <f t="shared" ref="BF681:BM682" si="4725">BE681</f>
        <v>0</v>
      </c>
      <c r="BG681" s="55">
        <f t="shared" si="4725"/>
        <v>0</v>
      </c>
      <c r="BH681" s="55">
        <f t="shared" si="4725"/>
        <v>0</v>
      </c>
      <c r="BI681" s="55">
        <f t="shared" si="4725"/>
        <v>0</v>
      </c>
      <c r="BJ681" s="55">
        <f t="shared" si="4725"/>
        <v>0</v>
      </c>
      <c r="BK681" s="55">
        <f t="shared" si="4725"/>
        <v>0</v>
      </c>
      <c r="BL681" s="55">
        <f t="shared" si="4725"/>
        <v>0</v>
      </c>
      <c r="BM681" s="55">
        <f t="shared" si="4725"/>
        <v>0</v>
      </c>
      <c r="BN681" s="55">
        <f t="shared" ref="BN681:BN682" si="4726">BM681</f>
        <v>0</v>
      </c>
      <c r="BO681" s="55">
        <f t="shared" ref="BO681:BO682" si="4727">BN681</f>
        <v>0</v>
      </c>
      <c r="BP681" s="55">
        <f t="shared" ref="BP681:BP682" si="4728">BO681</f>
        <v>0</v>
      </c>
      <c r="BQ681" s="55">
        <f t="shared" ref="BQ681:BQ682" si="4729">BP681</f>
        <v>0</v>
      </c>
      <c r="BR681" s="55"/>
      <c r="BS681" s="55"/>
      <c r="BT681" s="55"/>
      <c r="BU681" s="55"/>
      <c r="BV681" s="55"/>
      <c r="BW681" s="55"/>
      <c r="BX681" s="55"/>
      <c r="BY681" s="55"/>
      <c r="BZ681" s="55"/>
      <c r="CA681" s="55">
        <f t="shared" si="4697"/>
        <v>45</v>
      </c>
      <c r="CB681" s="55">
        <f t="shared" si="4697"/>
        <v>80</v>
      </c>
      <c r="CC681" s="55">
        <f t="shared" si="4575"/>
        <v>0</v>
      </c>
      <c r="CD681" s="55">
        <f t="shared" si="4576"/>
        <v>0</v>
      </c>
      <c r="CE681" s="55">
        <f t="shared" si="4577"/>
        <v>0</v>
      </c>
      <c r="CF681" s="55">
        <f t="shared" si="4578"/>
        <v>0</v>
      </c>
      <c r="CG681" s="55">
        <f t="shared" si="4579"/>
        <v>56</v>
      </c>
      <c r="CH681" s="55">
        <f t="shared" si="4580"/>
        <v>45</v>
      </c>
      <c r="CI681" s="55">
        <f t="shared" si="4581"/>
        <v>118</v>
      </c>
      <c r="CJ681" s="55">
        <f t="shared" si="4582"/>
        <v>122</v>
      </c>
      <c r="CK681" s="55">
        <f t="shared" si="4583"/>
        <v>124</v>
      </c>
      <c r="CL681" s="55">
        <f t="shared" si="4584"/>
        <v>121</v>
      </c>
      <c r="CM681" s="55">
        <f t="shared" si="4585"/>
        <v>104</v>
      </c>
      <c r="CN681" s="55">
        <f t="shared" si="4586"/>
        <v>0</v>
      </c>
      <c r="CO681" s="55">
        <f t="shared" si="4587"/>
        <v>0</v>
      </c>
      <c r="CP681" s="55">
        <f t="shared" si="4588"/>
        <v>2</v>
      </c>
      <c r="CQ681" s="55">
        <f t="shared" si="4589"/>
        <v>0</v>
      </c>
      <c r="CR681" s="55">
        <f t="shared" si="4590"/>
        <v>0</v>
      </c>
      <c r="CS681" s="55">
        <f t="shared" si="4591"/>
        <v>0</v>
      </c>
      <c r="CT681" s="55">
        <f t="shared" si="4592"/>
        <v>0</v>
      </c>
      <c r="CU681" s="55">
        <f t="shared" si="4593"/>
        <v>0</v>
      </c>
      <c r="CV681" s="55">
        <f t="shared" si="4594"/>
        <v>0</v>
      </c>
      <c r="CW681" s="55">
        <f t="shared" si="4595"/>
        <v>0</v>
      </c>
      <c r="CX681" s="55">
        <f t="shared" si="4596"/>
        <v>0</v>
      </c>
      <c r="CY681" s="55">
        <f t="shared" si="4597"/>
        <v>0</v>
      </c>
      <c r="CZ681" s="56">
        <f t="shared" si="4598"/>
        <v>0</v>
      </c>
      <c r="DA681" s="55">
        <f t="shared" si="4599"/>
        <v>0</v>
      </c>
      <c r="DB681" s="55">
        <f t="shared" si="4600"/>
        <v>0</v>
      </c>
      <c r="DC681" s="55">
        <f t="shared" si="4601"/>
        <v>0</v>
      </c>
      <c r="DD681" s="55">
        <f t="shared" si="4602"/>
        <v>0</v>
      </c>
      <c r="DE681" s="55">
        <f t="shared" si="4603"/>
        <v>0</v>
      </c>
      <c r="DF681" s="55">
        <f t="shared" si="4604"/>
        <v>0</v>
      </c>
      <c r="DG681" s="55">
        <f t="shared" si="4605"/>
        <v>0</v>
      </c>
      <c r="DH681" s="55">
        <f t="shared" si="4606"/>
        <v>0</v>
      </c>
      <c r="DI681" s="55">
        <f t="shared" si="4607"/>
        <v>0</v>
      </c>
    </row>
    <row r="682" spans="1:113" outlineLevel="1">
      <c r="A682" s="1" t="s">
        <v>2226</v>
      </c>
      <c r="B682" s="19" t="s">
        <v>2227</v>
      </c>
      <c r="C682" s="164"/>
      <c r="D682" s="164"/>
      <c r="E682" s="164"/>
      <c r="F682" s="164"/>
      <c r="G682" s="164"/>
      <c r="H682" s="164"/>
      <c r="I682" s="164"/>
      <c r="J682" s="164"/>
      <c r="K682" s="164"/>
      <c r="L682" s="164">
        <v>4.2137667375396797</v>
      </c>
      <c r="M682" s="164">
        <v>4.2137667375396841</v>
      </c>
      <c r="N682" s="164">
        <v>4.4144222964701454</v>
      </c>
      <c r="O682" s="164">
        <v>4.4144222964701454</v>
      </c>
      <c r="P682" s="164">
        <v>4.6246328820163436</v>
      </c>
      <c r="Q682" s="164">
        <v>4.6246328820163436</v>
      </c>
      <c r="R682" s="164">
        <v>4.8448534954456939</v>
      </c>
      <c r="S682" s="164">
        <v>4.8448534954456939</v>
      </c>
      <c r="T682" s="164">
        <v>5.0755608047526319</v>
      </c>
      <c r="U682" s="164">
        <v>5.0755608047526319</v>
      </c>
      <c r="V682" s="164">
        <v>0</v>
      </c>
      <c r="W682" s="164">
        <v>0</v>
      </c>
      <c r="X682" s="164">
        <v>0</v>
      </c>
      <c r="Y682" s="164">
        <v>0</v>
      </c>
      <c r="Z682" s="164">
        <v>0</v>
      </c>
      <c r="AA682" s="164">
        <v>0</v>
      </c>
      <c r="AB682" s="164">
        <v>1</v>
      </c>
      <c r="AC682" s="164">
        <v>1</v>
      </c>
      <c r="AD682" s="164">
        <v>1</v>
      </c>
      <c r="AE682" s="164">
        <v>1</v>
      </c>
      <c r="AF682" s="164">
        <v>3</v>
      </c>
      <c r="AG682" s="164">
        <v>3</v>
      </c>
      <c r="AH682" s="164">
        <v>3</v>
      </c>
      <c r="AI682" s="164">
        <v>3</v>
      </c>
      <c r="AJ682" s="164">
        <v>3</v>
      </c>
      <c r="AK682" s="164">
        <v>2</v>
      </c>
      <c r="AL682" s="164">
        <v>2</v>
      </c>
      <c r="AM682" s="164">
        <v>2</v>
      </c>
      <c r="AN682" s="164">
        <v>2</v>
      </c>
      <c r="AO682" s="164">
        <v>2</v>
      </c>
      <c r="AP682" s="164">
        <v>2</v>
      </c>
      <c r="AQ682" s="164">
        <v>2</v>
      </c>
      <c r="AR682" s="164">
        <v>2</v>
      </c>
      <c r="AS682" s="164">
        <v>2</v>
      </c>
      <c r="AT682" s="164">
        <v>2</v>
      </c>
      <c r="AU682" s="164">
        <v>2</v>
      </c>
      <c r="AV682" s="164">
        <v>2</v>
      </c>
      <c r="AW682" s="164">
        <v>2</v>
      </c>
      <c r="AX682" s="164">
        <v>2</v>
      </c>
      <c r="AY682" s="164">
        <v>2</v>
      </c>
      <c r="AZ682" s="171">
        <v>2</v>
      </c>
      <c r="BA682" s="55">
        <f t="shared" ref="BA682:BE682" si="4730">AZ682</f>
        <v>2</v>
      </c>
      <c r="BB682" s="55">
        <f t="shared" si="4730"/>
        <v>2</v>
      </c>
      <c r="BC682" s="55">
        <f t="shared" si="4730"/>
        <v>2</v>
      </c>
      <c r="BD682" s="55">
        <f t="shared" si="4730"/>
        <v>2</v>
      </c>
      <c r="BE682" s="55">
        <f t="shared" si="4730"/>
        <v>2</v>
      </c>
      <c r="BF682" s="55">
        <f t="shared" si="4725"/>
        <v>2</v>
      </c>
      <c r="BG682" s="55">
        <f t="shared" si="4725"/>
        <v>2</v>
      </c>
      <c r="BH682" s="55">
        <f t="shared" si="4725"/>
        <v>2</v>
      </c>
      <c r="BI682" s="55">
        <f t="shared" si="4725"/>
        <v>2</v>
      </c>
      <c r="BJ682" s="55">
        <f t="shared" si="4725"/>
        <v>2</v>
      </c>
      <c r="BK682" s="55">
        <f t="shared" si="4725"/>
        <v>2</v>
      </c>
      <c r="BL682" s="55">
        <f t="shared" si="4725"/>
        <v>2</v>
      </c>
      <c r="BM682" s="55">
        <f t="shared" si="4725"/>
        <v>2</v>
      </c>
      <c r="BN682" s="55">
        <f t="shared" si="4726"/>
        <v>2</v>
      </c>
      <c r="BO682" s="55">
        <f t="shared" si="4727"/>
        <v>2</v>
      </c>
      <c r="BP682" s="55">
        <f t="shared" si="4728"/>
        <v>2</v>
      </c>
      <c r="BQ682" s="55">
        <f t="shared" si="4729"/>
        <v>2</v>
      </c>
      <c r="BR682" s="55"/>
      <c r="BS682" s="55"/>
      <c r="BT682" s="55"/>
      <c r="BU682" s="55"/>
      <c r="BV682" s="55"/>
      <c r="BW682" s="55"/>
      <c r="BX682" s="55"/>
      <c r="BY682" s="55"/>
      <c r="BZ682" s="55"/>
      <c r="CA682" s="55"/>
      <c r="CB682" s="55"/>
      <c r="CC682" s="55"/>
      <c r="CD682" s="55"/>
      <c r="CE682" s="55"/>
      <c r="CF682" s="55"/>
      <c r="CG682" s="55"/>
      <c r="CH682" s="55"/>
      <c r="CI682" s="55"/>
      <c r="CJ682" s="55"/>
      <c r="CK682" s="55"/>
      <c r="CL682" s="55"/>
      <c r="CM682" s="55"/>
      <c r="CN682" s="55"/>
      <c r="CO682" s="55"/>
      <c r="CP682" s="55"/>
      <c r="CQ682" s="55"/>
      <c r="CR682" s="55"/>
      <c r="CS682" s="55"/>
      <c r="CT682" s="55"/>
      <c r="CU682" s="55"/>
      <c r="CV682" s="55"/>
      <c r="CW682" s="55"/>
      <c r="CX682" s="55"/>
      <c r="CY682" s="55"/>
      <c r="CZ682" s="56"/>
      <c r="DA682" s="55"/>
      <c r="DB682" s="55"/>
    </row>
    <row r="683" spans="1:113" outlineLevel="2">
      <c r="A683" s="1" t="s">
        <v>2228</v>
      </c>
      <c r="B683" s="19" t="s">
        <v>2229</v>
      </c>
      <c r="C683" s="55"/>
      <c r="D683" s="55"/>
      <c r="E683" s="55"/>
      <c r="F683" s="55"/>
      <c r="G683" s="55"/>
      <c r="H683" s="55"/>
      <c r="I683" s="55"/>
      <c r="J683" s="55"/>
      <c r="K683" s="55"/>
      <c r="L683" s="55"/>
      <c r="M683" s="55"/>
      <c r="N683" s="55"/>
      <c r="O683" s="55"/>
      <c r="P683" s="55"/>
      <c r="Q683" s="55"/>
      <c r="R683" s="55"/>
      <c r="S683" s="55"/>
      <c r="T683" s="55"/>
      <c r="U683" s="55"/>
      <c r="V683" s="55"/>
      <c r="W683" s="55"/>
      <c r="X683" s="55"/>
      <c r="Y683" s="55"/>
      <c r="Z683" s="55"/>
      <c r="AA683" s="55"/>
      <c r="AB683" s="55"/>
      <c r="AC683" s="55"/>
      <c r="AD683" s="55"/>
      <c r="AE683" s="55"/>
      <c r="AF683" s="55"/>
      <c r="AG683" s="55"/>
      <c r="AH683" s="55"/>
      <c r="AI683" s="55"/>
      <c r="AJ683" s="55"/>
      <c r="AK683" s="55"/>
      <c r="AL683" s="55"/>
      <c r="AM683" s="55"/>
      <c r="AN683" s="55"/>
      <c r="AO683" s="55"/>
      <c r="AP683" s="55"/>
      <c r="AQ683" s="55"/>
      <c r="AR683" s="55"/>
      <c r="AS683" s="55"/>
      <c r="AT683" s="55"/>
      <c r="AU683" s="55"/>
      <c r="AV683" s="55"/>
      <c r="AW683" s="55"/>
      <c r="AX683" s="55"/>
      <c r="AY683" s="55"/>
      <c r="AZ683" s="56"/>
      <c r="BA683" s="55"/>
      <c r="BB683" s="55"/>
      <c r="BC683" s="55"/>
      <c r="BD683" s="55"/>
      <c r="BE683" s="55"/>
      <c r="BF683" s="55"/>
      <c r="BG683" s="55"/>
      <c r="BH683" s="55"/>
      <c r="BI683" s="55"/>
      <c r="BJ683" s="55"/>
      <c r="BK683" s="55"/>
      <c r="BL683" s="55"/>
      <c r="BM683" s="55"/>
      <c r="BN683" s="55"/>
      <c r="BO683" s="55"/>
      <c r="BP683" s="55"/>
      <c r="BQ683" s="55"/>
      <c r="BR683" s="55"/>
      <c r="BS683" s="55"/>
      <c r="BT683" s="55"/>
      <c r="BU683" s="55"/>
      <c r="BV683" s="55"/>
      <c r="BW683" s="55"/>
      <c r="BX683" s="55"/>
      <c r="BY683" s="55"/>
      <c r="BZ683" s="55"/>
      <c r="CA683" s="55"/>
      <c r="CB683" s="55"/>
      <c r="CC683" s="55"/>
      <c r="CD683" s="55"/>
      <c r="CE683" s="55"/>
      <c r="CF683" s="55"/>
      <c r="CG683" s="55"/>
      <c r="CH683" s="55"/>
      <c r="CI683" s="55"/>
      <c r="CJ683" s="55"/>
      <c r="CK683" s="55"/>
      <c r="CL683" s="55"/>
      <c r="CM683" s="55"/>
      <c r="CN683" s="55"/>
      <c r="CO683" s="55"/>
      <c r="CP683" s="55"/>
      <c r="CQ683" s="55"/>
      <c r="CR683" s="55"/>
      <c r="CS683" s="55"/>
      <c r="CT683" s="55"/>
      <c r="CU683" s="55"/>
      <c r="CV683" s="55"/>
      <c r="CW683" s="55"/>
      <c r="CX683" s="55"/>
      <c r="CY683" s="55"/>
      <c r="CZ683" s="56"/>
      <c r="DA683" s="55"/>
      <c r="DB683" s="55"/>
    </row>
    <row r="684" spans="1:113" outlineLevel="2">
      <c r="A684" s="1" t="s">
        <v>2413</v>
      </c>
      <c r="B684" s="19" t="s">
        <v>801</v>
      </c>
      <c r="C684" s="55"/>
      <c r="D684" s="55"/>
      <c r="E684" s="55"/>
      <c r="F684" s="55"/>
      <c r="G684" s="55"/>
      <c r="H684" s="55"/>
      <c r="I684" s="55"/>
      <c r="J684" s="55"/>
      <c r="K684" s="55"/>
      <c r="L684" s="55"/>
      <c r="M684" s="55"/>
      <c r="N684" s="55"/>
      <c r="O684" s="55"/>
      <c r="P684" s="55"/>
      <c r="Q684" s="55"/>
      <c r="R684" s="55"/>
      <c r="S684" s="55"/>
      <c r="T684" s="55"/>
      <c r="U684" s="55"/>
      <c r="V684" s="55"/>
      <c r="W684" s="55"/>
      <c r="X684" s="55"/>
      <c r="Y684" s="55"/>
      <c r="Z684" s="55"/>
      <c r="AA684" s="55"/>
      <c r="AB684" s="55"/>
      <c r="AC684" s="55"/>
      <c r="AD684" s="55"/>
      <c r="AE684" s="55"/>
      <c r="AF684" s="55"/>
      <c r="AG684" s="55"/>
      <c r="AH684" s="55"/>
      <c r="AI684" s="55"/>
      <c r="AJ684" s="55"/>
      <c r="AK684" s="55"/>
      <c r="AL684" s="55"/>
      <c r="AM684" s="55"/>
      <c r="AN684" s="55"/>
      <c r="AO684" s="55"/>
      <c r="AP684" s="55"/>
      <c r="AQ684" s="55"/>
      <c r="AR684" s="55"/>
      <c r="AS684" s="55"/>
      <c r="AT684" s="55"/>
      <c r="AU684" s="55"/>
      <c r="AV684" s="55"/>
      <c r="AW684" s="55"/>
      <c r="AX684" s="55"/>
      <c r="AY684" s="55"/>
      <c r="AZ684" s="56"/>
      <c r="BA684" s="55"/>
      <c r="BB684" s="55"/>
      <c r="BC684" s="55"/>
      <c r="BD684" s="55"/>
      <c r="BE684" s="55"/>
      <c r="BF684" s="55"/>
      <c r="BG684" s="55"/>
      <c r="BH684" s="55"/>
      <c r="BI684" s="55"/>
      <c r="BJ684" s="55"/>
      <c r="BK684" s="55"/>
      <c r="BL684" s="55"/>
      <c r="BM684" s="55"/>
      <c r="BN684" s="55"/>
      <c r="BO684" s="55"/>
      <c r="BP684" s="55"/>
      <c r="BQ684" s="55"/>
      <c r="BR684" s="55"/>
      <c r="BS684" s="55"/>
      <c r="BT684" s="55"/>
      <c r="BU684" s="55"/>
      <c r="BV684" s="55"/>
      <c r="BW684" s="55"/>
      <c r="BX684" s="55"/>
      <c r="BY684" s="55"/>
      <c r="BZ684" s="55"/>
      <c r="CA684" s="55"/>
      <c r="CB684" s="55"/>
      <c r="CC684" s="55"/>
      <c r="CD684" s="55"/>
      <c r="CE684" s="55"/>
      <c r="CF684" s="55"/>
      <c r="CG684" s="55"/>
      <c r="CH684" s="55"/>
      <c r="CI684" s="55"/>
      <c r="CJ684" s="55"/>
      <c r="CK684" s="55"/>
      <c r="CL684" s="55"/>
      <c r="CM684" s="55"/>
      <c r="CN684" s="55"/>
      <c r="CO684" s="55"/>
      <c r="CP684" s="55"/>
      <c r="CQ684" s="55"/>
      <c r="CR684" s="55"/>
      <c r="CS684" s="55"/>
      <c r="CT684" s="55"/>
      <c r="CU684" s="55"/>
      <c r="CV684" s="55"/>
      <c r="CW684" s="55"/>
      <c r="CX684" s="55"/>
      <c r="CY684" s="55"/>
      <c r="CZ684" s="56"/>
      <c r="DA684" s="55"/>
      <c r="DB684" s="55"/>
    </row>
    <row r="685" spans="1:113" outlineLevel="2">
      <c r="A685" s="1" t="s">
        <v>2414</v>
      </c>
      <c r="B685" s="19" t="s">
        <v>801</v>
      </c>
      <c r="C685" s="55"/>
      <c r="D685" s="55"/>
      <c r="E685" s="55"/>
      <c r="F685" s="55"/>
      <c r="G685" s="55"/>
      <c r="H685" s="55"/>
      <c r="I685" s="55"/>
      <c r="J685" s="55"/>
      <c r="K685" s="55"/>
      <c r="L685" s="55"/>
      <c r="M685" s="55"/>
      <c r="N685" s="55"/>
      <c r="O685" s="55"/>
      <c r="P685" s="55"/>
      <c r="Q685" s="55"/>
      <c r="R685" s="55"/>
      <c r="S685" s="55"/>
      <c r="T685" s="55"/>
      <c r="U685" s="55"/>
      <c r="V685" s="55"/>
      <c r="W685" s="55"/>
      <c r="X685" s="55"/>
      <c r="Y685" s="55"/>
      <c r="Z685" s="55"/>
      <c r="AA685" s="55"/>
      <c r="AB685" s="55"/>
      <c r="AC685" s="55"/>
      <c r="AD685" s="55"/>
      <c r="AE685" s="55"/>
      <c r="AF685" s="55"/>
      <c r="AG685" s="55"/>
      <c r="AH685" s="55"/>
      <c r="AI685" s="55"/>
      <c r="AJ685" s="55"/>
      <c r="AK685" s="55"/>
      <c r="AL685" s="55"/>
      <c r="AM685" s="55"/>
      <c r="AN685" s="55"/>
      <c r="AO685" s="55"/>
      <c r="AP685" s="55"/>
      <c r="AQ685" s="55"/>
      <c r="AR685" s="55"/>
      <c r="AS685" s="55"/>
      <c r="AT685" s="55"/>
      <c r="AU685" s="55"/>
      <c r="AV685" s="55"/>
      <c r="AW685" s="55"/>
      <c r="AX685" s="55"/>
      <c r="AY685" s="55"/>
      <c r="AZ685" s="56"/>
      <c r="BA685" s="55"/>
      <c r="BB685" s="55"/>
      <c r="BC685" s="55"/>
      <c r="BD685" s="55"/>
      <c r="BE685" s="55"/>
      <c r="BF685" s="55"/>
      <c r="BG685" s="55"/>
      <c r="BH685" s="55"/>
      <c r="BI685" s="55"/>
      <c r="BJ685" s="55"/>
      <c r="BK685" s="55"/>
      <c r="BL685" s="55"/>
      <c r="BM685" s="55"/>
      <c r="BN685" s="55"/>
      <c r="BO685" s="55"/>
      <c r="BP685" s="55"/>
      <c r="BQ685" s="55"/>
      <c r="BR685" s="55"/>
      <c r="BS685" s="55"/>
      <c r="BT685" s="55"/>
      <c r="BU685" s="55"/>
      <c r="BV685" s="55"/>
      <c r="BW685" s="55"/>
      <c r="BX685" s="55"/>
      <c r="BY685" s="55"/>
      <c r="BZ685" s="55"/>
      <c r="CA685" s="55"/>
      <c r="CB685" s="55"/>
      <c r="CC685" s="55"/>
      <c r="CD685" s="55"/>
      <c r="CE685" s="55"/>
      <c r="CF685" s="55"/>
      <c r="CG685" s="55"/>
      <c r="CH685" s="55"/>
      <c r="CI685" s="55"/>
      <c r="CJ685" s="55"/>
      <c r="CK685" s="55"/>
      <c r="CL685" s="55"/>
      <c r="CM685" s="55"/>
      <c r="CN685" s="55"/>
      <c r="CO685" s="55"/>
      <c r="CP685" s="55"/>
      <c r="CQ685" s="55"/>
      <c r="CR685" s="55"/>
      <c r="CS685" s="55"/>
      <c r="CT685" s="55"/>
      <c r="CU685" s="55"/>
      <c r="CV685" s="55"/>
      <c r="CW685" s="55"/>
      <c r="CX685" s="55"/>
      <c r="CY685" s="55"/>
      <c r="CZ685" s="56"/>
      <c r="DA685" s="55"/>
      <c r="DB685" s="55"/>
    </row>
    <row r="686" spans="1:113" outlineLevel="2">
      <c r="A686" s="1" t="s">
        <v>2415</v>
      </c>
      <c r="B686" s="19" t="s">
        <v>801</v>
      </c>
      <c r="C686" s="55"/>
      <c r="D686" s="55"/>
      <c r="E686" s="55"/>
      <c r="F686" s="55"/>
      <c r="G686" s="55"/>
      <c r="H686" s="55"/>
      <c r="I686" s="55"/>
      <c r="J686" s="55"/>
      <c r="K686" s="55"/>
      <c r="L686" s="55"/>
      <c r="M686" s="55"/>
      <c r="N686" s="55"/>
      <c r="O686" s="55"/>
      <c r="P686" s="55"/>
      <c r="Q686" s="55"/>
      <c r="R686" s="55"/>
      <c r="S686" s="55"/>
      <c r="T686" s="55"/>
      <c r="U686" s="55"/>
      <c r="V686" s="55"/>
      <c r="W686" s="55"/>
      <c r="X686" s="55"/>
      <c r="Y686" s="55"/>
      <c r="Z686" s="55"/>
      <c r="AA686" s="55"/>
      <c r="AB686" s="55"/>
      <c r="AC686" s="55"/>
      <c r="AD686" s="55"/>
      <c r="AE686" s="55"/>
      <c r="AF686" s="55"/>
      <c r="AG686" s="55"/>
      <c r="AH686" s="55"/>
      <c r="AI686" s="55"/>
      <c r="AJ686" s="55"/>
      <c r="AK686" s="55"/>
      <c r="AL686" s="55"/>
      <c r="AM686" s="55"/>
      <c r="AN686" s="55"/>
      <c r="AO686" s="55"/>
      <c r="AP686" s="55"/>
      <c r="AQ686" s="55"/>
      <c r="AR686" s="55"/>
      <c r="AS686" s="55"/>
      <c r="AT686" s="55"/>
      <c r="AU686" s="55"/>
      <c r="AV686" s="55"/>
      <c r="AW686" s="55"/>
      <c r="AX686" s="55"/>
      <c r="AY686" s="55"/>
      <c r="AZ686" s="56"/>
      <c r="BA686" s="55"/>
      <c r="BB686" s="55"/>
      <c r="BC686" s="55"/>
      <c r="BD686" s="55"/>
      <c r="BE686" s="55"/>
      <c r="BF686" s="55"/>
      <c r="BG686" s="55"/>
      <c r="BH686" s="55"/>
      <c r="BI686" s="55"/>
      <c r="BJ686" s="55"/>
      <c r="BK686" s="55"/>
      <c r="BL686" s="55"/>
      <c r="BM686" s="55"/>
      <c r="BN686" s="55"/>
      <c r="BO686" s="55"/>
      <c r="BP686" s="55"/>
      <c r="BQ686" s="55"/>
      <c r="BR686" s="55"/>
      <c r="BS686" s="55"/>
      <c r="BT686" s="55"/>
      <c r="BU686" s="55"/>
      <c r="BV686" s="55"/>
      <c r="BW686" s="55"/>
      <c r="BX686" s="55"/>
      <c r="BY686" s="55"/>
      <c r="BZ686" s="55"/>
      <c r="CA686" s="55"/>
      <c r="CB686" s="55"/>
      <c r="CC686" s="55"/>
      <c r="CD686" s="55"/>
      <c r="CE686" s="55"/>
      <c r="CF686" s="55"/>
      <c r="CG686" s="55"/>
      <c r="CH686" s="55"/>
      <c r="CI686" s="55"/>
      <c r="CJ686" s="55"/>
      <c r="CK686" s="55"/>
      <c r="CL686" s="55"/>
      <c r="CM686" s="55"/>
      <c r="CN686" s="55"/>
      <c r="CO686" s="55"/>
      <c r="CP686" s="55"/>
      <c r="CQ686" s="55"/>
      <c r="CR686" s="55"/>
      <c r="CS686" s="55"/>
      <c r="CT686" s="55"/>
      <c r="CU686" s="55"/>
      <c r="CV686" s="55"/>
      <c r="CW686" s="55"/>
      <c r="CX686" s="55"/>
      <c r="CY686" s="55"/>
      <c r="CZ686" s="56"/>
      <c r="DA686" s="55"/>
      <c r="DB686" s="55"/>
    </row>
    <row r="687" spans="1:113" outlineLevel="2">
      <c r="A687" s="1" t="s">
        <v>2416</v>
      </c>
      <c r="B687" s="19" t="s">
        <v>801</v>
      </c>
      <c r="C687" s="55"/>
      <c r="D687" s="55"/>
      <c r="E687" s="55"/>
      <c r="F687" s="55"/>
      <c r="G687" s="55"/>
      <c r="H687" s="55"/>
      <c r="I687" s="55"/>
      <c r="J687" s="55"/>
      <c r="K687" s="55"/>
      <c r="L687" s="55"/>
      <c r="M687" s="55"/>
      <c r="N687" s="55"/>
      <c r="O687" s="55"/>
      <c r="P687" s="55"/>
      <c r="Q687" s="55"/>
      <c r="R687" s="55"/>
      <c r="S687" s="55"/>
      <c r="T687" s="55"/>
      <c r="U687" s="55"/>
      <c r="V687" s="55"/>
      <c r="W687" s="55"/>
      <c r="X687" s="55"/>
      <c r="Y687" s="55"/>
      <c r="Z687" s="55"/>
      <c r="AA687" s="55"/>
      <c r="AB687" s="55"/>
      <c r="AC687" s="55"/>
      <c r="AD687" s="55"/>
      <c r="AE687" s="55"/>
      <c r="AF687" s="55"/>
      <c r="AG687" s="55"/>
      <c r="AH687" s="55"/>
      <c r="AI687" s="55"/>
      <c r="AJ687" s="55"/>
      <c r="AK687" s="55"/>
      <c r="AL687" s="55"/>
      <c r="AM687" s="55"/>
      <c r="AN687" s="55"/>
      <c r="AO687" s="55"/>
      <c r="AP687" s="55"/>
      <c r="AQ687" s="55"/>
      <c r="AR687" s="55"/>
      <c r="AS687" s="55"/>
      <c r="AT687" s="55"/>
      <c r="AU687" s="55"/>
      <c r="AV687" s="55"/>
      <c r="AW687" s="55"/>
      <c r="AX687" s="55"/>
      <c r="AY687" s="55"/>
      <c r="AZ687" s="56"/>
      <c r="BA687" s="55"/>
      <c r="BB687" s="55"/>
      <c r="BC687" s="55"/>
      <c r="BD687" s="55"/>
      <c r="BE687" s="55"/>
      <c r="BF687" s="55"/>
      <c r="BG687" s="55"/>
      <c r="BH687" s="55"/>
      <c r="BI687" s="55"/>
      <c r="BJ687" s="55"/>
      <c r="BK687" s="55"/>
      <c r="BL687" s="55"/>
      <c r="BM687" s="55"/>
      <c r="BN687" s="55"/>
      <c r="BO687" s="55"/>
      <c r="BP687" s="55"/>
      <c r="BQ687" s="55"/>
      <c r="BR687" s="55"/>
      <c r="BS687" s="55"/>
      <c r="BT687" s="55"/>
      <c r="BU687" s="55"/>
      <c r="BV687" s="55"/>
      <c r="BW687" s="55"/>
      <c r="BX687" s="55"/>
      <c r="BY687" s="55"/>
      <c r="BZ687" s="55"/>
      <c r="CA687" s="55"/>
      <c r="CB687" s="55"/>
      <c r="CC687" s="55"/>
      <c r="CD687" s="55"/>
      <c r="CE687" s="55"/>
      <c r="CF687" s="55"/>
      <c r="CG687" s="55"/>
      <c r="CH687" s="55"/>
      <c r="CI687" s="55"/>
      <c r="CJ687" s="55"/>
      <c r="CK687" s="55"/>
      <c r="CL687" s="55"/>
      <c r="CM687" s="55"/>
      <c r="CN687" s="55"/>
      <c r="CO687" s="55"/>
      <c r="CP687" s="55"/>
      <c r="CQ687" s="55"/>
      <c r="CR687" s="55"/>
      <c r="CS687" s="55"/>
      <c r="CT687" s="55"/>
      <c r="CU687" s="55"/>
      <c r="CV687" s="55"/>
      <c r="CW687" s="55"/>
      <c r="CX687" s="55"/>
      <c r="CY687" s="55"/>
      <c r="CZ687" s="56"/>
      <c r="DA687" s="55"/>
      <c r="DB687" s="55"/>
    </row>
    <row r="688" spans="1:113" outlineLevel="2">
      <c r="A688" s="1" t="s">
        <v>2417</v>
      </c>
      <c r="B688" s="19" t="s">
        <v>801</v>
      </c>
      <c r="C688" s="55"/>
      <c r="D688" s="55"/>
      <c r="E688" s="55"/>
      <c r="F688" s="55"/>
      <c r="G688" s="55"/>
      <c r="H688" s="55"/>
      <c r="I688" s="55"/>
      <c r="J688" s="55"/>
      <c r="K688" s="55"/>
      <c r="L688" s="55"/>
      <c r="M688" s="55"/>
      <c r="N688" s="55"/>
      <c r="O688" s="55"/>
      <c r="P688" s="55"/>
      <c r="Q688" s="55"/>
      <c r="R688" s="55"/>
      <c r="S688" s="55"/>
      <c r="T688" s="55"/>
      <c r="U688" s="55"/>
      <c r="V688" s="55"/>
      <c r="W688" s="55"/>
      <c r="X688" s="55"/>
      <c r="Y688" s="55"/>
      <c r="Z688" s="55"/>
      <c r="AA688" s="55"/>
      <c r="AB688" s="55"/>
      <c r="AC688" s="55"/>
      <c r="AD688" s="55"/>
      <c r="AE688" s="55"/>
      <c r="AF688" s="55"/>
      <c r="AG688" s="55"/>
      <c r="AH688" s="55"/>
      <c r="AI688" s="55"/>
      <c r="AJ688" s="55"/>
      <c r="AK688" s="55"/>
      <c r="AL688" s="55"/>
      <c r="AM688" s="55"/>
      <c r="AN688" s="55"/>
      <c r="AO688" s="55"/>
      <c r="AP688" s="55"/>
      <c r="AQ688" s="55"/>
      <c r="AR688" s="55"/>
      <c r="AS688" s="55"/>
      <c r="AT688" s="55"/>
      <c r="AU688" s="55"/>
      <c r="AV688" s="55"/>
      <c r="AW688" s="55"/>
      <c r="AX688" s="55"/>
      <c r="AY688" s="55"/>
      <c r="AZ688" s="56"/>
      <c r="BA688" s="55"/>
      <c r="BB688" s="55"/>
      <c r="BC688" s="55"/>
      <c r="BD688" s="55"/>
      <c r="BE688" s="55"/>
      <c r="BF688" s="55"/>
      <c r="BG688" s="55"/>
      <c r="BH688" s="55"/>
      <c r="BI688" s="55"/>
      <c r="BJ688" s="55"/>
      <c r="BK688" s="55"/>
      <c r="BL688" s="55"/>
      <c r="BM688" s="55"/>
      <c r="BN688" s="55"/>
      <c r="BO688" s="55"/>
      <c r="BP688" s="55"/>
      <c r="BQ688" s="55"/>
      <c r="BR688" s="55"/>
      <c r="BS688" s="55"/>
      <c r="BT688" s="55"/>
      <c r="BU688" s="55"/>
      <c r="BV688" s="55"/>
      <c r="BW688" s="55"/>
      <c r="BX688" s="55"/>
      <c r="BY688" s="55"/>
      <c r="BZ688" s="55"/>
      <c r="CA688" s="55"/>
      <c r="CB688" s="55"/>
      <c r="CC688" s="55"/>
      <c r="CD688" s="55"/>
      <c r="CE688" s="55"/>
      <c r="CF688" s="55"/>
      <c r="CG688" s="55"/>
      <c r="CH688" s="55"/>
      <c r="CI688" s="55"/>
      <c r="CJ688" s="55"/>
      <c r="CK688" s="55"/>
      <c r="CL688" s="55"/>
      <c r="CM688" s="55"/>
      <c r="CN688" s="55"/>
      <c r="CO688" s="55"/>
      <c r="CP688" s="55"/>
      <c r="CQ688" s="55"/>
      <c r="CR688" s="55"/>
      <c r="CS688" s="55"/>
      <c r="CT688" s="55"/>
      <c r="CU688" s="55"/>
      <c r="CV688" s="55"/>
      <c r="CW688" s="55"/>
      <c r="CX688" s="55"/>
      <c r="CY688" s="55"/>
      <c r="CZ688" s="56"/>
      <c r="DA688" s="55"/>
      <c r="DB688" s="55"/>
    </row>
    <row r="689" spans="1:113" outlineLevel="2">
      <c r="A689" s="1" t="s">
        <v>2418</v>
      </c>
      <c r="B689" s="19" t="s">
        <v>801</v>
      </c>
      <c r="C689" s="55"/>
      <c r="D689" s="55"/>
      <c r="E689" s="55"/>
      <c r="F689" s="55"/>
      <c r="G689" s="55"/>
      <c r="H689" s="55"/>
      <c r="I689" s="55"/>
      <c r="J689" s="55"/>
      <c r="K689" s="55"/>
      <c r="L689" s="55"/>
      <c r="M689" s="55"/>
      <c r="N689" s="55"/>
      <c r="O689" s="55"/>
      <c r="P689" s="55"/>
      <c r="Q689" s="55"/>
      <c r="R689" s="55"/>
      <c r="S689" s="55"/>
      <c r="T689" s="55"/>
      <c r="U689" s="55"/>
      <c r="V689" s="55"/>
      <c r="W689" s="55"/>
      <c r="X689" s="55"/>
      <c r="Y689" s="55"/>
      <c r="Z689" s="55"/>
      <c r="AA689" s="55"/>
      <c r="AB689" s="55"/>
      <c r="AC689" s="55"/>
      <c r="AD689" s="55"/>
      <c r="AE689" s="55"/>
      <c r="AF689" s="55"/>
      <c r="AG689" s="55"/>
      <c r="AH689" s="55"/>
      <c r="AI689" s="55"/>
      <c r="AJ689" s="55"/>
      <c r="AK689" s="55"/>
      <c r="AL689" s="55"/>
      <c r="AM689" s="55"/>
      <c r="AN689" s="55"/>
      <c r="AO689" s="55"/>
      <c r="AP689" s="55"/>
      <c r="AQ689" s="55"/>
      <c r="AR689" s="55"/>
      <c r="AS689" s="55"/>
      <c r="AT689" s="55"/>
      <c r="AU689" s="55"/>
      <c r="AV689" s="55"/>
      <c r="AW689" s="55"/>
      <c r="AX689" s="55"/>
      <c r="AY689" s="55"/>
      <c r="AZ689" s="56"/>
      <c r="BA689" s="55"/>
      <c r="BB689" s="55"/>
      <c r="BC689" s="55"/>
      <c r="BD689" s="55"/>
      <c r="BE689" s="55"/>
      <c r="BF689" s="55"/>
      <c r="BG689" s="55"/>
      <c r="BH689" s="55"/>
      <c r="BI689" s="55"/>
      <c r="BJ689" s="55"/>
      <c r="BK689" s="55"/>
      <c r="BL689" s="55"/>
      <c r="BM689" s="55"/>
      <c r="BN689" s="55"/>
      <c r="BO689" s="55"/>
      <c r="BP689" s="55"/>
      <c r="BQ689" s="55"/>
      <c r="BR689" s="55"/>
      <c r="BS689" s="55"/>
      <c r="BT689" s="55"/>
      <c r="BU689" s="55"/>
      <c r="BV689" s="55"/>
      <c r="BW689" s="55"/>
      <c r="BX689" s="55"/>
      <c r="BY689" s="55"/>
      <c r="BZ689" s="55"/>
      <c r="CA689" s="55"/>
      <c r="CB689" s="55"/>
      <c r="CC689" s="55"/>
      <c r="CD689" s="55"/>
      <c r="CE689" s="55"/>
      <c r="CF689" s="55"/>
      <c r="CG689" s="55"/>
      <c r="CH689" s="55"/>
      <c r="CI689" s="55"/>
      <c r="CJ689" s="55"/>
      <c r="CK689" s="55"/>
      <c r="CL689" s="55"/>
      <c r="CM689" s="55"/>
      <c r="CN689" s="55"/>
      <c r="CO689" s="55"/>
      <c r="CP689" s="55"/>
      <c r="CQ689" s="55"/>
      <c r="CR689" s="55"/>
      <c r="CS689" s="55"/>
      <c r="CT689" s="55"/>
      <c r="CU689" s="55"/>
      <c r="CV689" s="55"/>
      <c r="CW689" s="55"/>
      <c r="CX689" s="55"/>
      <c r="CY689" s="55"/>
      <c r="CZ689" s="56"/>
      <c r="DA689" s="55"/>
      <c r="DB689" s="55"/>
    </row>
    <row r="690" spans="1:113" outlineLevel="2">
      <c r="A690" s="1" t="s">
        <v>2419</v>
      </c>
      <c r="B690" s="19" t="s">
        <v>801</v>
      </c>
      <c r="C690" s="55"/>
      <c r="D690" s="55"/>
      <c r="E690" s="55"/>
      <c r="F690" s="55"/>
      <c r="G690" s="55"/>
      <c r="H690" s="55"/>
      <c r="I690" s="55"/>
      <c r="J690" s="55"/>
      <c r="K690" s="55"/>
      <c r="L690" s="55"/>
      <c r="M690" s="55"/>
      <c r="N690" s="55"/>
      <c r="O690" s="55"/>
      <c r="P690" s="55"/>
      <c r="Q690" s="55"/>
      <c r="R690" s="55"/>
      <c r="S690" s="55"/>
      <c r="T690" s="55"/>
      <c r="U690" s="55"/>
      <c r="V690" s="55"/>
      <c r="W690" s="55"/>
      <c r="X690" s="55"/>
      <c r="Y690" s="55"/>
      <c r="Z690" s="55"/>
      <c r="AA690" s="55"/>
      <c r="AB690" s="55"/>
      <c r="AC690" s="55"/>
      <c r="AD690" s="55"/>
      <c r="AE690" s="55"/>
      <c r="AF690" s="55"/>
      <c r="AG690" s="55"/>
      <c r="AH690" s="55"/>
      <c r="AI690" s="55"/>
      <c r="AJ690" s="55"/>
      <c r="AK690" s="55"/>
      <c r="AL690" s="55"/>
      <c r="AM690" s="55"/>
      <c r="AN690" s="55"/>
      <c r="AO690" s="55"/>
      <c r="AP690" s="55"/>
      <c r="AQ690" s="55"/>
      <c r="AR690" s="55"/>
      <c r="AS690" s="55"/>
      <c r="AT690" s="55"/>
      <c r="AU690" s="55"/>
      <c r="AV690" s="55"/>
      <c r="AW690" s="55"/>
      <c r="AX690" s="55"/>
      <c r="AY690" s="55"/>
      <c r="AZ690" s="56"/>
      <c r="BA690" s="55"/>
      <c r="BB690" s="55"/>
      <c r="BC690" s="55"/>
      <c r="BD690" s="55"/>
      <c r="BE690" s="55"/>
      <c r="BF690" s="55"/>
      <c r="BG690" s="55"/>
      <c r="BH690" s="55"/>
      <c r="BI690" s="55"/>
      <c r="BJ690" s="55"/>
      <c r="BK690" s="55"/>
      <c r="BL690" s="55"/>
      <c r="BM690" s="55"/>
      <c r="BN690" s="55"/>
      <c r="BO690" s="55"/>
      <c r="BP690" s="55"/>
      <c r="BQ690" s="55"/>
      <c r="BR690" s="55"/>
      <c r="BS690" s="55"/>
      <c r="BT690" s="55"/>
      <c r="BU690" s="55"/>
      <c r="BV690" s="55"/>
      <c r="BW690" s="55"/>
      <c r="BX690" s="55"/>
      <c r="BY690" s="55"/>
      <c r="BZ690" s="55"/>
      <c r="CA690" s="55"/>
      <c r="CB690" s="55"/>
      <c r="CC690" s="55"/>
      <c r="CD690" s="55"/>
      <c r="CE690" s="55"/>
      <c r="CF690" s="55"/>
      <c r="CG690" s="55"/>
      <c r="CH690" s="55"/>
      <c r="CI690" s="55"/>
      <c r="CJ690" s="55"/>
      <c r="CK690" s="55"/>
      <c r="CL690" s="55"/>
      <c r="CM690" s="55"/>
      <c r="CN690" s="55"/>
      <c r="CO690" s="55"/>
      <c r="CP690" s="55"/>
      <c r="CQ690" s="55"/>
      <c r="CR690" s="55"/>
      <c r="CS690" s="55"/>
      <c r="CT690" s="55"/>
      <c r="CU690" s="55"/>
      <c r="CV690" s="55"/>
      <c r="CW690" s="55"/>
      <c r="CX690" s="55"/>
      <c r="CY690" s="55"/>
      <c r="CZ690" s="56"/>
      <c r="DA690" s="55"/>
      <c r="DB690" s="55"/>
    </row>
    <row r="691" spans="1:113" outlineLevel="2">
      <c r="A691" s="1" t="s">
        <v>49</v>
      </c>
      <c r="B691" s="19" t="s">
        <v>801</v>
      </c>
      <c r="C691" s="55"/>
      <c r="D691" s="55"/>
      <c r="E691" s="55"/>
      <c r="F691" s="55"/>
      <c r="G691" s="55"/>
      <c r="H691" s="55"/>
      <c r="I691" s="55"/>
      <c r="J691" s="55"/>
      <c r="K691" s="55"/>
      <c r="L691" s="55"/>
      <c r="M691" s="55"/>
      <c r="N691" s="55"/>
      <c r="O691" s="55"/>
      <c r="P691" s="55"/>
      <c r="Q691" s="55"/>
      <c r="R691" s="55"/>
      <c r="S691" s="55"/>
      <c r="T691" s="55"/>
      <c r="U691" s="55"/>
      <c r="V691" s="55"/>
      <c r="W691" s="55"/>
      <c r="X691" s="55"/>
      <c r="Y691" s="55"/>
      <c r="Z691" s="55"/>
      <c r="AA691" s="55"/>
      <c r="AB691" s="55"/>
      <c r="AC691" s="55"/>
      <c r="AD691" s="55"/>
      <c r="AE691" s="55"/>
      <c r="AF691" s="55"/>
      <c r="AG691" s="55"/>
      <c r="AH691" s="55"/>
      <c r="AI691" s="55"/>
      <c r="AJ691" s="55"/>
      <c r="AK691" s="55"/>
      <c r="AL691" s="55"/>
      <c r="AM691" s="55"/>
      <c r="AN691" s="55"/>
      <c r="AO691" s="55"/>
      <c r="AP691" s="55"/>
      <c r="AQ691" s="55"/>
      <c r="AR691" s="55"/>
      <c r="AS691" s="55"/>
      <c r="AT691" s="55"/>
      <c r="AU691" s="55"/>
      <c r="AV691" s="55"/>
      <c r="AW691" s="55"/>
      <c r="AX691" s="55"/>
      <c r="AY691" s="55"/>
      <c r="AZ691" s="56"/>
      <c r="BA691" s="55"/>
      <c r="BB691" s="55"/>
      <c r="BC691" s="55"/>
      <c r="BD691" s="55"/>
      <c r="BE691" s="55"/>
      <c r="BF691" s="55"/>
      <c r="BG691" s="55"/>
      <c r="BH691" s="55"/>
      <c r="BI691" s="55"/>
      <c r="BJ691" s="55"/>
      <c r="BK691" s="55"/>
      <c r="BL691" s="55"/>
      <c r="BM691" s="55"/>
      <c r="BN691" s="55"/>
      <c r="BO691" s="55"/>
      <c r="BP691" s="55"/>
      <c r="BQ691" s="55"/>
      <c r="BR691" s="55"/>
      <c r="BS691" s="55"/>
      <c r="BT691" s="55"/>
      <c r="BU691" s="55"/>
      <c r="BV691" s="55"/>
      <c r="BW691" s="55"/>
      <c r="BX691" s="55"/>
      <c r="BY691" s="55"/>
      <c r="BZ691" s="55"/>
      <c r="CA691" s="55"/>
      <c r="CB691" s="55"/>
      <c r="CC691" s="55"/>
      <c r="CD691" s="55"/>
      <c r="CE691" s="55"/>
      <c r="CF691" s="55"/>
      <c r="CG691" s="55"/>
      <c r="CH691" s="55"/>
      <c r="CI691" s="55"/>
      <c r="CJ691" s="55"/>
      <c r="CK691" s="55"/>
      <c r="CL691" s="55"/>
      <c r="CM691" s="55"/>
      <c r="CN691" s="55"/>
      <c r="CO691" s="55"/>
      <c r="CP691" s="55"/>
      <c r="CQ691" s="55"/>
      <c r="CR691" s="55"/>
      <c r="CS691" s="55"/>
      <c r="CT691" s="55"/>
      <c r="CU691" s="55"/>
      <c r="CV691" s="55"/>
      <c r="CW691" s="55"/>
      <c r="CX691" s="55"/>
      <c r="CY691" s="55"/>
      <c r="CZ691" s="56"/>
      <c r="DA691" s="55"/>
      <c r="DB691" s="55"/>
    </row>
    <row r="692" spans="1:113" outlineLevel="2">
      <c r="A692" s="1" t="s">
        <v>50</v>
      </c>
      <c r="B692" s="19" t="s">
        <v>801</v>
      </c>
      <c r="C692" s="55"/>
      <c r="D692" s="55"/>
      <c r="E692" s="55"/>
      <c r="F692" s="55"/>
      <c r="G692" s="55"/>
      <c r="H692" s="55"/>
      <c r="I692" s="55"/>
      <c r="J692" s="55"/>
      <c r="K692" s="55"/>
      <c r="L692" s="55"/>
      <c r="M692" s="55"/>
      <c r="N692" s="55"/>
      <c r="O692" s="55"/>
      <c r="P692" s="55"/>
      <c r="Q692" s="55"/>
      <c r="R692" s="55"/>
      <c r="S692" s="55"/>
      <c r="T692" s="55"/>
      <c r="U692" s="55"/>
      <c r="V692" s="55"/>
      <c r="W692" s="55"/>
      <c r="X692" s="55"/>
      <c r="Y692" s="55"/>
      <c r="Z692" s="55"/>
      <c r="AA692" s="55"/>
      <c r="AB692" s="55"/>
      <c r="AC692" s="55"/>
      <c r="AD692" s="55"/>
      <c r="AE692" s="55"/>
      <c r="AF692" s="55"/>
      <c r="AG692" s="55"/>
      <c r="AH692" s="55"/>
      <c r="AI692" s="55"/>
      <c r="AJ692" s="55"/>
      <c r="AK692" s="55"/>
      <c r="AL692" s="55"/>
      <c r="AM692" s="55"/>
      <c r="AN692" s="55"/>
      <c r="AO692" s="55"/>
      <c r="AP692" s="55"/>
      <c r="AQ692" s="55"/>
      <c r="AR692" s="55"/>
      <c r="AS692" s="55"/>
      <c r="AT692" s="55"/>
      <c r="AU692" s="55"/>
      <c r="AV692" s="55"/>
      <c r="AW692" s="55"/>
      <c r="AX692" s="55"/>
      <c r="AY692" s="55"/>
      <c r="AZ692" s="56"/>
      <c r="BA692" s="55"/>
      <c r="BB692" s="55"/>
      <c r="BC692" s="55"/>
      <c r="BD692" s="55"/>
      <c r="BE692" s="55"/>
      <c r="BF692" s="55"/>
      <c r="BG692" s="55"/>
      <c r="BH692" s="55"/>
      <c r="BI692" s="55"/>
      <c r="BJ692" s="55"/>
      <c r="BK692" s="55"/>
      <c r="BL692" s="55"/>
      <c r="BM692" s="55"/>
      <c r="BN692" s="55"/>
      <c r="BO692" s="55"/>
      <c r="BP692" s="55"/>
      <c r="BQ692" s="55"/>
      <c r="BR692" s="55"/>
      <c r="BS692" s="55"/>
      <c r="BT692" s="55"/>
      <c r="BU692" s="55"/>
      <c r="BV692" s="55"/>
      <c r="BW692" s="55"/>
      <c r="BX692" s="55"/>
      <c r="BY692" s="55"/>
      <c r="BZ692" s="55"/>
      <c r="CA692" s="55"/>
      <c r="CB692" s="55"/>
      <c r="CC692" s="55"/>
      <c r="CD692" s="55"/>
      <c r="CE692" s="55"/>
      <c r="CF692" s="55"/>
      <c r="CG692" s="55"/>
      <c r="CH692" s="55"/>
      <c r="CI692" s="55"/>
      <c r="CJ692" s="55"/>
      <c r="CK692" s="55"/>
      <c r="CL692" s="55"/>
      <c r="CM692" s="55"/>
      <c r="CN692" s="55"/>
      <c r="CO692" s="55"/>
      <c r="CP692" s="55"/>
      <c r="CQ692" s="55"/>
      <c r="CR692" s="55"/>
      <c r="CS692" s="55"/>
      <c r="CT692" s="55"/>
      <c r="CU692" s="55"/>
      <c r="CV692" s="55"/>
      <c r="CW692" s="55"/>
      <c r="CX692" s="55"/>
      <c r="CY692" s="55"/>
      <c r="CZ692" s="56"/>
      <c r="DA692" s="55"/>
      <c r="DB692" s="55"/>
    </row>
    <row r="693" spans="1:113" outlineLevel="2">
      <c r="A693" s="1" t="s">
        <v>1051</v>
      </c>
      <c r="B693" s="19" t="s">
        <v>801</v>
      </c>
      <c r="C693" s="55"/>
      <c r="D693" s="55"/>
      <c r="E693" s="55"/>
      <c r="F693" s="55"/>
      <c r="G693" s="55"/>
      <c r="H693" s="55"/>
      <c r="I693" s="55"/>
      <c r="J693" s="55"/>
      <c r="K693" s="55"/>
      <c r="L693" s="55"/>
      <c r="M693" s="55"/>
      <c r="N693" s="55"/>
      <c r="O693" s="55"/>
      <c r="P693" s="55"/>
      <c r="Q693" s="55"/>
      <c r="R693" s="55"/>
      <c r="S693" s="55"/>
      <c r="T693" s="55"/>
      <c r="U693" s="55"/>
      <c r="V693" s="55"/>
      <c r="W693" s="55"/>
      <c r="X693" s="55"/>
      <c r="Y693" s="55"/>
      <c r="Z693" s="55"/>
      <c r="AA693" s="55"/>
      <c r="AB693" s="55"/>
      <c r="AC693" s="55"/>
      <c r="AD693" s="55"/>
      <c r="AE693" s="55"/>
      <c r="AF693" s="55"/>
      <c r="AG693" s="55"/>
      <c r="AH693" s="55"/>
      <c r="AI693" s="55"/>
      <c r="AJ693" s="55"/>
      <c r="AK693" s="55"/>
      <c r="AL693" s="55"/>
      <c r="AM693" s="55"/>
      <c r="AN693" s="55"/>
      <c r="AO693" s="55"/>
      <c r="AP693" s="55"/>
      <c r="AQ693" s="55"/>
      <c r="AR693" s="55"/>
      <c r="AS693" s="55"/>
      <c r="AT693" s="55"/>
      <c r="AU693" s="55"/>
      <c r="AV693" s="55"/>
      <c r="AW693" s="55"/>
      <c r="AX693" s="55"/>
      <c r="AY693" s="55"/>
      <c r="AZ693" s="56"/>
      <c r="BA693" s="55"/>
      <c r="BB693" s="55"/>
      <c r="BC693" s="55"/>
      <c r="BD693" s="55"/>
      <c r="BE693" s="55"/>
      <c r="BF693" s="55"/>
      <c r="BG693" s="55"/>
      <c r="BH693" s="55"/>
      <c r="BI693" s="55"/>
      <c r="BJ693" s="55"/>
      <c r="BK693" s="55"/>
      <c r="BL693" s="55"/>
      <c r="BM693" s="55"/>
      <c r="BN693" s="55"/>
      <c r="BO693" s="55"/>
      <c r="BP693" s="55"/>
      <c r="BQ693" s="55"/>
      <c r="BR693" s="55"/>
      <c r="BS693" s="55"/>
      <c r="BT693" s="55"/>
      <c r="BU693" s="55"/>
      <c r="BV693" s="55"/>
      <c r="BW693" s="55"/>
      <c r="BX693" s="55"/>
      <c r="BY693" s="55"/>
      <c r="BZ693" s="55"/>
      <c r="CA693" s="55"/>
      <c r="CB693" s="55"/>
      <c r="CC693" s="55"/>
      <c r="CD693" s="55"/>
      <c r="CE693" s="55"/>
      <c r="CF693" s="55"/>
      <c r="CG693" s="55"/>
      <c r="CH693" s="55"/>
      <c r="CI693" s="55"/>
      <c r="CJ693" s="55"/>
      <c r="CK693" s="55"/>
      <c r="CL693" s="55"/>
      <c r="CM693" s="55"/>
      <c r="CN693" s="55"/>
      <c r="CO693" s="55"/>
      <c r="CP693" s="55"/>
      <c r="CQ693" s="55"/>
      <c r="CR693" s="55"/>
      <c r="CS693" s="55"/>
      <c r="CT693" s="55"/>
      <c r="CU693" s="55"/>
      <c r="CV693" s="55"/>
      <c r="CW693" s="55"/>
      <c r="CX693" s="55"/>
      <c r="CY693" s="55"/>
      <c r="CZ693" s="56"/>
      <c r="DA693" s="55"/>
      <c r="DB693" s="55"/>
    </row>
    <row r="694" spans="1:113" outlineLevel="1">
      <c r="C694" s="55"/>
      <c r="D694" s="55"/>
      <c r="E694" s="55"/>
      <c r="F694" s="55"/>
      <c r="G694" s="55"/>
      <c r="H694" s="55"/>
      <c r="I694" s="55"/>
      <c r="J694" s="55"/>
      <c r="K694" s="55"/>
      <c r="L694" s="55"/>
      <c r="M694" s="55"/>
      <c r="N694" s="55"/>
      <c r="O694" s="55"/>
      <c r="P694" s="55"/>
      <c r="Q694" s="55"/>
      <c r="R694" s="55"/>
      <c r="S694" s="55"/>
      <c r="T694" s="55"/>
      <c r="U694" s="55"/>
      <c r="V694" s="55"/>
      <c r="W694" s="55"/>
      <c r="X694" s="55"/>
      <c r="Y694" s="55"/>
      <c r="Z694" s="55"/>
      <c r="AA694" s="55"/>
      <c r="AB694" s="55"/>
      <c r="AC694" s="55"/>
      <c r="AD694" s="55"/>
      <c r="AE694" s="55"/>
      <c r="AF694" s="55"/>
      <c r="AG694" s="55"/>
      <c r="AH694" s="55"/>
      <c r="AI694" s="45"/>
      <c r="AJ694" s="45"/>
      <c r="AK694" s="45"/>
      <c r="AL694" s="45"/>
      <c r="AM694" s="45"/>
      <c r="AN694" s="45"/>
      <c r="AO694" s="45"/>
      <c r="AP694" s="55"/>
      <c r="AQ694" s="55"/>
      <c r="AR694" s="55"/>
      <c r="AS694" s="55"/>
      <c r="AT694" s="55"/>
      <c r="AU694" s="55"/>
      <c r="AV694" s="55"/>
      <c r="AW694" s="55"/>
      <c r="AX694" s="55"/>
      <c r="AY694" s="55"/>
      <c r="AZ694" s="56"/>
      <c r="BA694" s="55"/>
      <c r="BB694" s="55"/>
      <c r="BC694" s="55"/>
      <c r="BD694" s="55"/>
      <c r="BE694" s="55"/>
      <c r="BF694" s="55"/>
      <c r="BG694" s="55"/>
      <c r="BH694" s="55"/>
      <c r="BI694" s="55"/>
      <c r="BJ694" s="55"/>
      <c r="BK694" s="55"/>
      <c r="BL694" s="55"/>
      <c r="BM694" s="55"/>
      <c r="BN694" s="55"/>
      <c r="BO694" s="55"/>
      <c r="BP694" s="55"/>
      <c r="BQ694" s="55"/>
      <c r="BR694" s="55"/>
      <c r="BS694" s="55"/>
      <c r="BT694" s="55"/>
      <c r="BU694" s="55"/>
      <c r="BV694" s="55"/>
      <c r="BW694" s="55"/>
      <c r="BX694" s="55"/>
      <c r="BY694" s="55"/>
      <c r="BZ694" s="55"/>
      <c r="CA694" s="55"/>
      <c r="CB694" s="55"/>
      <c r="CC694" s="55"/>
      <c r="CD694" s="55"/>
      <c r="CE694" s="55"/>
      <c r="CF694" s="55"/>
      <c r="CG694" s="55"/>
      <c r="CH694" s="55"/>
      <c r="CI694" s="55"/>
      <c r="CJ694" s="55"/>
      <c r="CK694" s="55"/>
      <c r="CL694" s="55"/>
      <c r="CM694" s="55"/>
      <c r="CN694" s="55"/>
      <c r="CO694" s="55"/>
      <c r="CP694" s="55"/>
      <c r="CQ694" s="55"/>
      <c r="CR694" s="55"/>
      <c r="CS694" s="55"/>
      <c r="CT694" s="55"/>
      <c r="CU694" s="55"/>
      <c r="CV694" s="55"/>
      <c r="CW694" s="55"/>
      <c r="CX694" s="55"/>
      <c r="CY694" s="55"/>
      <c r="CZ694" s="56"/>
      <c r="DA694" s="55"/>
      <c r="DB694" s="55"/>
    </row>
    <row r="695" spans="1:113" s="24" customFormat="1" outlineLevel="1">
      <c r="A695" s="1"/>
      <c r="B695" s="24" t="s">
        <v>357</v>
      </c>
      <c r="C695" s="82"/>
      <c r="D695" s="82"/>
      <c r="E695" s="82"/>
      <c r="F695" s="82"/>
      <c r="G695" s="82"/>
      <c r="H695" s="82"/>
      <c r="I695" s="82"/>
      <c r="J695" s="82"/>
      <c r="K695" s="82"/>
      <c r="L695" s="82"/>
      <c r="M695" s="82"/>
      <c r="N695" s="82"/>
      <c r="O695" s="82"/>
      <c r="P695" s="82"/>
      <c r="Q695" s="82"/>
      <c r="R695" s="82"/>
      <c r="S695" s="82"/>
      <c r="T695" s="82"/>
      <c r="U695" s="82"/>
      <c r="V695" s="82"/>
      <c r="W695" s="82"/>
      <c r="X695" s="82"/>
      <c r="Y695" s="82"/>
      <c r="Z695" s="82"/>
      <c r="AA695" s="82"/>
      <c r="AB695" s="82"/>
      <c r="AC695" s="82"/>
      <c r="AD695" s="82"/>
      <c r="AE695" s="82"/>
      <c r="AF695" s="82"/>
      <c r="AG695" s="82"/>
      <c r="AH695" s="82"/>
      <c r="AI695" s="82"/>
      <c r="AJ695" s="82"/>
      <c r="AK695" s="82"/>
      <c r="AL695" s="82"/>
      <c r="AM695" s="82"/>
      <c r="AN695" s="82"/>
      <c r="AO695" s="82"/>
      <c r="AP695" s="82"/>
      <c r="AQ695" s="82"/>
      <c r="AR695" s="82"/>
      <c r="AS695" s="82"/>
      <c r="AT695" s="82"/>
      <c r="AU695" s="82"/>
      <c r="AV695" s="82"/>
      <c r="AW695" s="82"/>
      <c r="AX695" s="82"/>
      <c r="AY695" s="82"/>
      <c r="AZ695" s="83"/>
      <c r="BA695" s="82"/>
      <c r="BB695" s="82"/>
      <c r="BC695" s="82"/>
      <c r="BD695" s="82"/>
      <c r="BE695" s="82"/>
      <c r="BF695" s="82"/>
      <c r="BG695" s="82"/>
      <c r="BH695" s="82"/>
      <c r="BI695" s="82"/>
      <c r="BJ695" s="82"/>
      <c r="BK695" s="82"/>
      <c r="BL695" s="82"/>
      <c r="BM695" s="82"/>
      <c r="BN695" s="82"/>
      <c r="BO695" s="82"/>
      <c r="BP695" s="82"/>
      <c r="BQ695" s="82"/>
      <c r="BR695" s="82"/>
      <c r="BS695" s="82"/>
      <c r="BT695" s="82"/>
      <c r="BU695" s="82"/>
      <c r="BV695" s="82"/>
      <c r="BW695" s="82"/>
      <c r="BX695" s="82"/>
      <c r="BY695" s="82"/>
      <c r="BZ695" s="82"/>
      <c r="CA695" s="82"/>
      <c r="CB695" s="82"/>
      <c r="CC695" s="82"/>
      <c r="CD695" s="82"/>
      <c r="CE695" s="82"/>
      <c r="CF695" s="82"/>
      <c r="CG695" s="82"/>
      <c r="CH695" s="82"/>
      <c r="CI695" s="82"/>
      <c r="CJ695" s="82"/>
      <c r="CK695" s="82"/>
      <c r="CL695" s="82"/>
      <c r="CM695" s="82"/>
      <c r="CN695" s="82"/>
      <c r="CO695" s="82"/>
      <c r="CP695" s="82"/>
      <c r="CQ695" s="82"/>
      <c r="CR695" s="579"/>
      <c r="CS695" s="579"/>
      <c r="CT695" s="579"/>
      <c r="CU695" s="579"/>
      <c r="CV695" s="579"/>
      <c r="CW695" s="579"/>
      <c r="CX695" s="579"/>
      <c r="CY695" s="82"/>
      <c r="CZ695" s="83"/>
      <c r="DA695" s="82"/>
      <c r="DB695" s="82"/>
    </row>
    <row r="696" spans="1:113" outlineLevel="1">
      <c r="A696" s="1" t="s">
        <v>1052</v>
      </c>
      <c r="B696" s="19" t="s">
        <v>358</v>
      </c>
      <c r="C696" s="55">
        <f t="shared" ref="C696:L696" si="4731">C697-C239</f>
        <v>68417</v>
      </c>
      <c r="D696" s="55">
        <f t="shared" si="4731"/>
        <v>70268</v>
      </c>
      <c r="E696" s="55">
        <f t="shared" si="4731"/>
        <v>68187</v>
      </c>
      <c r="F696" s="55">
        <f t="shared" si="4731"/>
        <v>69674</v>
      </c>
      <c r="G696" s="55">
        <f t="shared" si="4731"/>
        <v>70674</v>
      </c>
      <c r="H696" s="55">
        <f t="shared" si="4731"/>
        <v>69942</v>
      </c>
      <c r="I696" s="55">
        <f t="shared" si="4731"/>
        <v>77169</v>
      </c>
      <c r="J696" s="55">
        <f t="shared" si="4731"/>
        <v>70448</v>
      </c>
      <c r="K696" s="55">
        <f t="shared" si="4731"/>
        <v>70197</v>
      </c>
      <c r="L696" s="55">
        <f t="shared" si="4731"/>
        <v>67613</v>
      </c>
      <c r="M696" s="55">
        <f t="shared" ref="M696:AH696" si="4732">M697-M239</f>
        <v>67847</v>
      </c>
      <c r="N696" s="55">
        <f t="shared" si="4732"/>
        <v>67555</v>
      </c>
      <c r="O696" s="55">
        <f t="shared" si="4732"/>
        <v>66672</v>
      </c>
      <c r="P696" s="55">
        <f t="shared" si="4732"/>
        <v>75805</v>
      </c>
      <c r="Q696" s="55">
        <f t="shared" si="4732"/>
        <v>77492</v>
      </c>
      <c r="R696" s="55">
        <f t="shared" si="4732"/>
        <v>91473</v>
      </c>
      <c r="S696" s="55">
        <f t="shared" si="4732"/>
        <v>97585</v>
      </c>
      <c r="T696" s="55">
        <f t="shared" si="4732"/>
        <v>73049</v>
      </c>
      <c r="U696" s="55">
        <f t="shared" si="4732"/>
        <v>78422</v>
      </c>
      <c r="V696" s="55">
        <f t="shared" si="4732"/>
        <v>57275.972375690588</v>
      </c>
      <c r="W696" s="55">
        <f t="shared" si="4732"/>
        <v>68320</v>
      </c>
      <c r="X696" s="55">
        <f t="shared" si="4732"/>
        <v>76612</v>
      </c>
      <c r="Y696" s="55">
        <f t="shared" si="4732"/>
        <v>77514</v>
      </c>
      <c r="Z696" s="55">
        <f t="shared" si="4732"/>
        <v>71972</v>
      </c>
      <c r="AA696" s="55">
        <f t="shared" si="4732"/>
        <v>77077</v>
      </c>
      <c r="AB696" s="55">
        <f t="shared" si="4732"/>
        <v>74516</v>
      </c>
      <c r="AC696" s="55">
        <f t="shared" si="4732"/>
        <v>76043</v>
      </c>
      <c r="AD696" s="55">
        <f t="shared" si="4732"/>
        <v>76986</v>
      </c>
      <c r="AE696" s="55">
        <f t="shared" si="4732"/>
        <v>98205</v>
      </c>
      <c r="AF696" s="55">
        <f t="shared" si="4732"/>
        <v>128358</v>
      </c>
      <c r="AG696" s="55">
        <f t="shared" si="4732"/>
        <v>123061</v>
      </c>
      <c r="AH696" s="55">
        <f t="shared" si="4732"/>
        <v>134066</v>
      </c>
      <c r="AI696" s="55">
        <f t="shared" ref="AI696:AN696" si="4733">AI697-AI239</f>
        <v>141177</v>
      </c>
      <c r="AJ696" s="55">
        <f t="shared" si="4733"/>
        <v>119901</v>
      </c>
      <c r="AK696" s="55">
        <f t="shared" si="4733"/>
        <v>124180</v>
      </c>
      <c r="AL696" s="55">
        <f t="shared" si="4733"/>
        <v>106906.27511126234</v>
      </c>
      <c r="AM696" s="55">
        <f t="shared" si="4733"/>
        <v>101303.65782816883</v>
      </c>
      <c r="AN696" s="55">
        <f t="shared" si="4733"/>
        <v>101539</v>
      </c>
      <c r="AO696" s="55">
        <f t="shared" ref="AO696:AT696" si="4734">AO697-AO239</f>
        <v>103205</v>
      </c>
      <c r="AP696" s="55">
        <f t="shared" si="4734"/>
        <v>108184</v>
      </c>
      <c r="AQ696" s="55">
        <f t="shared" si="4734"/>
        <v>103446</v>
      </c>
      <c r="AR696" s="55">
        <f t="shared" si="4734"/>
        <v>117079</v>
      </c>
      <c r="AS696" s="55">
        <f t="shared" si="4734"/>
        <v>126727</v>
      </c>
      <c r="AT696" s="55">
        <f t="shared" si="4734"/>
        <v>127624</v>
      </c>
      <c r="AU696" s="55">
        <f t="shared" ref="AU696:AV696" si="4735">AU697-AU239</f>
        <v>117187</v>
      </c>
      <c r="AV696" s="55">
        <f t="shared" si="4735"/>
        <v>121779</v>
      </c>
      <c r="AW696" s="55">
        <f t="shared" ref="AW696:AY696" si="4736">AW697-AW239</f>
        <v>122992</v>
      </c>
      <c r="AX696" s="55">
        <f t="shared" si="4736"/>
        <v>130956</v>
      </c>
      <c r="AY696" s="55">
        <f t="shared" si="4736"/>
        <v>145750</v>
      </c>
      <c r="AZ696" s="56">
        <f t="shared" ref="AZ696" si="4737">AZ697-AZ239</f>
        <v>141817</v>
      </c>
      <c r="BA696" s="55">
        <f t="shared" ref="BA696:BE696" si="4738">AZ696*BA239/AZ239</f>
        <v>147468.10804089389</v>
      </c>
      <c r="BB696" s="55">
        <f t="shared" si="4738"/>
        <v>150905.21820572903</v>
      </c>
      <c r="BC696" s="55">
        <f t="shared" si="4738"/>
        <v>154707.41587159433</v>
      </c>
      <c r="BD696" s="55">
        <f t="shared" si="4738"/>
        <v>158329.53964709432</v>
      </c>
      <c r="BE696" s="55">
        <f t="shared" si="4738"/>
        <v>161910.57384270034</v>
      </c>
      <c r="BF696" s="55">
        <f t="shared" ref="BF696:BM696" si="4739">BE696*BF239/BE239</f>
        <v>165599.20910726843</v>
      </c>
      <c r="BG696" s="55">
        <f t="shared" si="4739"/>
        <v>168976.84085499871</v>
      </c>
      <c r="BH696" s="55">
        <f t="shared" si="4739"/>
        <v>172450.17891542014</v>
      </c>
      <c r="BI696" s="55">
        <f t="shared" si="4739"/>
        <v>175468.01320464149</v>
      </c>
      <c r="BJ696" s="55">
        <f t="shared" si="4739"/>
        <v>178558.47183739711</v>
      </c>
      <c r="BK696" s="55">
        <f t="shared" si="4739"/>
        <v>181956.55818051743</v>
      </c>
      <c r="BL696" s="55">
        <f t="shared" si="4739"/>
        <v>185420.77303383988</v>
      </c>
      <c r="BM696" s="55">
        <f t="shared" si="4739"/>
        <v>188952.42056768347</v>
      </c>
      <c r="BN696" s="55">
        <f t="shared" ref="BN696" si="4740">BM696*BN239/BM239</f>
        <v>192552.83087415789</v>
      </c>
      <c r="BO696" s="55">
        <f t="shared" ref="BO696" si="4741">BN696*BO239/BN239</f>
        <v>196223.36048472187</v>
      </c>
      <c r="BP696" s="55">
        <f t="shared" ref="BP696" si="4742">BO696*BP239/BO239</f>
        <v>199965.39289810226</v>
      </c>
      <c r="BQ696" s="55">
        <f t="shared" ref="BQ696" si="4743">BP696*BQ239/BP239</f>
        <v>203780.33911878124</v>
      </c>
      <c r="BR696" s="55"/>
      <c r="BS696" s="55">
        <f t="shared" ref="BS696:CB696" si="4744">BS697-BS239</f>
        <v>17194.5</v>
      </c>
      <c r="BT696" s="55">
        <f t="shared" si="4744"/>
        <v>16519.899999999994</v>
      </c>
      <c r="BU696" s="55">
        <f t="shared" si="4744"/>
        <v>18107</v>
      </c>
      <c r="BV696" s="55">
        <f t="shared" si="4744"/>
        <v>15467</v>
      </c>
      <c r="BW696" s="55">
        <f t="shared" si="4744"/>
        <v>17310</v>
      </c>
      <c r="BX696" s="55">
        <f t="shared" si="4744"/>
        <v>18195</v>
      </c>
      <c r="BY696" s="55">
        <f t="shared" si="4744"/>
        <v>21390</v>
      </c>
      <c r="BZ696" s="55">
        <f t="shared" si="4744"/>
        <v>21910</v>
      </c>
      <c r="CA696" s="55">
        <f t="shared" si="4744"/>
        <v>30548</v>
      </c>
      <c r="CB696" s="55">
        <f t="shared" si="4744"/>
        <v>65023</v>
      </c>
      <c r="CC696" s="55">
        <f>SUMPRODUCT(D696:E696,D$5:E$5)/SUM(D$5:E$5)</f>
        <v>69218.94794520548</v>
      </c>
      <c r="CD696" s="55">
        <f>SUMPRODUCT(F696:G696,F$5:G$5)/SUM(F$5:G$5)</f>
        <v>70178.109589041094</v>
      </c>
      <c r="CE696" s="55">
        <f>SUMPRODUCT(H696:I696,H$5:I$5)/SUM(H$5:I$5)</f>
        <v>73575.245901639355</v>
      </c>
      <c r="CF696" s="55">
        <f>SUMPRODUCT(J696:K696,J$5:K$5)/SUM(J$5:K$5)</f>
        <v>70321.468493150678</v>
      </c>
      <c r="CG696" s="55">
        <f>SUMPRODUCT(L696:M696,L$5:M$5)/SUM(L$5:M$5)</f>
        <v>67730.961643835617</v>
      </c>
      <c r="CH696" s="55">
        <f>SUMPRODUCT(N696:O696,N$5:O$5)/SUM(N$5:O$5)</f>
        <v>67109.8712328767</v>
      </c>
      <c r="CI696" s="55">
        <f>SUMPRODUCT(P696:Q696,P$5:Q$5)/SUM(P$5:Q$5)</f>
        <v>76653.109289617496</v>
      </c>
      <c r="CJ696" s="55">
        <f>SUMPRODUCT(R696:S696,R$5:S$5)/SUM(R$5:S$5)</f>
        <v>94554.117808219176</v>
      </c>
      <c r="CK696" s="55">
        <f>SUMPRODUCT(T696:U696,T$5:U$5)/SUM(T$5:U$5)</f>
        <v>75757.5808219178</v>
      </c>
      <c r="CL696" s="55">
        <f>SUMPRODUCT(V696:W696,V$5:W$5)/SUM(V$5:W$5)</f>
        <v>62843.372602739713</v>
      </c>
      <c r="CM696" s="55">
        <f>SUMPRODUCT(X696:Y696,X$5:Y$5)/SUM(X$5:Y$5)</f>
        <v>77065.464480874318</v>
      </c>
      <c r="CN696" s="55">
        <f>SUMPRODUCT(Z696:AA696,Z$5:AA$5)/SUM(Z$5:AA$5)</f>
        <v>74545.479452054802</v>
      </c>
      <c r="CO696" s="55">
        <f>SUMPRODUCT(AB696:AC696,AB$5:AC$5)/SUM(AB$5:AC$5)</f>
        <v>75285.775342465757</v>
      </c>
      <c r="CP696" s="55">
        <f>SUMPRODUCT(AD696:AE696,AD$5:AE$5)/SUM(AD$5:AE$5)</f>
        <v>87682.701369863003</v>
      </c>
      <c r="CQ696" s="55">
        <f>SUMPRODUCT(AF696:AG696,AF$5:AG$5)/SUM(AF$5:AG$5)</f>
        <v>125695.02732240436</v>
      </c>
      <c r="CR696" s="55">
        <f>SUMPRODUCT(AH696:AI696,AH$5:AI$5)/SUM(AH$5:AI$5)</f>
        <v>137650.72328767122</v>
      </c>
      <c r="CS696" s="55">
        <f>SUMPRODUCT(AI696:AJ696,AI$5:AJ$5)/SUM(AI$5:AJ$5)</f>
        <v>130626.43561643836</v>
      </c>
      <c r="CT696" s="55">
        <f>SUMPRODUCT(AL696:AM696,AL$5:AM$5)/SUM(AL$5:AM$5)</f>
        <v>104081.94201512754</v>
      </c>
      <c r="CU696" s="55">
        <f>SUMPRODUCT(AN696:AO696,AN$5:AO$5)/SUM(AN$5:AO$5)</f>
        <v>102376.55191256831</v>
      </c>
      <c r="CV696" s="55">
        <f>SUMPRODUCT(AP696:AQ696,AP$5:AQ$5)/SUM(AP$5:AQ$5)</f>
        <v>105795.52876712329</v>
      </c>
      <c r="CW696" s="55">
        <f>SUMPRODUCT(AR696:AS696,AR$5:AS$5)/SUM(AR$5:AS$5)</f>
        <v>121942.6493150685</v>
      </c>
      <c r="CX696" s="55">
        <f>SUMPRODUCT(AT696:AU696,AT$5:AU$5)/SUM(AT$5:AU$5)</f>
        <v>122362.60821917807</v>
      </c>
      <c r="CY696" s="55">
        <f>SUMPRODUCT(AV696:AW696,AV$5:AW$5)/SUM(AV$5:AW$5)</f>
        <v>122388.81420765028</v>
      </c>
      <c r="CZ696" s="56">
        <f>SUMPRODUCT(AX696:AY696,AX$5:AY$5)/SUM(AX$5:AY$5)</f>
        <v>138413.79726027398</v>
      </c>
      <c r="DA696" s="55">
        <f>SUMPRODUCT(AZ696:BA696,AZ$5:BA$5)/SUM(AZ$5:BA$5)</f>
        <v>144665.77775212188</v>
      </c>
      <c r="DB696" s="55">
        <f>SUMPRODUCT(BB696:BC696,BB$5:BC$5)/SUM(BB$5:BC$5)</f>
        <v>152821.9425085214</v>
      </c>
      <c r="DC696" s="55">
        <f>SUMPRODUCT(BD696:BE696,BD$5:BE$5)/SUM(BD$5:BE$5)</f>
        <v>160129.84099133342</v>
      </c>
      <c r="DD696" s="55">
        <f>SUMPRODUCT(BF696:BG696,BF$5:BG$5)/SUM(BF$5:BG$5)</f>
        <v>167301.90565954891</v>
      </c>
      <c r="DE696" s="55">
        <f>SUMPRODUCT(BH696:BI696,BH$5:BI$5)/SUM(BH$5:BI$5)</f>
        <v>173971.49811875366</v>
      </c>
      <c r="DF696" s="55">
        <f>SUMPRODUCT(BJ696:BK696,BJ$5:BK$5)/SUM(BJ$5:BK$5)</f>
        <v>180271.47974735367</v>
      </c>
      <c r="DG696" s="55">
        <f>SUMPRODUCT(BL696:BM696,BL$5:BM$5)/SUM(BL$5:BM$5)</f>
        <v>187196.24611096346</v>
      </c>
      <c r="DH696" s="55">
        <f>SUMPRODUCT(BN696:BO696,BN$5:BO$5)/SUM(BN$5:BO$5)</f>
        <v>194403.18004770248</v>
      </c>
      <c r="DI696" s="55">
        <f>SUMPRODUCT(BP696:BQ696,BP$5:BQ$5)/SUM(BP$5:BQ$5)</f>
        <v>201888.5438696226</v>
      </c>
    </row>
    <row r="697" spans="1:113" outlineLevel="1">
      <c r="A697" s="1" t="s">
        <v>1053</v>
      </c>
      <c r="B697" s="19" t="s">
        <v>493</v>
      </c>
      <c r="C697" s="53">
        <v>231780</v>
      </c>
      <c r="D697" s="53">
        <v>238490</v>
      </c>
      <c r="E697" s="53">
        <v>241271</v>
      </c>
      <c r="F697" s="53">
        <v>253349</v>
      </c>
      <c r="G697" s="53">
        <v>263616</v>
      </c>
      <c r="H697" s="53">
        <v>274265</v>
      </c>
      <c r="I697" s="53">
        <v>301329</v>
      </c>
      <c r="J697" s="53">
        <v>316825</v>
      </c>
      <c r="K697" s="53">
        <v>330486</v>
      </c>
      <c r="L697" s="53">
        <v>344795</v>
      </c>
      <c r="M697" s="53">
        <v>362175</v>
      </c>
      <c r="N697" s="53">
        <f>386070</f>
        <v>386070</v>
      </c>
      <c r="O697" s="53">
        <v>425355</v>
      </c>
      <c r="P697" s="53">
        <v>461029</v>
      </c>
      <c r="Q697" s="53">
        <v>490608</v>
      </c>
      <c r="R697" s="53">
        <v>604010</v>
      </c>
      <c r="S697" s="53">
        <v>637864</v>
      </c>
      <c r="T697" s="53">
        <v>632208</v>
      </c>
      <c r="U697" s="53">
        <v>648760</v>
      </c>
      <c r="V697" s="53">
        <v>651433</v>
      </c>
      <c r="W697" s="53">
        <v>668922</v>
      </c>
      <c r="X697" s="53">
        <v>699510</v>
      </c>
      <c r="Y697" s="53">
        <v>714061</v>
      </c>
      <c r="Z697" s="53">
        <v>721366</v>
      </c>
      <c r="AA697" s="164">
        <v>735028</v>
      </c>
      <c r="AB697" s="164">
        <v>764622</v>
      </c>
      <c r="AC697" s="164">
        <v>796932</v>
      </c>
      <c r="AD697" s="164">
        <v>816258</v>
      </c>
      <c r="AE697" s="164">
        <v>870952</v>
      </c>
      <c r="AF697" s="164">
        <v>909279</v>
      </c>
      <c r="AG697" s="164">
        <v>923440</v>
      </c>
      <c r="AH697" s="164">
        <v>957124</v>
      </c>
      <c r="AI697" s="164">
        <v>987796</v>
      </c>
      <c r="AJ697" s="164">
        <v>971423</v>
      </c>
      <c r="AK697" s="164">
        <v>981230</v>
      </c>
      <c r="AL697" s="164">
        <v>977810</v>
      </c>
      <c r="AM697" s="164">
        <v>973244</v>
      </c>
      <c r="AN697" s="164">
        <v>983389</v>
      </c>
      <c r="AO697" s="164">
        <v>1016344</v>
      </c>
      <c r="AP697" s="164">
        <v>1031108</v>
      </c>
      <c r="AQ697" s="164">
        <v>1040329</v>
      </c>
      <c r="AR697" s="164">
        <v>1125149</v>
      </c>
      <c r="AS697" s="164">
        <v>1172789</v>
      </c>
      <c r="AT697" s="164">
        <v>1227651</v>
      </c>
      <c r="AU697" s="164">
        <v>1239854</v>
      </c>
      <c r="AV697" s="164">
        <v>1262472</v>
      </c>
      <c r="AW697" s="164">
        <v>1271054</v>
      </c>
      <c r="AX697" s="164">
        <v>1266815</v>
      </c>
      <c r="AY697" s="164">
        <v>1317554</v>
      </c>
      <c r="AZ697" s="171">
        <v>1374143</v>
      </c>
      <c r="BA697" s="55">
        <f t="shared" ref="BA697:BE697" si="4745">BA696+BA239</f>
        <v>1428899.6974103109</v>
      </c>
      <c r="BB697" s="55">
        <f t="shared" si="4745"/>
        <v>1462203.7503322954</v>
      </c>
      <c r="BC697" s="55">
        <f t="shared" si="4745"/>
        <v>1499045.3370755289</v>
      </c>
      <c r="BD697" s="55">
        <f t="shared" si="4745"/>
        <v>1534142.0887430785</v>
      </c>
      <c r="BE697" s="55">
        <f t="shared" si="4745"/>
        <v>1568840.700846371</v>
      </c>
      <c r="BF697" s="55">
        <f t="shared" ref="BF697:BM697" si="4746">BF696+BF239</f>
        <v>1604581.9189539277</v>
      </c>
      <c r="BG697" s="55">
        <f t="shared" si="4746"/>
        <v>1637309.652742693</v>
      </c>
      <c r="BH697" s="55">
        <f t="shared" si="4746"/>
        <v>1670964.7376927461</v>
      </c>
      <c r="BI697" s="55">
        <f t="shared" si="4746"/>
        <v>1700206.1957950434</v>
      </c>
      <c r="BJ697" s="55">
        <f t="shared" si="4746"/>
        <v>1730151.3511501187</v>
      </c>
      <c r="BK697" s="55">
        <f t="shared" si="4746"/>
        <v>1763077.2807762877</v>
      </c>
      <c r="BL697" s="55">
        <f t="shared" si="4746"/>
        <v>1796643.9659493561</v>
      </c>
      <c r="BM697" s="55">
        <f t="shared" si="4746"/>
        <v>1830864.043493645</v>
      </c>
      <c r="BN697" s="55">
        <f t="shared" ref="BN697:BO697" si="4747">BN696+BN239</f>
        <v>1865750.401403978</v>
      </c>
      <c r="BO697" s="55">
        <f t="shared" si="4747"/>
        <v>1901316.1838605891</v>
      </c>
      <c r="BP697" s="55">
        <f t="shared" ref="BP697:BQ697" si="4748">BP696+BP239</f>
        <v>1937574.7963444225</v>
      </c>
      <c r="BQ697" s="55">
        <f t="shared" si="4748"/>
        <v>1974539.9108548299</v>
      </c>
      <c r="BR697" s="55"/>
      <c r="BS697" s="53">
        <v>89063.9</v>
      </c>
      <c r="BT697" s="53">
        <v>88863</v>
      </c>
      <c r="BU697" s="53">
        <v>92840.3</v>
      </c>
      <c r="BV697" s="53">
        <v>93928</v>
      </c>
      <c r="BW697" s="53">
        <v>103105</v>
      </c>
      <c r="BX697" s="53">
        <v>114358</v>
      </c>
      <c r="BY697" s="53">
        <v>123555</v>
      </c>
      <c r="BZ697" s="53">
        <v>136181</v>
      </c>
      <c r="CA697" s="53">
        <v>159711</v>
      </c>
      <c r="CB697" s="53">
        <v>225630</v>
      </c>
      <c r="CC697" s="55">
        <f>SUMPRODUCT(D697:E697,D$5:E$5)/SUM(D$5:E$5)</f>
        <v>239891.92876712329</v>
      </c>
      <c r="CD697" s="55">
        <f>SUMPRODUCT(F697:G697,F$5:G$5)/SUM(F$5:G$5)</f>
        <v>258524.69315068491</v>
      </c>
      <c r="CE697" s="55">
        <f>SUMPRODUCT(H697:I697,H$5:I$5)/SUM(H$5:I$5)</f>
        <v>287870.9453551913</v>
      </c>
      <c r="CF697" s="55">
        <f>SUMPRODUCT(J697:K697,J$5:K$5)/SUM(J$5:K$5)</f>
        <v>323711.64109589037</v>
      </c>
      <c r="CG697" s="164">
        <v>353414</v>
      </c>
      <c r="CH697" s="164">
        <v>412285</v>
      </c>
      <c r="CI697" s="164">
        <v>475738</v>
      </c>
      <c r="CJ697" s="164">
        <v>620798</v>
      </c>
      <c r="CK697" s="164">
        <v>640417</v>
      </c>
      <c r="CL697" s="164">
        <v>660105</v>
      </c>
      <c r="CM697" s="164">
        <v>706746</v>
      </c>
      <c r="CN697" s="164">
        <v>728140</v>
      </c>
      <c r="CO697" s="164">
        <v>780644</v>
      </c>
      <c r="CP697" s="164">
        <v>843380</v>
      </c>
      <c r="CQ697" s="164">
        <v>916320</v>
      </c>
      <c r="CR697" s="164">
        <v>972389</v>
      </c>
      <c r="CS697" s="164">
        <v>976287</v>
      </c>
      <c r="CT697" s="164">
        <v>975546</v>
      </c>
      <c r="CU697" s="164">
        <v>999777</v>
      </c>
      <c r="CV697" s="164">
        <v>1040329</v>
      </c>
      <c r="CW697" s="164">
        <v>1148779</v>
      </c>
      <c r="CX697" s="164">
        <v>1233702</v>
      </c>
      <c r="CY697" s="164">
        <v>1266740</v>
      </c>
      <c r="CZ697" s="56">
        <f>SUMPRODUCT(AX697:AY697,AX$5:AY$5)/SUM(AX$5:AY$5)</f>
        <v>1292393.0164383561</v>
      </c>
      <c r="DA697" s="55">
        <f>SUMPRODUCT(AZ697:BA697,AZ$5:BA$5)/SUM(AZ$5:BA$5)</f>
        <v>1401746.3762287593</v>
      </c>
      <c r="DB697" s="55">
        <f>SUMPRODUCT(BB697:BC697,BB$5:BC$5)/SUM(BB$5:BC$5)</f>
        <v>1480775.9474850488</v>
      </c>
      <c r="DC697" s="55">
        <f>SUMPRODUCT(BD697:BE697,BD$5:BE$5)/SUM(BD$5:BE$5)</f>
        <v>1551586.1997458269</v>
      </c>
      <c r="DD697" s="55">
        <f>SUMPRODUCT(BF697:BG697,BF$5:BG$5)/SUM(BF$5:BG$5)</f>
        <v>1621080.2833844286</v>
      </c>
      <c r="DE697" s="55">
        <f>SUMPRODUCT(BH697:BI697,BH$5:BI$5)/SUM(BH$5:BI$5)</f>
        <v>1685705.6371196576</v>
      </c>
      <c r="DF697" s="55">
        <f>SUMPRODUCT(BJ697:BK697,BJ$5:BK$5)/SUM(BJ$5:BK$5)</f>
        <v>1746749.6280027628</v>
      </c>
      <c r="DG697" s="55">
        <f>SUMPRODUCT(BL697:BM697,BL$5:BM$5)/SUM(BL$5:BM$5)</f>
        <v>1813847.5022011299</v>
      </c>
      <c r="DH697" s="55">
        <f>SUMPRODUCT(BN697:BO697,BN$5:BO$5)/SUM(BN$5:BO$5)</f>
        <v>1883679.4533821051</v>
      </c>
      <c r="DI697" s="55">
        <f>SUMPRODUCT(BP697:BQ697,BP$5:BQ$5)/SUM(BP$5:BQ$5)</f>
        <v>1956209.265029121</v>
      </c>
    </row>
    <row r="698" spans="1:113" outlineLevel="1">
      <c r="A698" s="1" t="s">
        <v>941</v>
      </c>
      <c r="B698" s="19" t="s">
        <v>267</v>
      </c>
      <c r="C698" s="55">
        <f t="shared" ref="C698:L698" si="4749">C697-AVERAGE(B661:C661)</f>
        <v>226064</v>
      </c>
      <c r="D698" s="55">
        <f t="shared" si="4749"/>
        <v>232855</v>
      </c>
      <c r="E698" s="55">
        <f t="shared" si="4749"/>
        <v>235798.5</v>
      </c>
      <c r="F698" s="55">
        <f t="shared" si="4749"/>
        <v>248073</v>
      </c>
      <c r="G698" s="55">
        <f t="shared" si="4749"/>
        <v>258521</v>
      </c>
      <c r="H698" s="55">
        <f t="shared" si="4749"/>
        <v>269317</v>
      </c>
      <c r="I698" s="55">
        <f t="shared" si="4749"/>
        <v>296543</v>
      </c>
      <c r="J698" s="55">
        <f t="shared" si="4749"/>
        <v>310735</v>
      </c>
      <c r="K698" s="55">
        <f t="shared" si="4749"/>
        <v>323011.5</v>
      </c>
      <c r="L698" s="55">
        <f t="shared" si="4749"/>
        <v>337282</v>
      </c>
      <c r="M698" s="55">
        <f t="shared" ref="M698:AX698" si="4750">M697-AVERAGE(L661:M661)</f>
        <v>354609</v>
      </c>
      <c r="N698" s="55">
        <f t="shared" si="4750"/>
        <v>378490.5</v>
      </c>
      <c r="O698" s="55">
        <f t="shared" si="4750"/>
        <v>417796.5</v>
      </c>
      <c r="P698" s="55">
        <f t="shared" si="4750"/>
        <v>453311.5</v>
      </c>
      <c r="Q698" s="55">
        <f t="shared" si="4750"/>
        <v>482707</v>
      </c>
      <c r="R698" s="55">
        <f t="shared" si="4750"/>
        <v>596100</v>
      </c>
      <c r="S698" s="55">
        <f t="shared" si="4750"/>
        <v>629620.5</v>
      </c>
      <c r="T698" s="55">
        <f t="shared" si="4750"/>
        <v>623660.5</v>
      </c>
      <c r="U698" s="55">
        <f t="shared" si="4750"/>
        <v>640263.5</v>
      </c>
      <c r="V698" s="55">
        <f t="shared" si="4750"/>
        <v>643007</v>
      </c>
      <c r="W698" s="55">
        <f t="shared" si="4750"/>
        <v>660578</v>
      </c>
      <c r="X698" s="55">
        <f t="shared" si="4750"/>
        <v>691084</v>
      </c>
      <c r="Y698" s="55">
        <f t="shared" si="4750"/>
        <v>705497.5</v>
      </c>
      <c r="Z698" s="55">
        <f t="shared" si="4750"/>
        <v>712808</v>
      </c>
      <c r="AA698" s="55">
        <f t="shared" si="4750"/>
        <v>726510.5</v>
      </c>
      <c r="AB698" s="55">
        <f t="shared" si="4750"/>
        <v>756376</v>
      </c>
      <c r="AC698" s="55">
        <f t="shared" si="4750"/>
        <v>788967</v>
      </c>
      <c r="AD698" s="55">
        <f t="shared" si="4750"/>
        <v>808338</v>
      </c>
      <c r="AE698" s="55">
        <f t="shared" si="4750"/>
        <v>863060.5</v>
      </c>
      <c r="AF698" s="55">
        <f t="shared" si="4750"/>
        <v>901421</v>
      </c>
      <c r="AG698" s="55">
        <f t="shared" si="4750"/>
        <v>915444.5</v>
      </c>
      <c r="AH698" s="55">
        <f t="shared" si="4750"/>
        <v>948994.5</v>
      </c>
      <c r="AI698" s="55">
        <f t="shared" si="4750"/>
        <v>979699.5</v>
      </c>
      <c r="AJ698" s="55">
        <f t="shared" si="4750"/>
        <v>963756</v>
      </c>
      <c r="AK698" s="55">
        <f t="shared" si="4750"/>
        <v>973972.5</v>
      </c>
      <c r="AL698" s="55">
        <f t="shared" si="4750"/>
        <v>970985</v>
      </c>
      <c r="AM698" s="55">
        <f t="shared" si="4750"/>
        <v>966928</v>
      </c>
      <c r="AN698" s="55">
        <f t="shared" si="4750"/>
        <v>977107</v>
      </c>
      <c r="AO698" s="55">
        <f t="shared" si="4750"/>
        <v>1010391</v>
      </c>
      <c r="AP698" s="55">
        <f t="shared" si="4750"/>
        <v>1025537.5</v>
      </c>
      <c r="AQ698" s="55">
        <f t="shared" si="4750"/>
        <v>1034798.5</v>
      </c>
      <c r="AR698" s="55">
        <f t="shared" si="4750"/>
        <v>1119647.5</v>
      </c>
      <c r="AS698" s="55">
        <f t="shared" si="4750"/>
        <v>1167300</v>
      </c>
      <c r="AT698" s="55">
        <f t="shared" si="4750"/>
        <v>1222159.5</v>
      </c>
      <c r="AU698" s="55">
        <f t="shared" si="4750"/>
        <v>1234367</v>
      </c>
      <c r="AV698" s="55">
        <f t="shared" si="4750"/>
        <v>1256994</v>
      </c>
      <c r="AW698" s="55">
        <f t="shared" si="4750"/>
        <v>1265581</v>
      </c>
      <c r="AX698" s="55">
        <f t="shared" si="4750"/>
        <v>1261345.5</v>
      </c>
      <c r="AY698" s="55">
        <f t="shared" ref="AY698:BE698" si="4751">AY697-AVERAGE(AX661:AY661)</f>
        <v>1312082.5</v>
      </c>
      <c r="AZ698" s="56">
        <f t="shared" si="4751"/>
        <v>1367257.5</v>
      </c>
      <c r="BA698" s="55">
        <f t="shared" si="4751"/>
        <v>1420603.6974103109</v>
      </c>
      <c r="BB698" s="55">
        <f t="shared" si="4751"/>
        <v>1453907.7503322954</v>
      </c>
      <c r="BC698" s="55">
        <f t="shared" si="4751"/>
        <v>1490749.3370755289</v>
      </c>
      <c r="BD698" s="55">
        <f t="shared" si="4751"/>
        <v>1525846.0887430785</v>
      </c>
      <c r="BE698" s="55">
        <f t="shared" si="4751"/>
        <v>1560544.700846371</v>
      </c>
      <c r="BF698" s="55">
        <f t="shared" ref="BF698:BM698" si="4752">BF697-AVERAGE(BE661:BF661)</f>
        <v>1596285.9189539277</v>
      </c>
      <c r="BG698" s="55">
        <f t="shared" si="4752"/>
        <v>1629013.652742693</v>
      </c>
      <c r="BH698" s="55">
        <f t="shared" si="4752"/>
        <v>1662668.7376927461</v>
      </c>
      <c r="BI698" s="55">
        <f t="shared" si="4752"/>
        <v>1691910.1957950434</v>
      </c>
      <c r="BJ698" s="55">
        <f t="shared" si="4752"/>
        <v>1721855.3511501187</v>
      </c>
      <c r="BK698" s="55">
        <f t="shared" si="4752"/>
        <v>1754781.2807762877</v>
      </c>
      <c r="BL698" s="55">
        <f t="shared" si="4752"/>
        <v>1788347.9659493561</v>
      </c>
      <c r="BM698" s="55">
        <f t="shared" si="4752"/>
        <v>1822568.043493645</v>
      </c>
      <c r="BN698" s="55">
        <f t="shared" ref="BN698" si="4753">BN697-AVERAGE(BM661:BN661)</f>
        <v>1857454.401403978</v>
      </c>
      <c r="BO698" s="55">
        <f t="shared" ref="BO698" si="4754">BO697-AVERAGE(BN661:BO661)</f>
        <v>1893020.1838605891</v>
      </c>
      <c r="BP698" s="55">
        <f t="shared" ref="BP698" si="4755">BP697-AVERAGE(BO661:BP661)</f>
        <v>1929278.7963444225</v>
      </c>
      <c r="BQ698" s="55">
        <f t="shared" ref="BQ698" si="4756">BQ697-AVERAGE(BP661:BQ661)</f>
        <v>1966243.9108548299</v>
      </c>
      <c r="BR698" s="55"/>
      <c r="BS698" s="55">
        <f t="shared" ref="BS698:CA698" si="4757">BS697-AVERAGE(BR661:BS661)</f>
        <v>89063.9</v>
      </c>
      <c r="BT698" s="55">
        <f t="shared" si="4757"/>
        <v>88863</v>
      </c>
      <c r="BU698" s="55">
        <f t="shared" si="4757"/>
        <v>92840.3</v>
      </c>
      <c r="BV698" s="55">
        <f t="shared" si="4757"/>
        <v>93928</v>
      </c>
      <c r="BW698" s="55">
        <f t="shared" si="4757"/>
        <v>103105</v>
      </c>
      <c r="BX698" s="55">
        <f t="shared" si="4757"/>
        <v>114358</v>
      </c>
      <c r="BY698" s="55">
        <f t="shared" si="4757"/>
        <v>123555</v>
      </c>
      <c r="BZ698" s="55">
        <f t="shared" si="4757"/>
        <v>135935.5</v>
      </c>
      <c r="CA698" s="55">
        <f t="shared" si="4757"/>
        <v>156513</v>
      </c>
      <c r="CB698" s="55">
        <f>CB697-AVERAGE(CA661:CB661)</f>
        <v>219819.5</v>
      </c>
      <c r="CC698" s="55">
        <f t="shared" ref="CC698:CS698" si="4758">CC697-AVERAGE(CB661:CC661)</f>
        <v>234338.42876712329</v>
      </c>
      <c r="CD698" s="55">
        <f t="shared" si="4758"/>
        <v>253314.69315068491</v>
      </c>
      <c r="CE698" s="55">
        <f t="shared" si="4758"/>
        <v>283003.9453551913</v>
      </c>
      <c r="CF698" s="55">
        <f t="shared" si="4758"/>
        <v>317622.14109589037</v>
      </c>
      <c r="CG698" s="55">
        <f t="shared" si="4758"/>
        <v>345887</v>
      </c>
      <c r="CH698" s="55">
        <f t="shared" si="4758"/>
        <v>404726</v>
      </c>
      <c r="CI698" s="55">
        <f t="shared" si="4758"/>
        <v>468016.5</v>
      </c>
      <c r="CJ698" s="55">
        <f t="shared" si="4758"/>
        <v>612559.5</v>
      </c>
      <c r="CK698" s="55">
        <f t="shared" si="4758"/>
        <v>631896</v>
      </c>
      <c r="CL698" s="55">
        <f t="shared" si="4758"/>
        <v>651717</v>
      </c>
      <c r="CM698" s="55">
        <f t="shared" si="4758"/>
        <v>698302.5</v>
      </c>
      <c r="CN698" s="55">
        <f t="shared" si="4758"/>
        <v>719599.5</v>
      </c>
      <c r="CO698" s="55">
        <f t="shared" si="4758"/>
        <v>772425</v>
      </c>
      <c r="CP698" s="55">
        <f t="shared" si="4758"/>
        <v>835470.5</v>
      </c>
      <c r="CQ698" s="55">
        <f t="shared" si="4758"/>
        <v>908301.5</v>
      </c>
      <c r="CR698" s="55">
        <f t="shared" si="4758"/>
        <v>964266</v>
      </c>
      <c r="CS698" s="55">
        <f t="shared" si="4758"/>
        <v>968606.5</v>
      </c>
      <c r="CT698" s="55">
        <f t="shared" ref="CT698:DC698" si="4759">CT697-AVERAGE(CT661:CT661)</f>
        <v>969293</v>
      </c>
      <c r="CU698" s="55">
        <f t="shared" si="4759"/>
        <v>994182</v>
      </c>
      <c r="CV698" s="55">
        <f t="shared" si="4759"/>
        <v>1034814</v>
      </c>
      <c r="CW698" s="55">
        <f t="shared" si="4759"/>
        <v>1143289</v>
      </c>
      <c r="CX698" s="55">
        <f t="shared" si="4759"/>
        <v>1228221</v>
      </c>
      <c r="CY698" s="55">
        <f t="shared" si="4759"/>
        <v>1261269</v>
      </c>
      <c r="CZ698" s="56">
        <f t="shared" si="4759"/>
        <v>1286918.0164383561</v>
      </c>
      <c r="DA698" s="55">
        <f t="shared" si="4759"/>
        <v>1393450.3762287593</v>
      </c>
      <c r="DB698" s="55">
        <f t="shared" si="4759"/>
        <v>1472479.9474850488</v>
      </c>
      <c r="DC698" s="55">
        <f t="shared" si="4759"/>
        <v>1543290.1997458269</v>
      </c>
      <c r="DD698" s="55">
        <f t="shared" ref="DD698:DI698" si="4760">DD697-AVERAGE(DD661:DD661)</f>
        <v>1612784.2833844286</v>
      </c>
      <c r="DE698" s="55">
        <f t="shared" si="4760"/>
        <v>1677409.6371196576</v>
      </c>
      <c r="DF698" s="55">
        <f t="shared" si="4760"/>
        <v>1738453.6280027628</v>
      </c>
      <c r="DG698" s="55">
        <f t="shared" si="4760"/>
        <v>1805551.5022011299</v>
      </c>
      <c r="DH698" s="55">
        <f t="shared" si="4760"/>
        <v>1875383.4533821051</v>
      </c>
      <c r="DI698" s="55">
        <f t="shared" si="4760"/>
        <v>1947913.265029121</v>
      </c>
    </row>
    <row r="699" spans="1:113" outlineLevel="1">
      <c r="A699" s="1" t="s">
        <v>942</v>
      </c>
      <c r="B699" s="19" t="s">
        <v>268</v>
      </c>
      <c r="C699" s="55">
        <f t="shared" ref="C699:L699" si="4761">C700-(C259+C260)</f>
        <v>62838</v>
      </c>
      <c r="D699" s="55">
        <f t="shared" si="4761"/>
        <v>57220</v>
      </c>
      <c r="E699" s="55">
        <f t="shared" si="4761"/>
        <v>55231</v>
      </c>
      <c r="F699" s="55">
        <f t="shared" si="4761"/>
        <v>54626</v>
      </c>
      <c r="G699" s="55">
        <f t="shared" si="4761"/>
        <v>58241</v>
      </c>
      <c r="H699" s="55">
        <f t="shared" si="4761"/>
        <v>56548</v>
      </c>
      <c r="I699" s="55">
        <f t="shared" si="4761"/>
        <v>64135.5</v>
      </c>
      <c r="J699" s="55">
        <f t="shared" si="4761"/>
        <v>58743</v>
      </c>
      <c r="K699" s="55">
        <f t="shared" si="4761"/>
        <v>59598.5</v>
      </c>
      <c r="L699" s="55">
        <f t="shared" si="4761"/>
        <v>57986.5</v>
      </c>
      <c r="M699" s="55">
        <f t="shared" ref="M699:AB699" si="4762">M700-(M259+M260)</f>
        <v>57188.5</v>
      </c>
      <c r="N699" s="55">
        <f t="shared" si="4762"/>
        <v>57930.5</v>
      </c>
      <c r="O699" s="55">
        <f t="shared" si="4762"/>
        <v>56211.5</v>
      </c>
      <c r="P699" s="55">
        <f t="shared" si="4762"/>
        <v>63938.5</v>
      </c>
      <c r="Q699" s="55">
        <f t="shared" si="4762"/>
        <v>68172.5</v>
      </c>
      <c r="R699" s="55">
        <f t="shared" si="4762"/>
        <v>79768.5</v>
      </c>
      <c r="S699" s="55">
        <f t="shared" si="4762"/>
        <v>87250.5</v>
      </c>
      <c r="T699" s="55">
        <f t="shared" si="4762"/>
        <v>67107</v>
      </c>
      <c r="U699" s="55">
        <f t="shared" si="4762"/>
        <v>66963</v>
      </c>
      <c r="V699" s="55">
        <f t="shared" si="4762"/>
        <v>50388.883977900492</v>
      </c>
      <c r="W699" s="55">
        <f t="shared" si="4762"/>
        <v>61591</v>
      </c>
      <c r="X699" s="55">
        <f t="shared" si="4762"/>
        <v>66554.5</v>
      </c>
      <c r="Y699" s="55">
        <f t="shared" si="4762"/>
        <v>68377.5</v>
      </c>
      <c r="Z699" s="55">
        <f t="shared" si="4762"/>
        <v>63662</v>
      </c>
      <c r="AA699" s="55">
        <f t="shared" si="4762"/>
        <v>66065</v>
      </c>
      <c r="AB699" s="55">
        <f t="shared" si="4762"/>
        <v>58967.5</v>
      </c>
      <c r="AC699" s="55">
        <f t="shared" ref="AC699:AK699" si="4763">AC700-(AC259+AC260)</f>
        <v>60654</v>
      </c>
      <c r="AD699" s="55">
        <f t="shared" si="4763"/>
        <v>58013.5</v>
      </c>
      <c r="AE699" s="55">
        <f t="shared" si="4763"/>
        <v>71613</v>
      </c>
      <c r="AF699" s="55">
        <f t="shared" si="4763"/>
        <v>99731</v>
      </c>
      <c r="AG699" s="55">
        <f t="shared" si="4763"/>
        <v>106302</v>
      </c>
      <c r="AH699" s="55">
        <f t="shared" si="4763"/>
        <v>108628.5</v>
      </c>
      <c r="AI699" s="55">
        <f t="shared" si="4763"/>
        <v>117156</v>
      </c>
      <c r="AJ699" s="55">
        <f t="shared" si="4763"/>
        <v>87368.5</v>
      </c>
      <c r="AK699" s="55">
        <f t="shared" si="4763"/>
        <v>88534.5</v>
      </c>
      <c r="AL699" s="55">
        <f t="shared" ref="AL699:AQ699" si="4764">AL700-(AL259+AL260)</f>
        <v>93523.5</v>
      </c>
      <c r="AM699" s="55">
        <f t="shared" si="4764"/>
        <v>93776</v>
      </c>
      <c r="AN699" s="55">
        <f t="shared" si="4764"/>
        <v>91411</v>
      </c>
      <c r="AO699" s="55">
        <f t="shared" si="4764"/>
        <v>94077.5</v>
      </c>
      <c r="AP699" s="55">
        <f t="shared" si="4764"/>
        <v>95807.5</v>
      </c>
      <c r="AQ699" s="55">
        <f t="shared" si="4764"/>
        <v>84016.5</v>
      </c>
      <c r="AR699" s="55">
        <f t="shared" ref="AR699" si="4765">AR700-(AR259+AR260)</f>
        <v>95707.5</v>
      </c>
      <c r="AS699" s="55">
        <f t="shared" ref="AS699:AT699" si="4766">AS700-(AS259+AS260)</f>
        <v>103274.5</v>
      </c>
      <c r="AT699" s="55">
        <f t="shared" si="4766"/>
        <v>115206</v>
      </c>
      <c r="AU699" s="55">
        <f t="shared" ref="AU699:AV699" si="4767">AU700-(AU259+AU260)</f>
        <v>106461.5</v>
      </c>
      <c r="AV699" s="55">
        <f t="shared" si="4767"/>
        <v>109635.5</v>
      </c>
      <c r="AW699" s="55">
        <f t="shared" ref="AW699:AX699" si="4768">AW700-(AW259+AW260)</f>
        <v>108379.5</v>
      </c>
      <c r="AX699" s="55">
        <f t="shared" si="4768"/>
        <v>119161.5</v>
      </c>
      <c r="AY699" s="55">
        <f t="shared" ref="AY699:BE699" si="4769">AY700-(AY259+AY260)</f>
        <v>126939.5</v>
      </c>
      <c r="AZ699" s="56">
        <f t="shared" ref="AZ699" si="4770">AZ700-(AZ259+AZ260)</f>
        <v>125638</v>
      </c>
      <c r="BA699" s="55">
        <f t="shared" si="4769"/>
        <v>135660.36687759124</v>
      </c>
      <c r="BB699" s="55">
        <f t="shared" si="4769"/>
        <v>137602.37972410489</v>
      </c>
      <c r="BC699" s="55">
        <f t="shared" si="4769"/>
        <v>141594.4994472987</v>
      </c>
      <c r="BD699" s="55">
        <f t="shared" si="4769"/>
        <v>144864.99117262382</v>
      </c>
      <c r="BE699" s="55">
        <f t="shared" si="4769"/>
        <v>148458.2464657675</v>
      </c>
      <c r="BF699" s="55">
        <f t="shared" ref="BF699:BM699" si="4771">BF700-(BF259+BF260)</f>
        <v>151683.84413083829</v>
      </c>
      <c r="BG699" s="55">
        <f t="shared" si="4771"/>
        <v>155717.85630137403</v>
      </c>
      <c r="BH699" s="55">
        <f t="shared" si="4771"/>
        <v>158737.24162245076</v>
      </c>
      <c r="BI699" s="55">
        <f t="shared" si="4771"/>
        <v>161822.9236974346</v>
      </c>
      <c r="BJ699" s="55">
        <f t="shared" si="4771"/>
        <v>164531.49119229103</v>
      </c>
      <c r="BK699" s="55">
        <f t="shared" si="4771"/>
        <v>168203.81275020121</v>
      </c>
      <c r="BL699" s="55">
        <f t="shared" si="4771"/>
        <v>171254.96837479738</v>
      </c>
      <c r="BM699" s="55">
        <f t="shared" si="4771"/>
        <v>174955.30930665834</v>
      </c>
      <c r="BN699" s="55">
        <f t="shared" ref="BN699:BO699" si="4772">BN700-(BN259+BN260)</f>
        <v>178098.97736452986</v>
      </c>
      <c r="BO699" s="55">
        <f t="shared" si="4772"/>
        <v>181940.38404570939</v>
      </c>
      <c r="BP699" s="55">
        <f t="shared" ref="BP699:BQ699" si="4773">BP700-(BP259+BP260)</f>
        <v>185217.34688583575</v>
      </c>
      <c r="BQ699" s="55">
        <f t="shared" si="4773"/>
        <v>189206.48979411763</v>
      </c>
      <c r="BR699" s="55"/>
      <c r="BS699" s="55">
        <f t="shared" ref="BS699:CB699" si="4774">BS700-(BS259+BS260)</f>
        <v>16378.600000000006</v>
      </c>
      <c r="BT699" s="55">
        <f t="shared" si="4774"/>
        <v>14522.699999999997</v>
      </c>
      <c r="BU699" s="55">
        <f t="shared" si="4774"/>
        <v>16203.099999999991</v>
      </c>
      <c r="BV699" s="55">
        <f t="shared" si="4774"/>
        <v>14556</v>
      </c>
      <c r="BW699" s="55">
        <f t="shared" si="4774"/>
        <v>17705</v>
      </c>
      <c r="BX699" s="55">
        <f t="shared" si="4774"/>
        <v>18822</v>
      </c>
      <c r="BY699" s="55">
        <f t="shared" si="4774"/>
        <v>21061</v>
      </c>
      <c r="BZ699" s="55">
        <f t="shared" si="4774"/>
        <v>22018</v>
      </c>
      <c r="CA699" s="55">
        <f t="shared" si="4774"/>
        <v>30182</v>
      </c>
      <c r="CB699" s="55">
        <f t="shared" si="4774"/>
        <v>54813</v>
      </c>
      <c r="CC699" s="55">
        <f t="shared" ref="CC699:CQ699" si="4775">CC700-(CC259+CC260)</f>
        <v>56217.326027397241</v>
      </c>
      <c r="CD699" s="55">
        <f t="shared" si="4775"/>
        <v>56448.356164383586</v>
      </c>
      <c r="CE699" s="55">
        <f t="shared" si="4775"/>
        <v>60362.480874316971</v>
      </c>
      <c r="CF699" s="55">
        <f t="shared" si="4775"/>
        <v>59174.265753424668</v>
      </c>
      <c r="CG699" s="55">
        <f t="shared" si="4775"/>
        <v>57772</v>
      </c>
      <c r="CH699" s="55">
        <f t="shared" si="4775"/>
        <v>56671</v>
      </c>
      <c r="CI699" s="55">
        <f t="shared" si="4775"/>
        <v>66033</v>
      </c>
      <c r="CJ699" s="55">
        <f t="shared" si="4775"/>
        <v>84143</v>
      </c>
      <c r="CK699" s="55">
        <f t="shared" si="4775"/>
        <v>66913</v>
      </c>
      <c r="CL699" s="55">
        <f t="shared" si="4775"/>
        <v>55900</v>
      </c>
      <c r="CM699" s="55">
        <f t="shared" si="4775"/>
        <v>67558</v>
      </c>
      <c r="CN699" s="55">
        <f t="shared" si="4775"/>
        <v>65012</v>
      </c>
      <c r="CO699" s="55">
        <f t="shared" si="4775"/>
        <v>59890.5</v>
      </c>
      <c r="CP699" s="55">
        <f t="shared" si="4775"/>
        <v>65884</v>
      </c>
      <c r="CQ699" s="55">
        <f t="shared" si="4775"/>
        <v>97982</v>
      </c>
      <c r="CR699" s="55">
        <f t="shared" ref="CR699:DC699" si="4776">CR700-(CR259+CR260)</f>
        <v>112398.5</v>
      </c>
      <c r="CS699" s="55">
        <f t="shared" si="4776"/>
        <v>87993</v>
      </c>
      <c r="CT699" s="55">
        <f t="shared" si="4776"/>
        <v>93465</v>
      </c>
      <c r="CU699" s="55">
        <f t="shared" si="4776"/>
        <v>91134.5</v>
      </c>
      <c r="CV699" s="55">
        <f t="shared" si="4776"/>
        <v>92502</v>
      </c>
      <c r="CW699" s="55">
        <f t="shared" si="4776"/>
        <v>102602</v>
      </c>
      <c r="CX699" s="55">
        <f t="shared" si="4776"/>
        <v>111094.5</v>
      </c>
      <c r="CY699" s="55">
        <f t="shared" si="4776"/>
        <v>111342.5</v>
      </c>
      <c r="CZ699" s="56">
        <f t="shared" si="4776"/>
        <v>123082.4643835614</v>
      </c>
      <c r="DA699" s="55">
        <f t="shared" si="4776"/>
        <v>130690.37124788156</v>
      </c>
      <c r="DB699" s="55">
        <f t="shared" si="4776"/>
        <v>139614.84555716696</v>
      </c>
      <c r="DC699" s="55">
        <f t="shared" si="4776"/>
        <v>146671.43645660859</v>
      </c>
      <c r="DD699" s="55">
        <f t="shared" ref="DD699:DI699" si="4777">DD700-(DD259+DD260)</f>
        <v>153717.42834831378</v>
      </c>
      <c r="DE699" s="55">
        <f t="shared" si="4777"/>
        <v>160292.76354518253</v>
      </c>
      <c r="DF699" s="55">
        <f t="shared" si="4777"/>
        <v>166382.74370367592</v>
      </c>
      <c r="DG699" s="55">
        <f t="shared" si="4777"/>
        <v>173115.24906185316</v>
      </c>
      <c r="DH699" s="55">
        <f t="shared" si="4777"/>
        <v>180035.46730791894</v>
      </c>
      <c r="DI699" s="55">
        <f t="shared" si="4777"/>
        <v>187228.31207795581</v>
      </c>
    </row>
    <row r="700" spans="1:113" outlineLevel="1">
      <c r="A700" s="1" t="s">
        <v>943</v>
      </c>
      <c r="B700" s="19" t="s">
        <v>373</v>
      </c>
      <c r="C700" s="53">
        <v>218312</v>
      </c>
      <c r="D700" s="53">
        <v>218312</v>
      </c>
      <c r="E700" s="53">
        <v>220641</v>
      </c>
      <c r="F700" s="53">
        <v>231636</v>
      </c>
      <c r="G700" s="53">
        <v>241352</v>
      </c>
      <c r="H700" s="53">
        <v>251503</v>
      </c>
      <c r="I700" s="53">
        <v>277285</v>
      </c>
      <c r="J700" s="53">
        <v>295161</v>
      </c>
      <c r="K700" s="53">
        <v>308085</v>
      </c>
      <c r="L700" s="53">
        <v>323521</v>
      </c>
      <c r="M700" s="53">
        <v>339452</v>
      </c>
      <c r="N700" s="53">
        <v>363944</v>
      </c>
      <c r="O700" s="53">
        <v>401955</v>
      </c>
      <c r="P700" s="53">
        <v>435988</v>
      </c>
      <c r="Q700" s="53">
        <v>464833</v>
      </c>
      <c r="R700" s="53">
        <v>572024</v>
      </c>
      <c r="S700" s="53">
        <v>607530</v>
      </c>
      <c r="T700" s="53">
        <v>599695</v>
      </c>
      <c r="U700" s="53">
        <v>614190</v>
      </c>
      <c r="V700" s="53">
        <v>615956</v>
      </c>
      <c r="W700" s="53">
        <v>632254</v>
      </c>
      <c r="X700" s="53">
        <v>661430</v>
      </c>
      <c r="Y700" s="53">
        <v>673631</v>
      </c>
      <c r="Z700" s="53">
        <v>678930</v>
      </c>
      <c r="AA700" s="164">
        <v>690539</v>
      </c>
      <c r="AB700" s="164">
        <v>718334</v>
      </c>
      <c r="AC700" s="164">
        <v>748587</v>
      </c>
      <c r="AD700" s="164">
        <v>766069</v>
      </c>
      <c r="AE700" s="164">
        <v>818787</v>
      </c>
      <c r="AF700" s="164">
        <v>853043</v>
      </c>
      <c r="AG700" s="164">
        <v>864303</v>
      </c>
      <c r="AH700" s="164">
        <v>895992</v>
      </c>
      <c r="AI700" s="164">
        <v>924964</v>
      </c>
      <c r="AJ700" s="164">
        <v>906318</v>
      </c>
      <c r="AK700" s="164">
        <v>914583</v>
      </c>
      <c r="AL700" s="164">
        <v>910071</v>
      </c>
      <c r="AM700" s="164">
        <v>904221</v>
      </c>
      <c r="AN700" s="164">
        <v>913061</v>
      </c>
      <c r="AO700" s="164">
        <v>944888</v>
      </c>
      <c r="AP700" s="164">
        <v>957600</v>
      </c>
      <c r="AQ700" s="164">
        <v>965137</v>
      </c>
      <c r="AR700" s="164">
        <v>1048474</v>
      </c>
      <c r="AS700" s="164">
        <v>1099039</v>
      </c>
      <c r="AT700" s="164">
        <v>1155148</v>
      </c>
      <c r="AU700" s="164">
        <v>1167877</v>
      </c>
      <c r="AV700" s="164">
        <v>1190236</v>
      </c>
      <c r="AW700" s="164">
        <v>1198092</v>
      </c>
      <c r="AX700" s="164">
        <v>1192639</v>
      </c>
      <c r="AY700" s="164">
        <v>1240534</v>
      </c>
      <c r="AZ700" s="171">
        <v>1296139</v>
      </c>
      <c r="BA700" s="55">
        <f t="shared" ref="BA700:BE700" si="4778">BA697-BA701-AVERAGE(AZ539:BA539)</f>
        <v>1350543.6582689907</v>
      </c>
      <c r="BB700" s="55">
        <f t="shared" si="4778"/>
        <v>1382809.5776926286</v>
      </c>
      <c r="BC700" s="55">
        <f t="shared" si="4778"/>
        <v>1419525.5631216755</v>
      </c>
      <c r="BD700" s="55">
        <f t="shared" si="4778"/>
        <v>1454414.8840851083</v>
      </c>
      <c r="BE700" s="55">
        <f t="shared" si="4778"/>
        <v>1488853.1809163992</v>
      </c>
      <c r="BF700" s="55">
        <f t="shared" ref="BF700:BM700" si="4779">BF697-BF701-AVERAGE(BE539:BF539)</f>
        <v>1524245.1611617217</v>
      </c>
      <c r="BG700" s="55">
        <f t="shared" si="4779"/>
        <v>1555945.4020757659</v>
      </c>
      <c r="BH700" s="55">
        <f t="shared" si="4779"/>
        <v>1587917.1474790014</v>
      </c>
      <c r="BI700" s="55">
        <f t="shared" si="4779"/>
        <v>1615499.8673157899</v>
      </c>
      <c r="BJ700" s="55">
        <f t="shared" si="4779"/>
        <v>1643862.0976233664</v>
      </c>
      <c r="BK700" s="55">
        <f t="shared" si="4779"/>
        <v>1675214.382293043</v>
      </c>
      <c r="BL700" s="55">
        <f t="shared" si="4779"/>
        <v>1707193.2692297848</v>
      </c>
      <c r="BM700" s="55">
        <f t="shared" si="4779"/>
        <v>1739811.9271874689</v>
      </c>
      <c r="BN700" s="55">
        <f t="shared" ref="BN700" si="4780">BN697-BN701-AVERAGE(BM539:BN539)</f>
        <v>1773040.761601238</v>
      </c>
      <c r="BO700" s="55">
        <f t="shared" ref="BO700" si="4781">BO697-BO701-AVERAGE(BN539:BO539)</f>
        <v>1806896.7562898179</v>
      </c>
      <c r="BP700" s="55">
        <f t="shared" ref="BP700" si="4782">BP697-BP701-AVERAGE(BO539:BP539)</f>
        <v>1841379.3076362286</v>
      </c>
      <c r="BQ700" s="55">
        <f t="shared" ref="BQ700" si="4783">BQ697-BQ701-AVERAGE(BP539:BQ539)</f>
        <v>1876502.0956924947</v>
      </c>
      <c r="BR700" s="55"/>
      <c r="BS700" s="53">
        <v>83627.5</v>
      </c>
      <c r="BT700" s="53">
        <v>83076.3</v>
      </c>
      <c r="BU700" s="53">
        <v>86604.9</v>
      </c>
      <c r="BV700" s="53">
        <v>87693</v>
      </c>
      <c r="BW700" s="53">
        <v>96264</v>
      </c>
      <c r="BX700" s="53">
        <v>107737</v>
      </c>
      <c r="BY700" s="53">
        <v>116507</v>
      </c>
      <c r="BZ700" s="53">
        <v>129176</v>
      </c>
      <c r="CA700" s="53">
        <v>152027</v>
      </c>
      <c r="CB700" s="53">
        <v>207433</v>
      </c>
      <c r="CC700" s="55">
        <f>SUMPRODUCT(D700:E700,D$5:E$5)/SUM(D$5:E$5)</f>
        <v>219486.07123287668</v>
      </c>
      <c r="CD700" s="55">
        <f>SUMPRODUCT(F700:G700,F$5:G$5)/SUM(F$5:G$5)</f>
        <v>236533.92876712332</v>
      </c>
      <c r="CE700" s="55">
        <f>SUMPRODUCT(H700:I700,H$5:I$5)/SUM(H$5:I$5)</f>
        <v>264464.44262295088</v>
      </c>
      <c r="CF700" s="55">
        <f>SUMPRODUCT(J700:K700,J$5:K$5)/SUM(J$5:K$5)</f>
        <v>301676.11232876714</v>
      </c>
      <c r="CG700" s="164">
        <v>331421</v>
      </c>
      <c r="CH700" s="164">
        <v>389527</v>
      </c>
      <c r="CI700" s="164">
        <v>450332</v>
      </c>
      <c r="CJ700" s="164">
        <f>589631</f>
        <v>589631</v>
      </c>
      <c r="CK700" s="164">
        <v>606883</v>
      </c>
      <c r="CL700" s="164">
        <v>624036</v>
      </c>
      <c r="CM700" s="164">
        <v>667497</v>
      </c>
      <c r="CN700" s="164">
        <v>684686</v>
      </c>
      <c r="CO700" s="164">
        <v>733337</v>
      </c>
      <c r="CP700" s="164">
        <v>792209</v>
      </c>
      <c r="CQ700" s="164">
        <v>858641</v>
      </c>
      <c r="CR700" s="164">
        <v>910358</v>
      </c>
      <c r="CS700" s="164">
        <v>910417</v>
      </c>
      <c r="CT700" s="164">
        <v>907170</v>
      </c>
      <c r="CU700" s="164">
        <v>928888</v>
      </c>
      <c r="CV700" s="164">
        <v>965137</v>
      </c>
      <c r="CW700" s="164">
        <v>1073383</v>
      </c>
      <c r="CX700" s="164">
        <v>1161489</v>
      </c>
      <c r="CY700" s="164">
        <v>1194220</v>
      </c>
      <c r="CZ700" s="56">
        <f>SUMPRODUCT(AX700:AY700,AX$5:AY$5)/SUM(AX$5:AY$5)</f>
        <v>1216783.3287671232</v>
      </c>
      <c r="DA700" s="55">
        <f>SUMPRODUCT(AZ700:BA700,AZ$5:BA$5)/SUM(AZ$5:BA$5)</f>
        <v>1323564.9099219022</v>
      </c>
      <c r="DB700" s="55">
        <f>SUMPRODUCT(BB700:BC700,BB$5:BC$5)/SUM(BB$5:BC$5)</f>
        <v>1401318.4580185043</v>
      </c>
      <c r="DC700" s="55">
        <f>SUMPRODUCT(BD700:BE700,BD$5:BE$5)/SUM(BD$5:BE$5)</f>
        <v>1471728.1262079431</v>
      </c>
      <c r="DD700" s="55">
        <f>SUMPRODUCT(BF700:BG700,BF$5:BG$5)/SUM(BF$5:BG$5)</f>
        <v>1540225.5565814041</v>
      </c>
      <c r="DE700" s="55">
        <f>SUMPRODUCT(BH700:BI700,BH$5:BI$5)/SUM(BH$5:BI$5)</f>
        <v>1601821.8610405608</v>
      </c>
      <c r="DF700" s="55">
        <f>SUMPRODUCT(BJ700:BK700,BJ$5:BK$5)/SUM(BJ$5:BK$5)</f>
        <v>1659667.0849636965</v>
      </c>
      <c r="DG700" s="55">
        <f>SUMPRODUCT(BL700:BM700,BL$5:BM$5)/SUM(BL$5:BM$5)</f>
        <v>1723591.7202249048</v>
      </c>
      <c r="DH700" s="55">
        <f>SUMPRODUCT(BN700:BO700,BN$5:BO$5)/SUM(BN$5:BO$5)</f>
        <v>1790107.8931702755</v>
      </c>
      <c r="DI700" s="55">
        <f>SUMPRODUCT(BP700:BQ700,BP$5:BQ$5)/SUM(BP$5:BQ$5)</f>
        <v>1859085.0418892503</v>
      </c>
    </row>
    <row r="701" spans="1:113" outlineLevel="1">
      <c r="A701" s="1" t="s">
        <v>944</v>
      </c>
      <c r="B701" s="19" t="s">
        <v>374</v>
      </c>
      <c r="C701" s="55">
        <f>C697-C700-AVERAGE(C540+C539)</f>
        <v>11326</v>
      </c>
      <c r="D701" s="55">
        <f>D697-D700-AVERAGE(D540+D539,C540+C539)</f>
        <v>17924</v>
      </c>
      <c r="E701" s="55">
        <f>E697-E700-AVERAGE(E540+E539,D540+D539)</f>
        <v>18090.5</v>
      </c>
      <c r="F701" s="55">
        <f>F697-F700-AVERAGE(F540+F539,E540+E539)</f>
        <v>18691.5</v>
      </c>
      <c r="G701" s="55">
        <f>G697-G700-AVERAGE(G540+G539,F540+F539)</f>
        <v>19191.5</v>
      </c>
      <c r="H701" s="53">
        <f>H697-H700-2152-1103</f>
        <v>19507</v>
      </c>
      <c r="I701" s="53">
        <f>I697-I700-2328-1889</f>
        <v>19827</v>
      </c>
      <c r="J701" s="53">
        <f>J697-J700-2261-2260</f>
        <v>17143</v>
      </c>
      <c r="K701" s="53">
        <f>K697-K700-1916-2260</f>
        <v>18225</v>
      </c>
      <c r="L701" s="53">
        <f>L697-L700-1130-1156</f>
        <v>18988</v>
      </c>
      <c r="M701" s="53">
        <f>M697-M700-470-515</f>
        <v>21738</v>
      </c>
      <c r="N701" s="53">
        <f>N697-N700-939-508</f>
        <v>20679</v>
      </c>
      <c r="O701" s="53">
        <f>O697-O700-939-510</f>
        <v>21951</v>
      </c>
      <c r="P701" s="53">
        <f>P697-P700-939-512</f>
        <v>23590</v>
      </c>
      <c r="Q701" s="53">
        <f>Q697-Q700-939-515</f>
        <v>24321</v>
      </c>
      <c r="R701" s="53">
        <f>R697-R700-939-519</f>
        <v>30528</v>
      </c>
      <c r="S701" s="53">
        <f>S697-S700-939-520</f>
        <v>28875</v>
      </c>
      <c r="T701" s="53">
        <f>T697-T700-939-521</f>
        <v>31053</v>
      </c>
      <c r="U701" s="53">
        <f>U697-U700-939-522</f>
        <v>33109</v>
      </c>
      <c r="V701" s="53">
        <f>V697-V700-939-524</f>
        <v>34014</v>
      </c>
      <c r="W701" s="53">
        <f>W697-W700-939-526</f>
        <v>35203</v>
      </c>
      <c r="X701" s="53">
        <f>X697-X700-939-528</f>
        <v>36613</v>
      </c>
      <c r="Y701" s="53">
        <f>Y697-Y700-939-530</f>
        <v>38961</v>
      </c>
      <c r="Z701" s="53">
        <v>40989</v>
      </c>
      <c r="AA701" s="164">
        <v>42969</v>
      </c>
      <c r="AB701" s="164">
        <v>44811</v>
      </c>
      <c r="AC701" s="164">
        <v>46717</v>
      </c>
      <c r="AD701" s="164">
        <v>48704</v>
      </c>
      <c r="AE701" s="164">
        <v>50514</v>
      </c>
      <c r="AF701" s="164">
        <v>54738</v>
      </c>
      <c r="AG701" s="164">
        <v>59092</v>
      </c>
      <c r="AH701" s="164">
        <v>60588</v>
      </c>
      <c r="AI701" s="164">
        <v>62161</v>
      </c>
      <c r="AJ701" s="164">
        <v>64440</v>
      </c>
      <c r="AK701" s="164">
        <v>66554</v>
      </c>
      <c r="AL701" s="164">
        <v>67316</v>
      </c>
      <c r="AM701" s="164">
        <v>68895</v>
      </c>
      <c r="AN701" s="164">
        <v>70318</v>
      </c>
      <c r="AO701" s="164">
        <v>71555</v>
      </c>
      <c r="AP701" s="164">
        <v>73503</v>
      </c>
      <c r="AQ701" s="164">
        <v>76819</v>
      </c>
      <c r="AR701" s="164">
        <v>76675</v>
      </c>
      <c r="AS701" s="164">
        <v>73750</v>
      </c>
      <c r="AT701" s="164">
        <v>72503</v>
      </c>
      <c r="AU701" s="164">
        <v>71977</v>
      </c>
      <c r="AV701" s="164">
        <v>72236</v>
      </c>
      <c r="AW701" s="164">
        <v>72963</v>
      </c>
      <c r="AX701" s="164">
        <v>74176</v>
      </c>
      <c r="AY701" s="164">
        <f>AY697-AY700</f>
        <v>77020</v>
      </c>
      <c r="AZ701" s="171">
        <f>AZ697-AZ700</f>
        <v>78004</v>
      </c>
      <c r="BA701" s="55">
        <f t="shared" ref="BA701:BE701" si="4784">AZ701*AVERAGE(AZ538:BA538)/AVERAGE(AY538:AZ538)</f>
        <v>78356.03914132007</v>
      </c>
      <c r="BB701" s="55">
        <f t="shared" si="4784"/>
        <v>79394.172639666882</v>
      </c>
      <c r="BC701" s="55">
        <f t="shared" si="4784"/>
        <v>79519.773953853291</v>
      </c>
      <c r="BD701" s="55">
        <f t="shared" si="4784"/>
        <v>79727.204657970215</v>
      </c>
      <c r="BE701" s="55">
        <f t="shared" si="4784"/>
        <v>79987.519929971808</v>
      </c>
      <c r="BF701" s="55">
        <f t="shared" ref="BF701:BM701" si="4785">BE701*AVERAGE(BE538:BF538)/AVERAGE(BD538:BE538)</f>
        <v>80336.757792205899</v>
      </c>
      <c r="BG701" s="55">
        <f t="shared" si="4785"/>
        <v>81364.250666927168</v>
      </c>
      <c r="BH701" s="55">
        <f t="shared" si="4785"/>
        <v>83047.590213744785</v>
      </c>
      <c r="BI701" s="55">
        <f t="shared" si="4785"/>
        <v>84706.328479253512</v>
      </c>
      <c r="BJ701" s="55">
        <f t="shared" si="4785"/>
        <v>86289.253526752436</v>
      </c>
      <c r="BK701" s="55">
        <f t="shared" si="4785"/>
        <v>87862.898483244659</v>
      </c>
      <c r="BL701" s="55">
        <f t="shared" si="4785"/>
        <v>89450.696719571322</v>
      </c>
      <c r="BM701" s="55">
        <f t="shared" si="4785"/>
        <v>91052.116306176293</v>
      </c>
      <c r="BN701" s="55">
        <f t="shared" ref="BN701" si="4786">BM701*AVERAGE(BM538:BN538)/AVERAGE(BL538:BM538)</f>
        <v>92709.639802740043</v>
      </c>
      <c r="BO701" s="55">
        <f t="shared" ref="BO701" si="4787">BN701*AVERAGE(BN538:BO538)/AVERAGE(BM538:BN538)</f>
        <v>94419.427570771164</v>
      </c>
      <c r="BP701" s="55">
        <f t="shared" ref="BP701" si="4788">BO701*AVERAGE(BO538:BP538)/AVERAGE(BN538:BO538)</f>
        <v>96195.48870819385</v>
      </c>
      <c r="BQ701" s="55">
        <f t="shared" ref="BQ701" si="4789">BP701*AVERAGE(BP538:BQ538)/AVERAGE(BO538:BP538)</f>
        <v>98037.815162335377</v>
      </c>
      <c r="BR701" s="55"/>
      <c r="BS701" s="185">
        <f>BS697-BS700-AVERAGE(BR539:BS539)-AVERAGE(0+49.7,BS540)</f>
        <v>5385.5499999999938</v>
      </c>
      <c r="BT701" s="55">
        <f t="shared" ref="BT701:BZ701" si="4790">BT697-BT700-AVERAGE(BS539:BT539)-AVERAGE(BS540:BT540)</f>
        <v>5729.0999999999967</v>
      </c>
      <c r="BU701" s="55">
        <f t="shared" si="4790"/>
        <v>6150.8500000000085</v>
      </c>
      <c r="BV701" s="55">
        <f t="shared" si="4790"/>
        <v>6118.7</v>
      </c>
      <c r="BW701" s="55">
        <f t="shared" si="4790"/>
        <v>6689.15</v>
      </c>
      <c r="BX701" s="55">
        <f t="shared" si="4790"/>
        <v>6443.5</v>
      </c>
      <c r="BY701" s="55">
        <f t="shared" si="4790"/>
        <v>6870.5</v>
      </c>
      <c r="BZ701" s="55">
        <f t="shared" si="4790"/>
        <v>6803</v>
      </c>
      <c r="CA701" s="55">
        <f>CA697-CA700-AVERAGE(BZ539:CA539)-AVERAGE(BZ540:CA540)</f>
        <v>7089</v>
      </c>
      <c r="CB701" s="55">
        <f>CB697-CB700-AVERAGE(CA539:CB539)-AVERAGE(CA540:CB540)</f>
        <v>16644.5</v>
      </c>
      <c r="CC701" s="55">
        <f>SUMPRODUCT(D701:E701,D$5:E$5)/SUM(D$5:E$5)</f>
        <v>18007.93424657534</v>
      </c>
      <c r="CD701" s="55">
        <f>SUMPRODUCT(F701:G701,F$5:G$5)/SUM(F$5:G$5)</f>
        <v>18943.554794520551</v>
      </c>
      <c r="CE701" s="55">
        <f>SUMPRODUCT(H701:I701,H$5:I$5)/SUM(H$5:I$5)</f>
        <v>19667.874316939891</v>
      </c>
      <c r="CF701" s="55">
        <f>SUMPRODUCT(J701:K701,J$5:K$5)/SUM(J$5:K$5)</f>
        <v>17688.446575342463</v>
      </c>
      <c r="CG701" s="164">
        <f>21994-1148-1600+390</f>
        <v>19636</v>
      </c>
      <c r="CH701" s="164">
        <f>22758-509-939+315</f>
        <v>21625</v>
      </c>
      <c r="CI701" s="164">
        <f>25406-514-939+251</f>
        <v>24204</v>
      </c>
      <c r="CJ701" s="164">
        <f>30038-519-939+276</f>
        <v>28856</v>
      </c>
      <c r="CK701" s="164">
        <f>33532-521-939+279</f>
        <v>32351</v>
      </c>
      <c r="CL701" s="164">
        <f>36069-525-939+298</f>
        <v>34903</v>
      </c>
      <c r="CM701" s="164">
        <f>39245-529-939+311</f>
        <v>38088</v>
      </c>
      <c r="CN701" s="164">
        <v>42030</v>
      </c>
      <c r="CO701" s="164">
        <v>45831</v>
      </c>
      <c r="CP701" s="164">
        <v>49633</v>
      </c>
      <c r="CQ701" s="164">
        <v>56497</v>
      </c>
      <c r="CR701" s="164">
        <v>61482</v>
      </c>
      <c r="CS701" s="164">
        <v>65319</v>
      </c>
      <c r="CT701" s="164">
        <v>67989</v>
      </c>
      <c r="CU701" s="164">
        <v>70852</v>
      </c>
      <c r="CV701" s="164">
        <v>75192</v>
      </c>
      <c r="CW701" s="164">
        <v>75391</v>
      </c>
      <c r="CX701" s="164">
        <v>72208</v>
      </c>
      <c r="CY701" s="164">
        <v>72517</v>
      </c>
      <c r="CZ701" s="56">
        <f>SUMPRODUCT(AX701:AY701,AX$5:AY$5)/SUM(AX$5:AY$5)</f>
        <v>75609.687671232881</v>
      </c>
      <c r="DA701" s="55">
        <f>SUMPRODUCT(AZ701:BA701,AZ$5:BA$5)/SUM(AZ$5:BA$5)</f>
        <v>78181.466306857241</v>
      </c>
      <c r="DB701" s="55">
        <f>SUMPRODUCT(BB701:BC701,BB$5:BC$5)/SUM(BB$5:BC$5)</f>
        <v>79457.489466544415</v>
      </c>
      <c r="DC701" s="55">
        <f>SUMPRODUCT(BD701:BE701,BD$5:BE$5)/SUM(BD$5:BE$5)</f>
        <v>79858.073537883596</v>
      </c>
      <c r="DD701" s="55">
        <f>SUMPRODUCT(BF701:BG701,BF$5:BG$5)/SUM(BF$5:BG$5)</f>
        <v>80854.726803024285</v>
      </c>
      <c r="DE701" s="55">
        <f>SUMPRODUCT(BH701:BI701,BH$5:BI$5)/SUM(BH$5:BI$5)</f>
        <v>83883.776079097122</v>
      </c>
      <c r="DF701" s="55">
        <f>SUMPRODUCT(BJ701:BK701,BJ$5:BK$5)/SUM(BJ$5:BK$5)</f>
        <v>87082.543039066339</v>
      </c>
      <c r="DG701" s="55">
        <f>SUMPRODUCT(BL701:BM701,BL$5:BM$5)/SUM(BL$5:BM$5)</f>
        <v>90255.781976225189</v>
      </c>
      <c r="DH701" s="55">
        <f>SUMPRODUCT(BN701:BO701,BN$5:BO$5)/SUM(BN$5:BO$5)</f>
        <v>93571.56021182971</v>
      </c>
      <c r="DI701" s="55">
        <f>SUMPRODUCT(BP701:BQ701,BP$5:BQ$5)/SUM(BP$5:BQ$5)</f>
        <v>97124.223139870679</v>
      </c>
    </row>
    <row r="702" spans="1:113" outlineLevel="1">
      <c r="A702" s="1" t="s">
        <v>945</v>
      </c>
      <c r="B702" s="19" t="s">
        <v>303</v>
      </c>
      <c r="C702" s="55"/>
      <c r="D702" s="55">
        <f t="shared" ref="D702:L702" si="4791">D701-AVERAGE(C661:D661)</f>
        <v>12289</v>
      </c>
      <c r="E702" s="55">
        <f t="shared" si="4791"/>
        <v>12618</v>
      </c>
      <c r="F702" s="55">
        <f t="shared" si="4791"/>
        <v>13415.5</v>
      </c>
      <c r="G702" s="55">
        <f t="shared" si="4791"/>
        <v>14096.5</v>
      </c>
      <c r="H702" s="55">
        <f t="shared" si="4791"/>
        <v>14559</v>
      </c>
      <c r="I702" s="55">
        <f t="shared" si="4791"/>
        <v>15041</v>
      </c>
      <c r="J702" s="55">
        <f t="shared" si="4791"/>
        <v>11053</v>
      </c>
      <c r="K702" s="55">
        <f t="shared" si="4791"/>
        <v>10750.5</v>
      </c>
      <c r="L702" s="55">
        <f t="shared" si="4791"/>
        <v>11475</v>
      </c>
      <c r="M702" s="55">
        <f t="shared" ref="M702:AX702" si="4792">M701-AVERAGE(L661:M661)</f>
        <v>14172</v>
      </c>
      <c r="N702" s="55">
        <f t="shared" si="4792"/>
        <v>13099.5</v>
      </c>
      <c r="O702" s="55">
        <f t="shared" si="4792"/>
        <v>14392.5</v>
      </c>
      <c r="P702" s="55">
        <f t="shared" si="4792"/>
        <v>15872.5</v>
      </c>
      <c r="Q702" s="55">
        <f t="shared" si="4792"/>
        <v>16420</v>
      </c>
      <c r="R702" s="55">
        <f t="shared" si="4792"/>
        <v>22618</v>
      </c>
      <c r="S702" s="55">
        <f t="shared" si="4792"/>
        <v>20631.5</v>
      </c>
      <c r="T702" s="55">
        <f t="shared" si="4792"/>
        <v>22505.5</v>
      </c>
      <c r="U702" s="55">
        <f t="shared" si="4792"/>
        <v>24612.5</v>
      </c>
      <c r="V702" s="55">
        <f t="shared" si="4792"/>
        <v>25588</v>
      </c>
      <c r="W702" s="55">
        <f t="shared" si="4792"/>
        <v>26859</v>
      </c>
      <c r="X702" s="55">
        <f t="shared" si="4792"/>
        <v>28187</v>
      </c>
      <c r="Y702" s="55">
        <f t="shared" si="4792"/>
        <v>30397.5</v>
      </c>
      <c r="Z702" s="55">
        <f t="shared" si="4792"/>
        <v>32431</v>
      </c>
      <c r="AA702" s="55">
        <f>AA701-AVERAGE(Z661:AA661)</f>
        <v>34451.5</v>
      </c>
      <c r="AB702" s="55">
        <f t="shared" si="4792"/>
        <v>36565</v>
      </c>
      <c r="AC702" s="55">
        <f t="shared" si="4792"/>
        <v>38752</v>
      </c>
      <c r="AD702" s="55">
        <f t="shared" si="4792"/>
        <v>40784</v>
      </c>
      <c r="AE702" s="55">
        <f t="shared" si="4792"/>
        <v>42622.5</v>
      </c>
      <c r="AF702" s="55">
        <f t="shared" si="4792"/>
        <v>46880</v>
      </c>
      <c r="AG702" s="55">
        <f t="shared" si="4792"/>
        <v>51096.5</v>
      </c>
      <c r="AH702" s="55">
        <f t="shared" si="4792"/>
        <v>52458.5</v>
      </c>
      <c r="AI702" s="55">
        <f t="shared" si="4792"/>
        <v>54064.5</v>
      </c>
      <c r="AJ702" s="55">
        <f t="shared" si="4792"/>
        <v>56773</v>
      </c>
      <c r="AK702" s="55">
        <f t="shared" si="4792"/>
        <v>59296.5</v>
      </c>
      <c r="AL702" s="55">
        <f t="shared" si="4792"/>
        <v>60491</v>
      </c>
      <c r="AM702" s="55">
        <f t="shared" si="4792"/>
        <v>62579</v>
      </c>
      <c r="AN702" s="55">
        <f t="shared" si="4792"/>
        <v>64036</v>
      </c>
      <c r="AO702" s="55">
        <f t="shared" si="4792"/>
        <v>65602</v>
      </c>
      <c r="AP702" s="55">
        <f t="shared" si="4792"/>
        <v>67932.5</v>
      </c>
      <c r="AQ702" s="55">
        <f t="shared" si="4792"/>
        <v>71288.5</v>
      </c>
      <c r="AR702" s="55">
        <f t="shared" si="4792"/>
        <v>71173.5</v>
      </c>
      <c r="AS702" s="55">
        <f t="shared" si="4792"/>
        <v>68261</v>
      </c>
      <c r="AT702" s="55">
        <f t="shared" si="4792"/>
        <v>67011.5</v>
      </c>
      <c r="AU702" s="55">
        <f t="shared" si="4792"/>
        <v>66490</v>
      </c>
      <c r="AV702" s="55">
        <f t="shared" si="4792"/>
        <v>66758</v>
      </c>
      <c r="AW702" s="55">
        <f t="shared" si="4792"/>
        <v>67490</v>
      </c>
      <c r="AX702" s="55">
        <f t="shared" si="4792"/>
        <v>68706.5</v>
      </c>
      <c r="AY702" s="55">
        <f t="shared" ref="AY702:BE702" si="4793">AY701-AVERAGE(AX661:AY661)</f>
        <v>71548.5</v>
      </c>
      <c r="AZ702" s="56">
        <f t="shared" si="4793"/>
        <v>71118.5</v>
      </c>
      <c r="BA702" s="55">
        <f t="shared" si="4793"/>
        <v>70060.03914132007</v>
      </c>
      <c r="BB702" s="55">
        <f t="shared" si="4793"/>
        <v>71098.172639666882</v>
      </c>
      <c r="BC702" s="55">
        <f t="shared" si="4793"/>
        <v>71223.773953853291</v>
      </c>
      <c r="BD702" s="55">
        <f t="shared" si="4793"/>
        <v>71431.204657970215</v>
      </c>
      <c r="BE702" s="55">
        <f t="shared" si="4793"/>
        <v>71691.519929971808</v>
      </c>
      <c r="BF702" s="55">
        <f t="shared" ref="BF702:BM702" si="4794">BF701-AVERAGE(BE661:BF661)</f>
        <v>72040.757792205899</v>
      </c>
      <c r="BG702" s="55">
        <f t="shared" si="4794"/>
        <v>73068.250666927168</v>
      </c>
      <c r="BH702" s="55">
        <f t="shared" si="4794"/>
        <v>74751.590213744785</v>
      </c>
      <c r="BI702" s="55">
        <f t="shared" si="4794"/>
        <v>76410.328479253512</v>
      </c>
      <c r="BJ702" s="55">
        <f t="shared" si="4794"/>
        <v>77993.253526752436</v>
      </c>
      <c r="BK702" s="55">
        <f t="shared" si="4794"/>
        <v>79566.898483244659</v>
      </c>
      <c r="BL702" s="55">
        <f t="shared" si="4794"/>
        <v>81154.696719571322</v>
      </c>
      <c r="BM702" s="55">
        <f t="shared" si="4794"/>
        <v>82756.116306176293</v>
      </c>
      <c r="BN702" s="55">
        <f t="shared" ref="BN702" si="4795">BN701-AVERAGE(BM661:BN661)</f>
        <v>84413.639802740043</v>
      </c>
      <c r="BO702" s="55">
        <f t="shared" ref="BO702" si="4796">BO701-AVERAGE(BN661:BO661)</f>
        <v>86123.427570771164</v>
      </c>
      <c r="BP702" s="55">
        <f t="shared" ref="BP702" si="4797">BP701-AVERAGE(BO661:BP661)</f>
        <v>87899.48870819385</v>
      </c>
      <c r="BQ702" s="55">
        <f t="shared" ref="BQ702" si="4798">BQ701-AVERAGE(BP661:BQ661)</f>
        <v>89741.815162335377</v>
      </c>
      <c r="BR702" s="55"/>
      <c r="BS702" s="55">
        <f t="shared" ref="BS702:CB702" si="4799">BS701-AVERAGE(BR661:BS661)</f>
        <v>5385.5499999999938</v>
      </c>
      <c r="BT702" s="55">
        <f t="shared" si="4799"/>
        <v>5729.0999999999967</v>
      </c>
      <c r="BU702" s="55">
        <f t="shared" si="4799"/>
        <v>6150.8500000000085</v>
      </c>
      <c r="BV702" s="55">
        <f t="shared" si="4799"/>
        <v>6118.7</v>
      </c>
      <c r="BW702" s="55">
        <f t="shared" si="4799"/>
        <v>6689.15</v>
      </c>
      <c r="BX702" s="55">
        <f t="shared" si="4799"/>
        <v>6443.5</v>
      </c>
      <c r="BY702" s="55">
        <f t="shared" si="4799"/>
        <v>6870.5</v>
      </c>
      <c r="BZ702" s="55">
        <f t="shared" si="4799"/>
        <v>6557.5</v>
      </c>
      <c r="CA702" s="55">
        <f t="shared" si="4799"/>
        <v>3891</v>
      </c>
      <c r="CB702" s="55">
        <f t="shared" si="4799"/>
        <v>10834</v>
      </c>
      <c r="CC702" s="55">
        <f t="shared" ref="CC702:CS702" si="4800">CC701-AVERAGE(CB661:CC661)</f>
        <v>12454.43424657534</v>
      </c>
      <c r="CD702" s="55">
        <f t="shared" si="4800"/>
        <v>13733.554794520551</v>
      </c>
      <c r="CE702" s="55">
        <f t="shared" si="4800"/>
        <v>14800.874316939891</v>
      </c>
      <c r="CF702" s="55">
        <f t="shared" si="4800"/>
        <v>11598.946575342463</v>
      </c>
      <c r="CG702" s="55">
        <f t="shared" si="4800"/>
        <v>12109</v>
      </c>
      <c r="CH702" s="55">
        <f t="shared" si="4800"/>
        <v>14066</v>
      </c>
      <c r="CI702" s="55">
        <f t="shared" si="4800"/>
        <v>16482.5</v>
      </c>
      <c r="CJ702" s="55">
        <f t="shared" si="4800"/>
        <v>20617.5</v>
      </c>
      <c r="CK702" s="55">
        <f t="shared" si="4800"/>
        <v>23830</v>
      </c>
      <c r="CL702" s="55">
        <f t="shared" si="4800"/>
        <v>26515</v>
      </c>
      <c r="CM702" s="55">
        <f t="shared" si="4800"/>
        <v>29644.5</v>
      </c>
      <c r="CN702" s="55">
        <f t="shared" si="4800"/>
        <v>33489.5</v>
      </c>
      <c r="CO702" s="55">
        <f t="shared" si="4800"/>
        <v>37612</v>
      </c>
      <c r="CP702" s="55">
        <f t="shared" si="4800"/>
        <v>41723.5</v>
      </c>
      <c r="CQ702" s="55">
        <f t="shared" si="4800"/>
        <v>48478.5</v>
      </c>
      <c r="CR702" s="55">
        <f t="shared" si="4800"/>
        <v>53359</v>
      </c>
      <c r="CS702" s="55">
        <f t="shared" si="4800"/>
        <v>57638.5</v>
      </c>
      <c r="CT702" s="55">
        <f t="shared" ref="CT702:DC702" si="4801">CT701-AVERAGE(CT661:CT661)</f>
        <v>61736</v>
      </c>
      <c r="CU702" s="55">
        <f t="shared" si="4801"/>
        <v>65257</v>
      </c>
      <c r="CV702" s="55">
        <f t="shared" si="4801"/>
        <v>69677</v>
      </c>
      <c r="CW702" s="55">
        <f t="shared" si="4801"/>
        <v>69901</v>
      </c>
      <c r="CX702" s="55">
        <f t="shared" si="4801"/>
        <v>66727</v>
      </c>
      <c r="CY702" s="55">
        <f t="shared" si="4801"/>
        <v>67046</v>
      </c>
      <c r="CZ702" s="56">
        <f t="shared" si="4801"/>
        <v>70134.687671232881</v>
      </c>
      <c r="DA702" s="55">
        <f t="shared" si="4801"/>
        <v>69885.466306857241</v>
      </c>
      <c r="DB702" s="55">
        <f t="shared" si="4801"/>
        <v>71161.489466544415</v>
      </c>
      <c r="DC702" s="55">
        <f t="shared" si="4801"/>
        <v>71562.073537883596</v>
      </c>
      <c r="DD702" s="55">
        <f t="shared" ref="DD702:DI702" si="4802">DD701-AVERAGE(DD661:DD661)</f>
        <v>72558.726803024285</v>
      </c>
      <c r="DE702" s="55">
        <f t="shared" si="4802"/>
        <v>75587.776079097122</v>
      </c>
      <c r="DF702" s="55">
        <f t="shared" si="4802"/>
        <v>78786.543039066339</v>
      </c>
      <c r="DG702" s="55">
        <f t="shared" si="4802"/>
        <v>81959.781976225189</v>
      </c>
      <c r="DH702" s="55">
        <f t="shared" si="4802"/>
        <v>85275.56021182971</v>
      </c>
      <c r="DI702" s="55">
        <f t="shared" si="4802"/>
        <v>88828.223139870679</v>
      </c>
    </row>
    <row r="703" spans="1:113" outlineLevel="1">
      <c r="A703" s="1" t="s">
        <v>946</v>
      </c>
      <c r="B703" s="19" t="s">
        <v>720</v>
      </c>
      <c r="C703" s="55">
        <f>AVERAGE(B613:C613)</f>
        <v>138383</v>
      </c>
      <c r="D703" s="55">
        <f>AVERAGE(C613:D613)</f>
        <v>138327</v>
      </c>
      <c r="E703" s="55">
        <f>AVERAGE(D613:E613)</f>
        <v>139660</v>
      </c>
      <c r="F703" s="55">
        <f t="shared" ref="F703:L703" si="4803">AVERAGE(E613:F613)</f>
        <v>142410</v>
      </c>
      <c r="G703" s="55">
        <f t="shared" si="4803"/>
        <v>145289.5</v>
      </c>
      <c r="H703" s="55">
        <f t="shared" si="4803"/>
        <v>152139.5</v>
      </c>
      <c r="I703" s="55">
        <f t="shared" si="4803"/>
        <v>163396</v>
      </c>
      <c r="J703" s="55">
        <f t="shared" si="4803"/>
        <v>174997.5</v>
      </c>
      <c r="K703" s="55">
        <f t="shared" si="4803"/>
        <v>185116.5</v>
      </c>
      <c r="L703" s="55">
        <f t="shared" si="4803"/>
        <v>196113</v>
      </c>
      <c r="M703" s="55">
        <f t="shared" ref="M703:AX703" si="4804">AVERAGE(L613:M613)</f>
        <v>209552.5</v>
      </c>
      <c r="N703" s="55">
        <f t="shared" si="4804"/>
        <v>225503.5</v>
      </c>
      <c r="O703" s="55">
        <f t="shared" si="4804"/>
        <v>239958</v>
      </c>
      <c r="P703" s="55">
        <f t="shared" si="4804"/>
        <v>221787.5</v>
      </c>
      <c r="Q703" s="55">
        <f t="shared" si="4804"/>
        <v>201864.5</v>
      </c>
      <c r="R703" s="55">
        <f t="shared" si="4804"/>
        <v>222395</v>
      </c>
      <c r="S703" s="55">
        <f t="shared" si="4804"/>
        <v>264062.5</v>
      </c>
      <c r="T703" s="55">
        <f t="shared" si="4804"/>
        <v>293142.5</v>
      </c>
      <c r="U703" s="55">
        <f t="shared" si="4804"/>
        <v>294135</v>
      </c>
      <c r="V703" s="55">
        <f t="shared" si="4804"/>
        <v>288192</v>
      </c>
      <c r="W703" s="55">
        <f t="shared" si="4804"/>
        <v>283637</v>
      </c>
      <c r="X703" s="55">
        <f t="shared" si="4804"/>
        <v>289708</v>
      </c>
      <c r="Y703" s="55">
        <f t="shared" si="4804"/>
        <v>300246</v>
      </c>
      <c r="Z703" s="55">
        <f t="shared" si="4804"/>
        <v>302199</v>
      </c>
      <c r="AA703" s="55">
        <f t="shared" si="4804"/>
        <v>315384.5</v>
      </c>
      <c r="AB703" s="55">
        <f t="shared" si="4804"/>
        <v>331677.5</v>
      </c>
      <c r="AC703" s="55">
        <f t="shared" si="4804"/>
        <v>335956</v>
      </c>
      <c r="AD703" s="55">
        <f t="shared" si="4804"/>
        <v>345381.5</v>
      </c>
      <c r="AE703" s="55">
        <f t="shared" si="4804"/>
        <v>360884.5</v>
      </c>
      <c r="AF703" s="55">
        <f t="shared" si="4804"/>
        <v>380691.5</v>
      </c>
      <c r="AG703" s="55">
        <f t="shared" si="4804"/>
        <v>393664.5</v>
      </c>
      <c r="AH703" s="55">
        <f t="shared" si="4804"/>
        <v>415574</v>
      </c>
      <c r="AI703" s="55">
        <f t="shared" si="4804"/>
        <v>436772</v>
      </c>
      <c r="AJ703" s="55">
        <f t="shared" si="4804"/>
        <v>438949.5</v>
      </c>
      <c r="AK703" s="55">
        <f t="shared" si="4804"/>
        <v>449724</v>
      </c>
      <c r="AL703" s="55">
        <f t="shared" si="4804"/>
        <v>451878</v>
      </c>
      <c r="AM703" s="55">
        <f t="shared" si="4804"/>
        <v>448953</v>
      </c>
      <c r="AN703" s="55">
        <f t="shared" si="4804"/>
        <v>450958</v>
      </c>
      <c r="AO703" s="55">
        <f t="shared" si="4804"/>
        <v>452051</v>
      </c>
      <c r="AP703" s="55">
        <f t="shared" si="4804"/>
        <v>454282</v>
      </c>
      <c r="AQ703" s="55">
        <f t="shared" si="4804"/>
        <v>452148</v>
      </c>
      <c r="AR703" s="55">
        <f t="shared" si="4804"/>
        <v>461303.5</v>
      </c>
      <c r="AS703" s="55">
        <f t="shared" si="4804"/>
        <v>484909.5</v>
      </c>
      <c r="AT703" s="55">
        <f t="shared" si="4804"/>
        <v>501136</v>
      </c>
      <c r="AU703" s="55">
        <f t="shared" si="4804"/>
        <v>486186</v>
      </c>
      <c r="AV703" s="55">
        <f t="shared" si="4804"/>
        <v>465818</v>
      </c>
      <c r="AW703" s="55">
        <f t="shared" si="4804"/>
        <v>465597.5</v>
      </c>
      <c r="AX703" s="55">
        <f t="shared" si="4804"/>
        <v>474960</v>
      </c>
      <c r="AY703" s="55">
        <f t="shared" ref="AY703:BE703" si="4805">AVERAGE(AX613:AY613)</f>
        <v>489257</v>
      </c>
      <c r="AZ703" s="56">
        <f t="shared" si="4805"/>
        <v>500727.5</v>
      </c>
      <c r="BA703" s="55">
        <f t="shared" si="4805"/>
        <v>511772.06075547315</v>
      </c>
      <c r="BB703" s="55">
        <f t="shared" si="4805"/>
        <v>520626.58515997109</v>
      </c>
      <c r="BC703" s="55">
        <f t="shared" si="4805"/>
        <v>525292.12300402264</v>
      </c>
      <c r="BD703" s="55">
        <f t="shared" si="4805"/>
        <v>530652.84934777184</v>
      </c>
      <c r="BE703" s="55">
        <f t="shared" si="4805"/>
        <v>536743.36248716852</v>
      </c>
      <c r="BF703" s="55">
        <f t="shared" ref="BF703:BM703" si="4806">AVERAGE(BE613:BF613)</f>
        <v>543770.1511765013</v>
      </c>
      <c r="BG703" s="55">
        <f t="shared" si="4806"/>
        <v>551562.94965613913</v>
      </c>
      <c r="BH703" s="55">
        <f t="shared" si="4806"/>
        <v>559385.84478336619</v>
      </c>
      <c r="BI703" s="55">
        <f t="shared" si="4806"/>
        <v>567157.98702461773</v>
      </c>
      <c r="BJ703" s="55">
        <f t="shared" si="4806"/>
        <v>575552.65318720834</v>
      </c>
      <c r="BK703" s="55">
        <f t="shared" si="4806"/>
        <v>585403.16786856856</v>
      </c>
      <c r="BL703" s="55">
        <f t="shared" si="4806"/>
        <v>595848.21123115905</v>
      </c>
      <c r="BM703" s="55">
        <f t="shared" si="4806"/>
        <v>606489.35447368538</v>
      </c>
      <c r="BN703" s="55">
        <f t="shared" ref="BN703" si="4807">AVERAGE(BM613:BN613)</f>
        <v>617330.39218951925</v>
      </c>
      <c r="BO703" s="55">
        <f t="shared" ref="BO703" si="4808">AVERAGE(BN613:BO613)</f>
        <v>628375.19365380274</v>
      </c>
      <c r="BP703" s="55">
        <f t="shared" ref="BP703" si="4809">AVERAGE(BO613:BP613)</f>
        <v>639627.70430695149</v>
      </c>
      <c r="BQ703" s="55">
        <f t="shared" ref="BQ703" si="4810">AVERAGE(BP613:BQ613)</f>
        <v>651091.94726777403</v>
      </c>
      <c r="BR703" s="55"/>
      <c r="BS703" s="55">
        <f t="shared" ref="BS703:BZ703" si="4811">AVERAGE(BR613:BS613)</f>
        <v>72836.899999999994</v>
      </c>
      <c r="BT703" s="55">
        <f t="shared" si="4811"/>
        <v>70292.350000000006</v>
      </c>
      <c r="BU703" s="55">
        <f t="shared" si="4811"/>
        <v>67342.899999999994</v>
      </c>
      <c r="BV703" s="55">
        <f t="shared" si="4811"/>
        <v>68660.5</v>
      </c>
      <c r="BW703" s="55">
        <f t="shared" si="4811"/>
        <v>73814.5</v>
      </c>
      <c r="BX703" s="55">
        <f t="shared" si="4811"/>
        <v>81857</v>
      </c>
      <c r="BY703" s="55">
        <f t="shared" si="4811"/>
        <v>90449.5</v>
      </c>
      <c r="BZ703" s="55">
        <f t="shared" si="4811"/>
        <v>96993.5</v>
      </c>
      <c r="CA703" s="55">
        <f>AVERAGE(BZ613:CA613)</f>
        <v>114020</v>
      </c>
      <c r="CB703" s="55">
        <f>AVERAGE(CA613:CB613)</f>
        <v>133433.5</v>
      </c>
      <c r="CC703" s="55">
        <f>SUMPRODUCT(D703:E703,D$5:E$5)/SUM(D$5:E$5)</f>
        <v>138998.97808219181</v>
      </c>
      <c r="CD703" s="55">
        <f>SUMPRODUCT(F703:G703,F$5:G$5)/SUM(F$5:G$5)</f>
        <v>143861.58356164384</v>
      </c>
      <c r="CE703" s="55">
        <f>SUMPRODUCT(H703:I703,H$5:I$5)/SUM(H$5:I$5)</f>
        <v>157798.5054644809</v>
      </c>
      <c r="CF703" s="55">
        <f>SUMPRODUCT(J703:K703,J$5:K$5)/SUM(J$5:K$5)</f>
        <v>180098.58493150686</v>
      </c>
      <c r="CG703" s="55">
        <f>SUMPRODUCT(L703:M703,L$5:M$5)/SUM(L$5:M$5)</f>
        <v>202887.98082191782</v>
      </c>
      <c r="CH703" s="55">
        <f>SUMPRODUCT(N703:O703,N$5:O$5)/SUM(N$5:O$5)</f>
        <v>232790.15205479451</v>
      </c>
      <c r="CI703" s="55">
        <f>SUMPRODUCT(P703:Q703,P$5:Q$5)/SUM(P$5:Q$5)</f>
        <v>211771.56557377049</v>
      </c>
      <c r="CJ703" s="55">
        <f>SUMPRODUCT(R703:S703,R$5:S$5)/SUM(R$5:S$5)</f>
        <v>243399.98630136988</v>
      </c>
      <c r="CK703" s="55">
        <f>SUMPRODUCT(T703:U703,T$5:U$5)/SUM(T$5:U$5)</f>
        <v>293642.82876712334</v>
      </c>
      <c r="CL703" s="55">
        <f>SUMPRODUCT(V703:W703,V$5:W$5)/SUM(V$5:W$5)</f>
        <v>285895.78082191781</v>
      </c>
      <c r="CM703" s="55">
        <f>SUMPRODUCT(X703:Y703,X$5:Y$5)/SUM(X$5:Y$5)</f>
        <v>295005.79234972678</v>
      </c>
      <c r="CN703" s="55">
        <f>SUMPRODUCT(Z703:AA703,Z$5:AA$5)/SUM(Z$5:AA$5)</f>
        <v>308845.93698630133</v>
      </c>
      <c r="CO703" s="55">
        <f>SUMPRODUCT(AB703:AC703,AB$5:AC$5)/SUM(AB$5:AC$5)</f>
        <v>333834.33287671232</v>
      </c>
      <c r="CP703" s="55">
        <f>SUMPRODUCT(AD703:AE703,AD$5:AE$5)/SUM(AD$5:AE$5)</f>
        <v>353196.71095890412</v>
      </c>
      <c r="CQ703" s="55">
        <f>SUMPRODUCT(AF703:AG703,AF$5:AG$5)/SUM(AF$5:AG$5)</f>
        <v>387213.4453551913</v>
      </c>
      <c r="CR703" s="55">
        <f>SUMPRODUCT(AH703:AI703,AH$5:AI$5)/SUM(AH$5:AI$5)</f>
        <v>426260.11506849318</v>
      </c>
      <c r="CS703" s="55">
        <f>SUMPRODUCT(AI703:AJ703,AI$5:AJ$5)/SUM(AI$5:AJ$5)</f>
        <v>437851.80136986304</v>
      </c>
      <c r="CT703" s="55">
        <f>SUMPRODUCT(AL703:AM703,AL$5:AM$5)/SUM(AL$5:AM$5)</f>
        <v>450403.47945205483</v>
      </c>
      <c r="CU703" s="55">
        <f>SUMPRODUCT(AN703:AO703,AN$5:AO$5)/SUM(AN$5:AO$5)</f>
        <v>451507.4863387979</v>
      </c>
      <c r="CV703" s="55">
        <f>SUMPRODUCT(AP703:AQ703,AP$5:AQ$5)/SUM(AP$5:AQ$5)</f>
        <v>453206.2301369863</v>
      </c>
      <c r="CW703" s="55">
        <f>SUMPRODUCT(AR703:AS703,AR$5:AS$5)/SUM(AR$5:AS$5)</f>
        <v>473203.51095890411</v>
      </c>
      <c r="CX703" s="55">
        <f>SUMPRODUCT(AT703:AU703,AT$5:AU$5)/SUM(AT$5:AU$5)</f>
        <v>493599.56164383556</v>
      </c>
      <c r="CY703" s="55">
        <f>SUMPRODUCT(AV703:AW703,AV$5:AW$5)/SUM(AV$5:AW$5)</f>
        <v>465707.14754098363</v>
      </c>
      <c r="CZ703" s="56">
        <f>SUMPRODUCT(AX703:AY703,AX$5:AY$5)/SUM(AX$5:AY$5)</f>
        <v>482167.2547945205</v>
      </c>
      <c r="DA703" s="55">
        <f>SUMPRODUCT(AZ703:BA703,AZ$5:BA$5)/SUM(AZ$5:BA$5)</f>
        <v>506295.16898358101</v>
      </c>
      <c r="DB703" s="55">
        <f>SUMPRODUCT(BB703:BC703,BB$5:BC$5)/SUM(BB$5:BC$5)</f>
        <v>522978.5275251916</v>
      </c>
      <c r="DC703" s="55">
        <f>SUMPRODUCT(BD703:BE703,BD$5:BE$5)/SUM(BD$5:BE$5)</f>
        <v>533714.74666375271</v>
      </c>
      <c r="DD703" s="55">
        <f>SUMPRODUCT(BF703:BG703,BF$5:BG$5)/SUM(BF$5:BG$5)</f>
        <v>547698.57561555167</v>
      </c>
      <c r="DE703" s="55">
        <f>SUMPRODUCT(BH703:BI703,BH$5:BI$5)/SUM(BH$5:BI$5)</f>
        <v>563303.85621457244</v>
      </c>
      <c r="DF703" s="55">
        <f>SUMPRODUCT(BJ703:BK703,BJ$5:BK$5)/SUM(BJ$5:BK$5)</f>
        <v>580518.39209507208</v>
      </c>
      <c r="DG703" s="55">
        <f>SUMPRODUCT(BL703:BM703,BL$5:BM$5)/SUM(BL$5:BM$5)</f>
        <v>601197.85701428703</v>
      </c>
      <c r="DH703" s="55">
        <f>SUMPRODUCT(BN703:BO703,BN$5:BO$5)/SUM(BN$5:BO$5)</f>
        <v>622898.1825167198</v>
      </c>
      <c r="DI703" s="55">
        <f>SUMPRODUCT(BP703:BQ703,BP$5:BQ$5)/SUM(BP$5:BQ$5)</f>
        <v>645406.93911459902</v>
      </c>
    </row>
    <row r="704" spans="1:113" outlineLevel="1">
      <c r="A704" s="1" t="s">
        <v>2230</v>
      </c>
      <c r="B704" s="19" t="s">
        <v>2231</v>
      </c>
      <c r="C704" s="164">
        <f>AVERAGE(5409,6350)</f>
        <v>5879.5</v>
      </c>
      <c r="D704" s="164">
        <f>AVERAGE(6072,5409)</f>
        <v>5740.5</v>
      </c>
      <c r="E704" s="164">
        <f>AVERAGE(5267,6072)</f>
        <v>5669.5</v>
      </c>
      <c r="F704" s="164">
        <f>AVERAGE(5001,5267)</f>
        <v>5134</v>
      </c>
      <c r="G704" s="164">
        <f>AVERAGE(5659,5001)</f>
        <v>5330</v>
      </c>
      <c r="H704" s="164">
        <f>AVERAGE(5407,5659)</f>
        <v>5533</v>
      </c>
      <c r="I704" s="164">
        <f>AVERAGE(6978,5407)</f>
        <v>6192.5</v>
      </c>
      <c r="J704" s="164">
        <f>AVERAGE(7013,6978)</f>
        <v>6995.5</v>
      </c>
      <c r="K704" s="164">
        <f>AVERAGE(7371,6978)</f>
        <v>7174.5</v>
      </c>
      <c r="L704" s="164">
        <v>8392.5</v>
      </c>
      <c r="M704" s="164">
        <v>7285.5</v>
      </c>
      <c r="N704" s="164">
        <v>7818.5</v>
      </c>
      <c r="O704" s="164">
        <v>9269.5</v>
      </c>
      <c r="P704" s="164">
        <v>8928.5</v>
      </c>
      <c r="Q704" s="164">
        <v>8292.5</v>
      </c>
      <c r="R704" s="164">
        <v>5560.5</v>
      </c>
      <c r="S704" s="164">
        <v>8971.5</v>
      </c>
      <c r="T704" s="164">
        <v>7672</v>
      </c>
      <c r="U704" s="164">
        <v>7410</v>
      </c>
      <c r="V704" s="164">
        <v>8262.0883977901249</v>
      </c>
      <c r="W704" s="164">
        <v>9277</v>
      </c>
      <c r="X704" s="164">
        <v>9383.5</v>
      </c>
      <c r="Y704" s="164">
        <v>9380.5</v>
      </c>
      <c r="Z704" s="164">
        <v>9860</v>
      </c>
      <c r="AA704" s="164">
        <f>AVERAGE(8891+1977+84,8415+1921+102)</f>
        <v>10695</v>
      </c>
      <c r="AB704" s="164">
        <f>AVERAGE(8891+1977+84,9197+2465+231)</f>
        <v>11422.5</v>
      </c>
      <c r="AC704" s="164">
        <f>AVERAGE(9971+2427+77,9197+2465+231)</f>
        <v>12184</v>
      </c>
      <c r="AD704" s="164">
        <f>AVERAGE(9971+2427+77,12078+2768+46)</f>
        <v>13683.5</v>
      </c>
      <c r="AE704" s="164">
        <f>AVERAGE(12568+2592+76,12078+2768+46)</f>
        <v>15064</v>
      </c>
      <c r="AF704" s="164">
        <f>AVERAGE(12568+2592+76,13699+3170+67)</f>
        <v>16086</v>
      </c>
      <c r="AG704" s="164">
        <f>AVERAGE(35164+3345+65,13699+3170+67)</f>
        <v>27755</v>
      </c>
      <c r="AH704" s="164">
        <f>AVERAGE(35164+3345+65,37833+3784+64)</f>
        <v>40127.5</v>
      </c>
      <c r="AI704" s="164">
        <f>AVERAGE(37833+3784+64,41787+3847+49)</f>
        <v>43682</v>
      </c>
      <c r="AJ704" s="164">
        <f>AVERAGE(43929+4244+59,41787+3847+49)</f>
        <v>46957.5</v>
      </c>
      <c r="AK704" s="164">
        <f>AVERAGE(46082+4418+59,43929+4244+57)</f>
        <v>49394.5</v>
      </c>
      <c r="AL704" s="164">
        <f>AVERAGE(46082+4418+57,48081+5114+35)</f>
        <v>51893.5</v>
      </c>
      <c r="AM704" s="164">
        <f>AVERAGE(49274+5286+63,48081+5114+35)</f>
        <v>53926.5</v>
      </c>
      <c r="AN704" s="164">
        <f>AVERAGE(56261+6326+40,49274+5286+63)</f>
        <v>58625</v>
      </c>
      <c r="AO704" s="164">
        <f>AVERAGE(69142+7588+189,56261+6326+40)</f>
        <v>69773</v>
      </c>
      <c r="AP704" s="164">
        <f>AVERAGE(84025+9815+51,69143+7588+189)</f>
        <v>85405.5</v>
      </c>
      <c r="AQ704" s="164">
        <f>AVERAGE(103510+10848+58,84025+9815+51)</f>
        <v>104153.5</v>
      </c>
      <c r="AR704" s="164">
        <f>AVERAGE(122694+13084+43,103510+10848+58)</f>
        <v>125118.5</v>
      </c>
      <c r="AS704" s="164">
        <f>AVERAGE(131828+11898+30,122694+13084+43)</f>
        <v>139788.5</v>
      </c>
      <c r="AT704" s="164">
        <f>AVERAGE(131828+11898+30,120719+11278+25)</f>
        <v>137889</v>
      </c>
      <c r="AU704" s="164">
        <f>AVERAGE(110045+9635+21,120719+11278+25)</f>
        <v>125861.5</v>
      </c>
      <c r="AV704" s="164">
        <f>AVERAGE(110045+9635+21,102403+9659+26)</f>
        <v>115894.5</v>
      </c>
      <c r="AW704" s="164">
        <f>AVERAGE(101891+8811+33,102403+9659+26)</f>
        <v>111411.5</v>
      </c>
      <c r="AX704" s="164">
        <f>AVERAGE(100962+1034+9368+140+22,100729+1168+8710+101+32)</f>
        <v>111133</v>
      </c>
      <c r="AY704" s="164">
        <f>AVERAGE(104810+1026+9729+179+4,100962+1034+9368+140+22)</f>
        <v>113637</v>
      </c>
      <c r="AZ704" s="171">
        <f>AVERAGE(104810+1026+9729+179+4,109282+1351+10367+115+3)</f>
        <v>118433</v>
      </c>
      <c r="BA704" s="55">
        <f t="shared" ref="BA704:BE704" si="4812">AZ704*(BA699/AZ699)</f>
        <v>127880.61120372628</v>
      </c>
      <c r="BB704" s="55">
        <f t="shared" si="4812"/>
        <v>129711.25485812343</v>
      </c>
      <c r="BC704" s="55">
        <f t="shared" si="4812"/>
        <v>133474.4372963747</v>
      </c>
      <c r="BD704" s="55">
        <f t="shared" si="4812"/>
        <v>136557.37515359488</v>
      </c>
      <c r="BE704" s="55">
        <f t="shared" si="4812"/>
        <v>139944.56695967971</v>
      </c>
      <c r="BF704" s="55">
        <f t="shared" ref="BF704:BM704" si="4813">BE704*(BF699/BE699)</f>
        <v>142985.18530975952</v>
      </c>
      <c r="BG704" s="55">
        <f t="shared" si="4813"/>
        <v>146787.85777663309</v>
      </c>
      <c r="BH704" s="55">
        <f t="shared" si="4813"/>
        <v>149634.08950374654</v>
      </c>
      <c r="BI704" s="55">
        <f t="shared" si="4813"/>
        <v>152542.8160449726</v>
      </c>
      <c r="BJ704" s="55">
        <f t="shared" si="4813"/>
        <v>155096.05450879989</v>
      </c>
      <c r="BK704" s="55">
        <f t="shared" si="4813"/>
        <v>158557.77834289448</v>
      </c>
      <c r="BL704" s="55">
        <f t="shared" si="4813"/>
        <v>161433.95843241992</v>
      </c>
      <c r="BM704" s="55">
        <f t="shared" si="4813"/>
        <v>164922.0948050388</v>
      </c>
      <c r="BN704" s="55">
        <f t="shared" ref="BN704" si="4814">BM704*(BN699/BM699)</f>
        <v>167885.48198963181</v>
      </c>
      <c r="BO704" s="55">
        <f t="shared" ref="BO704" si="4815">BN704*(BO699/BN699)</f>
        <v>171506.59437181024</v>
      </c>
      <c r="BP704" s="55">
        <f t="shared" ref="BP704" si="4816">BO704*(BP699/BO699)</f>
        <v>174595.63224287381</v>
      </c>
      <c r="BQ704" s="55">
        <f t="shared" ref="BQ704" si="4817">BP704*(BQ699/BP699)</f>
        <v>178356.00857850912</v>
      </c>
      <c r="BR704" s="55"/>
      <c r="BS704" s="55"/>
      <c r="BT704" s="55"/>
      <c r="BU704" s="55"/>
      <c r="BV704" s="55"/>
      <c r="BW704" s="55"/>
      <c r="BX704" s="55"/>
      <c r="BY704" s="55"/>
      <c r="BZ704" s="55"/>
      <c r="CA704" s="55"/>
      <c r="CB704" s="55"/>
      <c r="CC704" s="55">
        <f>SUMPRODUCT(D704:E704,D$5:E$5)/SUM(D$5:E$5)</f>
        <v>5704.7082191780819</v>
      </c>
      <c r="CD704" s="55">
        <f>SUMPRODUCT(F704:G704,F$5:G$5)/SUM(F$5:G$5)</f>
        <v>5232.8054794520549</v>
      </c>
      <c r="CE704" s="55">
        <f>SUMPRODUCT(H704:I704,H$5:I$5)/SUM(H$5:I$5)</f>
        <v>5864.5519125683068</v>
      </c>
      <c r="CF704" s="55">
        <f>SUMPRODUCT(J704:K704,J$5:K$5)/SUM(J$5:K$5)</f>
        <v>7085.7356164383564</v>
      </c>
      <c r="CG704" s="55">
        <f>SUMPRODUCT(L704:M704,L$5:M$5)/SUM(L$5:M$5)</f>
        <v>7834.4506849315067</v>
      </c>
      <c r="CH704" s="55">
        <f>SUMPRODUCT(N704:O704,N$5:O$5)/SUM(N$5:O$5)</f>
        <v>8549.9630136986307</v>
      </c>
      <c r="CI704" s="55">
        <f>SUMPRODUCT(P704:Q704,P$5:Q$5)/SUM(P$5:Q$5)</f>
        <v>8608.7622950819677</v>
      </c>
      <c r="CJ704" s="55">
        <f>SUMPRODUCT(R704:S704,R$5:S$5)/SUM(R$5:S$5)</f>
        <v>7280.0178082191778</v>
      </c>
      <c r="CK704" s="55">
        <f>SUMPRODUCT(T704:U704,T$5:U$5)/SUM(T$5:U$5)</f>
        <v>7539.9232876712322</v>
      </c>
      <c r="CL704" s="55">
        <f>SUMPRODUCT(V704:W704,V$5:W$5)/SUM(V$5:W$5)</f>
        <v>8773.7150684931858</v>
      </c>
      <c r="CM704" s="55">
        <f>SUMPRODUCT(X704:Y704,X$5:Y$5)/SUM(X$5:Y$5)</f>
        <v>9381.9918032786882</v>
      </c>
      <c r="CN704" s="55">
        <f>SUMPRODUCT(Z704:AA704,Z$5:AA$5)/SUM(Z$5:AA$5)</f>
        <v>10280.931506849316</v>
      </c>
      <c r="CO704" s="55">
        <f>SUMPRODUCT(AB704:AC704,AB$5:AC$5)/SUM(AB$5:AC$5)</f>
        <v>11806.379452054794</v>
      </c>
      <c r="CP704" s="55">
        <f>SUMPRODUCT(AD704:AE704,AD$5:AE$5)/SUM(AD$5:AE$5)</f>
        <v>14379.423287671234</v>
      </c>
      <c r="CQ704" s="55">
        <f>SUMPRODUCT(AF704:AG704,AF$5:AG$5)/SUM(AF$5:AG$5)</f>
        <v>21952.382513661203</v>
      </c>
      <c r="CR704" s="55">
        <f>SUMPRODUCT(AH704:AI704,AH$5:AI$5)/SUM(AH$5:AI$5)</f>
        <v>41919.357534246577</v>
      </c>
      <c r="CS704" s="55">
        <f>SUMPRODUCT(AI704:AJ704,AI$5:AJ$5)/SUM(AI$5:AJ$5)</f>
        <v>45306.289041095893</v>
      </c>
      <c r="CT704" s="55">
        <f>SUMPRODUCT(AL704:AM704,AL$5:AM$5)/SUM(AL$5:AM$5)</f>
        <v>52918.35479452055</v>
      </c>
      <c r="CU704" s="55">
        <f>SUMPRODUCT(AN704:AO704,AN$5:AO$5)/SUM(AN$5:AO$5)</f>
        <v>64229.459016393448</v>
      </c>
      <c r="CV704" s="55">
        <f>SUMPRODUCT(AP704:AQ704,AP$5:AQ$5)/SUM(AP$5:AQ$5)</f>
        <v>94856.546575342465</v>
      </c>
      <c r="CW704" s="55">
        <f>SUMPRODUCT(AR704:AS704,AR$5:AS$5)/SUM(AR$5:AS$5)</f>
        <v>132513.78767123286</v>
      </c>
      <c r="CX704" s="55">
        <f>SUMPRODUCT(AT704:AU704,AT$5:AU$5)/SUM(AT$5:AU$5)</f>
        <v>131825.82191780824</v>
      </c>
      <c r="CY704" s="55">
        <f>SUMPRODUCT(AV704:AW704,AV$5:AW$5)/SUM(AV$5:AW$5)</f>
        <v>113640.75136612021</v>
      </c>
      <c r="CZ704" s="56">
        <f>SUMPRODUCT(AX704:AY704,AX$5:AY$5)/SUM(AX$5:AY$5)</f>
        <v>112395.29041095891</v>
      </c>
      <c r="DA704" s="55">
        <f>SUMPRODUCT(AZ704:BA704,AZ$5:BA$5)/SUM(AZ$5:BA$5)</f>
        <v>123195.63140133051</v>
      </c>
      <c r="DB704" s="55">
        <f>SUMPRODUCT(BB704:BC704,BB$5:BC$5)/SUM(BB$5:BC$5)</f>
        <v>131608.31121055692</v>
      </c>
      <c r="DC704" s="55">
        <f>SUMPRODUCT(BD704:BE704,BD$5:BE$5)/SUM(BD$5:BE$5)</f>
        <v>138260.22567905829</v>
      </c>
      <c r="DD704" s="55">
        <f>SUMPRODUCT(BF704:BG704,BF$5:BG$5)/SUM(BF$5:BG$5)</f>
        <v>144902.14896429304</v>
      </c>
      <c r="DE704" s="55">
        <f>SUMPRODUCT(BH704:BI704,BH$5:BI$5)/SUM(BH$5:BI$5)</f>
        <v>151100.40644507692</v>
      </c>
      <c r="DF704" s="55">
        <f>SUMPRODUCT(BJ704:BK704,BJ$5:BK$5)/SUM(BJ$5:BK$5)</f>
        <v>156841.1426881791</v>
      </c>
      <c r="DG704" s="55">
        <f>SUMPRODUCT(BL704:BM704,BL$5:BM$5)/SUM(BL$5:BM$5)</f>
        <v>163187.55704597695</v>
      </c>
      <c r="DH704" s="55">
        <f>SUMPRODUCT(BN704:BO704,BN$5:BO$5)/SUM(BN$5:BO$5)</f>
        <v>169710.91946448339</v>
      </c>
      <c r="DI704" s="55">
        <f>SUMPRODUCT(BP704:BQ704,BP$5:BQ$5)/SUM(BP$5:BQ$5)</f>
        <v>176491.27401207076</v>
      </c>
    </row>
    <row r="705" spans="1:113" outlineLevel="1">
      <c r="A705" s="1" t="s">
        <v>2232</v>
      </c>
      <c r="B705" s="19" t="s">
        <v>2233</v>
      </c>
      <c r="C705" s="55"/>
      <c r="D705" s="55"/>
      <c r="E705" s="55"/>
      <c r="F705" s="55"/>
      <c r="G705" s="55"/>
      <c r="H705" s="55"/>
      <c r="I705" s="55"/>
      <c r="J705" s="55"/>
      <c r="K705" s="55"/>
      <c r="L705" s="55"/>
      <c r="M705" s="55"/>
      <c r="N705" s="55"/>
      <c r="O705" s="55"/>
      <c r="P705" s="55"/>
      <c r="Q705" s="55"/>
      <c r="R705" s="55"/>
      <c r="S705" s="55"/>
      <c r="T705" s="55"/>
      <c r="U705" s="55"/>
      <c r="V705" s="55"/>
      <c r="W705" s="55"/>
      <c r="X705" s="55"/>
      <c r="Y705" s="55"/>
      <c r="Z705" s="55"/>
      <c r="AA705" s="55">
        <f t="shared" ref="AA705:AX705" si="4818">Z705*(AA397/Z397)</f>
        <v>0</v>
      </c>
      <c r="AB705" s="55">
        <f t="shared" si="4818"/>
        <v>0</v>
      </c>
      <c r="AC705" s="55">
        <f t="shared" si="4818"/>
        <v>0</v>
      </c>
      <c r="AD705" s="55">
        <f t="shared" si="4818"/>
        <v>0</v>
      </c>
      <c r="AE705" s="55">
        <f t="shared" si="4818"/>
        <v>0</v>
      </c>
      <c r="AF705" s="55">
        <f t="shared" si="4818"/>
        <v>0</v>
      </c>
      <c r="AG705" s="55">
        <f t="shared" si="4818"/>
        <v>0</v>
      </c>
      <c r="AH705" s="55">
        <f t="shared" si="4818"/>
        <v>0</v>
      </c>
      <c r="AI705" s="55">
        <f t="shared" si="4818"/>
        <v>0</v>
      </c>
      <c r="AJ705" s="55">
        <f t="shared" si="4818"/>
        <v>0</v>
      </c>
      <c r="AK705" s="55">
        <f t="shared" si="4818"/>
        <v>0</v>
      </c>
      <c r="AL705" s="55">
        <f t="shared" si="4818"/>
        <v>0</v>
      </c>
      <c r="AM705" s="55">
        <f t="shared" si="4818"/>
        <v>0</v>
      </c>
      <c r="AN705" s="55">
        <f t="shared" si="4818"/>
        <v>0</v>
      </c>
      <c r="AO705" s="55">
        <f t="shared" si="4818"/>
        <v>0</v>
      </c>
      <c r="AP705" s="55">
        <f t="shared" si="4818"/>
        <v>0</v>
      </c>
      <c r="AQ705" s="55">
        <f t="shared" si="4818"/>
        <v>0</v>
      </c>
      <c r="AR705" s="55">
        <f t="shared" si="4818"/>
        <v>0</v>
      </c>
      <c r="AS705" s="55">
        <f t="shared" si="4818"/>
        <v>0</v>
      </c>
      <c r="AT705" s="55">
        <f t="shared" si="4818"/>
        <v>0</v>
      </c>
      <c r="AU705" s="55">
        <f t="shared" si="4818"/>
        <v>0</v>
      </c>
      <c r="AV705" s="55">
        <f t="shared" si="4818"/>
        <v>0</v>
      </c>
      <c r="AW705" s="55">
        <f t="shared" si="4818"/>
        <v>0</v>
      </c>
      <c r="AX705" s="55">
        <f t="shared" si="4818"/>
        <v>0</v>
      </c>
      <c r="AY705" s="55">
        <f t="shared" ref="AY705:BE705" si="4819">AX705*(AY397/AX397)</f>
        <v>0</v>
      </c>
      <c r="AZ705" s="56">
        <f t="shared" si="4819"/>
        <v>0</v>
      </c>
      <c r="BA705" s="55">
        <f t="shared" si="4819"/>
        <v>0</v>
      </c>
      <c r="BB705" s="55">
        <f t="shared" si="4819"/>
        <v>0</v>
      </c>
      <c r="BC705" s="55">
        <f t="shared" si="4819"/>
        <v>0</v>
      </c>
      <c r="BD705" s="55">
        <f t="shared" si="4819"/>
        <v>0</v>
      </c>
      <c r="BE705" s="55">
        <f t="shared" si="4819"/>
        <v>0</v>
      </c>
      <c r="BF705" s="55">
        <f t="shared" ref="BF705:BM705" si="4820">BE705*(BF397/BE397)</f>
        <v>0</v>
      </c>
      <c r="BG705" s="55">
        <f t="shared" si="4820"/>
        <v>0</v>
      </c>
      <c r="BH705" s="55">
        <f t="shared" si="4820"/>
        <v>0</v>
      </c>
      <c r="BI705" s="55">
        <f t="shared" si="4820"/>
        <v>0</v>
      </c>
      <c r="BJ705" s="55">
        <f t="shared" si="4820"/>
        <v>0</v>
      </c>
      <c r="BK705" s="55">
        <f t="shared" si="4820"/>
        <v>0</v>
      </c>
      <c r="BL705" s="55">
        <f t="shared" si="4820"/>
        <v>0</v>
      </c>
      <c r="BM705" s="55">
        <f t="shared" si="4820"/>
        <v>0</v>
      </c>
      <c r="BN705" s="55">
        <f t="shared" ref="BN705" si="4821">BM705*(BN397/BM397)</f>
        <v>0</v>
      </c>
      <c r="BO705" s="55">
        <f t="shared" ref="BO705" si="4822">BN705*(BO397/BN397)</f>
        <v>0</v>
      </c>
      <c r="BP705" s="55">
        <f t="shared" ref="BP705" si="4823">BO705*(BP397/BO397)</f>
        <v>0</v>
      </c>
      <c r="BQ705" s="55">
        <f t="shared" ref="BQ705" si="4824">BP705*(BQ397/BP397)</f>
        <v>0</v>
      </c>
      <c r="BR705" s="55"/>
      <c r="BS705" s="55"/>
      <c r="BT705" s="55"/>
      <c r="BU705" s="55"/>
      <c r="BV705" s="55"/>
      <c r="BW705" s="55"/>
      <c r="BX705" s="55"/>
      <c r="BY705" s="55"/>
      <c r="BZ705" s="55"/>
      <c r="CA705" s="55"/>
      <c r="CB705" s="55"/>
      <c r="CC705" s="55"/>
      <c r="CD705" s="55"/>
      <c r="CE705" s="55"/>
      <c r="CF705" s="55"/>
      <c r="CG705" s="55">
        <f t="shared" ref="CG705:CG713" si="4825">SUM(L705:M705)</f>
        <v>0</v>
      </c>
      <c r="CH705" s="55">
        <f t="shared" ref="CH705:CH713" si="4826">SUM(N705:O705)</f>
        <v>0</v>
      </c>
      <c r="CI705" s="55">
        <f t="shared" ref="CI705:CI713" si="4827">SUM(P705:Q705)</f>
        <v>0</v>
      </c>
      <c r="CJ705" s="55">
        <f t="shared" ref="CJ705:CJ713" si="4828">SUM(R705:S705)</f>
        <v>0</v>
      </c>
      <c r="CK705" s="55">
        <f t="shared" ref="CK705:CK713" si="4829">SUM(T705:U705)</f>
        <v>0</v>
      </c>
      <c r="CL705" s="55">
        <f t="shared" ref="CL705:CL713" si="4830">SUM(V705:W705)</f>
        <v>0</v>
      </c>
      <c r="CM705" s="55">
        <f t="shared" ref="CM705:CM713" si="4831">SUM(X705:Y705)</f>
        <v>0</v>
      </c>
      <c r="CN705" s="55">
        <f t="shared" ref="CN705:CN713" si="4832">SUM(Z705:AA705)</f>
        <v>0</v>
      </c>
      <c r="CO705" s="55">
        <f t="shared" ref="CO705:CO713" si="4833">SUM(AB705:AC705)</f>
        <v>0</v>
      </c>
      <c r="CP705" s="55">
        <f t="shared" ref="CP705:CP713" si="4834">SUM(AD705:AE705)</f>
        <v>0</v>
      </c>
      <c r="CQ705" s="55">
        <f t="shared" ref="CQ705:CQ713" si="4835">SUM(AF705:AG705)</f>
        <v>0</v>
      </c>
      <c r="CR705" s="55">
        <f t="shared" ref="CR705:CR713" si="4836">SUM(AG705:AH705)</f>
        <v>0</v>
      </c>
      <c r="CS705" s="55">
        <f t="shared" ref="CS705:CS713" si="4837">SUM(AH705:AI705)</f>
        <v>0</v>
      </c>
      <c r="CT705" s="55">
        <f t="shared" ref="CT705:CT713" si="4838">SUM(AL705:AM705)</f>
        <v>0</v>
      </c>
      <c r="CU705" s="55">
        <f t="shared" ref="CU705:CU713" si="4839">SUM(AN705:AO705)</f>
        <v>0</v>
      </c>
      <c r="CV705" s="55">
        <f t="shared" ref="CV705:CV713" si="4840">SUM(AP705:AQ705)</f>
        <v>0</v>
      </c>
      <c r="CW705" s="55">
        <f t="shared" ref="CW705:CW713" si="4841">SUM(AR705:AS705)</f>
        <v>0</v>
      </c>
      <c r="CX705" s="55">
        <f t="shared" ref="CX705:CX713" si="4842">SUM(AT705:AU705)</f>
        <v>0</v>
      </c>
      <c r="CY705" s="55">
        <f t="shared" ref="CY705:CY713" si="4843">SUM(AV705:AW705)</f>
        <v>0</v>
      </c>
      <c r="CZ705" s="56">
        <f t="shared" ref="CZ705:CZ713" si="4844">SUM(AX705:AY705)</f>
        <v>0</v>
      </c>
      <c r="DA705" s="55">
        <f t="shared" ref="DA705:DA713" si="4845">SUM(AZ705:BA705)</f>
        <v>0</v>
      </c>
      <c r="DB705" s="55">
        <f t="shared" ref="DB705:DB713" si="4846">SUM(BB705:BC705)</f>
        <v>0</v>
      </c>
      <c r="DC705" s="55">
        <f t="shared" ref="DC705:DC713" si="4847">SUM(BD705:BE705)</f>
        <v>0</v>
      </c>
      <c r="DD705" s="55">
        <f t="shared" ref="DD705:DD713" si="4848">SUM(BF705:BG705)</f>
        <v>0</v>
      </c>
      <c r="DE705" s="55">
        <f t="shared" ref="DE705:DE713" si="4849">SUM(BH705:BI705)</f>
        <v>0</v>
      </c>
      <c r="DF705" s="55">
        <f t="shared" ref="DF705:DF713" si="4850">SUM(BJ705:BK705)</f>
        <v>0</v>
      </c>
      <c r="DG705" s="55">
        <f t="shared" ref="DG705:DG713" si="4851">SUM(BL705:BM705)</f>
        <v>0</v>
      </c>
      <c r="DH705" s="55">
        <f t="shared" ref="DH705:DH713" si="4852">SUM(BN705:BO705)</f>
        <v>0</v>
      </c>
      <c r="DI705" s="55">
        <f t="shared" ref="DI705:DI713" si="4853">SUM(BP705:BQ705)</f>
        <v>0</v>
      </c>
    </row>
    <row r="706" spans="1:113" outlineLevel="1">
      <c r="A706" s="1" t="s">
        <v>2234</v>
      </c>
      <c r="B706" s="19" t="s">
        <v>2235</v>
      </c>
      <c r="C706" s="55"/>
      <c r="D706" s="55"/>
      <c r="E706" s="55"/>
      <c r="F706" s="55"/>
      <c r="G706" s="55"/>
      <c r="H706" s="55"/>
      <c r="I706" s="55"/>
      <c r="J706" s="55"/>
      <c r="K706" s="55"/>
      <c r="L706" s="164">
        <v>0</v>
      </c>
      <c r="M706" s="164">
        <v>4</v>
      </c>
      <c r="N706" s="164">
        <v>-4</v>
      </c>
      <c r="O706" s="164">
        <v>-11</v>
      </c>
      <c r="P706" s="164">
        <v>-7</v>
      </c>
      <c r="Q706" s="164">
        <v>-8</v>
      </c>
      <c r="R706" s="164">
        <v>-2</v>
      </c>
      <c r="S706" s="164">
        <v>-9</v>
      </c>
      <c r="T706" s="164">
        <v>-2</v>
      </c>
      <c r="U706" s="164">
        <v>-2</v>
      </c>
      <c r="V706" s="164">
        <v>2</v>
      </c>
      <c r="W706" s="164">
        <v>-8</v>
      </c>
      <c r="X706" s="164">
        <v>-2</v>
      </c>
      <c r="Y706" s="164">
        <v>41</v>
      </c>
      <c r="Z706" s="164">
        <v>-9</v>
      </c>
      <c r="AA706" s="164">
        <v>-5</v>
      </c>
      <c r="AB706" s="164">
        <v>-3</v>
      </c>
      <c r="AC706" s="164">
        <v>-9</v>
      </c>
      <c r="AD706" s="164">
        <v>-2</v>
      </c>
      <c r="AE706" s="164">
        <v>-2</v>
      </c>
      <c r="AF706" s="164">
        <v>-2</v>
      </c>
      <c r="AG706" s="164">
        <v>0</v>
      </c>
      <c r="AH706" s="164">
        <v>0</v>
      </c>
      <c r="AI706" s="164">
        <v>0</v>
      </c>
      <c r="AJ706" s="164">
        <v>0</v>
      </c>
      <c r="AK706" s="164">
        <v>0</v>
      </c>
      <c r="AL706" s="164">
        <v>0</v>
      </c>
      <c r="AM706" s="164">
        <v>0</v>
      </c>
      <c r="AN706" s="164">
        <v>0</v>
      </c>
      <c r="AO706" s="164">
        <v>0</v>
      </c>
      <c r="AP706" s="164">
        <v>0</v>
      </c>
      <c r="AQ706" s="164">
        <v>0</v>
      </c>
      <c r="AR706" s="164">
        <v>0</v>
      </c>
      <c r="AS706" s="164">
        <v>0</v>
      </c>
      <c r="AT706" s="164">
        <v>0</v>
      </c>
      <c r="AU706" s="164">
        <v>0</v>
      </c>
      <c r="AV706" s="164">
        <v>0</v>
      </c>
      <c r="AW706" s="164">
        <v>0</v>
      </c>
      <c r="AX706" s="164">
        <v>0</v>
      </c>
      <c r="AY706" s="164">
        <v>0</v>
      </c>
      <c r="AZ706" s="171">
        <v>0</v>
      </c>
      <c r="BA706" s="55">
        <f t="shared" ref="BA706:BE706" si="4854">AZ706</f>
        <v>0</v>
      </c>
      <c r="BB706" s="55">
        <f t="shared" si="4854"/>
        <v>0</v>
      </c>
      <c r="BC706" s="55">
        <f t="shared" si="4854"/>
        <v>0</v>
      </c>
      <c r="BD706" s="55">
        <f t="shared" si="4854"/>
        <v>0</v>
      </c>
      <c r="BE706" s="55">
        <f t="shared" si="4854"/>
        <v>0</v>
      </c>
      <c r="BF706" s="55">
        <f t="shared" ref="BF706:BM707" si="4855">BE706</f>
        <v>0</v>
      </c>
      <c r="BG706" s="55">
        <f t="shared" si="4855"/>
        <v>0</v>
      </c>
      <c r="BH706" s="55">
        <f t="shared" si="4855"/>
        <v>0</v>
      </c>
      <c r="BI706" s="55">
        <f t="shared" si="4855"/>
        <v>0</v>
      </c>
      <c r="BJ706" s="55">
        <f t="shared" si="4855"/>
        <v>0</v>
      </c>
      <c r="BK706" s="55">
        <f t="shared" si="4855"/>
        <v>0</v>
      </c>
      <c r="BL706" s="55">
        <f t="shared" si="4855"/>
        <v>0</v>
      </c>
      <c r="BM706" s="55">
        <f t="shared" si="4855"/>
        <v>0</v>
      </c>
      <c r="BN706" s="55">
        <f t="shared" ref="BN706:BN707" si="4856">BM706</f>
        <v>0</v>
      </c>
      <c r="BO706" s="55">
        <f t="shared" ref="BO706:BO707" si="4857">BN706</f>
        <v>0</v>
      </c>
      <c r="BP706" s="55">
        <f t="shared" ref="BP706:BP707" si="4858">BO706</f>
        <v>0</v>
      </c>
      <c r="BQ706" s="55">
        <f t="shared" ref="BQ706:BQ707" si="4859">BP706</f>
        <v>0</v>
      </c>
      <c r="BR706" s="55"/>
      <c r="BS706" s="55"/>
      <c r="BT706" s="55"/>
      <c r="BU706" s="55"/>
      <c r="BV706" s="55"/>
      <c r="BW706" s="55"/>
      <c r="BX706" s="55"/>
      <c r="BY706" s="55"/>
      <c r="BZ706" s="55"/>
      <c r="CA706" s="55"/>
      <c r="CB706" s="55"/>
      <c r="CC706" s="55"/>
      <c r="CD706" s="55"/>
      <c r="CE706" s="55"/>
      <c r="CF706" s="55"/>
      <c r="CG706" s="55">
        <f t="shared" si="4825"/>
        <v>4</v>
      </c>
      <c r="CH706" s="55">
        <f t="shared" si="4826"/>
        <v>-15</v>
      </c>
      <c r="CI706" s="55">
        <f t="shared" si="4827"/>
        <v>-15</v>
      </c>
      <c r="CJ706" s="55">
        <f t="shared" si="4828"/>
        <v>-11</v>
      </c>
      <c r="CK706" s="55">
        <f t="shared" si="4829"/>
        <v>-4</v>
      </c>
      <c r="CL706" s="55">
        <f t="shared" si="4830"/>
        <v>-6</v>
      </c>
      <c r="CM706" s="55">
        <f t="shared" si="4831"/>
        <v>39</v>
      </c>
      <c r="CN706" s="55">
        <f t="shared" si="4832"/>
        <v>-14</v>
      </c>
      <c r="CO706" s="55">
        <f t="shared" si="4833"/>
        <v>-12</v>
      </c>
      <c r="CP706" s="55">
        <f t="shared" si="4834"/>
        <v>-4</v>
      </c>
      <c r="CQ706" s="55">
        <f t="shared" si="4835"/>
        <v>-2</v>
      </c>
      <c r="CR706" s="55">
        <f t="shared" si="4836"/>
        <v>0</v>
      </c>
      <c r="CS706" s="55">
        <f t="shared" si="4837"/>
        <v>0</v>
      </c>
      <c r="CT706" s="55">
        <f t="shared" si="4838"/>
        <v>0</v>
      </c>
      <c r="CU706" s="55">
        <f t="shared" si="4839"/>
        <v>0</v>
      </c>
      <c r="CV706" s="55">
        <f t="shared" si="4840"/>
        <v>0</v>
      </c>
      <c r="CW706" s="55">
        <f t="shared" si="4841"/>
        <v>0</v>
      </c>
      <c r="CX706" s="55">
        <f t="shared" si="4842"/>
        <v>0</v>
      </c>
      <c r="CY706" s="55">
        <f t="shared" si="4843"/>
        <v>0</v>
      </c>
      <c r="CZ706" s="56">
        <f t="shared" si="4844"/>
        <v>0</v>
      </c>
      <c r="DA706" s="55">
        <f t="shared" si="4845"/>
        <v>0</v>
      </c>
      <c r="DB706" s="55">
        <f t="shared" si="4846"/>
        <v>0</v>
      </c>
      <c r="DC706" s="55">
        <f t="shared" si="4847"/>
        <v>0</v>
      </c>
      <c r="DD706" s="55">
        <f t="shared" si="4848"/>
        <v>0</v>
      </c>
      <c r="DE706" s="55">
        <f t="shared" si="4849"/>
        <v>0</v>
      </c>
      <c r="DF706" s="55">
        <f t="shared" si="4850"/>
        <v>0</v>
      </c>
      <c r="DG706" s="55">
        <f t="shared" si="4851"/>
        <v>0</v>
      </c>
      <c r="DH706" s="55">
        <f t="shared" si="4852"/>
        <v>0</v>
      </c>
      <c r="DI706" s="55">
        <f t="shared" si="4853"/>
        <v>0</v>
      </c>
    </row>
    <row r="707" spans="1:113" outlineLevel="1">
      <c r="A707" s="1" t="s">
        <v>2236</v>
      </c>
      <c r="B707" s="19" t="s">
        <v>2237</v>
      </c>
      <c r="C707" s="55"/>
      <c r="D707" s="55"/>
      <c r="E707" s="55"/>
      <c r="F707" s="55"/>
      <c r="G707" s="55"/>
      <c r="H707" s="55"/>
      <c r="I707" s="55"/>
      <c r="J707" s="55"/>
      <c r="K707" s="55"/>
      <c r="L707" s="55"/>
      <c r="M707" s="55"/>
      <c r="N707" s="55"/>
      <c r="O707" s="55"/>
      <c r="P707" s="55"/>
      <c r="Q707" s="55"/>
      <c r="R707" s="55"/>
      <c r="S707" s="55"/>
      <c r="T707" s="55"/>
      <c r="U707" s="55"/>
      <c r="V707" s="55"/>
      <c r="W707" s="55"/>
      <c r="X707" s="55"/>
      <c r="Y707" s="55"/>
      <c r="Z707" s="55"/>
      <c r="AA707" s="55">
        <f t="shared" ref="AA707:AX707" si="4860">Z707</f>
        <v>0</v>
      </c>
      <c r="AB707" s="55">
        <f t="shared" si="4860"/>
        <v>0</v>
      </c>
      <c r="AC707" s="55">
        <f t="shared" si="4860"/>
        <v>0</v>
      </c>
      <c r="AD707" s="55">
        <f t="shared" si="4860"/>
        <v>0</v>
      </c>
      <c r="AE707" s="55">
        <f t="shared" si="4860"/>
        <v>0</v>
      </c>
      <c r="AF707" s="55">
        <f t="shared" si="4860"/>
        <v>0</v>
      </c>
      <c r="AG707" s="55">
        <f t="shared" si="4860"/>
        <v>0</v>
      </c>
      <c r="AH707" s="55">
        <f t="shared" si="4860"/>
        <v>0</v>
      </c>
      <c r="AI707" s="55">
        <f t="shared" si="4860"/>
        <v>0</v>
      </c>
      <c r="AJ707" s="55">
        <f t="shared" si="4860"/>
        <v>0</v>
      </c>
      <c r="AK707" s="55">
        <f t="shared" si="4860"/>
        <v>0</v>
      </c>
      <c r="AL707" s="55">
        <f t="shared" si="4860"/>
        <v>0</v>
      </c>
      <c r="AM707" s="55">
        <f t="shared" si="4860"/>
        <v>0</v>
      </c>
      <c r="AN707" s="55">
        <f t="shared" si="4860"/>
        <v>0</v>
      </c>
      <c r="AO707" s="55">
        <f t="shared" si="4860"/>
        <v>0</v>
      </c>
      <c r="AP707" s="55">
        <f t="shared" si="4860"/>
        <v>0</v>
      </c>
      <c r="AQ707" s="55">
        <f t="shared" si="4860"/>
        <v>0</v>
      </c>
      <c r="AR707" s="55">
        <f t="shared" si="4860"/>
        <v>0</v>
      </c>
      <c r="AS707" s="55">
        <f t="shared" si="4860"/>
        <v>0</v>
      </c>
      <c r="AT707" s="55">
        <f t="shared" si="4860"/>
        <v>0</v>
      </c>
      <c r="AU707" s="55">
        <f t="shared" si="4860"/>
        <v>0</v>
      </c>
      <c r="AV707" s="55">
        <f t="shared" si="4860"/>
        <v>0</v>
      </c>
      <c r="AW707" s="55">
        <f t="shared" si="4860"/>
        <v>0</v>
      </c>
      <c r="AX707" s="55">
        <f t="shared" si="4860"/>
        <v>0</v>
      </c>
      <c r="AY707" s="55">
        <f t="shared" ref="AY707:BE707" si="4861">AX707</f>
        <v>0</v>
      </c>
      <c r="AZ707" s="56">
        <f t="shared" si="4861"/>
        <v>0</v>
      </c>
      <c r="BA707" s="55">
        <f t="shared" si="4861"/>
        <v>0</v>
      </c>
      <c r="BB707" s="55">
        <f t="shared" si="4861"/>
        <v>0</v>
      </c>
      <c r="BC707" s="55">
        <f t="shared" si="4861"/>
        <v>0</v>
      </c>
      <c r="BD707" s="55">
        <f t="shared" si="4861"/>
        <v>0</v>
      </c>
      <c r="BE707" s="55">
        <f t="shared" si="4861"/>
        <v>0</v>
      </c>
      <c r="BF707" s="55">
        <f t="shared" si="4855"/>
        <v>0</v>
      </c>
      <c r="BG707" s="55">
        <f t="shared" si="4855"/>
        <v>0</v>
      </c>
      <c r="BH707" s="55">
        <f t="shared" si="4855"/>
        <v>0</v>
      </c>
      <c r="BI707" s="55">
        <f t="shared" si="4855"/>
        <v>0</v>
      </c>
      <c r="BJ707" s="55">
        <f t="shared" si="4855"/>
        <v>0</v>
      </c>
      <c r="BK707" s="55">
        <f t="shared" si="4855"/>
        <v>0</v>
      </c>
      <c r="BL707" s="55">
        <f t="shared" si="4855"/>
        <v>0</v>
      </c>
      <c r="BM707" s="55">
        <f t="shared" si="4855"/>
        <v>0</v>
      </c>
      <c r="BN707" s="55">
        <f t="shared" si="4856"/>
        <v>0</v>
      </c>
      <c r="BO707" s="55">
        <f t="shared" si="4857"/>
        <v>0</v>
      </c>
      <c r="BP707" s="55">
        <f t="shared" si="4858"/>
        <v>0</v>
      </c>
      <c r="BQ707" s="55">
        <f t="shared" si="4859"/>
        <v>0</v>
      </c>
      <c r="BR707" s="55"/>
      <c r="BS707" s="55"/>
      <c r="BT707" s="55"/>
      <c r="BU707" s="55"/>
      <c r="BV707" s="55"/>
      <c r="BW707" s="55"/>
      <c r="BX707" s="55"/>
      <c r="BY707" s="55"/>
      <c r="BZ707" s="55"/>
      <c r="CA707" s="55"/>
      <c r="CB707" s="55"/>
      <c r="CC707" s="55"/>
      <c r="CD707" s="55"/>
      <c r="CE707" s="55"/>
      <c r="CF707" s="55"/>
      <c r="CG707" s="55">
        <f t="shared" si="4825"/>
        <v>0</v>
      </c>
      <c r="CH707" s="55">
        <f t="shared" si="4826"/>
        <v>0</v>
      </c>
      <c r="CI707" s="55">
        <f t="shared" si="4827"/>
        <v>0</v>
      </c>
      <c r="CJ707" s="55">
        <f t="shared" si="4828"/>
        <v>0</v>
      </c>
      <c r="CK707" s="55">
        <f t="shared" si="4829"/>
        <v>0</v>
      </c>
      <c r="CL707" s="55">
        <f t="shared" si="4830"/>
        <v>0</v>
      </c>
      <c r="CM707" s="55">
        <f t="shared" si="4831"/>
        <v>0</v>
      </c>
      <c r="CN707" s="55">
        <f t="shared" si="4832"/>
        <v>0</v>
      </c>
      <c r="CO707" s="55">
        <f t="shared" si="4833"/>
        <v>0</v>
      </c>
      <c r="CP707" s="55">
        <f t="shared" si="4834"/>
        <v>0</v>
      </c>
      <c r="CQ707" s="55">
        <f t="shared" si="4835"/>
        <v>0</v>
      </c>
      <c r="CR707" s="55">
        <f t="shared" si="4836"/>
        <v>0</v>
      </c>
      <c r="CS707" s="55">
        <f t="shared" si="4837"/>
        <v>0</v>
      </c>
      <c r="CT707" s="55">
        <f t="shared" si="4838"/>
        <v>0</v>
      </c>
      <c r="CU707" s="55">
        <f t="shared" si="4839"/>
        <v>0</v>
      </c>
      <c r="CV707" s="55">
        <f t="shared" si="4840"/>
        <v>0</v>
      </c>
      <c r="CW707" s="55">
        <f t="shared" si="4841"/>
        <v>0</v>
      </c>
      <c r="CX707" s="55">
        <f t="shared" si="4842"/>
        <v>0</v>
      </c>
      <c r="CY707" s="55">
        <f t="shared" si="4843"/>
        <v>0</v>
      </c>
      <c r="CZ707" s="56">
        <f t="shared" si="4844"/>
        <v>0</v>
      </c>
      <c r="DA707" s="55">
        <f t="shared" si="4845"/>
        <v>0</v>
      </c>
      <c r="DB707" s="55">
        <f t="shared" si="4846"/>
        <v>0</v>
      </c>
      <c r="DC707" s="55">
        <f t="shared" si="4847"/>
        <v>0</v>
      </c>
      <c r="DD707" s="55">
        <f t="shared" si="4848"/>
        <v>0</v>
      </c>
      <c r="DE707" s="55">
        <f t="shared" si="4849"/>
        <v>0</v>
      </c>
      <c r="DF707" s="55">
        <f t="shared" si="4850"/>
        <v>0</v>
      </c>
      <c r="DG707" s="55">
        <f t="shared" si="4851"/>
        <v>0</v>
      </c>
      <c r="DH707" s="55">
        <f t="shared" si="4852"/>
        <v>0</v>
      </c>
      <c r="DI707" s="55">
        <f t="shared" si="4853"/>
        <v>0</v>
      </c>
    </row>
    <row r="708" spans="1:113" outlineLevel="1">
      <c r="A708" s="1" t="s">
        <v>2238</v>
      </c>
      <c r="B708" s="19" t="s">
        <v>2239</v>
      </c>
      <c r="C708" s="164">
        <v>-1024</v>
      </c>
      <c r="D708" s="164">
        <v>-1005</v>
      </c>
      <c r="E708" s="164">
        <v>-1011</v>
      </c>
      <c r="F708" s="164">
        <v>-1050</v>
      </c>
      <c r="G708" s="164">
        <v>-1058</v>
      </c>
      <c r="H708" s="164">
        <v>-1078</v>
      </c>
      <c r="I708" s="164">
        <v>-1074</v>
      </c>
      <c r="J708" s="164">
        <v>-1142</v>
      </c>
      <c r="K708" s="164">
        <v>-1132</v>
      </c>
      <c r="L708" s="164">
        <v>-1182</v>
      </c>
      <c r="M708" s="164">
        <v>-1237</v>
      </c>
      <c r="N708" s="164">
        <v>-1340</v>
      </c>
      <c r="O708" s="164">
        <v>-1406</v>
      </c>
      <c r="P708" s="164">
        <v>-1505</v>
      </c>
      <c r="Q708" s="164">
        <v>-1592</v>
      </c>
      <c r="R708" s="164">
        <v>-1574</v>
      </c>
      <c r="S708" s="164">
        <v>-1831</v>
      </c>
      <c r="T708" s="164">
        <v>-1946</v>
      </c>
      <c r="U708" s="164">
        <v>-1899</v>
      </c>
      <c r="V708" s="164">
        <v>-2024</v>
      </c>
      <c r="W708" s="164">
        <v>-1991</v>
      </c>
      <c r="X708" s="164">
        <v>-2079</v>
      </c>
      <c r="Y708" s="164">
        <v>-2057</v>
      </c>
      <c r="Z708" s="164">
        <v>-2108</v>
      </c>
      <c r="AA708" s="164">
        <v>-2142</v>
      </c>
      <c r="AB708" s="164">
        <v>-2230</v>
      </c>
      <c r="AC708" s="164">
        <v>-2260</v>
      </c>
      <c r="AD708" s="164">
        <v>-2660</v>
      </c>
      <c r="AE708" s="164">
        <v>-2661</v>
      </c>
      <c r="AF708" s="164">
        <v>-2826</v>
      </c>
      <c r="AG708" s="164">
        <v>-2831</v>
      </c>
      <c r="AH708" s="164">
        <v>-2826</v>
      </c>
      <c r="AI708" s="164">
        <v>-2826</v>
      </c>
      <c r="AJ708" s="164">
        <v>-2643</v>
      </c>
      <c r="AK708" s="164">
        <v>-2484</v>
      </c>
      <c r="AL708" s="164">
        <v>-2479</v>
      </c>
      <c r="AM708" s="164">
        <v>-2775</v>
      </c>
      <c r="AN708" s="164">
        <v>-2599</v>
      </c>
      <c r="AO708" s="164">
        <v>-2640</v>
      </c>
      <c r="AP708" s="164">
        <v>-2711</v>
      </c>
      <c r="AQ708" s="164">
        <v>-2795</v>
      </c>
      <c r="AR708" s="164">
        <v>-3027</v>
      </c>
      <c r="AS708" s="164">
        <v>-2928</v>
      </c>
      <c r="AT708" s="164">
        <v>-3200</v>
      </c>
      <c r="AU708" s="164">
        <v>-3363</v>
      </c>
      <c r="AV708" s="164">
        <v>-3360</v>
      </c>
      <c r="AW708" s="164">
        <v>-3397</v>
      </c>
      <c r="AX708" s="164">
        <v>-3565</v>
      </c>
      <c r="AY708" s="164">
        <f>-3588</f>
        <v>-3588</v>
      </c>
      <c r="AZ708" s="171">
        <v>-3722</v>
      </c>
      <c r="BA708" s="55">
        <f t="shared" ref="BA708:BE708" si="4862">AZ708*(BA432/AZ432)</f>
        <v>-3697.6213046629628</v>
      </c>
      <c r="BB708" s="55">
        <f t="shared" si="4862"/>
        <v>-3922.2813075167769</v>
      </c>
      <c r="BC708" s="55">
        <f t="shared" si="4862"/>
        <v>-3905.6267900128992</v>
      </c>
      <c r="BD708" s="55">
        <f t="shared" si="4862"/>
        <v>-4100.7704936511673</v>
      </c>
      <c r="BE708" s="55">
        <f t="shared" si="4862"/>
        <v>-4048.5820061740233</v>
      </c>
      <c r="BF708" s="55">
        <f t="shared" ref="BF708:BM708" si="4863">BE708*(BF432/BE432)</f>
        <v>-4254.31696086389</v>
      </c>
      <c r="BG708" s="55">
        <f t="shared" si="4863"/>
        <v>-4202.4691873252987</v>
      </c>
      <c r="BH708" s="55">
        <f t="shared" si="4863"/>
        <v>-4417.1446546892757</v>
      </c>
      <c r="BI708" s="55">
        <f t="shared" si="4863"/>
        <v>-4362.322029036749</v>
      </c>
      <c r="BJ708" s="55">
        <f t="shared" si="4863"/>
        <v>-4505.0832901929698</v>
      </c>
      <c r="BK708" s="55">
        <f t="shared" si="4863"/>
        <v>-4517.0679460817037</v>
      </c>
      <c r="BL708" s="55">
        <f t="shared" si="4863"/>
        <v>-4656.1932700383504</v>
      </c>
      <c r="BM708" s="55">
        <f t="shared" si="4863"/>
        <v>-4694.3446273189438</v>
      </c>
      <c r="BN708" s="55">
        <f t="shared" ref="BN708" si="4864">BM708*(BN432/BM432)</f>
        <v>-4814.8822779431011</v>
      </c>
      <c r="BO708" s="55">
        <f t="shared" ref="BO708" si="4865">BN708*(BO432/BN432)</f>
        <v>-4792.0480474907063</v>
      </c>
      <c r="BP708" s="55">
        <f t="shared" ref="BP708" si="4866">BO708*(BP432/BO432)</f>
        <v>-4928.7165898798858</v>
      </c>
      <c r="BQ708" s="55">
        <f t="shared" ref="BQ708" si="4867">BP708*(BQ432/BP432)</f>
        <v>-4905.3130888845353</v>
      </c>
      <c r="BR708" s="55"/>
      <c r="BS708" s="55"/>
      <c r="BT708" s="55"/>
      <c r="BU708" s="55"/>
      <c r="BV708" s="55"/>
      <c r="BW708" s="55"/>
      <c r="BX708" s="55"/>
      <c r="BY708" s="55"/>
      <c r="BZ708" s="55"/>
      <c r="CA708" s="55"/>
      <c r="CB708" s="55"/>
      <c r="CC708" s="55"/>
      <c r="CD708" s="55"/>
      <c r="CE708" s="55"/>
      <c r="CF708" s="55"/>
      <c r="CG708" s="55">
        <f t="shared" si="4825"/>
        <v>-2419</v>
      </c>
      <c r="CH708" s="55">
        <f t="shared" si="4826"/>
        <v>-2746</v>
      </c>
      <c r="CI708" s="55">
        <f t="shared" si="4827"/>
        <v>-3097</v>
      </c>
      <c r="CJ708" s="55">
        <f t="shared" si="4828"/>
        <v>-3405</v>
      </c>
      <c r="CK708" s="55">
        <f t="shared" si="4829"/>
        <v>-3845</v>
      </c>
      <c r="CL708" s="55">
        <f t="shared" si="4830"/>
        <v>-4015</v>
      </c>
      <c r="CM708" s="55">
        <f t="shared" si="4831"/>
        <v>-4136</v>
      </c>
      <c r="CN708" s="55">
        <f t="shared" si="4832"/>
        <v>-4250</v>
      </c>
      <c r="CO708" s="55">
        <f t="shared" si="4833"/>
        <v>-4490</v>
      </c>
      <c r="CP708" s="55">
        <f t="shared" si="4834"/>
        <v>-5321</v>
      </c>
      <c r="CQ708" s="55">
        <f t="shared" si="4835"/>
        <v>-5657</v>
      </c>
      <c r="CR708" s="55">
        <f t="shared" si="4836"/>
        <v>-5657</v>
      </c>
      <c r="CS708" s="55">
        <f t="shared" si="4837"/>
        <v>-5652</v>
      </c>
      <c r="CT708" s="55">
        <f t="shared" si="4838"/>
        <v>-5254</v>
      </c>
      <c r="CU708" s="55">
        <f t="shared" si="4839"/>
        <v>-5239</v>
      </c>
      <c r="CV708" s="55">
        <f t="shared" si="4840"/>
        <v>-5506</v>
      </c>
      <c r="CW708" s="55">
        <f t="shared" si="4841"/>
        <v>-5955</v>
      </c>
      <c r="CX708" s="55">
        <f t="shared" si="4842"/>
        <v>-6563</v>
      </c>
      <c r="CY708" s="55">
        <f t="shared" si="4843"/>
        <v>-6757</v>
      </c>
      <c r="CZ708" s="56">
        <f t="shared" si="4844"/>
        <v>-7153</v>
      </c>
      <c r="DA708" s="55">
        <f t="shared" si="4845"/>
        <v>-7419.6213046629628</v>
      </c>
      <c r="DB708" s="55">
        <f t="shared" si="4846"/>
        <v>-7827.9080975296765</v>
      </c>
      <c r="DC708" s="55">
        <f t="shared" si="4847"/>
        <v>-8149.3524998251905</v>
      </c>
      <c r="DD708" s="55">
        <f t="shared" si="4848"/>
        <v>-8456.7861481891887</v>
      </c>
      <c r="DE708" s="55">
        <f t="shared" si="4849"/>
        <v>-8779.4666837260247</v>
      </c>
      <c r="DF708" s="55">
        <f t="shared" si="4850"/>
        <v>-9022.1512362746726</v>
      </c>
      <c r="DG708" s="55">
        <f t="shared" si="4851"/>
        <v>-9350.5378973572952</v>
      </c>
      <c r="DH708" s="55">
        <f t="shared" si="4852"/>
        <v>-9606.9303254338083</v>
      </c>
      <c r="DI708" s="55">
        <f t="shared" si="4853"/>
        <v>-9834.029678764422</v>
      </c>
    </row>
    <row r="709" spans="1:113" outlineLevel="1">
      <c r="A709" s="1" t="s">
        <v>2240</v>
      </c>
      <c r="B709" s="19" t="s">
        <v>2241</v>
      </c>
      <c r="C709" s="164">
        <f>D709*C432/D432</f>
        <v>-24.844444444444445</v>
      </c>
      <c r="D709" s="164">
        <v>-26</v>
      </c>
      <c r="E709" s="164">
        <v>-37</v>
      </c>
      <c r="F709" s="164">
        <v>-32</v>
      </c>
      <c r="G709" s="164">
        <v>-60</v>
      </c>
      <c r="H709" s="164">
        <v>-49</v>
      </c>
      <c r="I709" s="164">
        <v>-56</v>
      </c>
      <c r="J709" s="164">
        <v>-37</v>
      </c>
      <c r="K709" s="164">
        <v>-37</v>
      </c>
      <c r="L709" s="164">
        <v>-22</v>
      </c>
      <c r="M709" s="164">
        <v>-17</v>
      </c>
      <c r="N709" s="164">
        <v>-56</v>
      </c>
      <c r="O709" s="164">
        <v>-33</v>
      </c>
      <c r="P709" s="164">
        <v>-49</v>
      </c>
      <c r="Q709" s="164">
        <v>-57</v>
      </c>
      <c r="R709" s="164">
        <v>-63</v>
      </c>
      <c r="S709" s="164">
        <v>-62</v>
      </c>
      <c r="T709" s="164">
        <v>-51</v>
      </c>
      <c r="U709" s="164">
        <v>-79</v>
      </c>
      <c r="V709" s="164">
        <v>-81</v>
      </c>
      <c r="W709" s="164">
        <v>-75</v>
      </c>
      <c r="X709" s="164">
        <v>-90</v>
      </c>
      <c r="Y709" s="164">
        <v>-95</v>
      </c>
      <c r="Z709" s="164">
        <v>-94</v>
      </c>
      <c r="AA709" s="164">
        <v>-98</v>
      </c>
      <c r="AB709" s="164">
        <v>-121</v>
      </c>
      <c r="AC709" s="164">
        <v>-123</v>
      </c>
      <c r="AD709" s="164">
        <v>-47</v>
      </c>
      <c r="AE709" s="164">
        <v>-49</v>
      </c>
      <c r="AF709" s="164">
        <v>-50</v>
      </c>
      <c r="AG709" s="164">
        <v>-52</v>
      </c>
      <c r="AH709" s="164">
        <v>-61</v>
      </c>
      <c r="AI709" s="164">
        <v>-61</v>
      </c>
      <c r="AJ709" s="164">
        <v>-54</v>
      </c>
      <c r="AK709" s="164">
        <v>-15</v>
      </c>
      <c r="AL709" s="164">
        <v>-37</v>
      </c>
      <c r="AM709" s="164">
        <v>-37</v>
      </c>
      <c r="AN709" s="164">
        <v>-48</v>
      </c>
      <c r="AO709" s="164">
        <v>-49</v>
      </c>
      <c r="AP709" s="164">
        <v>-45</v>
      </c>
      <c r="AQ709" s="164">
        <v>-55</v>
      </c>
      <c r="AR709" s="164">
        <v>-55</v>
      </c>
      <c r="AS709" s="164">
        <v>-56</v>
      </c>
      <c r="AT709" s="164">
        <v>-63</v>
      </c>
      <c r="AU709" s="164">
        <v>-60</v>
      </c>
      <c r="AV709" s="164">
        <v>-61</v>
      </c>
      <c r="AW709" s="164">
        <v>-69</v>
      </c>
      <c r="AX709" s="164">
        <v>-77</v>
      </c>
      <c r="AY709" s="164">
        <v>-84</v>
      </c>
      <c r="AZ709" s="171">
        <v>-80</v>
      </c>
      <c r="BA709" s="55">
        <f t="shared" ref="BA709:BM709" si="4868">AZ709*(BA432/AZ432)</f>
        <v>-79.476008697753088</v>
      </c>
      <c r="BB709" s="55">
        <f t="shared" si="4868"/>
        <v>-84.3048104785981</v>
      </c>
      <c r="BC709" s="55">
        <f t="shared" si="4868"/>
        <v>-83.946841268412655</v>
      </c>
      <c r="BD709" s="55">
        <f t="shared" si="4868"/>
        <v>-88.141225011309331</v>
      </c>
      <c r="BE709" s="55">
        <f t="shared" si="4868"/>
        <v>-87.019495027920954</v>
      </c>
      <c r="BF709" s="55">
        <f t="shared" si="4868"/>
        <v>-91.441525220072847</v>
      </c>
      <c r="BG709" s="55">
        <f t="shared" si="4868"/>
        <v>-90.327118480930636</v>
      </c>
      <c r="BH709" s="55">
        <f t="shared" si="4868"/>
        <v>-94.94131444791563</v>
      </c>
      <c r="BI709" s="55">
        <f t="shared" si="4868"/>
        <v>-93.762966771343329</v>
      </c>
      <c r="BJ709" s="55">
        <f t="shared" si="4868"/>
        <v>-96.831451696786019</v>
      </c>
      <c r="BK709" s="55">
        <f t="shared" si="4868"/>
        <v>-97.089047739531509</v>
      </c>
      <c r="BL709" s="55">
        <f t="shared" si="4868"/>
        <v>-100.07938248336058</v>
      </c>
      <c r="BM709" s="55">
        <f t="shared" si="4868"/>
        <v>-100.8994009095958</v>
      </c>
      <c r="BN709" s="55">
        <f t="shared" ref="BN709" si="4869">BM709*(BN432/BM432)</f>
        <v>-103.49021553880928</v>
      </c>
      <c r="BO709" s="55">
        <f t="shared" ref="BO709" si="4870">BN709*(BO432/BN432)</f>
        <v>-102.99942068760251</v>
      </c>
      <c r="BP709" s="55">
        <f t="shared" ref="BP709" si="4871">BO709*(BP432/BO432)</f>
        <v>-105.93694980934737</v>
      </c>
      <c r="BQ709" s="55">
        <f t="shared" ref="BQ709" si="4872">BP709*(BQ432/BP432)</f>
        <v>-105.43391915925923</v>
      </c>
      <c r="BR709" s="55"/>
      <c r="BS709" s="55"/>
      <c r="BT709" s="55"/>
      <c r="BU709" s="55"/>
      <c r="BV709" s="55"/>
      <c r="BW709" s="55"/>
      <c r="BX709" s="55"/>
      <c r="BY709" s="55"/>
      <c r="BZ709" s="55"/>
      <c r="CA709" s="55"/>
      <c r="CB709" s="55"/>
      <c r="CC709" s="55"/>
      <c r="CD709" s="55"/>
      <c r="CE709" s="55"/>
      <c r="CF709" s="55"/>
      <c r="CG709" s="55">
        <f t="shared" si="4825"/>
        <v>-39</v>
      </c>
      <c r="CH709" s="55">
        <f t="shared" si="4826"/>
        <v>-89</v>
      </c>
      <c r="CI709" s="55">
        <f t="shared" si="4827"/>
        <v>-106</v>
      </c>
      <c r="CJ709" s="55">
        <f t="shared" si="4828"/>
        <v>-125</v>
      </c>
      <c r="CK709" s="55">
        <f t="shared" si="4829"/>
        <v>-130</v>
      </c>
      <c r="CL709" s="55">
        <f t="shared" si="4830"/>
        <v>-156</v>
      </c>
      <c r="CM709" s="55">
        <f t="shared" si="4831"/>
        <v>-185</v>
      </c>
      <c r="CN709" s="55">
        <f t="shared" si="4832"/>
        <v>-192</v>
      </c>
      <c r="CO709" s="55">
        <f t="shared" si="4833"/>
        <v>-244</v>
      </c>
      <c r="CP709" s="55">
        <f t="shared" si="4834"/>
        <v>-96</v>
      </c>
      <c r="CQ709" s="55">
        <f t="shared" si="4835"/>
        <v>-102</v>
      </c>
      <c r="CR709" s="55">
        <f t="shared" si="4836"/>
        <v>-113</v>
      </c>
      <c r="CS709" s="55">
        <f t="shared" si="4837"/>
        <v>-122</v>
      </c>
      <c r="CT709" s="55">
        <f t="shared" si="4838"/>
        <v>-74</v>
      </c>
      <c r="CU709" s="55">
        <f t="shared" si="4839"/>
        <v>-97</v>
      </c>
      <c r="CV709" s="55">
        <f t="shared" si="4840"/>
        <v>-100</v>
      </c>
      <c r="CW709" s="55">
        <f t="shared" si="4841"/>
        <v>-111</v>
      </c>
      <c r="CX709" s="55">
        <f t="shared" si="4842"/>
        <v>-123</v>
      </c>
      <c r="CY709" s="55">
        <f t="shared" si="4843"/>
        <v>-130</v>
      </c>
      <c r="CZ709" s="56">
        <f t="shared" si="4844"/>
        <v>-161</v>
      </c>
      <c r="DA709" s="55">
        <f t="shared" si="4845"/>
        <v>-159.47600869775309</v>
      </c>
      <c r="DB709" s="55">
        <f t="shared" si="4846"/>
        <v>-168.25165174701075</v>
      </c>
      <c r="DC709" s="55">
        <f t="shared" si="4847"/>
        <v>-175.16072003923028</v>
      </c>
      <c r="DD709" s="55">
        <f t="shared" si="4848"/>
        <v>-181.7686437010035</v>
      </c>
      <c r="DE709" s="55">
        <f t="shared" si="4849"/>
        <v>-188.70428121925897</v>
      </c>
      <c r="DF709" s="55">
        <f t="shared" si="4850"/>
        <v>-193.92049943631753</v>
      </c>
      <c r="DG709" s="55">
        <f t="shared" si="4851"/>
        <v>-200.97878339295636</v>
      </c>
      <c r="DH709" s="55">
        <f t="shared" si="4852"/>
        <v>-206.48963622641179</v>
      </c>
      <c r="DI709" s="55">
        <f t="shared" si="4853"/>
        <v>-211.3708689686066</v>
      </c>
    </row>
    <row r="710" spans="1:113" outlineLevel="1">
      <c r="A710" s="1" t="s">
        <v>2242</v>
      </c>
      <c r="B710" s="19" t="s">
        <v>2243</v>
      </c>
      <c r="C710" s="164">
        <v>300</v>
      </c>
      <c r="D710" s="164">
        <v>-270</v>
      </c>
      <c r="E710" s="164">
        <v>-308</v>
      </c>
      <c r="F710" s="164">
        <v>-301</v>
      </c>
      <c r="G710" s="164">
        <v>-308</v>
      </c>
      <c r="H710" s="164">
        <v>-296</v>
      </c>
      <c r="I710" s="164">
        <v>-305</v>
      </c>
      <c r="J710" s="164">
        <v>-308</v>
      </c>
      <c r="K710" s="164">
        <v>-318</v>
      </c>
      <c r="L710" s="164">
        <v>-310</v>
      </c>
      <c r="M710" s="164">
        <v>-311</v>
      </c>
      <c r="N710" s="164">
        <v>-335</v>
      </c>
      <c r="O710" s="164">
        <v>-353</v>
      </c>
      <c r="P710" s="164">
        <v>-373</v>
      </c>
      <c r="Q710" s="164">
        <v>-394</v>
      </c>
      <c r="R710" s="164">
        <v>-409</v>
      </c>
      <c r="S710" s="164">
        <v>-501</v>
      </c>
      <c r="T710" s="164">
        <v>-482</v>
      </c>
      <c r="U710" s="164">
        <v>-495</v>
      </c>
      <c r="V710" s="164">
        <v>-482</v>
      </c>
      <c r="W710" s="164">
        <v>-511</v>
      </c>
      <c r="X710" s="164">
        <v>-521</v>
      </c>
      <c r="Y710" s="164">
        <v>-535</v>
      </c>
      <c r="Z710" s="164">
        <v>-506</v>
      </c>
      <c r="AA710" s="164">
        <v>-512</v>
      </c>
      <c r="AB710" s="164">
        <v>-524</v>
      </c>
      <c r="AC710" s="164">
        <v>-529</v>
      </c>
      <c r="AD710" s="164">
        <v>-539</v>
      </c>
      <c r="AE710" s="164">
        <v>-547</v>
      </c>
      <c r="AF710" s="164">
        <v>-559</v>
      </c>
      <c r="AG710" s="164">
        <v>-575</v>
      </c>
      <c r="AH710" s="164">
        <v>-568</v>
      </c>
      <c r="AI710" s="164">
        <v>-571</v>
      </c>
      <c r="AJ710" s="164">
        <v>-554</v>
      </c>
      <c r="AK710" s="164">
        <v>-580</v>
      </c>
      <c r="AL710" s="164">
        <v>-549</v>
      </c>
      <c r="AM710" s="164">
        <v>-549</v>
      </c>
      <c r="AN710" s="164">
        <v>-496</v>
      </c>
      <c r="AO710" s="164">
        <v>-560</v>
      </c>
      <c r="AP710" s="164">
        <v>-578</v>
      </c>
      <c r="AQ710" s="164">
        <v>-580</v>
      </c>
      <c r="AR710" s="164">
        <v>-488</v>
      </c>
      <c r="AS710" s="164">
        <v>-490</v>
      </c>
      <c r="AT710" s="164">
        <v>-479</v>
      </c>
      <c r="AU710" s="164">
        <v>-471</v>
      </c>
      <c r="AV710" s="164">
        <v>-501</v>
      </c>
      <c r="AW710" s="164">
        <v>-494</v>
      </c>
      <c r="AX710" s="164">
        <v>-460</v>
      </c>
      <c r="AY710" s="164">
        <v>-497</v>
      </c>
      <c r="AZ710" s="171">
        <v>-465</v>
      </c>
      <c r="BA710" s="55">
        <f t="shared" ref="BA710:BE710" si="4873">AZ710*(BA440/AZ440)</f>
        <v>-476.63962293056596</v>
      </c>
      <c r="BB710" s="55">
        <f t="shared" si="4873"/>
        <v>-484.88948352682905</v>
      </c>
      <c r="BC710" s="55">
        <f t="shared" si="4873"/>
        <v>-495.60467740312379</v>
      </c>
      <c r="BD710" s="55">
        <f t="shared" si="4873"/>
        <v>-502.47186870052099</v>
      </c>
      <c r="BE710" s="55">
        <f t="shared" si="4873"/>
        <v>-505.78068169992162</v>
      </c>
      <c r="BF710" s="55">
        <f t="shared" ref="BF710:BM710" si="4874">BE710*(BF440/BE440)</f>
        <v>-507.1465744485651</v>
      </c>
      <c r="BG710" s="55">
        <f t="shared" si="4874"/>
        <v>-510.90408079720311</v>
      </c>
      <c r="BH710" s="55">
        <f t="shared" si="4874"/>
        <v>-512.62669781088607</v>
      </c>
      <c r="BI710" s="55">
        <f t="shared" si="4874"/>
        <v>-516.07408748356977</v>
      </c>
      <c r="BJ710" s="55">
        <f t="shared" si="4874"/>
        <v>-526.60824518725804</v>
      </c>
      <c r="BK710" s="55">
        <f t="shared" si="4874"/>
        <v>-531.82113064704629</v>
      </c>
      <c r="BL710" s="55">
        <f t="shared" si="4874"/>
        <v>-542.39985911434678</v>
      </c>
      <c r="BM710" s="55">
        <f t="shared" si="4874"/>
        <v>-548.97525342270887</v>
      </c>
      <c r="BN710" s="55">
        <f t="shared" ref="BN710" si="4875">BM710*(BN440/BM440)</f>
        <v>-558.23281918808618</v>
      </c>
      <c r="BO710" s="55">
        <f t="shared" ref="BO710" si="4876">BN710*(BO440/BN440)</f>
        <v>-561.25090534373692</v>
      </c>
      <c r="BP710" s="55">
        <f t="shared" ref="BP710" si="4877">BO710*(BP440/BO440)</f>
        <v>-571.34856095590021</v>
      </c>
      <c r="BQ710" s="55">
        <f t="shared" ref="BQ710" si="4878">BP710*(BQ440/BP440)</f>
        <v>-574.43189247143596</v>
      </c>
      <c r="BR710" s="55"/>
      <c r="BS710" s="55"/>
      <c r="BT710" s="55"/>
      <c r="BU710" s="55"/>
      <c r="BV710" s="55"/>
      <c r="BW710" s="55"/>
      <c r="BX710" s="55"/>
      <c r="BY710" s="55"/>
      <c r="BZ710" s="55"/>
      <c r="CA710" s="55"/>
      <c r="CB710" s="55"/>
      <c r="CC710" s="55"/>
      <c r="CD710" s="55"/>
      <c r="CE710" s="55"/>
      <c r="CF710" s="55"/>
      <c r="CG710" s="55">
        <f t="shared" si="4825"/>
        <v>-621</v>
      </c>
      <c r="CH710" s="55">
        <f t="shared" si="4826"/>
        <v>-688</v>
      </c>
      <c r="CI710" s="55">
        <f t="shared" si="4827"/>
        <v>-767</v>
      </c>
      <c r="CJ710" s="55">
        <f t="shared" si="4828"/>
        <v>-910</v>
      </c>
      <c r="CK710" s="55">
        <f t="shared" si="4829"/>
        <v>-977</v>
      </c>
      <c r="CL710" s="55">
        <f t="shared" si="4830"/>
        <v>-993</v>
      </c>
      <c r="CM710" s="55">
        <f t="shared" si="4831"/>
        <v>-1056</v>
      </c>
      <c r="CN710" s="55">
        <f t="shared" si="4832"/>
        <v>-1018</v>
      </c>
      <c r="CO710" s="55">
        <f t="shared" si="4833"/>
        <v>-1053</v>
      </c>
      <c r="CP710" s="55">
        <f t="shared" si="4834"/>
        <v>-1086</v>
      </c>
      <c r="CQ710" s="55">
        <f t="shared" si="4835"/>
        <v>-1134</v>
      </c>
      <c r="CR710" s="55">
        <f t="shared" si="4836"/>
        <v>-1143</v>
      </c>
      <c r="CS710" s="55">
        <f t="shared" si="4837"/>
        <v>-1139</v>
      </c>
      <c r="CT710" s="55">
        <f t="shared" si="4838"/>
        <v>-1098</v>
      </c>
      <c r="CU710" s="55">
        <f t="shared" si="4839"/>
        <v>-1056</v>
      </c>
      <c r="CV710" s="55">
        <f t="shared" si="4840"/>
        <v>-1158</v>
      </c>
      <c r="CW710" s="55">
        <f t="shared" si="4841"/>
        <v>-978</v>
      </c>
      <c r="CX710" s="55">
        <f t="shared" si="4842"/>
        <v>-950</v>
      </c>
      <c r="CY710" s="55">
        <f t="shared" si="4843"/>
        <v>-995</v>
      </c>
      <c r="CZ710" s="56">
        <f t="shared" si="4844"/>
        <v>-957</v>
      </c>
      <c r="DA710" s="55">
        <f t="shared" si="4845"/>
        <v>-941.63962293056602</v>
      </c>
      <c r="DB710" s="55">
        <f t="shared" si="4846"/>
        <v>-980.49416092995284</v>
      </c>
      <c r="DC710" s="55">
        <f t="shared" si="4847"/>
        <v>-1008.2525504004426</v>
      </c>
      <c r="DD710" s="55">
        <f t="shared" si="4848"/>
        <v>-1018.0506552457682</v>
      </c>
      <c r="DE710" s="55">
        <f t="shared" si="4849"/>
        <v>-1028.7007852944557</v>
      </c>
      <c r="DF710" s="55">
        <f t="shared" si="4850"/>
        <v>-1058.4293758343042</v>
      </c>
      <c r="DG710" s="55">
        <f t="shared" si="4851"/>
        <v>-1091.3751125370557</v>
      </c>
      <c r="DH710" s="55">
        <f t="shared" si="4852"/>
        <v>-1119.4837245318231</v>
      </c>
      <c r="DI710" s="55">
        <f t="shared" si="4853"/>
        <v>-1145.7804534273362</v>
      </c>
    </row>
    <row r="711" spans="1:113" outlineLevel="1">
      <c r="A711" s="1" t="s">
        <v>2244</v>
      </c>
      <c r="B711" s="19" t="s">
        <v>2245</v>
      </c>
      <c r="C711" s="55">
        <f t="shared" ref="C711:L711" si="4879">C465-C712</f>
        <v>-179</v>
      </c>
      <c r="D711" s="55">
        <f t="shared" si="4879"/>
        <v>-224</v>
      </c>
      <c r="E711" s="55">
        <f t="shared" si="4879"/>
        <v>-179</v>
      </c>
      <c r="F711" s="55">
        <f t="shared" si="4879"/>
        <v>-112</v>
      </c>
      <c r="G711" s="55">
        <f t="shared" si="4879"/>
        <v>-148</v>
      </c>
      <c r="H711" s="55">
        <f t="shared" si="4879"/>
        <v>-182</v>
      </c>
      <c r="I711" s="55">
        <f t="shared" si="4879"/>
        <v>-168</v>
      </c>
      <c r="J711" s="55">
        <f t="shared" si="4879"/>
        <v>-172</v>
      </c>
      <c r="K711" s="55">
        <f t="shared" si="4879"/>
        <v>-180</v>
      </c>
      <c r="L711" s="55">
        <f t="shared" si="4879"/>
        <v>-200</v>
      </c>
      <c r="M711" s="55">
        <f t="shared" ref="M711:Z711" si="4880">M465-M712</f>
        <v>-240</v>
      </c>
      <c r="N711" s="55">
        <f t="shared" si="4880"/>
        <v>-239</v>
      </c>
      <c r="O711" s="55">
        <f t="shared" si="4880"/>
        <v>-268</v>
      </c>
      <c r="P711" s="55">
        <f t="shared" si="4880"/>
        <v>-143</v>
      </c>
      <c r="Q711" s="55">
        <f t="shared" si="4880"/>
        <v>-160</v>
      </c>
      <c r="R711" s="55">
        <f t="shared" si="4880"/>
        <v>-1350</v>
      </c>
      <c r="S711" s="55">
        <f t="shared" si="4880"/>
        <v>-866</v>
      </c>
      <c r="T711" s="55">
        <f t="shared" si="4880"/>
        <v>-885</v>
      </c>
      <c r="U711" s="55">
        <f t="shared" si="4880"/>
        <v>-289</v>
      </c>
      <c r="V711" s="55">
        <f t="shared" si="4880"/>
        <v>-575</v>
      </c>
      <c r="W711" s="55">
        <f t="shared" si="4880"/>
        <v>-660</v>
      </c>
      <c r="X711" s="55">
        <f t="shared" si="4880"/>
        <v>-344</v>
      </c>
      <c r="Y711" s="55">
        <f t="shared" si="4880"/>
        <v>-433</v>
      </c>
      <c r="Z711" s="55">
        <f t="shared" si="4880"/>
        <v>-317</v>
      </c>
      <c r="AA711" s="55">
        <f t="shared" ref="AA711:AK711" si="4881">AA465-AA712</f>
        <v>-206</v>
      </c>
      <c r="AB711" s="55">
        <f t="shared" si="4881"/>
        <v>-179</v>
      </c>
      <c r="AC711" s="55">
        <f t="shared" si="4881"/>
        <v>-277</v>
      </c>
      <c r="AD711" s="55">
        <f t="shared" si="4881"/>
        <v>-176</v>
      </c>
      <c r="AE711" s="55">
        <f t="shared" si="4881"/>
        <v>-223</v>
      </c>
      <c r="AF711" s="55">
        <f t="shared" si="4881"/>
        <v>-240</v>
      </c>
      <c r="AG711" s="55">
        <f t="shared" si="4881"/>
        <v>-352</v>
      </c>
      <c r="AH711" s="55">
        <f t="shared" si="4881"/>
        <v>-275</v>
      </c>
      <c r="AI711" s="55">
        <f t="shared" si="4881"/>
        <v>-203</v>
      </c>
      <c r="AJ711" s="55">
        <f t="shared" si="4881"/>
        <v>-211</v>
      </c>
      <c r="AK711" s="55">
        <f t="shared" si="4881"/>
        <v>-152</v>
      </c>
      <c r="AL711" s="55">
        <f t="shared" ref="AL711:AQ711" si="4882">AL465-AL712</f>
        <v>-265</v>
      </c>
      <c r="AM711" s="55">
        <f t="shared" si="4882"/>
        <v>-212</v>
      </c>
      <c r="AN711" s="55">
        <f t="shared" si="4882"/>
        <v>-203</v>
      </c>
      <c r="AO711" s="55">
        <f t="shared" si="4882"/>
        <v>-272</v>
      </c>
      <c r="AP711" s="55">
        <f t="shared" si="4882"/>
        <v>-114</v>
      </c>
      <c r="AQ711" s="55">
        <f t="shared" si="4882"/>
        <v>-153</v>
      </c>
      <c r="AR711" s="55">
        <f t="shared" ref="AR711" si="4883">AR465-AR712</f>
        <v>-86</v>
      </c>
      <c r="AS711" s="55">
        <f t="shared" ref="AS711:AT711" si="4884">AS465-AS712</f>
        <v>-63</v>
      </c>
      <c r="AT711" s="55">
        <f t="shared" si="4884"/>
        <v>-154</v>
      </c>
      <c r="AU711" s="55">
        <f t="shared" ref="AU711:AV711" si="4885">AU465-AU712</f>
        <v>-159</v>
      </c>
      <c r="AV711" s="55">
        <f t="shared" si="4885"/>
        <v>-108</v>
      </c>
      <c r="AW711" s="55">
        <f t="shared" ref="AW711:AX711" si="4886">AW465-AW712</f>
        <v>-118</v>
      </c>
      <c r="AX711" s="55">
        <f t="shared" si="4886"/>
        <v>-99</v>
      </c>
      <c r="AY711" s="55">
        <f t="shared" ref="AY711:BE711" si="4887">AY465-AY712</f>
        <v>-171</v>
      </c>
      <c r="AZ711" s="56">
        <f t="shared" ref="AZ711" si="4888">AZ465-AZ712</f>
        <v>-101</v>
      </c>
      <c r="BA711" s="55">
        <f t="shared" si="4887"/>
        <v>-424.25326120567422</v>
      </c>
      <c r="BB711" s="55">
        <f t="shared" si="4887"/>
        <v>-448.32679708827402</v>
      </c>
      <c r="BC711" s="55">
        <f t="shared" si="4887"/>
        <v>-481.23103628446302</v>
      </c>
      <c r="BD711" s="55">
        <f t="shared" si="4887"/>
        <v>-620.69896090820521</v>
      </c>
      <c r="BE711" s="55">
        <f t="shared" si="4887"/>
        <v>-629.40096438796149</v>
      </c>
      <c r="BF711" s="55">
        <f t="shared" ref="BF711:BM711" si="4889">BF465-BF712</f>
        <v>-606.89415788619726</v>
      </c>
      <c r="BG711" s="55">
        <f t="shared" si="4889"/>
        <v>-515.62895287217475</v>
      </c>
      <c r="BH711" s="55">
        <f t="shared" si="4889"/>
        <v>-467.94741442734119</v>
      </c>
      <c r="BI711" s="55">
        <f t="shared" si="4889"/>
        <v>-452.29153897967217</v>
      </c>
      <c r="BJ711" s="55">
        <f t="shared" si="4889"/>
        <v>-573.45169612315863</v>
      </c>
      <c r="BK711" s="55">
        <f t="shared" si="4889"/>
        <v>-676.18647928164501</v>
      </c>
      <c r="BL711" s="55">
        <f t="shared" si="4889"/>
        <v>-777.60037415420811</v>
      </c>
      <c r="BM711" s="55">
        <f t="shared" si="4889"/>
        <v>-781.71784877662105</v>
      </c>
      <c r="BN711" s="55">
        <f t="shared" ref="BN711:BO711" si="4890">BN465-BN712</f>
        <v>-802.45383227300067</v>
      </c>
      <c r="BO711" s="55">
        <f t="shared" si="4890"/>
        <v>-802.96354108970763</v>
      </c>
      <c r="BP711" s="55">
        <f t="shared" ref="BP711:BQ711" si="4891">BP465-BP712</f>
        <v>-826.26225495073413</v>
      </c>
      <c r="BQ711" s="55">
        <f t="shared" si="4891"/>
        <v>-826.80976373105386</v>
      </c>
      <c r="BR711" s="55"/>
      <c r="BS711" s="55"/>
      <c r="BT711" s="55"/>
      <c r="BU711" s="55"/>
      <c r="BV711" s="55"/>
      <c r="BW711" s="55"/>
      <c r="BX711" s="55"/>
      <c r="BY711" s="55"/>
      <c r="BZ711" s="55"/>
      <c r="CA711" s="55"/>
      <c r="CB711" s="55"/>
      <c r="CC711" s="55"/>
      <c r="CD711" s="55"/>
      <c r="CE711" s="55"/>
      <c r="CF711" s="55"/>
      <c r="CG711" s="55">
        <f t="shared" si="4825"/>
        <v>-440</v>
      </c>
      <c r="CH711" s="55">
        <f t="shared" si="4826"/>
        <v>-507</v>
      </c>
      <c r="CI711" s="55">
        <f t="shared" si="4827"/>
        <v>-303</v>
      </c>
      <c r="CJ711" s="55">
        <f t="shared" si="4828"/>
        <v>-2216</v>
      </c>
      <c r="CK711" s="55">
        <f t="shared" si="4829"/>
        <v>-1174</v>
      </c>
      <c r="CL711" s="55">
        <f t="shared" si="4830"/>
        <v>-1235</v>
      </c>
      <c r="CM711" s="55">
        <f t="shared" si="4831"/>
        <v>-777</v>
      </c>
      <c r="CN711" s="55">
        <f t="shared" si="4832"/>
        <v>-523</v>
      </c>
      <c r="CO711" s="55">
        <f t="shared" si="4833"/>
        <v>-456</v>
      </c>
      <c r="CP711" s="55">
        <f t="shared" si="4834"/>
        <v>-399</v>
      </c>
      <c r="CQ711" s="55">
        <f t="shared" si="4835"/>
        <v>-592</v>
      </c>
      <c r="CR711" s="55">
        <f t="shared" si="4836"/>
        <v>-627</v>
      </c>
      <c r="CS711" s="55">
        <f t="shared" si="4837"/>
        <v>-478</v>
      </c>
      <c r="CT711" s="55">
        <f t="shared" si="4838"/>
        <v>-477</v>
      </c>
      <c r="CU711" s="55">
        <f t="shared" si="4839"/>
        <v>-475</v>
      </c>
      <c r="CV711" s="55">
        <f t="shared" si="4840"/>
        <v>-267</v>
      </c>
      <c r="CW711" s="55">
        <f t="shared" si="4841"/>
        <v>-149</v>
      </c>
      <c r="CX711" s="55">
        <f t="shared" si="4842"/>
        <v>-313</v>
      </c>
      <c r="CY711" s="55">
        <f t="shared" si="4843"/>
        <v>-226</v>
      </c>
      <c r="CZ711" s="56">
        <f t="shared" si="4844"/>
        <v>-270</v>
      </c>
      <c r="DA711" s="55">
        <f t="shared" si="4845"/>
        <v>-525.25326120567422</v>
      </c>
      <c r="DB711" s="55">
        <f t="shared" si="4846"/>
        <v>-929.55783337273704</v>
      </c>
      <c r="DC711" s="55">
        <f t="shared" si="4847"/>
        <v>-1250.0999252961667</v>
      </c>
      <c r="DD711" s="55">
        <f t="shared" si="4848"/>
        <v>-1122.523110758372</v>
      </c>
      <c r="DE711" s="55">
        <f t="shared" si="4849"/>
        <v>-920.23895340701335</v>
      </c>
      <c r="DF711" s="55">
        <f t="shared" si="4850"/>
        <v>-1249.6381754048036</v>
      </c>
      <c r="DG711" s="55">
        <f t="shared" si="4851"/>
        <v>-1559.3182229308291</v>
      </c>
      <c r="DH711" s="55">
        <f t="shared" si="4852"/>
        <v>-1605.4173733627083</v>
      </c>
      <c r="DI711" s="55">
        <f t="shared" si="4853"/>
        <v>-1653.072018681788</v>
      </c>
    </row>
    <row r="712" spans="1:113" outlineLevel="1">
      <c r="A712" s="1" t="s">
        <v>2246</v>
      </c>
      <c r="B712" s="19" t="s">
        <v>2247</v>
      </c>
      <c r="C712" s="164">
        <f>203+50-277</f>
        <v>-24</v>
      </c>
      <c r="D712" s="164">
        <f>290-356</f>
        <v>-66</v>
      </c>
      <c r="E712" s="164">
        <f>159-139</f>
        <v>20</v>
      </c>
      <c r="F712" s="164">
        <f>151-190</f>
        <v>-39</v>
      </c>
      <c r="G712" s="164">
        <f>154-160</f>
        <v>-6</v>
      </c>
      <c r="H712" s="164">
        <f>150-118</f>
        <v>32</v>
      </c>
      <c r="I712" s="164">
        <f>126-84</f>
        <v>42</v>
      </c>
      <c r="J712" s="164">
        <v>26</v>
      </c>
      <c r="K712" s="164">
        <v>4</v>
      </c>
      <c r="L712" s="164">
        <v>12</v>
      </c>
      <c r="M712" s="164">
        <v>30</v>
      </c>
      <c r="N712" s="164">
        <v>44</v>
      </c>
      <c r="O712" s="164">
        <v>29</v>
      </c>
      <c r="P712" s="164">
        <v>-190</v>
      </c>
      <c r="Q712" s="164">
        <v>-437</v>
      </c>
      <c r="R712" s="164">
        <v>-601</v>
      </c>
      <c r="S712" s="164">
        <v>-575</v>
      </c>
      <c r="T712" s="164">
        <v>-498</v>
      </c>
      <c r="U712" s="164">
        <v>-403</v>
      </c>
      <c r="V712" s="164">
        <v>-147</v>
      </c>
      <c r="W712" s="164">
        <v>102</v>
      </c>
      <c r="X712" s="164">
        <v>-201</v>
      </c>
      <c r="Y712" s="164">
        <v>-111</v>
      </c>
      <c r="Z712" s="164">
        <v>-299</v>
      </c>
      <c r="AA712" s="164">
        <v>-260</v>
      </c>
      <c r="AB712" s="164">
        <v>-278</v>
      </c>
      <c r="AC712" s="164">
        <v>-219</v>
      </c>
      <c r="AD712" s="164">
        <v>-264</v>
      </c>
      <c r="AE712" s="164">
        <v>-325</v>
      </c>
      <c r="AF712" s="164">
        <v>-324</v>
      </c>
      <c r="AG712" s="164">
        <v>-340</v>
      </c>
      <c r="AH712" s="164">
        <v>-324</v>
      </c>
      <c r="AI712" s="164">
        <v>-293</v>
      </c>
      <c r="AJ712" s="164">
        <v>-385</v>
      </c>
      <c r="AK712" s="164">
        <v>-331</v>
      </c>
      <c r="AL712" s="164">
        <v>-312</v>
      </c>
      <c r="AM712" s="164">
        <v>-412</v>
      </c>
      <c r="AN712" s="164">
        <v>-446</v>
      </c>
      <c r="AO712" s="164">
        <v>-1597</v>
      </c>
      <c r="AP712" s="164">
        <v>-768</v>
      </c>
      <c r="AQ712" s="164">
        <v>481</v>
      </c>
      <c r="AR712" s="164">
        <v>161</v>
      </c>
      <c r="AS712" s="164">
        <v>345</v>
      </c>
      <c r="AT712" s="164">
        <v>-357</v>
      </c>
      <c r="AU712" s="164">
        <v>-438</v>
      </c>
      <c r="AV712" s="164">
        <v>-307</v>
      </c>
      <c r="AW712" s="164">
        <v>-269</v>
      </c>
      <c r="AX712" s="164">
        <v>-221</v>
      </c>
      <c r="AY712" s="164">
        <v>-235</v>
      </c>
      <c r="AZ712" s="171">
        <v>-218</v>
      </c>
      <c r="BA712" s="55">
        <f t="shared" ref="BA712:BE712" si="4892">BA121-AZ121</f>
        <v>25.271097021892274</v>
      </c>
      <c r="BB712" s="55">
        <f t="shared" si="4892"/>
        <v>12.271282640100253</v>
      </c>
      <c r="BC712" s="55">
        <f t="shared" si="4892"/>
        <v>11.565647113533487</v>
      </c>
      <c r="BD712" s="55">
        <f t="shared" si="4892"/>
        <v>73.959026869918489</v>
      </c>
      <c r="BE712" s="55">
        <f t="shared" si="4892"/>
        <v>72.104525918309264</v>
      </c>
      <c r="BF712" s="55">
        <f t="shared" ref="BF712:BM712" si="4893">BF121-BE121</f>
        <v>92.369245098635474</v>
      </c>
      <c r="BG712" s="55">
        <f t="shared" si="4893"/>
        <v>87.113527760416218</v>
      </c>
      <c r="BH712" s="55">
        <f t="shared" si="4893"/>
        <v>89.545383500994831</v>
      </c>
      <c r="BI712" s="55">
        <f t="shared" si="4893"/>
        <v>82.746837958642573</v>
      </c>
      <c r="BJ712" s="55">
        <f t="shared" si="4893"/>
        <v>44.831068822940324</v>
      </c>
      <c r="BK712" s="55">
        <f t="shared" si="4893"/>
        <v>55.497870993913239</v>
      </c>
      <c r="BL712" s="55">
        <f t="shared" si="4893"/>
        <v>56.04012082436293</v>
      </c>
      <c r="BM712" s="55">
        <f t="shared" si="4893"/>
        <v>56.587712718647708</v>
      </c>
      <c r="BN712" s="55">
        <f t="shared" ref="BN712" si="4894">BN121-BM121</f>
        <v>57.140699432455222</v>
      </c>
      <c r="BO712" s="55">
        <f t="shared" ref="BO712" si="4895">BO121-BN121</f>
        <v>57.699134243047411</v>
      </c>
      <c r="BP712" s="55">
        <f t="shared" ref="BP712" si="4896">BP121-BO121</f>
        <v>58.263070954391878</v>
      </c>
      <c r="BQ712" s="55">
        <f t="shared" ref="BQ712" si="4897">BQ121-BP121</f>
        <v>58.832563902395123</v>
      </c>
      <c r="BR712" s="55"/>
      <c r="BS712" s="55"/>
      <c r="BT712" s="55"/>
      <c r="BU712" s="55"/>
      <c r="BV712" s="55"/>
      <c r="BW712" s="55"/>
      <c r="BX712" s="55"/>
      <c r="BY712" s="55"/>
      <c r="BZ712" s="55"/>
      <c r="CA712" s="55"/>
      <c r="CB712" s="55"/>
      <c r="CC712" s="55"/>
      <c r="CD712" s="55"/>
      <c r="CE712" s="55"/>
      <c r="CF712" s="55"/>
      <c r="CG712" s="55">
        <f t="shared" si="4825"/>
        <v>42</v>
      </c>
      <c r="CH712" s="55">
        <f t="shared" si="4826"/>
        <v>73</v>
      </c>
      <c r="CI712" s="55">
        <f t="shared" si="4827"/>
        <v>-627</v>
      </c>
      <c r="CJ712" s="55">
        <f t="shared" si="4828"/>
        <v>-1176</v>
      </c>
      <c r="CK712" s="55">
        <f t="shared" si="4829"/>
        <v>-901</v>
      </c>
      <c r="CL712" s="55">
        <f t="shared" si="4830"/>
        <v>-45</v>
      </c>
      <c r="CM712" s="55">
        <f t="shared" si="4831"/>
        <v>-312</v>
      </c>
      <c r="CN712" s="55">
        <f t="shared" si="4832"/>
        <v>-559</v>
      </c>
      <c r="CO712" s="55">
        <f t="shared" si="4833"/>
        <v>-497</v>
      </c>
      <c r="CP712" s="55">
        <f t="shared" si="4834"/>
        <v>-589</v>
      </c>
      <c r="CQ712" s="55">
        <f t="shared" si="4835"/>
        <v>-664</v>
      </c>
      <c r="CR712" s="55">
        <f t="shared" si="4836"/>
        <v>-664</v>
      </c>
      <c r="CS712" s="55">
        <f t="shared" si="4837"/>
        <v>-617</v>
      </c>
      <c r="CT712" s="55">
        <f t="shared" si="4838"/>
        <v>-724</v>
      </c>
      <c r="CU712" s="55">
        <f t="shared" si="4839"/>
        <v>-2043</v>
      </c>
      <c r="CV712" s="55">
        <f t="shared" si="4840"/>
        <v>-287</v>
      </c>
      <c r="CW712" s="55">
        <f t="shared" si="4841"/>
        <v>506</v>
      </c>
      <c r="CX712" s="55">
        <f t="shared" si="4842"/>
        <v>-795</v>
      </c>
      <c r="CY712" s="55">
        <f t="shared" si="4843"/>
        <v>-576</v>
      </c>
      <c r="CZ712" s="56">
        <f t="shared" si="4844"/>
        <v>-456</v>
      </c>
      <c r="DA712" s="55">
        <f t="shared" si="4845"/>
        <v>-192.72890297810773</v>
      </c>
      <c r="DB712" s="55">
        <f t="shared" si="4846"/>
        <v>23.83692975363374</v>
      </c>
      <c r="DC712" s="55">
        <f t="shared" si="4847"/>
        <v>146.06355278822775</v>
      </c>
      <c r="DD712" s="55">
        <f t="shared" si="4848"/>
        <v>179.48277285905169</v>
      </c>
      <c r="DE712" s="55">
        <f t="shared" si="4849"/>
        <v>172.2922214596374</v>
      </c>
      <c r="DF712" s="55">
        <f t="shared" si="4850"/>
        <v>100.32893981685356</v>
      </c>
      <c r="DG712" s="55">
        <f t="shared" si="4851"/>
        <v>112.62783354301064</v>
      </c>
      <c r="DH712" s="55">
        <f t="shared" si="4852"/>
        <v>114.83983367550263</v>
      </c>
      <c r="DI712" s="55">
        <f t="shared" si="4853"/>
        <v>117.095634856787</v>
      </c>
    </row>
    <row r="713" spans="1:113" outlineLevel="1">
      <c r="A713" s="1" t="s">
        <v>2248</v>
      </c>
      <c r="B713" s="19" t="s">
        <v>2249</v>
      </c>
      <c r="C713" s="164">
        <f>-25-292</f>
        <v>-317</v>
      </c>
      <c r="D713" s="164">
        <f>-27-280</f>
        <v>-307</v>
      </c>
      <c r="E713" s="164">
        <f>-27-168</f>
        <v>-195</v>
      </c>
      <c r="F713" s="164">
        <f>-23-196</f>
        <v>-219</v>
      </c>
      <c r="G713" s="164">
        <f>-28-208</f>
        <v>-236</v>
      </c>
      <c r="H713" s="164">
        <f>-34-124</f>
        <v>-158</v>
      </c>
      <c r="I713" s="164">
        <f>-53-143</f>
        <v>-196</v>
      </c>
      <c r="J713" s="164">
        <f>-28-132</f>
        <v>-160</v>
      </c>
      <c r="K713" s="164">
        <f>-28-203</f>
        <v>-231</v>
      </c>
      <c r="L713" s="164">
        <v>-235</v>
      </c>
      <c r="M713" s="164">
        <v>-262</v>
      </c>
      <c r="N713" s="164">
        <v>-259</v>
      </c>
      <c r="O713" s="164">
        <v>-260</v>
      </c>
      <c r="P713" s="164">
        <v>-241</v>
      </c>
      <c r="Q713" s="164">
        <v>-262</v>
      </c>
      <c r="R713" s="164">
        <v>-271</v>
      </c>
      <c r="S713" s="164">
        <v>-872</v>
      </c>
      <c r="T713" s="164">
        <v>-1159</v>
      </c>
      <c r="U713" s="164">
        <v>-914</v>
      </c>
      <c r="V713" s="164">
        <v>-828</v>
      </c>
      <c r="W713" s="164">
        <v>-1147</v>
      </c>
      <c r="X713" s="164">
        <v>-843</v>
      </c>
      <c r="Y713" s="164">
        <v>-1034</v>
      </c>
      <c r="Z713" s="164">
        <v>-1010</v>
      </c>
      <c r="AA713" s="164">
        <f>-346-533</f>
        <v>-879</v>
      </c>
      <c r="AB713" s="164">
        <f>-369-479</f>
        <v>-848</v>
      </c>
      <c r="AC713" s="164">
        <f>-384-581</f>
        <v>-965</v>
      </c>
      <c r="AD713" s="164">
        <f>-383-229</f>
        <v>-612</v>
      </c>
      <c r="AE713" s="164">
        <f>-387-480</f>
        <v>-867</v>
      </c>
      <c r="AF713" s="164">
        <f>-415-232</f>
        <v>-647</v>
      </c>
      <c r="AG713" s="164">
        <f>-431-339</f>
        <v>-770</v>
      </c>
      <c r="AH713" s="164">
        <f>-443-207</f>
        <v>-650</v>
      </c>
      <c r="AI713" s="164">
        <f>-451-247</f>
        <v>-698</v>
      </c>
      <c r="AJ713" s="164">
        <f>-433-235</f>
        <v>-668</v>
      </c>
      <c r="AK713" s="164">
        <f>-438-313</f>
        <v>-751</v>
      </c>
      <c r="AL713" s="164">
        <f>-438-244</f>
        <v>-682</v>
      </c>
      <c r="AM713" s="164">
        <f>-463-256</f>
        <v>-719</v>
      </c>
      <c r="AN713" s="164">
        <f>-406-163</f>
        <v>-569</v>
      </c>
      <c r="AO713" s="164">
        <f>-357-281</f>
        <v>-638</v>
      </c>
      <c r="AP713" s="164">
        <f>-300-201</f>
        <v>-501</v>
      </c>
      <c r="AQ713" s="164">
        <f>-236-121</f>
        <v>-357</v>
      </c>
      <c r="AR713" s="164">
        <f>-188-205</f>
        <v>-393</v>
      </c>
      <c r="AS713" s="164">
        <f>-155-137</f>
        <v>-292</v>
      </c>
      <c r="AT713" s="164">
        <f>-161-267</f>
        <v>-428</v>
      </c>
      <c r="AU713" s="164">
        <f>-193-63</f>
        <v>-256</v>
      </c>
      <c r="AV713" s="164">
        <f>-236-140</f>
        <v>-376</v>
      </c>
      <c r="AW713" s="164">
        <f>-238-150</f>
        <v>-388</v>
      </c>
      <c r="AX713" s="164">
        <f>-245-110</f>
        <v>-355</v>
      </c>
      <c r="AY713" s="164">
        <f>-267-119</f>
        <v>-386</v>
      </c>
      <c r="AZ713" s="171">
        <f>+-274-141</f>
        <v>-415</v>
      </c>
      <c r="BA713" s="55">
        <f t="shared" ref="BA713:BE713" si="4898">AZ713*(BA470/AZ470)</f>
        <v>-453.68121981173454</v>
      </c>
      <c r="BB713" s="55">
        <f t="shared" si="4898"/>
        <v>-523.07859708003457</v>
      </c>
      <c r="BC713" s="55">
        <f t="shared" si="4898"/>
        <v>-619.92703191979638</v>
      </c>
      <c r="BD713" s="55">
        <f t="shared" si="4898"/>
        <v>-632.1651163475459</v>
      </c>
      <c r="BE713" s="55">
        <f t="shared" si="4898"/>
        <v>-636.91872669131294</v>
      </c>
      <c r="BF713" s="55">
        <f t="shared" ref="BF713:BM713" si="4899">BE713*(BF470/BE470)</f>
        <v>-534.87663044502096</v>
      </c>
      <c r="BG713" s="55">
        <f t="shared" si="4899"/>
        <v>-431.27383773459587</v>
      </c>
      <c r="BH713" s="55">
        <f t="shared" si="4899"/>
        <v>-419.75086240502094</v>
      </c>
      <c r="BI713" s="55">
        <f t="shared" si="4899"/>
        <v>-421.7025664173982</v>
      </c>
      <c r="BJ713" s="55">
        <f t="shared" si="4899"/>
        <v>-552.23150213696545</v>
      </c>
      <c r="BK713" s="55">
        <f t="shared" si="4899"/>
        <v>-645.18005029021117</v>
      </c>
      <c r="BL713" s="55">
        <f t="shared" si="4899"/>
        <v>-760.71559438318457</v>
      </c>
      <c r="BM713" s="55">
        <f t="shared" si="4899"/>
        <v>-764.07528862732863</v>
      </c>
      <c r="BN713" s="55">
        <f t="shared" ref="BN713" si="4900">BM713*(BN470/BM470)</f>
        <v>-786.57756319149689</v>
      </c>
      <c r="BO713" s="55">
        <f t="shared" ref="BO713" si="4901">BN713*(BO470/BN470)</f>
        <v>-785.74839954758602</v>
      </c>
      <c r="BP713" s="55">
        <f t="shared" ref="BP713" si="4902">BO713*(BP470/BO470)</f>
        <v>-811.17468327750112</v>
      </c>
      <c r="BQ713" s="55">
        <f t="shared" ref="BQ713" si="4903">BP713*(BQ470/BP470)</f>
        <v>-810.35849696549224</v>
      </c>
      <c r="BR713" s="55"/>
      <c r="BS713" s="55"/>
      <c r="BT713" s="55"/>
      <c r="BU713" s="55"/>
      <c r="BV713" s="55"/>
      <c r="BW713" s="55"/>
      <c r="BX713" s="55"/>
      <c r="BY713" s="55"/>
      <c r="BZ713" s="55"/>
      <c r="CA713" s="55"/>
      <c r="CB713" s="55"/>
      <c r="CC713" s="55"/>
      <c r="CD713" s="55"/>
      <c r="CE713" s="55"/>
      <c r="CF713" s="55"/>
      <c r="CG713" s="55">
        <f t="shared" si="4825"/>
        <v>-497</v>
      </c>
      <c r="CH713" s="55">
        <f t="shared" si="4826"/>
        <v>-519</v>
      </c>
      <c r="CI713" s="55">
        <f t="shared" si="4827"/>
        <v>-503</v>
      </c>
      <c r="CJ713" s="55">
        <f t="shared" si="4828"/>
        <v>-1143</v>
      </c>
      <c r="CK713" s="55">
        <f t="shared" si="4829"/>
        <v>-2073</v>
      </c>
      <c r="CL713" s="55">
        <f t="shared" si="4830"/>
        <v>-1975</v>
      </c>
      <c r="CM713" s="55">
        <f t="shared" si="4831"/>
        <v>-1877</v>
      </c>
      <c r="CN713" s="55">
        <f t="shared" si="4832"/>
        <v>-1889</v>
      </c>
      <c r="CO713" s="55">
        <f t="shared" si="4833"/>
        <v>-1813</v>
      </c>
      <c r="CP713" s="55">
        <f t="shared" si="4834"/>
        <v>-1479</v>
      </c>
      <c r="CQ713" s="55">
        <f t="shared" si="4835"/>
        <v>-1417</v>
      </c>
      <c r="CR713" s="55">
        <f t="shared" si="4836"/>
        <v>-1420</v>
      </c>
      <c r="CS713" s="55">
        <f t="shared" si="4837"/>
        <v>-1348</v>
      </c>
      <c r="CT713" s="55">
        <f t="shared" si="4838"/>
        <v>-1401</v>
      </c>
      <c r="CU713" s="55">
        <f t="shared" si="4839"/>
        <v>-1207</v>
      </c>
      <c r="CV713" s="55">
        <f t="shared" si="4840"/>
        <v>-858</v>
      </c>
      <c r="CW713" s="55">
        <f t="shared" si="4841"/>
        <v>-685</v>
      </c>
      <c r="CX713" s="55">
        <f t="shared" si="4842"/>
        <v>-684</v>
      </c>
      <c r="CY713" s="55">
        <f t="shared" si="4843"/>
        <v>-764</v>
      </c>
      <c r="CZ713" s="56">
        <f t="shared" si="4844"/>
        <v>-741</v>
      </c>
      <c r="DA713" s="55">
        <f t="shared" si="4845"/>
        <v>-868.68121981173454</v>
      </c>
      <c r="DB713" s="55">
        <f t="shared" si="4846"/>
        <v>-1143.0056289998311</v>
      </c>
      <c r="DC713" s="55">
        <f t="shared" si="4847"/>
        <v>-1269.083843038859</v>
      </c>
      <c r="DD713" s="55">
        <f t="shared" si="4848"/>
        <v>-966.15046817961684</v>
      </c>
      <c r="DE713" s="55">
        <f t="shared" si="4849"/>
        <v>-841.45342882241914</v>
      </c>
      <c r="DF713" s="55">
        <f t="shared" si="4850"/>
        <v>-1197.4115524271765</v>
      </c>
      <c r="DG713" s="55">
        <f t="shared" si="4851"/>
        <v>-1524.7908830105132</v>
      </c>
      <c r="DH713" s="55">
        <f t="shared" si="4852"/>
        <v>-1572.325962739083</v>
      </c>
      <c r="DI713" s="55">
        <f t="shared" si="4853"/>
        <v>-1621.5331802429932</v>
      </c>
    </row>
    <row r="714" spans="1:113" outlineLevel="2">
      <c r="A714" s="1" t="s">
        <v>2420</v>
      </c>
      <c r="B714" s="19" t="s">
        <v>801</v>
      </c>
      <c r="C714" s="164"/>
      <c r="D714" s="164"/>
      <c r="E714" s="164"/>
      <c r="F714" s="164"/>
      <c r="G714" s="164"/>
      <c r="H714" s="164"/>
      <c r="I714" s="164"/>
      <c r="J714" s="164"/>
      <c r="K714" s="164"/>
      <c r="L714" s="164"/>
      <c r="M714" s="164"/>
      <c r="N714" s="164"/>
      <c r="O714" s="164"/>
      <c r="P714" s="164"/>
      <c r="Q714" s="164"/>
      <c r="R714" s="164"/>
      <c r="S714" s="164"/>
      <c r="T714" s="164"/>
      <c r="U714" s="164"/>
      <c r="V714" s="164"/>
      <c r="W714" s="164"/>
      <c r="X714" s="164"/>
      <c r="Y714" s="164"/>
      <c r="Z714" s="164"/>
      <c r="AA714" s="55"/>
      <c r="AB714" s="55"/>
      <c r="AC714" s="55"/>
      <c r="AD714" s="55"/>
      <c r="AE714" s="55"/>
      <c r="AF714" s="55"/>
      <c r="AG714" s="55"/>
      <c r="AH714" s="55"/>
      <c r="AI714" s="55"/>
      <c r="AJ714" s="55"/>
      <c r="AK714" s="55"/>
      <c r="AL714" s="55"/>
      <c r="AM714" s="55"/>
      <c r="AN714" s="55"/>
      <c r="AO714" s="55"/>
      <c r="AP714" s="55"/>
      <c r="AQ714" s="55"/>
      <c r="AR714" s="55"/>
      <c r="AS714" s="55"/>
      <c r="AT714" s="55"/>
      <c r="AU714" s="55"/>
      <c r="AV714" s="55"/>
      <c r="AW714" s="55"/>
      <c r="AX714" s="55"/>
      <c r="AY714" s="55"/>
      <c r="AZ714" s="56"/>
      <c r="BA714" s="55"/>
      <c r="BB714" s="55"/>
      <c r="BC714" s="55"/>
      <c r="BD714" s="55"/>
      <c r="BE714" s="55"/>
      <c r="BF714" s="55"/>
      <c r="BG714" s="55"/>
      <c r="BH714" s="55"/>
      <c r="BI714" s="55"/>
      <c r="BJ714" s="55"/>
      <c r="BK714" s="55"/>
      <c r="BL714" s="55"/>
      <c r="BM714" s="55"/>
      <c r="BN714" s="55"/>
      <c r="BO714" s="55"/>
      <c r="BP714" s="55"/>
      <c r="BQ714" s="55"/>
      <c r="BR714" s="55"/>
      <c r="BS714" s="55"/>
      <c r="BT714" s="55"/>
      <c r="BU714" s="55"/>
      <c r="BV714" s="55"/>
      <c r="BW714" s="55"/>
      <c r="BX714" s="55"/>
      <c r="BY714" s="55"/>
      <c r="BZ714" s="55"/>
      <c r="CA714" s="55"/>
      <c r="CB714" s="55"/>
      <c r="CC714" s="55"/>
      <c r="CD714" s="55"/>
      <c r="CE714" s="55"/>
      <c r="CF714" s="55"/>
      <c r="CG714" s="55"/>
      <c r="CH714" s="55"/>
      <c r="CI714" s="55"/>
      <c r="CJ714" s="55"/>
      <c r="CK714" s="55"/>
      <c r="CL714" s="55"/>
      <c r="CM714" s="55"/>
      <c r="CN714" s="55"/>
      <c r="CO714" s="55"/>
      <c r="CP714" s="55"/>
      <c r="CQ714" s="55"/>
      <c r="CR714" s="55"/>
      <c r="CS714" s="55"/>
      <c r="CT714" s="55"/>
      <c r="CU714" s="55"/>
      <c r="CV714" s="55"/>
      <c r="CW714" s="55"/>
      <c r="CX714" s="55"/>
      <c r="CY714" s="55"/>
      <c r="CZ714" s="56"/>
      <c r="DA714" s="55"/>
      <c r="DB714" s="55"/>
    </row>
    <row r="715" spans="1:113" outlineLevel="2">
      <c r="A715" s="1" t="s">
        <v>2421</v>
      </c>
      <c r="B715" s="19" t="s">
        <v>801</v>
      </c>
      <c r="C715" s="164"/>
      <c r="D715" s="164"/>
      <c r="E715" s="164"/>
      <c r="F715" s="164"/>
      <c r="G715" s="164"/>
      <c r="H715" s="164"/>
      <c r="I715" s="164"/>
      <c r="J715" s="164"/>
      <c r="K715" s="164"/>
      <c r="L715" s="164"/>
      <c r="M715" s="164"/>
      <c r="N715" s="164"/>
      <c r="O715" s="164"/>
      <c r="P715" s="164"/>
      <c r="Q715" s="164"/>
      <c r="R715" s="164"/>
      <c r="S715" s="164"/>
      <c r="T715" s="164"/>
      <c r="U715" s="164"/>
      <c r="V715" s="164"/>
      <c r="W715" s="164"/>
      <c r="X715" s="164"/>
      <c r="Y715" s="164"/>
      <c r="Z715" s="164"/>
      <c r="AA715" s="55"/>
      <c r="AB715" s="55"/>
      <c r="AC715" s="55"/>
      <c r="AD715" s="55"/>
      <c r="AE715" s="55"/>
      <c r="AF715" s="55"/>
      <c r="AG715" s="55"/>
      <c r="AH715" s="55"/>
      <c r="AI715" s="55"/>
      <c r="AJ715" s="55"/>
      <c r="AK715" s="55"/>
      <c r="AL715" s="55"/>
      <c r="AM715" s="55"/>
      <c r="AN715" s="55"/>
      <c r="AO715" s="55"/>
      <c r="AP715" s="55"/>
      <c r="AQ715" s="55"/>
      <c r="AR715" s="55"/>
      <c r="AS715" s="55"/>
      <c r="AT715" s="55"/>
      <c r="AU715" s="55"/>
      <c r="AV715" s="55"/>
      <c r="AW715" s="55"/>
      <c r="AX715" s="55"/>
      <c r="AY715" s="55"/>
      <c r="AZ715" s="56"/>
      <c r="BA715" s="55"/>
      <c r="BB715" s="55"/>
      <c r="BC715" s="55"/>
      <c r="BD715" s="55"/>
      <c r="BE715" s="55"/>
      <c r="BF715" s="55"/>
      <c r="BG715" s="55"/>
      <c r="BH715" s="55"/>
      <c r="BI715" s="55"/>
      <c r="BJ715" s="55"/>
      <c r="BK715" s="55"/>
      <c r="BL715" s="55"/>
      <c r="BM715" s="55"/>
      <c r="BN715" s="55"/>
      <c r="BO715" s="55"/>
      <c r="BP715" s="55"/>
      <c r="BQ715" s="55"/>
      <c r="BR715" s="55"/>
      <c r="BS715" s="55"/>
      <c r="BT715" s="55"/>
      <c r="BU715" s="55"/>
      <c r="BV715" s="55"/>
      <c r="BW715" s="55"/>
      <c r="BX715" s="55"/>
      <c r="BY715" s="55"/>
      <c r="BZ715" s="55"/>
      <c r="CA715" s="55"/>
      <c r="CB715" s="55"/>
      <c r="CC715" s="55"/>
      <c r="CD715" s="55"/>
      <c r="CE715" s="55"/>
      <c r="CF715" s="55"/>
      <c r="CG715" s="55"/>
      <c r="CH715" s="55"/>
      <c r="CI715" s="55"/>
      <c r="CJ715" s="55"/>
      <c r="CK715" s="55"/>
      <c r="CL715" s="55"/>
      <c r="CM715" s="55"/>
      <c r="CN715" s="55"/>
      <c r="CO715" s="55"/>
      <c r="CP715" s="55"/>
      <c r="CQ715" s="55"/>
      <c r="CR715" s="55"/>
      <c r="CS715" s="55"/>
      <c r="CT715" s="55"/>
      <c r="CU715" s="55"/>
      <c r="CV715" s="55"/>
      <c r="CW715" s="55"/>
      <c r="CX715" s="55"/>
      <c r="CY715" s="55"/>
      <c r="CZ715" s="56"/>
      <c r="DA715" s="55"/>
      <c r="DB715" s="55"/>
    </row>
    <row r="716" spans="1:113" outlineLevel="2">
      <c r="A716" s="1" t="s">
        <v>2422</v>
      </c>
      <c r="B716" s="19" t="s">
        <v>801</v>
      </c>
      <c r="C716" s="164"/>
      <c r="D716" s="164"/>
      <c r="E716" s="164"/>
      <c r="F716" s="164"/>
      <c r="G716" s="164"/>
      <c r="H716" s="164"/>
      <c r="I716" s="164"/>
      <c r="J716" s="164"/>
      <c r="K716" s="164"/>
      <c r="L716" s="164"/>
      <c r="M716" s="164"/>
      <c r="N716" s="164"/>
      <c r="O716" s="164"/>
      <c r="P716" s="164"/>
      <c r="Q716" s="164"/>
      <c r="R716" s="164"/>
      <c r="S716" s="164"/>
      <c r="T716" s="164"/>
      <c r="U716" s="164"/>
      <c r="V716" s="164"/>
      <c r="W716" s="164"/>
      <c r="X716" s="164"/>
      <c r="Y716" s="164"/>
      <c r="Z716" s="164"/>
      <c r="AA716" s="55"/>
      <c r="AB716" s="55"/>
      <c r="AC716" s="55"/>
      <c r="AD716" s="55"/>
      <c r="AE716" s="55"/>
      <c r="AF716" s="55"/>
      <c r="AG716" s="55"/>
      <c r="AH716" s="55"/>
      <c r="AI716" s="55"/>
      <c r="AJ716" s="55"/>
      <c r="AK716" s="55"/>
      <c r="AL716" s="55"/>
      <c r="AM716" s="55"/>
      <c r="AN716" s="55"/>
      <c r="AO716" s="55"/>
      <c r="AP716" s="55"/>
      <c r="AQ716" s="55"/>
      <c r="AR716" s="55"/>
      <c r="AS716" s="55"/>
      <c r="AT716" s="55"/>
      <c r="AU716" s="55"/>
      <c r="AV716" s="55"/>
      <c r="AW716" s="55"/>
      <c r="AX716" s="55"/>
      <c r="AY716" s="55"/>
      <c r="AZ716" s="56"/>
      <c r="BA716" s="55"/>
      <c r="BB716" s="55"/>
      <c r="BC716" s="55"/>
      <c r="BD716" s="55"/>
      <c r="BE716" s="55"/>
      <c r="BF716" s="55"/>
      <c r="BG716" s="55"/>
      <c r="BH716" s="55"/>
      <c r="BI716" s="55"/>
      <c r="BJ716" s="55"/>
      <c r="BK716" s="55"/>
      <c r="BL716" s="55"/>
      <c r="BM716" s="55"/>
      <c r="BN716" s="55"/>
      <c r="BO716" s="55"/>
      <c r="BP716" s="55"/>
      <c r="BQ716" s="55"/>
      <c r="BR716" s="55"/>
      <c r="BS716" s="55"/>
      <c r="BT716" s="55"/>
      <c r="BU716" s="55"/>
      <c r="BV716" s="55"/>
      <c r="BW716" s="55"/>
      <c r="BX716" s="55"/>
      <c r="BY716" s="55"/>
      <c r="BZ716" s="55"/>
      <c r="CA716" s="55"/>
      <c r="CB716" s="55"/>
      <c r="CC716" s="55"/>
      <c r="CD716" s="55"/>
      <c r="CE716" s="55"/>
      <c r="CF716" s="55"/>
      <c r="CG716" s="55"/>
      <c r="CH716" s="55"/>
      <c r="CI716" s="55"/>
      <c r="CJ716" s="55"/>
      <c r="CK716" s="55"/>
      <c r="CL716" s="55"/>
      <c r="CM716" s="55"/>
      <c r="CN716" s="55"/>
      <c r="CO716" s="55"/>
      <c r="CP716" s="55"/>
      <c r="CQ716" s="55"/>
      <c r="CR716" s="55"/>
      <c r="CS716" s="55"/>
      <c r="CT716" s="55"/>
      <c r="CU716" s="55"/>
      <c r="CV716" s="55"/>
      <c r="CW716" s="55"/>
      <c r="CX716" s="55"/>
      <c r="CY716" s="55"/>
      <c r="CZ716" s="56"/>
      <c r="DA716" s="55"/>
      <c r="DB716" s="55"/>
    </row>
    <row r="717" spans="1:113" outlineLevel="2">
      <c r="A717" s="1" t="s">
        <v>2423</v>
      </c>
      <c r="B717" s="19" t="s">
        <v>801</v>
      </c>
      <c r="C717" s="164"/>
      <c r="D717" s="164"/>
      <c r="E717" s="164"/>
      <c r="F717" s="164"/>
      <c r="G717" s="164"/>
      <c r="H717" s="164"/>
      <c r="I717" s="164"/>
      <c r="J717" s="164"/>
      <c r="K717" s="164"/>
      <c r="L717" s="164"/>
      <c r="M717" s="164"/>
      <c r="N717" s="164"/>
      <c r="O717" s="164"/>
      <c r="P717" s="164"/>
      <c r="Q717" s="164"/>
      <c r="R717" s="164"/>
      <c r="S717" s="164"/>
      <c r="T717" s="164"/>
      <c r="U717" s="164"/>
      <c r="V717" s="164"/>
      <c r="W717" s="164"/>
      <c r="X717" s="164"/>
      <c r="Y717" s="164"/>
      <c r="Z717" s="164"/>
      <c r="AA717" s="55"/>
      <c r="AB717" s="55"/>
      <c r="AC717" s="55"/>
      <c r="AD717" s="55"/>
      <c r="AE717" s="55"/>
      <c r="AF717" s="55"/>
      <c r="AG717" s="55"/>
      <c r="AH717" s="55"/>
      <c r="AI717" s="55"/>
      <c r="AJ717" s="55"/>
      <c r="AK717" s="55"/>
      <c r="AL717" s="55"/>
      <c r="AM717" s="55"/>
      <c r="AN717" s="55"/>
      <c r="AO717" s="55"/>
      <c r="AP717" s="55"/>
      <c r="AQ717" s="55"/>
      <c r="AR717" s="55"/>
      <c r="AS717" s="55"/>
      <c r="AT717" s="55"/>
      <c r="AU717" s="55"/>
      <c r="AV717" s="55"/>
      <c r="AW717" s="55"/>
      <c r="AX717" s="55"/>
      <c r="AY717" s="55"/>
      <c r="AZ717" s="56"/>
      <c r="BA717" s="55"/>
      <c r="BB717" s="55"/>
      <c r="BC717" s="55"/>
      <c r="BD717" s="55"/>
      <c r="BE717" s="55"/>
      <c r="BF717" s="55"/>
      <c r="BG717" s="55"/>
      <c r="BH717" s="55"/>
      <c r="BI717" s="55"/>
      <c r="BJ717" s="55"/>
      <c r="BK717" s="55"/>
      <c r="BL717" s="55"/>
      <c r="BM717" s="55"/>
      <c r="BN717" s="55"/>
      <c r="BO717" s="55"/>
      <c r="BP717" s="55"/>
      <c r="BQ717" s="55"/>
      <c r="BR717" s="55"/>
      <c r="BS717" s="55"/>
      <c r="BT717" s="55"/>
      <c r="BU717" s="55"/>
      <c r="BV717" s="55"/>
      <c r="BW717" s="55"/>
      <c r="BX717" s="55"/>
      <c r="BY717" s="55"/>
      <c r="BZ717" s="55"/>
      <c r="CA717" s="55"/>
      <c r="CB717" s="55"/>
      <c r="CC717" s="55"/>
      <c r="CD717" s="55"/>
      <c r="CE717" s="55"/>
      <c r="CF717" s="55"/>
      <c r="CG717" s="55"/>
      <c r="CH717" s="55"/>
      <c r="CI717" s="55"/>
      <c r="CJ717" s="55"/>
      <c r="CK717" s="55"/>
      <c r="CL717" s="55"/>
      <c r="CM717" s="55"/>
      <c r="CN717" s="55"/>
      <c r="CO717" s="55"/>
      <c r="CP717" s="55"/>
      <c r="CQ717" s="55"/>
      <c r="CR717" s="55"/>
      <c r="CS717" s="55"/>
      <c r="CT717" s="55"/>
      <c r="CU717" s="55"/>
      <c r="CV717" s="55"/>
      <c r="CW717" s="55"/>
      <c r="CX717" s="55"/>
      <c r="CY717" s="55"/>
      <c r="CZ717" s="56"/>
      <c r="DA717" s="55"/>
      <c r="DB717" s="55"/>
    </row>
    <row r="718" spans="1:113" outlineLevel="2">
      <c r="A718" s="1" t="s">
        <v>2424</v>
      </c>
      <c r="B718" s="19" t="s">
        <v>801</v>
      </c>
      <c r="C718" s="164"/>
      <c r="D718" s="164"/>
      <c r="E718" s="164"/>
      <c r="F718" s="164"/>
      <c r="G718" s="164"/>
      <c r="H718" s="164"/>
      <c r="I718" s="164"/>
      <c r="J718" s="164"/>
      <c r="K718" s="164"/>
      <c r="L718" s="164"/>
      <c r="M718" s="164"/>
      <c r="N718" s="164"/>
      <c r="O718" s="164"/>
      <c r="P718" s="164"/>
      <c r="Q718" s="164"/>
      <c r="R718" s="164"/>
      <c r="S718" s="164"/>
      <c r="T718" s="164"/>
      <c r="U718" s="164"/>
      <c r="V718" s="164"/>
      <c r="W718" s="164"/>
      <c r="X718" s="164"/>
      <c r="Y718" s="164"/>
      <c r="Z718" s="164"/>
      <c r="AA718" s="55"/>
      <c r="AB718" s="55"/>
      <c r="AC718" s="55"/>
      <c r="AD718" s="55"/>
      <c r="AE718" s="55"/>
      <c r="AF718" s="55"/>
      <c r="AG718" s="55"/>
      <c r="AH718" s="55"/>
      <c r="AI718" s="55"/>
      <c r="AJ718" s="55"/>
      <c r="AK718" s="55"/>
      <c r="AL718" s="55"/>
      <c r="AM718" s="55"/>
      <c r="AN718" s="55"/>
      <c r="AO718" s="55"/>
      <c r="AP718" s="55"/>
      <c r="AQ718" s="55"/>
      <c r="AR718" s="55"/>
      <c r="AS718" s="55"/>
      <c r="AT718" s="55"/>
      <c r="AU718" s="55"/>
      <c r="AV718" s="55"/>
      <c r="AW718" s="55"/>
      <c r="AX718" s="55"/>
      <c r="AY718" s="55"/>
      <c r="AZ718" s="56"/>
      <c r="BA718" s="55"/>
      <c r="BB718" s="55"/>
      <c r="BC718" s="55"/>
      <c r="BD718" s="55"/>
      <c r="BE718" s="55"/>
      <c r="BF718" s="55"/>
      <c r="BG718" s="55"/>
      <c r="BH718" s="55"/>
      <c r="BI718" s="55"/>
      <c r="BJ718" s="55"/>
      <c r="BK718" s="55"/>
      <c r="BL718" s="55"/>
      <c r="BM718" s="55"/>
      <c r="BN718" s="55"/>
      <c r="BO718" s="55"/>
      <c r="BP718" s="55"/>
      <c r="BQ718" s="55"/>
      <c r="BR718" s="55"/>
      <c r="BS718" s="55"/>
      <c r="BT718" s="55"/>
      <c r="BU718" s="55"/>
      <c r="BV718" s="55"/>
      <c r="BW718" s="55"/>
      <c r="BX718" s="55"/>
      <c r="BY718" s="55"/>
      <c r="BZ718" s="55"/>
      <c r="CA718" s="55"/>
      <c r="CB718" s="55"/>
      <c r="CC718" s="55"/>
      <c r="CD718" s="55"/>
      <c r="CE718" s="55"/>
      <c r="CF718" s="55"/>
      <c r="CG718" s="55"/>
      <c r="CH718" s="55"/>
      <c r="CI718" s="55"/>
      <c r="CJ718" s="55"/>
      <c r="CK718" s="55"/>
      <c r="CL718" s="55"/>
      <c r="CM718" s="55"/>
      <c r="CN718" s="55"/>
      <c r="CO718" s="55"/>
      <c r="CP718" s="55"/>
      <c r="CQ718" s="55"/>
      <c r="CR718" s="55"/>
      <c r="CS718" s="55"/>
      <c r="CT718" s="55"/>
      <c r="CU718" s="55"/>
      <c r="CV718" s="55"/>
      <c r="CW718" s="55"/>
      <c r="CX718" s="55"/>
      <c r="CY718" s="55"/>
      <c r="CZ718" s="56"/>
      <c r="DA718" s="55"/>
      <c r="DB718" s="55"/>
    </row>
    <row r="719" spans="1:113" outlineLevel="2">
      <c r="A719" s="1" t="s">
        <v>2425</v>
      </c>
      <c r="B719" s="19" t="s">
        <v>801</v>
      </c>
      <c r="C719" s="164"/>
      <c r="D719" s="164"/>
      <c r="E719" s="164"/>
      <c r="F719" s="164"/>
      <c r="G719" s="164"/>
      <c r="H719" s="164"/>
      <c r="I719" s="164"/>
      <c r="J719" s="164"/>
      <c r="K719" s="164"/>
      <c r="L719" s="164"/>
      <c r="M719" s="164"/>
      <c r="N719" s="164"/>
      <c r="O719" s="164"/>
      <c r="P719" s="164"/>
      <c r="Q719" s="164"/>
      <c r="R719" s="164"/>
      <c r="S719" s="164"/>
      <c r="T719" s="164"/>
      <c r="U719" s="164"/>
      <c r="V719" s="164"/>
      <c r="W719" s="164"/>
      <c r="X719" s="164"/>
      <c r="Y719" s="164"/>
      <c r="Z719" s="164"/>
      <c r="AA719" s="55"/>
      <c r="AB719" s="55"/>
      <c r="AC719" s="55"/>
      <c r="AD719" s="55"/>
      <c r="AE719" s="55"/>
      <c r="AF719" s="55"/>
      <c r="AG719" s="55"/>
      <c r="AH719" s="55"/>
      <c r="AI719" s="55"/>
      <c r="AJ719" s="55"/>
      <c r="AK719" s="55"/>
      <c r="AL719" s="55"/>
      <c r="AM719" s="55"/>
      <c r="AN719" s="55"/>
      <c r="AO719" s="55"/>
      <c r="AP719" s="55"/>
      <c r="AQ719" s="55"/>
      <c r="AR719" s="55"/>
      <c r="AS719" s="55"/>
      <c r="AT719" s="55"/>
      <c r="AU719" s="55"/>
      <c r="AV719" s="55"/>
      <c r="AW719" s="55"/>
      <c r="AX719" s="55"/>
      <c r="AY719" s="55"/>
      <c r="AZ719" s="56"/>
      <c r="BA719" s="55"/>
      <c r="BB719" s="55"/>
      <c r="BC719" s="55"/>
      <c r="BD719" s="55"/>
      <c r="BE719" s="55"/>
      <c r="BF719" s="55"/>
      <c r="BG719" s="55"/>
      <c r="BH719" s="55"/>
      <c r="BI719" s="55"/>
      <c r="BJ719" s="55"/>
      <c r="BK719" s="55"/>
      <c r="BL719" s="55"/>
      <c r="BM719" s="55"/>
      <c r="BN719" s="55"/>
      <c r="BO719" s="55"/>
      <c r="BP719" s="55"/>
      <c r="BQ719" s="55"/>
      <c r="BR719" s="55"/>
      <c r="BS719" s="55"/>
      <c r="BT719" s="55"/>
      <c r="BU719" s="55"/>
      <c r="BV719" s="55"/>
      <c r="BW719" s="55"/>
      <c r="BX719" s="55"/>
      <c r="BY719" s="55"/>
      <c r="BZ719" s="55"/>
      <c r="CA719" s="55"/>
      <c r="CB719" s="55"/>
      <c r="CC719" s="55"/>
      <c r="CD719" s="55"/>
      <c r="CE719" s="55"/>
      <c r="CF719" s="55"/>
      <c r="CG719" s="55"/>
      <c r="CH719" s="55"/>
      <c r="CI719" s="55"/>
      <c r="CJ719" s="55"/>
      <c r="CK719" s="55"/>
      <c r="CL719" s="55"/>
      <c r="CM719" s="55"/>
      <c r="CN719" s="55"/>
      <c r="CO719" s="55"/>
      <c r="CP719" s="55"/>
      <c r="CQ719" s="55"/>
      <c r="CR719" s="55"/>
      <c r="CS719" s="55"/>
      <c r="CT719" s="55"/>
      <c r="CU719" s="55"/>
      <c r="CV719" s="55"/>
      <c r="CW719" s="55"/>
      <c r="CX719" s="55"/>
      <c r="CY719" s="55"/>
      <c r="CZ719" s="56"/>
      <c r="DA719" s="55"/>
      <c r="DB719" s="55"/>
    </row>
    <row r="720" spans="1:113" outlineLevel="2">
      <c r="A720" s="1" t="s">
        <v>2426</v>
      </c>
      <c r="B720" s="19" t="s">
        <v>801</v>
      </c>
      <c r="C720" s="164"/>
      <c r="D720" s="164"/>
      <c r="E720" s="164"/>
      <c r="F720" s="164"/>
      <c r="G720" s="164"/>
      <c r="H720" s="164"/>
      <c r="I720" s="164"/>
      <c r="J720" s="164"/>
      <c r="K720" s="164"/>
      <c r="L720" s="164"/>
      <c r="M720" s="164"/>
      <c r="N720" s="164"/>
      <c r="O720" s="164"/>
      <c r="P720" s="164"/>
      <c r="Q720" s="164"/>
      <c r="R720" s="164"/>
      <c r="S720" s="164"/>
      <c r="T720" s="164"/>
      <c r="U720" s="164"/>
      <c r="V720" s="164"/>
      <c r="W720" s="164"/>
      <c r="X720" s="164"/>
      <c r="Y720" s="164"/>
      <c r="Z720" s="164"/>
      <c r="AA720" s="55"/>
      <c r="AB720" s="55"/>
      <c r="AC720" s="55"/>
      <c r="AD720" s="55"/>
      <c r="AE720" s="55"/>
      <c r="AF720" s="55"/>
      <c r="AG720" s="55"/>
      <c r="AH720" s="55"/>
      <c r="AI720" s="55"/>
      <c r="AJ720" s="55"/>
      <c r="AK720" s="55"/>
      <c r="AL720" s="55"/>
      <c r="AM720" s="55"/>
      <c r="AN720" s="55"/>
      <c r="AO720" s="55"/>
      <c r="AP720" s="55"/>
      <c r="AQ720" s="55"/>
      <c r="AR720" s="55"/>
      <c r="AS720" s="55"/>
      <c r="AT720" s="55"/>
      <c r="AU720" s="55"/>
      <c r="AV720" s="55"/>
      <c r="AW720" s="55"/>
      <c r="AX720" s="55"/>
      <c r="AY720" s="55"/>
      <c r="AZ720" s="56"/>
      <c r="BA720" s="55"/>
      <c r="BB720" s="55"/>
      <c r="BC720" s="55"/>
      <c r="BD720" s="55"/>
      <c r="BE720" s="55"/>
      <c r="BF720" s="55"/>
      <c r="BG720" s="55"/>
      <c r="BH720" s="55"/>
      <c r="BI720" s="55"/>
      <c r="BJ720" s="55"/>
      <c r="BK720" s="55"/>
      <c r="BL720" s="55"/>
      <c r="BM720" s="55"/>
      <c r="BN720" s="55"/>
      <c r="BO720" s="55"/>
      <c r="BP720" s="55"/>
      <c r="BQ720" s="55"/>
      <c r="BR720" s="55"/>
      <c r="BS720" s="55"/>
      <c r="BT720" s="55"/>
      <c r="BU720" s="55"/>
      <c r="BV720" s="55"/>
      <c r="BW720" s="55"/>
      <c r="BX720" s="55"/>
      <c r="BY720" s="55"/>
      <c r="BZ720" s="55"/>
      <c r="CA720" s="55"/>
      <c r="CB720" s="55"/>
      <c r="CC720" s="55"/>
      <c r="CD720" s="55"/>
      <c r="CE720" s="55"/>
      <c r="CF720" s="55"/>
      <c r="CG720" s="55"/>
      <c r="CH720" s="55"/>
      <c r="CI720" s="55"/>
      <c r="CJ720" s="55"/>
      <c r="CK720" s="55"/>
      <c r="CL720" s="55"/>
      <c r="CM720" s="55"/>
      <c r="CN720" s="55"/>
      <c r="CO720" s="55"/>
      <c r="CP720" s="55"/>
      <c r="CQ720" s="55"/>
      <c r="CR720" s="55"/>
      <c r="CS720" s="55"/>
      <c r="CT720" s="55"/>
      <c r="CU720" s="55"/>
      <c r="CV720" s="55"/>
      <c r="CW720" s="55"/>
      <c r="CX720" s="55"/>
      <c r="CY720" s="55"/>
      <c r="CZ720" s="56"/>
      <c r="DA720" s="55"/>
      <c r="DB720" s="55"/>
    </row>
    <row r="721" spans="1:113" outlineLevel="2">
      <c r="A721" s="1" t="s">
        <v>2427</v>
      </c>
      <c r="B721" s="19" t="s">
        <v>801</v>
      </c>
      <c r="C721" s="55"/>
      <c r="D721" s="55"/>
      <c r="E721" s="55"/>
      <c r="F721" s="55"/>
      <c r="G721" s="55"/>
      <c r="H721" s="55"/>
      <c r="I721" s="55"/>
      <c r="J721" s="55"/>
      <c r="K721" s="55"/>
      <c r="L721" s="55"/>
      <c r="M721" s="55"/>
      <c r="N721" s="55"/>
      <c r="O721" s="55"/>
      <c r="P721" s="55"/>
      <c r="Q721" s="55"/>
      <c r="R721" s="55"/>
      <c r="S721" s="55"/>
      <c r="T721" s="55"/>
      <c r="U721" s="55"/>
      <c r="V721" s="55"/>
      <c r="W721" s="55"/>
      <c r="X721" s="55"/>
      <c r="Y721" s="55"/>
      <c r="Z721" s="55"/>
      <c r="AA721" s="55"/>
      <c r="AB721" s="55"/>
      <c r="AC721" s="55"/>
      <c r="AD721" s="55"/>
      <c r="AE721" s="55"/>
      <c r="AF721" s="55"/>
      <c r="AG721" s="55"/>
      <c r="AH721" s="55"/>
      <c r="AI721" s="55"/>
      <c r="AJ721" s="55"/>
      <c r="AK721" s="55"/>
      <c r="AL721" s="55"/>
      <c r="AM721" s="55"/>
      <c r="AN721" s="55"/>
      <c r="AO721" s="55"/>
      <c r="AP721" s="55"/>
      <c r="AQ721" s="55"/>
      <c r="AR721" s="55"/>
      <c r="AS721" s="55"/>
      <c r="AT721" s="55"/>
      <c r="AU721" s="55"/>
      <c r="AV721" s="55"/>
      <c r="AW721" s="55"/>
      <c r="AX721" s="55"/>
      <c r="AY721" s="55"/>
      <c r="AZ721" s="56"/>
      <c r="BA721" s="55"/>
      <c r="BB721" s="55"/>
      <c r="BC721" s="55"/>
      <c r="BD721" s="55"/>
      <c r="BE721" s="55"/>
      <c r="BF721" s="55"/>
      <c r="BG721" s="55"/>
      <c r="BH721" s="55"/>
      <c r="BI721" s="55"/>
      <c r="BJ721" s="55"/>
      <c r="BK721" s="55"/>
      <c r="BL721" s="55"/>
      <c r="BM721" s="55"/>
      <c r="BN721" s="55"/>
      <c r="BO721" s="55"/>
      <c r="BP721" s="55"/>
      <c r="BQ721" s="55"/>
      <c r="BR721" s="55"/>
      <c r="BS721" s="55"/>
      <c r="BT721" s="55"/>
      <c r="BU721" s="55"/>
      <c r="BV721" s="55"/>
      <c r="BW721" s="55"/>
      <c r="BX721" s="55"/>
      <c r="BY721" s="55"/>
      <c r="BZ721" s="55"/>
      <c r="CA721" s="55"/>
      <c r="CB721" s="55"/>
      <c r="CC721" s="55"/>
      <c r="CD721" s="55"/>
      <c r="CE721" s="55"/>
      <c r="CF721" s="55"/>
      <c r="CG721" s="55"/>
      <c r="CH721" s="55"/>
      <c r="CI721" s="55"/>
      <c r="CJ721" s="55"/>
      <c r="CK721" s="55"/>
      <c r="CL721" s="55"/>
      <c r="CM721" s="55"/>
      <c r="CN721" s="55"/>
      <c r="CO721" s="55"/>
      <c r="CP721" s="55"/>
      <c r="CQ721" s="55"/>
      <c r="CR721" s="55"/>
      <c r="CS721" s="55"/>
      <c r="CT721" s="55"/>
      <c r="CU721" s="55"/>
      <c r="CV721" s="55"/>
      <c r="CW721" s="55"/>
      <c r="CX721" s="55"/>
      <c r="CY721" s="55"/>
      <c r="CZ721" s="56"/>
      <c r="DA721" s="55"/>
      <c r="DB721" s="55"/>
    </row>
    <row r="722" spans="1:113" outlineLevel="2">
      <c r="A722" s="1" t="s">
        <v>2428</v>
      </c>
      <c r="B722" s="19" t="s">
        <v>801</v>
      </c>
      <c r="C722" s="55"/>
      <c r="D722" s="55"/>
      <c r="E722" s="55"/>
      <c r="F722" s="55"/>
      <c r="G722" s="55"/>
      <c r="H722" s="55"/>
      <c r="I722" s="55"/>
      <c r="J722" s="55"/>
      <c r="K722" s="55"/>
      <c r="L722" s="55"/>
      <c r="M722" s="55"/>
      <c r="N722" s="55"/>
      <c r="O722" s="55"/>
      <c r="P722" s="55"/>
      <c r="Q722" s="55"/>
      <c r="R722" s="55"/>
      <c r="S722" s="55"/>
      <c r="T722" s="55"/>
      <c r="U722" s="55"/>
      <c r="V722" s="55"/>
      <c r="W722" s="55"/>
      <c r="X722" s="55"/>
      <c r="Y722" s="55"/>
      <c r="Z722" s="55"/>
      <c r="AA722" s="55"/>
      <c r="AB722" s="55"/>
      <c r="AC722" s="55"/>
      <c r="AD722" s="55"/>
      <c r="AE722" s="55"/>
      <c r="AF722" s="55"/>
      <c r="AG722" s="55"/>
      <c r="AH722" s="55"/>
      <c r="AI722" s="55"/>
      <c r="AJ722" s="55"/>
      <c r="AK722" s="55"/>
      <c r="AL722" s="55"/>
      <c r="AM722" s="55"/>
      <c r="AN722" s="55"/>
      <c r="AO722" s="55"/>
      <c r="AP722" s="55"/>
      <c r="AQ722" s="55"/>
      <c r="AR722" s="55"/>
      <c r="AS722" s="55"/>
      <c r="AT722" s="55"/>
      <c r="AU722" s="55"/>
      <c r="AV722" s="55"/>
      <c r="AW722" s="55"/>
      <c r="AX722" s="55"/>
      <c r="AY722" s="55"/>
      <c r="AZ722" s="56"/>
      <c r="BA722" s="55"/>
      <c r="BB722" s="55"/>
      <c r="BC722" s="55"/>
      <c r="BD722" s="55"/>
      <c r="BE722" s="55"/>
      <c r="BF722" s="55"/>
      <c r="BG722" s="55"/>
      <c r="BH722" s="55"/>
      <c r="BI722" s="55"/>
      <c r="BJ722" s="55"/>
      <c r="BK722" s="55"/>
      <c r="BL722" s="55"/>
      <c r="BM722" s="55"/>
      <c r="BN722" s="55"/>
      <c r="BO722" s="55"/>
      <c r="BP722" s="55"/>
      <c r="BQ722" s="55"/>
      <c r="BR722" s="55"/>
      <c r="BS722" s="55"/>
      <c r="BT722" s="55"/>
      <c r="BU722" s="55"/>
      <c r="BV722" s="55"/>
      <c r="BW722" s="55"/>
      <c r="BX722" s="55"/>
      <c r="BY722" s="55"/>
      <c r="BZ722" s="55"/>
      <c r="CA722" s="55"/>
      <c r="CB722" s="55"/>
      <c r="CC722" s="55"/>
      <c r="CD722" s="55"/>
      <c r="CE722" s="55"/>
      <c r="CF722" s="55"/>
      <c r="CG722" s="55"/>
      <c r="CH722" s="55"/>
      <c r="CI722" s="55"/>
      <c r="CJ722" s="55"/>
      <c r="CK722" s="55"/>
      <c r="CL722" s="55"/>
      <c r="CM722" s="55"/>
      <c r="CN722" s="55"/>
      <c r="CO722" s="55"/>
      <c r="CP722" s="55"/>
      <c r="CQ722" s="55"/>
      <c r="CR722" s="55"/>
      <c r="CS722" s="55"/>
      <c r="CT722" s="55"/>
      <c r="CU722" s="55"/>
      <c r="CV722" s="55"/>
      <c r="CW722" s="55"/>
      <c r="CX722" s="55"/>
      <c r="CY722" s="55"/>
      <c r="CZ722" s="56"/>
      <c r="DA722" s="55"/>
      <c r="DB722" s="55"/>
    </row>
    <row r="723" spans="1:113" outlineLevel="2">
      <c r="A723" s="1" t="s">
        <v>2429</v>
      </c>
      <c r="B723" s="19" t="s">
        <v>801</v>
      </c>
      <c r="C723" s="55"/>
      <c r="D723" s="55"/>
      <c r="E723" s="55"/>
      <c r="F723" s="55"/>
      <c r="G723" s="55"/>
      <c r="H723" s="55"/>
      <c r="I723" s="55"/>
      <c r="J723" s="55"/>
      <c r="K723" s="55"/>
      <c r="L723" s="55"/>
      <c r="M723" s="55"/>
      <c r="N723" s="55"/>
      <c r="O723" s="55"/>
      <c r="P723" s="55"/>
      <c r="Q723" s="55"/>
      <c r="R723" s="55"/>
      <c r="S723" s="55"/>
      <c r="T723" s="55"/>
      <c r="U723" s="55"/>
      <c r="V723" s="55"/>
      <c r="W723" s="55"/>
      <c r="X723" s="55"/>
      <c r="Y723" s="55"/>
      <c r="Z723" s="55"/>
      <c r="AA723" s="55"/>
      <c r="AB723" s="55"/>
      <c r="AC723" s="55"/>
      <c r="AD723" s="55"/>
      <c r="AE723" s="55"/>
      <c r="AF723" s="55"/>
      <c r="AG723" s="55"/>
      <c r="AH723" s="55"/>
      <c r="AI723" s="55"/>
      <c r="AJ723" s="55"/>
      <c r="AK723" s="55"/>
      <c r="AL723" s="55"/>
      <c r="AM723" s="55"/>
      <c r="AN723" s="55"/>
      <c r="AO723" s="55"/>
      <c r="AP723" s="55"/>
      <c r="AQ723" s="55"/>
      <c r="AR723" s="55"/>
      <c r="AS723" s="55"/>
      <c r="AT723" s="55"/>
      <c r="AU723" s="55"/>
      <c r="AV723" s="55"/>
      <c r="AW723" s="55"/>
      <c r="AX723" s="55"/>
      <c r="AY723" s="55"/>
      <c r="AZ723" s="56"/>
      <c r="BA723" s="55"/>
      <c r="BB723" s="55"/>
      <c r="BC723" s="55"/>
      <c r="BD723" s="55"/>
      <c r="BE723" s="55"/>
      <c r="BF723" s="55"/>
      <c r="BG723" s="55"/>
      <c r="BH723" s="55"/>
      <c r="BI723" s="55"/>
      <c r="BJ723" s="55"/>
      <c r="BK723" s="55"/>
      <c r="BL723" s="55"/>
      <c r="BM723" s="55"/>
      <c r="BN723" s="55"/>
      <c r="BO723" s="55"/>
      <c r="BP723" s="55"/>
      <c r="BQ723" s="55"/>
      <c r="BR723" s="55"/>
      <c r="BS723" s="55"/>
      <c r="BT723" s="55"/>
      <c r="BU723" s="55"/>
      <c r="BV723" s="55"/>
      <c r="BW723" s="55"/>
      <c r="BX723" s="55"/>
      <c r="BY723" s="55"/>
      <c r="BZ723" s="55"/>
      <c r="CA723" s="55"/>
      <c r="CB723" s="55"/>
      <c r="CC723" s="55"/>
      <c r="CD723" s="55"/>
      <c r="CE723" s="55"/>
      <c r="CF723" s="55"/>
      <c r="CG723" s="55"/>
      <c r="CH723" s="55"/>
      <c r="CI723" s="55"/>
      <c r="CJ723" s="55"/>
      <c r="CK723" s="55"/>
      <c r="CL723" s="55"/>
      <c r="CM723" s="55"/>
      <c r="CN723" s="55"/>
      <c r="CO723" s="55"/>
      <c r="CP723" s="55"/>
      <c r="CQ723" s="55"/>
      <c r="CR723" s="55"/>
      <c r="CS723" s="55"/>
      <c r="CT723" s="55"/>
      <c r="CU723" s="55"/>
      <c r="CV723" s="55"/>
      <c r="CW723" s="55"/>
      <c r="CX723" s="55"/>
      <c r="CY723" s="55"/>
      <c r="CZ723" s="56"/>
      <c r="DA723" s="55"/>
      <c r="DB723" s="55"/>
    </row>
    <row r="724" spans="1:113" outlineLevel="1">
      <c r="C724" s="55"/>
      <c r="D724" s="55"/>
      <c r="E724" s="55"/>
      <c r="F724" s="55"/>
      <c r="G724" s="55"/>
      <c r="H724" s="55"/>
      <c r="I724" s="55"/>
      <c r="J724" s="55"/>
      <c r="K724" s="55"/>
      <c r="L724" s="55"/>
      <c r="M724" s="55"/>
      <c r="N724" s="55"/>
      <c r="O724" s="55"/>
      <c r="P724" s="55"/>
      <c r="Q724" s="55"/>
      <c r="R724" s="55"/>
      <c r="S724" s="55"/>
      <c r="T724" s="55"/>
      <c r="U724" s="55"/>
      <c r="V724" s="55"/>
      <c r="W724" s="55"/>
      <c r="X724" s="55"/>
      <c r="Y724" s="55"/>
      <c r="Z724" s="55"/>
      <c r="AA724" s="55"/>
      <c r="AB724" s="55"/>
      <c r="AC724" s="55"/>
      <c r="AD724" s="55"/>
      <c r="AE724" s="55"/>
      <c r="AF724" s="55"/>
      <c r="AG724" s="55"/>
      <c r="AH724" s="55"/>
      <c r="AI724" s="55"/>
      <c r="AJ724" s="55"/>
      <c r="AK724" s="55"/>
      <c r="AL724" s="55"/>
      <c r="AM724" s="55"/>
      <c r="AN724" s="55"/>
      <c r="AO724" s="55"/>
      <c r="AP724" s="55"/>
      <c r="AQ724" s="55"/>
      <c r="AR724" s="55"/>
      <c r="AS724" s="55"/>
      <c r="AT724" s="55"/>
      <c r="AU724" s="55"/>
      <c r="AV724" s="55"/>
      <c r="AW724" s="55"/>
      <c r="AX724" s="55"/>
      <c r="AY724" s="55"/>
      <c r="AZ724" s="56"/>
      <c r="BA724" s="55"/>
      <c r="BB724" s="55"/>
      <c r="BC724" s="55"/>
      <c r="BD724" s="55"/>
      <c r="BE724" s="55"/>
      <c r="BF724" s="55"/>
      <c r="BG724" s="55"/>
      <c r="BH724" s="55"/>
      <c r="BI724" s="55"/>
      <c r="BJ724" s="55"/>
      <c r="BK724" s="55"/>
      <c r="BL724" s="55"/>
      <c r="BM724" s="55"/>
      <c r="BN724" s="55"/>
      <c r="BO724" s="55"/>
      <c r="BP724" s="55"/>
      <c r="BQ724" s="55"/>
      <c r="BR724" s="55"/>
      <c r="BS724" s="55"/>
      <c r="BT724" s="55"/>
      <c r="BU724" s="55"/>
      <c r="BV724" s="55"/>
      <c r="BW724" s="55"/>
      <c r="BX724" s="55"/>
      <c r="BY724" s="55"/>
      <c r="BZ724" s="55"/>
      <c r="CA724" s="55"/>
      <c r="CB724" s="55"/>
      <c r="CC724" s="55"/>
      <c r="CD724" s="55"/>
      <c r="CE724" s="55"/>
      <c r="CF724" s="55"/>
      <c r="CG724" s="55"/>
      <c r="CH724" s="55"/>
      <c r="CI724" s="55"/>
      <c r="CJ724" s="55"/>
      <c r="CK724" s="55"/>
      <c r="CL724" s="55"/>
      <c r="CM724" s="55"/>
      <c r="CN724" s="55"/>
      <c r="CO724" s="55"/>
      <c r="CP724" s="55"/>
      <c r="CQ724" s="55"/>
      <c r="CR724" s="55"/>
      <c r="CS724" s="55"/>
      <c r="CT724" s="55"/>
      <c r="CU724" s="55"/>
      <c r="CV724" s="55"/>
      <c r="CW724" s="55"/>
      <c r="CX724" s="55"/>
      <c r="CY724" s="55"/>
      <c r="CZ724" s="56"/>
      <c r="DA724" s="55"/>
      <c r="DB724" s="55"/>
    </row>
    <row r="725" spans="1:113" s="5" customFormat="1" ht="12.95" customHeight="1" outlineLevel="1">
      <c r="A725" s="1"/>
      <c r="B725" s="6" t="s">
        <v>377</v>
      </c>
      <c r="C725" s="568" t="e">
        <f t="shared" ref="C725:L725" si="4904">IF(B$2="A","Ok",IF(ABS((C699/C239)-(B699/B239))&gt;1%,"Error","Ok"))</f>
        <v>#VALUE!</v>
      </c>
      <c r="D725" s="568" t="str">
        <f t="shared" si="4904"/>
        <v>Ok</v>
      </c>
      <c r="E725" s="568" t="str">
        <f t="shared" si="4904"/>
        <v>Ok</v>
      </c>
      <c r="F725" s="568" t="str">
        <f t="shared" si="4904"/>
        <v>Ok</v>
      </c>
      <c r="G725" s="568" t="str">
        <f t="shared" si="4904"/>
        <v>Ok</v>
      </c>
      <c r="H725" s="568" t="str">
        <f t="shared" si="4904"/>
        <v>Ok</v>
      </c>
      <c r="I725" s="568" t="str">
        <f t="shared" si="4904"/>
        <v>Ok</v>
      </c>
      <c r="J725" s="568" t="str">
        <f t="shared" si="4904"/>
        <v>Ok</v>
      </c>
      <c r="K725" s="568" t="str">
        <f t="shared" si="4904"/>
        <v>Ok</v>
      </c>
      <c r="L725" s="568" t="str">
        <f t="shared" si="4904"/>
        <v>Ok</v>
      </c>
      <c r="M725" s="97" t="str">
        <f t="shared" ref="M725:AI725" si="4905">IF(L$2="A","Ok",IF(ABS((M699/M239)-(L699/L239))&gt;1%,"Error","Ok"))</f>
        <v>Ok</v>
      </c>
      <c r="N725" s="97" t="str">
        <f t="shared" si="4905"/>
        <v>Ok</v>
      </c>
      <c r="O725" s="97" t="str">
        <f t="shared" si="4905"/>
        <v>Ok</v>
      </c>
      <c r="P725" s="97" t="str">
        <f t="shared" si="4905"/>
        <v>Ok</v>
      </c>
      <c r="Q725" s="97" t="str">
        <f t="shared" si="4905"/>
        <v>Ok</v>
      </c>
      <c r="R725" s="97" t="str">
        <f t="shared" si="4905"/>
        <v>Ok</v>
      </c>
      <c r="S725" s="97" t="str">
        <f t="shared" si="4905"/>
        <v>Ok</v>
      </c>
      <c r="T725" s="100" t="str">
        <f t="shared" si="4905"/>
        <v>Ok</v>
      </c>
      <c r="U725" s="97" t="str">
        <f t="shared" si="4905"/>
        <v>Ok</v>
      </c>
      <c r="V725" s="97" t="str">
        <f t="shared" si="4905"/>
        <v>Ok</v>
      </c>
      <c r="W725" s="97" t="str">
        <f t="shared" si="4905"/>
        <v>Ok</v>
      </c>
      <c r="X725" s="97" t="str">
        <f t="shared" si="4905"/>
        <v>Ok</v>
      </c>
      <c r="Y725" s="100" t="str">
        <f t="shared" si="4905"/>
        <v>Ok</v>
      </c>
      <c r="Z725" s="100" t="str">
        <f t="shared" si="4905"/>
        <v>Ok</v>
      </c>
      <c r="AA725" s="100" t="str">
        <f t="shared" si="4905"/>
        <v>Ok</v>
      </c>
      <c r="AB725" s="100" t="str">
        <f t="shared" si="4905"/>
        <v>Ok</v>
      </c>
      <c r="AC725" s="100" t="str">
        <f t="shared" si="4905"/>
        <v>Ok</v>
      </c>
      <c r="AD725" s="100" t="str">
        <f t="shared" si="4905"/>
        <v>Ok</v>
      </c>
      <c r="AE725" s="100" t="str">
        <f t="shared" si="4905"/>
        <v>Ok</v>
      </c>
      <c r="AF725" s="100" t="str">
        <f t="shared" si="4905"/>
        <v>Ok</v>
      </c>
      <c r="AG725" s="100" t="str">
        <f t="shared" si="4905"/>
        <v>Ok</v>
      </c>
      <c r="AH725" s="100" t="str">
        <f t="shared" si="4905"/>
        <v>Ok</v>
      </c>
      <c r="AI725" s="100" t="str">
        <f t="shared" si="4905"/>
        <v>Ok</v>
      </c>
      <c r="AJ725" s="100" t="str">
        <f t="shared" ref="AJ725:BE725" si="4906">IF(AI$2="A","Ok",IF(ABS((AJ699/AJ239)-(AI699/AI239))&gt;1%,"Error","Ok"))</f>
        <v>Ok</v>
      </c>
      <c r="AK725" s="100" t="str">
        <f t="shared" si="4906"/>
        <v>Ok</v>
      </c>
      <c r="AL725" s="100" t="str">
        <f t="shared" si="4906"/>
        <v>Ok</v>
      </c>
      <c r="AM725" s="100" t="str">
        <f t="shared" si="4906"/>
        <v>Ok</v>
      </c>
      <c r="AN725" s="100" t="str">
        <f t="shared" si="4906"/>
        <v>Ok</v>
      </c>
      <c r="AO725" s="100" t="str">
        <f t="shared" si="4906"/>
        <v>Ok</v>
      </c>
      <c r="AP725" s="100" t="str">
        <f t="shared" si="4906"/>
        <v>Ok</v>
      </c>
      <c r="AQ725" s="100" t="str">
        <f t="shared" si="4906"/>
        <v>Ok</v>
      </c>
      <c r="AR725" s="100" t="str">
        <f t="shared" si="4906"/>
        <v>Ok</v>
      </c>
      <c r="AS725" s="100" t="str">
        <f t="shared" si="4906"/>
        <v>Ok</v>
      </c>
      <c r="AT725" s="100" t="str">
        <f t="shared" si="4906"/>
        <v>Ok</v>
      </c>
      <c r="AU725" s="100" t="str">
        <f t="shared" si="4906"/>
        <v>Ok</v>
      </c>
      <c r="AV725" s="100" t="str">
        <f t="shared" si="4906"/>
        <v>Ok</v>
      </c>
      <c r="AW725" s="100" t="str">
        <f t="shared" si="4906"/>
        <v>Ok</v>
      </c>
      <c r="AX725" s="100" t="str">
        <f t="shared" si="4906"/>
        <v>Ok</v>
      </c>
      <c r="AY725" s="100" t="str">
        <f t="shared" si="4906"/>
        <v>Ok</v>
      </c>
      <c r="AZ725" s="98" t="str">
        <f t="shared" si="4906"/>
        <v>Ok</v>
      </c>
      <c r="BA725" s="97" t="str">
        <f t="shared" si="4906"/>
        <v>Ok</v>
      </c>
      <c r="BB725" s="97" t="str">
        <f t="shared" si="4906"/>
        <v>Ok</v>
      </c>
      <c r="BC725" s="97" t="str">
        <f t="shared" si="4906"/>
        <v>Ok</v>
      </c>
      <c r="BD725" s="97" t="str">
        <f t="shared" si="4906"/>
        <v>Ok</v>
      </c>
      <c r="BE725" s="97" t="str">
        <f t="shared" si="4906"/>
        <v>Ok</v>
      </c>
      <c r="BF725" s="97" t="str">
        <f t="shared" ref="BF725:BM725" si="4907">IF(BE$2="A","Ok",IF(ABS((BF699/BF239)-(BE699/BE239))&gt;1%,"Error","Ok"))</f>
        <v>Ok</v>
      </c>
      <c r="BG725" s="97" t="str">
        <f t="shared" si="4907"/>
        <v>Ok</v>
      </c>
      <c r="BH725" s="97" t="str">
        <f t="shared" si="4907"/>
        <v>Ok</v>
      </c>
      <c r="BI725" s="97" t="str">
        <f t="shared" si="4907"/>
        <v>Ok</v>
      </c>
      <c r="BJ725" s="97" t="str">
        <f t="shared" si="4907"/>
        <v>Ok</v>
      </c>
      <c r="BK725" s="97" t="str">
        <f t="shared" si="4907"/>
        <v>Ok</v>
      </c>
      <c r="BL725" s="568" t="str">
        <f t="shared" si="4907"/>
        <v>Ok</v>
      </c>
      <c r="BM725" s="568" t="str">
        <f t="shared" si="4907"/>
        <v>Ok</v>
      </c>
      <c r="BN725" s="568" t="str">
        <f t="shared" ref="BN725" si="4908">IF(BM$2="A","Ok",IF(ABS((BN699/BN239)-(BM699/BM239))&gt;1%,"Error","Ok"))</f>
        <v>Ok</v>
      </c>
      <c r="BO725" s="568" t="str">
        <f t="shared" ref="BO725" si="4909">IF(BN$2="A","Ok",IF(ABS((BO699/BO239)-(BN699/BN239))&gt;1%,"Error","Ok"))</f>
        <v>Ok</v>
      </c>
      <c r="BP725" s="568" t="str">
        <f t="shared" ref="BP725" si="4910">IF(BO$2="A","Ok",IF(ABS((BP699/BP239)-(BO699/BO239))&gt;1%,"Error","Ok"))</f>
        <v>Ok</v>
      </c>
      <c r="BQ725" s="568" t="str">
        <f t="shared" ref="BQ725" si="4911">IF(BP$2="A","Ok",IF(ABS((BQ699/BQ239)-(BP699/BP239))&gt;1%,"Error","Ok"))</f>
        <v>Ok</v>
      </c>
      <c r="BR725" s="99"/>
      <c r="BS725" s="568" t="e">
        <f t="shared" ref="BS725:CB725" si="4912">IF(BR$2="A","Ok",IF(ABS((BS699/BS239)-(BR699/BR239))&gt;1%,"Drror","Ok"))</f>
        <v>#DIV/0!</v>
      </c>
      <c r="BT725" s="568" t="str">
        <f t="shared" si="4912"/>
        <v>Ok</v>
      </c>
      <c r="BU725" s="568" t="str">
        <f t="shared" si="4912"/>
        <v>Ok</v>
      </c>
      <c r="BV725" s="568" t="str">
        <f t="shared" si="4912"/>
        <v>Ok</v>
      </c>
      <c r="BW725" s="568" t="str">
        <f t="shared" si="4912"/>
        <v>Ok</v>
      </c>
      <c r="BX725" s="568" t="str">
        <f t="shared" si="4912"/>
        <v>Ok</v>
      </c>
      <c r="BY725" s="568" t="str">
        <f t="shared" si="4912"/>
        <v>Ok</v>
      </c>
      <c r="BZ725" s="568" t="str">
        <f t="shared" si="4912"/>
        <v>Ok</v>
      </c>
      <c r="CA725" s="568" t="str">
        <f t="shared" si="4912"/>
        <v>Ok</v>
      </c>
      <c r="CB725" s="568" t="str">
        <f t="shared" si="4912"/>
        <v>Ok</v>
      </c>
      <c r="CC725" s="97" t="str">
        <f>IF(CB$2="A","Ok",IF(ABS((CC699/CC239)-(CB699/CB239))&gt;1%,"Drror","Ok"))</f>
        <v>Ok</v>
      </c>
      <c r="CD725" s="97" t="str">
        <f t="shared" ref="CD725:CM725" si="4913">IF(CC$2="A","Ok",IF(ABS((CD699/CD239)-(CC699/CC239))&gt;1%,"Error","Ok"))</f>
        <v>Ok</v>
      </c>
      <c r="CE725" s="97" t="str">
        <f t="shared" si="4913"/>
        <v>Ok</v>
      </c>
      <c r="CF725" s="97" t="str">
        <f t="shared" si="4913"/>
        <v>Ok</v>
      </c>
      <c r="CG725" s="97" t="str">
        <f t="shared" si="4913"/>
        <v>Ok</v>
      </c>
      <c r="CH725" s="97" t="str">
        <f t="shared" si="4913"/>
        <v>Ok</v>
      </c>
      <c r="CI725" s="97" t="str">
        <f t="shared" si="4913"/>
        <v>Ok</v>
      </c>
      <c r="CJ725" s="97" t="str">
        <f t="shared" si="4913"/>
        <v>Ok</v>
      </c>
      <c r="CK725" s="97" t="str">
        <f t="shared" si="4913"/>
        <v>Ok</v>
      </c>
      <c r="CL725" s="97" t="str">
        <f t="shared" si="4913"/>
        <v>Ok</v>
      </c>
      <c r="CM725" s="100" t="str">
        <f t="shared" si="4913"/>
        <v>Ok</v>
      </c>
      <c r="CN725" s="100" t="str">
        <f t="shared" ref="CN725:DI725" si="4914">IF(CM$2="A","Ok",IF(ABS((CN699/CN239)-(CM699/CM239))&gt;1%,"Error","Ok"))</f>
        <v>Ok</v>
      </c>
      <c r="CO725" s="100" t="str">
        <f t="shared" si="4914"/>
        <v>Ok</v>
      </c>
      <c r="CP725" s="100" t="str">
        <f t="shared" si="4914"/>
        <v>Ok</v>
      </c>
      <c r="CQ725" s="100" t="str">
        <f t="shared" si="4914"/>
        <v>Ok</v>
      </c>
      <c r="CR725" s="100" t="str">
        <f t="shared" si="4914"/>
        <v>Ok</v>
      </c>
      <c r="CS725" s="100" t="str">
        <f t="shared" si="4914"/>
        <v>Ok</v>
      </c>
      <c r="CT725" s="100" t="str">
        <f t="shared" si="4914"/>
        <v>Ok</v>
      </c>
      <c r="CU725" s="100" t="str">
        <f t="shared" si="4914"/>
        <v>Ok</v>
      </c>
      <c r="CV725" s="100" t="str">
        <f t="shared" si="4914"/>
        <v>Ok</v>
      </c>
      <c r="CW725" s="100" t="str">
        <f t="shared" si="4914"/>
        <v>Ok</v>
      </c>
      <c r="CX725" s="100" t="str">
        <f t="shared" si="4914"/>
        <v>Ok</v>
      </c>
      <c r="CY725" s="100" t="str">
        <f t="shared" si="4914"/>
        <v>Ok</v>
      </c>
      <c r="CZ725" s="98" t="str">
        <f t="shared" si="4914"/>
        <v>Ok</v>
      </c>
      <c r="DA725" s="97" t="str">
        <f t="shared" si="4914"/>
        <v>Ok</v>
      </c>
      <c r="DB725" s="97" t="str">
        <f t="shared" si="4914"/>
        <v>Ok</v>
      </c>
      <c r="DC725" s="97" t="str">
        <f t="shared" si="4914"/>
        <v>Ok</v>
      </c>
      <c r="DD725" s="97" t="str">
        <f t="shared" si="4914"/>
        <v>Ok</v>
      </c>
      <c r="DE725" s="97" t="str">
        <f t="shared" si="4914"/>
        <v>Ok</v>
      </c>
      <c r="DF725" s="97" t="str">
        <f t="shared" si="4914"/>
        <v>Ok</v>
      </c>
      <c r="DG725" s="568" t="str">
        <f t="shared" si="4914"/>
        <v>Ok</v>
      </c>
      <c r="DH725" s="568" t="str">
        <f t="shared" si="4914"/>
        <v>Ok</v>
      </c>
      <c r="DI725" s="568" t="str">
        <f t="shared" si="4914"/>
        <v>Ok</v>
      </c>
    </row>
    <row r="726" spans="1:113" outlineLevel="1">
      <c r="CZ726" s="22"/>
    </row>
    <row r="727" spans="1:113" s="24" customFormat="1" outlineLevel="1">
      <c r="A727" s="1"/>
      <c r="B727" s="24" t="s">
        <v>378</v>
      </c>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13"/>
      <c r="AX727" s="13"/>
      <c r="AY727" s="13"/>
      <c r="AZ727" s="23"/>
      <c r="BA727" s="13"/>
      <c r="BB727" s="13"/>
      <c r="BC727" s="13"/>
      <c r="BD727" s="13"/>
      <c r="BE727" s="13"/>
      <c r="BF727" s="13"/>
      <c r="BG727" s="13"/>
      <c r="BH727" s="13"/>
      <c r="BI727" s="13"/>
      <c r="BJ727" s="13"/>
      <c r="BK727" s="13"/>
      <c r="BL727" s="13"/>
      <c r="BM727" s="13"/>
      <c r="BN727" s="13"/>
      <c r="BO727" s="13"/>
      <c r="BP727" s="13"/>
      <c r="BQ727" s="13"/>
      <c r="BR727" s="13"/>
      <c r="BS727" s="13"/>
      <c r="BT727" s="13"/>
      <c r="BU727" s="13"/>
      <c r="BV727" s="13"/>
      <c r="BW727" s="13"/>
      <c r="BX727" s="13"/>
      <c r="BY727" s="13"/>
      <c r="BZ727" s="13"/>
      <c r="CA727" s="13"/>
      <c r="CB727" s="13"/>
      <c r="CC727" s="13"/>
      <c r="CD727" s="13"/>
      <c r="CE727" s="13"/>
      <c r="CF727" s="13"/>
      <c r="CG727" s="13"/>
      <c r="CH727" s="13"/>
      <c r="CI727" s="13"/>
      <c r="CJ727" s="13"/>
      <c r="CK727" s="13"/>
      <c r="CL727" s="13"/>
      <c r="CM727" s="13"/>
      <c r="CN727" s="13"/>
      <c r="CO727" s="13"/>
      <c r="CP727" s="13"/>
      <c r="CQ727" s="13"/>
      <c r="CR727" s="13"/>
      <c r="CS727" s="13"/>
      <c r="CT727" s="13"/>
      <c r="CU727" s="13"/>
      <c r="CV727" s="13"/>
      <c r="CW727" s="13"/>
      <c r="CX727" s="13"/>
      <c r="CY727" s="13"/>
      <c r="CZ727" s="23"/>
      <c r="DA727" s="13"/>
      <c r="DB727" s="13"/>
    </row>
    <row r="728" spans="1:113" outlineLevel="1">
      <c r="A728" s="1" t="s">
        <v>947</v>
      </c>
      <c r="B728" s="19" t="s">
        <v>200</v>
      </c>
      <c r="C728" s="69">
        <f t="shared" ref="C728:L728" si="4915">(C525-C522)/C544</f>
        <v>0.9965796974522293</v>
      </c>
      <c r="D728" s="69">
        <f t="shared" si="4915"/>
        <v>0.94598573717948731</v>
      </c>
      <c r="E728" s="69">
        <f t="shared" si="4915"/>
        <v>1.1382732641660016</v>
      </c>
      <c r="F728" s="69">
        <f t="shared" si="4915"/>
        <v>0.47785251396648049</v>
      </c>
      <c r="G728" s="69">
        <f t="shared" si="4915"/>
        <v>1.0866044657097289</v>
      </c>
      <c r="H728" s="69">
        <f t="shared" si="4915"/>
        <v>0.95266380270485285</v>
      </c>
      <c r="I728" s="69">
        <f t="shared" si="4915"/>
        <v>1.0041101195219124</v>
      </c>
      <c r="J728" s="69">
        <f t="shared" si="4915"/>
        <v>1.2980905928853754</v>
      </c>
      <c r="K728" s="69">
        <f t="shared" si="4915"/>
        <v>1.264149882168107</v>
      </c>
      <c r="L728" s="69">
        <f t="shared" si="4915"/>
        <v>1.5520729117876659</v>
      </c>
      <c r="M728" s="69">
        <f t="shared" ref="M728:AG728" si="4916">(M525-M522)/M544</f>
        <v>1.4930610116731518</v>
      </c>
      <c r="N728" s="69">
        <f t="shared" si="4916"/>
        <v>1.6754827102803738</v>
      </c>
      <c r="O728" s="69">
        <f t="shared" si="4916"/>
        <v>1.7322808971384378</v>
      </c>
      <c r="P728" s="69">
        <f t="shared" si="4916"/>
        <v>1.7866245022970906</v>
      </c>
      <c r="Q728" s="69">
        <f t="shared" si="4916"/>
        <v>1.8074724791508721</v>
      </c>
      <c r="R728" s="69">
        <f t="shared" si="4916"/>
        <v>1.8654243004418263</v>
      </c>
      <c r="S728" s="69">
        <f t="shared" si="4916"/>
        <v>1.4097373913043478</v>
      </c>
      <c r="T728" s="69">
        <f t="shared" si="4916"/>
        <v>1.8873237032173342</v>
      </c>
      <c r="U728" s="69">
        <f t="shared" si="4916"/>
        <v>1.762361403508772</v>
      </c>
      <c r="V728" s="69">
        <f t="shared" si="4916"/>
        <v>1.9493130659767144</v>
      </c>
      <c r="W728" s="69">
        <f t="shared" si="4916"/>
        <v>2.1302780141843973</v>
      </c>
      <c r="X728" s="69">
        <f t="shared" si="4916"/>
        <v>2.2919043478260872</v>
      </c>
      <c r="Y728" s="69">
        <f t="shared" si="4916"/>
        <v>2.1638675931775113</v>
      </c>
      <c r="Z728" s="69">
        <f t="shared" si="4916"/>
        <v>2.2503136591478698</v>
      </c>
      <c r="AA728" s="69">
        <f t="shared" si="4916"/>
        <v>2.4567734744707348</v>
      </c>
      <c r="AB728" s="69">
        <f t="shared" si="4916"/>
        <v>2.5863308887507768</v>
      </c>
      <c r="AC728" s="69">
        <f>(AC525-AC522)/AC544</f>
        <v>2.7126574969021067</v>
      </c>
      <c r="AD728" s="69">
        <f>(AD525-AD522)/AD544</f>
        <v>2.7712418777022854</v>
      </c>
      <c r="AE728" s="69">
        <f>(AE525-AE522)/AE544</f>
        <v>2.7593711467324291</v>
      </c>
      <c r="AF728" s="69">
        <f>(AF525-AF522)/AF544</f>
        <v>2.7359952324195471</v>
      </c>
      <c r="AG728" s="69">
        <f t="shared" si="4916"/>
        <v>2.6811000585137506</v>
      </c>
      <c r="AH728" s="69">
        <f t="shared" ref="AH728:AM728" si="4917">(AH525-AH522)/AH544</f>
        <v>2.8525641025641026</v>
      </c>
      <c r="AI728" s="69">
        <f t="shared" si="4917"/>
        <v>2.9193735498839906</v>
      </c>
      <c r="AJ728" s="69">
        <f t="shared" si="4917"/>
        <v>2.8195402298850576</v>
      </c>
      <c r="AK728" s="69">
        <f t="shared" si="4917"/>
        <v>2.5216647662485747</v>
      </c>
      <c r="AL728" s="69">
        <f t="shared" si="4917"/>
        <v>2.6086216676120251</v>
      </c>
      <c r="AM728" s="69">
        <f t="shared" si="4917"/>
        <v>2.2453363482193329</v>
      </c>
      <c r="AN728" s="69">
        <f t="shared" ref="AN728:AS728" si="4918">(AN525-AN522)/AN544</f>
        <v>3.481062747314867</v>
      </c>
      <c r="AO728" s="69">
        <f t="shared" si="4918"/>
        <v>1.9412097230073488</v>
      </c>
      <c r="AP728" s="69">
        <f t="shared" si="4918"/>
        <v>2.7508474576271187</v>
      </c>
      <c r="AQ728" s="69">
        <f t="shared" si="4918"/>
        <v>2.9977426636568847</v>
      </c>
      <c r="AR728" s="69">
        <f t="shared" si="4918"/>
        <v>3.3735632183908044</v>
      </c>
      <c r="AS728" s="69">
        <f t="shared" si="4918"/>
        <v>2.876173708920188</v>
      </c>
      <c r="AT728" s="69">
        <f t="shared" ref="AT728:AU728" si="4919">(AT525-AT522)/AT544</f>
        <v>3.0513274336283187</v>
      </c>
      <c r="AU728" s="69">
        <f t="shared" si="4919"/>
        <v>2.8640949554896142</v>
      </c>
      <c r="AV728" s="69">
        <f t="shared" ref="AV728:AW728" si="4920">(AV525-AV522)/AV544</f>
        <v>2.8428912783751494</v>
      </c>
      <c r="AW728" s="69">
        <f t="shared" si="4920"/>
        <v>2.770472205618649</v>
      </c>
      <c r="AX728" s="69">
        <f t="shared" ref="AX728" si="4921">(AX525-AX522)/AX544</f>
        <v>3.0705741626794256</v>
      </c>
      <c r="AY728" s="69">
        <f t="shared" ref="AY728:BE728" si="4922">(AY525-AY522)/AY544</f>
        <v>2.9796650717703339</v>
      </c>
      <c r="AZ728" s="70">
        <f t="shared" si="4922"/>
        <v>3.209928229665072</v>
      </c>
      <c r="BA728" s="69">
        <f t="shared" si="4922"/>
        <v>3.3643602855503421</v>
      </c>
      <c r="BB728" s="69">
        <f t="shared" si="4922"/>
        <v>3.451402689551009</v>
      </c>
      <c r="BC728" s="69">
        <f t="shared" si="4922"/>
        <v>3.459167793579172</v>
      </c>
      <c r="BD728" s="69">
        <f t="shared" si="4922"/>
        <v>3.5012400238140935</v>
      </c>
      <c r="BE728" s="69">
        <f t="shared" si="4922"/>
        <v>3.6166279110201796</v>
      </c>
      <c r="BF728" s="69">
        <f t="shared" ref="BF728:BM728" si="4923">(BF525-BF522)/BF544</f>
        <v>3.7493238207442463</v>
      </c>
      <c r="BG728" s="69">
        <f t="shared" si="4923"/>
        <v>3.8255475708357549</v>
      </c>
      <c r="BH728" s="69">
        <f t="shared" si="4923"/>
        <v>3.9256241846807143</v>
      </c>
      <c r="BI728" s="69">
        <f t="shared" si="4923"/>
        <v>3.938607140411337</v>
      </c>
      <c r="BJ728" s="69">
        <f t="shared" si="4923"/>
        <v>3.9768472909581001</v>
      </c>
      <c r="BK728" s="69">
        <f t="shared" si="4923"/>
        <v>3.909196655394096</v>
      </c>
      <c r="BL728" s="69">
        <f t="shared" si="4923"/>
        <v>3.9787855081783698</v>
      </c>
      <c r="BM728" s="69">
        <f t="shared" si="4923"/>
        <v>3.9758221624600067</v>
      </c>
      <c r="BN728" s="69">
        <f t="shared" ref="BN728:BO728" si="4924">(BN525-BN522)/BN544</f>
        <v>4.0972645952900226</v>
      </c>
      <c r="BO728" s="69">
        <f t="shared" si="4924"/>
        <v>4.0896146439773062</v>
      </c>
      <c r="BP728" s="69">
        <f t="shared" ref="BP728:BQ728" si="4925">(BP525-BP522)/BP544</f>
        <v>4.228156373225552</v>
      </c>
      <c r="BQ728" s="69">
        <f t="shared" si="4925"/>
        <v>4.2204965929403562</v>
      </c>
      <c r="BR728" s="69"/>
      <c r="BS728" s="69">
        <f t="shared" ref="BS728:CB728" si="4926">(BS525-BS522)/BS544</f>
        <v>0.51278771907703946</v>
      </c>
      <c r="BT728" s="69">
        <f t="shared" si="4926"/>
        <v>0.5143081592155947</v>
      </c>
      <c r="BU728" s="69">
        <f t="shared" si="4926"/>
        <v>0.76499063944964474</v>
      </c>
      <c r="BV728" s="69">
        <f t="shared" si="4926"/>
        <v>1.0581080086580088</v>
      </c>
      <c r="BW728" s="69">
        <f t="shared" si="4926"/>
        <v>1.1485628482972137</v>
      </c>
      <c r="BX728" s="69">
        <f t="shared" si="4926"/>
        <v>1.169224427480916</v>
      </c>
      <c r="BY728" s="69">
        <f t="shared" si="4926"/>
        <v>1.1657139784946238</v>
      </c>
      <c r="BZ728" s="69">
        <f t="shared" si="4926"/>
        <v>1.5256970873786408</v>
      </c>
      <c r="CA728" s="69">
        <f t="shared" si="4926"/>
        <v>2.8968932038834954</v>
      </c>
      <c r="CB728" s="69">
        <f t="shared" si="4926"/>
        <v>1.8857931746031746</v>
      </c>
      <c r="CC728" s="69">
        <f t="shared" ref="CC728:CR728" si="4927">(CC525-CC522)/CC544</f>
        <v>2.0846091687845063</v>
      </c>
      <c r="CD728" s="69">
        <f t="shared" si="4927"/>
        <v>1.5646946707203258</v>
      </c>
      <c r="CE728" s="69">
        <f t="shared" si="4927"/>
        <v>1.9567414749811827</v>
      </c>
      <c r="CF728" s="69">
        <f t="shared" si="4927"/>
        <v>2.5620671139925344</v>
      </c>
      <c r="CG728" s="69">
        <f t="shared" si="4927"/>
        <v>3.0615744349181604</v>
      </c>
      <c r="CH728" s="69">
        <f t="shared" si="4927"/>
        <v>3.425135764158262</v>
      </c>
      <c r="CI728" s="69">
        <f t="shared" si="4927"/>
        <v>3.6123381568926125</v>
      </c>
      <c r="CJ728" s="69">
        <f t="shared" si="4927"/>
        <v>3.2357836338418862</v>
      </c>
      <c r="CK728" s="69">
        <f t="shared" si="4927"/>
        <v>3.6688438928804703</v>
      </c>
      <c r="CL728" s="69">
        <f t="shared" si="4927"/>
        <v>4.1033591731266146</v>
      </c>
      <c r="CM728" s="69">
        <f t="shared" si="4927"/>
        <v>4.4806102987921168</v>
      </c>
      <c r="CN728" s="69">
        <f t="shared" si="4927"/>
        <v>4.7332916926920676</v>
      </c>
      <c r="CO728" s="69">
        <f t="shared" si="4927"/>
        <v>5.3296089385474863</v>
      </c>
      <c r="CP728" s="69">
        <f>(CP525-CP522)/CP544</f>
        <v>5.5282208588957058</v>
      </c>
      <c r="CQ728" s="69">
        <f t="shared" si="4927"/>
        <v>5.4181925575900767</v>
      </c>
      <c r="CR728" s="69">
        <f t="shared" si="4927"/>
        <v>5.7719826954566011</v>
      </c>
      <c r="CS728" s="69">
        <f t="shared" ref="CS728:DC728" si="4928">(CS525-CS522)/CS544</f>
        <v>5.3400114481969094</v>
      </c>
      <c r="CT728" s="69">
        <f t="shared" si="4928"/>
        <v>4.8533408833522085</v>
      </c>
      <c r="CU728" s="69">
        <f t="shared" si="4928"/>
        <v>5.4222724703222163</v>
      </c>
      <c r="CV728" s="69">
        <f t="shared" si="4928"/>
        <v>5.7487295313382267</v>
      </c>
      <c r="CW728" s="69">
        <f t="shared" si="4928"/>
        <v>6.2549361207897789</v>
      </c>
      <c r="CX728" s="69">
        <f t="shared" si="4928"/>
        <v>5.9159763313609464</v>
      </c>
      <c r="CY728" s="69">
        <f t="shared" si="4928"/>
        <v>5.6150627615062758</v>
      </c>
      <c r="CZ728" s="70">
        <f t="shared" si="4928"/>
        <v>6.0502392344497595</v>
      </c>
      <c r="DA728" s="69">
        <f t="shared" si="4928"/>
        <v>6.5742927419528776</v>
      </c>
      <c r="DB728" s="69">
        <f t="shared" si="4928"/>
        <v>6.9106757534050764</v>
      </c>
      <c r="DC728" s="69">
        <f t="shared" si="4928"/>
        <v>7.1177158852006768</v>
      </c>
      <c r="DD728" s="69">
        <f t="shared" ref="DD728:DI728" si="4929">(DD525-DD522)/DD544</f>
        <v>7.5748582869478289</v>
      </c>
      <c r="DE728" s="69">
        <f t="shared" si="4929"/>
        <v>7.8642313250920513</v>
      </c>
      <c r="DF728" s="69">
        <f t="shared" si="4929"/>
        <v>7.8860439463521965</v>
      </c>
      <c r="DG728" s="69">
        <f t="shared" si="4929"/>
        <v>7.9546076706383753</v>
      </c>
      <c r="DH728" s="69">
        <f t="shared" si="4929"/>
        <v>8.1868792392673289</v>
      </c>
      <c r="DI728" s="69">
        <f t="shared" si="4929"/>
        <v>8.4486529661659091</v>
      </c>
    </row>
    <row r="729" spans="1:113" outlineLevel="1">
      <c r="A729" s="1" t="s">
        <v>948</v>
      </c>
      <c r="B729" s="19" t="s">
        <v>201</v>
      </c>
      <c r="C729" s="69">
        <f t="shared" ref="C729:L729" si="4930">(C525-C522+C546)/C545</f>
        <v>0.99907411624203835</v>
      </c>
      <c r="D729" s="69">
        <f t="shared" si="4930"/>
        <v>0.95546950320512836</v>
      </c>
      <c r="E729" s="69">
        <f t="shared" si="4930"/>
        <v>1.1477191859537113</v>
      </c>
      <c r="F729" s="69">
        <f t="shared" si="4930"/>
        <v>0.48896536312849165</v>
      </c>
      <c r="G729" s="69">
        <f t="shared" si="4930"/>
        <v>1.0977084529505581</v>
      </c>
      <c r="H729" s="69">
        <f t="shared" si="4930"/>
        <v>0.97349044515103345</v>
      </c>
      <c r="I729" s="69">
        <f t="shared" si="4930"/>
        <v>1.0376782165605096</v>
      </c>
      <c r="J729" s="69">
        <f t="shared" si="4930"/>
        <v>1.2673490608564988</v>
      </c>
      <c r="K729" s="69">
        <f t="shared" si="4930"/>
        <v>1.244559668924003</v>
      </c>
      <c r="L729" s="69">
        <f t="shared" si="4930"/>
        <v>1.5258492123030758</v>
      </c>
      <c r="M729" s="69">
        <f t="shared" ref="M729:AG729" si="4931">(M525-M522+M546)/M545</f>
        <v>1.4674790178571431</v>
      </c>
      <c r="N729" s="69">
        <f t="shared" si="4931"/>
        <v>1.6403204126750184</v>
      </c>
      <c r="O729" s="69">
        <f t="shared" si="4931"/>
        <v>1.708069520295203</v>
      </c>
      <c r="P729" s="69">
        <f t="shared" si="4931"/>
        <v>1.7595665223665224</v>
      </c>
      <c r="Q729" s="69">
        <f t="shared" si="4931"/>
        <v>1.7393387613082811</v>
      </c>
      <c r="R729" s="69">
        <f t="shared" si="4931"/>
        <v>1.7200577547047373</v>
      </c>
      <c r="S729" s="69">
        <f t="shared" si="4931"/>
        <v>1.3458162028447744</v>
      </c>
      <c r="T729" s="69">
        <f t="shared" si="4931"/>
        <v>1.823330945027795</v>
      </c>
      <c r="U729" s="69">
        <f t="shared" si="4931"/>
        <v>1.6979371016235718</v>
      </c>
      <c r="V729" s="69">
        <f t="shared" si="4931"/>
        <v>1.8771659676452968</v>
      </c>
      <c r="W729" s="69">
        <f t="shared" si="4931"/>
        <v>2.0445216507177033</v>
      </c>
      <c r="X729" s="69">
        <f t="shared" si="4931"/>
        <v>2.2057277511961724</v>
      </c>
      <c r="Y729" s="69">
        <f>(Y525-Y522+Y546)/Y545</f>
        <v>2.0864786010669829</v>
      </c>
      <c r="Z729" s="69">
        <f>(Z525-Z522+Z546)/Z545</f>
        <v>2.1823490822972174</v>
      </c>
      <c r="AA729" s="69">
        <f t="shared" si="4931"/>
        <v>2.3852796460176995</v>
      </c>
      <c r="AB729" s="69">
        <f t="shared" si="4931"/>
        <v>2.5218530805687207</v>
      </c>
      <c r="AC729" s="69">
        <f>(AC525-AC522+AC546)/AC545</f>
        <v>2.6506944872554832</v>
      </c>
      <c r="AD729" s="69">
        <f>(AD525-AD522+AD546)/AD545</f>
        <v>2.7021330199764981</v>
      </c>
      <c r="AE729" s="69">
        <f>(AE525-AE522+AE546)/AE545</f>
        <v>2.6860803727431568</v>
      </c>
      <c r="AF729" s="69">
        <f>(AF525-AF522+AF546)/AF545</f>
        <v>2.6689458689458689</v>
      </c>
      <c r="AG729" s="69">
        <f t="shared" si="4931"/>
        <v>2.6152987158012282</v>
      </c>
      <c r="AH729" s="69">
        <f t="shared" ref="AH729:AM729" si="4932">(AH525-AH522+AH546)/AH545</f>
        <v>2.7664637520752628</v>
      </c>
      <c r="AI729" s="69">
        <f t="shared" si="4932"/>
        <v>2.8326912493120529</v>
      </c>
      <c r="AJ729" s="69">
        <f t="shared" si="4932"/>
        <v>2.7303309820944115</v>
      </c>
      <c r="AK729" s="69">
        <f t="shared" si="4932"/>
        <v>2.444563470808784</v>
      </c>
      <c r="AL729" s="69">
        <f t="shared" si="4932"/>
        <v>2.5097419694576093</v>
      </c>
      <c r="AM729" s="69">
        <f t="shared" si="4932"/>
        <v>2.1714886901630721</v>
      </c>
      <c r="AN729" s="69">
        <f t="shared" ref="AN729:AS729" si="4933">(AN525-AN522+AN546)/AN545</f>
        <v>3.3379237288135593</v>
      </c>
      <c r="AO729" s="69">
        <f t="shared" si="4933"/>
        <v>1.8782791185729275</v>
      </c>
      <c r="AP729" s="69">
        <f t="shared" si="4933"/>
        <v>2.5891191709844561</v>
      </c>
      <c r="AQ729" s="69">
        <f t="shared" si="4933"/>
        <v>2.8472803347280333</v>
      </c>
      <c r="AR729" s="69">
        <f t="shared" si="4933"/>
        <v>3.2367853290183386</v>
      </c>
      <c r="AS729" s="69">
        <f t="shared" si="4933"/>
        <v>2.7684674751929439</v>
      </c>
      <c r="AT729" s="69">
        <f t="shared" ref="AT729:AU729" si="4934">(AT525-AT522+AT546)/AT545</f>
        <v>2.962451684152402</v>
      </c>
      <c r="AU729" s="69">
        <f t="shared" si="4934"/>
        <v>2.8408323959505064</v>
      </c>
      <c r="AV729" s="69">
        <f t="shared" ref="AV729:AW729" si="4935">(AV525-AV522+AV546)/AV545</f>
        <v>2.8215883668903805</v>
      </c>
      <c r="AW729" s="69">
        <f t="shared" si="4935"/>
        <v>2.7713156408808581</v>
      </c>
      <c r="AX729" s="69">
        <f t="shared" ref="AX729" si="4936">(AX525-AX522+AX546)/AX545</f>
        <v>3.0669056152927121</v>
      </c>
      <c r="AY729" s="69">
        <f t="shared" ref="AY729:BE729" si="4937">(AY525-AY522+AY546)/AY545</f>
        <v>2.9743283582089544</v>
      </c>
      <c r="AZ729" s="70">
        <f t="shared" si="4937"/>
        <v>3.2060931899641578</v>
      </c>
      <c r="BA729" s="69">
        <f t="shared" si="4937"/>
        <v>3.3603407392115723</v>
      </c>
      <c r="BB729" s="69">
        <f t="shared" si="4937"/>
        <v>3.4472791498980206</v>
      </c>
      <c r="BC729" s="69">
        <f t="shared" si="4937"/>
        <v>3.4550349766214907</v>
      </c>
      <c r="BD729" s="69">
        <f t="shared" si="4937"/>
        <v>3.4970569413483656</v>
      </c>
      <c r="BE729" s="69">
        <f t="shared" si="4937"/>
        <v>3.612306969668901</v>
      </c>
      <c r="BF729" s="69">
        <f t="shared" ref="BF729:BM729" si="4938">(BF525-BF522+BF546)/BF545</f>
        <v>3.7448443418664152</v>
      </c>
      <c r="BG729" s="69">
        <f t="shared" si="4938"/>
        <v>3.8209770241561425</v>
      </c>
      <c r="BH729" s="69">
        <f t="shared" si="4938"/>
        <v>3.9209340721542141</v>
      </c>
      <c r="BI729" s="69">
        <f t="shared" si="4938"/>
        <v>3.9339015165876674</v>
      </c>
      <c r="BJ729" s="69">
        <f t="shared" si="4938"/>
        <v>3.9720959799772664</v>
      </c>
      <c r="BK729" s="69">
        <f t="shared" si="4938"/>
        <v>3.9045261695453579</v>
      </c>
      <c r="BL729" s="69">
        <f t="shared" si="4938"/>
        <v>3.9740318815258271</v>
      </c>
      <c r="BM729" s="69">
        <f t="shared" si="4938"/>
        <v>3.9710720762444036</v>
      </c>
      <c r="BN729" s="69">
        <f t="shared" ref="BN729:BO729" si="4939">(BN525-BN522+BN546)/BN545</f>
        <v>4.0923694165620779</v>
      </c>
      <c r="BO729" s="69">
        <f t="shared" si="4939"/>
        <v>4.0847286049761387</v>
      </c>
      <c r="BP729" s="69">
        <f t="shared" ref="BP729:BQ729" si="4940">(BP525-BP522+BP546)/BP545</f>
        <v>4.2231048124451149</v>
      </c>
      <c r="BQ729" s="69">
        <f t="shared" si="4940"/>
        <v>4.2154541836297943</v>
      </c>
      <c r="BR729" s="69"/>
      <c r="BS729" s="69">
        <f t="shared" ref="BS729:CB729" si="4941">(BS525-BS522+BS546)/BS545</f>
        <v>0.51278771907703946</v>
      </c>
      <c r="BT729" s="69">
        <f t="shared" si="4941"/>
        <v>0.5143081592155947</v>
      </c>
      <c r="BU729" s="69">
        <f t="shared" si="4941"/>
        <v>0.76499063944964474</v>
      </c>
      <c r="BV729" s="69">
        <f t="shared" si="4941"/>
        <v>1.0581080086580088</v>
      </c>
      <c r="BW729" s="69">
        <f t="shared" si="4941"/>
        <v>1.1485628482972137</v>
      </c>
      <c r="BX729" s="69">
        <f t="shared" si="4941"/>
        <v>1.169224427480916</v>
      </c>
      <c r="BY729" s="69">
        <f t="shared" si="4941"/>
        <v>1.1657139784946238</v>
      </c>
      <c r="BZ729" s="69">
        <f t="shared" si="4941"/>
        <v>1.5256970873786408</v>
      </c>
      <c r="CA729" s="69">
        <f t="shared" si="4941"/>
        <v>2.8968932038834954</v>
      </c>
      <c r="CB729" s="69">
        <f t="shared" si="4941"/>
        <v>1.8877697147385106</v>
      </c>
      <c r="CC729" s="69">
        <f t="shared" ref="CC729:CR729" si="4942">(CC525-CC522+CC546)/CC545</f>
        <v>2.103538469897468</v>
      </c>
      <c r="CD729" s="69">
        <f t="shared" si="4942"/>
        <v>1.5869114307508374</v>
      </c>
      <c r="CE729" s="69">
        <f t="shared" si="4942"/>
        <v>2.0111263403034383</v>
      </c>
      <c r="CF729" s="69">
        <f t="shared" si="4942"/>
        <v>2.511941388040301</v>
      </c>
      <c r="CG729" s="69">
        <f t="shared" si="4942"/>
        <v>3.0104633781763828</v>
      </c>
      <c r="CH729" s="69">
        <f t="shared" si="4942"/>
        <v>3.3789785344189491</v>
      </c>
      <c r="CI729" s="69">
        <f t="shared" si="4942"/>
        <v>3.4720279720279721</v>
      </c>
      <c r="CJ729" s="69">
        <f t="shared" si="4942"/>
        <v>3.0910828025477706</v>
      </c>
      <c r="CK729" s="69">
        <f t="shared" si="4942"/>
        <v>3.5322384428223845</v>
      </c>
      <c r="CL729" s="69">
        <f t="shared" si="4942"/>
        <v>3.9419509275882705</v>
      </c>
      <c r="CM729" s="69">
        <f t="shared" si="4942"/>
        <v>4.3214072748956474</v>
      </c>
      <c r="CN729" s="69">
        <f t="shared" si="4942"/>
        <v>4.6009473060982833</v>
      </c>
      <c r="CO729" s="69">
        <f t="shared" si="4942"/>
        <v>5.2114014251781473</v>
      </c>
      <c r="CP729" s="69">
        <f t="shared" si="4942"/>
        <v>5.3885647607934652</v>
      </c>
      <c r="CQ729" s="69">
        <f t="shared" si="4942"/>
        <v>5.2866817155756207</v>
      </c>
      <c r="CR729" s="69">
        <f t="shared" si="4942"/>
        <v>5.5839295542102363</v>
      </c>
      <c r="CS729" s="69">
        <f t="shared" ref="CS729:DC729" si="4943">(CS525-CS522+CS546)/CS545</f>
        <v>5.1640582838640041</v>
      </c>
      <c r="CT729" s="69">
        <f t="shared" si="4943"/>
        <v>4.6859852476290831</v>
      </c>
      <c r="CU729" s="69">
        <f t="shared" si="4943"/>
        <v>5.2147757255936673</v>
      </c>
      <c r="CV729" s="69">
        <f t="shared" si="4943"/>
        <v>5.3986556359875904</v>
      </c>
      <c r="CW729" s="69">
        <f t="shared" si="4943"/>
        <v>6.0136388434260777</v>
      </c>
      <c r="CX729" s="69">
        <f t="shared" si="4943"/>
        <v>5.7866666666666671</v>
      </c>
      <c r="CY729" s="69">
        <f t="shared" si="4943"/>
        <v>5.5790358744394615</v>
      </c>
      <c r="CZ729" s="70">
        <f t="shared" si="4943"/>
        <v>6.0411915038432964</v>
      </c>
      <c r="DA729" s="69">
        <f t="shared" si="4943"/>
        <v>6.5664381508633287</v>
      </c>
      <c r="DB729" s="69">
        <f t="shared" si="4943"/>
        <v>6.9024192710234695</v>
      </c>
      <c r="DC729" s="69">
        <f t="shared" si="4943"/>
        <v>7.1092120430439252</v>
      </c>
      <c r="DD729" s="69">
        <f t="shared" ref="DD729:DI729" si="4944">(DD525-DD522+DD546)/DD545</f>
        <v>7.5658082770470561</v>
      </c>
      <c r="DE729" s="69">
        <f t="shared" si="4944"/>
        <v>7.8548355887418824</v>
      </c>
      <c r="DF729" s="69">
        <f t="shared" si="4944"/>
        <v>7.8766221495226239</v>
      </c>
      <c r="DG729" s="69">
        <f t="shared" si="4944"/>
        <v>7.9451039577702298</v>
      </c>
      <c r="DH729" s="69">
        <f t="shared" si="4944"/>
        <v>8.1770980215382156</v>
      </c>
      <c r="DI729" s="69">
        <f t="shared" si="4944"/>
        <v>8.4385589960749101</v>
      </c>
    </row>
    <row r="730" spans="1:113" outlineLevel="1">
      <c r="A730" s="1" t="s">
        <v>949</v>
      </c>
      <c r="B730" s="19" t="s">
        <v>202</v>
      </c>
      <c r="C730" s="69">
        <f t="shared" ref="C730:L730" si="4945">C515/C544</f>
        <v>0.90947300955414012</v>
      </c>
      <c r="D730" s="69">
        <f t="shared" si="4945"/>
        <v>0.93642227564102576</v>
      </c>
      <c r="E730" s="69">
        <f t="shared" si="4945"/>
        <v>1.0255572226656027</v>
      </c>
      <c r="F730" s="69">
        <f t="shared" si="4945"/>
        <v>0.9430046288906625</v>
      </c>
      <c r="G730" s="69">
        <f t="shared" si="4945"/>
        <v>1.0715347687400318</v>
      </c>
      <c r="H730" s="69">
        <f t="shared" si="4945"/>
        <v>0.9502900556881464</v>
      </c>
      <c r="I730" s="69">
        <f t="shared" si="4945"/>
        <v>1.1039663745019921</v>
      </c>
      <c r="J730" s="69">
        <f t="shared" si="4945"/>
        <v>1.3146017391304348</v>
      </c>
      <c r="K730" s="69">
        <f t="shared" si="4945"/>
        <v>1.3196224666142971</v>
      </c>
      <c r="L730" s="69">
        <f t="shared" si="4945"/>
        <v>1.6002112412177987</v>
      </c>
      <c r="M730" s="69">
        <f t="shared" ref="M730:AG730" si="4946">M515/M544</f>
        <v>1.5418235019455253</v>
      </c>
      <c r="N730" s="69">
        <f t="shared" si="4946"/>
        <v>1.7568168224299066</v>
      </c>
      <c r="O730" s="69">
        <f t="shared" si="4946"/>
        <v>1.6953583913379737</v>
      </c>
      <c r="P730" s="69">
        <f t="shared" si="4946"/>
        <v>1.7972863705972437</v>
      </c>
      <c r="Q730" s="69">
        <f t="shared" si="4946"/>
        <v>1.7531804397270661</v>
      </c>
      <c r="R730" s="69">
        <f t="shared" si="4946"/>
        <v>1.3769131075110457</v>
      </c>
      <c r="S730" s="69">
        <f t="shared" si="4946"/>
        <v>1.5773890301003344</v>
      </c>
      <c r="T730" s="69">
        <f t="shared" si="4946"/>
        <v>1.9062622455679579</v>
      </c>
      <c r="U730" s="69">
        <f t="shared" si="4946"/>
        <v>2.0260370370370371</v>
      </c>
      <c r="V730" s="69">
        <f t="shared" si="4946"/>
        <v>2.1313776196636485</v>
      </c>
      <c r="W730" s="69">
        <f t="shared" si="4946"/>
        <v>2.2315976789168279</v>
      </c>
      <c r="X730" s="69">
        <f t="shared" si="4946"/>
        <v>2.2613795396419438</v>
      </c>
      <c r="Y730" s="69">
        <f>Y515/Y544</f>
        <v>2.2084769425142134</v>
      </c>
      <c r="Z730" s="69">
        <f>Z515/Z544</f>
        <v>2.3244724310776941</v>
      </c>
      <c r="AA730" s="69">
        <f t="shared" si="4946"/>
        <v>2.4710174346201743</v>
      </c>
      <c r="AB730" s="69">
        <f t="shared" si="4946"/>
        <v>2.6240379117464263</v>
      </c>
      <c r="AC730" s="69">
        <f>AC515/AC544</f>
        <v>2.7052627013630732</v>
      </c>
      <c r="AD730" s="69">
        <f>AD515/AD544</f>
        <v>2.8253029030265595</v>
      </c>
      <c r="AE730" s="69">
        <f>AE515/AE544</f>
        <v>2.7507864364981507</v>
      </c>
      <c r="AF730" s="69">
        <f>AF515/AF544</f>
        <v>2.8462455303933254</v>
      </c>
      <c r="AG730" s="69">
        <f t="shared" si="4946"/>
        <v>2.702750146284377</v>
      </c>
      <c r="AH730" s="69">
        <f t="shared" ref="AH730:AM730" si="4947">AH515/AH544</f>
        <v>2.8135198135198136</v>
      </c>
      <c r="AI730" s="69">
        <f t="shared" si="4947"/>
        <v>2.7998839907192576</v>
      </c>
      <c r="AJ730" s="69">
        <f t="shared" si="4947"/>
        <v>2.642528735632184</v>
      </c>
      <c r="AK730" s="69">
        <f t="shared" si="4947"/>
        <v>2.4612314709236034</v>
      </c>
      <c r="AL730" s="69">
        <f t="shared" si="4947"/>
        <v>2.5596104120084822</v>
      </c>
      <c r="AM730" s="69">
        <f t="shared" si="4947"/>
        <v>2.0963294763307232</v>
      </c>
      <c r="AN730" s="69">
        <f t="shared" ref="AN730:AS730" si="4948">AN515/AN544</f>
        <v>2.4460146975692481</v>
      </c>
      <c r="AO730" s="69">
        <f t="shared" si="4948"/>
        <v>1.6382136800452234</v>
      </c>
      <c r="AP730" s="69">
        <f t="shared" si="4948"/>
        <v>2.1853107344632767</v>
      </c>
      <c r="AQ730" s="69">
        <f t="shared" si="4948"/>
        <v>2.7003386004514671</v>
      </c>
      <c r="AR730" s="69">
        <f t="shared" si="4948"/>
        <v>2.7275862068965515</v>
      </c>
      <c r="AS730" s="69">
        <f t="shared" si="4948"/>
        <v>2.845657276995305</v>
      </c>
      <c r="AT730" s="69">
        <f t="shared" ref="AT730:AU730" si="4949">AT515/AT544</f>
        <v>3.056047197640118</v>
      </c>
      <c r="AU730" s="69">
        <f t="shared" si="4949"/>
        <v>2.9032640949554898</v>
      </c>
      <c r="AV730" s="69">
        <f t="shared" ref="AV730:AW730" si="4950">AV515/AV544</f>
        <v>2.9982078853046596</v>
      </c>
      <c r="AW730" s="69">
        <f t="shared" si="4950"/>
        <v>2.8792588164973103</v>
      </c>
      <c r="AX730" s="69">
        <f t="shared" ref="AX730" si="4951">AX515/AX544</f>
        <v>3.0693779904306222</v>
      </c>
      <c r="AY730" s="69">
        <f t="shared" ref="AY730:BE730" si="4952">AY515/AY544</f>
        <v>3.0622009569377981</v>
      </c>
      <c r="AZ730" s="70">
        <f t="shared" si="4952"/>
        <v>3.2565789473684212</v>
      </c>
      <c r="BA730" s="69">
        <f t="shared" si="4952"/>
        <v>3.3643602855503421</v>
      </c>
      <c r="BB730" s="69">
        <f t="shared" si="4952"/>
        <v>3.451402689551009</v>
      </c>
      <c r="BC730" s="69">
        <f t="shared" si="4952"/>
        <v>3.459167793579172</v>
      </c>
      <c r="BD730" s="69">
        <f t="shared" si="4952"/>
        <v>3.5012400238140935</v>
      </c>
      <c r="BE730" s="69">
        <f t="shared" si="4952"/>
        <v>3.6166279110201796</v>
      </c>
      <c r="BF730" s="69">
        <f t="shared" ref="BF730:BM730" si="4953">BF515/BF544</f>
        <v>3.7493238207442463</v>
      </c>
      <c r="BG730" s="69">
        <f t="shared" si="4953"/>
        <v>3.8255475708357549</v>
      </c>
      <c r="BH730" s="69">
        <f t="shared" si="4953"/>
        <v>3.9256241846807143</v>
      </c>
      <c r="BI730" s="69">
        <f t="shared" si="4953"/>
        <v>3.938607140411337</v>
      </c>
      <c r="BJ730" s="69">
        <f t="shared" si="4953"/>
        <v>3.9768472909581001</v>
      </c>
      <c r="BK730" s="69">
        <f t="shared" si="4953"/>
        <v>3.909196655394096</v>
      </c>
      <c r="BL730" s="69">
        <f t="shared" si="4953"/>
        <v>3.9787855081783698</v>
      </c>
      <c r="BM730" s="69">
        <f t="shared" si="4953"/>
        <v>3.9758221624600067</v>
      </c>
      <c r="BN730" s="69">
        <f t="shared" ref="BN730:BO730" si="4954">BN515/BN544</f>
        <v>4.0972645952900226</v>
      </c>
      <c r="BO730" s="69">
        <f t="shared" si="4954"/>
        <v>4.0896146439773062</v>
      </c>
      <c r="BP730" s="69">
        <f t="shared" ref="BP730:BQ730" si="4955">BP515/BP544</f>
        <v>4.228156373225552</v>
      </c>
      <c r="BQ730" s="69">
        <f t="shared" si="4955"/>
        <v>4.2204965929403562</v>
      </c>
      <c r="BR730" s="69"/>
      <c r="BS730" s="69">
        <f t="shared" ref="BS730:CB730" si="4956">BS515/BS544</f>
        <v>0.51278771907703946</v>
      </c>
      <c r="BT730" s="69">
        <f t="shared" si="4956"/>
        <v>0.67219960312828297</v>
      </c>
      <c r="BU730" s="69">
        <f t="shared" si="4956"/>
        <v>0.76499063944964474</v>
      </c>
      <c r="BV730" s="69">
        <f t="shared" si="4956"/>
        <v>1.0882474025974027</v>
      </c>
      <c r="BW730" s="69">
        <f t="shared" si="4956"/>
        <v>1.1485628482972137</v>
      </c>
      <c r="BX730" s="69">
        <f t="shared" si="4956"/>
        <v>1.3546950926935661</v>
      </c>
      <c r="BY730" s="69">
        <f t="shared" si="4956"/>
        <v>1.3870926881720431</v>
      </c>
      <c r="BZ730" s="69">
        <f t="shared" si="4956"/>
        <v>1.5761244875943905</v>
      </c>
      <c r="CA730" s="69">
        <f t="shared" si="4956"/>
        <v>1.8003654800431499</v>
      </c>
      <c r="CB730" s="69">
        <f t="shared" si="4956"/>
        <v>1.7784395238095239</v>
      </c>
      <c r="CC730" s="69">
        <f t="shared" ref="CC730:CR730" si="4957">CC515/CC544</f>
        <v>1.96212545570064</v>
      </c>
      <c r="CD730" s="69">
        <f t="shared" si="4957"/>
        <v>2.014584061338188</v>
      </c>
      <c r="CE730" s="69">
        <f t="shared" si="4957"/>
        <v>2.0541430133958674</v>
      </c>
      <c r="CF730" s="69">
        <f t="shared" si="4957"/>
        <v>2.6341717865184791</v>
      </c>
      <c r="CG730" s="69">
        <f t="shared" si="4957"/>
        <v>3.1590023382696804</v>
      </c>
      <c r="CH730" s="69">
        <f t="shared" si="4957"/>
        <v>3.469356089992242</v>
      </c>
      <c r="CI730" s="69">
        <f t="shared" si="4957"/>
        <v>3.5681645087585681</v>
      </c>
      <c r="CJ730" s="69">
        <f t="shared" si="4957"/>
        <v>2.9479889042995837</v>
      </c>
      <c r="CK730" s="69">
        <f t="shared" si="4957"/>
        <v>3.9542782495101241</v>
      </c>
      <c r="CL730" s="69">
        <f t="shared" si="4957"/>
        <v>4.3882428940568472</v>
      </c>
      <c r="CM730" s="69">
        <f t="shared" si="4957"/>
        <v>4.4952320406865862</v>
      </c>
      <c r="CN730" s="69">
        <f t="shared" si="4957"/>
        <v>4.8219862585883826</v>
      </c>
      <c r="CO730" s="69">
        <f t="shared" si="4957"/>
        <v>5.3600248292985722</v>
      </c>
      <c r="CP730" s="69">
        <f t="shared" si="4957"/>
        <v>5.5736196319018401</v>
      </c>
      <c r="CQ730" s="69">
        <f t="shared" si="4957"/>
        <v>5.5493207324276437</v>
      </c>
      <c r="CR730" s="69">
        <f t="shared" si="4957"/>
        <v>5.6132647990162656</v>
      </c>
      <c r="CS730" s="69">
        <f t="shared" ref="CS730:DC730" si="4958">CS515/CS544</f>
        <v>5.1030337721808818</v>
      </c>
      <c r="CT730" s="69">
        <f t="shared" si="4958"/>
        <v>4.6551528878822195</v>
      </c>
      <c r="CU730" s="69">
        <f t="shared" si="4958"/>
        <v>4.0842283776144717</v>
      </c>
      <c r="CV730" s="69">
        <f t="shared" si="4958"/>
        <v>4.8859401468097117</v>
      </c>
      <c r="CW730" s="69">
        <f t="shared" si="4958"/>
        <v>5.5720092915214865</v>
      </c>
      <c r="CX730" s="69">
        <f t="shared" si="4958"/>
        <v>5.9597633136094679</v>
      </c>
      <c r="CY730" s="69">
        <f t="shared" si="4958"/>
        <v>5.8792588164973099</v>
      </c>
      <c r="CZ730" s="70">
        <f t="shared" si="4958"/>
        <v>6.1315789473684212</v>
      </c>
      <c r="DA730" s="69">
        <f t="shared" si="4958"/>
        <v>6.620941479503661</v>
      </c>
      <c r="DB730" s="69">
        <f t="shared" si="4958"/>
        <v>6.9106757534050773</v>
      </c>
      <c r="DC730" s="69">
        <f t="shared" si="4958"/>
        <v>7.1177158852006777</v>
      </c>
      <c r="DD730" s="69">
        <f t="shared" ref="DD730:DI730" si="4959">DD515/DD544</f>
        <v>7.5748582869478245</v>
      </c>
      <c r="DE730" s="69">
        <f t="shared" si="4959"/>
        <v>7.8642313250920495</v>
      </c>
      <c r="DF730" s="69">
        <f t="shared" si="4959"/>
        <v>7.8860439463521983</v>
      </c>
      <c r="DG730" s="69">
        <f t="shared" si="4959"/>
        <v>7.954607670638377</v>
      </c>
      <c r="DH730" s="69">
        <f t="shared" si="4959"/>
        <v>8.1868792392673271</v>
      </c>
      <c r="DI730" s="69">
        <f t="shared" si="4959"/>
        <v>8.4486529661659073</v>
      </c>
    </row>
    <row r="731" spans="1:113" s="109" customFormat="1" outlineLevel="1">
      <c r="A731" s="1" t="s">
        <v>950</v>
      </c>
      <c r="B731" s="109" t="s">
        <v>203</v>
      </c>
      <c r="C731" s="232" t="e">
        <f t="shared" ref="C731:L731" si="4960">C730/B730-1</f>
        <v>#VALUE!</v>
      </c>
      <c r="D731" s="232">
        <f t="shared" si="4960"/>
        <v>2.963173816460718E-2</v>
      </c>
      <c r="E731" s="232">
        <f t="shared" si="4960"/>
        <v>9.5186700854120287E-2</v>
      </c>
      <c r="F731" s="232">
        <f t="shared" si="4960"/>
        <v>-8.0495356037151744E-2</v>
      </c>
      <c r="G731" s="232">
        <f t="shared" si="4960"/>
        <v>0.1362985248551436</v>
      </c>
      <c r="H731" s="232">
        <f t="shared" si="4960"/>
        <v>-0.11315051698644507</v>
      </c>
      <c r="I731" s="232">
        <f t="shared" si="4960"/>
        <v>0.16171517095647392</v>
      </c>
      <c r="J731" s="232">
        <f t="shared" si="4960"/>
        <v>0.19079871406723048</v>
      </c>
      <c r="K731" s="232">
        <f t="shared" si="4960"/>
        <v>3.8192003969075294E-3</v>
      </c>
      <c r="L731" s="232">
        <f t="shared" si="4960"/>
        <v>0.21262806727093486</v>
      </c>
      <c r="M731" s="42">
        <f t="shared" ref="M731:AX731" si="4961">M730/L730-1</f>
        <v>-3.6487519752604003E-2</v>
      </c>
      <c r="N731" s="42">
        <f t="shared" si="4961"/>
        <v>0.13944094133543516</v>
      </c>
      <c r="O731" s="42">
        <f t="shared" si="4961"/>
        <v>-3.4982833900080612E-2</v>
      </c>
      <c r="P731" s="42">
        <f t="shared" si="4961"/>
        <v>6.0121788867797177E-2</v>
      </c>
      <c r="Q731" s="42">
        <f t="shared" si="4961"/>
        <v>-2.4540291181043727E-2</v>
      </c>
      <c r="R731" s="42">
        <f t="shared" si="4961"/>
        <v>-0.21461985525836547</v>
      </c>
      <c r="S731" s="42">
        <f t="shared" si="4961"/>
        <v>0.14559809293389314</v>
      </c>
      <c r="T731" s="45">
        <f t="shared" si="4961"/>
        <v>0.20849214061461074</v>
      </c>
      <c r="U731" s="42">
        <f t="shared" si="4961"/>
        <v>6.2832273863449029E-2</v>
      </c>
      <c r="V731" s="42">
        <f t="shared" si="4961"/>
        <v>5.1993414089145151E-2</v>
      </c>
      <c r="W731" s="42">
        <f t="shared" si="4961"/>
        <v>4.7021259080779476E-2</v>
      </c>
      <c r="X731" s="42">
        <f t="shared" si="4961"/>
        <v>1.3345533115795005E-2</v>
      </c>
      <c r="Y731" s="45">
        <f>Y730/X730-1</f>
        <v>-2.3393948782302498E-2</v>
      </c>
      <c r="Z731" s="45">
        <f>Z730/Y730-1</f>
        <v>5.2522843381569206E-2</v>
      </c>
      <c r="AA731" s="45">
        <f t="shared" si="4961"/>
        <v>6.3044414544653371E-2</v>
      </c>
      <c r="AB731" s="45">
        <f t="shared" si="4961"/>
        <v>6.1926101767781683E-2</v>
      </c>
      <c r="AC731" s="45">
        <f t="shared" si="4961"/>
        <v>3.0954121986213057E-2</v>
      </c>
      <c r="AD731" s="45">
        <f t="shared" si="4961"/>
        <v>4.4372844679003931E-2</v>
      </c>
      <c r="AE731" s="45">
        <f t="shared" si="4961"/>
        <v>-2.637468232117135E-2</v>
      </c>
      <c r="AF731" s="45">
        <f t="shared" si="4961"/>
        <v>3.4702473673927869E-2</v>
      </c>
      <c r="AG731" s="45">
        <f t="shared" si="4961"/>
        <v>-5.0415673060053456E-2</v>
      </c>
      <c r="AH731" s="45">
        <f t="shared" si="4961"/>
        <v>4.0984057437835286E-2</v>
      </c>
      <c r="AI731" s="45">
        <f t="shared" si="4961"/>
        <v>-4.846535195889401E-3</v>
      </c>
      <c r="AJ731" s="45">
        <f t="shared" si="4961"/>
        <v>-5.6200633886495766E-2</v>
      </c>
      <c r="AK731" s="45">
        <f t="shared" si="4961"/>
        <v>-6.8607490342090127E-2</v>
      </c>
      <c r="AL731" s="45">
        <f t="shared" si="4961"/>
        <v>3.9971429850099049E-2</v>
      </c>
      <c r="AM731" s="45">
        <f t="shared" si="4961"/>
        <v>-0.18099666007930881</v>
      </c>
      <c r="AN731" s="45">
        <f t="shared" si="4961"/>
        <v>0.16680833103133708</v>
      </c>
      <c r="AO731" s="45">
        <f t="shared" si="4961"/>
        <v>-0.33025190663277093</v>
      </c>
      <c r="AP731" s="45">
        <f t="shared" si="4961"/>
        <v>0.33395952010542995</v>
      </c>
      <c r="AQ731" s="45">
        <f t="shared" si="4961"/>
        <v>0.23567717755922879</v>
      </c>
      <c r="AR731" s="45">
        <f t="shared" si="4961"/>
        <v>1.0090440673080403E-2</v>
      </c>
      <c r="AS731" s="45">
        <f t="shared" si="4961"/>
        <v>4.3287750099416655E-2</v>
      </c>
      <c r="AT731" s="45">
        <f t="shared" si="4961"/>
        <v>7.3933682156890335E-2</v>
      </c>
      <c r="AU731" s="45">
        <f t="shared" si="4961"/>
        <v>-4.9993698658386987E-2</v>
      </c>
      <c r="AV731" s="45">
        <f t="shared" si="4961"/>
        <v>3.2702429832042412E-2</v>
      </c>
      <c r="AW731" s="45">
        <f t="shared" si="4961"/>
        <v>-3.9673389357143374E-2</v>
      </c>
      <c r="AX731" s="45">
        <f t="shared" si="4961"/>
        <v>6.6030595389335867E-2</v>
      </c>
      <c r="AY731" s="45">
        <f t="shared" ref="AY731:BE731" si="4962">AY730/AX730-1</f>
        <v>-2.3382696804368219E-3</v>
      </c>
      <c r="AZ731" s="43">
        <f t="shared" si="4962"/>
        <v>6.3476562500000444E-2</v>
      </c>
      <c r="BA731" s="42">
        <f t="shared" si="4962"/>
        <v>3.3096491724549315E-2</v>
      </c>
      <c r="BB731" s="42">
        <f t="shared" si="4962"/>
        <v>2.5871903307890909E-2</v>
      </c>
      <c r="BC731" s="42">
        <f t="shared" si="4962"/>
        <v>2.2498400582671163E-3</v>
      </c>
      <c r="BD731" s="42">
        <f t="shared" si="4962"/>
        <v>1.2162529471110073E-2</v>
      </c>
      <c r="BE731" s="42">
        <f t="shared" si="4962"/>
        <v>3.2956291605620303E-2</v>
      </c>
      <c r="BF731" s="42">
        <f t="shared" ref="BF731:BM731" si="4963">BF730/BE730-1</f>
        <v>3.6690506457612182E-2</v>
      </c>
      <c r="BG731" s="42">
        <f t="shared" si="4963"/>
        <v>2.032999915072109E-2</v>
      </c>
      <c r="BH731" s="42">
        <f t="shared" si="4963"/>
        <v>2.6160075647182701E-2</v>
      </c>
      <c r="BI731" s="42">
        <f t="shared" si="4963"/>
        <v>3.3072334792736413E-3</v>
      </c>
      <c r="BJ731" s="42">
        <f t="shared" si="4963"/>
        <v>9.7090542883566666E-3</v>
      </c>
      <c r="BK731" s="42">
        <f t="shared" si="4963"/>
        <v>-1.7011122282169833E-2</v>
      </c>
      <c r="BL731" s="232">
        <f t="shared" si="4963"/>
        <v>1.7801317999249777E-2</v>
      </c>
      <c r="BM731" s="232">
        <f t="shared" si="4963"/>
        <v>-7.4478649634968086E-4</v>
      </c>
      <c r="BN731" s="232">
        <f t="shared" ref="BN731" si="4964">BN730/BM730-1</f>
        <v>3.0545237655920321E-2</v>
      </c>
      <c r="BO731" s="232">
        <f t="shared" ref="BO731" si="4965">BO730/BN730-1</f>
        <v>-1.867087451835614E-3</v>
      </c>
      <c r="BP731" s="232">
        <f t="shared" ref="BP731" si="4966">BP730/BO730-1</f>
        <v>3.3876475244990045E-2</v>
      </c>
      <c r="BQ731" s="232">
        <f t="shared" ref="BQ731" si="4967">BQ730/BP730-1</f>
        <v>-1.8116123456788369E-3</v>
      </c>
      <c r="BR731" s="42"/>
      <c r="BS731" s="232" t="e">
        <f t="shared" ref="BS731:CB731" si="4968">BS730/BR730-1</f>
        <v>#DIV/0!</v>
      </c>
      <c r="BT731" s="232">
        <f t="shared" si="4968"/>
        <v>0.310873053547708</v>
      </c>
      <c r="BU731" s="232">
        <f t="shared" si="4968"/>
        <v>0.1380408972119751</v>
      </c>
      <c r="BV731" s="232">
        <f t="shared" si="4968"/>
        <v>0.42256303081083146</v>
      </c>
      <c r="BW731" s="232">
        <f t="shared" si="4968"/>
        <v>5.5424387465434322E-2</v>
      </c>
      <c r="BX731" s="232">
        <f t="shared" si="4968"/>
        <v>0.1794697126952618</v>
      </c>
      <c r="BY731" s="232">
        <f t="shared" si="4968"/>
        <v>2.3915046015306807E-2</v>
      </c>
      <c r="BZ731" s="232">
        <f t="shared" si="4968"/>
        <v>0.1362791405608661</v>
      </c>
      <c r="CA731" s="232">
        <f t="shared" si="4968"/>
        <v>0.14227365554799176</v>
      </c>
      <c r="CB731" s="232">
        <f t="shared" si="4968"/>
        <v>-1.2178613996253973E-2</v>
      </c>
      <c r="CC731" s="42">
        <f t="shared" ref="CC731:CS731" si="4969">CC730/CB730-1</f>
        <v>0.10328489073255076</v>
      </c>
      <c r="CD731" s="42">
        <f t="shared" si="4969"/>
        <v>2.6735602193599828E-2</v>
      </c>
      <c r="CE731" s="42">
        <f t="shared" si="4969"/>
        <v>1.9636287617307069E-2</v>
      </c>
      <c r="CF731" s="42">
        <f t="shared" si="4969"/>
        <v>0.28237019980596179</v>
      </c>
      <c r="CG731" s="42">
        <f t="shared" si="4969"/>
        <v>0.19923930338835527</v>
      </c>
      <c r="CH731" s="42">
        <f t="shared" si="4969"/>
        <v>9.8244229819897999E-2</v>
      </c>
      <c r="CI731" s="42">
        <f t="shared" si="4969"/>
        <v>2.8480333584479878E-2</v>
      </c>
      <c r="CJ731" s="42">
        <f t="shared" si="4969"/>
        <v>-0.17380801892308351</v>
      </c>
      <c r="CK731" s="42">
        <f t="shared" si="4969"/>
        <v>0.34134773836593735</v>
      </c>
      <c r="CL731" s="42">
        <f t="shared" si="4969"/>
        <v>0.10974560138768297</v>
      </c>
      <c r="CM731" s="45">
        <f t="shared" si="4969"/>
        <v>2.4380862502993761E-2</v>
      </c>
      <c r="CN731" s="45">
        <f t="shared" si="4969"/>
        <v>7.2689065868975389E-2</v>
      </c>
      <c r="CO731" s="45">
        <f t="shared" si="4969"/>
        <v>0.11158027871852516</v>
      </c>
      <c r="CP731" s="45">
        <f t="shared" si="4969"/>
        <v>3.9849592008554202E-2</v>
      </c>
      <c r="CQ731" s="45">
        <f t="shared" si="4969"/>
        <v>-4.3596264329047729E-3</v>
      </c>
      <c r="CR731" s="45">
        <f t="shared" si="4969"/>
        <v>1.1522863729061861E-2</v>
      </c>
      <c r="CS731" s="45">
        <f t="shared" si="4969"/>
        <v>-9.0897373472351162E-2</v>
      </c>
      <c r="CT731" s="45">
        <f t="shared" ref="CT731:DI731" si="4970">CT730/CS730-1</f>
        <v>-8.7767572054937015E-2</v>
      </c>
      <c r="CU731" s="45">
        <f t="shared" si="4970"/>
        <v>-0.12264355736927901</v>
      </c>
      <c r="CV731" s="45">
        <f t="shared" si="4970"/>
        <v>0.19629454944032942</v>
      </c>
      <c r="CW731" s="45">
        <f t="shared" si="4970"/>
        <v>0.14041701783018068</v>
      </c>
      <c r="CX731" s="45">
        <f t="shared" si="4970"/>
        <v>6.9589622306983179E-2</v>
      </c>
      <c r="CY731" s="45">
        <f t="shared" si="4970"/>
        <v>-1.3508002394712726E-2</v>
      </c>
      <c r="CZ731" s="43">
        <f t="shared" si="4970"/>
        <v>4.2916996639626781E-2</v>
      </c>
      <c r="DA731" s="42">
        <f t="shared" si="4970"/>
        <v>7.9810198373987618E-2</v>
      </c>
      <c r="DB731" s="42">
        <f t="shared" si="4970"/>
        <v>4.3760283155853674E-2</v>
      </c>
      <c r="DC731" s="42">
        <f t="shared" si="4970"/>
        <v>2.9959462603000198E-2</v>
      </c>
      <c r="DD731" s="42">
        <f t="shared" si="4970"/>
        <v>6.4225997373349442E-2</v>
      </c>
      <c r="DE731" s="42">
        <f t="shared" si="4970"/>
        <v>3.8201775819732608E-2</v>
      </c>
      <c r="DF731" s="42">
        <f t="shared" si="4970"/>
        <v>2.7736494971291048E-3</v>
      </c>
      <c r="DG731" s="232">
        <f t="shared" si="4970"/>
        <v>8.6943117173337026E-3</v>
      </c>
      <c r="DH731" s="232">
        <f t="shared" si="4970"/>
        <v>2.9199625958461484E-2</v>
      </c>
      <c r="DI731" s="232">
        <f t="shared" si="4970"/>
        <v>3.1974787858481735E-2</v>
      </c>
    </row>
    <row r="732" spans="1:113" outlineLevel="1">
      <c r="A732" s="1" t="s">
        <v>109</v>
      </c>
      <c r="B732" s="19" t="s">
        <v>204</v>
      </c>
      <c r="C732" s="69">
        <f t="shared" ref="C732:L732" si="4971">(C515+C546)/C545</f>
        <v>0.91196742834394917</v>
      </c>
      <c r="D732" s="69">
        <f t="shared" si="4971"/>
        <v>0.94590604166666681</v>
      </c>
      <c r="E732" s="69">
        <f t="shared" si="4971"/>
        <v>1.0350031444533123</v>
      </c>
      <c r="F732" s="69">
        <f t="shared" si="4971"/>
        <v>0.95411747805267366</v>
      </c>
      <c r="G732" s="69">
        <f t="shared" si="4971"/>
        <v>1.0826387559808612</v>
      </c>
      <c r="H732" s="69">
        <f t="shared" si="4971"/>
        <v>0.97111858505564397</v>
      </c>
      <c r="I732" s="69">
        <f t="shared" si="4971"/>
        <v>1.1374549681528663</v>
      </c>
      <c r="J732" s="69">
        <f t="shared" si="4971"/>
        <v>1.2830414725770096</v>
      </c>
      <c r="K732" s="69">
        <f t="shared" si="4971"/>
        <v>1.297694808126411</v>
      </c>
      <c r="L732" s="69">
        <f t="shared" si="4971"/>
        <v>1.5721096774193548</v>
      </c>
      <c r="M732" s="69">
        <f t="shared" ref="M732:AG732" si="4972">(M515+M546)/M545</f>
        <v>1.5141008928571429</v>
      </c>
      <c r="N732" s="69">
        <f t="shared" si="4972"/>
        <v>1.7172791451731761</v>
      </c>
      <c r="O732" s="69">
        <f t="shared" si="4972"/>
        <v>1.6728364575645756</v>
      </c>
      <c r="P732" s="69">
        <f t="shared" si="4972"/>
        <v>1.7696129870129871</v>
      </c>
      <c r="Q732" s="69">
        <f t="shared" si="4972"/>
        <v>1.6895049408489908</v>
      </c>
      <c r="R732" s="69">
        <f t="shared" si="4972"/>
        <v>1.2895592472420507</v>
      </c>
      <c r="S732" s="69">
        <f t="shared" si="4972"/>
        <v>1.5008188002473717</v>
      </c>
      <c r="T732" s="69">
        <f t="shared" si="4972"/>
        <v>1.8411465101914761</v>
      </c>
      <c r="U732" s="69">
        <f t="shared" si="4972"/>
        <v>1.9419520144317499</v>
      </c>
      <c r="V732" s="69">
        <f t="shared" si="4972"/>
        <v>2.045812941881366</v>
      </c>
      <c r="W732" s="69">
        <f t="shared" si="4972"/>
        <v>2.1385089712918659</v>
      </c>
      <c r="X732" s="69">
        <f t="shared" si="4972"/>
        <v>2.1771746411483255</v>
      </c>
      <c r="Y732" s="69">
        <f>(Y515+Y546)/Y545</f>
        <v>2.128337877889745</v>
      </c>
      <c r="Z732" s="69">
        <f>(Z515+Z546)/Z545</f>
        <v>2.2524245115452932</v>
      </c>
      <c r="AA732" s="69">
        <f t="shared" si="4972"/>
        <v>2.3987756932153395</v>
      </c>
      <c r="AB732" s="69">
        <f t="shared" si="4972"/>
        <v>2.5577953791469197</v>
      </c>
      <c r="AC732" s="69">
        <f>(AC515+AC546)/AC545</f>
        <v>2.6436196799051572</v>
      </c>
      <c r="AD732" s="69">
        <f>(AD515+AD546)/AD545</f>
        <v>2.7535576968272619</v>
      </c>
      <c r="AE732" s="69">
        <f>(AE515+AE546)/AE545</f>
        <v>2.6779266161910309</v>
      </c>
      <c r="AF732" s="69">
        <f>(AF515+AF546)/AF545</f>
        <v>2.7743589743589743</v>
      </c>
      <c r="AG732" s="69">
        <f t="shared" si="4972"/>
        <v>2.635957565605807</v>
      </c>
      <c r="AH732" s="69">
        <f t="shared" ref="AH732:AM732" si="4973">(AH515+AH546)/AH545</f>
        <v>2.7293857221914775</v>
      </c>
      <c r="AI732" s="69">
        <f t="shared" si="4973"/>
        <v>2.7193175564116676</v>
      </c>
      <c r="AJ732" s="69">
        <f t="shared" si="4973"/>
        <v>2.5632121540965818</v>
      </c>
      <c r="AK732" s="69">
        <f t="shared" si="4973"/>
        <v>2.3877878950187466</v>
      </c>
      <c r="AL732" s="69">
        <f t="shared" si="4973"/>
        <v>2.4642407353190912</v>
      </c>
      <c r="AM732" s="69">
        <f t="shared" si="4973"/>
        <v>2.0328284290526297</v>
      </c>
      <c r="AN732" s="69">
        <f t="shared" ref="AN732:AS732" si="4974">(AN515+AN546)/AN545</f>
        <v>2.3681144067796609</v>
      </c>
      <c r="AO732" s="69">
        <f t="shared" si="4974"/>
        <v>1.5970619097586569</v>
      </c>
      <c r="AP732" s="69">
        <f t="shared" si="4974"/>
        <v>2.0704663212435235</v>
      </c>
      <c r="AQ732" s="69">
        <f t="shared" si="4974"/>
        <v>2.5716527196652721</v>
      </c>
      <c r="AR732" s="69">
        <f t="shared" si="4974"/>
        <v>2.6305285868392665</v>
      </c>
      <c r="AS732" s="69">
        <f t="shared" si="4974"/>
        <v>2.7398015435501653</v>
      </c>
      <c r="AT732" s="69">
        <f t="shared" ref="AT732:AU732" si="4975">(AT515+AT546)/AT545</f>
        <v>2.9668691330756487</v>
      </c>
      <c r="AU732" s="69">
        <f t="shared" si="4975"/>
        <v>2.877952755905512</v>
      </c>
      <c r="AV732" s="69">
        <f t="shared" ref="AV732:AW732" si="4976">(AV515+AV546)/AV545</f>
        <v>2.9670022371364655</v>
      </c>
      <c r="AW732" s="69">
        <f t="shared" si="4976"/>
        <v>2.8740824392998308</v>
      </c>
      <c r="AX732" s="69">
        <f t="shared" ref="AX732" si="4977">(AX515+AX546)/AX545</f>
        <v>3.0657108721624851</v>
      </c>
      <c r="AY732" s="69">
        <f t="shared" ref="AY732:BE732" si="4978">(AY515+AY546)/AY545</f>
        <v>3.0567164179104465</v>
      </c>
      <c r="AZ732" s="70">
        <f t="shared" si="4978"/>
        <v>3.252688172043011</v>
      </c>
      <c r="BA732" s="69">
        <f t="shared" si="4978"/>
        <v>3.3603407392115723</v>
      </c>
      <c r="BB732" s="69">
        <f t="shared" si="4978"/>
        <v>3.4472791498980206</v>
      </c>
      <c r="BC732" s="69">
        <f t="shared" si="4978"/>
        <v>3.4550349766214907</v>
      </c>
      <c r="BD732" s="69">
        <f t="shared" si="4978"/>
        <v>3.4970569413483656</v>
      </c>
      <c r="BE732" s="69">
        <f t="shared" si="4978"/>
        <v>3.612306969668901</v>
      </c>
      <c r="BF732" s="69">
        <f t="shared" ref="BF732:BM732" si="4979">(BF515+BF546)/BF545</f>
        <v>3.7448443418664152</v>
      </c>
      <c r="BG732" s="69">
        <f t="shared" si="4979"/>
        <v>3.8209770241561425</v>
      </c>
      <c r="BH732" s="69">
        <f t="shared" si="4979"/>
        <v>3.9209340721542141</v>
      </c>
      <c r="BI732" s="69">
        <f t="shared" si="4979"/>
        <v>3.9339015165876674</v>
      </c>
      <c r="BJ732" s="69">
        <f t="shared" si="4979"/>
        <v>3.9720959799772664</v>
      </c>
      <c r="BK732" s="69">
        <f t="shared" si="4979"/>
        <v>3.9045261695453579</v>
      </c>
      <c r="BL732" s="69">
        <f t="shared" si="4979"/>
        <v>3.9740318815258271</v>
      </c>
      <c r="BM732" s="69">
        <f t="shared" si="4979"/>
        <v>3.9710720762444036</v>
      </c>
      <c r="BN732" s="69">
        <f t="shared" ref="BN732:BO732" si="4980">(BN515+BN546)/BN545</f>
        <v>4.0923694165620779</v>
      </c>
      <c r="BO732" s="69">
        <f t="shared" si="4980"/>
        <v>4.0847286049761387</v>
      </c>
      <c r="BP732" s="69">
        <f t="shared" ref="BP732:BQ732" si="4981">(BP515+BP546)/BP545</f>
        <v>4.2231048124451149</v>
      </c>
      <c r="BQ732" s="69">
        <f t="shared" si="4981"/>
        <v>4.2154541836297943</v>
      </c>
      <c r="BR732" s="69"/>
      <c r="BS732" s="69">
        <f t="shared" ref="BS732:CB732" si="4982">(BS515+BS546)/BS545</f>
        <v>0.51278771907703946</v>
      </c>
      <c r="BT732" s="69">
        <f t="shared" si="4982"/>
        <v>0.67219960312828297</v>
      </c>
      <c r="BU732" s="69">
        <f t="shared" si="4982"/>
        <v>0.76499063944964474</v>
      </c>
      <c r="BV732" s="69">
        <f t="shared" si="4982"/>
        <v>1.0882474025974027</v>
      </c>
      <c r="BW732" s="69">
        <f t="shared" si="4982"/>
        <v>1.1485628482972137</v>
      </c>
      <c r="BX732" s="69">
        <f t="shared" si="4982"/>
        <v>1.3546950926935661</v>
      </c>
      <c r="BY732" s="69">
        <f t="shared" si="4982"/>
        <v>1.3870926881720431</v>
      </c>
      <c r="BZ732" s="69">
        <f t="shared" si="4982"/>
        <v>1.5761244875943905</v>
      </c>
      <c r="CA732" s="69">
        <f t="shared" si="4982"/>
        <v>1.8003654800431499</v>
      </c>
      <c r="CB732" s="69">
        <f t="shared" si="4982"/>
        <v>1.7805861965134711</v>
      </c>
      <c r="CC732" s="69">
        <f t="shared" ref="CC732:CR732" si="4983">(CC515+CC546)/CC545</f>
        <v>1.9810547568136014</v>
      </c>
      <c r="CD732" s="69">
        <f t="shared" si="4983"/>
        <v>2.0368008213686997</v>
      </c>
      <c r="CE732" s="69">
        <f t="shared" si="4983"/>
        <v>2.1084503910794239</v>
      </c>
      <c r="CF732" s="69">
        <f t="shared" si="4983"/>
        <v>2.5807412117079722</v>
      </c>
      <c r="CG732" s="69">
        <f t="shared" si="4983"/>
        <v>3.1038863976083708</v>
      </c>
      <c r="CH732" s="69">
        <f t="shared" si="4983"/>
        <v>3.4211695040710586</v>
      </c>
      <c r="CI732" s="69">
        <f t="shared" si="4983"/>
        <v>3.4314685314685316</v>
      </c>
      <c r="CJ732" s="69">
        <f t="shared" si="4983"/>
        <v>2.8267515923566879</v>
      </c>
      <c r="CK732" s="69">
        <f t="shared" si="4983"/>
        <v>3.7980535279805352</v>
      </c>
      <c r="CL732" s="69">
        <f t="shared" si="4983"/>
        <v>4.2058647516457208</v>
      </c>
      <c r="CM732" s="69">
        <f t="shared" si="4983"/>
        <v>4.3351222420989863</v>
      </c>
      <c r="CN732" s="69">
        <f t="shared" si="4983"/>
        <v>4.6850207223208997</v>
      </c>
      <c r="CO732" s="69">
        <f t="shared" si="4983"/>
        <v>5.2404988123515439</v>
      </c>
      <c r="CP732" s="69">
        <f t="shared" si="4983"/>
        <v>5.4317386231038505</v>
      </c>
      <c r="CQ732" s="69">
        <f t="shared" si="4983"/>
        <v>5.4119638826185099</v>
      </c>
      <c r="CR732" s="69">
        <f t="shared" si="4983"/>
        <v>5.4336818932305997</v>
      </c>
      <c r="CS732" s="69">
        <f t="shared" ref="CS732:DC732" si="4984">(CS515+CS546)/CS545</f>
        <v>4.9406368051807883</v>
      </c>
      <c r="CT732" s="69">
        <f t="shared" si="4984"/>
        <v>4.5015806111696524</v>
      </c>
      <c r="CU732" s="69">
        <f t="shared" si="4984"/>
        <v>3.9656992084432718</v>
      </c>
      <c r="CV732" s="69">
        <f t="shared" si="4984"/>
        <v>4.6085832471561528</v>
      </c>
      <c r="CW732" s="69">
        <f t="shared" si="4984"/>
        <v>5.3720676486633936</v>
      </c>
      <c r="CX732" s="69">
        <f t="shared" si="4984"/>
        <v>5.8277777777777775</v>
      </c>
      <c r="CY732" s="69">
        <f t="shared" si="4984"/>
        <v>5.8267937219730941</v>
      </c>
      <c r="CZ732" s="70">
        <f t="shared" si="4984"/>
        <v>6.122409578628063</v>
      </c>
      <c r="DA732" s="69">
        <f t="shared" si="4984"/>
        <v>6.6130311551553884</v>
      </c>
      <c r="DB732" s="69">
        <f>(DB515+DB546)/DB545</f>
        <v>6.9024192710234704</v>
      </c>
      <c r="DC732" s="69">
        <f t="shared" si="4984"/>
        <v>7.1092120430439261</v>
      </c>
      <c r="DD732" s="69">
        <f t="shared" ref="DD732:DI732" si="4985">(DD515+DD546)/DD545</f>
        <v>7.5658082770470516</v>
      </c>
      <c r="DE732" s="69">
        <f t="shared" si="4985"/>
        <v>7.8548355887418797</v>
      </c>
      <c r="DF732" s="69">
        <f t="shared" si="4985"/>
        <v>7.8766221495226265</v>
      </c>
      <c r="DG732" s="69">
        <f t="shared" si="4985"/>
        <v>7.9451039577702307</v>
      </c>
      <c r="DH732" s="69">
        <f t="shared" si="4985"/>
        <v>8.1770980215382139</v>
      </c>
      <c r="DI732" s="69">
        <f t="shared" si="4985"/>
        <v>8.4385589960749083</v>
      </c>
    </row>
    <row r="733" spans="1:113" s="109" customFormat="1" outlineLevel="1">
      <c r="A733" s="1" t="s">
        <v>108</v>
      </c>
      <c r="B733" s="109" t="s">
        <v>129</v>
      </c>
      <c r="C733" s="232" t="e">
        <f t="shared" ref="C733:L733" si="4986">C732/B732-1</f>
        <v>#VALUE!</v>
      </c>
      <c r="D733" s="232">
        <f t="shared" si="4986"/>
        <v>3.7214720907683185E-2</v>
      </c>
      <c r="E733" s="232">
        <f t="shared" si="4986"/>
        <v>9.4192339262003433E-2</v>
      </c>
      <c r="F733" s="232">
        <f t="shared" si="4986"/>
        <v>-7.815016488994575E-2</v>
      </c>
      <c r="G733" s="232">
        <f t="shared" si="4986"/>
        <v>0.1347017331560636</v>
      </c>
      <c r="H733" s="232">
        <f t="shared" si="4986"/>
        <v>-0.10300773947832764</v>
      </c>
      <c r="I733" s="232">
        <f t="shared" si="4986"/>
        <v>0.17128328677562221</v>
      </c>
      <c r="J733" s="232">
        <f t="shared" si="4986"/>
        <v>0.1279932028083397</v>
      </c>
      <c r="K733" s="232">
        <f t="shared" si="4986"/>
        <v>1.1420780904275896E-2</v>
      </c>
      <c r="L733" s="232">
        <f t="shared" si="4986"/>
        <v>0.21146333296126785</v>
      </c>
      <c r="M733" s="42">
        <f t="shared" ref="M733:AX733" si="4987">M732/L732-1</f>
        <v>-3.6898688046647199E-2</v>
      </c>
      <c r="N733" s="42">
        <f t="shared" si="4987"/>
        <v>0.13419069579480358</v>
      </c>
      <c r="O733" s="42">
        <f t="shared" si="4987"/>
        <v>-2.5879710781743004E-2</v>
      </c>
      <c r="P733" s="42">
        <f t="shared" si="4987"/>
        <v>5.7851757720121189E-2</v>
      </c>
      <c r="Q733" s="42">
        <f t="shared" si="4987"/>
        <v>-4.5268681204252648E-2</v>
      </c>
      <c r="R733" s="42">
        <f t="shared" si="4987"/>
        <v>-0.23672360106029877</v>
      </c>
      <c r="S733" s="42">
        <f t="shared" si="4987"/>
        <v>0.16382306858497331</v>
      </c>
      <c r="T733" s="45">
        <f t="shared" si="4987"/>
        <v>0.22676135845846956</v>
      </c>
      <c r="U733" s="42">
        <f t="shared" si="4987"/>
        <v>5.4751484296483355E-2</v>
      </c>
      <c r="V733" s="42">
        <f t="shared" si="4987"/>
        <v>5.3482746575490347E-2</v>
      </c>
      <c r="W733" s="42">
        <f t="shared" si="4987"/>
        <v>4.5310119763567025E-2</v>
      </c>
      <c r="X733" s="42">
        <f t="shared" si="4987"/>
        <v>1.8080667593880495E-2</v>
      </c>
      <c r="Y733" s="45">
        <f>Y732/X732-1</f>
        <v>-2.2431256701034408E-2</v>
      </c>
      <c r="Z733" s="45">
        <f>Z732/Y732-1</f>
        <v>5.8302130946699338E-2</v>
      </c>
      <c r="AA733" s="45">
        <f t="shared" si="4987"/>
        <v>6.4974955173809912E-2</v>
      </c>
      <c r="AB733" s="45">
        <f t="shared" si="4987"/>
        <v>6.6292019875534347E-2</v>
      </c>
      <c r="AC733" s="45">
        <f t="shared" si="4987"/>
        <v>3.3554013529753846E-2</v>
      </c>
      <c r="AD733" s="45">
        <f t="shared" si="4987"/>
        <v>4.1586169810193363E-2</v>
      </c>
      <c r="AE733" s="45">
        <f t="shared" si="4987"/>
        <v>-2.7466677282039775E-2</v>
      </c>
      <c r="AF733" s="45">
        <f t="shared" si="4987"/>
        <v>3.601008242156567E-2</v>
      </c>
      <c r="AG733" s="45">
        <f t="shared" si="4987"/>
        <v>-4.9885905188295054E-2</v>
      </c>
      <c r="AH733" s="45">
        <f t="shared" si="4987"/>
        <v>3.544372557613551E-2</v>
      </c>
      <c r="AI733" s="45">
        <f t="shared" si="4987"/>
        <v>-3.6888028313293297E-3</v>
      </c>
      <c r="AJ733" s="45">
        <f t="shared" si="4987"/>
        <v>-5.7406095123762602E-2</v>
      </c>
      <c r="AK733" s="45">
        <f t="shared" si="4987"/>
        <v>-6.8439227239722733E-2</v>
      </c>
      <c r="AL733" s="45">
        <f t="shared" si="4987"/>
        <v>3.2018271162122858E-2</v>
      </c>
      <c r="AM733" s="45">
        <f t="shared" si="4987"/>
        <v>-0.17506905883146129</v>
      </c>
      <c r="AN733" s="45">
        <f t="shared" si="4987"/>
        <v>0.16493569891842097</v>
      </c>
      <c r="AO733" s="45">
        <f t="shared" si="4987"/>
        <v>-0.32559765474740676</v>
      </c>
      <c r="AP733" s="45">
        <f t="shared" si="4987"/>
        <v>0.29642207893894734</v>
      </c>
      <c r="AQ733" s="45">
        <f t="shared" si="4987"/>
        <v>0.24206450174023386</v>
      </c>
      <c r="AR733" s="45">
        <f t="shared" si="4987"/>
        <v>2.2894174910855769E-2</v>
      </c>
      <c r="AS733" s="45">
        <f t="shared" si="4987"/>
        <v>4.1540303822433122E-2</v>
      </c>
      <c r="AT733" s="45">
        <f t="shared" si="4987"/>
        <v>8.2877385794613012E-2</v>
      </c>
      <c r="AU733" s="45">
        <f t="shared" si="4987"/>
        <v>-2.9969767179437445E-2</v>
      </c>
      <c r="AV733" s="45">
        <f t="shared" si="4987"/>
        <v>3.0941953806651323E-2</v>
      </c>
      <c r="AW733" s="45">
        <f t="shared" si="4987"/>
        <v>-3.1317737706296533E-2</v>
      </c>
      <c r="AX733" s="45">
        <f t="shared" si="4987"/>
        <v>6.6674647269108211E-2</v>
      </c>
      <c r="AY733" s="45">
        <f t="shared" ref="AY733:BE733" si="4988">AY732/AX732-1</f>
        <v>-2.9338886239113071E-3</v>
      </c>
      <c r="AZ733" s="43">
        <f t="shared" si="4988"/>
        <v>6.4111853158602683E-2</v>
      </c>
      <c r="BA733" s="42">
        <f t="shared" si="4988"/>
        <v>3.3096491724549315E-2</v>
      </c>
      <c r="BB733" s="42">
        <f t="shared" si="4988"/>
        <v>2.5871903307890909E-2</v>
      </c>
      <c r="BC733" s="42">
        <f t="shared" si="4988"/>
        <v>2.2498400582673383E-3</v>
      </c>
      <c r="BD733" s="42">
        <f t="shared" si="4988"/>
        <v>1.2162529471110073E-2</v>
      </c>
      <c r="BE733" s="42">
        <f t="shared" si="4988"/>
        <v>3.2956291605620303E-2</v>
      </c>
      <c r="BF733" s="42">
        <f t="shared" ref="BF733:BM733" si="4989">BF732/BE732-1</f>
        <v>3.6690506457612182E-2</v>
      </c>
      <c r="BG733" s="42">
        <f t="shared" si="4989"/>
        <v>2.032999915072109E-2</v>
      </c>
      <c r="BH733" s="42">
        <f t="shared" si="4989"/>
        <v>2.6160075647182701E-2</v>
      </c>
      <c r="BI733" s="42">
        <f t="shared" si="4989"/>
        <v>3.3072334792736413E-3</v>
      </c>
      <c r="BJ733" s="42">
        <f t="shared" si="4989"/>
        <v>9.7090542883568887E-3</v>
      </c>
      <c r="BK733" s="42">
        <f t="shared" si="4989"/>
        <v>-1.7011122282169833E-2</v>
      </c>
      <c r="BL733" s="232">
        <f t="shared" si="4989"/>
        <v>1.7801317999249777E-2</v>
      </c>
      <c r="BM733" s="232">
        <f t="shared" si="4989"/>
        <v>-7.4478649634968086E-4</v>
      </c>
      <c r="BN733" s="232">
        <f t="shared" ref="BN733" si="4990">BN732/BM732-1</f>
        <v>3.0545237655920321E-2</v>
      </c>
      <c r="BO733" s="232">
        <f t="shared" ref="BO733" si="4991">BO732/BN732-1</f>
        <v>-1.867087451835725E-3</v>
      </c>
      <c r="BP733" s="232">
        <f t="shared" ref="BP733" si="4992">BP732/BO732-1</f>
        <v>3.3876475244989823E-2</v>
      </c>
      <c r="BQ733" s="232">
        <f t="shared" ref="BQ733" si="4993">BQ732/BP732-1</f>
        <v>-1.8116123456787259E-3</v>
      </c>
      <c r="BR733" s="42"/>
      <c r="BS733" s="232" t="e">
        <f t="shared" ref="BS733:CB733" si="4994">BS732/BR732-1</f>
        <v>#DIV/0!</v>
      </c>
      <c r="BT733" s="232">
        <f t="shared" si="4994"/>
        <v>0.310873053547708</v>
      </c>
      <c r="BU733" s="232">
        <f t="shared" si="4994"/>
        <v>0.1380408972119751</v>
      </c>
      <c r="BV733" s="232">
        <f t="shared" si="4994"/>
        <v>0.42256303081083146</v>
      </c>
      <c r="BW733" s="232">
        <f t="shared" si="4994"/>
        <v>5.5424387465434322E-2</v>
      </c>
      <c r="BX733" s="232">
        <f t="shared" si="4994"/>
        <v>0.1794697126952618</v>
      </c>
      <c r="BY733" s="232">
        <f t="shared" si="4994"/>
        <v>2.3915046015306807E-2</v>
      </c>
      <c r="BZ733" s="232">
        <f t="shared" si="4994"/>
        <v>0.1362791405608661</v>
      </c>
      <c r="CA733" s="232">
        <f t="shared" si="4994"/>
        <v>0.14227365554799176</v>
      </c>
      <c r="CB733" s="232">
        <f t="shared" si="4994"/>
        <v>-1.098626015046944E-2</v>
      </c>
      <c r="CC733" s="42">
        <f t="shared" ref="CC733:CS733" si="4995">CC732/CB732-1</f>
        <v>0.11258570952232683</v>
      </c>
      <c r="CD733" s="42">
        <f t="shared" si="4995"/>
        <v>2.8139587945949618E-2</v>
      </c>
      <c r="CE733" s="42">
        <f t="shared" si="4995"/>
        <v>3.5177504328860687E-2</v>
      </c>
      <c r="CF733" s="42">
        <f t="shared" si="4995"/>
        <v>0.22399901967186353</v>
      </c>
      <c r="CG733" s="42">
        <f t="shared" si="4995"/>
        <v>0.20271121471888054</v>
      </c>
      <c r="CH733" s="42">
        <f t="shared" si="4995"/>
        <v>0.1022212368040154</v>
      </c>
      <c r="CI733" s="42">
        <f t="shared" si="4995"/>
        <v>3.0103820887030786E-3</v>
      </c>
      <c r="CJ733" s="42">
        <f t="shared" si="4995"/>
        <v>-0.17622686426124645</v>
      </c>
      <c r="CK733" s="42">
        <f t="shared" si="4995"/>
        <v>0.34361064419320408</v>
      </c>
      <c r="CL733" s="42">
        <f t="shared" si="4995"/>
        <v>0.10737374306623404</v>
      </c>
      <c r="CM733" s="45">
        <f t="shared" si="4995"/>
        <v>3.0732678791606016E-2</v>
      </c>
      <c r="CN733" s="45">
        <f t="shared" si="4995"/>
        <v>8.0712482989291345E-2</v>
      </c>
      <c r="CO733" s="45">
        <f t="shared" si="4995"/>
        <v>0.11856470290177668</v>
      </c>
      <c r="CP733" s="45">
        <f t="shared" si="4995"/>
        <v>3.6492673235907658E-2</v>
      </c>
      <c r="CQ733" s="45">
        <f t="shared" si="4995"/>
        <v>-3.6405913202871565E-3</v>
      </c>
      <c r="CR733" s="45">
        <f t="shared" si="4995"/>
        <v>4.0129629619001239E-3</v>
      </c>
      <c r="CS733" s="45">
        <f t="shared" si="4995"/>
        <v>-9.07386736540573E-2</v>
      </c>
      <c r="CT733" s="45">
        <f t="shared" ref="CT733:DI733" si="4996">CT732/CS732-1</f>
        <v>-8.8866316494007114E-2</v>
      </c>
      <c r="CU733" s="45">
        <f t="shared" si="4996"/>
        <v>-0.11904294269366456</v>
      </c>
      <c r="CV733" s="45">
        <f t="shared" si="4996"/>
        <v>0.16211114482513755</v>
      </c>
      <c r="CW733" s="45">
        <f t="shared" si="4996"/>
        <v>0.16566575031022146</v>
      </c>
      <c r="CX733" s="45">
        <f t="shared" si="4996"/>
        <v>8.4829558918113612E-2</v>
      </c>
      <c r="CY733" s="45">
        <f t="shared" si="4996"/>
        <v>-1.6885609613248587E-4</v>
      </c>
      <c r="CZ733" s="43">
        <f t="shared" si="4996"/>
        <v>5.0733880545691612E-2</v>
      </c>
      <c r="DA733" s="42">
        <f t="shared" si="4996"/>
        <v>8.013537320991615E-2</v>
      </c>
      <c r="DB733" s="42">
        <f t="shared" si="4996"/>
        <v>4.3760283155853674E-2</v>
      </c>
      <c r="DC733" s="42">
        <f t="shared" si="4996"/>
        <v>2.9959462603000198E-2</v>
      </c>
      <c r="DD733" s="42">
        <f t="shared" si="4996"/>
        <v>6.4225997373349664E-2</v>
      </c>
      <c r="DE733" s="42">
        <f t="shared" si="4996"/>
        <v>3.8201775819732608E-2</v>
      </c>
      <c r="DF733" s="42">
        <f t="shared" si="4996"/>
        <v>2.7736494971293268E-3</v>
      </c>
      <c r="DG733" s="232">
        <f t="shared" si="4996"/>
        <v>8.6943117173337026E-3</v>
      </c>
      <c r="DH733" s="232">
        <f t="shared" si="4996"/>
        <v>2.9199625958461484E-2</v>
      </c>
      <c r="DI733" s="232">
        <f t="shared" si="4996"/>
        <v>3.1974787858481735E-2</v>
      </c>
    </row>
    <row r="734" spans="1:113" outlineLevel="1">
      <c r="A734" s="1" t="s">
        <v>951</v>
      </c>
      <c r="B734" s="19" t="s">
        <v>55</v>
      </c>
      <c r="C734" s="69">
        <f t="shared" ref="C734:L734" si="4997">C454/C544</f>
        <v>1.4713111464968154</v>
      </c>
      <c r="D734" s="69">
        <f t="shared" si="4997"/>
        <v>1.5556564102564103</v>
      </c>
      <c r="E734" s="69">
        <f t="shared" si="4997"/>
        <v>1.5200790103750998</v>
      </c>
      <c r="F734" s="69">
        <f t="shared" si="4997"/>
        <v>1.4089505187549882</v>
      </c>
      <c r="G734" s="69">
        <f t="shared" si="4997"/>
        <v>1.6441832535885166</v>
      </c>
      <c r="H734" s="69">
        <f t="shared" si="4997"/>
        <v>1.58882800318218</v>
      </c>
      <c r="I734" s="69">
        <f t="shared" si="4997"/>
        <v>1.770467250996016</v>
      </c>
      <c r="J734" s="69">
        <f t="shared" si="4997"/>
        <v>2.0332297233201579</v>
      </c>
      <c r="K734" s="69">
        <f t="shared" si="4997"/>
        <v>2.0681117046347213</v>
      </c>
      <c r="L734" s="69">
        <f t="shared" si="4997"/>
        <v>2.3626602654176425</v>
      </c>
      <c r="M734" s="69">
        <f t="shared" ref="M734:AG734" si="4998">M454/M544</f>
        <v>2.3560796887159534</v>
      </c>
      <c r="N734" s="69">
        <f t="shared" si="4998"/>
        <v>2.6437459501557634</v>
      </c>
      <c r="O734" s="69">
        <f t="shared" si="4998"/>
        <v>2.5822677494199535</v>
      </c>
      <c r="P734" s="69">
        <f t="shared" si="4998"/>
        <v>2.7705626339969376</v>
      </c>
      <c r="Q734" s="69">
        <f t="shared" si="4998"/>
        <v>2.7764345716451859</v>
      </c>
      <c r="R734" s="69">
        <f t="shared" si="4998"/>
        <v>3.2760278350515466</v>
      </c>
      <c r="S734" s="69">
        <f t="shared" si="4998"/>
        <v>3.1740713043478261</v>
      </c>
      <c r="T734" s="69">
        <f t="shared" si="4998"/>
        <v>3.5421604727511489</v>
      </c>
      <c r="U734" s="69">
        <f t="shared" si="4998"/>
        <v>3.2532920077972709</v>
      </c>
      <c r="V734" s="69">
        <f t="shared" si="4998"/>
        <v>3.4296329883570507</v>
      </c>
      <c r="W734" s="69">
        <f t="shared" si="4998"/>
        <v>3.4865507414571248</v>
      </c>
      <c r="X734" s="69">
        <f t="shared" si="4998"/>
        <v>3.4995420716112533</v>
      </c>
      <c r="Y734" s="69">
        <f>Y454/Y544</f>
        <v>3.4248670878079599</v>
      </c>
      <c r="Z734" s="69">
        <f>Z454/Z544</f>
        <v>3.6281711779448624</v>
      </c>
      <c r="AA734" s="69">
        <f t="shared" si="4998"/>
        <v>3.7090033623910337</v>
      </c>
      <c r="AB734" s="69">
        <f t="shared" si="4998"/>
        <v>3.9542922311995028</v>
      </c>
      <c r="AC734" s="69">
        <f>AC454/AC544</f>
        <v>4.0085954151177203</v>
      </c>
      <c r="AD734" s="69">
        <f>AD454/AD544</f>
        <v>4.1854291537986414</v>
      </c>
      <c r="AE734" s="69">
        <f>AE454/AE544</f>
        <v>4.1525469790382248</v>
      </c>
      <c r="AF734" s="69">
        <f>AF454/AF544</f>
        <v>4.2967818831942788</v>
      </c>
      <c r="AG734" s="69">
        <f t="shared" si="4998"/>
        <v>4.1562317144528969</v>
      </c>
      <c r="AH734" s="69">
        <f t="shared" ref="AH734:AM734" si="4999">AH454/AH544</f>
        <v>4.2896270396270397</v>
      </c>
      <c r="AI734" s="69">
        <f t="shared" si="4999"/>
        <v>4.2099767981438516</v>
      </c>
      <c r="AJ734" s="69">
        <f t="shared" si="4999"/>
        <v>4.1339080459770114</v>
      </c>
      <c r="AK734" s="69">
        <f t="shared" si="4999"/>
        <v>3.8392246294184722</v>
      </c>
      <c r="AL734" s="69">
        <f t="shared" si="4999"/>
        <v>3.9113535047180119</v>
      </c>
      <c r="AM734" s="69">
        <f t="shared" si="4999"/>
        <v>3.3122011142917738</v>
      </c>
      <c r="AN734" s="69">
        <f t="shared" ref="AN734:AS734" si="5000">AN454/AN544</f>
        <v>3.8270209157716222</v>
      </c>
      <c r="AO734" s="69">
        <f t="shared" si="5000"/>
        <v>3.3889202939513852</v>
      </c>
      <c r="AP734" s="69">
        <f t="shared" si="5000"/>
        <v>3.5988700564971752</v>
      </c>
      <c r="AQ734" s="69">
        <f t="shared" si="5000"/>
        <v>3.6269751693002257</v>
      </c>
      <c r="AR734" s="69">
        <f t="shared" si="5000"/>
        <v>3.802873563218391</v>
      </c>
      <c r="AS734" s="69">
        <f t="shared" si="5000"/>
        <v>3.89906103286385</v>
      </c>
      <c r="AT734" s="69">
        <f t="shared" ref="AT734:AU734" si="5001">AT454/AT544</f>
        <v>4.6312684365781713</v>
      </c>
      <c r="AU734" s="69">
        <f t="shared" si="5001"/>
        <v>4.4077151335311573</v>
      </c>
      <c r="AV734" s="69">
        <f t="shared" ref="AV734:AW734" si="5002">AV454/AV544</f>
        <v>4.5627240143369177</v>
      </c>
      <c r="AW734" s="69">
        <f t="shared" si="5002"/>
        <v>4.374178123132098</v>
      </c>
      <c r="AX734" s="69">
        <f t="shared" ref="AX734" si="5003">AX454/AX544</f>
        <v>4.6202153110047846</v>
      </c>
      <c r="AY734" s="69">
        <f t="shared" ref="AY734:BE734" si="5004">AY454/AY544</f>
        <v>4.6315789473684204</v>
      </c>
      <c r="AZ734" s="70">
        <f t="shared" si="5004"/>
        <v>4.8630382775119614</v>
      </c>
      <c r="BA734" s="69">
        <f t="shared" si="5004"/>
        <v>5.02432436080315</v>
      </c>
      <c r="BB734" s="69">
        <f t="shared" si="5004"/>
        <v>5.1919226176099507</v>
      </c>
      <c r="BC734" s="69">
        <f t="shared" si="5004"/>
        <v>5.2243707411366511</v>
      </c>
      <c r="BD734" s="69">
        <f t="shared" si="5004"/>
        <v>5.3322294701133295</v>
      </c>
      <c r="BE734" s="69">
        <f t="shared" si="5004"/>
        <v>5.5047915922131638</v>
      </c>
      <c r="BF734" s="69">
        <f t="shared" ref="BF734:BM734" si="5005">BF454/BF544</f>
        <v>5.6695988196351186</v>
      </c>
      <c r="BG734" s="69">
        <f t="shared" si="5005"/>
        <v>5.7265877333221171</v>
      </c>
      <c r="BH734" s="69">
        <f t="shared" si="5005"/>
        <v>5.8389704929957116</v>
      </c>
      <c r="BI734" s="69">
        <f t="shared" si="5005"/>
        <v>5.8521120100848583</v>
      </c>
      <c r="BJ734" s="69">
        <f t="shared" si="5005"/>
        <v>6.0038236505644651</v>
      </c>
      <c r="BK734" s="69">
        <f t="shared" si="5005"/>
        <v>5.963368289110841</v>
      </c>
      <c r="BL734" s="69">
        <f t="shared" si="5005"/>
        <v>6.1243421502400386</v>
      </c>
      <c r="BM734" s="69">
        <f t="shared" si="5005"/>
        <v>6.1222874720761444</v>
      </c>
      <c r="BN734" s="69">
        <f t="shared" ref="BN734:BO734" si="5006">BN454/BN544</f>
        <v>6.3080941945702733</v>
      </c>
      <c r="BO734" s="69">
        <f t="shared" si="5006"/>
        <v>6.2971359555835091</v>
      </c>
      <c r="BP734" s="69">
        <f t="shared" ref="BP734:BQ734" si="5007">BP454/BP544</f>
        <v>6.5089275769573991</v>
      </c>
      <c r="BQ734" s="69">
        <f t="shared" si="5007"/>
        <v>6.4979716169188988</v>
      </c>
      <c r="BR734" s="69"/>
      <c r="BS734" s="69">
        <f t="shared" ref="BS734:CB734" si="5008">BS454/BS544</f>
        <v>1.8861157483293405</v>
      </c>
      <c r="BT734" s="69">
        <f t="shared" si="5008"/>
        <v>1.6404456635928564</v>
      </c>
      <c r="BU734" s="69">
        <f t="shared" si="5008"/>
        <v>1.5423198376000902</v>
      </c>
      <c r="BV734" s="69">
        <f t="shared" si="5008"/>
        <v>1.8352738095238097</v>
      </c>
      <c r="BW734" s="69">
        <f t="shared" si="5008"/>
        <v>1.9389054695562438</v>
      </c>
      <c r="BX734" s="69">
        <f t="shared" si="5008"/>
        <v>2.1226087241003273</v>
      </c>
      <c r="BY734" s="69">
        <f t="shared" si="5008"/>
        <v>2.3431920430107529</v>
      </c>
      <c r="BZ734" s="69">
        <f t="shared" si="5008"/>
        <v>2.6329540453074434</v>
      </c>
      <c r="CA734" s="69">
        <f t="shared" si="5008"/>
        <v>2.931226752966559</v>
      </c>
      <c r="CB734" s="69">
        <f t="shared" si="5008"/>
        <v>2.8843399999999999</v>
      </c>
      <c r="CC734" s="69">
        <f t="shared" ref="CC734:CR734" si="5009">CC454/CC544</f>
        <v>3.0756137564630626</v>
      </c>
      <c r="CD734" s="69">
        <f t="shared" si="5009"/>
        <v>3.0532175927646112</v>
      </c>
      <c r="CE734" s="69">
        <f t="shared" si="5009"/>
        <v>3.3591652516674126</v>
      </c>
      <c r="CF734" s="69">
        <f t="shared" si="5009"/>
        <v>4.1013451231333535</v>
      </c>
      <c r="CG734" s="69">
        <f t="shared" si="5009"/>
        <v>4.744349181605612</v>
      </c>
      <c r="CH734" s="69">
        <f t="shared" si="5009"/>
        <v>5.2521334367726924</v>
      </c>
      <c r="CI734" s="69">
        <f t="shared" si="5009"/>
        <v>5.5750190403655751</v>
      </c>
      <c r="CJ734" s="69">
        <f t="shared" si="5009"/>
        <v>6.4105409153952841</v>
      </c>
      <c r="CK734" s="69">
        <f t="shared" si="5009"/>
        <v>6.8308295231874592</v>
      </c>
      <c r="CL734" s="69">
        <f t="shared" si="5009"/>
        <v>6.9560723514211888</v>
      </c>
      <c r="CM734" s="69">
        <f t="shared" si="5009"/>
        <v>6.9637635092180545</v>
      </c>
      <c r="CN734" s="69">
        <f t="shared" si="5009"/>
        <v>7.3772642098688319</v>
      </c>
      <c r="CO734" s="69">
        <f t="shared" si="5009"/>
        <v>8.0086902545003102</v>
      </c>
      <c r="CP734" s="69">
        <f t="shared" si="5009"/>
        <v>8.3343558282208594</v>
      </c>
      <c r="CQ734" s="69">
        <f t="shared" si="5009"/>
        <v>8.4542232722976962</v>
      </c>
      <c r="CR734" s="69">
        <f t="shared" si="5009"/>
        <v>8.4992561467445658</v>
      </c>
      <c r="CS734" s="69">
        <f t="shared" ref="CS734:DC734" si="5010">CS454/CS544</f>
        <v>7.9719519175729818</v>
      </c>
      <c r="CT734" s="69">
        <f t="shared" si="5010"/>
        <v>7.2225368063420161</v>
      </c>
      <c r="CU734" s="69">
        <f t="shared" si="5010"/>
        <v>7.2159412097230078</v>
      </c>
      <c r="CV734" s="69">
        <f t="shared" si="5010"/>
        <v>7.2258610954263132</v>
      </c>
      <c r="CW734" s="69">
        <f t="shared" si="5010"/>
        <v>7.7009291521486647</v>
      </c>
      <c r="CX734" s="69">
        <f t="shared" si="5010"/>
        <v>9.0396449704142015</v>
      </c>
      <c r="CY734" s="69">
        <f t="shared" si="5010"/>
        <v>8.9396294082486545</v>
      </c>
      <c r="CZ734" s="70">
        <f t="shared" si="5010"/>
        <v>9.2517942583732058</v>
      </c>
      <c r="DA734" s="69">
        <f t="shared" si="5010"/>
        <v>9.8873660071862481</v>
      </c>
      <c r="DB734" s="69">
        <f t="shared" si="5010"/>
        <v>10.416407498080245</v>
      </c>
      <c r="DC734" s="69">
        <f t="shared" si="5010"/>
        <v>10.8367957612639</v>
      </c>
      <c r="DD734" s="69">
        <f t="shared" ref="DD734:DI734" si="5011">DD454/DD544</f>
        <v>11.396220972767866</v>
      </c>
      <c r="DE734" s="69">
        <f t="shared" si="5011"/>
        <v>11.691082503080567</v>
      </c>
      <c r="DF734" s="69">
        <f t="shared" si="5011"/>
        <v>11.967191939675308</v>
      </c>
      <c r="DG734" s="69">
        <f t="shared" si="5011"/>
        <v>12.246629622316185</v>
      </c>
      <c r="DH734" s="69">
        <f t="shared" si="5011"/>
        <v>12.60523015015378</v>
      </c>
      <c r="DI734" s="69">
        <f t="shared" si="5011"/>
        <v>13.006899193876297</v>
      </c>
    </row>
    <row r="735" spans="1:113" outlineLevel="1">
      <c r="A735" s="1" t="s">
        <v>981</v>
      </c>
      <c r="B735" s="19" t="s">
        <v>391</v>
      </c>
      <c r="C735" s="69">
        <f>C135</f>
        <v>0.74595</v>
      </c>
      <c r="D735" s="69">
        <f>D135</f>
        <v>0.67632800000000004</v>
      </c>
      <c r="E735" s="69">
        <f>E135</f>
        <v>0.81557199999999996</v>
      </c>
      <c r="F735" s="69">
        <f t="shared" ref="F735:L735" si="5012">F135</f>
        <v>0.68627399999999994</v>
      </c>
      <c r="G735" s="69">
        <f t="shared" si="5012"/>
        <v>0.84540999999999999</v>
      </c>
      <c r="H735" s="69">
        <f t="shared" si="5012"/>
        <v>0.78573400000000004</v>
      </c>
      <c r="I735" s="69">
        <f t="shared" si="5012"/>
        <v>1.034384</v>
      </c>
      <c r="J735" s="69">
        <f t="shared" si="5012"/>
        <v>0.84540999999999999</v>
      </c>
      <c r="K735" s="69">
        <f t="shared" si="5012"/>
        <v>1.1139520000000001</v>
      </c>
      <c r="L735" s="69">
        <f t="shared" si="5012"/>
        <v>0.93492399999999998</v>
      </c>
      <c r="M735" s="69">
        <f t="shared" ref="M735:AG735" si="5013">M135</f>
        <v>1.29298</v>
      </c>
      <c r="N735" s="69">
        <f t="shared" si="5013"/>
        <v>1.064222</v>
      </c>
      <c r="O735" s="69">
        <f t="shared" si="5013"/>
        <v>1.481954</v>
      </c>
      <c r="P735" s="69">
        <f t="shared" si="5013"/>
        <v>1.1238979999999998</v>
      </c>
      <c r="Q735" s="69">
        <f t="shared" si="5013"/>
        <v>1.521738</v>
      </c>
      <c r="R735" s="69">
        <f t="shared" si="5013"/>
        <v>1.1238979999999998</v>
      </c>
      <c r="S735" s="69">
        <f t="shared" si="5013"/>
        <v>1.1437899999999999</v>
      </c>
      <c r="T735" s="69">
        <f t="shared" si="5013"/>
        <v>1.1935199999999999</v>
      </c>
      <c r="U735" s="69">
        <f t="shared" si="5013"/>
        <v>1.69082</v>
      </c>
      <c r="V735" s="69">
        <f t="shared" si="5013"/>
        <v>1.312872</v>
      </c>
      <c r="W735" s="69">
        <f t="shared" si="5013"/>
        <v>1.869848</v>
      </c>
      <c r="X735" s="69">
        <f t="shared" si="5013"/>
        <v>1.3626020000000001</v>
      </c>
      <c r="Y735" s="69">
        <f>Y135</f>
        <v>1.959362</v>
      </c>
      <c r="Z735" s="69">
        <f>Z135</f>
        <v>1.6311439999999999</v>
      </c>
      <c r="AA735" s="69">
        <f t="shared" si="5013"/>
        <v>1.9892000000000001</v>
      </c>
      <c r="AB735" s="69">
        <f t="shared" si="5013"/>
        <v>1.8201180000000001</v>
      </c>
      <c r="AC735" s="69">
        <f>AC135</f>
        <v>2.168228</v>
      </c>
      <c r="AD735" s="69">
        <f>AD135</f>
        <v>1.9693080000000001</v>
      </c>
      <c r="AE735" s="69">
        <f>AE135</f>
        <v>2.2080120000000001</v>
      </c>
      <c r="AF735" s="69">
        <f>AF135</f>
        <v>1.98</v>
      </c>
      <c r="AG735" s="69">
        <f t="shared" si="5013"/>
        <v>2.2200000000000002</v>
      </c>
      <c r="AH735" s="69">
        <f t="shared" ref="AH735:AM735" si="5014">AH135</f>
        <v>1.99</v>
      </c>
      <c r="AI735" s="69">
        <f t="shared" si="5014"/>
        <v>2.2999999999999998</v>
      </c>
      <c r="AJ735" s="69">
        <f t="shared" si="5014"/>
        <v>2</v>
      </c>
      <c r="AK735" s="69">
        <f t="shared" si="5014"/>
        <v>2.31</v>
      </c>
      <c r="AL735" s="69">
        <f t="shared" si="5014"/>
        <v>2</v>
      </c>
      <c r="AM735" s="69">
        <f t="shared" si="5014"/>
        <v>2.31</v>
      </c>
      <c r="AN735" s="69">
        <f t="shared" ref="AN735:AS735" si="5015">AN135</f>
        <v>2</v>
      </c>
      <c r="AO735" s="69">
        <f t="shared" si="5015"/>
        <v>0.98</v>
      </c>
      <c r="AP735" s="69">
        <f t="shared" si="5015"/>
        <v>1.5</v>
      </c>
      <c r="AQ735" s="69">
        <f t="shared" si="5015"/>
        <v>2</v>
      </c>
      <c r="AR735" s="69">
        <f t="shared" si="5015"/>
        <v>1.75</v>
      </c>
      <c r="AS735" s="69">
        <f t="shared" si="5015"/>
        <v>2.1</v>
      </c>
      <c r="AT735" s="69">
        <f t="shared" ref="AT735:AU735" si="5016">AT135</f>
        <v>2.1</v>
      </c>
      <c r="AU735" s="69">
        <f t="shared" si="5016"/>
        <v>2.4</v>
      </c>
      <c r="AV735" s="69">
        <f t="shared" ref="AV735:AW735" si="5017">AV135</f>
        <v>2.15</v>
      </c>
      <c r="AW735" s="69">
        <f t="shared" si="5017"/>
        <v>2.5</v>
      </c>
      <c r="AX735" s="69">
        <f t="shared" ref="AX735" si="5018">AX135</f>
        <v>2.25</v>
      </c>
      <c r="AY735" s="69">
        <f t="shared" ref="AY735:BE735" si="5019">AY135</f>
        <v>2.6</v>
      </c>
      <c r="AZ735" s="70">
        <f t="shared" si="5019"/>
        <v>2.35</v>
      </c>
      <c r="BA735" s="69">
        <f t="shared" si="5019"/>
        <v>2.65</v>
      </c>
      <c r="BB735" s="69">
        <f t="shared" si="5019"/>
        <v>2.4</v>
      </c>
      <c r="BC735" s="69">
        <f t="shared" si="5019"/>
        <v>2.7</v>
      </c>
      <c r="BD735" s="69">
        <f t="shared" si="5019"/>
        <v>2.4499999999999997</v>
      </c>
      <c r="BE735" s="69">
        <f t="shared" si="5019"/>
        <v>2.8</v>
      </c>
      <c r="BF735" s="69">
        <f t="shared" ref="BF735:BM735" si="5020">BF135</f>
        <v>2.5999999999999996</v>
      </c>
      <c r="BG735" s="69">
        <f t="shared" si="5020"/>
        <v>2.9499999999999997</v>
      </c>
      <c r="BH735" s="69">
        <f t="shared" si="5020"/>
        <v>2.7499999999999996</v>
      </c>
      <c r="BI735" s="69">
        <f t="shared" si="5020"/>
        <v>3.0999999999999996</v>
      </c>
      <c r="BJ735" s="69">
        <f t="shared" si="5020"/>
        <v>2.7999999999999994</v>
      </c>
      <c r="BK735" s="69">
        <f t="shared" si="5020"/>
        <v>3.1499999999999995</v>
      </c>
      <c r="BL735" s="69">
        <f t="shared" si="5020"/>
        <v>2.8499999999999992</v>
      </c>
      <c r="BM735" s="69">
        <f t="shared" si="5020"/>
        <v>3.1999999999999993</v>
      </c>
      <c r="BN735" s="69">
        <f t="shared" ref="BN735:BO735" si="5021">BN135</f>
        <v>2.899999999999999</v>
      </c>
      <c r="BO735" s="69">
        <f t="shared" si="5021"/>
        <v>3.2499999999999991</v>
      </c>
      <c r="BP735" s="69">
        <f t="shared" ref="BP735:BQ735" si="5022">BP135</f>
        <v>2.9499999999999988</v>
      </c>
      <c r="BQ735" s="69">
        <f t="shared" si="5022"/>
        <v>3.2999999999999989</v>
      </c>
      <c r="BR735" s="69"/>
      <c r="BS735" s="69">
        <f t="shared" ref="BS735:CB735" si="5023">BS135</f>
        <v>0.39784000000000003</v>
      </c>
      <c r="BT735" s="69">
        <f t="shared" si="5023"/>
        <v>0.41773200000000005</v>
      </c>
      <c r="BU735" s="69">
        <f t="shared" si="5023"/>
        <v>0.59675999999999996</v>
      </c>
      <c r="BV735" s="69">
        <f t="shared" si="5023"/>
        <v>0.81557200000000007</v>
      </c>
      <c r="BW735" s="69">
        <f t="shared" si="5023"/>
        <v>0.89514000000000005</v>
      </c>
      <c r="BX735" s="69">
        <f t="shared" si="5023"/>
        <v>1.0144919999999999</v>
      </c>
      <c r="BY735" s="69">
        <f t="shared" si="5023"/>
        <v>1.034384</v>
      </c>
      <c r="BZ735" s="69">
        <f t="shared" si="5023"/>
        <v>1.1437899999999999</v>
      </c>
      <c r="CA735" s="69">
        <f t="shared" si="5023"/>
        <v>1.2929799999999998</v>
      </c>
      <c r="CB735" s="69">
        <f t="shared" si="5023"/>
        <v>1.3526559999999999</v>
      </c>
      <c r="CC735" s="69">
        <f t="shared" ref="CC735:CO735" si="5024">CC135</f>
        <v>1.4919</v>
      </c>
      <c r="CD735" s="69">
        <f t="shared" si="5024"/>
        <v>1.5316839999999998</v>
      </c>
      <c r="CE735" s="69">
        <f t="shared" si="5024"/>
        <v>1.8201179999999999</v>
      </c>
      <c r="CF735" s="69">
        <f t="shared" si="5024"/>
        <v>1.959362</v>
      </c>
      <c r="CG735" s="69">
        <f t="shared" si="5024"/>
        <v>2.2279040000000001</v>
      </c>
      <c r="CH735" s="69">
        <f t="shared" si="5024"/>
        <v>2.546176</v>
      </c>
      <c r="CI735" s="69">
        <f t="shared" si="5024"/>
        <v>2.6456359999999997</v>
      </c>
      <c r="CJ735" s="69">
        <f t="shared" si="5024"/>
        <v>2.2676879999999997</v>
      </c>
      <c r="CK735" s="69">
        <f t="shared" si="5024"/>
        <v>2.8843399999999999</v>
      </c>
      <c r="CL735" s="69">
        <f t="shared" si="5024"/>
        <v>3.1827199999999998</v>
      </c>
      <c r="CM735" s="69">
        <f t="shared" si="5024"/>
        <v>3.3219640000000004</v>
      </c>
      <c r="CN735" s="69">
        <f t="shared" si="5024"/>
        <v>3.6203440000000002</v>
      </c>
      <c r="CO735" s="69">
        <f t="shared" si="5024"/>
        <v>3.9883459999999999</v>
      </c>
      <c r="CP735" s="69">
        <f t="shared" ref="CP735:CX735" si="5025">CP135</f>
        <v>4.1773199999999999</v>
      </c>
      <c r="CQ735" s="69">
        <f t="shared" si="5025"/>
        <v>4.2</v>
      </c>
      <c r="CR735" s="69">
        <f t="shared" si="5025"/>
        <v>4.29</v>
      </c>
      <c r="CS735" s="69">
        <f t="shared" si="5025"/>
        <v>4.3100000000000005</v>
      </c>
      <c r="CT735" s="69">
        <f t="shared" si="5025"/>
        <v>4.3100000000000005</v>
      </c>
      <c r="CU735" s="69">
        <f t="shared" si="5025"/>
        <v>2.98</v>
      </c>
      <c r="CV735" s="69">
        <f t="shared" si="5025"/>
        <v>3.5</v>
      </c>
      <c r="CW735" s="69">
        <f t="shared" si="5025"/>
        <v>3.85</v>
      </c>
      <c r="CX735" s="69">
        <f t="shared" si="5025"/>
        <v>4.5</v>
      </c>
      <c r="CY735" s="69">
        <f t="shared" ref="CY735:DD735" si="5026">CY135</f>
        <v>4.6500000000000004</v>
      </c>
      <c r="CZ735" s="70">
        <f t="shared" si="5026"/>
        <v>4.8499999999999996</v>
      </c>
      <c r="DA735" s="69">
        <f t="shared" si="5026"/>
        <v>5</v>
      </c>
      <c r="DB735" s="69">
        <f t="shared" si="5026"/>
        <v>5.0999999999999996</v>
      </c>
      <c r="DC735" s="69">
        <f t="shared" si="5026"/>
        <v>5.25</v>
      </c>
      <c r="DD735" s="69">
        <f t="shared" si="5026"/>
        <v>5.5499999999999989</v>
      </c>
      <c r="DE735" s="69">
        <f>DE135</f>
        <v>5.85</v>
      </c>
      <c r="DF735" s="69">
        <f>DF135</f>
        <v>5.9499999999999993</v>
      </c>
      <c r="DG735" s="69">
        <f>DG135</f>
        <v>6.0499999999999989</v>
      </c>
      <c r="DH735" s="69">
        <f>DH135</f>
        <v>6.1499999999999986</v>
      </c>
      <c r="DI735" s="69">
        <f>DI135</f>
        <v>6.2499999999999982</v>
      </c>
    </row>
    <row r="736" spans="1:113" outlineLevel="1">
      <c r="A736" s="1" t="s">
        <v>2502</v>
      </c>
      <c r="B736" s="19" t="s">
        <v>2503</v>
      </c>
      <c r="C736" s="490">
        <v>0</v>
      </c>
      <c r="D736" s="490">
        <v>0</v>
      </c>
      <c r="E736" s="490">
        <v>0</v>
      </c>
      <c r="F736" s="490">
        <v>0</v>
      </c>
      <c r="G736" s="490">
        <v>0</v>
      </c>
      <c r="H736" s="490">
        <v>0</v>
      </c>
      <c r="I736" s="490">
        <v>0</v>
      </c>
      <c r="J736" s="490">
        <v>0</v>
      </c>
      <c r="K736" s="490">
        <v>0</v>
      </c>
      <c r="L736" s="490">
        <v>0</v>
      </c>
      <c r="M736" s="522">
        <v>0</v>
      </c>
      <c r="N736" s="522">
        <v>0</v>
      </c>
      <c r="O736" s="522">
        <v>0</v>
      </c>
      <c r="P736" s="522">
        <v>0</v>
      </c>
      <c r="Q736" s="522">
        <v>0</v>
      </c>
      <c r="R736" s="522">
        <v>0</v>
      </c>
      <c r="S736" s="522">
        <v>0</v>
      </c>
      <c r="T736" s="522">
        <v>0</v>
      </c>
      <c r="U736" s="522">
        <v>0</v>
      </c>
      <c r="V736" s="522">
        <v>0</v>
      </c>
      <c r="W736" s="522">
        <v>0</v>
      </c>
      <c r="X736" s="522">
        <v>0</v>
      </c>
      <c r="Y736" s="522">
        <v>0</v>
      </c>
      <c r="Z736" s="522">
        <v>0</v>
      </c>
      <c r="AA736" s="522">
        <v>0</v>
      </c>
      <c r="AB736" s="522">
        <v>0</v>
      </c>
      <c r="AC736" s="522">
        <v>0</v>
      </c>
      <c r="AD736" s="522">
        <v>0</v>
      </c>
      <c r="AE736" s="522">
        <v>0</v>
      </c>
      <c r="AF736" s="522">
        <v>0</v>
      </c>
      <c r="AG736" s="522">
        <v>0</v>
      </c>
      <c r="AH736" s="522">
        <v>0</v>
      </c>
      <c r="AI736" s="522">
        <v>0</v>
      </c>
      <c r="AJ736" s="522">
        <v>0</v>
      </c>
      <c r="AK736" s="522">
        <v>0</v>
      </c>
      <c r="AL736" s="522">
        <v>0</v>
      </c>
      <c r="AM736" s="522">
        <v>0</v>
      </c>
      <c r="AN736" s="522">
        <v>0</v>
      </c>
      <c r="AO736" s="522">
        <v>0</v>
      </c>
      <c r="AP736" s="522">
        <v>0</v>
      </c>
      <c r="AQ736" s="522">
        <v>0</v>
      </c>
      <c r="AR736" s="522">
        <v>0</v>
      </c>
      <c r="AS736" s="522">
        <v>0</v>
      </c>
      <c r="AT736" s="522">
        <v>0</v>
      </c>
      <c r="AU736" s="522">
        <v>0</v>
      </c>
      <c r="AV736" s="522">
        <v>0</v>
      </c>
      <c r="AW736" s="522">
        <v>0</v>
      </c>
      <c r="AX736" s="522">
        <v>0</v>
      </c>
      <c r="AY736" s="524">
        <v>0</v>
      </c>
      <c r="AZ736" s="850">
        <v>0</v>
      </c>
      <c r="BA736" s="524">
        <v>0</v>
      </c>
      <c r="BB736" s="524">
        <v>0</v>
      </c>
      <c r="BC736" s="524">
        <v>0</v>
      </c>
      <c r="BD736" s="524">
        <v>0</v>
      </c>
      <c r="BE736" s="524">
        <v>0</v>
      </c>
      <c r="BF736" s="524">
        <v>0</v>
      </c>
      <c r="BG736" s="524">
        <v>0</v>
      </c>
      <c r="BH736" s="524">
        <v>0</v>
      </c>
      <c r="BI736" s="524">
        <v>0</v>
      </c>
      <c r="BJ736" s="524">
        <v>0</v>
      </c>
      <c r="BK736" s="524">
        <v>0</v>
      </c>
      <c r="BL736" s="524">
        <v>0</v>
      </c>
      <c r="BM736" s="524">
        <v>0</v>
      </c>
      <c r="BN736" s="524">
        <v>0</v>
      </c>
      <c r="BO736" s="524">
        <v>0</v>
      </c>
      <c r="BP736" s="524">
        <v>0</v>
      </c>
      <c r="BQ736" s="524">
        <v>0</v>
      </c>
      <c r="BR736" s="55"/>
      <c r="BS736" s="490">
        <v>0</v>
      </c>
      <c r="BT736" s="490">
        <v>0</v>
      </c>
      <c r="BU736" s="490">
        <v>0</v>
      </c>
      <c r="BV736" s="490">
        <v>0</v>
      </c>
      <c r="BW736" s="490">
        <v>0</v>
      </c>
      <c r="BX736" s="490">
        <v>0</v>
      </c>
      <c r="BY736" s="490">
        <v>0</v>
      </c>
      <c r="BZ736" s="490">
        <v>0</v>
      </c>
      <c r="CA736" s="490">
        <v>0</v>
      </c>
      <c r="CB736" s="490">
        <v>0</v>
      </c>
      <c r="CC736" s="17">
        <f>D736+E736</f>
        <v>0</v>
      </c>
      <c r="CD736" s="17">
        <f>F736+G736</f>
        <v>0</v>
      </c>
      <c r="CE736" s="17">
        <f>H736+I736</f>
        <v>0</v>
      </c>
      <c r="CF736" s="17">
        <f>J736+K736</f>
        <v>0</v>
      </c>
      <c r="CG736" s="17">
        <f>L736+M736</f>
        <v>0</v>
      </c>
      <c r="CH736" s="17">
        <f>N736+O736</f>
        <v>0</v>
      </c>
      <c r="CI736" s="17">
        <f>P736+Q736</f>
        <v>0</v>
      </c>
      <c r="CJ736" s="17">
        <f>R736+S736</f>
        <v>0</v>
      </c>
      <c r="CK736" s="17">
        <f>T736+U736</f>
        <v>0</v>
      </c>
      <c r="CL736" s="17">
        <f>V736+W736</f>
        <v>0</v>
      </c>
      <c r="CM736" s="17">
        <f>X736+Y736</f>
        <v>0</v>
      </c>
      <c r="CN736" s="17">
        <f>Z736+AA736</f>
        <v>0</v>
      </c>
      <c r="CO736" s="69">
        <f>SUM(AB736:AC736)</f>
        <v>0</v>
      </c>
      <c r="CP736" s="69">
        <f>SUM(AD736:AE736)</f>
        <v>0</v>
      </c>
      <c r="CQ736" s="69">
        <f>SUM(AF736:AG736)</f>
        <v>0</v>
      </c>
      <c r="CR736" s="69">
        <f>SUM(AH736:AI736)</f>
        <v>0</v>
      </c>
      <c r="CS736" s="69">
        <f>SUM(AJ736:AK736)</f>
        <v>0</v>
      </c>
      <c r="CT736" s="69">
        <f>SUM(AL736:AM736)</f>
        <v>0</v>
      </c>
      <c r="CU736" s="69">
        <f>SUM(AN736:AO736)</f>
        <v>0</v>
      </c>
      <c r="CV736" s="69">
        <f>SUM(AP736:AQ736)</f>
        <v>0</v>
      </c>
      <c r="CW736" s="69">
        <f>SUM(AR736:AS736)</f>
        <v>0</v>
      </c>
      <c r="CX736" s="69">
        <f>SUM(AT736:AU736)</f>
        <v>0</v>
      </c>
      <c r="CY736" s="69">
        <f>SUM(AV736:AW736)</f>
        <v>0</v>
      </c>
      <c r="CZ736" s="70">
        <f>SUM(AX736:AY736)</f>
        <v>0</v>
      </c>
      <c r="DA736" s="69">
        <f>SUM(AZ736:BA736)</f>
        <v>0</v>
      </c>
      <c r="DB736" s="69">
        <f>SUM(BB736:BC736)</f>
        <v>0</v>
      </c>
      <c r="DC736" s="69">
        <f>SUM(BD736:BE736)</f>
        <v>0</v>
      </c>
      <c r="DD736" s="69">
        <f>SUM(BF736:BG736)</f>
        <v>0</v>
      </c>
      <c r="DE736" s="69">
        <f>SUM(BH736:BI736)</f>
        <v>0</v>
      </c>
      <c r="DF736" s="69">
        <f>SUM(BJ736:BK736)</f>
        <v>0</v>
      </c>
      <c r="DG736" s="69">
        <f>SUM(BL736:BM736)</f>
        <v>0</v>
      </c>
      <c r="DH736" s="69">
        <f>SUM(BM736:BN736)</f>
        <v>0</v>
      </c>
      <c r="DI736" s="69">
        <f>SUM(BO736:BP736)</f>
        <v>0</v>
      </c>
    </row>
    <row r="737" spans="1:113" outlineLevel="1">
      <c r="A737" s="1" t="s">
        <v>952</v>
      </c>
      <c r="B737" s="19" t="s">
        <v>392</v>
      </c>
      <c r="C737" s="69">
        <f>C135*(1+1/(1-C128)*C128*C138)</f>
        <v>1.1302272727272726</v>
      </c>
      <c r="D737" s="69">
        <f>D135*(1+1/(1-D128)*D128*D138)</f>
        <v>0.96618285714285723</v>
      </c>
      <c r="E737" s="69">
        <f>E135*(1+1/(1-E128)*E128*E138)</f>
        <v>1.1651028571428572</v>
      </c>
      <c r="F737" s="69">
        <f t="shared" ref="F737:L737" si="5027">F135*(1+1/(1-F128)*F128*F138)</f>
        <v>0.98039142857142847</v>
      </c>
      <c r="G737" s="69">
        <f t="shared" si="5027"/>
        <v>1.2077285714285715</v>
      </c>
      <c r="H737" s="69">
        <f t="shared" si="5027"/>
        <v>1.122477142857143</v>
      </c>
      <c r="I737" s="69">
        <f t="shared" si="5027"/>
        <v>1.4776914285714287</v>
      </c>
      <c r="J737" s="69">
        <f t="shared" si="5027"/>
        <v>1.2077285714285715</v>
      </c>
      <c r="K737" s="69">
        <f t="shared" si="5027"/>
        <v>1.5913600000000001</v>
      </c>
      <c r="L737" s="69">
        <f t="shared" si="5027"/>
        <v>1.3356057142857143</v>
      </c>
      <c r="M737" s="69">
        <f t="shared" ref="M737:AG737" si="5028">M135*(1+1/(1-M128)*M128*M138)</f>
        <v>1.8471142857142857</v>
      </c>
      <c r="N737" s="69">
        <f t="shared" si="5028"/>
        <v>1.5203171428571429</v>
      </c>
      <c r="O737" s="69">
        <f t="shared" si="5028"/>
        <v>2.1170771428571431</v>
      </c>
      <c r="P737" s="69">
        <f t="shared" si="5028"/>
        <v>1.6055685714285712</v>
      </c>
      <c r="Q737" s="69">
        <f t="shared" si="5028"/>
        <v>2.1739114285714285</v>
      </c>
      <c r="R737" s="69">
        <f t="shared" si="5028"/>
        <v>1.6055685714285712</v>
      </c>
      <c r="S737" s="69">
        <f t="shared" si="5028"/>
        <v>1.6339857142857142</v>
      </c>
      <c r="T737" s="69">
        <f t="shared" si="5028"/>
        <v>1.7050285714285713</v>
      </c>
      <c r="U737" s="69">
        <f t="shared" si="5028"/>
        <v>2.415457142857143</v>
      </c>
      <c r="V737" s="69">
        <f t="shared" si="5028"/>
        <v>1.8755314285714286</v>
      </c>
      <c r="W737" s="69">
        <f t="shared" si="5028"/>
        <v>2.6712114285714286</v>
      </c>
      <c r="X737" s="69">
        <f t="shared" si="5028"/>
        <v>1.9465742857142858</v>
      </c>
      <c r="Y737" s="69">
        <f>Y135*(1+1/(1-Y128)*Y128*Y138)</f>
        <v>2.7990885714285714</v>
      </c>
      <c r="Z737" s="69">
        <f>Z135*(1+1/(1-Z128)*Z128*Z138)</f>
        <v>2.3302057142857144</v>
      </c>
      <c r="AA737" s="69">
        <f t="shared" si="5028"/>
        <v>2.8417142857142861</v>
      </c>
      <c r="AB737" s="69">
        <f t="shared" si="5028"/>
        <v>2.6001685714285716</v>
      </c>
      <c r="AC737" s="69">
        <f>AC135*(1+1/(1-AC128)*AC128*AC138)</f>
        <v>3.0974685714285717</v>
      </c>
      <c r="AD737" s="69">
        <f>AD135*(1+1/(1-AD128)*AD128*AD138)</f>
        <v>2.8132971428571429</v>
      </c>
      <c r="AE737" s="69">
        <f>AE135*(1+1/(1-AE128)*AE128*AE138)</f>
        <v>3.1543028571428575</v>
      </c>
      <c r="AF737" s="69">
        <f>AF135*(1+1/(1-AF128)*AF128*AF138)</f>
        <v>2.8285714285714287</v>
      </c>
      <c r="AG737" s="69">
        <f t="shared" si="5028"/>
        <v>3.1714285714285717</v>
      </c>
      <c r="AH737" s="69">
        <f t="shared" ref="AH737:AM737" si="5029">AH135*(1+1/(1-AH128)*AH128*AH138)</f>
        <v>2.842857142857143</v>
      </c>
      <c r="AI737" s="69">
        <f t="shared" si="5029"/>
        <v>3.2857142857142856</v>
      </c>
      <c r="AJ737" s="69">
        <f t="shared" si="5029"/>
        <v>2.8571428571428572</v>
      </c>
      <c r="AK737" s="69">
        <f t="shared" si="5029"/>
        <v>3.3000000000000003</v>
      </c>
      <c r="AL737" s="69">
        <f t="shared" si="5029"/>
        <v>2.8571428571428572</v>
      </c>
      <c r="AM737" s="69">
        <f t="shared" si="5029"/>
        <v>3.3000000000000003</v>
      </c>
      <c r="AN737" s="69">
        <f t="shared" ref="AN737:AS737" si="5030">AN135*(1+1/(1-AN128)*AN128*AN138)</f>
        <v>2.8571428571428572</v>
      </c>
      <c r="AO737" s="69">
        <f t="shared" si="5030"/>
        <v>1.4</v>
      </c>
      <c r="AP737" s="69">
        <f t="shared" si="5030"/>
        <v>2.1428571428571428</v>
      </c>
      <c r="AQ737" s="69">
        <f t="shared" si="5030"/>
        <v>2.8571428571428572</v>
      </c>
      <c r="AR737" s="69">
        <f t="shared" si="5030"/>
        <v>2.5</v>
      </c>
      <c r="AS737" s="69">
        <f t="shared" si="5030"/>
        <v>3</v>
      </c>
      <c r="AT737" s="69">
        <f t="shared" ref="AT737:AU737" si="5031">AT135*(1+1/(1-AT128)*AT128*AT138)</f>
        <v>3</v>
      </c>
      <c r="AU737" s="69">
        <f t="shared" si="5031"/>
        <v>3.4285714285714284</v>
      </c>
      <c r="AV737" s="69">
        <f t="shared" ref="AV737:AW737" si="5032">AV135*(1+1/(1-AV128)*AV128*AV138)</f>
        <v>3.0714285714285712</v>
      </c>
      <c r="AW737" s="69">
        <f t="shared" si="5032"/>
        <v>3.5714285714285716</v>
      </c>
      <c r="AX737" s="69">
        <f t="shared" ref="AX737" si="5033">AX135*(1+1/(1-AX128)*AX128*AX138)</f>
        <v>3.2142857142857144</v>
      </c>
      <c r="AY737" s="69">
        <f t="shared" ref="AY737:BE737" si="5034">AY135*(1+1/(1-AY128)*AY128*AY138)</f>
        <v>3.7142857142857144</v>
      </c>
      <c r="AZ737" s="70">
        <f t="shared" si="5034"/>
        <v>3.3571428571428572</v>
      </c>
      <c r="BA737" s="69">
        <f t="shared" si="5034"/>
        <v>3.7857142857142856</v>
      </c>
      <c r="BB737" s="69">
        <f t="shared" si="5034"/>
        <v>3.4285714285714284</v>
      </c>
      <c r="BC737" s="69">
        <f t="shared" si="5034"/>
        <v>3.8571428571428577</v>
      </c>
      <c r="BD737" s="69">
        <f t="shared" si="5034"/>
        <v>3.4999999999999996</v>
      </c>
      <c r="BE737" s="69">
        <f t="shared" si="5034"/>
        <v>4</v>
      </c>
      <c r="BF737" s="69">
        <f t="shared" ref="BF737:BM737" si="5035">BF135*(1+1/(1-BF128)*BF128*BF138)</f>
        <v>3.714285714285714</v>
      </c>
      <c r="BG737" s="69">
        <f t="shared" si="5035"/>
        <v>4.2142857142857144</v>
      </c>
      <c r="BH737" s="69">
        <f t="shared" si="5035"/>
        <v>3.9285714285714279</v>
      </c>
      <c r="BI737" s="69">
        <f t="shared" si="5035"/>
        <v>4.4285714285714279</v>
      </c>
      <c r="BJ737" s="69">
        <f t="shared" si="5035"/>
        <v>3.9999999999999991</v>
      </c>
      <c r="BK737" s="69">
        <f t="shared" si="5035"/>
        <v>4.4999999999999991</v>
      </c>
      <c r="BL737" s="69">
        <f t="shared" si="5035"/>
        <v>4.0714285714285703</v>
      </c>
      <c r="BM737" s="69">
        <f t="shared" si="5035"/>
        <v>4.5714285714285703</v>
      </c>
      <c r="BN737" s="69">
        <f t="shared" ref="BN737:BO737" si="5036">BN135*(1+1/(1-BN128)*BN128*BN138)</f>
        <v>4.1428571428571415</v>
      </c>
      <c r="BO737" s="69">
        <f t="shared" si="5036"/>
        <v>4.6428571428571415</v>
      </c>
      <c r="BP737" s="69">
        <f t="shared" ref="BP737:BQ737" si="5037">BP135*(1+1/(1-BP128)*BP128*BP138)</f>
        <v>4.2142857142857126</v>
      </c>
      <c r="BQ737" s="69">
        <f t="shared" si="5037"/>
        <v>4.7142857142857126</v>
      </c>
      <c r="BR737" s="69"/>
      <c r="BS737" s="69">
        <f t="shared" ref="BS737:CB737" si="5038">BS135*(1+1/(1-BS128)*BS128*BS138)</f>
        <v>0.59379104477611944</v>
      </c>
      <c r="BT737" s="69">
        <f t="shared" si="5038"/>
        <v>0.62348059701492553</v>
      </c>
      <c r="BU737" s="69">
        <f t="shared" si="5038"/>
        <v>0.89068656716417904</v>
      </c>
      <c r="BV737" s="69">
        <f t="shared" si="5038"/>
        <v>1.217271641791045</v>
      </c>
      <c r="BW737" s="69">
        <f t="shared" si="5038"/>
        <v>1.3986562500000002</v>
      </c>
      <c r="BX737" s="69">
        <f t="shared" si="5038"/>
        <v>1.5851437499999999</v>
      </c>
      <c r="BY737" s="69">
        <f t="shared" si="5038"/>
        <v>1.616225</v>
      </c>
      <c r="BZ737" s="69">
        <f t="shared" si="5038"/>
        <v>1.7871718749999999</v>
      </c>
      <c r="CA737" s="69">
        <f t="shared" si="5038"/>
        <v>2.0202812499999996</v>
      </c>
      <c r="CB737" s="69">
        <f t="shared" si="5038"/>
        <v>2.0494787878787877</v>
      </c>
      <c r="CC737" s="69">
        <f t="shared" ref="CC737:CO737" si="5039">CC135*(1+1/(1-CC128)*CC128*CC138)</f>
        <v>2.1312857142857142</v>
      </c>
      <c r="CD737" s="69">
        <f t="shared" si="5039"/>
        <v>2.1881199999999996</v>
      </c>
      <c r="CE737" s="69">
        <f t="shared" si="5039"/>
        <v>2.6001685714285712</v>
      </c>
      <c r="CF737" s="69">
        <f t="shared" si="5039"/>
        <v>2.7990885714285714</v>
      </c>
      <c r="CG737" s="69">
        <f t="shared" si="5039"/>
        <v>3.1827200000000002</v>
      </c>
      <c r="CH737" s="69">
        <f t="shared" si="5039"/>
        <v>3.6373942857142856</v>
      </c>
      <c r="CI737" s="69">
        <f t="shared" si="5039"/>
        <v>3.7794799999999995</v>
      </c>
      <c r="CJ737" s="69">
        <f t="shared" si="5039"/>
        <v>3.2395542857142852</v>
      </c>
      <c r="CK737" s="69">
        <f t="shared" si="5039"/>
        <v>4.1204857142857145</v>
      </c>
      <c r="CL737" s="69">
        <f t="shared" si="5039"/>
        <v>4.5467428571428572</v>
      </c>
      <c r="CM737" s="69">
        <f t="shared" si="5039"/>
        <v>4.7456628571428574</v>
      </c>
      <c r="CN737" s="69">
        <f t="shared" si="5039"/>
        <v>5.1719200000000001</v>
      </c>
      <c r="CO737" s="69">
        <f t="shared" si="5039"/>
        <v>5.6976371428571433</v>
      </c>
      <c r="CP737" s="69">
        <f t="shared" ref="CP737:CX737" si="5040">CP135*(1+1/(1-CP128)*CP128*CP138)</f>
        <v>5.9676</v>
      </c>
      <c r="CQ737" s="69">
        <f t="shared" si="5040"/>
        <v>6</v>
      </c>
      <c r="CR737" s="69">
        <f t="shared" si="5040"/>
        <v>6.128571428571429</v>
      </c>
      <c r="CS737" s="69">
        <f t="shared" si="5040"/>
        <v>6.1571428571428584</v>
      </c>
      <c r="CT737" s="69">
        <f t="shared" si="5040"/>
        <v>6.1571428571428584</v>
      </c>
      <c r="CU737" s="69">
        <f t="shared" si="5040"/>
        <v>4.2571428571428571</v>
      </c>
      <c r="CV737" s="69">
        <f t="shared" si="5040"/>
        <v>5</v>
      </c>
      <c r="CW737" s="69">
        <f t="shared" si="5040"/>
        <v>5.5</v>
      </c>
      <c r="CX737" s="69">
        <f t="shared" si="5040"/>
        <v>6.4285714285714288</v>
      </c>
      <c r="CY737" s="69">
        <f t="shared" ref="CY737:DD737" si="5041">CY135*(1+1/(1-CY128)*CY128*CY138)</f>
        <v>6.6428571428571432</v>
      </c>
      <c r="CZ737" s="70">
        <f t="shared" si="5041"/>
        <v>6.9285714285714279</v>
      </c>
      <c r="DA737" s="69">
        <f t="shared" si="5041"/>
        <v>7.1428571428571432</v>
      </c>
      <c r="DB737" s="69">
        <f t="shared" si="5041"/>
        <v>7.2857142857142856</v>
      </c>
      <c r="DC737" s="69">
        <f t="shared" si="5041"/>
        <v>7.5</v>
      </c>
      <c r="DD737" s="69">
        <f t="shared" si="5041"/>
        <v>7.928571428571427</v>
      </c>
      <c r="DE737" s="69">
        <f>DE135*(1+1/(1-DE128)*DE128*DE138)</f>
        <v>8.3571428571428577</v>
      </c>
      <c r="DF737" s="69">
        <f>DF135*(1+1/(1-DF128)*DF128*DF138)</f>
        <v>8.5</v>
      </c>
      <c r="DG737" s="69">
        <f>DG135*(1+1/(1-DG128)*DG128*DG138)</f>
        <v>8.6428571428571423</v>
      </c>
      <c r="DH737" s="69">
        <f>DH135*(1+1/(1-DH128)*DH128*DH138)</f>
        <v>8.7857142857142847</v>
      </c>
      <c r="DI737" s="69">
        <f>DI135*(1+1/(1-DI128)*DI128*DI138)</f>
        <v>8.928571428571427</v>
      </c>
    </row>
    <row r="738" spans="1:113" outlineLevel="1">
      <c r="A738" s="1" t="s">
        <v>953</v>
      </c>
      <c r="B738" s="19" t="s">
        <v>393</v>
      </c>
      <c r="C738" s="69" t="e">
        <f>C635/C544</f>
        <v>#VALUE!</v>
      </c>
      <c r="D738" s="69">
        <f>D635/D544</f>
        <v>0.584168108974359</v>
      </c>
      <c r="E738" s="69">
        <f>E635/E544</f>
        <v>0.83108236233040711</v>
      </c>
      <c r="F738" s="69">
        <f t="shared" ref="F738:L738" si="5042">F635/F544</f>
        <v>1.6605771747805269</v>
      </c>
      <c r="G738" s="69">
        <f t="shared" si="5042"/>
        <v>0.99539314194577344</v>
      </c>
      <c r="H738" s="69">
        <f t="shared" si="5042"/>
        <v>0.65515417661097852</v>
      </c>
      <c r="I738" s="69">
        <f t="shared" si="5042"/>
        <v>0.56664462151394424</v>
      </c>
      <c r="J738" s="69">
        <f t="shared" si="5042"/>
        <v>0.61956110671936759</v>
      </c>
      <c r="K738" s="69">
        <f t="shared" si="5042"/>
        <v>1.0641360565593088</v>
      </c>
      <c r="L738" s="69">
        <f t="shared" si="5042"/>
        <v>0.73837985948477758</v>
      </c>
      <c r="M738" s="69">
        <f t="shared" ref="M738:AG738" si="5043">M635/M544</f>
        <v>1.5077671595330739</v>
      </c>
      <c r="N738" s="69">
        <f t="shared" si="5043"/>
        <v>0.83657943925233647</v>
      </c>
      <c r="O738" s="69">
        <f t="shared" si="5043"/>
        <v>1.093060015467904</v>
      </c>
      <c r="P738" s="69">
        <f t="shared" si="5043"/>
        <v>0.4843534456355284</v>
      </c>
      <c r="Q738" s="69">
        <f t="shared" si="5043"/>
        <v>1.2283573919636088</v>
      </c>
      <c r="R738" s="69">
        <f t="shared" si="5043"/>
        <v>-2.195736966126657</v>
      </c>
      <c r="S738" s="69">
        <f t="shared" si="5043"/>
        <v>0.31867117056856187</v>
      </c>
      <c r="T738" s="69">
        <f t="shared" si="5043"/>
        <v>0.75362337491792508</v>
      </c>
      <c r="U738" s="69">
        <f t="shared" si="5043"/>
        <v>1.2020506822612087</v>
      </c>
      <c r="V738" s="69">
        <f t="shared" si="5043"/>
        <v>1.3124087968952136</v>
      </c>
      <c r="W738" s="69">
        <f t="shared" si="5043"/>
        <v>1.5505756286266925</v>
      </c>
      <c r="X738" s="69">
        <f t="shared" si="5043"/>
        <v>0.84706342710997451</v>
      </c>
      <c r="Y738" s="69">
        <f>Y635/Y544</f>
        <v>1.6373516108654456</v>
      </c>
      <c r="Z738" s="69">
        <f>Z635/Z544</f>
        <v>1.0656428571428571</v>
      </c>
      <c r="AA738" s="69">
        <f t="shared" si="5043"/>
        <v>0</v>
      </c>
      <c r="AB738" s="69">
        <f t="shared" si="5043"/>
        <v>1.9929088875077687</v>
      </c>
      <c r="AC738" s="69">
        <f>AC635/AC544</f>
        <v>1.3822105328376704</v>
      </c>
      <c r="AD738" s="69">
        <f>AD635/AD544</f>
        <v>2.171041630636195</v>
      </c>
      <c r="AE738" s="69">
        <f>AE635/AE544</f>
        <v>1.6182178791615291</v>
      </c>
      <c r="AF738" s="69">
        <f>AF635/AF544</f>
        <v>-1.231227651966627</v>
      </c>
      <c r="AG738" s="69">
        <f t="shared" si="5043"/>
        <v>1.6553540081919251</v>
      </c>
      <c r="AH738" s="69">
        <f t="shared" ref="AH738:AM738" si="5044">AH635/AH544</f>
        <v>1.8776223776223777</v>
      </c>
      <c r="AI738" s="69">
        <f t="shared" si="5044"/>
        <v>1.665893271461717</v>
      </c>
      <c r="AJ738" s="69">
        <f t="shared" si="5044"/>
        <v>1.3833333333333333</v>
      </c>
      <c r="AK738" s="69">
        <f t="shared" si="5044"/>
        <v>1.6944127708095782</v>
      </c>
      <c r="AL738" s="69">
        <f t="shared" si="5044"/>
        <v>1.8814520703346569</v>
      </c>
      <c r="AM738" s="69">
        <f t="shared" si="5044"/>
        <v>2.0016958733747878</v>
      </c>
      <c r="AN738" s="69">
        <f t="shared" ref="AN738:AS738" si="5045">AN635/AN544</f>
        <v>2.3114754098360657</v>
      </c>
      <c r="AO738" s="69">
        <f t="shared" si="5045"/>
        <v>2.0011305822498588</v>
      </c>
      <c r="AP738" s="69">
        <f t="shared" si="5045"/>
        <v>0.83107344632768365</v>
      </c>
      <c r="AQ738" s="69">
        <f t="shared" si="5045"/>
        <v>1.5016930022573363</v>
      </c>
      <c r="AR738" s="69">
        <f t="shared" si="5045"/>
        <v>5.4879310344827585</v>
      </c>
      <c r="AS738" s="69">
        <f t="shared" si="5045"/>
        <v>2.028755868544601</v>
      </c>
      <c r="AT738" s="69">
        <f t="shared" ref="AT738:AU738" si="5046">AT635/AT544</f>
        <v>2.8920353982300884</v>
      </c>
      <c r="AU738" s="69">
        <f t="shared" si="5046"/>
        <v>2.8178041543026708</v>
      </c>
      <c r="AV738" s="69">
        <f t="shared" ref="AV738:AW738" si="5047">AV635/AV544</f>
        <v>2.4952210274790918</v>
      </c>
      <c r="AW738" s="69">
        <f t="shared" si="5047"/>
        <v>2.2283323371189478</v>
      </c>
      <c r="AX738" s="69">
        <f t="shared" ref="AX738" si="5048">AX635/AX544</f>
        <v>2.513157894736842</v>
      </c>
      <c r="AY738" s="69">
        <f t="shared" ref="AY738:BE738" si="5049">AY635/AY544</f>
        <v>2.2517942583732058</v>
      </c>
      <c r="AZ738" s="70">
        <f t="shared" si="5049"/>
        <v>2.6022727272727271</v>
      </c>
      <c r="BA738" s="69">
        <f t="shared" si="5049"/>
        <v>2.3499760136961725</v>
      </c>
      <c r="BB738" s="69">
        <f t="shared" si="5049"/>
        <v>3.4049510781063224</v>
      </c>
      <c r="BC738" s="69">
        <f t="shared" si="5049"/>
        <v>3.1574328334646751</v>
      </c>
      <c r="BD738" s="69">
        <f t="shared" si="5049"/>
        <v>3.4609620053709498</v>
      </c>
      <c r="BE738" s="69">
        <f t="shared" si="5049"/>
        <v>3.2132793780776767</v>
      </c>
      <c r="BF738" s="69">
        <f t="shared" ref="BF738:BM738" si="5050">BF635/BF544</f>
        <v>3.5666568359552526</v>
      </c>
      <c r="BG738" s="69">
        <f t="shared" si="5050"/>
        <v>2.5999734619617225</v>
      </c>
      <c r="BH738" s="69">
        <f t="shared" si="5050"/>
        <v>2.9499698895334934</v>
      </c>
      <c r="BI738" s="69">
        <f t="shared" si="5050"/>
        <v>2.7499719309210526</v>
      </c>
      <c r="BJ738" s="69">
        <f t="shared" si="5050"/>
        <v>3.0999683584928235</v>
      </c>
      <c r="BK738" s="69">
        <f t="shared" si="5050"/>
        <v>2.7999714205741628</v>
      </c>
      <c r="BL738" s="69">
        <f t="shared" si="5050"/>
        <v>3.1499678481459328</v>
      </c>
      <c r="BM738" s="69">
        <f t="shared" si="5050"/>
        <v>2.8499709102272726</v>
      </c>
      <c r="BN738" s="69">
        <f t="shared" ref="BN738:BO738" si="5051">BN635/BN544</f>
        <v>3.199967337799043</v>
      </c>
      <c r="BO738" s="69">
        <f t="shared" si="5051"/>
        <v>2.8999703998803827</v>
      </c>
      <c r="BP738" s="69">
        <f t="shared" ref="BP738:BQ738" si="5052">BP635/BP544</f>
        <v>3.2499668274521527</v>
      </c>
      <c r="BQ738" s="69">
        <f t="shared" si="5052"/>
        <v>2.949969889533492</v>
      </c>
      <c r="BR738" s="69"/>
      <c r="BS738" s="69">
        <f t="shared" ref="BS738:CB738" si="5053">BS635/BS544</f>
        <v>0</v>
      </c>
      <c r="BT738" s="69">
        <f t="shared" si="5053"/>
        <v>0.35490745885374109</v>
      </c>
      <c r="BU738" s="69">
        <f t="shared" si="5053"/>
        <v>0.54211140182699891</v>
      </c>
      <c r="BV738" s="69">
        <f t="shared" si="5053"/>
        <v>0.52421017316017315</v>
      </c>
      <c r="BW738" s="69">
        <f t="shared" si="5053"/>
        <v>0.80471248710010324</v>
      </c>
      <c r="BX738" s="69">
        <f t="shared" si="5053"/>
        <v>1.0683544165757908</v>
      </c>
      <c r="BY738" s="69">
        <f t="shared" si="5053"/>
        <v>1.064115053763441</v>
      </c>
      <c r="BZ738" s="69">
        <f t="shared" si="5053"/>
        <v>-0.57615987055016182</v>
      </c>
      <c r="CA738" s="69">
        <f t="shared" si="5053"/>
        <v>-8.1874785329018334</v>
      </c>
      <c r="CB738" s="69">
        <f t="shared" si="5053"/>
        <v>1.4240146031746033</v>
      </c>
      <c r="CC738" s="69">
        <f t="shared" ref="CC738:CO738" si="5054">CC635/CC544</f>
        <v>1.4157208395407943</v>
      </c>
      <c r="CD738" s="69">
        <f t="shared" si="5054"/>
        <v>2.6556962793615266</v>
      </c>
      <c r="CE738" s="69">
        <f t="shared" si="5054"/>
        <v>1.2218745835273026</v>
      </c>
      <c r="CF738" s="69">
        <f t="shared" si="5054"/>
        <v>1.6850548470737072</v>
      </c>
      <c r="CG738" s="69">
        <f t="shared" si="5054"/>
        <v>2.2595479345284488</v>
      </c>
      <c r="CH738" s="69">
        <f t="shared" si="5054"/>
        <v>1.9402637703646237</v>
      </c>
      <c r="CI738" s="69">
        <f t="shared" si="5054"/>
        <v>1.7250571210967252</v>
      </c>
      <c r="CJ738" s="69">
        <f t="shared" si="5054"/>
        <v>-1.7468793342579749</v>
      </c>
      <c r="CK738" s="69">
        <f t="shared" si="5054"/>
        <v>1.968647942521228</v>
      </c>
      <c r="CL738" s="69">
        <f t="shared" si="5054"/>
        <v>2.8798449612403099</v>
      </c>
      <c r="CM738" s="69">
        <f t="shared" si="5054"/>
        <v>2.5034965034965033</v>
      </c>
      <c r="CN738" s="69">
        <f t="shared" si="5054"/>
        <v>1.0680824484697065</v>
      </c>
      <c r="CO738" s="69">
        <f t="shared" si="5054"/>
        <v>3.3935443823711982</v>
      </c>
      <c r="CP738" s="69">
        <f t="shared" ref="CP738:CX738" si="5055">CP635/CP544</f>
        <v>3.787116564417178</v>
      </c>
      <c r="CQ738" s="69">
        <f t="shared" si="5055"/>
        <v>0.45067926757235677</v>
      </c>
      <c r="CR738" s="69">
        <f t="shared" si="5055"/>
        <v>3.54295553445936</v>
      </c>
      <c r="CS738" s="69">
        <f t="shared" si="5055"/>
        <v>3.0789925586720091</v>
      </c>
      <c r="CT738" s="69">
        <f t="shared" si="5055"/>
        <v>3.8833522083805208</v>
      </c>
      <c r="CU738" s="69">
        <f t="shared" si="5055"/>
        <v>4.3126059920859241</v>
      </c>
      <c r="CV738" s="69">
        <f t="shared" si="5055"/>
        <v>2.3331451157538114</v>
      </c>
      <c r="CW738" s="69">
        <f t="shared" si="5055"/>
        <v>7.5528455284552845</v>
      </c>
      <c r="CX738" s="69">
        <f t="shared" si="5055"/>
        <v>5.7100591715976332</v>
      </c>
      <c r="CY738" s="69">
        <f t="shared" ref="CY738:DD738" si="5056">CY635/CY544</f>
        <v>4.7250448296473397</v>
      </c>
      <c r="CZ738" s="70">
        <f t="shared" si="5056"/>
        <v>4.7649521531100483</v>
      </c>
      <c r="DA738" s="69">
        <f t="shared" si="5056"/>
        <v>4.9522364055705488</v>
      </c>
      <c r="DB738" s="69">
        <f t="shared" si="5056"/>
        <v>6.5630311002679056</v>
      </c>
      <c r="DC738" s="69">
        <f t="shared" si="5056"/>
        <v>6.6748062170256279</v>
      </c>
      <c r="DD738" s="69">
        <f t="shared" si="5056"/>
        <v>6.1675850189479675</v>
      </c>
      <c r="DE738" s="69">
        <f>DE635/DE544</f>
        <v>5.699941820454546</v>
      </c>
      <c r="DF738" s="69">
        <f>DF635/DF544</f>
        <v>5.8999397790669867</v>
      </c>
      <c r="DG738" s="69">
        <f>DG635/DG544</f>
        <v>5.9999387583732045</v>
      </c>
      <c r="DH738" s="69">
        <f>DH635/DH544</f>
        <v>6.0999377376794248</v>
      </c>
      <c r="DI738" s="69">
        <f>DI635/DI544</f>
        <v>6.1999367169856452</v>
      </c>
    </row>
    <row r="739" spans="1:113" outlineLevel="1">
      <c r="A739" s="1" t="s">
        <v>959</v>
      </c>
      <c r="B739" s="19" t="s">
        <v>489</v>
      </c>
      <c r="C739" s="69" t="e">
        <f>C637/C544</f>
        <v>#VALUE!</v>
      </c>
      <c r="D739" s="69">
        <f>D637/D544</f>
        <v>0.80867036858974373</v>
      </c>
      <c r="E739" s="69">
        <f>E637/E544</f>
        <v>1.0813596009577016</v>
      </c>
      <c r="F739" s="69">
        <f t="shared" ref="F739:L739" si="5057">F637/F544</f>
        <v>2.161846049481245</v>
      </c>
      <c r="G739" s="69">
        <f t="shared" si="5057"/>
        <v>1.2940110845295054</v>
      </c>
      <c r="H739" s="69">
        <f t="shared" si="5057"/>
        <v>0.90083699284009555</v>
      </c>
      <c r="I739" s="69">
        <f t="shared" si="5057"/>
        <v>0.84933292430278884</v>
      </c>
      <c r="J739" s="69">
        <f t="shared" si="5057"/>
        <v>0.8894004110671937</v>
      </c>
      <c r="K739" s="69">
        <f t="shared" si="5057"/>
        <v>1.4166604241948155</v>
      </c>
      <c r="L739" s="69">
        <f t="shared" si="5057"/>
        <v>1.020687868852459</v>
      </c>
      <c r="M739" s="69">
        <f t="shared" ref="M739:AG739" si="5058">M637/M544</f>
        <v>1.8397501545302946</v>
      </c>
      <c r="N739" s="69">
        <f t="shared" si="5058"/>
        <v>1.1114555407209612</v>
      </c>
      <c r="O739" s="69">
        <f t="shared" si="5058"/>
        <v>1.4765925444702241</v>
      </c>
      <c r="P739" s="69">
        <f t="shared" si="5058"/>
        <v>0.77535717348501421</v>
      </c>
      <c r="Q739" s="69">
        <f t="shared" si="5058"/>
        <v>1.6217807776454025</v>
      </c>
      <c r="R739" s="69">
        <f t="shared" si="5058"/>
        <v>-1.8827298800757417</v>
      </c>
      <c r="S739" s="69">
        <f t="shared" si="5058"/>
        <v>0.61753587768752982</v>
      </c>
      <c r="T739" s="69">
        <f t="shared" si="5058"/>
        <v>1.0626108245005159</v>
      </c>
      <c r="U739" s="69">
        <f t="shared" si="5058"/>
        <v>1.63960820941242</v>
      </c>
      <c r="V739" s="69">
        <f t="shared" si="5058"/>
        <v>1.6507124930696733</v>
      </c>
      <c r="W739" s="69">
        <f t="shared" si="5058"/>
        <v>2.0337220226581931</v>
      </c>
      <c r="X739" s="69">
        <f t="shared" si="5058"/>
        <v>1.2012602192181221</v>
      </c>
      <c r="Y739" s="69">
        <f>Y637/Y544</f>
        <v>2.1441748542550312</v>
      </c>
      <c r="Z739" s="69">
        <f>Z637/Z544</f>
        <v>1.4885348120300752</v>
      </c>
      <c r="AA739" s="69">
        <f t="shared" si="5058"/>
        <v>0</v>
      </c>
      <c r="AB739" s="69">
        <f t="shared" si="5058"/>
        <v>2.5053711728669095</v>
      </c>
      <c r="AC739" s="69">
        <f>AC637/AC544</f>
        <v>1.8496672508408567</v>
      </c>
      <c r="AD739" s="69">
        <f>AD637/AD544</f>
        <v>2.7293094785140739</v>
      </c>
      <c r="AE739" s="69">
        <f>AE637/AE544</f>
        <v>2.1243653866478778</v>
      </c>
      <c r="AF739" s="69">
        <f>AF637/AF544</f>
        <v>-0.67755831772518316</v>
      </c>
      <c r="AG739" s="69">
        <f t="shared" si="5058"/>
        <v>2.1640725570509072</v>
      </c>
      <c r="AH739" s="69">
        <f t="shared" ref="AH739:AM739" si="5059">AH637/AH544</f>
        <v>2.4482517482517481</v>
      </c>
      <c r="AI739" s="69">
        <f t="shared" si="5059"/>
        <v>2.1773450447464371</v>
      </c>
      <c r="AJ739" s="69">
        <f t="shared" si="5059"/>
        <v>1.9713628899835798</v>
      </c>
      <c r="AK739" s="69">
        <f t="shared" si="5059"/>
        <v>2.2082586740511485</v>
      </c>
      <c r="AL739" s="69">
        <f t="shared" si="5059"/>
        <v>2.4743537800826516</v>
      </c>
      <c r="AM739" s="69">
        <f t="shared" si="5059"/>
        <v>2.5164176693854481</v>
      </c>
      <c r="AN739" s="69">
        <f t="shared" ref="AN739:AS739" si="5060">AN637/AN544</f>
        <v>2.9058548009367682</v>
      </c>
      <c r="AO739" s="69">
        <f t="shared" si="5060"/>
        <v>2.515707017685537</v>
      </c>
      <c r="AP739" s="69">
        <f t="shared" si="5060"/>
        <v>1.0831315577078289</v>
      </c>
      <c r="AQ739" s="69">
        <f t="shared" si="5060"/>
        <v>1.8878426314092227</v>
      </c>
      <c r="AR739" s="69">
        <f t="shared" si="5060"/>
        <v>6.0122660098522172</v>
      </c>
      <c r="AS739" s="69">
        <f t="shared" si="5060"/>
        <v>2.479510395707579</v>
      </c>
      <c r="AT739" s="69">
        <f t="shared" ref="AT739:AU739" si="5061">AT637/AT544</f>
        <v>3.4337800252844501</v>
      </c>
      <c r="AU739" s="69">
        <f t="shared" si="5061"/>
        <v>3.358948707079271</v>
      </c>
      <c r="AV739" s="69">
        <f t="shared" ref="AV739:AW739" si="5062">AV637/AV544</f>
        <v>3.1131933777095067</v>
      </c>
      <c r="AW739" s="69">
        <f t="shared" si="5062"/>
        <v>2.7816582700025614</v>
      </c>
      <c r="AX739" s="69">
        <f t="shared" ref="AX739" si="5063">AX637/AX544</f>
        <v>3.1566302118933698</v>
      </c>
      <c r="AY739" s="69">
        <f t="shared" ref="AY739:BE739" si="5064">AY637/AY544</f>
        <v>2.8308270676691727</v>
      </c>
      <c r="AZ739" s="70">
        <f t="shared" si="5064"/>
        <v>3.2714285714285714</v>
      </c>
      <c r="BA739" s="69">
        <f t="shared" si="5064"/>
        <v>2.9542555600751887</v>
      </c>
      <c r="BB739" s="69">
        <f t="shared" si="5064"/>
        <v>4.0878635742852882</v>
      </c>
      <c r="BC739" s="69">
        <f t="shared" si="5064"/>
        <v>3.7758688393225159</v>
      </c>
      <c r="BD739" s="69">
        <f t="shared" si="5064"/>
        <v>4.1566473020233508</v>
      </c>
      <c r="BE739" s="69">
        <f t="shared" si="5064"/>
        <v>3.8445009715725273</v>
      </c>
      <c r="BF739" s="69">
        <f t="shared" ref="BF739:BM739" si="5065">BF637/BF544</f>
        <v>4.287999524252835</v>
      </c>
      <c r="BG739" s="69">
        <f t="shared" si="5065"/>
        <v>3.2685380664661654</v>
      </c>
      <c r="BH739" s="69">
        <f t="shared" si="5065"/>
        <v>3.7085335754135342</v>
      </c>
      <c r="BI739" s="69">
        <f t="shared" si="5065"/>
        <v>3.4571075703007521</v>
      </c>
      <c r="BJ739" s="69">
        <f t="shared" si="5065"/>
        <v>3.8971030792481205</v>
      </c>
      <c r="BK739" s="69">
        <f t="shared" si="5065"/>
        <v>3.5199640715789475</v>
      </c>
      <c r="BL739" s="69">
        <f t="shared" si="5065"/>
        <v>3.9599595805263155</v>
      </c>
      <c r="BM739" s="69">
        <f t="shared" si="5065"/>
        <v>3.5828205728571425</v>
      </c>
      <c r="BN739" s="69">
        <f t="shared" ref="BN739:BO739" si="5066">BN637/BN544</f>
        <v>4.0228160818045113</v>
      </c>
      <c r="BO739" s="69">
        <f t="shared" si="5066"/>
        <v>3.6456770741353379</v>
      </c>
      <c r="BP739" s="69">
        <f t="shared" ref="BP739:BQ739" si="5067">BP637/BP544</f>
        <v>4.0856725830827063</v>
      </c>
      <c r="BQ739" s="69">
        <f t="shared" si="5067"/>
        <v>3.7085335754135333</v>
      </c>
      <c r="BR739" s="69"/>
      <c r="BS739" s="69">
        <f t="shared" ref="BS739:CB739" si="5068">BS637/BS544</f>
        <v>0</v>
      </c>
      <c r="BT739" s="69">
        <f t="shared" si="5068"/>
        <v>0.50108734996663706</v>
      </c>
      <c r="BU739" s="69">
        <f t="shared" si="5068"/>
        <v>0.75067540011681755</v>
      </c>
      <c r="BV739" s="69">
        <f t="shared" si="5068"/>
        <v>0.73760382987659112</v>
      </c>
      <c r="BW739" s="69">
        <f t="shared" si="5068"/>
        <v>1.1551126844685242</v>
      </c>
      <c r="BX739" s="69">
        <f t="shared" si="5068"/>
        <v>1.4373434242093786</v>
      </c>
      <c r="BY739" s="69">
        <f t="shared" si="5068"/>
        <v>1.4767938440860215</v>
      </c>
      <c r="BZ739" s="69">
        <f t="shared" si="5068"/>
        <v>-9.2861521035598721E-2</v>
      </c>
      <c r="CA739" s="69">
        <f t="shared" si="5068"/>
        <v>-7.6112381930960087</v>
      </c>
      <c r="CB739" s="69">
        <f t="shared" si="5068"/>
        <v>1.9187360105820108</v>
      </c>
      <c r="CC739" s="69">
        <f t="shared" ref="CC739:CO739" si="5069">CC637/CC544</f>
        <v>1.8905440649373415</v>
      </c>
      <c r="CD739" s="69">
        <f t="shared" si="5069"/>
        <v>3.4554996404599483</v>
      </c>
      <c r="CE739" s="69">
        <f t="shared" si="5069"/>
        <v>1.750218538245006</v>
      </c>
      <c r="CF739" s="69">
        <f t="shared" si="5069"/>
        <v>2.3076630194064296</v>
      </c>
      <c r="CG739" s="69">
        <f t="shared" si="5069"/>
        <v>2.8772519763946107</v>
      </c>
      <c r="CH739" s="69">
        <f t="shared" si="5069"/>
        <v>2.6023717167239275</v>
      </c>
      <c r="CI739" s="69">
        <f t="shared" si="5069"/>
        <v>2.4134479382004135</v>
      </c>
      <c r="CJ739" s="69">
        <f t="shared" si="5069"/>
        <v>-1.1389736477115118</v>
      </c>
      <c r="CK739" s="69">
        <f t="shared" si="5069"/>
        <v>2.719921619856303</v>
      </c>
      <c r="CL739" s="69">
        <f t="shared" si="5069"/>
        <v>3.7062569213732002</v>
      </c>
      <c r="CM739" s="69">
        <f t="shared" si="5069"/>
        <v>3.3703932431205157</v>
      </c>
      <c r="CN739" s="69">
        <f t="shared" si="5069"/>
        <v>1.4919425359150531</v>
      </c>
      <c r="CO739" s="69">
        <f t="shared" si="5069"/>
        <v>4.3790192427063941</v>
      </c>
      <c r="CP739" s="69">
        <f t="shared" ref="CP739:CX739" si="5070">CP637/CP544</f>
        <v>4.8510254163014892</v>
      </c>
      <c r="CQ739" s="69">
        <f t="shared" si="5070"/>
        <v>1.5129693696734452</v>
      </c>
      <c r="CR739" s="69">
        <f t="shared" si="5070"/>
        <v>4.6248783757831049</v>
      </c>
      <c r="CS739" s="69">
        <f t="shared" si="5070"/>
        <v>4.1805707743887481</v>
      </c>
      <c r="CT739" s="69">
        <f t="shared" si="5070"/>
        <v>4.9908429056786927</v>
      </c>
      <c r="CU739" s="69">
        <f t="shared" si="5070"/>
        <v>5.4215618186223047</v>
      </c>
      <c r="CV739" s="69">
        <f t="shared" si="5070"/>
        <v>2.9714285714285711</v>
      </c>
      <c r="CW739" s="69">
        <f t="shared" si="5070"/>
        <v>8.5287041645926678</v>
      </c>
      <c r="CX739" s="69">
        <f t="shared" si="5070"/>
        <v>6.7929501267962813</v>
      </c>
      <c r="CY739" s="69">
        <f t="shared" ref="CY739:DD739" si="5071">CY637/CY544</f>
        <v>5.8967124925283922</v>
      </c>
      <c r="CZ739" s="70">
        <f t="shared" si="5071"/>
        <v>5.987457279562542</v>
      </c>
      <c r="DA739" s="69">
        <f t="shared" si="5071"/>
        <v>6.2256686241458334</v>
      </c>
      <c r="DB739" s="69">
        <f t="shared" si="5071"/>
        <v>7.8645409885529292</v>
      </c>
      <c r="DC739" s="69">
        <f t="shared" si="5071"/>
        <v>8.0018556594760675</v>
      </c>
      <c r="DD739" s="69">
        <f t="shared" si="5071"/>
        <v>7.5575525603321392</v>
      </c>
      <c r="DE739" s="69">
        <f>DE637/DE544</f>
        <v>7.1656411457142859</v>
      </c>
      <c r="DF739" s="69">
        <f>DF637/DF544</f>
        <v>7.4170671508270685</v>
      </c>
      <c r="DG739" s="69">
        <f>DG637/DG544</f>
        <v>7.5427801533834575</v>
      </c>
      <c r="DH739" s="69">
        <f>DH637/DH544</f>
        <v>7.6684931559398493</v>
      </c>
      <c r="DI739" s="69">
        <f>DI637/DI544</f>
        <v>7.7942061584962401</v>
      </c>
    </row>
    <row r="740" spans="1:113" outlineLevel="1">
      <c r="A740" s="1" t="s">
        <v>960</v>
      </c>
      <c r="B740" s="19" t="s">
        <v>490</v>
      </c>
      <c r="C740" s="69">
        <f t="shared" ref="C740:L740" si="5072">(C515-(C613*C151*C148))/C544</f>
        <v>0.69030783152866237</v>
      </c>
      <c r="D740" s="69">
        <f t="shared" si="5072"/>
        <v>0.71603071057692314</v>
      </c>
      <c r="E740" s="69">
        <f t="shared" si="5072"/>
        <v>0.8016348996009578</v>
      </c>
      <c r="F740" s="69">
        <f t="shared" si="5072"/>
        <v>0.71476099505187551</v>
      </c>
      <c r="G740" s="69">
        <f t="shared" si="5072"/>
        <v>0.8386556031897926</v>
      </c>
      <c r="H740" s="69">
        <f t="shared" si="5072"/>
        <v>0.7010925113762928</v>
      </c>
      <c r="I740" s="69">
        <f t="shared" si="5072"/>
        <v>0.83558921657370511</v>
      </c>
      <c r="J740" s="69">
        <f t="shared" si="5072"/>
        <v>1.0304936594466403</v>
      </c>
      <c r="K740" s="69">
        <f t="shared" si="5072"/>
        <v>1.0234160543597801</v>
      </c>
      <c r="L740" s="69">
        <f t="shared" si="5072"/>
        <v>1.2854999247462919</v>
      </c>
      <c r="M740" s="69">
        <f t="shared" ref="M740:AG740" si="5073">(M515-(M613*M151*M148))/M544</f>
        <v>1.2067741092607003</v>
      </c>
      <c r="N740" s="69">
        <f t="shared" si="5073"/>
        <v>1.3934175585669784</v>
      </c>
      <c r="O740" s="69">
        <f t="shared" si="5073"/>
        <v>1.3179073067285383</v>
      </c>
      <c r="P740" s="69">
        <f t="shared" si="5073"/>
        <v>1.4953605378254211</v>
      </c>
      <c r="Q740" s="69">
        <f t="shared" si="5073"/>
        <v>1.443261873237301</v>
      </c>
      <c r="R740" s="69">
        <f t="shared" si="5073"/>
        <v>0.92124905564064807</v>
      </c>
      <c r="S740" s="69">
        <f t="shared" si="5073"/>
        <v>1.0777780986220735</v>
      </c>
      <c r="T740" s="69">
        <f t="shared" si="5073"/>
        <v>1.4012122022061719</v>
      </c>
      <c r="U740" s="69">
        <f t="shared" si="5073"/>
        <v>1.5373746113320337</v>
      </c>
      <c r="V740" s="69">
        <f t="shared" si="5073"/>
        <v>1.6537227066752913</v>
      </c>
      <c r="W740" s="69">
        <f t="shared" si="5073"/>
        <v>1.6095397104912961</v>
      </c>
      <c r="X740" s="69">
        <f t="shared" si="5073"/>
        <v>1.5933795340281329</v>
      </c>
      <c r="Y740" s="69">
        <f>(Y515-(Y613*Y151*Y148))/Y544</f>
        <v>1.5566802520151612</v>
      </c>
      <c r="Z740" s="69">
        <f>(Z515-(Z613*Z151*Z148))/Z544</f>
        <v>1.6887905049899747</v>
      </c>
      <c r="AA740" s="69">
        <f t="shared" si="5073"/>
        <v>1.7983176809215444</v>
      </c>
      <c r="AB740" s="69">
        <f t="shared" si="5073"/>
        <v>1.9009967826600374</v>
      </c>
      <c r="AC740" s="69">
        <f>(AC515-(AC613*AC151*AC148))/AC544</f>
        <v>1.9768738001858739</v>
      </c>
      <c r="AD740" s="69">
        <f>(AD515-(AD613*AD151*AD148))/AD544</f>
        <v>2.0445063947621986</v>
      </c>
      <c r="AE740" s="69">
        <f>(AE515-(AE613*AE151*AE148))/AE544</f>
        <v>1.9368359656226883</v>
      </c>
      <c r="AF740" s="69">
        <f>(AF515-(AF613*AF151*AF148))/AF544</f>
        <v>1.9102216924910607</v>
      </c>
      <c r="AG740" s="69">
        <f t="shared" si="5073"/>
        <v>1.7790122878876535</v>
      </c>
      <c r="AH740" s="69">
        <f t="shared" ref="AH740:AM740" si="5074">(AH515-(AH613*AH151*AH148))/AH544</f>
        <v>1.796081585081585</v>
      </c>
      <c r="AI740" s="69">
        <f t="shared" si="5074"/>
        <v>1.7351133410672854</v>
      </c>
      <c r="AJ740" s="69">
        <f t="shared" si="5074"/>
        <v>1.5784418390804598</v>
      </c>
      <c r="AK740" s="69">
        <f t="shared" si="5074"/>
        <v>1.363072748004561</v>
      </c>
      <c r="AL740" s="69">
        <f t="shared" si="5074"/>
        <v>1.4991425730975347</v>
      </c>
      <c r="AM740" s="69">
        <f t="shared" si="5074"/>
        <v>1.0213716470486429</v>
      </c>
      <c r="AN740" s="69">
        <f t="shared" ref="AN740:AS740" si="5075">(AN515-(AN613*AN151*AN148))/AN544</f>
        <v>1.3796230638778972</v>
      </c>
      <c r="AO740" s="69">
        <f t="shared" si="5075"/>
        <v>0.55806579988694172</v>
      </c>
      <c r="AP740" s="69">
        <f t="shared" si="5075"/>
        <v>1.1089337853107344</v>
      </c>
      <c r="AQ740" s="69">
        <f t="shared" si="5075"/>
        <v>1.632135440180587</v>
      </c>
      <c r="AR740" s="69">
        <f t="shared" si="5075"/>
        <v>1.5884520689655175</v>
      </c>
      <c r="AS740" s="69">
        <f t="shared" si="5075"/>
        <v>1.6184586854460092</v>
      </c>
      <c r="AT740" s="69">
        <f t="shared" ref="AT740:AU740" si="5076">(AT515-(AT613*AT151*AT148))/AT544</f>
        <v>1.8062560471976401</v>
      </c>
      <c r="AU740" s="69">
        <f t="shared" si="5076"/>
        <v>1.6812078338278931</v>
      </c>
      <c r="AV740" s="69">
        <f t="shared" ref="AV740:AW740" si="5077">(AV515-(AV613*AV151*AV148))/AV544</f>
        <v>1.7795498207885303</v>
      </c>
      <c r="AW740" s="69">
        <f t="shared" si="5077"/>
        <v>1.5937031679617453</v>
      </c>
      <c r="AX740" s="69">
        <f t="shared" ref="AX740" si="5078">(AX515-(AX613*AX151*AX148))/AX544</f>
        <v>1.7422862440191387</v>
      </c>
      <c r="AY740" s="69">
        <f t="shared" ref="AY740:BE740" si="5079">(AY515-(AY613*AY151*AY148))/AY544</f>
        <v>1.697208732057415</v>
      </c>
      <c r="AZ740" s="70">
        <f t="shared" si="5079"/>
        <v>1.8663720095693781</v>
      </c>
      <c r="BA740" s="69">
        <f t="shared" si="5079"/>
        <v>1.9387165993192625</v>
      </c>
      <c r="BB740" s="69">
        <f t="shared" si="5079"/>
        <v>2.0094478774024429</v>
      </c>
      <c r="BC740" s="69">
        <f t="shared" si="5079"/>
        <v>1.9984207795581732</v>
      </c>
      <c r="BD740" s="69">
        <f t="shared" si="5079"/>
        <v>2.0172756493169772</v>
      </c>
      <c r="BE740" s="69">
        <f t="shared" si="5079"/>
        <v>2.1099879936003374</v>
      </c>
      <c r="BF740" s="69">
        <f t="shared" ref="BF740:BM740" si="5080">(BF515-(BF613*BF151*BF148))/BF544</f>
        <v>2.2143600049735768</v>
      </c>
      <c r="BG740" s="69">
        <f t="shared" si="5080"/>
        <v>2.2665391352557922</v>
      </c>
      <c r="BH740" s="69">
        <f t="shared" si="5080"/>
        <v>2.343853652922391</v>
      </c>
      <c r="BI740" s="69">
        <f t="shared" si="5080"/>
        <v>2.3359605235829055</v>
      </c>
      <c r="BJ740" s="69">
        <f t="shared" si="5080"/>
        <v>2.3479432981600148</v>
      </c>
      <c r="BK740" s="69">
        <f t="shared" si="5080"/>
        <v>2.2512424371717565</v>
      </c>
      <c r="BL740" s="69">
        <f t="shared" si="5080"/>
        <v>2.291235818832734</v>
      </c>
      <c r="BM740" s="69">
        <f t="shared" si="5080"/>
        <v>2.2581212073542836</v>
      </c>
      <c r="BN740" s="69">
        <f t="shared" ref="BN740:BO740" si="5081">(BN515-(BN613*BN151*BN148))/BN544</f>
        <v>2.3488458232538907</v>
      </c>
      <c r="BO740" s="69">
        <f t="shared" si="5081"/>
        <v>2.309900535587587</v>
      </c>
      <c r="BP740" s="69">
        <f t="shared" ref="BP740:BQ740" si="5082">(BP515-(BP613*BP151*BP148))/BP544</f>
        <v>2.4165582248810216</v>
      </c>
      <c r="BQ740" s="69">
        <f t="shared" si="5082"/>
        <v>2.3764142966467197</v>
      </c>
      <c r="BR740" s="69"/>
      <c r="BS740" s="69">
        <f t="shared" ref="BS740:CB740" si="5083">(BS515-(BS613*BS151*BS148))/BS544</f>
        <v>0.33010311249527163</v>
      </c>
      <c r="BT740" s="69">
        <f t="shared" si="5083"/>
        <v>0.51489375071787091</v>
      </c>
      <c r="BU740" s="69">
        <f t="shared" si="5083"/>
        <v>0.61482364993797223</v>
      </c>
      <c r="BV740" s="69">
        <f t="shared" si="5083"/>
        <v>0.93672590519480514</v>
      </c>
      <c r="BW740" s="69">
        <f t="shared" si="5083"/>
        <v>0.98998932590299282</v>
      </c>
      <c r="BX740" s="69">
        <f t="shared" si="5083"/>
        <v>1.1671245958560523</v>
      </c>
      <c r="BY740" s="69">
        <f t="shared" si="5083"/>
        <v>1.1851118868817203</v>
      </c>
      <c r="BZ740" s="69">
        <f t="shared" si="5083"/>
        <v>1.3624925618122976</v>
      </c>
      <c r="CA740" s="69">
        <f t="shared" si="5083"/>
        <v>1.5246584975188779</v>
      </c>
      <c r="CB740" s="69">
        <f t="shared" si="5083"/>
        <v>1.5599701082539681</v>
      </c>
      <c r="CC740" s="69">
        <f t="shared" ref="CC740:CR740" si="5084">(CC515-(CC613*CC151*CC148))/CC544</f>
        <v>1.7377591537945845</v>
      </c>
      <c r="CD740" s="69">
        <f t="shared" si="5084"/>
        <v>1.7816127680125191</v>
      </c>
      <c r="CE740" s="69">
        <f t="shared" si="5084"/>
        <v>1.7859783648444398</v>
      </c>
      <c r="CF740" s="69">
        <f t="shared" si="5084"/>
        <v>2.3370394034892281</v>
      </c>
      <c r="CG740" s="69">
        <f t="shared" si="5084"/>
        <v>2.8216087295401402</v>
      </c>
      <c r="CH740" s="69">
        <f t="shared" si="5084"/>
        <v>3.0886780449961209</v>
      </c>
      <c r="CI740" s="69">
        <f t="shared" si="5084"/>
        <v>3.2551393754760087</v>
      </c>
      <c r="CJ740" s="69">
        <f t="shared" si="5084"/>
        <v>2.4272027739251039</v>
      </c>
      <c r="CK740" s="69">
        <f t="shared" si="5084"/>
        <v>3.4603954278249507</v>
      </c>
      <c r="CL740" s="69">
        <f t="shared" si="5084"/>
        <v>3.761595490956072</v>
      </c>
      <c r="CM740" s="69">
        <f t="shared" si="5084"/>
        <v>3.8357303877940243</v>
      </c>
      <c r="CN740" s="69">
        <f t="shared" si="5084"/>
        <v>4.1435219237976266</v>
      </c>
      <c r="CO740" s="69">
        <f t="shared" si="5084"/>
        <v>4.6263175046554936</v>
      </c>
      <c r="CP740" s="69">
        <f t="shared" si="5084"/>
        <v>4.7592665030674848</v>
      </c>
      <c r="CQ740" s="69">
        <f t="shared" si="5084"/>
        <v>4.6168529238038989</v>
      </c>
      <c r="CR740" s="69">
        <f t="shared" si="5084"/>
        <v>4.5460383379100744</v>
      </c>
      <c r="CS740" s="69">
        <f t="shared" ref="CS740:DC740" si="5085">(CS515-(CS613*CS151*CS148))/CS544</f>
        <v>4.0004748712077847</v>
      </c>
      <c r="CT740" s="69">
        <f t="shared" si="5085"/>
        <v>3.5783689694224239</v>
      </c>
      <c r="CU740" s="69">
        <f t="shared" si="5085"/>
        <v>3.0040804974561897</v>
      </c>
      <c r="CV740" s="69">
        <f t="shared" si="5085"/>
        <v>3.8171338226990401</v>
      </c>
      <c r="CW740" s="69">
        <f t="shared" si="5085"/>
        <v>4.3576385598141698</v>
      </c>
      <c r="CX740" s="69">
        <f t="shared" si="5085"/>
        <v>4.7413226035502953</v>
      </c>
      <c r="CY740" s="69">
        <f t="shared" si="5085"/>
        <v>4.5937031679617455</v>
      </c>
      <c r="CZ740" s="70">
        <f t="shared" si="5085"/>
        <v>4.7665867224880385</v>
      </c>
      <c r="DA740" s="69">
        <f t="shared" si="5085"/>
        <v>5.1952382665365349</v>
      </c>
      <c r="DB740" s="69">
        <f t="shared" si="5085"/>
        <v>5.4530390102611515</v>
      </c>
      <c r="DC740" s="69">
        <f t="shared" si="5085"/>
        <v>5.6140544613398129</v>
      </c>
      <c r="DD740" s="69">
        <f t="shared" ref="DD740:DI740" si="5086">(DD515-(DD613*DD151*DD148))/DD544</f>
        <v>6.0173008352376485</v>
      </c>
      <c r="DE740" s="69">
        <f t="shared" si="5086"/>
        <v>6.2615847082636176</v>
      </c>
      <c r="DF740" s="69">
        <f t="shared" si="5086"/>
        <v>6.2280897281298593</v>
      </c>
      <c r="DG740" s="69">
        <f t="shared" si="5086"/>
        <v>6.2369067155326539</v>
      </c>
      <c r="DH740" s="69">
        <f t="shared" si="5086"/>
        <v>6.4071651308776065</v>
      </c>
      <c r="DI740" s="69">
        <f t="shared" si="5086"/>
        <v>6.6045706698722704</v>
      </c>
    </row>
    <row r="741" spans="1:113" outlineLevel="1">
      <c r="A741" s="1" t="s">
        <v>961</v>
      </c>
      <c r="B741" s="19" t="s">
        <v>401</v>
      </c>
      <c r="C741" s="69">
        <f t="shared" ref="C741:L741" si="5087">(C515-(C613*C151*C148))/C544+C135/(1-C128)*C128*C138</f>
        <v>1.0745851042559351</v>
      </c>
      <c r="D741" s="69">
        <f t="shared" si="5087"/>
        <v>1.0058855677197802</v>
      </c>
      <c r="E741" s="69">
        <f t="shared" si="5087"/>
        <v>1.1511657567438149</v>
      </c>
      <c r="F741" s="69">
        <f t="shared" si="5087"/>
        <v>1.0088784236233042</v>
      </c>
      <c r="G741" s="69">
        <f t="shared" si="5087"/>
        <v>1.200974174618364</v>
      </c>
      <c r="H741" s="69">
        <f t="shared" si="5087"/>
        <v>1.0378356542334357</v>
      </c>
      <c r="I741" s="69">
        <f t="shared" si="5087"/>
        <v>1.2788966451451338</v>
      </c>
      <c r="J741" s="69">
        <f t="shared" si="5087"/>
        <v>1.3928122308752118</v>
      </c>
      <c r="K741" s="69">
        <f t="shared" si="5087"/>
        <v>1.5008240543597802</v>
      </c>
      <c r="L741" s="69">
        <f t="shared" si="5087"/>
        <v>1.6861816390320061</v>
      </c>
      <c r="M741" s="69">
        <f t="shared" ref="M741:AG741" si="5088">(M515-(M613*M151*M148))/M544+M135/(1-M128)*M128*M138</f>
        <v>1.7609083949749862</v>
      </c>
      <c r="N741" s="69">
        <f t="shared" si="5088"/>
        <v>1.8495127014241213</v>
      </c>
      <c r="O741" s="69">
        <f t="shared" si="5088"/>
        <v>1.9530304495856812</v>
      </c>
      <c r="P741" s="69">
        <f t="shared" si="5088"/>
        <v>1.9770311092539925</v>
      </c>
      <c r="Q741" s="69">
        <f t="shared" si="5088"/>
        <v>2.0954353018087297</v>
      </c>
      <c r="R741" s="69">
        <f t="shared" si="5088"/>
        <v>1.4029196270692195</v>
      </c>
      <c r="S741" s="69">
        <f t="shared" si="5088"/>
        <v>1.5679738129077878</v>
      </c>
      <c r="T741" s="69">
        <f t="shared" si="5088"/>
        <v>1.9127207736347434</v>
      </c>
      <c r="U741" s="69">
        <f t="shared" si="5088"/>
        <v>2.2620117541891767</v>
      </c>
      <c r="V741" s="69">
        <f t="shared" si="5088"/>
        <v>2.2163821352467199</v>
      </c>
      <c r="W741" s="69">
        <f t="shared" si="5088"/>
        <v>2.4109031390627247</v>
      </c>
      <c r="X741" s="69">
        <f t="shared" si="5088"/>
        <v>2.1773518197424186</v>
      </c>
      <c r="Y741" s="69">
        <f>(Y515-(Y613*Y151*Y148))/Y544+Y135/(1-Y128)*Y128*Y138</f>
        <v>2.3964068234437326</v>
      </c>
      <c r="Z741" s="69">
        <f>(Z515-(Z613*Z151*Z148))/Z544+Z135/(1-Z128)*Z128*Z138</f>
        <v>2.3878522192756888</v>
      </c>
      <c r="AA741" s="69">
        <f t="shared" si="5088"/>
        <v>2.6508319666358302</v>
      </c>
      <c r="AB741" s="69">
        <f t="shared" si="5088"/>
        <v>2.6810473540886086</v>
      </c>
      <c r="AC741" s="69">
        <f>(AC515-(AC613*AC151*AC148))/AC544+AC135/(1-AC128)*AC128*AC138</f>
        <v>2.9061143716144455</v>
      </c>
      <c r="AD741" s="69">
        <f>(AD515-(AD613*AD151*AD148))/AD544+AD135/(1-AD128)*AD128*AD138</f>
        <v>2.8884955376193417</v>
      </c>
      <c r="AE741" s="69">
        <f>(AE515-(AE613*AE151*AE148))/AE544+AE135/(1-AE128)*AE128*AE138</f>
        <v>2.8831268227655453</v>
      </c>
      <c r="AF741" s="69">
        <f>(AF515-(AF613*AF151*AF148))/AF544+AF135/(1-AF128)*AF128*AF138</f>
        <v>2.7587931210624892</v>
      </c>
      <c r="AG741" s="69">
        <f t="shared" si="5088"/>
        <v>2.730440859316225</v>
      </c>
      <c r="AH741" s="69">
        <f t="shared" ref="AH741:AM741" si="5089">(AH515-(AH613*AH151*AH148))/AH544+AH135/(1-AH128)*AH128*AH138</f>
        <v>2.6489387279387278</v>
      </c>
      <c r="AI741" s="69">
        <f t="shared" si="5089"/>
        <v>2.720827626781571</v>
      </c>
      <c r="AJ741" s="69">
        <f t="shared" si="5089"/>
        <v>2.4355846962233167</v>
      </c>
      <c r="AK741" s="69">
        <f t="shared" si="5089"/>
        <v>2.353072748004561</v>
      </c>
      <c r="AL741" s="69">
        <f t="shared" si="5089"/>
        <v>2.3562854302403919</v>
      </c>
      <c r="AM741" s="69">
        <f t="shared" si="5089"/>
        <v>2.0113716470486427</v>
      </c>
      <c r="AN741" s="69">
        <f t="shared" ref="AN741:AS741" si="5090">(AN515-(AN613*AN151*AN148))/AN544+AN135/(1-AN128)*AN128*AN138</f>
        <v>2.2367659210207544</v>
      </c>
      <c r="AO741" s="69">
        <f t="shared" si="5090"/>
        <v>0.97806579988694176</v>
      </c>
      <c r="AP741" s="69">
        <f t="shared" si="5090"/>
        <v>1.7517909281678772</v>
      </c>
      <c r="AQ741" s="69">
        <f t="shared" si="5090"/>
        <v>2.4892782973234442</v>
      </c>
      <c r="AR741" s="69">
        <f t="shared" si="5090"/>
        <v>2.3384520689655175</v>
      </c>
      <c r="AS741" s="69">
        <f t="shared" si="5090"/>
        <v>2.5184586854460091</v>
      </c>
      <c r="AT741" s="69">
        <f t="shared" ref="AT741:AU741" si="5091">(AT515-(AT613*AT151*AT148))/AT544+AT135/(1-AT128)*AT128*AT138</f>
        <v>2.7062560471976402</v>
      </c>
      <c r="AU741" s="69">
        <f t="shared" si="5091"/>
        <v>2.709779262399322</v>
      </c>
      <c r="AV741" s="69">
        <f t="shared" ref="AV741:AW741" si="5092">(AV515-(AV613*AV151*AV148))/AV544+AV135/(1-AV128)*AV128*AV138</f>
        <v>2.7009783922171016</v>
      </c>
      <c r="AW741" s="69">
        <f t="shared" si="5092"/>
        <v>2.6651317393903167</v>
      </c>
      <c r="AX741" s="69">
        <f t="shared" ref="AX741" si="5093">(AX515-(AX613*AX151*AX148))/AX544+AX135/(1-AX128)*AX128*AX138</f>
        <v>2.7065719583048531</v>
      </c>
      <c r="AY741" s="69">
        <f t="shared" ref="AY741:BE741" si="5094">(AY515-(AY613*AY151*AY148))/AY544+AY135/(1-AY128)*AY128*AY138</f>
        <v>2.8114944463431293</v>
      </c>
      <c r="AZ741" s="70">
        <f t="shared" si="5094"/>
        <v>2.8735148667122354</v>
      </c>
      <c r="BA741" s="69">
        <f t="shared" si="5094"/>
        <v>3.0744308850335482</v>
      </c>
      <c r="BB741" s="69">
        <f t="shared" si="5094"/>
        <v>3.0380193059738714</v>
      </c>
      <c r="BC741" s="69">
        <f t="shared" si="5094"/>
        <v>3.1555636367010305</v>
      </c>
      <c r="BD741" s="69">
        <f t="shared" si="5094"/>
        <v>3.0672756493169775</v>
      </c>
      <c r="BE741" s="69">
        <f t="shared" si="5094"/>
        <v>3.3099879936003376</v>
      </c>
      <c r="BF741" s="69">
        <f t="shared" ref="BF741:BM741" si="5095">(BF515-(BF613*BF151*BF148))/BF544+BF135/(1-BF128)*BF128*BF138</f>
        <v>3.3286457192592911</v>
      </c>
      <c r="BG741" s="69">
        <f t="shared" si="5095"/>
        <v>3.5308248495415064</v>
      </c>
      <c r="BH741" s="69">
        <f t="shared" si="5095"/>
        <v>3.5224250814938194</v>
      </c>
      <c r="BI741" s="69">
        <f t="shared" si="5095"/>
        <v>3.6645319521543338</v>
      </c>
      <c r="BJ741" s="69">
        <f t="shared" si="5095"/>
        <v>3.5479432981600145</v>
      </c>
      <c r="BK741" s="69">
        <f t="shared" si="5095"/>
        <v>3.6012424371717562</v>
      </c>
      <c r="BL741" s="69">
        <f t="shared" si="5095"/>
        <v>3.5126643902613051</v>
      </c>
      <c r="BM741" s="69">
        <f t="shared" si="5095"/>
        <v>3.6295497787828546</v>
      </c>
      <c r="BN741" s="69">
        <f t="shared" ref="BN741:BO741" si="5096">(BN515-(BN613*BN151*BN148))/BN544+BN135/(1-BN128)*BN128*BN138</f>
        <v>3.5917029661110331</v>
      </c>
      <c r="BO741" s="69">
        <f t="shared" si="5096"/>
        <v>3.7027576784447294</v>
      </c>
      <c r="BP741" s="69">
        <f t="shared" ref="BP741:BQ741" si="5097">(BP515-(BP613*BP151*BP148))/BP544+BP135/(1-BP128)*BP128*BP138</f>
        <v>3.6808439391667354</v>
      </c>
      <c r="BQ741" s="69">
        <f t="shared" si="5097"/>
        <v>3.7907000109324334</v>
      </c>
      <c r="BR741" s="69"/>
      <c r="BS741" s="69">
        <f t="shared" ref="BS741:CB741" si="5098">(BS515-(BS613*BS151*BS148))/BS544+BS135/(1-BS128)*BS128*BS138</f>
        <v>0.52605415727139104</v>
      </c>
      <c r="BT741" s="69">
        <f t="shared" si="5098"/>
        <v>0.72064234773279634</v>
      </c>
      <c r="BU741" s="69">
        <f t="shared" si="5098"/>
        <v>0.90875021710215131</v>
      </c>
      <c r="BV741" s="69">
        <f t="shared" si="5098"/>
        <v>1.3384255469858499</v>
      </c>
      <c r="BW741" s="69">
        <f t="shared" si="5098"/>
        <v>1.4935055759029927</v>
      </c>
      <c r="BX741" s="69">
        <f t="shared" si="5098"/>
        <v>1.7377763458560522</v>
      </c>
      <c r="BY741" s="69">
        <f t="shared" si="5098"/>
        <v>1.7669528868817204</v>
      </c>
      <c r="BZ741" s="69">
        <f t="shared" si="5098"/>
        <v>2.0058744368122974</v>
      </c>
      <c r="CA741" s="69">
        <f t="shared" si="5098"/>
        <v>2.2519597475188777</v>
      </c>
      <c r="CB741" s="69">
        <f t="shared" si="5098"/>
        <v>2.2567928961327564</v>
      </c>
      <c r="CC741" s="69">
        <f t="shared" ref="CC741:CR741" si="5099">(CC515-(CC613*CC151*CC148))/CC544+CC135/(1-CC128)*CC128*CC138</f>
        <v>2.3771448680802987</v>
      </c>
      <c r="CD741" s="69">
        <f t="shared" si="5099"/>
        <v>2.4380487680125191</v>
      </c>
      <c r="CE741" s="69">
        <f t="shared" si="5099"/>
        <v>2.5660289362730113</v>
      </c>
      <c r="CF741" s="69">
        <f t="shared" si="5099"/>
        <v>3.1767659749177994</v>
      </c>
      <c r="CG741" s="69">
        <f t="shared" si="5099"/>
        <v>3.7764247295401403</v>
      </c>
      <c r="CH741" s="69">
        <f t="shared" si="5099"/>
        <v>4.1798963307104069</v>
      </c>
      <c r="CI741" s="69">
        <f t="shared" si="5099"/>
        <v>4.388983375476009</v>
      </c>
      <c r="CJ741" s="69">
        <f t="shared" si="5099"/>
        <v>3.3990690596393893</v>
      </c>
      <c r="CK741" s="69">
        <f t="shared" si="5099"/>
        <v>4.6965411421106653</v>
      </c>
      <c r="CL741" s="69">
        <f t="shared" si="5099"/>
        <v>5.1256183480989295</v>
      </c>
      <c r="CM741" s="69">
        <f t="shared" si="5099"/>
        <v>5.2594292449368822</v>
      </c>
      <c r="CN741" s="69">
        <f t="shared" si="5099"/>
        <v>5.6950979237976274</v>
      </c>
      <c r="CO741" s="69">
        <f t="shared" si="5099"/>
        <v>6.3356086475126361</v>
      </c>
      <c r="CP741" s="69">
        <f t="shared" si="5099"/>
        <v>6.5495465030674849</v>
      </c>
      <c r="CQ741" s="69">
        <f t="shared" si="5099"/>
        <v>6.4168529238038996</v>
      </c>
      <c r="CR741" s="69">
        <f t="shared" si="5099"/>
        <v>6.3846097664815034</v>
      </c>
      <c r="CS741" s="69">
        <f t="shared" ref="CS741:DC741" si="5100">(CS515-(CS613*CS151*CS148))/CS544+CS135/(1-CS128)*CS128*CS138</f>
        <v>5.8476177283506416</v>
      </c>
      <c r="CT741" s="69">
        <f t="shared" si="5100"/>
        <v>5.4255118265652813</v>
      </c>
      <c r="CU741" s="69">
        <f t="shared" si="5100"/>
        <v>4.2812233545990468</v>
      </c>
      <c r="CV741" s="69">
        <f t="shared" si="5100"/>
        <v>5.3171338226990397</v>
      </c>
      <c r="CW741" s="69">
        <f t="shared" si="5100"/>
        <v>6.0076385598141702</v>
      </c>
      <c r="CX741" s="69">
        <f t="shared" si="5100"/>
        <v>6.6698940321217242</v>
      </c>
      <c r="CY741" s="69">
        <f t="shared" si="5100"/>
        <v>6.5865603108188884</v>
      </c>
      <c r="CZ741" s="70">
        <f t="shared" si="5100"/>
        <v>6.8451581510594668</v>
      </c>
      <c r="DA741" s="69">
        <f t="shared" si="5100"/>
        <v>7.3380954093936772</v>
      </c>
      <c r="DB741" s="69">
        <f t="shared" si="5100"/>
        <v>7.6387532959754374</v>
      </c>
      <c r="DC741" s="69">
        <f t="shared" si="5100"/>
        <v>7.8640544613398129</v>
      </c>
      <c r="DD741" s="69">
        <f t="shared" ref="DD741:DI741" si="5101">(DD515-(DD613*DD151*DD148))/DD544+DD135/(1-DD128)*DD128*DD138</f>
        <v>8.3958722638090766</v>
      </c>
      <c r="DE741" s="69">
        <f t="shared" si="5101"/>
        <v>8.7687275654064756</v>
      </c>
      <c r="DF741" s="69">
        <f t="shared" si="5101"/>
        <v>8.77808972812986</v>
      </c>
      <c r="DG741" s="69">
        <f t="shared" si="5101"/>
        <v>8.8297638583897964</v>
      </c>
      <c r="DH741" s="69">
        <f t="shared" si="5101"/>
        <v>9.0428794165918909</v>
      </c>
      <c r="DI741" s="69">
        <f t="shared" si="5101"/>
        <v>9.2831420984436974</v>
      </c>
    </row>
    <row r="742" spans="1:113" outlineLevel="1">
      <c r="A742" s="1" t="s">
        <v>962</v>
      </c>
      <c r="B742" s="19" t="s">
        <v>402</v>
      </c>
      <c r="C742" s="69">
        <f>C538/C543</f>
        <v>14.156084258615582</v>
      </c>
      <c r="D742" s="69">
        <f>D538/D543</f>
        <v>14.322005201054548</v>
      </c>
      <c r="E742" s="69">
        <f>E538/E543</f>
        <v>14.561127568546375</v>
      </c>
      <c r="F742" s="69">
        <f t="shared" ref="F742:L742" si="5102">F538/F543</f>
        <v>15.16676472797881</v>
      </c>
      <c r="G742" s="69">
        <f t="shared" si="5102"/>
        <v>15.342107634700055</v>
      </c>
      <c r="H742" s="69">
        <f t="shared" si="5102"/>
        <v>15.385211842941368</v>
      </c>
      <c r="I742" s="69">
        <f t="shared" si="5102"/>
        <v>15.851361478676202</v>
      </c>
      <c r="J742" s="69">
        <f t="shared" si="5102"/>
        <v>13.896866954731124</v>
      </c>
      <c r="K742" s="69">
        <f t="shared" si="5102"/>
        <v>14.44500241780646</v>
      </c>
      <c r="L742" s="69">
        <f t="shared" si="5102"/>
        <v>14.19310398197929</v>
      </c>
      <c r="M742" s="69">
        <f t="shared" ref="M742:AG742" si="5103">M538/M543</f>
        <v>15.424807763363232</v>
      </c>
      <c r="N742" s="69">
        <f t="shared" si="5103"/>
        <v>16.22177848573077</v>
      </c>
      <c r="O742" s="69">
        <f t="shared" si="5103"/>
        <v>17.583523072802986</v>
      </c>
      <c r="P742" s="69">
        <f t="shared" si="5103"/>
        <v>18.281211580870576</v>
      </c>
      <c r="Q742" s="69">
        <f t="shared" si="5103"/>
        <v>18.510034285251017</v>
      </c>
      <c r="R742" s="69">
        <f t="shared" si="5103"/>
        <v>19.286945251172053</v>
      </c>
      <c r="S742" s="69">
        <f t="shared" si="5103"/>
        <v>19.634626554242963</v>
      </c>
      <c r="T742" s="69">
        <f t="shared" si="5103"/>
        <v>20.824257708614439</v>
      </c>
      <c r="U742" s="69">
        <f t="shared" si="5103"/>
        <v>21.904176505008913</v>
      </c>
      <c r="V742" s="69">
        <f t="shared" si="5103"/>
        <v>21.759223755730616</v>
      </c>
      <c r="W742" s="69">
        <f t="shared" si="5103"/>
        <v>22.857513598590746</v>
      </c>
      <c r="X742" s="69">
        <f t="shared" si="5103"/>
        <v>23.529028917893008</v>
      </c>
      <c r="Y742" s="69">
        <f>Y538/Y543</f>
        <v>25.051238548553677</v>
      </c>
      <c r="Z742" s="69">
        <f>Z538/Z543</f>
        <v>25.883271251301206</v>
      </c>
      <c r="AA742" s="69">
        <f t="shared" si="5103"/>
        <v>27.185527667493798</v>
      </c>
      <c r="AB742" s="69">
        <f t="shared" si="5103"/>
        <v>28.111640942928041</v>
      </c>
      <c r="AC742" s="69">
        <f>AC538/AC543</f>
        <v>29.37291252313387</v>
      </c>
      <c r="AD742" s="69">
        <f>AD538/AD543</f>
        <v>30.387912375507227</v>
      </c>
      <c r="AE742" s="69">
        <f>AE538/AE543</f>
        <v>31.458196068796067</v>
      </c>
      <c r="AF742" s="69">
        <f>AF538/AF543</f>
        <v>34.607728337236537</v>
      </c>
      <c r="AG742" s="69">
        <f t="shared" si="5103"/>
        <v>34.993586005830906</v>
      </c>
      <c r="AH742" s="69">
        <f t="shared" ref="AH742:AM742" si="5104">AH538/AH543</f>
        <v>35.522344747533374</v>
      </c>
      <c r="AI742" s="69">
        <f t="shared" si="5104"/>
        <v>36.482080924855488</v>
      </c>
      <c r="AJ742" s="69">
        <f t="shared" si="5104"/>
        <v>37.38562464346834</v>
      </c>
      <c r="AK742" s="69">
        <f t="shared" si="5104"/>
        <v>38.242045454545455</v>
      </c>
      <c r="AL742" s="69">
        <f t="shared" si="5104"/>
        <v>38.427003651771962</v>
      </c>
      <c r="AM742" s="69">
        <f t="shared" si="5104"/>
        <v>39.313324397521761</v>
      </c>
      <c r="AN742" s="69">
        <f t="shared" ref="AN742:AS742" si="5105">AN538/AN543</f>
        <v>40.165186529192063</v>
      </c>
      <c r="AO742" s="69">
        <f t="shared" si="5105"/>
        <v>40.634614534111172</v>
      </c>
      <c r="AP742" s="69">
        <f t="shared" si="5105"/>
        <v>42.227130147904418</v>
      </c>
      <c r="AQ742" s="69">
        <f t="shared" si="5105"/>
        <v>44.367938267796845</v>
      </c>
      <c r="AR742" s="69">
        <f t="shared" si="5105"/>
        <v>43.751973385677751</v>
      </c>
      <c r="AS742" s="69">
        <f t="shared" si="5105"/>
        <v>42.804205737099302</v>
      </c>
      <c r="AT742" s="69">
        <f t="shared" ref="AT742:AU742" si="5106">AT538/AT543</f>
        <v>42.962207574319407</v>
      </c>
      <c r="AU742" s="69">
        <f t="shared" si="5106"/>
        <v>43.318698123096262</v>
      </c>
      <c r="AV742" s="69">
        <f t="shared" ref="AV742:AW742" si="5107">AV538/AV543</f>
        <v>43.529223557058117</v>
      </c>
      <c r="AW742" s="69">
        <f t="shared" si="5107"/>
        <v>43.708097560961605</v>
      </c>
      <c r="AX742" s="69">
        <f t="shared" ref="AX742" si="5108">AX538/AX543</f>
        <v>45.014387370094006</v>
      </c>
      <c r="AY742" s="69">
        <f t="shared" ref="AY742:BE742" si="5109">AY538/AY543</f>
        <v>47.119281080739064</v>
      </c>
      <c r="AZ742" s="70">
        <f t="shared" si="5109"/>
        <v>46.187969815788549</v>
      </c>
      <c r="BA742" s="69">
        <f t="shared" si="5109"/>
        <v>47.532414759103645</v>
      </c>
      <c r="BB742" s="69">
        <f t="shared" si="5109"/>
        <v>47.637661897855239</v>
      </c>
      <c r="BC742" s="69">
        <f t="shared" si="5109"/>
        <v>48.093859444407663</v>
      </c>
      <c r="BD742" s="69">
        <f t="shared" si="5109"/>
        <v>48.284202231561537</v>
      </c>
      <c r="BE742" s="69">
        <f t="shared" si="5109"/>
        <v>48.794314888902889</v>
      </c>
      <c r="BF742" s="69">
        <f t="shared" ref="BF742:BM742" si="5110">BF538/BF543</f>
        <v>49.081207481072695</v>
      </c>
      <c r="BG742" s="69">
        <f t="shared" si="5110"/>
        <v>50.231799558680571</v>
      </c>
      <c r="BH742" s="69">
        <f t="shared" si="5110"/>
        <v>51.135887649489064</v>
      </c>
      <c r="BI742" s="69">
        <f t="shared" si="5110"/>
        <v>52.25645146279426</v>
      </c>
      <c r="BJ742" s="69">
        <f t="shared" si="5110"/>
        <v>53.068002123561911</v>
      </c>
      <c r="BK742" s="69">
        <f t="shared" si="5110"/>
        <v>54.177238680290387</v>
      </c>
      <c r="BL742" s="69">
        <f t="shared" si="5110"/>
        <v>55.006064800099473</v>
      </c>
      <c r="BM742" s="69">
        <f t="shared" si="5110"/>
        <v>56.131927543943206</v>
      </c>
      <c r="BN742" s="69">
        <f t="shared" ref="BN742:BO742" si="5111">BN538/BN543</f>
        <v>57.02923396018496</v>
      </c>
      <c r="BO742" s="69">
        <f t="shared" si="5111"/>
        <v>58.21889034703063</v>
      </c>
      <c r="BP742" s="69">
        <f t="shared" ref="BP742:BQ742" si="5112">BP538/BP543</f>
        <v>59.197089877225793</v>
      </c>
      <c r="BQ742" s="69">
        <f t="shared" si="5112"/>
        <v>60.467629548952061</v>
      </c>
      <c r="BR742" s="69"/>
      <c r="BS742" s="69">
        <f t="shared" ref="BS742:CB742" si="5113">BS538/BS543</f>
        <v>6.444203953127337</v>
      </c>
      <c r="BT742" s="69">
        <f t="shared" si="5113"/>
        <v>6.3270154262134088</v>
      </c>
      <c r="BU742" s="69">
        <f t="shared" si="5113"/>
        <v>6.5560799722509397</v>
      </c>
      <c r="BV742" s="69">
        <f t="shared" si="5113"/>
        <v>6.8827852681840334</v>
      </c>
      <c r="BW742" s="69">
        <f t="shared" si="5113"/>
        <v>7.2204661347017973</v>
      </c>
      <c r="BX742" s="69">
        <f t="shared" si="5113"/>
        <v>7.3201443163678377</v>
      </c>
      <c r="BY742" s="69">
        <f t="shared" si="5113"/>
        <v>7.2353496284801109</v>
      </c>
      <c r="BZ742" s="69">
        <f t="shared" si="5113"/>
        <v>7.3131664307824957</v>
      </c>
      <c r="CA742" s="69">
        <f t="shared" si="5113"/>
        <v>13.789576197602191</v>
      </c>
      <c r="CB742" s="69">
        <f t="shared" si="5113"/>
        <v>14.156084258615582</v>
      </c>
      <c r="CC742" s="69">
        <f t="shared" ref="CC742:CO742" si="5114">CC538/CC543</f>
        <v>14.561127568546375</v>
      </c>
      <c r="CD742" s="69">
        <f t="shared" si="5114"/>
        <v>15.342107634700055</v>
      </c>
      <c r="CE742" s="69">
        <f t="shared" si="5114"/>
        <v>15.851361478676202</v>
      </c>
      <c r="CF742" s="69">
        <f t="shared" si="5114"/>
        <v>14.44500241780646</v>
      </c>
      <c r="CG742" s="69">
        <f t="shared" si="5114"/>
        <v>15.424807763363232</v>
      </c>
      <c r="CH742" s="69">
        <f t="shared" si="5114"/>
        <v>17.583523072802986</v>
      </c>
      <c r="CI742" s="69">
        <f t="shared" si="5114"/>
        <v>18.510034285251017</v>
      </c>
      <c r="CJ742" s="69">
        <f t="shared" si="5114"/>
        <v>19.634626554242963</v>
      </c>
      <c r="CK742" s="69">
        <f t="shared" si="5114"/>
        <v>21.904176505008913</v>
      </c>
      <c r="CL742" s="69">
        <f t="shared" si="5114"/>
        <v>22.857513598590746</v>
      </c>
      <c r="CM742" s="69">
        <f t="shared" si="5114"/>
        <v>25.051238548553677</v>
      </c>
      <c r="CN742" s="69">
        <f t="shared" si="5114"/>
        <v>27.185527667493798</v>
      </c>
      <c r="CO742" s="69">
        <f t="shared" si="5114"/>
        <v>29.37291252313387</v>
      </c>
      <c r="CP742" s="69">
        <f t="shared" ref="CP742:CX742" si="5115">CP538/CP543</f>
        <v>31.458196068796067</v>
      </c>
      <c r="CQ742" s="69">
        <f t="shared" si="5115"/>
        <v>34.993586005830906</v>
      </c>
      <c r="CR742" s="69">
        <f t="shared" si="5115"/>
        <v>36.630295995356938</v>
      </c>
      <c r="CS742" s="69">
        <f t="shared" si="5115"/>
        <v>38.905202312138726</v>
      </c>
      <c r="CT742" s="69">
        <f t="shared" si="5115"/>
        <v>39.313324397521761</v>
      </c>
      <c r="CU742" s="69">
        <f t="shared" si="5115"/>
        <v>40.634614534111172</v>
      </c>
      <c r="CV742" s="69">
        <f t="shared" si="5115"/>
        <v>44.367938267796845</v>
      </c>
      <c r="CW742" s="69">
        <f t="shared" si="5115"/>
        <v>42.804205737099302</v>
      </c>
      <c r="CX742" s="69">
        <f t="shared" si="5115"/>
        <v>43.318698123096262</v>
      </c>
      <c r="CY742" s="69">
        <f t="shared" ref="CY742:DD742" si="5116">CY538/CY543</f>
        <v>43.708097560961605</v>
      </c>
      <c r="CZ742" s="70">
        <f t="shared" si="5116"/>
        <v>47.119281080739064</v>
      </c>
      <c r="DA742" s="69">
        <f t="shared" si="5116"/>
        <v>47.532414759103645</v>
      </c>
      <c r="DB742" s="69">
        <f t="shared" si="5116"/>
        <v>48.093859444407663</v>
      </c>
      <c r="DC742" s="69">
        <f t="shared" si="5116"/>
        <v>48.794314888902896</v>
      </c>
      <c r="DD742" s="69">
        <f t="shared" si="5116"/>
        <v>50.231799558680571</v>
      </c>
      <c r="DE742" s="69">
        <f>DE538/DE543</f>
        <v>52.25645146279426</v>
      </c>
      <c r="DF742" s="69">
        <f>DF538/DF543</f>
        <v>54.177238680290387</v>
      </c>
      <c r="DG742" s="69">
        <f>DG538/DG543</f>
        <v>56.131927543943206</v>
      </c>
      <c r="DH742" s="69">
        <f>DH538/DH543</f>
        <v>58.21889034703063</v>
      </c>
      <c r="DI742" s="69">
        <f>DI538/DI543</f>
        <v>60.467629548952054</v>
      </c>
    </row>
    <row r="743" spans="1:113" outlineLevel="1">
      <c r="A743" s="1" t="s">
        <v>963</v>
      </c>
      <c r="B743" s="19" t="s">
        <v>492</v>
      </c>
      <c r="C743" s="69">
        <f t="shared" ref="C743:L743" si="5117">(C538-C661)/C543</f>
        <v>9.5860979476336183</v>
      </c>
      <c r="D743" s="69">
        <f t="shared" si="5117"/>
        <v>9.912180559372711</v>
      </c>
      <c r="E743" s="69">
        <f t="shared" si="5117"/>
        <v>10.281618288601246</v>
      </c>
      <c r="F743" s="69">
        <f t="shared" si="5117"/>
        <v>11.071992141606209</v>
      </c>
      <c r="G743" s="69">
        <f t="shared" si="5117"/>
        <v>11.352064748269555</v>
      </c>
      <c r="H743" s="69">
        <f t="shared" si="5117"/>
        <v>11.546598727670151</v>
      </c>
      <c r="I743" s="69">
        <f t="shared" si="5117"/>
        <v>12.149169582068033</v>
      </c>
      <c r="J743" s="69">
        <f t="shared" si="5117"/>
        <v>8.0606356784450881</v>
      </c>
      <c r="K743" s="69">
        <f t="shared" si="5117"/>
        <v>8.6387236143921609</v>
      </c>
      <c r="L743" s="69">
        <f t="shared" si="5117"/>
        <v>8.3639588181818354</v>
      </c>
      <c r="M743" s="69">
        <f t="shared" ref="M743:AG743" si="5118">(M538-M661)/M543</f>
        <v>9.5482475077192177</v>
      </c>
      <c r="N743" s="69">
        <f t="shared" si="5118"/>
        <v>10.378391644316629</v>
      </c>
      <c r="O743" s="69">
        <f t="shared" si="5118"/>
        <v>11.818960078727009</v>
      </c>
      <c r="P743" s="69">
        <f t="shared" si="5118"/>
        <v>12.312684714071546</v>
      </c>
      <c r="Q743" s="69">
        <f t="shared" si="5118"/>
        <v>12.581273303690674</v>
      </c>
      <c r="R743" s="69">
        <f t="shared" si="5118"/>
        <v>13.936033138478766</v>
      </c>
      <c r="S743" s="69">
        <f t="shared" si="5118"/>
        <v>14.021178306136681</v>
      </c>
      <c r="T743" s="69">
        <f t="shared" si="5118"/>
        <v>15.299084205189454</v>
      </c>
      <c r="U743" s="69">
        <f t="shared" si="5118"/>
        <v>16.464737810350019</v>
      </c>
      <c r="V743" s="69">
        <f t="shared" si="5118"/>
        <v>16.376888469165841</v>
      </c>
      <c r="W743" s="69">
        <f t="shared" si="5118"/>
        <v>17.55727607905153</v>
      </c>
      <c r="X743" s="69">
        <f t="shared" si="5118"/>
        <v>18.153732694296085</v>
      </c>
      <c r="Y743" s="69">
        <f>(Y538-Y661)/Y543</f>
        <v>19.690790740834885</v>
      </c>
      <c r="Z743" s="69">
        <f>(Z538-Z661)/Z543</f>
        <v>20.607971680418483</v>
      </c>
      <c r="AA743" s="69">
        <f t="shared" si="5118"/>
        <v>21.941048759305211</v>
      </c>
      <c r="AB743" s="69">
        <f t="shared" si="5118"/>
        <v>23.18059677419355</v>
      </c>
      <c r="AC743" s="69">
        <f>(AC538-AC661)/AC543</f>
        <v>24.502379025293031</v>
      </c>
      <c r="AD743" s="69">
        <f>(AD538-AD661)/AD543</f>
        <v>25.540421992931766</v>
      </c>
      <c r="AE743" s="69">
        <f>(AE538-AE661)/AE543</f>
        <v>26.643427886977886</v>
      </c>
      <c r="AF743" s="69">
        <f>(AF538-AF661)/AF543</f>
        <v>30.020491803278688</v>
      </c>
      <c r="AG743" s="69">
        <f t="shared" si="5118"/>
        <v>30.237900874635567</v>
      </c>
      <c r="AH743" s="69">
        <f t="shared" ref="AH743:AM743" si="5119">(AH538-AH661)/AH543</f>
        <v>30.819500870574579</v>
      </c>
      <c r="AI743" s="69">
        <f t="shared" si="5119"/>
        <v>31.805780346820811</v>
      </c>
      <c r="AJ743" s="69">
        <f t="shared" si="5119"/>
        <v>33.253280091272103</v>
      </c>
      <c r="AK743" s="69">
        <f t="shared" si="5119"/>
        <v>34.110795454545453</v>
      </c>
      <c r="AL743" s="69">
        <f t="shared" si="5119"/>
        <v>34.823536451556549</v>
      </c>
      <c r="AM743" s="69">
        <f t="shared" si="5119"/>
        <v>35.781034006716467</v>
      </c>
      <c r="AN743" s="69">
        <f t="shared" ref="AN743:AS743" si="5120">(AN538-AN661)/AN543</f>
        <v>36.600132210245604</v>
      </c>
      <c r="AO743" s="69">
        <f t="shared" si="5120"/>
        <v>37.474025259114271</v>
      </c>
      <c r="AP743" s="69">
        <f t="shared" si="5120"/>
        <v>39.101031719014635</v>
      </c>
      <c r="AQ743" s="69">
        <f t="shared" si="5120"/>
        <v>41.259313522876695</v>
      </c>
      <c r="AR743" s="69">
        <f t="shared" si="5120"/>
        <v>40.535830039477752</v>
      </c>
      <c r="AS743" s="69">
        <f t="shared" si="5120"/>
        <v>39.577713769218327</v>
      </c>
      <c r="AT743" s="69">
        <f t="shared" ref="AT743:AU743" si="5121">(AT538-AT661)/AT543</f>
        <v>39.708858899063173</v>
      </c>
      <c r="AU743" s="69">
        <f t="shared" si="5121"/>
        <v>40.045520141725248</v>
      </c>
      <c r="AV743" s="69">
        <f t="shared" ref="AV743:AW743" si="5122">(AV538-AV661)/AV543</f>
        <v>40.257091050606554</v>
      </c>
      <c r="AW743" s="69">
        <f t="shared" si="5122"/>
        <v>40.436105418383697</v>
      </c>
      <c r="AX743" s="69">
        <f t="shared" ref="AX743" si="5123">(AX538-AX661)/AX543</f>
        <v>41.744050022362366</v>
      </c>
      <c r="AY743" s="69">
        <f t="shared" ref="AY743:BE743" si="5124">(AY538-AY661)/AY543</f>
        <v>43.844450371931231</v>
      </c>
      <c r="AZ743" s="70">
        <f t="shared" si="5124"/>
        <v>41.22661445024341</v>
      </c>
      <c r="BA743" s="69">
        <f t="shared" si="5124"/>
        <v>42.571059393558514</v>
      </c>
      <c r="BB743" s="69">
        <f t="shared" si="5124"/>
        <v>42.654549063967657</v>
      </c>
      <c r="BC743" s="69">
        <f t="shared" si="5124"/>
        <v>43.089717363759164</v>
      </c>
      <c r="BD743" s="69">
        <f t="shared" si="5124"/>
        <v>43.259741328842161</v>
      </c>
      <c r="BE743" s="69">
        <f t="shared" si="5124"/>
        <v>43.750227726627124</v>
      </c>
      <c r="BF743" s="69">
        <f t="shared" ref="BF743:BM743" si="5125">(BF538-BF661)/BF543</f>
        <v>44.018168740787885</v>
      </c>
      <c r="BG743" s="69">
        <f t="shared" si="5125"/>
        <v>45.168760818395761</v>
      </c>
      <c r="BH743" s="69">
        <f t="shared" si="5125"/>
        <v>46.072848909204247</v>
      </c>
      <c r="BI743" s="69">
        <f t="shared" si="5125"/>
        <v>47.19341272250945</v>
      </c>
      <c r="BJ743" s="69">
        <f t="shared" si="5125"/>
        <v>48.004963383277101</v>
      </c>
      <c r="BK743" s="69">
        <f t="shared" si="5125"/>
        <v>49.114199940005577</v>
      </c>
      <c r="BL743" s="69">
        <f t="shared" si="5125"/>
        <v>49.943026059814663</v>
      </c>
      <c r="BM743" s="69">
        <f t="shared" si="5125"/>
        <v>51.068888803658396</v>
      </c>
      <c r="BN743" s="69">
        <f t="shared" ref="BN743:BO743" si="5126">(BN538-BN661)/BN543</f>
        <v>51.96619521990015</v>
      </c>
      <c r="BO743" s="69">
        <f t="shared" si="5126"/>
        <v>53.15585160674582</v>
      </c>
      <c r="BP743" s="69">
        <f t="shared" ref="BP743:BQ743" si="5127">(BP538-BP661)/BP543</f>
        <v>54.134051136940982</v>
      </c>
      <c r="BQ743" s="69">
        <f t="shared" si="5127"/>
        <v>55.404590808667251</v>
      </c>
      <c r="BR743" s="69"/>
      <c r="BS743" s="69">
        <f t="shared" ref="BS743:CB743" si="5128">(BS538-BS661)/BS543</f>
        <v>6.444203953127337</v>
      </c>
      <c r="BT743" s="69">
        <f t="shared" si="5128"/>
        <v>6.3270154262134088</v>
      </c>
      <c r="BU743" s="69">
        <f t="shared" si="5128"/>
        <v>6.5560799722509397</v>
      </c>
      <c r="BV743" s="69">
        <f t="shared" si="5128"/>
        <v>6.8827852681840334</v>
      </c>
      <c r="BW743" s="69">
        <f t="shared" si="5128"/>
        <v>7.2204661347017973</v>
      </c>
      <c r="BX743" s="69">
        <f t="shared" si="5128"/>
        <v>7.3201443163678377</v>
      </c>
      <c r="BY743" s="69">
        <f t="shared" si="5128"/>
        <v>7.2353496284801109</v>
      </c>
      <c r="BZ743" s="69">
        <f t="shared" si="5128"/>
        <v>6.7800165098449749</v>
      </c>
      <c r="CA743" s="69">
        <f t="shared" si="5128"/>
        <v>9.1291224746831823</v>
      </c>
      <c r="CB743" s="69">
        <f t="shared" si="5128"/>
        <v>9.5860979476336183</v>
      </c>
      <c r="CC743" s="69">
        <f t="shared" ref="CC743:CO743" si="5129">(CC538-CC661)/CC543</f>
        <v>10.281618288601246</v>
      </c>
      <c r="CD743" s="69">
        <f t="shared" si="5129"/>
        <v>11.352064748269555</v>
      </c>
      <c r="CE743" s="69">
        <f t="shared" si="5129"/>
        <v>12.149169582068033</v>
      </c>
      <c r="CF743" s="69">
        <f t="shared" si="5129"/>
        <v>8.6387236143921609</v>
      </c>
      <c r="CG743" s="69">
        <f>(CG538-CG661)/CG543</f>
        <v>9.5482475077192177</v>
      </c>
      <c r="CH743" s="69">
        <f t="shared" si="5129"/>
        <v>11.818960078727009</v>
      </c>
      <c r="CI743" s="69">
        <f t="shared" si="5129"/>
        <v>12.581273303690674</v>
      </c>
      <c r="CJ743" s="69">
        <f t="shared" si="5129"/>
        <v>14.021178306136681</v>
      </c>
      <c r="CK743" s="69">
        <f t="shared" si="5129"/>
        <v>16.464737810350019</v>
      </c>
      <c r="CL743" s="69">
        <f t="shared" si="5129"/>
        <v>17.55727607905153</v>
      </c>
      <c r="CM743" s="69">
        <f t="shared" si="5129"/>
        <v>19.690790740834885</v>
      </c>
      <c r="CN743" s="69">
        <f t="shared" si="5129"/>
        <v>21.941048759305211</v>
      </c>
      <c r="CO743" s="69">
        <f t="shared" si="5129"/>
        <v>24.502379025293031</v>
      </c>
      <c r="CP743" s="69">
        <f t="shared" ref="CP743:CX743" si="5130">(CP538-CP661)/CP543</f>
        <v>26.643427886977886</v>
      </c>
      <c r="CQ743" s="69">
        <f t="shared" si="5130"/>
        <v>30.237900874635567</v>
      </c>
      <c r="CR743" s="69">
        <f t="shared" si="5130"/>
        <v>31.934997098084736</v>
      </c>
      <c r="CS743" s="69">
        <f t="shared" si="5130"/>
        <v>34.702312138728324</v>
      </c>
      <c r="CT743" s="69">
        <f t="shared" si="5130"/>
        <v>35.781034006716467</v>
      </c>
      <c r="CU743" s="69">
        <f t="shared" si="5130"/>
        <v>37.474025259114271</v>
      </c>
      <c r="CV743" s="69">
        <f t="shared" si="5130"/>
        <v>41.259313522876695</v>
      </c>
      <c r="CW743" s="69">
        <f t="shared" si="5130"/>
        <v>39.577713769218327</v>
      </c>
      <c r="CX743" s="69">
        <f t="shared" si="5130"/>
        <v>40.045520141725248</v>
      </c>
      <c r="CY743" s="69">
        <f t="shared" ref="CY743:DD743" si="5131">(CY538-CY661)/CY543</f>
        <v>40.436105418383697</v>
      </c>
      <c r="CZ743" s="70">
        <f t="shared" si="5131"/>
        <v>43.844450371931231</v>
      </c>
      <c r="DA743" s="69">
        <f t="shared" si="5131"/>
        <v>42.571059393558514</v>
      </c>
      <c r="DB743" s="69">
        <f t="shared" si="5131"/>
        <v>43.089717363759164</v>
      </c>
      <c r="DC743" s="69">
        <f t="shared" si="5131"/>
        <v>43.750227726627131</v>
      </c>
      <c r="DD743" s="69">
        <f t="shared" si="5131"/>
        <v>45.168760818395761</v>
      </c>
      <c r="DE743" s="69">
        <f>(DE538-DE661)/DE543</f>
        <v>47.19341272250945</v>
      </c>
      <c r="DF743" s="69">
        <f>(DF538-DF661)/DF543</f>
        <v>49.114199940005577</v>
      </c>
      <c r="DG743" s="69">
        <f>(DG538-DG661)/DG543</f>
        <v>51.068888803658396</v>
      </c>
      <c r="DH743" s="69">
        <f>(DH538-DH661)/DH543</f>
        <v>53.15585160674582</v>
      </c>
      <c r="DI743" s="69">
        <f>(DI538-DI661)/DI543</f>
        <v>55.404590808667237</v>
      </c>
    </row>
    <row r="744" spans="1:113" outlineLevel="1">
      <c r="A744" s="1" t="s">
        <v>2430</v>
      </c>
      <c r="B744" s="19" t="s">
        <v>2431</v>
      </c>
      <c r="C744" s="69" t="e">
        <f t="shared" ref="C744:L744" si="5132" xml:space="preserve"> (C538-C661-C595)/(C543-C595/C143)</f>
        <v>#VALUE!</v>
      </c>
      <c r="D744" s="69">
        <f t="shared" si="5132"/>
        <v>9.6343950913354934</v>
      </c>
      <c r="E744" s="69">
        <f t="shared" si="5132"/>
        <v>10.089877824515497</v>
      </c>
      <c r="F744" s="69">
        <f t="shared" si="5132"/>
        <v>10.647714877816233</v>
      </c>
      <c r="G744" s="69" t="e">
        <f t="shared" si="5132"/>
        <v>#DIV/0!</v>
      </c>
      <c r="H744" s="69">
        <f t="shared" si="5132"/>
        <v>11.447323788064953</v>
      </c>
      <c r="I744" s="69">
        <f t="shared" si="5132"/>
        <v>12.682425913196274</v>
      </c>
      <c r="J744" s="69">
        <f t="shared" si="5132"/>
        <v>8.2796630448710093</v>
      </c>
      <c r="K744" s="69">
        <f t="shared" si="5132"/>
        <v>8.7143825890025948</v>
      </c>
      <c r="L744" s="69">
        <f t="shared" si="5132"/>
        <v>7.3965973023670681</v>
      </c>
      <c r="M744" s="69">
        <f t="shared" ref="M744:AA744" si="5133" xml:space="preserve"> (M538-M661-M595)/(M543-M595/M143)</f>
        <v>9.1358957645308774</v>
      </c>
      <c r="N744" s="69">
        <f t="shared" si="5133"/>
        <v>9.7634457083734016</v>
      </c>
      <c r="O744" s="69">
        <f t="shared" si="5133"/>
        <v>10.91336162721946</v>
      </c>
      <c r="P744" s="69">
        <f t="shared" si="5133"/>
        <v>10.9561502637362</v>
      </c>
      <c r="Q744" s="69">
        <f t="shared" si="5133"/>
        <v>11.344775265684522</v>
      </c>
      <c r="R744" s="69">
        <f t="shared" si="5133"/>
        <v>13.874374026421336</v>
      </c>
      <c r="S744" s="69">
        <f t="shared" si="5133"/>
        <v>14.149735460208959</v>
      </c>
      <c r="T744" s="69">
        <f t="shared" si="5133"/>
        <v>14.800430804490951</v>
      </c>
      <c r="U744" s="69">
        <f t="shared" si="5133"/>
        <v>15.995233125972437</v>
      </c>
      <c r="V744" s="69">
        <f t="shared" si="5133"/>
        <v>15.647472452234938</v>
      </c>
      <c r="W744" s="69">
        <f t="shared" si="5133"/>
        <v>18.656275375885194</v>
      </c>
      <c r="X744" s="69">
        <f t="shared" si="5133"/>
        <v>19.179692242322822</v>
      </c>
      <c r="Y744" s="69">
        <f t="shared" si="5133"/>
        <v>20.510312260139948</v>
      </c>
      <c r="Z744" s="69">
        <f t="shared" si="5133"/>
        <v>20.78052544742631</v>
      </c>
      <c r="AA744" s="69">
        <f t="shared" si="5133"/>
        <v>21.993485339970029</v>
      </c>
      <c r="AB744" s="69">
        <f t="shared" ref="AB744:AK744" si="5134" xml:space="preserve"> (AB538-AB661-AB595)/(AB543-AB595/AB143)</f>
        <v>23.481190814556179</v>
      </c>
      <c r="AC744" s="69">
        <f t="shared" si="5134"/>
        <v>23.706582931680558</v>
      </c>
      <c r="AD744" s="69">
        <f t="shared" si="5134"/>
        <v>25.195923787146501</v>
      </c>
      <c r="AE744" s="69">
        <f t="shared" si="5134"/>
        <v>26.553901472509231</v>
      </c>
      <c r="AF744" s="69">
        <f t="shared" si="5134"/>
        <v>29.320936746037212</v>
      </c>
      <c r="AG744" s="69">
        <f t="shared" si="5134"/>
        <v>29.435289092445352</v>
      </c>
      <c r="AH744" s="69">
        <f t="shared" si="5134"/>
        <v>30.927846602680649</v>
      </c>
      <c r="AI744" s="69">
        <f t="shared" si="5134"/>
        <v>32.39950137552507</v>
      </c>
      <c r="AJ744" s="69">
        <f t="shared" si="5134"/>
        <v>33.383950615971727</v>
      </c>
      <c r="AK744" s="69">
        <f t="shared" si="5134"/>
        <v>34.632498988124496</v>
      </c>
      <c r="AL744" s="69">
        <f t="shared" ref="AL744:AQ744" si="5135" xml:space="preserve"> (AL538-AL661-AL595)/(AL543-AL595/AL143)</f>
        <v>34.43960426344308</v>
      </c>
      <c r="AM744" s="69">
        <f t="shared" si="5135"/>
        <v>35.526556334448109</v>
      </c>
      <c r="AN744" s="69">
        <f t="shared" si="5135"/>
        <v>34.91004004763596</v>
      </c>
      <c r="AO744" s="69">
        <f t="shared" si="5135"/>
        <v>36.063735082797486</v>
      </c>
      <c r="AP744" s="69">
        <f t="shared" si="5135"/>
        <v>36.314128206491368</v>
      </c>
      <c r="AQ744" s="69">
        <f t="shared" si="5135"/>
        <v>37.422964268345787</v>
      </c>
      <c r="AR744" s="69">
        <f t="shared" ref="AR744" si="5136" xml:space="preserve"> (AR538-AR661-AR595)/(AR543-AR595/AR143)</f>
        <v>38.579337450852385</v>
      </c>
      <c r="AS744" s="69">
        <f t="shared" ref="AS744:AT744" si="5137" xml:space="preserve"> (AS538-AS661-AS595)/(AS543-AS595/AS143)</f>
        <v>37.88007241146633</v>
      </c>
      <c r="AT744" s="69">
        <f t="shared" si="5137"/>
        <v>38.008401781329873</v>
      </c>
      <c r="AU744" s="69">
        <f t="shared" ref="AU744:AV744" si="5138" xml:space="preserve"> (AU538-AU661-AU595)/(AU543-AU595/AU143)</f>
        <v>38.23611711556147</v>
      </c>
      <c r="AV744" s="69">
        <f t="shared" si="5138"/>
        <v>37.924981178540953</v>
      </c>
      <c r="AW744" s="69">
        <f t="shared" ref="AW744:AX744" si="5139" xml:space="preserve"> (AW538-AW661-AW595)/(AW543-AW595/AW143)</f>
        <v>38.91076918189296</v>
      </c>
      <c r="AX744" s="69">
        <f t="shared" si="5139"/>
        <v>40.247717142722834</v>
      </c>
      <c r="AY744" s="69">
        <f t="shared" ref="AY744:BE744" si="5140" xml:space="preserve"> (AY538-AY661-AY595)/(AY543-AY595/AY143)</f>
        <v>42.088009492471087</v>
      </c>
      <c r="AZ744" s="70">
        <f t="shared" si="5140"/>
        <v>39.468302853863982</v>
      </c>
      <c r="BA744" s="69">
        <f t="shared" si="5140"/>
        <v>40.598210092673071</v>
      </c>
      <c r="BB744" s="69">
        <f t="shared" si="5140"/>
        <v>41.052069603311047</v>
      </c>
      <c r="BC744" s="69">
        <f t="shared" si="5140"/>
        <v>41.566784945245281</v>
      </c>
      <c r="BD744" s="69">
        <f t="shared" si="5140"/>
        <v>42.096021380981306</v>
      </c>
      <c r="BE744" s="69">
        <f t="shared" si="5140"/>
        <v>42.69146651453292</v>
      </c>
      <c r="BF744" s="69">
        <f t="shared" ref="BF744:BM744" si="5141" xml:space="preserve"> (BF538-BF661-BF595)/(BF543-BF595/BF143)</f>
        <v>43.352611815816587</v>
      </c>
      <c r="BG744" s="69">
        <f t="shared" si="5141"/>
        <v>44.048669804132309</v>
      </c>
      <c r="BH744" s="69">
        <f t="shared" si="5141"/>
        <v>44.720367828351563</v>
      </c>
      <c r="BI744" s="69">
        <f t="shared" si="5141"/>
        <v>45.39394076766888</v>
      </c>
      <c r="BJ744" s="69">
        <f t="shared" si="5141"/>
        <v>46.100863490246986</v>
      </c>
      <c r="BK744" s="69">
        <f t="shared" si="5141"/>
        <v>46.92753291003136</v>
      </c>
      <c r="BL744" s="69">
        <f t="shared" si="5141"/>
        <v>47.705224263658756</v>
      </c>
      <c r="BM744" s="69">
        <f t="shared" si="5141"/>
        <v>48.552650691677854</v>
      </c>
      <c r="BN744" s="69">
        <f t="shared" ref="BN744:BO744" si="5142" xml:space="preserve"> (BN538-BN661-BN595)/(BN543-BN595/BN143)</f>
        <v>49.364600673706562</v>
      </c>
      <c r="BO744" s="69">
        <f t="shared" si="5142"/>
        <v>50.243428539695365</v>
      </c>
      <c r="BP744" s="69">
        <f t="shared" ref="BP744:BQ744" si="5143" xml:space="preserve"> (BP538-BP661-BP595)/(BP543-BP595/BP143)</f>
        <v>51.088215663485578</v>
      </c>
      <c r="BQ744" s="69">
        <f t="shared" si="5143"/>
        <v>51.998926757183703</v>
      </c>
      <c r="BR744" s="69"/>
      <c r="BS744" s="69" t="e">
        <f t="shared" ref="BS744:CB744" si="5144" xml:space="preserve"> (BS538-BS661-BS595)/(BS543-BS595/BS143)</f>
        <v>#DIV/0!</v>
      </c>
      <c r="BT744" s="69">
        <f t="shared" si="5144"/>
        <v>62.666620691241938</v>
      </c>
      <c r="BU744" s="69">
        <f t="shared" si="5144"/>
        <v>-20.244702988187861</v>
      </c>
      <c r="BV744" s="69">
        <f t="shared" si="5144"/>
        <v>-11.671006232210262</v>
      </c>
      <c r="BW744" s="69">
        <f t="shared" si="5144"/>
        <v>-9.6226644257653415</v>
      </c>
      <c r="BX744" s="69">
        <f t="shared" si="5144"/>
        <v>-47.046750575685266</v>
      </c>
      <c r="BY744" s="69">
        <f t="shared" si="5144"/>
        <v>40.459992162298178</v>
      </c>
      <c r="BZ744" s="69">
        <f t="shared" si="5144"/>
        <v>5.2223043236536801</v>
      </c>
      <c r="CA744" s="69">
        <f t="shared" si="5144"/>
        <v>7.5770593097162386</v>
      </c>
      <c r="CB744" s="69">
        <f t="shared" si="5144"/>
        <v>9.8847192996740212</v>
      </c>
      <c r="CC744" s="69">
        <f>E744</f>
        <v>10.089877824515497</v>
      </c>
      <c r="CD744" s="69" t="e">
        <f>G744</f>
        <v>#DIV/0!</v>
      </c>
      <c r="CE744" s="69">
        <f>I744</f>
        <v>12.682425913196274</v>
      </c>
      <c r="CF744" s="69">
        <f>K744</f>
        <v>8.7143825890025948</v>
      </c>
      <c r="CG744" s="69">
        <f>M744</f>
        <v>9.1358957645308774</v>
      </c>
      <c r="CH744" s="69">
        <f>O744</f>
        <v>10.91336162721946</v>
      </c>
      <c r="CI744" s="69">
        <f>Q744</f>
        <v>11.344775265684522</v>
      </c>
      <c r="CJ744" s="69">
        <f>S744</f>
        <v>14.149735460208959</v>
      </c>
      <c r="CK744" s="69">
        <f>U744</f>
        <v>15.995233125972437</v>
      </c>
      <c r="CL744" s="69">
        <f>W744</f>
        <v>18.656275375885194</v>
      </c>
      <c r="CM744" s="69">
        <f>Y744</f>
        <v>20.510312260139948</v>
      </c>
      <c r="CN744" s="69">
        <f>AA744</f>
        <v>21.993485339970029</v>
      </c>
      <c r="CO744" s="69">
        <f>AC744</f>
        <v>23.706582931680558</v>
      </c>
      <c r="CP744" s="69">
        <f>AE744</f>
        <v>26.553901472509231</v>
      </c>
      <c r="CQ744" s="69">
        <f>AG744</f>
        <v>29.435289092445352</v>
      </c>
      <c r="CR744" s="69">
        <f>AI744</f>
        <v>32.39950137552507</v>
      </c>
      <c r="CS744" s="69">
        <f>AK744</f>
        <v>34.632498988124496</v>
      </c>
      <c r="CT744" s="69">
        <f>AM744</f>
        <v>35.526556334448109</v>
      </c>
      <c r="CU744" s="69">
        <f>AO744</f>
        <v>36.063735082797486</v>
      </c>
      <c r="CV744" s="69">
        <f>AQ744</f>
        <v>37.422964268345787</v>
      </c>
      <c r="CW744" s="69">
        <f>AS744</f>
        <v>37.88007241146633</v>
      </c>
      <c r="CX744" s="69">
        <f>AU744</f>
        <v>38.23611711556147</v>
      </c>
      <c r="CY744" s="69">
        <f>AW744</f>
        <v>38.91076918189296</v>
      </c>
      <c r="CZ744" s="70">
        <f>AY744</f>
        <v>42.088009492471087</v>
      </c>
      <c r="DA744" s="69">
        <f>BA744</f>
        <v>40.598210092673071</v>
      </c>
      <c r="DB744" s="69">
        <f>BC744</f>
        <v>41.566784945245281</v>
      </c>
      <c r="DC744" s="69">
        <f>BE744</f>
        <v>42.69146651453292</v>
      </c>
      <c r="DD744" s="69">
        <f>BG744</f>
        <v>44.048669804132309</v>
      </c>
      <c r="DE744" s="69">
        <f>BI744</f>
        <v>45.39394076766888</v>
      </c>
      <c r="DF744" s="69">
        <f>BK744</f>
        <v>46.92753291003136</v>
      </c>
      <c r="DG744" s="69">
        <f>BM744</f>
        <v>48.552650691677854</v>
      </c>
      <c r="DH744" s="69">
        <f>BN744</f>
        <v>49.364600673706562</v>
      </c>
      <c r="DI744" s="69">
        <f>BP744</f>
        <v>51.088215663485578</v>
      </c>
    </row>
    <row r="745" spans="1:113" outlineLevel="2">
      <c r="A745" s="1" t="s">
        <v>964</v>
      </c>
      <c r="B745" s="19" t="s">
        <v>801</v>
      </c>
      <c r="C745" s="69"/>
      <c r="D745" s="69"/>
      <c r="E745" s="69"/>
      <c r="F745" s="69"/>
      <c r="G745" s="69"/>
      <c r="H745" s="69"/>
      <c r="I745" s="69"/>
      <c r="J745" s="69"/>
      <c r="K745" s="69"/>
      <c r="L745" s="69"/>
      <c r="M745" s="69"/>
      <c r="N745" s="69"/>
      <c r="O745" s="69"/>
      <c r="P745" s="69"/>
      <c r="Q745" s="69"/>
      <c r="R745" s="69"/>
      <c r="S745" s="69"/>
      <c r="T745" s="69"/>
      <c r="U745" s="69"/>
      <c r="V745" s="69"/>
      <c r="W745" s="69"/>
      <c r="X745" s="69"/>
      <c r="Y745" s="69"/>
      <c r="Z745" s="69"/>
      <c r="AA745" s="69"/>
      <c r="AB745" s="69"/>
      <c r="AC745" s="69"/>
      <c r="AD745" s="69"/>
      <c r="AE745" s="69"/>
      <c r="AF745" s="69"/>
      <c r="AG745" s="69"/>
      <c r="AH745" s="69"/>
      <c r="AI745" s="69"/>
      <c r="AJ745" s="69"/>
      <c r="AK745" s="69"/>
      <c r="AL745" s="69"/>
      <c r="AM745" s="69"/>
      <c r="AN745" s="69"/>
      <c r="AO745" s="69"/>
      <c r="AP745" s="69"/>
      <c r="AQ745" s="69"/>
      <c r="AR745" s="69"/>
      <c r="AS745" s="69"/>
      <c r="AT745" s="69"/>
      <c r="AU745" s="69"/>
      <c r="AV745" s="69"/>
      <c r="AW745" s="69"/>
      <c r="AX745" s="69"/>
      <c r="AY745" s="69"/>
      <c r="AZ745" s="70"/>
      <c r="BA745" s="69"/>
      <c r="BB745" s="69"/>
      <c r="BC745" s="69"/>
      <c r="BD745" s="69"/>
      <c r="BE745" s="69"/>
      <c r="BF745" s="69"/>
      <c r="BG745" s="69"/>
      <c r="BH745" s="69"/>
      <c r="BI745" s="69"/>
      <c r="BJ745" s="69"/>
      <c r="BK745" s="69"/>
      <c r="BL745" s="69"/>
      <c r="BM745" s="69"/>
      <c r="BN745" s="69"/>
      <c r="BO745" s="69"/>
      <c r="BP745" s="69"/>
      <c r="BQ745" s="69"/>
      <c r="BR745" s="69"/>
      <c r="BS745" s="69"/>
      <c r="BT745" s="69"/>
      <c r="BU745" s="69"/>
      <c r="BV745" s="69"/>
      <c r="BW745" s="69"/>
      <c r="BX745" s="69"/>
      <c r="BY745" s="69"/>
      <c r="BZ745" s="69"/>
      <c r="CA745" s="69"/>
      <c r="CB745" s="69"/>
      <c r="CC745" s="69"/>
      <c r="CD745" s="69"/>
      <c r="CE745" s="69"/>
      <c r="CF745" s="69"/>
      <c r="CG745" s="69"/>
      <c r="CH745" s="69"/>
      <c r="CI745" s="69"/>
      <c r="CJ745" s="69"/>
      <c r="CK745" s="69"/>
      <c r="CL745" s="69"/>
      <c r="CM745" s="69"/>
      <c r="CN745" s="69"/>
      <c r="CO745" s="69"/>
      <c r="CP745" s="69"/>
      <c r="CQ745" s="69"/>
      <c r="CR745" s="69"/>
      <c r="CS745" s="69"/>
      <c r="CT745" s="69"/>
      <c r="CU745" s="69"/>
      <c r="CV745" s="69"/>
      <c r="CW745" s="69"/>
      <c r="CX745" s="69"/>
      <c r="CY745" s="69"/>
      <c r="CZ745" s="70"/>
      <c r="DA745" s="69"/>
      <c r="DB745" s="69"/>
    </row>
    <row r="746" spans="1:113" outlineLevel="2">
      <c r="A746" s="1" t="s">
        <v>34</v>
      </c>
      <c r="B746" s="19" t="s">
        <v>801</v>
      </c>
      <c r="C746" s="69"/>
      <c r="D746" s="69"/>
      <c r="E746" s="69"/>
      <c r="F746" s="69"/>
      <c r="G746" s="69"/>
      <c r="H746" s="69"/>
      <c r="I746" s="69"/>
      <c r="J746" s="69"/>
      <c r="K746" s="69"/>
      <c r="L746" s="69"/>
      <c r="M746" s="69"/>
      <c r="N746" s="69"/>
      <c r="O746" s="69"/>
      <c r="P746" s="69"/>
      <c r="Q746" s="69"/>
      <c r="R746" s="69"/>
      <c r="S746" s="69"/>
      <c r="T746" s="69"/>
      <c r="U746" s="69"/>
      <c r="V746" s="69"/>
      <c r="W746" s="69"/>
      <c r="X746" s="69"/>
      <c r="Y746" s="69"/>
      <c r="Z746" s="69"/>
      <c r="AA746" s="69"/>
      <c r="AB746" s="69"/>
      <c r="AC746" s="69"/>
      <c r="AD746" s="69"/>
      <c r="AE746" s="69"/>
      <c r="AF746" s="69"/>
      <c r="AG746" s="69"/>
      <c r="AH746" s="69"/>
      <c r="AI746" s="69"/>
      <c r="AJ746" s="69"/>
      <c r="AK746" s="69"/>
      <c r="AL746" s="69"/>
      <c r="AM746" s="69"/>
      <c r="AN746" s="69"/>
      <c r="AO746" s="69"/>
      <c r="AP746" s="69"/>
      <c r="AQ746" s="69"/>
      <c r="AR746" s="69"/>
      <c r="AS746" s="69"/>
      <c r="AT746" s="69"/>
      <c r="AU746" s="69"/>
      <c r="AV746" s="69"/>
      <c r="AW746" s="69"/>
      <c r="AX746" s="69"/>
      <c r="AY746" s="69"/>
      <c r="AZ746" s="70"/>
      <c r="BA746" s="69"/>
      <c r="BB746" s="69"/>
      <c r="BC746" s="69"/>
      <c r="BD746" s="69"/>
      <c r="BE746" s="69"/>
      <c r="BF746" s="69"/>
      <c r="BG746" s="69"/>
      <c r="BH746" s="69"/>
      <c r="BI746" s="69"/>
      <c r="BJ746" s="69"/>
      <c r="BK746" s="69"/>
      <c r="BL746" s="69"/>
      <c r="BM746" s="69"/>
      <c r="BN746" s="69"/>
      <c r="BO746" s="69"/>
      <c r="BP746" s="69"/>
      <c r="BQ746" s="69"/>
      <c r="BR746" s="69"/>
      <c r="BS746" s="69"/>
      <c r="BT746" s="69"/>
      <c r="BU746" s="69"/>
      <c r="BV746" s="69"/>
      <c r="BW746" s="69"/>
      <c r="BX746" s="69"/>
      <c r="BY746" s="69"/>
      <c r="BZ746" s="69"/>
      <c r="CA746" s="69"/>
      <c r="CB746" s="69"/>
      <c r="CC746" s="69"/>
      <c r="CD746" s="69"/>
      <c r="CE746" s="69"/>
      <c r="CF746" s="69"/>
      <c r="CG746" s="69"/>
      <c r="CH746" s="69"/>
      <c r="CI746" s="69"/>
      <c r="CJ746" s="69"/>
      <c r="CK746" s="69"/>
      <c r="CL746" s="69"/>
      <c r="CM746" s="69"/>
      <c r="CN746" s="69"/>
      <c r="CO746" s="69"/>
      <c r="CP746" s="69"/>
      <c r="CQ746" s="69"/>
      <c r="CR746" s="69"/>
      <c r="CS746" s="69"/>
      <c r="CT746" s="69"/>
      <c r="CU746" s="69"/>
      <c r="CV746" s="69"/>
      <c r="CW746" s="69"/>
      <c r="CX746" s="69"/>
      <c r="CY746" s="69"/>
      <c r="CZ746" s="70"/>
      <c r="DA746" s="69"/>
      <c r="DB746" s="69"/>
    </row>
    <row r="747" spans="1:113" outlineLevel="2">
      <c r="A747" s="1" t="s">
        <v>35</v>
      </c>
      <c r="B747" s="19" t="s">
        <v>801</v>
      </c>
      <c r="C747" s="69"/>
      <c r="D747" s="69"/>
      <c r="E747" s="69"/>
      <c r="F747" s="69"/>
      <c r="G747" s="69"/>
      <c r="H747" s="69"/>
      <c r="I747" s="69"/>
      <c r="J747" s="69"/>
      <c r="K747" s="69"/>
      <c r="L747" s="69"/>
      <c r="M747" s="69"/>
      <c r="N747" s="69"/>
      <c r="O747" s="69"/>
      <c r="P747" s="69"/>
      <c r="Q747" s="69"/>
      <c r="R747" s="69"/>
      <c r="S747" s="69"/>
      <c r="T747" s="69"/>
      <c r="U747" s="69"/>
      <c r="V747" s="69"/>
      <c r="W747" s="69"/>
      <c r="X747" s="69"/>
      <c r="Y747" s="69"/>
      <c r="Z747" s="69"/>
      <c r="AA747" s="69"/>
      <c r="AB747" s="69"/>
      <c r="AC747" s="69"/>
      <c r="AD747" s="69"/>
      <c r="AE747" s="69"/>
      <c r="AF747" s="69"/>
      <c r="AG747" s="69"/>
      <c r="AH747" s="69"/>
      <c r="AI747" s="69"/>
      <c r="AJ747" s="69"/>
      <c r="AK747" s="69"/>
      <c r="AL747" s="69"/>
      <c r="AM747" s="69"/>
      <c r="AN747" s="69"/>
      <c r="AO747" s="69"/>
      <c r="AP747" s="69"/>
      <c r="AQ747" s="69"/>
      <c r="AR747" s="69"/>
      <c r="AS747" s="69"/>
      <c r="AT747" s="69"/>
      <c r="AU747" s="69"/>
      <c r="AV747" s="69"/>
      <c r="AW747" s="69"/>
      <c r="AX747" s="69"/>
      <c r="AY747" s="69"/>
      <c r="AZ747" s="70"/>
      <c r="BA747" s="69"/>
      <c r="BB747" s="69"/>
      <c r="BC747" s="69"/>
      <c r="BD747" s="69"/>
      <c r="BE747" s="69"/>
      <c r="BF747" s="69"/>
      <c r="BG747" s="69"/>
      <c r="BH747" s="69"/>
      <c r="BI747" s="69"/>
      <c r="BJ747" s="69"/>
      <c r="BK747" s="69"/>
      <c r="BL747" s="69"/>
      <c r="BM747" s="69"/>
      <c r="BN747" s="69"/>
      <c r="BO747" s="69"/>
      <c r="BP747" s="69"/>
      <c r="BQ747" s="69"/>
      <c r="BR747" s="69"/>
      <c r="BS747" s="69"/>
      <c r="BT747" s="69"/>
      <c r="BU747" s="69"/>
      <c r="BV747" s="69"/>
      <c r="BW747" s="69"/>
      <c r="BX747" s="69"/>
      <c r="BY747" s="69"/>
      <c r="BZ747" s="69"/>
      <c r="CA747" s="69"/>
      <c r="CB747" s="69"/>
      <c r="CC747" s="69"/>
      <c r="CD747" s="69"/>
      <c r="CE747" s="69"/>
      <c r="CF747" s="69"/>
      <c r="CG747" s="69"/>
      <c r="CH747" s="69"/>
      <c r="CI747" s="69"/>
      <c r="CJ747" s="69"/>
      <c r="CK747" s="69"/>
      <c r="CL747" s="69"/>
      <c r="CM747" s="69"/>
      <c r="CN747" s="69"/>
      <c r="CO747" s="69"/>
      <c r="CP747" s="69"/>
      <c r="CQ747" s="69"/>
      <c r="CR747" s="69"/>
      <c r="CS747" s="69"/>
      <c r="CT747" s="69"/>
      <c r="CU747" s="69"/>
      <c r="CV747" s="69"/>
      <c r="CW747" s="69"/>
      <c r="CX747" s="69"/>
      <c r="CY747" s="69"/>
      <c r="CZ747" s="70"/>
      <c r="DA747" s="69"/>
      <c r="DB747" s="69"/>
    </row>
    <row r="748" spans="1:113" outlineLevel="2">
      <c r="A748" s="1" t="s">
        <v>36</v>
      </c>
      <c r="B748" s="19" t="s">
        <v>801</v>
      </c>
      <c r="C748" s="69"/>
      <c r="D748" s="69"/>
      <c r="E748" s="69"/>
      <c r="F748" s="69"/>
      <c r="G748" s="69"/>
      <c r="H748" s="69"/>
      <c r="I748" s="69"/>
      <c r="J748" s="69"/>
      <c r="K748" s="69"/>
      <c r="L748" s="69"/>
      <c r="M748" s="69"/>
      <c r="N748" s="69"/>
      <c r="O748" s="69"/>
      <c r="P748" s="69"/>
      <c r="Q748" s="69"/>
      <c r="R748" s="69"/>
      <c r="S748" s="69"/>
      <c r="T748" s="69"/>
      <c r="U748" s="69"/>
      <c r="V748" s="69"/>
      <c r="W748" s="69"/>
      <c r="X748" s="69"/>
      <c r="Y748" s="69"/>
      <c r="Z748" s="69"/>
      <c r="AA748" s="69"/>
      <c r="AB748" s="69"/>
      <c r="AC748" s="69"/>
      <c r="AD748" s="69"/>
      <c r="AE748" s="69"/>
      <c r="AF748" s="69"/>
      <c r="AG748" s="69"/>
      <c r="AH748" s="69"/>
      <c r="AI748" s="69"/>
      <c r="AJ748" s="69"/>
      <c r="AK748" s="69"/>
      <c r="AL748" s="69"/>
      <c r="AM748" s="69"/>
      <c r="AN748" s="69"/>
      <c r="AO748" s="69"/>
      <c r="AP748" s="69"/>
      <c r="AQ748" s="69"/>
      <c r="AR748" s="69"/>
      <c r="AS748" s="69"/>
      <c r="AT748" s="69"/>
      <c r="AU748" s="69"/>
      <c r="AV748" s="69"/>
      <c r="AW748" s="69"/>
      <c r="AX748" s="69"/>
      <c r="AY748" s="69"/>
      <c r="AZ748" s="70"/>
      <c r="BA748" s="69"/>
      <c r="BB748" s="69"/>
      <c r="BC748" s="69"/>
      <c r="BD748" s="69"/>
      <c r="BE748" s="69"/>
      <c r="BF748" s="69"/>
      <c r="BG748" s="69"/>
      <c r="BH748" s="69"/>
      <c r="BI748" s="69"/>
      <c r="BJ748" s="69"/>
      <c r="BK748" s="69"/>
      <c r="BL748" s="69"/>
      <c r="BM748" s="69"/>
      <c r="BN748" s="69"/>
      <c r="BO748" s="69"/>
      <c r="BP748" s="69"/>
      <c r="BQ748" s="69"/>
      <c r="BR748" s="69"/>
      <c r="BS748" s="69"/>
      <c r="BT748" s="69"/>
      <c r="BU748" s="69"/>
      <c r="BV748" s="69"/>
      <c r="BW748" s="69"/>
      <c r="BX748" s="69"/>
      <c r="BY748" s="69"/>
      <c r="BZ748" s="69"/>
      <c r="CA748" s="69"/>
      <c r="CB748" s="69"/>
      <c r="CC748" s="69"/>
      <c r="CD748" s="69"/>
      <c r="CE748" s="69"/>
      <c r="CF748" s="69"/>
      <c r="CG748" s="69"/>
      <c r="CH748" s="69"/>
      <c r="CI748" s="69"/>
      <c r="CJ748" s="69"/>
      <c r="CK748" s="69"/>
      <c r="CL748" s="69"/>
      <c r="CM748" s="69"/>
      <c r="CN748" s="69"/>
      <c r="CO748" s="69"/>
      <c r="CP748" s="69"/>
      <c r="CQ748" s="69"/>
      <c r="CR748" s="69"/>
      <c r="CS748" s="69"/>
      <c r="CT748" s="69"/>
      <c r="CU748" s="69"/>
      <c r="CV748" s="69"/>
      <c r="CW748" s="69"/>
      <c r="CX748" s="69"/>
      <c r="CY748" s="69"/>
      <c r="CZ748" s="70"/>
      <c r="DA748" s="69"/>
      <c r="DB748" s="69"/>
    </row>
    <row r="749" spans="1:113" outlineLevel="2">
      <c r="A749" s="1" t="s">
        <v>37</v>
      </c>
      <c r="B749" s="19" t="s">
        <v>801</v>
      </c>
      <c r="C749" s="69"/>
      <c r="D749" s="69"/>
      <c r="E749" s="69"/>
      <c r="F749" s="69"/>
      <c r="G749" s="69"/>
      <c r="H749" s="69"/>
      <c r="I749" s="69"/>
      <c r="J749" s="69"/>
      <c r="K749" s="69"/>
      <c r="L749" s="69"/>
      <c r="M749" s="69"/>
      <c r="N749" s="69"/>
      <c r="O749" s="69"/>
      <c r="P749" s="69"/>
      <c r="Q749" s="69"/>
      <c r="R749" s="69"/>
      <c r="S749" s="69"/>
      <c r="T749" s="69"/>
      <c r="U749" s="69"/>
      <c r="V749" s="69"/>
      <c r="W749" s="69"/>
      <c r="X749" s="69"/>
      <c r="Y749" s="69"/>
      <c r="Z749" s="69"/>
      <c r="AA749" s="69"/>
      <c r="AB749" s="69"/>
      <c r="AC749" s="69"/>
      <c r="AD749" s="69"/>
      <c r="AE749" s="69"/>
      <c r="AF749" s="69"/>
      <c r="AG749" s="69"/>
      <c r="AH749" s="69"/>
      <c r="AI749" s="69"/>
      <c r="AJ749" s="69"/>
      <c r="AK749" s="69"/>
      <c r="AL749" s="69"/>
      <c r="AM749" s="69"/>
      <c r="AN749" s="69"/>
      <c r="AO749" s="69"/>
      <c r="AP749" s="69"/>
      <c r="AQ749" s="69"/>
      <c r="AR749" s="69"/>
      <c r="AS749" s="69"/>
      <c r="AT749" s="69"/>
      <c r="AU749" s="69"/>
      <c r="AV749" s="69"/>
      <c r="AW749" s="69"/>
      <c r="AX749" s="69"/>
      <c r="AY749" s="69"/>
      <c r="AZ749" s="70"/>
      <c r="BA749" s="69"/>
      <c r="BB749" s="69"/>
      <c r="BC749" s="69"/>
      <c r="BD749" s="69"/>
      <c r="BE749" s="69"/>
      <c r="BF749" s="69"/>
      <c r="BG749" s="69"/>
      <c r="BH749" s="69"/>
      <c r="BI749" s="69"/>
      <c r="BJ749" s="69"/>
      <c r="BK749" s="69"/>
      <c r="BL749" s="69"/>
      <c r="BM749" s="69"/>
      <c r="BN749" s="69"/>
      <c r="BO749" s="69"/>
      <c r="BP749" s="69"/>
      <c r="BQ749" s="69"/>
      <c r="BR749" s="69"/>
      <c r="BS749" s="69"/>
      <c r="BT749" s="69"/>
      <c r="BU749" s="69"/>
      <c r="BV749" s="69"/>
      <c r="BW749" s="69"/>
      <c r="BX749" s="69"/>
      <c r="BY749" s="69"/>
      <c r="BZ749" s="69"/>
      <c r="CA749" s="69"/>
      <c r="CB749" s="69"/>
      <c r="CC749" s="69"/>
      <c r="CD749" s="69"/>
      <c r="CE749" s="69"/>
      <c r="CF749" s="69"/>
      <c r="CG749" s="69"/>
      <c r="CH749" s="69"/>
      <c r="CI749" s="69"/>
      <c r="CJ749" s="69"/>
      <c r="CK749" s="69"/>
      <c r="CL749" s="69"/>
      <c r="CM749" s="69"/>
      <c r="CN749" s="69"/>
      <c r="CO749" s="69"/>
      <c r="CP749" s="69"/>
      <c r="CQ749" s="69"/>
      <c r="CR749" s="69"/>
      <c r="CS749" s="69"/>
      <c r="CT749" s="69"/>
      <c r="CU749" s="69"/>
      <c r="CV749" s="69"/>
      <c r="CW749" s="69"/>
      <c r="CX749" s="69"/>
      <c r="CY749" s="69"/>
      <c r="CZ749" s="70"/>
      <c r="DA749" s="69"/>
      <c r="DB749" s="69"/>
    </row>
    <row r="750" spans="1:113" outlineLevel="2">
      <c r="A750" s="1" t="s">
        <v>12</v>
      </c>
      <c r="B750" s="19" t="s">
        <v>801</v>
      </c>
      <c r="C750" s="69"/>
      <c r="D750" s="69"/>
      <c r="E750" s="69"/>
      <c r="F750" s="69"/>
      <c r="G750" s="69"/>
      <c r="H750" s="69"/>
      <c r="I750" s="69"/>
      <c r="J750" s="69"/>
      <c r="K750" s="69"/>
      <c r="L750" s="69"/>
      <c r="M750" s="69"/>
      <c r="N750" s="69"/>
      <c r="O750" s="69"/>
      <c r="P750" s="69"/>
      <c r="Q750" s="69"/>
      <c r="R750" s="69"/>
      <c r="S750" s="69"/>
      <c r="T750" s="69"/>
      <c r="U750" s="69"/>
      <c r="V750" s="69"/>
      <c r="W750" s="69"/>
      <c r="X750" s="69"/>
      <c r="Y750" s="69"/>
      <c r="Z750" s="69"/>
      <c r="AA750" s="69"/>
      <c r="AB750" s="69"/>
      <c r="AC750" s="69"/>
      <c r="AD750" s="69"/>
      <c r="AE750" s="69"/>
      <c r="AF750" s="69"/>
      <c r="AG750" s="69"/>
      <c r="AH750" s="69"/>
      <c r="AI750" s="69"/>
      <c r="AJ750" s="69"/>
      <c r="AK750" s="69"/>
      <c r="AL750" s="69"/>
      <c r="AM750" s="69"/>
      <c r="AN750" s="69"/>
      <c r="AO750" s="69"/>
      <c r="AP750" s="69"/>
      <c r="AQ750" s="69"/>
      <c r="AR750" s="69"/>
      <c r="AS750" s="69"/>
      <c r="AT750" s="69"/>
      <c r="AU750" s="69"/>
      <c r="AV750" s="69"/>
      <c r="AW750" s="69"/>
      <c r="AX750" s="69"/>
      <c r="AY750" s="69"/>
      <c r="AZ750" s="70"/>
      <c r="BA750" s="69"/>
      <c r="BB750" s="69"/>
      <c r="BC750" s="69"/>
      <c r="BD750" s="69"/>
      <c r="BE750" s="69"/>
      <c r="BF750" s="69"/>
      <c r="BG750" s="69"/>
      <c r="BH750" s="69"/>
      <c r="BI750" s="69"/>
      <c r="BJ750" s="69"/>
      <c r="BK750" s="69"/>
      <c r="BL750" s="69"/>
      <c r="BM750" s="69"/>
      <c r="BN750" s="69"/>
      <c r="BO750" s="69"/>
      <c r="BP750" s="69"/>
      <c r="BQ750" s="69"/>
      <c r="BR750" s="69"/>
      <c r="BS750" s="69"/>
      <c r="BT750" s="69"/>
      <c r="BU750" s="69"/>
      <c r="BV750" s="69"/>
      <c r="BW750" s="69"/>
      <c r="BX750" s="69"/>
      <c r="BY750" s="69"/>
      <c r="BZ750" s="69"/>
      <c r="CA750" s="69"/>
      <c r="CB750" s="69"/>
      <c r="CC750" s="69"/>
      <c r="CD750" s="69"/>
      <c r="CE750" s="69"/>
      <c r="CF750" s="69"/>
      <c r="CG750" s="69"/>
      <c r="CH750" s="69"/>
      <c r="CI750" s="69"/>
      <c r="CJ750" s="69"/>
      <c r="CK750" s="69"/>
      <c r="CL750" s="69"/>
      <c r="CM750" s="69"/>
      <c r="CN750" s="69"/>
      <c r="CO750" s="69"/>
      <c r="CP750" s="69"/>
      <c r="CQ750" s="69"/>
      <c r="CR750" s="69"/>
      <c r="CS750" s="69"/>
      <c r="CT750" s="69"/>
      <c r="CU750" s="69"/>
      <c r="CV750" s="69"/>
      <c r="CW750" s="69"/>
      <c r="CX750" s="69"/>
      <c r="CY750" s="69"/>
      <c r="CZ750" s="70"/>
      <c r="DA750" s="69"/>
      <c r="DB750" s="69"/>
    </row>
    <row r="751" spans="1:113" outlineLevel="2">
      <c r="A751" s="1" t="s">
        <v>13</v>
      </c>
      <c r="B751" s="19" t="s">
        <v>801</v>
      </c>
      <c r="C751" s="69"/>
      <c r="D751" s="69"/>
      <c r="E751" s="69"/>
      <c r="F751" s="69"/>
      <c r="G751" s="69"/>
      <c r="H751" s="69"/>
      <c r="I751" s="69"/>
      <c r="J751" s="69"/>
      <c r="K751" s="69"/>
      <c r="L751" s="69"/>
      <c r="M751" s="69"/>
      <c r="N751" s="69"/>
      <c r="O751" s="69"/>
      <c r="P751" s="69"/>
      <c r="Q751" s="69"/>
      <c r="R751" s="69"/>
      <c r="S751" s="69"/>
      <c r="T751" s="69"/>
      <c r="U751" s="69"/>
      <c r="V751" s="69"/>
      <c r="W751" s="69"/>
      <c r="X751" s="69"/>
      <c r="Y751" s="69"/>
      <c r="Z751" s="69"/>
      <c r="AA751" s="69"/>
      <c r="AB751" s="69"/>
      <c r="AC751" s="69"/>
      <c r="AD751" s="69"/>
      <c r="AE751" s="69"/>
      <c r="AF751" s="69"/>
      <c r="AG751" s="69"/>
      <c r="AH751" s="69"/>
      <c r="AI751" s="69"/>
      <c r="AJ751" s="69"/>
      <c r="AK751" s="69"/>
      <c r="AL751" s="69"/>
      <c r="AM751" s="69"/>
      <c r="AN751" s="69"/>
      <c r="AO751" s="69"/>
      <c r="AP751" s="69"/>
      <c r="AQ751" s="69"/>
      <c r="AR751" s="69"/>
      <c r="AS751" s="69"/>
      <c r="AT751" s="69"/>
      <c r="AU751" s="69"/>
      <c r="AV751" s="69"/>
      <c r="AW751" s="69"/>
      <c r="AX751" s="69"/>
      <c r="AY751" s="69"/>
      <c r="AZ751" s="70"/>
      <c r="BA751" s="69"/>
      <c r="BB751" s="69"/>
      <c r="BC751" s="69"/>
      <c r="BD751" s="69"/>
      <c r="BE751" s="69"/>
      <c r="BF751" s="69"/>
      <c r="BG751" s="69"/>
      <c r="BH751" s="69"/>
      <c r="BI751" s="69"/>
      <c r="BJ751" s="69"/>
      <c r="BK751" s="69"/>
      <c r="BL751" s="69"/>
      <c r="BM751" s="69"/>
      <c r="BN751" s="69"/>
      <c r="BO751" s="69"/>
      <c r="BP751" s="69"/>
      <c r="BQ751" s="69"/>
      <c r="BR751" s="69"/>
      <c r="BS751" s="69"/>
      <c r="BT751" s="69"/>
      <c r="BU751" s="69"/>
      <c r="BV751" s="69"/>
      <c r="BW751" s="69"/>
      <c r="BX751" s="69"/>
      <c r="BY751" s="69"/>
      <c r="BZ751" s="69"/>
      <c r="CA751" s="69"/>
      <c r="CB751" s="69"/>
      <c r="CC751" s="69"/>
      <c r="CD751" s="69"/>
      <c r="CE751" s="69"/>
      <c r="CF751" s="69"/>
      <c r="CG751" s="69"/>
      <c r="CH751" s="69"/>
      <c r="CI751" s="69"/>
      <c r="CJ751" s="69"/>
      <c r="CK751" s="69"/>
      <c r="CL751" s="69"/>
      <c r="CM751" s="69"/>
      <c r="CN751" s="69"/>
      <c r="CO751" s="69"/>
      <c r="CP751" s="69"/>
      <c r="CQ751" s="69"/>
      <c r="CR751" s="69"/>
      <c r="CS751" s="69"/>
      <c r="CT751" s="69"/>
      <c r="CU751" s="69"/>
      <c r="CV751" s="69"/>
      <c r="CW751" s="69"/>
      <c r="CX751" s="69"/>
      <c r="CY751" s="69"/>
      <c r="CZ751" s="70"/>
      <c r="DA751" s="69"/>
      <c r="DB751" s="69"/>
    </row>
    <row r="752" spans="1:113" outlineLevel="2">
      <c r="A752" s="1" t="s">
        <v>14</v>
      </c>
      <c r="B752" s="19" t="s">
        <v>801</v>
      </c>
      <c r="C752" s="69"/>
      <c r="D752" s="69"/>
      <c r="E752" s="69"/>
      <c r="F752" s="69"/>
      <c r="G752" s="69"/>
      <c r="H752" s="69"/>
      <c r="I752" s="69"/>
      <c r="J752" s="69"/>
      <c r="K752" s="69"/>
      <c r="L752" s="69"/>
      <c r="M752" s="69"/>
      <c r="N752" s="69"/>
      <c r="O752" s="69"/>
      <c r="P752" s="69"/>
      <c r="Q752" s="69"/>
      <c r="R752" s="69"/>
      <c r="S752" s="69"/>
      <c r="T752" s="69"/>
      <c r="U752" s="69"/>
      <c r="V752" s="69"/>
      <c r="W752" s="69"/>
      <c r="X752" s="69"/>
      <c r="Y752" s="69"/>
      <c r="Z752" s="69"/>
      <c r="AA752" s="69"/>
      <c r="AB752" s="69"/>
      <c r="AC752" s="69"/>
      <c r="AD752" s="69"/>
      <c r="AE752" s="69"/>
      <c r="AF752" s="69"/>
      <c r="AG752" s="69"/>
      <c r="AH752" s="69"/>
      <c r="AI752" s="69"/>
      <c r="AJ752" s="69"/>
      <c r="AK752" s="69"/>
      <c r="AL752" s="69"/>
      <c r="AM752" s="69"/>
      <c r="AN752" s="69"/>
      <c r="AO752" s="69"/>
      <c r="AP752" s="69"/>
      <c r="AQ752" s="69"/>
      <c r="AR752" s="69"/>
      <c r="AS752" s="69"/>
      <c r="AT752" s="69"/>
      <c r="AU752" s="69"/>
      <c r="AV752" s="69"/>
      <c r="AW752" s="69"/>
      <c r="AX752" s="69"/>
      <c r="AY752" s="69"/>
      <c r="AZ752" s="70"/>
      <c r="BA752" s="69"/>
      <c r="BB752" s="69"/>
      <c r="BC752" s="69"/>
      <c r="BD752" s="69"/>
      <c r="BE752" s="69"/>
      <c r="BF752" s="69"/>
      <c r="BG752" s="69"/>
      <c r="BH752" s="69"/>
      <c r="BI752" s="69"/>
      <c r="BJ752" s="69"/>
      <c r="BK752" s="69"/>
      <c r="BL752" s="69"/>
      <c r="BM752" s="69"/>
      <c r="BN752" s="69"/>
      <c r="BO752" s="69"/>
      <c r="BP752" s="69"/>
      <c r="BQ752" s="69"/>
      <c r="BR752" s="69"/>
      <c r="BS752" s="69"/>
      <c r="BT752" s="69"/>
      <c r="BU752" s="69"/>
      <c r="BV752" s="69"/>
      <c r="BW752" s="69"/>
      <c r="BX752" s="69"/>
      <c r="BY752" s="69"/>
      <c r="BZ752" s="69"/>
      <c r="CA752" s="69"/>
      <c r="CB752" s="69"/>
      <c r="CC752" s="69"/>
      <c r="CD752" s="69"/>
      <c r="CE752" s="69"/>
      <c r="CF752" s="69"/>
      <c r="CG752" s="69"/>
      <c r="CH752" s="69"/>
      <c r="CI752" s="69"/>
      <c r="CJ752" s="69"/>
      <c r="CK752" s="69"/>
      <c r="CL752" s="69"/>
      <c r="CM752" s="69"/>
      <c r="CN752" s="69"/>
      <c r="CO752" s="69"/>
      <c r="CP752" s="69"/>
      <c r="CQ752" s="69"/>
      <c r="CR752" s="69"/>
      <c r="CS752" s="69"/>
      <c r="CT752" s="69"/>
      <c r="CU752" s="69"/>
      <c r="CV752" s="69"/>
      <c r="CW752" s="69"/>
      <c r="CX752" s="69"/>
      <c r="CY752" s="69"/>
      <c r="CZ752" s="70"/>
      <c r="DA752" s="69"/>
      <c r="DB752" s="69"/>
    </row>
    <row r="753" spans="1:113" outlineLevel="2">
      <c r="A753" s="1" t="s">
        <v>15</v>
      </c>
      <c r="B753" s="19" t="s">
        <v>801</v>
      </c>
      <c r="C753" s="69"/>
      <c r="D753" s="69"/>
      <c r="E753" s="69"/>
      <c r="F753" s="69"/>
      <c r="G753" s="69"/>
      <c r="H753" s="69"/>
      <c r="I753" s="69"/>
      <c r="J753" s="69"/>
      <c r="K753" s="69"/>
      <c r="L753" s="69"/>
      <c r="M753" s="69"/>
      <c r="N753" s="69"/>
      <c r="O753" s="69"/>
      <c r="P753" s="69"/>
      <c r="Q753" s="69"/>
      <c r="R753" s="69"/>
      <c r="S753" s="69"/>
      <c r="T753" s="69"/>
      <c r="U753" s="69"/>
      <c r="V753" s="69"/>
      <c r="W753" s="69"/>
      <c r="X753" s="69"/>
      <c r="Y753" s="69"/>
      <c r="Z753" s="69"/>
      <c r="AA753" s="69"/>
      <c r="AB753" s="69"/>
      <c r="AC753" s="69"/>
      <c r="AD753" s="69"/>
      <c r="AE753" s="69"/>
      <c r="AF753" s="69"/>
      <c r="AG753" s="69"/>
      <c r="AH753" s="69"/>
      <c r="AI753" s="69"/>
      <c r="AJ753" s="69"/>
      <c r="AK753" s="69"/>
      <c r="AL753" s="69"/>
      <c r="AM753" s="69"/>
      <c r="AN753" s="69"/>
      <c r="AO753" s="69"/>
      <c r="AP753" s="69"/>
      <c r="AQ753" s="69"/>
      <c r="AR753" s="69"/>
      <c r="AS753" s="69"/>
      <c r="AT753" s="69"/>
      <c r="AU753" s="69"/>
      <c r="AV753" s="69"/>
      <c r="AW753" s="69"/>
      <c r="AX753" s="69"/>
      <c r="AY753" s="69"/>
      <c r="AZ753" s="70"/>
      <c r="BA753" s="69"/>
      <c r="BB753" s="69"/>
      <c r="BC753" s="69"/>
      <c r="BD753" s="69"/>
      <c r="BE753" s="69"/>
      <c r="BF753" s="69"/>
      <c r="BG753" s="69"/>
      <c r="BH753" s="69"/>
      <c r="BI753" s="69"/>
      <c r="BJ753" s="69"/>
      <c r="BK753" s="69"/>
      <c r="BL753" s="69"/>
      <c r="BM753" s="69"/>
      <c r="BN753" s="69"/>
      <c r="BO753" s="69"/>
      <c r="BP753" s="69"/>
      <c r="BQ753" s="69"/>
      <c r="BR753" s="69"/>
      <c r="BS753" s="69"/>
      <c r="BT753" s="69"/>
      <c r="BU753" s="69"/>
      <c r="BV753" s="69"/>
      <c r="BW753" s="69"/>
      <c r="BX753" s="69"/>
      <c r="BY753" s="69"/>
      <c r="BZ753" s="69"/>
      <c r="CA753" s="69"/>
      <c r="CB753" s="69"/>
      <c r="CC753" s="69"/>
      <c r="CD753" s="69"/>
      <c r="CE753" s="69"/>
      <c r="CF753" s="69"/>
      <c r="CG753" s="69"/>
      <c r="CH753" s="69"/>
      <c r="CI753" s="69"/>
      <c r="CJ753" s="69"/>
      <c r="CK753" s="69"/>
      <c r="CL753" s="69"/>
      <c r="CM753" s="69"/>
      <c r="CN753" s="69"/>
      <c r="CO753" s="69"/>
      <c r="CP753" s="69"/>
      <c r="CQ753" s="69"/>
      <c r="CR753" s="69"/>
      <c r="CS753" s="69"/>
      <c r="CT753" s="69"/>
      <c r="CU753" s="69"/>
      <c r="CV753" s="69"/>
      <c r="CW753" s="69"/>
      <c r="CX753" s="69"/>
      <c r="CY753" s="69"/>
      <c r="CZ753" s="70"/>
      <c r="DA753" s="69"/>
      <c r="DB753" s="69"/>
    </row>
    <row r="754" spans="1:113" outlineLevel="2">
      <c r="A754" s="1" t="s">
        <v>16</v>
      </c>
      <c r="B754" s="19" t="s">
        <v>801</v>
      </c>
      <c r="C754" s="69"/>
      <c r="D754" s="69"/>
      <c r="E754" s="69"/>
      <c r="F754" s="69"/>
      <c r="G754" s="69"/>
      <c r="H754" s="69"/>
      <c r="I754" s="69"/>
      <c r="J754" s="69"/>
      <c r="K754" s="69"/>
      <c r="L754" s="69"/>
      <c r="M754" s="69"/>
      <c r="N754" s="69"/>
      <c r="O754" s="69"/>
      <c r="P754" s="69"/>
      <c r="Q754" s="69"/>
      <c r="R754" s="69"/>
      <c r="S754" s="69"/>
      <c r="T754" s="69"/>
      <c r="U754" s="69"/>
      <c r="V754" s="69"/>
      <c r="W754" s="69"/>
      <c r="X754" s="69"/>
      <c r="Y754" s="69"/>
      <c r="Z754" s="69"/>
      <c r="AA754" s="69"/>
      <c r="AB754" s="69"/>
      <c r="AC754" s="69"/>
      <c r="AD754" s="69"/>
      <c r="AE754" s="69"/>
      <c r="AF754" s="69"/>
      <c r="AG754" s="69"/>
      <c r="AH754" s="69"/>
      <c r="AI754" s="69"/>
      <c r="AJ754" s="69"/>
      <c r="AK754" s="69"/>
      <c r="AL754" s="69"/>
      <c r="AM754" s="69"/>
      <c r="AN754" s="69"/>
      <c r="AO754" s="69"/>
      <c r="AP754" s="69"/>
      <c r="AQ754" s="69"/>
      <c r="AR754" s="69"/>
      <c r="AS754" s="69"/>
      <c r="AT754" s="69"/>
      <c r="AU754" s="69"/>
      <c r="AV754" s="69"/>
      <c r="AW754" s="69"/>
      <c r="AX754" s="69"/>
      <c r="AY754" s="69"/>
      <c r="AZ754" s="70"/>
      <c r="BA754" s="69"/>
      <c r="BB754" s="69"/>
      <c r="BC754" s="69"/>
      <c r="BD754" s="69"/>
      <c r="BE754" s="69"/>
      <c r="BF754" s="69"/>
      <c r="BG754" s="69"/>
      <c r="BH754" s="69"/>
      <c r="BI754" s="69"/>
      <c r="BJ754" s="69"/>
      <c r="BK754" s="69"/>
      <c r="BL754" s="69"/>
      <c r="BM754" s="69"/>
      <c r="BN754" s="69"/>
      <c r="BO754" s="69"/>
      <c r="BP754" s="69"/>
      <c r="BQ754" s="69"/>
      <c r="BR754" s="69"/>
      <c r="BS754" s="69"/>
      <c r="BT754" s="69"/>
      <c r="BU754" s="69"/>
      <c r="BV754" s="69"/>
      <c r="BW754" s="69"/>
      <c r="BX754" s="69"/>
      <c r="BY754" s="69"/>
      <c r="BZ754" s="69"/>
      <c r="CA754" s="69"/>
      <c r="CB754" s="69"/>
      <c r="CC754" s="69"/>
      <c r="CD754" s="69"/>
      <c r="CE754" s="69"/>
      <c r="CF754" s="69"/>
      <c r="CG754" s="69"/>
      <c r="CH754" s="69"/>
      <c r="CI754" s="69"/>
      <c r="CJ754" s="69"/>
      <c r="CK754" s="69"/>
      <c r="CL754" s="69"/>
      <c r="CM754" s="69"/>
      <c r="CN754" s="69"/>
      <c r="CO754" s="69"/>
      <c r="CP754" s="69"/>
      <c r="CQ754" s="69"/>
      <c r="CR754" s="69"/>
      <c r="CS754" s="69"/>
      <c r="CT754" s="69"/>
      <c r="CU754" s="69"/>
      <c r="CV754" s="69"/>
      <c r="CW754" s="69"/>
      <c r="CX754" s="69"/>
      <c r="CY754" s="69"/>
      <c r="CZ754" s="70"/>
      <c r="DA754" s="69"/>
      <c r="DB754" s="69"/>
    </row>
    <row r="755" spans="1:113" outlineLevel="1">
      <c r="Z755" s="145"/>
      <c r="AA755" s="145"/>
      <c r="AB755" s="145"/>
      <c r="AC755" s="145"/>
      <c r="AD755" s="145"/>
      <c r="AE755" s="145"/>
      <c r="AF755" s="145"/>
      <c r="AG755" s="640"/>
      <c r="AH755" s="635"/>
      <c r="AI755" s="635"/>
      <c r="AJ755" s="635"/>
      <c r="AK755" s="635"/>
      <c r="AL755" s="635"/>
      <c r="AM755" s="635"/>
      <c r="AN755" s="635"/>
      <c r="AO755" s="635"/>
      <c r="AP755" s="635"/>
      <c r="AQ755" s="635"/>
      <c r="AR755" s="635"/>
      <c r="AS755" s="635"/>
      <c r="AT755" s="635"/>
      <c r="AU755" s="635"/>
      <c r="AV755" s="635"/>
      <c r="AW755" s="635"/>
      <c r="AX755" s="635"/>
      <c r="AY755" s="145"/>
      <c r="AZ755" s="646"/>
      <c r="BA755" s="145"/>
      <c r="BB755" s="145"/>
      <c r="BC755" s="145"/>
      <c r="BD755" s="145"/>
      <c r="BE755" s="145"/>
      <c r="BF755" s="145"/>
      <c r="BG755" s="145"/>
      <c r="BH755" s="145"/>
      <c r="BI755" s="145"/>
      <c r="BJ755" s="145"/>
      <c r="BK755" s="145"/>
      <c r="BL755" s="145"/>
      <c r="BM755" s="145"/>
      <c r="BN755" s="145"/>
      <c r="BO755" s="145"/>
      <c r="BP755" s="145"/>
      <c r="BQ755" s="145"/>
      <c r="CR755" s="42"/>
      <c r="CS755" s="145"/>
      <c r="CT755" s="145"/>
      <c r="CU755" s="145"/>
      <c r="CV755" s="145"/>
      <c r="CW755" s="145"/>
      <c r="CX755" s="145"/>
      <c r="CY755" s="145"/>
      <c r="CZ755" s="646"/>
      <c r="DA755" s="145"/>
      <c r="DB755" s="145"/>
    </row>
    <row r="756" spans="1:113" s="24" customFormat="1" outlineLevel="1">
      <c r="A756" s="1"/>
      <c r="B756" s="24" t="s">
        <v>345</v>
      </c>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635"/>
      <c r="AI756" s="600"/>
      <c r="AJ756" s="13"/>
      <c r="AK756" s="13"/>
      <c r="AL756" s="13"/>
      <c r="AM756" s="13"/>
      <c r="AN756" s="13"/>
      <c r="AO756" s="13"/>
      <c r="AP756" s="13"/>
      <c r="AQ756" s="13"/>
      <c r="AR756" s="13"/>
      <c r="AS756" s="13"/>
      <c r="AT756" s="13"/>
      <c r="AU756" s="13"/>
      <c r="AV756" s="13"/>
      <c r="AW756" s="13"/>
      <c r="AX756" s="13"/>
      <c r="AY756" s="13"/>
      <c r="AZ756" s="23"/>
      <c r="BA756" s="13"/>
      <c r="BB756" s="13"/>
      <c r="BC756" s="13"/>
      <c r="BD756" s="13"/>
      <c r="BE756" s="13"/>
      <c r="BF756" s="13"/>
      <c r="BG756" s="13"/>
      <c r="BH756" s="13"/>
      <c r="BI756" s="13"/>
      <c r="BJ756" s="13"/>
      <c r="BK756" s="13"/>
      <c r="BL756" s="13"/>
      <c r="BM756" s="13"/>
      <c r="BN756" s="13"/>
      <c r="BO756" s="13"/>
      <c r="BP756" s="13"/>
      <c r="BQ756" s="13"/>
      <c r="BR756" s="13"/>
      <c r="BS756" s="13"/>
      <c r="BT756" s="13"/>
      <c r="BU756" s="13"/>
      <c r="BV756" s="13"/>
      <c r="BW756" s="13"/>
      <c r="BX756" s="13"/>
      <c r="BY756" s="13"/>
      <c r="BZ756" s="13"/>
      <c r="CA756" s="13"/>
      <c r="CB756" s="13"/>
      <c r="CC756" s="13"/>
      <c r="CD756" s="13"/>
      <c r="CE756" s="13"/>
      <c r="CF756" s="13"/>
      <c r="CG756" s="13"/>
      <c r="CH756" s="13"/>
      <c r="CI756" s="13"/>
      <c r="CJ756" s="13"/>
      <c r="CK756" s="13"/>
      <c r="CL756" s="13"/>
      <c r="CM756" s="13"/>
      <c r="CN756" s="13"/>
      <c r="CO756" s="13"/>
      <c r="CP756" s="13"/>
      <c r="CQ756" s="13"/>
      <c r="CR756" s="13"/>
      <c r="CS756" s="13"/>
      <c r="CT756" s="13"/>
      <c r="CU756" s="13"/>
      <c r="CV756" s="13"/>
      <c r="CW756" s="13"/>
      <c r="CX756" s="13"/>
      <c r="CY756" s="13"/>
      <c r="CZ756" s="23"/>
      <c r="DA756" s="13"/>
      <c r="DB756" s="13"/>
    </row>
    <row r="757" spans="1:113" outlineLevel="1">
      <c r="A757" s="1" t="s">
        <v>965</v>
      </c>
      <c r="B757" s="19" t="s">
        <v>346</v>
      </c>
      <c r="C757" s="110">
        <f t="shared" ref="C757:L759" si="5145">C$142/C728/2</f>
        <v>17.041080651569327</v>
      </c>
      <c r="D757" s="110">
        <f t="shared" si="5145"/>
        <v>15.865475989890477</v>
      </c>
      <c r="E757" s="110">
        <f t="shared" si="5145"/>
        <v>14.386781729428174</v>
      </c>
      <c r="F757" s="110">
        <f t="shared" si="5145"/>
        <v>28.223720930232556</v>
      </c>
      <c r="G757" s="110">
        <f t="shared" si="5145"/>
        <v>13.523978102189782</v>
      </c>
      <c r="H757" s="110">
        <f t="shared" si="5145"/>
        <v>15.373193521594684</v>
      </c>
      <c r="I757" s="110">
        <f t="shared" si="5145"/>
        <v>16.135714285714286</v>
      </c>
      <c r="J757" s="110">
        <f t="shared" si="5145"/>
        <v>12.301377952755907</v>
      </c>
      <c r="K757" s="110">
        <f t="shared" si="5145"/>
        <v>14.929032756489494</v>
      </c>
      <c r="L757" s="110">
        <f t="shared" si="5145"/>
        <v>13.697536268134067</v>
      </c>
      <c r="M757" s="110">
        <f t="shared" ref="M757:AG757" si="5146">M$142/M728/2</f>
        <v>14.791822187662001</v>
      </c>
      <c r="N757" s="110">
        <f t="shared" si="5146"/>
        <v>14.686158113730928</v>
      </c>
      <c r="O757" s="110">
        <f t="shared" si="5146"/>
        <v>15.861067939609235</v>
      </c>
      <c r="P757" s="110">
        <f t="shared" si="5146"/>
        <v>16.450255754475702</v>
      </c>
      <c r="Q757" s="110">
        <f t="shared" si="5146"/>
        <v>11.052196495619524</v>
      </c>
      <c r="R757" s="110">
        <f t="shared" si="5146"/>
        <v>7.7043973301923829</v>
      </c>
      <c r="S757" s="110">
        <f t="shared" si="5146"/>
        <v>13.757668711656441</v>
      </c>
      <c r="T757" s="110">
        <f t="shared" si="5146"/>
        <v>14.452690311418687</v>
      </c>
      <c r="U757" s="110">
        <f t="shared" si="5146"/>
        <v>13.725148514851485</v>
      </c>
      <c r="V757" s="110">
        <f t="shared" si="5146"/>
        <v>12.952214521452143</v>
      </c>
      <c r="W757" s="110">
        <f t="shared" si="5146"/>
        <v>12.2091059602649</v>
      </c>
      <c r="X757" s="110">
        <f t="shared" si="5146"/>
        <v>10.679811320754716</v>
      </c>
      <c r="Y757" s="110">
        <f t="shared" si="5146"/>
        <v>12.203440766550523</v>
      </c>
      <c r="Z757" s="110">
        <f t="shared" si="5146"/>
        <v>13.741246192190529</v>
      </c>
      <c r="AA757" s="110">
        <f t="shared" si="5146"/>
        <v>14.003413158558105</v>
      </c>
      <c r="AB757" s="110">
        <f t="shared" si="5146"/>
        <v>14.959392925430212</v>
      </c>
      <c r="AC757" s="110">
        <f t="shared" ref="AC757:AF759" si="5147">AC$142/AC728/2</f>
        <v>14.82738755111313</v>
      </c>
      <c r="AD757" s="110">
        <f t="shared" si="5147"/>
        <v>15.369912436266905</v>
      </c>
      <c r="AE757" s="110">
        <f t="shared" si="5147"/>
        <v>15.342317777777778</v>
      </c>
      <c r="AF757" s="110">
        <f t="shared" si="5147"/>
        <v>15.630509692877368</v>
      </c>
      <c r="AG757" s="110">
        <f t="shared" si="5146"/>
        <v>13.869307071147972</v>
      </c>
      <c r="AH757" s="110">
        <f t="shared" ref="AH757:AK759" si="5148">AH$142/AH728/2</f>
        <v>14.444898876404494</v>
      </c>
      <c r="AI757" s="110">
        <f t="shared" si="5148"/>
        <v>14.165710311941188</v>
      </c>
      <c r="AJ757" s="110">
        <f t="shared" si="5148"/>
        <v>14.247003668976763</v>
      </c>
      <c r="AK757" s="110">
        <f t="shared" si="5148"/>
        <v>14.448788152837441</v>
      </c>
      <c r="AL757" s="110">
        <f t="shared" ref="AL757:AM759" si="5149">AL$142/AL728/2</f>
        <v>13.875143509458578</v>
      </c>
      <c r="AM757" s="110">
        <f t="shared" si="5149"/>
        <v>18.4337638469285</v>
      </c>
      <c r="AN757" s="110">
        <f t="shared" ref="AN757:AO759" si="5150">AN$142/AN728/2</f>
        <v>11.476380318285159</v>
      </c>
      <c r="AO757" s="110">
        <f t="shared" si="5150"/>
        <v>17.880602795573676</v>
      </c>
      <c r="AP757" s="110">
        <f t="shared" ref="AP757:AQ757" si="5151">AP$142/AP728/2</f>
        <v>14.92449168207024</v>
      </c>
      <c r="AQ757" s="110">
        <f t="shared" si="5151"/>
        <v>16.657533885542172</v>
      </c>
      <c r="AR757" s="110">
        <f t="shared" ref="AR757" si="5152">AR$142/AR728/2</f>
        <v>14.969335604770018</v>
      </c>
      <c r="AS757" s="110">
        <f t="shared" ref="AS757:AT757" si="5153">AS$142/AS728/2</f>
        <v>15.711846561926135</v>
      </c>
      <c r="AT757" s="110">
        <f t="shared" si="5153"/>
        <v>16.812354988399072</v>
      </c>
      <c r="AU757" s="110">
        <f t="shared" ref="AU757:AV757" si="5154">AU$142/AU728/2</f>
        <v>17.504657065893078</v>
      </c>
      <c r="AV757" s="110">
        <f t="shared" si="5154"/>
        <v>19.663080479092244</v>
      </c>
      <c r="AW757" s="110">
        <f t="shared" ref="AW757:AX757" si="5155">AW$142/AW728/2</f>
        <v>22.98886084142395</v>
      </c>
      <c r="AX757" s="110">
        <f t="shared" si="5155"/>
        <v>24.954616283599535</v>
      </c>
      <c r="AY757" s="110">
        <f t="shared" ref="AY757:BE757" si="5156">AY$142/AY728/2</f>
        <v>31.001806503412293</v>
      </c>
      <c r="AZ757" s="111">
        <f t="shared" si="5156"/>
        <v>25.011462642071919</v>
      </c>
      <c r="BA757" s="110">
        <f t="shared" si="5156"/>
        <v>24.902666578909241</v>
      </c>
      <c r="BB757" s="110">
        <f t="shared" si="5156"/>
        <v>25.331835449016751</v>
      </c>
      <c r="BC757" s="110">
        <f t="shared" si="5156"/>
        <v>26.375736929879587</v>
      </c>
      <c r="BD757" s="110">
        <f t="shared" si="5156"/>
        <v>27.19369904302668</v>
      </c>
      <c r="BE757" s="110">
        <f t="shared" si="5156"/>
        <v>27.472632805841378</v>
      </c>
      <c r="BF757" s="110">
        <f t="shared" ref="BF757:BI759" si="5157">BF$142/BF728/2</f>
        <v>27.654454735943109</v>
      </c>
      <c r="BG757" s="110">
        <f t="shared" si="5157"/>
        <v>28.28384079775401</v>
      </c>
      <c r="BH757" s="110">
        <f t="shared" si="5157"/>
        <v>28.763200602877482</v>
      </c>
      <c r="BI757" s="110">
        <f t="shared" si="5157"/>
        <v>29.916942497643255</v>
      </c>
      <c r="BJ757" s="110">
        <f t="shared" ref="BJ757:BM759" si="5158">BJ$142/BJ728/2</f>
        <v>30.91967325764028</v>
      </c>
      <c r="BK757" s="110">
        <f t="shared" si="5158"/>
        <v>32.82465966012164</v>
      </c>
      <c r="BL757" s="110">
        <f t="shared" si="5158"/>
        <v>33.655121501964977</v>
      </c>
      <c r="BM757" s="110">
        <f t="shared" si="5158"/>
        <v>35.147033865261974</v>
      </c>
      <c r="BN757" s="110">
        <f t="shared" ref="BN757:BO757" si="5159">BN$142/BN728/2</f>
        <v>35.590620444587245</v>
      </c>
      <c r="BO757" s="110">
        <f t="shared" si="5159"/>
        <v>37.210124457794969</v>
      </c>
      <c r="BP757" s="110">
        <f t="shared" ref="BP757:BQ757" si="5160">BP$142/BP728/2</f>
        <v>37.558341717214049</v>
      </c>
      <c r="BQ757" s="110">
        <f t="shared" si="5160"/>
        <v>39.265201963186385</v>
      </c>
      <c r="BR757" s="110"/>
      <c r="BS757" s="110">
        <f t="shared" ref="BS757:CB759" si="5161">BS$142/BS728</f>
        <v>13.887493274639278</v>
      </c>
      <c r="BT757" s="110">
        <f t="shared" si="5161"/>
        <v>16.803309932279912</v>
      </c>
      <c r="BU757" s="110">
        <f t="shared" si="5161"/>
        <v>10.102139296187683</v>
      </c>
      <c r="BV757" s="110">
        <f t="shared" si="5161"/>
        <v>8.7700101729399798</v>
      </c>
      <c r="BW757" s="110">
        <f t="shared" si="5161"/>
        <v>9.0578552278820386</v>
      </c>
      <c r="BX757" s="110">
        <f t="shared" si="5161"/>
        <v>13.61038961038961</v>
      </c>
      <c r="BY757" s="110">
        <f t="shared" si="5161"/>
        <v>16.074495412844037</v>
      </c>
      <c r="BZ757" s="110">
        <f t="shared" si="5161"/>
        <v>15.678164556962026</v>
      </c>
      <c r="CA757" s="110">
        <f t="shared" si="5161"/>
        <v>9.5068999999999999</v>
      </c>
      <c r="CB757" s="110">
        <f t="shared" si="5161"/>
        <v>18.011301799916282</v>
      </c>
      <c r="CC757" s="110">
        <f t="shared" ref="CC757:CR757" si="5162">CC$142/CC728</f>
        <v>15.711423748124997</v>
      </c>
      <c r="CD757" s="110">
        <f t="shared" si="5162"/>
        <v>18.783492108699885</v>
      </c>
      <c r="CE757" s="110">
        <f t="shared" si="5162"/>
        <v>16.560219331126316</v>
      </c>
      <c r="CF757" s="110">
        <f t="shared" si="5162"/>
        <v>14.732272153940926</v>
      </c>
      <c r="CG757" s="110">
        <f t="shared" si="5162"/>
        <v>14.427278166496945</v>
      </c>
      <c r="CH757" s="110">
        <f t="shared" si="5162"/>
        <v>16.043641415628539</v>
      </c>
      <c r="CI757" s="110">
        <f t="shared" si="5162"/>
        <v>11.060172183428209</v>
      </c>
      <c r="CJ757" s="110">
        <f t="shared" si="5162"/>
        <v>11.987637119588513</v>
      </c>
      <c r="CK757" s="110">
        <f t="shared" si="5162"/>
        <v>13.185991394694677</v>
      </c>
      <c r="CL757" s="110">
        <f t="shared" si="5162"/>
        <v>12.676828375314864</v>
      </c>
      <c r="CM757" s="110">
        <f t="shared" si="5162"/>
        <v>11.78706838535755</v>
      </c>
      <c r="CN757" s="110">
        <f t="shared" si="5162"/>
        <v>14.536697179730801</v>
      </c>
      <c r="CO757" s="110">
        <f t="shared" si="5162"/>
        <v>15.093649257861633</v>
      </c>
      <c r="CP757" s="110">
        <f t="shared" si="5162"/>
        <v>15.316012178448563</v>
      </c>
      <c r="CQ757" s="110">
        <f t="shared" si="5162"/>
        <v>13.725979505069226</v>
      </c>
      <c r="CR757" s="110">
        <f t="shared" si="5162"/>
        <v>14.329564789774045</v>
      </c>
      <c r="CS757" s="110">
        <f t="shared" ref="CS757:CZ759" si="5163">CS$142/CS728</f>
        <v>13.646038160574552</v>
      </c>
      <c r="CT757" s="110">
        <f t="shared" si="5163"/>
        <v>17.056292147940731</v>
      </c>
      <c r="CU757" s="110">
        <f t="shared" si="5163"/>
        <v>12.802750208507089</v>
      </c>
      <c r="CV757" s="110">
        <f t="shared" si="5163"/>
        <v>17.372534132207054</v>
      </c>
      <c r="CW757" s="110">
        <f t="shared" si="5163"/>
        <v>14.44938817194318</v>
      </c>
      <c r="CX757" s="110">
        <f t="shared" si="5163"/>
        <v>16.949019803960791</v>
      </c>
      <c r="CY757" s="110">
        <f t="shared" si="5163"/>
        <v>22.685409836065574</v>
      </c>
      <c r="CZ757" s="111">
        <f t="shared" si="5163"/>
        <v>30.535982601818908</v>
      </c>
      <c r="DA757" s="110">
        <f t="shared" ref="DA757:DB759" si="5164">DA$142/DA728</f>
        <v>25.487621476830359</v>
      </c>
      <c r="DB757" s="110">
        <f t="shared" si="5164"/>
        <v>26.404971952214883</v>
      </c>
      <c r="DC757" s="110">
        <f t="shared" ref="DC757:DD759" si="5165">DC$142/DC728</f>
        <v>27.918588546475331</v>
      </c>
      <c r="DD757" s="110">
        <f t="shared" si="5165"/>
        <v>28.568502368999713</v>
      </c>
      <c r="DE757" s="110">
        <f t="shared" ref="DE757:DF759" si="5166">DE$142/DE728</f>
        <v>29.966331983275907</v>
      </c>
      <c r="DF757" s="110">
        <f t="shared" si="5166"/>
        <v>32.543072453242509</v>
      </c>
      <c r="DG757" s="110">
        <f t="shared" ref="DG757:DH759" si="5167">DG$142/DG728</f>
        <v>35.133940471265667</v>
      </c>
      <c r="DH757" s="110">
        <f t="shared" si="5167"/>
        <v>37.175354720496671</v>
      </c>
      <c r="DI757" s="110">
        <f>DI$142/DI728</f>
        <v>39.229603055159707</v>
      </c>
    </row>
    <row r="758" spans="1:113" outlineLevel="1">
      <c r="A758" s="1" t="s">
        <v>966</v>
      </c>
      <c r="B758" s="19" t="s">
        <v>648</v>
      </c>
      <c r="C758" s="110">
        <f t="shared" si="5145"/>
        <v>16.998533666230728</v>
      </c>
      <c r="D758" s="110">
        <f t="shared" si="5145"/>
        <v>15.70799899908249</v>
      </c>
      <c r="E758" s="110">
        <f t="shared" si="5145"/>
        <v>14.268376097932082</v>
      </c>
      <c r="F758" s="110">
        <f t="shared" si="5145"/>
        <v>27.582272727272727</v>
      </c>
      <c r="G758" s="110">
        <f t="shared" si="5145"/>
        <v>13.387174855491333</v>
      </c>
      <c r="H758" s="110">
        <f t="shared" si="5145"/>
        <v>15.044302769430683</v>
      </c>
      <c r="I758" s="110">
        <f t="shared" si="5145"/>
        <v>15.613736263736264</v>
      </c>
      <c r="J758" s="110">
        <f t="shared" si="5145"/>
        <v>12.599767099056605</v>
      </c>
      <c r="K758" s="110">
        <f t="shared" si="5145"/>
        <v>15.164025856885148</v>
      </c>
      <c r="L758" s="110">
        <f t="shared" si="5145"/>
        <v>13.93294621026895</v>
      </c>
      <c r="M758" s="110">
        <f t="shared" ref="M758:AG758" si="5168">M$142/M729/2</f>
        <v>15.04968229954614</v>
      </c>
      <c r="N758" s="110">
        <f t="shared" si="5168"/>
        <v>15.000974084003573</v>
      </c>
      <c r="O758" s="110">
        <f t="shared" si="5168"/>
        <v>16.085893854748605</v>
      </c>
      <c r="P758" s="110">
        <f t="shared" si="5168"/>
        <v>16.703221859706364</v>
      </c>
      <c r="Q758" s="110">
        <f t="shared" si="5168"/>
        <v>11.485135296458417</v>
      </c>
      <c r="R758" s="110">
        <f t="shared" si="5168"/>
        <v>8.3555159474671665</v>
      </c>
      <c r="S758" s="110">
        <f t="shared" si="5168"/>
        <v>14.411106032906762</v>
      </c>
      <c r="T758" s="110">
        <f t="shared" si="5168"/>
        <v>14.959930929919139</v>
      </c>
      <c r="U758" s="110">
        <f t="shared" si="5168"/>
        <v>14.245917576611484</v>
      </c>
      <c r="V758" s="110">
        <f t="shared" si="5168"/>
        <v>13.450020634920634</v>
      </c>
      <c r="W758" s="110">
        <f t="shared" si="5168"/>
        <v>12.721210357870236</v>
      </c>
      <c r="X758" s="110">
        <f t="shared" si="5168"/>
        <v>11.097065803667745</v>
      </c>
      <c r="Y758" s="110">
        <f t="shared" si="5168"/>
        <v>12.656075162475277</v>
      </c>
      <c r="Z758" s="110">
        <f t="shared" si="5168"/>
        <v>14.169187803561792</v>
      </c>
      <c r="AA758" s="110">
        <f t="shared" si="5168"/>
        <v>14.423136531365314</v>
      </c>
      <c r="AB758" s="110">
        <f t="shared" si="5168"/>
        <v>15.341869158878502</v>
      </c>
      <c r="AC758" s="110">
        <f t="shared" si="5147"/>
        <v>15.173994661921707</v>
      </c>
      <c r="AD758" s="110">
        <f t="shared" si="5147"/>
        <v>15.763008217993082</v>
      </c>
      <c r="AE758" s="110">
        <f t="shared" si="5147"/>
        <v>15.760939035776236</v>
      </c>
      <c r="AF758" s="110">
        <f t="shared" si="5147"/>
        <v>16.02317997438087</v>
      </c>
      <c r="AG758" s="110">
        <f t="shared" si="5168"/>
        <v>14.218261101622547</v>
      </c>
      <c r="AH758" s="110">
        <f t="shared" si="5148"/>
        <v>14.894465893178635</v>
      </c>
      <c r="AI758" s="110">
        <f t="shared" si="5148"/>
        <v>14.599190790751893</v>
      </c>
      <c r="AJ758" s="110">
        <f t="shared" si="5148"/>
        <v>14.712501987281399</v>
      </c>
      <c r="AK758" s="110">
        <f t="shared" si="5148"/>
        <v>14.904501533742334</v>
      </c>
      <c r="AL758" s="110">
        <f t="shared" si="5149"/>
        <v>14.421801300881242</v>
      </c>
      <c r="AM758" s="110">
        <f t="shared" si="5149"/>
        <v>19.060656492248061</v>
      </c>
      <c r="AN758" s="110">
        <f t="shared" si="5150"/>
        <v>11.968517930815615</v>
      </c>
      <c r="AO758" s="110">
        <f t="shared" si="5150"/>
        <v>18.479681564245812</v>
      </c>
      <c r="AP758" s="110">
        <f t="shared" ref="AP758:AQ758" si="5169">AP$142/AP729/2</f>
        <v>15.856744046427856</v>
      </c>
      <c r="AQ758" s="110">
        <f t="shared" si="5169"/>
        <v>17.537788390889055</v>
      </c>
      <c r="AR758" s="110">
        <f t="shared" ref="AR758" si="5170">AR$142/AR729/2</f>
        <v>15.601899683386103</v>
      </c>
      <c r="AS758" s="110">
        <f t="shared" ref="AS758:AT758" si="5171">AS$142/AS729/2</f>
        <v>16.32311031461569</v>
      </c>
      <c r="AT758" s="110">
        <f t="shared" si="5171"/>
        <v>17.316738117427771</v>
      </c>
      <c r="AU758" s="110">
        <f t="shared" ref="AU758:AV758" si="5172">AU$142/AU729/2</f>
        <v>17.647996436349235</v>
      </c>
      <c r="AV758" s="110">
        <f t="shared" si="5172"/>
        <v>19.811536174430127</v>
      </c>
      <c r="AW758" s="110">
        <f t="shared" ref="AW758:AX758" si="5173">AW$142/AW729/2</f>
        <v>22.981864303178483</v>
      </c>
      <c r="AX758" s="110">
        <f t="shared" si="5173"/>
        <v>24.984466303077522</v>
      </c>
      <c r="AY758" s="110">
        <f t="shared" ref="AY758:BE758" si="5174">AY$142/AY729/2</f>
        <v>31.057431754315544</v>
      </c>
      <c r="AZ758" s="111">
        <f t="shared" si="5174"/>
        <v>25.041380659586359</v>
      </c>
      <c r="BA758" s="110">
        <f t="shared" si="5174"/>
        <v>24.932454457592147</v>
      </c>
      <c r="BB758" s="110">
        <f t="shared" si="5174"/>
        <v>25.362136687592134</v>
      </c>
      <c r="BC758" s="110">
        <f t="shared" si="5174"/>
        <v>26.407286854436858</v>
      </c>
      <c r="BD758" s="110">
        <f t="shared" si="5174"/>
        <v>27.226227391164272</v>
      </c>
      <c r="BE758" s="110">
        <f t="shared" si="5174"/>
        <v>27.505494806805306</v>
      </c>
      <c r="BF758" s="110">
        <f t="shared" si="5157"/>
        <v>27.687534227254048</v>
      </c>
      <c r="BG758" s="110">
        <f t="shared" si="5157"/>
        <v>28.317673143205866</v>
      </c>
      <c r="BH758" s="110">
        <f t="shared" si="5157"/>
        <v>28.797606345225422</v>
      </c>
      <c r="BI758" s="110">
        <f t="shared" si="5157"/>
        <v>29.952728314027997</v>
      </c>
      <c r="BJ758" s="110">
        <f t="shared" ref="BJ758:BK758" si="5175">BJ$142/BJ729/2</f>
        <v>30.956658512733146</v>
      </c>
      <c r="BK758" s="110">
        <f t="shared" si="5175"/>
        <v>32.8639236070835</v>
      </c>
      <c r="BL758" s="110">
        <f t="shared" si="5158"/>
        <v>33.695378824335748</v>
      </c>
      <c r="BM758" s="110">
        <f t="shared" si="5158"/>
        <v>35.189075771799367</v>
      </c>
      <c r="BN758" s="110">
        <f t="shared" ref="BN758:BO758" si="5176">BN$142/BN729/2</f>
        <v>35.633192957080766</v>
      </c>
      <c r="BO758" s="110">
        <f t="shared" si="5176"/>
        <v>37.254634176045919</v>
      </c>
      <c r="BP758" s="110">
        <f t="shared" ref="BP758:BQ758" si="5177">BP$142/BP729/2</f>
        <v>37.603267963287273</v>
      </c>
      <c r="BQ758" s="110">
        <f t="shared" si="5177"/>
        <v>39.312169908118427</v>
      </c>
      <c r="BR758" s="110"/>
      <c r="BS758" s="110">
        <f t="shared" si="5161"/>
        <v>13.887493274639278</v>
      </c>
      <c r="BT758" s="110">
        <f t="shared" si="5161"/>
        <v>16.803309932279912</v>
      </c>
      <c r="BU758" s="110">
        <f t="shared" si="5161"/>
        <v>10.102139296187683</v>
      </c>
      <c r="BV758" s="110">
        <f t="shared" si="5161"/>
        <v>8.7700101729399798</v>
      </c>
      <c r="BW758" s="110">
        <f t="shared" si="5161"/>
        <v>9.0578552278820386</v>
      </c>
      <c r="BX758" s="110">
        <f t="shared" si="5161"/>
        <v>13.61038961038961</v>
      </c>
      <c r="BY758" s="110">
        <f t="shared" si="5161"/>
        <v>16.074495412844037</v>
      </c>
      <c r="BZ758" s="110">
        <f t="shared" si="5161"/>
        <v>15.678164556962026</v>
      </c>
      <c r="CA758" s="110">
        <f t="shared" si="5161"/>
        <v>9.5068999999999999</v>
      </c>
      <c r="CB758" s="110">
        <f t="shared" si="5161"/>
        <v>17.992443535256541</v>
      </c>
      <c r="CC758" s="110">
        <f t="shared" ref="CC758:CR758" si="5178">CC$142/CC729</f>
        <v>15.57003994397898</v>
      </c>
      <c r="CD758" s="110">
        <f t="shared" si="5178"/>
        <v>18.520523219178088</v>
      </c>
      <c r="CE758" s="110">
        <f t="shared" si="5178"/>
        <v>16.112397988438104</v>
      </c>
      <c r="CF758" s="110">
        <f t="shared" si="5178"/>
        <v>15.026254266803152</v>
      </c>
      <c r="CG758" s="110">
        <f t="shared" si="5178"/>
        <v>14.672221665342601</v>
      </c>
      <c r="CH758" s="110">
        <f t="shared" si="5178"/>
        <v>16.262799375684555</v>
      </c>
      <c r="CI758" s="110">
        <f t="shared" si="5178"/>
        <v>11.50713137160121</v>
      </c>
      <c r="CJ758" s="110">
        <f t="shared" si="5178"/>
        <v>12.548806511436226</v>
      </c>
      <c r="CK758" s="110">
        <f t="shared" si="5178"/>
        <v>13.695945158601688</v>
      </c>
      <c r="CL758" s="110">
        <f t="shared" si="5178"/>
        <v>13.195897400941249</v>
      </c>
      <c r="CM758" s="110">
        <f t="shared" si="5178"/>
        <v>12.22131047605906</v>
      </c>
      <c r="CN758" s="110">
        <f t="shared" si="5178"/>
        <v>14.954839389010425</v>
      </c>
      <c r="CO758" s="110">
        <f t="shared" si="5178"/>
        <v>15.436010669097538</v>
      </c>
      <c r="CP758" s="110">
        <f t="shared" si="5178"/>
        <v>15.712959156777828</v>
      </c>
      <c r="CQ758" s="110">
        <f t="shared" si="5178"/>
        <v>14.067425277540565</v>
      </c>
      <c r="CR758" s="110">
        <f t="shared" si="5178"/>
        <v>14.812149615612064</v>
      </c>
      <c r="CS758" s="110">
        <f t="shared" si="5163"/>
        <v>14.110994879297733</v>
      </c>
      <c r="CT758" s="110">
        <f t="shared" si="5163"/>
        <v>17.665441870924219</v>
      </c>
      <c r="CU758" s="110">
        <f t="shared" si="5163"/>
        <v>13.312173649058895</v>
      </c>
      <c r="CV758" s="110">
        <f t="shared" si="5163"/>
        <v>18.499049899434922</v>
      </c>
      <c r="CW758" s="110">
        <f t="shared" si="5163"/>
        <v>15.029169917445341</v>
      </c>
      <c r="CX758" s="110">
        <f t="shared" si="5163"/>
        <v>17.327764976958523</v>
      </c>
      <c r="CY758" s="110">
        <f t="shared" si="5163"/>
        <v>22.831901939113838</v>
      </c>
      <c r="CZ758" s="111">
        <f t="shared" si="5163"/>
        <v>30.581715524572495</v>
      </c>
      <c r="DA758" s="110">
        <f t="shared" si="5164"/>
        <v>25.518109062328957</v>
      </c>
      <c r="DB758" s="110">
        <f t="shared" si="5164"/>
        <v>26.436556846894565</v>
      </c>
      <c r="DC758" s="110">
        <f t="shared" si="5165"/>
        <v>27.951983987320396</v>
      </c>
      <c r="DD758" s="110">
        <f t="shared" si="5165"/>
        <v>28.602675218723391</v>
      </c>
      <c r="DE758" s="110">
        <f t="shared" si="5166"/>
        <v>30.002176877992742</v>
      </c>
      <c r="DF758" s="110">
        <f t="shared" si="5166"/>
        <v>32.581999573401895</v>
      </c>
      <c r="DG758" s="110">
        <f t="shared" si="5167"/>
        <v>35.175966715848517</v>
      </c>
      <c r="DH758" s="110">
        <f t="shared" si="5167"/>
        <v>37.219822848152766</v>
      </c>
      <c r="DI758" s="110">
        <f>DI$142/DI729</f>
        <v>39.27652841766588</v>
      </c>
    </row>
    <row r="759" spans="1:113" outlineLevel="1">
      <c r="A759" s="1" t="s">
        <v>967</v>
      </c>
      <c r="B759" s="19" t="s">
        <v>649</v>
      </c>
      <c r="C759" s="110">
        <f t="shared" si="5145"/>
        <v>18.673225946887243</v>
      </c>
      <c r="D759" s="110">
        <f t="shared" si="5145"/>
        <v>16.027506382978721</v>
      </c>
      <c r="E759" s="110">
        <f t="shared" si="5145"/>
        <v>15.96799148606811</v>
      </c>
      <c r="F759" s="110">
        <f t="shared" si="5145"/>
        <v>14.301919191919191</v>
      </c>
      <c r="G759" s="110">
        <f t="shared" si="5145"/>
        <v>13.714174685418211</v>
      </c>
      <c r="H759" s="110">
        <f t="shared" si="5145"/>
        <v>15.411594504579517</v>
      </c>
      <c r="I759" s="110">
        <f t="shared" si="5145"/>
        <v>14.676202440775306</v>
      </c>
      <c r="J759" s="110">
        <f t="shared" si="5145"/>
        <v>12.146875000000001</v>
      </c>
      <c r="K759" s="110">
        <f t="shared" si="5145"/>
        <v>14.301465364120782</v>
      </c>
      <c r="L759" s="110">
        <f t="shared" si="5145"/>
        <v>13.285480349344979</v>
      </c>
      <c r="M759" s="110">
        <f t="shared" ref="M759:AG759" si="5179">M$142/M730/2</f>
        <v>14.324008534136546</v>
      </c>
      <c r="N759" s="110">
        <f t="shared" si="5179"/>
        <v>14.006243386243385</v>
      </c>
      <c r="O759" s="110">
        <f t="shared" si="5179"/>
        <v>16.206499546279492</v>
      </c>
      <c r="P759" s="110">
        <f t="shared" si="5179"/>
        <v>16.352669491525422</v>
      </c>
      <c r="Q759" s="110">
        <f t="shared" si="5179"/>
        <v>11.39445806451613</v>
      </c>
      <c r="R759" s="110">
        <f t="shared" si="5179"/>
        <v>10.437819148936169</v>
      </c>
      <c r="S759" s="110">
        <f t="shared" si="5179"/>
        <v>12.295444959932519</v>
      </c>
      <c r="T759" s="110">
        <f t="shared" si="5179"/>
        <v>14.309104145255226</v>
      </c>
      <c r="U759" s="110">
        <f t="shared" si="5179"/>
        <v>11.938909090909091</v>
      </c>
      <c r="V759" s="110">
        <f t="shared" si="5179"/>
        <v>11.84582251735587</v>
      </c>
      <c r="W759" s="110">
        <f t="shared" si="5179"/>
        <v>11.65478448275862</v>
      </c>
      <c r="X759" s="110">
        <f t="shared" si="5179"/>
        <v>10.823970753655793</v>
      </c>
      <c r="Y759" s="110">
        <f t="shared" si="5179"/>
        <v>11.956941678520629</v>
      </c>
      <c r="Z759" s="110">
        <f t="shared" si="5179"/>
        <v>13.302852546916892</v>
      </c>
      <c r="AA759" s="110">
        <f t="shared" si="5179"/>
        <v>13.922691729323311</v>
      </c>
      <c r="AB759" s="110">
        <f t="shared" si="5179"/>
        <v>14.744428739693758</v>
      </c>
      <c r="AC759" s="110">
        <f t="shared" si="5147"/>
        <v>14.86791799544419</v>
      </c>
      <c r="AD759" s="110">
        <f t="shared" si="5147"/>
        <v>15.075815394651013</v>
      </c>
      <c r="AE759" s="110">
        <f t="shared" si="5147"/>
        <v>15.390198395006687</v>
      </c>
      <c r="AF759" s="110">
        <f t="shared" si="5147"/>
        <v>15.025056532663317</v>
      </c>
      <c r="AG759" s="110">
        <f t="shared" si="5179"/>
        <v>13.75820848668543</v>
      </c>
      <c r="AH759" s="110">
        <f t="shared" si="5148"/>
        <v>14.645356255178127</v>
      </c>
      <c r="AI759" s="110">
        <f t="shared" si="5148"/>
        <v>14.770254816656307</v>
      </c>
      <c r="AJ759" s="110">
        <f t="shared" si="5148"/>
        <v>15.201348412353196</v>
      </c>
      <c r="AK759" s="110">
        <f t="shared" si="5148"/>
        <v>14.803564975677553</v>
      </c>
      <c r="AL759" s="110">
        <f t="shared" si="5149"/>
        <v>14.140823865300035</v>
      </c>
      <c r="AM759" s="110">
        <f t="shared" si="5149"/>
        <v>19.744033782536096</v>
      </c>
      <c r="AN759" s="110">
        <f t="shared" si="5150"/>
        <v>16.332690085509594</v>
      </c>
      <c r="AO759" s="110">
        <f t="shared" si="5150"/>
        <v>21.187712215320911</v>
      </c>
      <c r="AP759" s="110">
        <f t="shared" ref="AP759:AQ759" si="5180">AP$142/AP730/2</f>
        <v>18.786801964839711</v>
      </c>
      <c r="AQ759" s="110">
        <f t="shared" si="5180"/>
        <v>18.49212539184953</v>
      </c>
      <c r="AR759" s="110">
        <f t="shared" ref="AR759" si="5181">AR$142/AR730/2</f>
        <v>18.514538558786349</v>
      </c>
      <c r="AS759" s="110">
        <f t="shared" ref="AS759:AT759" si="5182">AS$142/AS730/2</f>
        <v>15.880338214064755</v>
      </c>
      <c r="AT759" s="110">
        <f t="shared" si="5182"/>
        <v>16.786389961389961</v>
      </c>
      <c r="AU759" s="110">
        <f t="shared" ref="AU759:AV759" si="5183">AU$142/AU730/2</f>
        <v>17.268494480784952</v>
      </c>
      <c r="AV759" s="110">
        <f t="shared" si="5183"/>
        <v>18.644471010161386</v>
      </c>
      <c r="AW759" s="110">
        <f t="shared" ref="AW759:AX759" si="5184">AW$142/AW730/2</f>
        <v>22.12027610545983</v>
      </c>
      <c r="AX759" s="110">
        <f t="shared" si="5184"/>
        <v>24.964341387373342</v>
      </c>
      <c r="AY759" s="110">
        <f t="shared" ref="AY759:BE759" si="5185">AY$142/AY730/2</f>
        <v>30.166210937500008</v>
      </c>
      <c r="AZ759" s="111">
        <f t="shared" si="5185"/>
        <v>24.653171717171716</v>
      </c>
      <c r="BA759" s="110">
        <f t="shared" si="5185"/>
        <v>24.902666578909241</v>
      </c>
      <c r="BB759" s="110">
        <f t="shared" si="5185"/>
        <v>25.331835449016751</v>
      </c>
      <c r="BC759" s="110">
        <f t="shared" si="5185"/>
        <v>26.375736929879587</v>
      </c>
      <c r="BD759" s="110">
        <f t="shared" si="5185"/>
        <v>27.19369904302668</v>
      </c>
      <c r="BE759" s="110">
        <f t="shared" si="5185"/>
        <v>27.472632805841378</v>
      </c>
      <c r="BF759" s="110">
        <f t="shared" si="5157"/>
        <v>27.654454735943109</v>
      </c>
      <c r="BG759" s="110">
        <f t="shared" si="5157"/>
        <v>28.28384079775401</v>
      </c>
      <c r="BH759" s="110">
        <f t="shared" si="5157"/>
        <v>28.763200602877482</v>
      </c>
      <c r="BI759" s="110">
        <f t="shared" si="5157"/>
        <v>29.916942497643255</v>
      </c>
      <c r="BJ759" s="110">
        <f t="shared" ref="BJ759:BK759" si="5186">BJ$142/BJ730/2</f>
        <v>30.91967325764028</v>
      </c>
      <c r="BK759" s="110">
        <f t="shared" si="5186"/>
        <v>32.82465966012164</v>
      </c>
      <c r="BL759" s="110">
        <f t="shared" si="5158"/>
        <v>33.655121501964977</v>
      </c>
      <c r="BM759" s="110">
        <f t="shared" si="5158"/>
        <v>35.147033865261974</v>
      </c>
      <c r="BN759" s="110">
        <f t="shared" ref="BN759:BO759" si="5187">BN$142/BN730/2</f>
        <v>35.590620444587245</v>
      </c>
      <c r="BO759" s="110">
        <f t="shared" si="5187"/>
        <v>37.210124457794969</v>
      </c>
      <c r="BP759" s="110">
        <f t="shared" ref="BP759:BQ759" si="5188">BP$142/BP730/2</f>
        <v>37.558341717214049</v>
      </c>
      <c r="BQ759" s="110">
        <f t="shared" si="5188"/>
        <v>39.265201963186385</v>
      </c>
      <c r="BR759" s="110"/>
      <c r="BS759" s="110">
        <f t="shared" si="5161"/>
        <v>13.887493274639278</v>
      </c>
      <c r="BT759" s="110">
        <f t="shared" si="5161"/>
        <v>12.856418480138169</v>
      </c>
      <c r="BU759" s="110">
        <f t="shared" si="5161"/>
        <v>10.102139296187683</v>
      </c>
      <c r="BV759" s="110">
        <f t="shared" si="5161"/>
        <v>8.5271216617210683</v>
      </c>
      <c r="BW759" s="110">
        <f t="shared" si="5161"/>
        <v>9.0578552278820386</v>
      </c>
      <c r="BX759" s="110">
        <f t="shared" si="5161"/>
        <v>11.746997598078462</v>
      </c>
      <c r="BY759" s="110">
        <f t="shared" si="5161"/>
        <v>13.509020817270624</v>
      </c>
      <c r="BZ759" s="110">
        <f t="shared" si="5161"/>
        <v>15.176548672566373</v>
      </c>
      <c r="CA759" s="110">
        <f t="shared" si="5161"/>
        <v>15.297157330154949</v>
      </c>
      <c r="CB759" s="110">
        <f t="shared" si="5161"/>
        <v>19.098535286284953</v>
      </c>
      <c r="CC759" s="110">
        <f t="shared" ref="CC759:CR759" si="5189">CC$142/CC730</f>
        <v>16.692193613228866</v>
      </c>
      <c r="CD759" s="110">
        <f t="shared" si="5189"/>
        <v>14.58883278391342</v>
      </c>
      <c r="CE759" s="110">
        <f t="shared" si="5189"/>
        <v>15.774981483119939</v>
      </c>
      <c r="CF759" s="110">
        <f t="shared" si="5189"/>
        <v>14.329008530566167</v>
      </c>
      <c r="CG759" s="110">
        <f t="shared" si="5189"/>
        <v>13.982321400937577</v>
      </c>
      <c r="CH759" s="110">
        <f t="shared" si="5189"/>
        <v>15.839149563953489</v>
      </c>
      <c r="CI759" s="110">
        <f t="shared" si="5189"/>
        <v>11.19709640683031</v>
      </c>
      <c r="CJ759" s="110">
        <f t="shared" si="5189"/>
        <v>13.157919266055046</v>
      </c>
      <c r="CK759" s="110">
        <f t="shared" si="5189"/>
        <v>12.234178008589362</v>
      </c>
      <c r="CL759" s="110">
        <f t="shared" si="5189"/>
        <v>11.853851588399825</v>
      </c>
      <c r="CM759" s="110">
        <f t="shared" si="5189"/>
        <v>11.748728324140858</v>
      </c>
      <c r="CN759" s="110">
        <f t="shared" si="5189"/>
        <v>14.269312335233161</v>
      </c>
      <c r="CO759" s="110">
        <f t="shared" si="5189"/>
        <v>15.007999134684423</v>
      </c>
      <c r="CP759" s="110">
        <f t="shared" si="5189"/>
        <v>15.191258749587233</v>
      </c>
      <c r="CQ759" s="110">
        <f t="shared" si="5189"/>
        <v>13.401640234167109</v>
      </c>
      <c r="CR759" s="110">
        <f t="shared" si="5189"/>
        <v>14.734740469484899</v>
      </c>
      <c r="CS759" s="110">
        <f t="shared" si="5163"/>
        <v>14.279740886146943</v>
      </c>
      <c r="CT759" s="110">
        <f t="shared" si="5163"/>
        <v>17.782444958034304</v>
      </c>
      <c r="CU759" s="110">
        <f t="shared" si="5163"/>
        <v>16.997090657439447</v>
      </c>
      <c r="CV759" s="110">
        <f t="shared" si="5163"/>
        <v>20.440283138795795</v>
      </c>
      <c r="CW759" s="110">
        <f t="shared" si="5163"/>
        <v>16.220360604481499</v>
      </c>
      <c r="CX759" s="110">
        <f t="shared" si="5163"/>
        <v>16.824493645750593</v>
      </c>
      <c r="CY759" s="110">
        <f t="shared" si="5163"/>
        <v>21.665996339975599</v>
      </c>
      <c r="CZ759" s="111">
        <f t="shared" si="5163"/>
        <v>30.130901287553648</v>
      </c>
      <c r="DA759" s="110">
        <f t="shared" si="5164"/>
        <v>25.308044996846803</v>
      </c>
      <c r="DB759" s="110">
        <f t="shared" si="5164"/>
        <v>26.404971952214879</v>
      </c>
      <c r="DC759" s="110">
        <f t="shared" si="5165"/>
        <v>27.918588546475327</v>
      </c>
      <c r="DD759" s="110">
        <f t="shared" si="5165"/>
        <v>28.568502368999727</v>
      </c>
      <c r="DE759" s="110">
        <f t="shared" si="5166"/>
        <v>29.966331983275914</v>
      </c>
      <c r="DF759" s="110">
        <f t="shared" si="5166"/>
        <v>32.543072453242502</v>
      </c>
      <c r="DG759" s="110">
        <f t="shared" si="5167"/>
        <v>35.13394047126566</v>
      </c>
      <c r="DH759" s="110">
        <f t="shared" si="5167"/>
        <v>37.175354720496678</v>
      </c>
      <c r="DI759" s="110">
        <f>DI$142/DI730</f>
        <v>39.229603055159714</v>
      </c>
    </row>
    <row r="760" spans="1:113" outlineLevel="1">
      <c r="A760" s="1" t="s">
        <v>968</v>
      </c>
      <c r="B760" s="19" t="s">
        <v>536</v>
      </c>
      <c r="C760" s="110">
        <f t="shared" ref="C760:L760" si="5190">C$142/C732/2</f>
        <v>18.622150827074194</v>
      </c>
      <c r="D760" s="110">
        <f t="shared" si="5190"/>
        <v>15.86681270536692</v>
      </c>
      <c r="E760" s="110">
        <f t="shared" si="5190"/>
        <v>15.822260142648972</v>
      </c>
      <c r="F760" s="110">
        <f t="shared" si="5190"/>
        <v>14.135341098169716</v>
      </c>
      <c r="G760" s="110">
        <f t="shared" si="5190"/>
        <v>13.573516483516485</v>
      </c>
      <c r="H760" s="110">
        <f t="shared" si="5190"/>
        <v>15.081046975494585</v>
      </c>
      <c r="I760" s="110">
        <f t="shared" si="5190"/>
        <v>14.244110275689223</v>
      </c>
      <c r="J760" s="110">
        <f t="shared" si="5190"/>
        <v>12.445663948747818</v>
      </c>
      <c r="K760" s="110">
        <f t="shared" si="5190"/>
        <v>14.543122837370243</v>
      </c>
      <c r="L760" s="110">
        <f t="shared" si="5190"/>
        <v>13.522959183673471</v>
      </c>
      <c r="M760" s="110">
        <f t="shared" ref="M760:AG760" si="5191">M$142/M732/2</f>
        <v>14.586275659824047</v>
      </c>
      <c r="N760" s="110">
        <f t="shared" si="5191"/>
        <v>14.328715322236448</v>
      </c>
      <c r="O760" s="110">
        <f t="shared" si="5191"/>
        <v>16.424692847740239</v>
      </c>
      <c r="P760" s="110">
        <f t="shared" si="5191"/>
        <v>16.608394160583941</v>
      </c>
      <c r="Q760" s="110">
        <f t="shared" si="5191"/>
        <v>11.823902089307662</v>
      </c>
      <c r="R760" s="110">
        <f t="shared" si="5191"/>
        <v>11.144869869869868</v>
      </c>
      <c r="S760" s="110">
        <f t="shared" si="5191"/>
        <v>12.922745901639344</v>
      </c>
      <c r="T760" s="110">
        <f t="shared" si="5191"/>
        <v>14.815173506840177</v>
      </c>
      <c r="U760" s="110">
        <f t="shared" si="5191"/>
        <v>12.455854635047736</v>
      </c>
      <c r="V760" s="110">
        <f t="shared" si="5191"/>
        <v>12.341265656859891</v>
      </c>
      <c r="W760" s="110">
        <f t="shared" si="5191"/>
        <v>12.162114047287901</v>
      </c>
      <c r="X760" s="110">
        <f t="shared" si="5191"/>
        <v>11.242601092896173</v>
      </c>
      <c r="Y760" s="110">
        <f>Y$142/Y732/2</f>
        <v>12.407160664819946</v>
      </c>
      <c r="Z760" s="110">
        <f>Z$142/Z732/2</f>
        <v>13.72836862745098</v>
      </c>
      <c r="AA760" s="110">
        <f t="shared" si="5191"/>
        <v>14.341988747553817</v>
      </c>
      <c r="AB760" s="110">
        <f t="shared" si="5191"/>
        <v>15.126284266298086</v>
      </c>
      <c r="AC760" s="110">
        <f>AC$142/AC732/2</f>
        <v>15.214603033006243</v>
      </c>
      <c r="AD760" s="110">
        <f>AD$142/AD732/2</f>
        <v>15.468622665534808</v>
      </c>
      <c r="AE760" s="110">
        <f>AE$142/AE732/2</f>
        <v>15.808927975859069</v>
      </c>
      <c r="AF760" s="110">
        <f>AF$142/AF732/2</f>
        <v>15.414371534195935</v>
      </c>
      <c r="AG760" s="110">
        <f t="shared" si="5191"/>
        <v>14.106828002541834</v>
      </c>
      <c r="AH760" s="110">
        <f t="shared" ref="AH760:AM760" si="5192">AH$142/AH732/2</f>
        <v>15.096803527980535</v>
      </c>
      <c r="AI760" s="110">
        <f t="shared" si="5192"/>
        <v>15.207859744990891</v>
      </c>
      <c r="AJ760" s="110">
        <f t="shared" si="5192"/>
        <v>15.67174216765453</v>
      </c>
      <c r="AK760" s="110">
        <f t="shared" si="5192"/>
        <v>15.258893001345896</v>
      </c>
      <c r="AL760" s="110">
        <f t="shared" si="5192"/>
        <v>14.688094178961439</v>
      </c>
      <c r="AM760" s="110">
        <f t="shared" si="5192"/>
        <v>20.360793566473887</v>
      </c>
      <c r="AN760" s="110">
        <f t="shared" ref="AN760:AS760" si="5193">AN$142/AN732/2</f>
        <v>16.869961977186314</v>
      </c>
      <c r="AO760" s="110">
        <f t="shared" si="5193"/>
        <v>21.733659658344283</v>
      </c>
      <c r="AP760" s="110">
        <f t="shared" si="5193"/>
        <v>19.828866366366366</v>
      </c>
      <c r="AQ760" s="110">
        <f t="shared" si="5193"/>
        <v>19.417474069554608</v>
      </c>
      <c r="AR760" s="110">
        <f t="shared" si="5193"/>
        <v>19.197662497436948</v>
      </c>
      <c r="AS760" s="110">
        <f t="shared" si="5193"/>
        <v>16.4938953722334</v>
      </c>
      <c r="AT760" s="110">
        <f t="shared" ref="AT760:AU760" si="5194">AT$142/AT732/2</f>
        <v>17.290954773869345</v>
      </c>
      <c r="AU760" s="110">
        <f t="shared" si="5194"/>
        <v>17.420369357045143</v>
      </c>
      <c r="AV760" s="110">
        <f t="shared" ref="AV760:AW760" si="5195">AV$142/AV732/2</f>
        <v>18.84056550424128</v>
      </c>
      <c r="AW760" s="110">
        <f t="shared" si="5195"/>
        <v>22.160115913555991</v>
      </c>
      <c r="AX760" s="110">
        <f t="shared" ref="AX760" si="5196">AX$142/AX732/2</f>
        <v>24.994203039750584</v>
      </c>
      <c r="AY760" s="110">
        <f t="shared" ref="AY760:BE760" si="5197">AY$142/AY732/2</f>
        <v>30.220336914062514</v>
      </c>
      <c r="AZ760" s="111">
        <f t="shared" si="5197"/>
        <v>24.682661157024789</v>
      </c>
      <c r="BA760" s="110">
        <f t="shared" si="5197"/>
        <v>24.932454457592147</v>
      </c>
      <c r="BB760" s="110">
        <f t="shared" si="5197"/>
        <v>25.362136687592134</v>
      </c>
      <c r="BC760" s="110">
        <f t="shared" si="5197"/>
        <v>26.407286854436858</v>
      </c>
      <c r="BD760" s="110">
        <f t="shared" si="5197"/>
        <v>27.226227391164272</v>
      </c>
      <c r="BE760" s="110">
        <f t="shared" si="5197"/>
        <v>27.505494806805306</v>
      </c>
      <c r="BF760" s="110">
        <f t="shared" ref="BF760:BM760" si="5198">BF$142/BF732/2</f>
        <v>27.687534227254048</v>
      </c>
      <c r="BG760" s="110">
        <f t="shared" si="5198"/>
        <v>28.317673143205866</v>
      </c>
      <c r="BH760" s="110">
        <f t="shared" si="5198"/>
        <v>28.797606345225422</v>
      </c>
      <c r="BI760" s="110">
        <f t="shared" si="5198"/>
        <v>29.952728314027997</v>
      </c>
      <c r="BJ760" s="110">
        <f t="shared" si="5198"/>
        <v>30.956658512733146</v>
      </c>
      <c r="BK760" s="110">
        <f t="shared" si="5198"/>
        <v>32.8639236070835</v>
      </c>
      <c r="BL760" s="110">
        <f t="shared" si="5198"/>
        <v>33.695378824335748</v>
      </c>
      <c r="BM760" s="110">
        <f t="shared" si="5198"/>
        <v>35.189075771799367</v>
      </c>
      <c r="BN760" s="110">
        <f t="shared" ref="BN760:BO760" si="5199">BN$142/BN732/2</f>
        <v>35.633192957080766</v>
      </c>
      <c r="BO760" s="110">
        <f t="shared" si="5199"/>
        <v>37.254634176045919</v>
      </c>
      <c r="BP760" s="110">
        <f t="shared" ref="BP760:BQ760" si="5200">BP$142/BP732/2</f>
        <v>37.603267963287273</v>
      </c>
      <c r="BQ760" s="110">
        <f t="shared" si="5200"/>
        <v>39.312169908118427</v>
      </c>
      <c r="BR760" s="110"/>
      <c r="BS760" s="110">
        <f t="shared" ref="BS760:CB760" si="5201">BS$142/BS732</f>
        <v>13.887493274639278</v>
      </c>
      <c r="BT760" s="110">
        <f t="shared" si="5201"/>
        <v>12.856418480138169</v>
      </c>
      <c r="BU760" s="110">
        <f t="shared" si="5201"/>
        <v>10.102139296187683</v>
      </c>
      <c r="BV760" s="110">
        <f t="shared" si="5201"/>
        <v>8.5271216617210683</v>
      </c>
      <c r="BW760" s="110">
        <f t="shared" si="5201"/>
        <v>9.0578552278820386</v>
      </c>
      <c r="BX760" s="110">
        <f t="shared" si="5201"/>
        <v>11.746997598078462</v>
      </c>
      <c r="BY760" s="110">
        <f t="shared" si="5201"/>
        <v>13.509020817270624</v>
      </c>
      <c r="BZ760" s="110">
        <f t="shared" si="5201"/>
        <v>15.176548672566373</v>
      </c>
      <c r="CA760" s="110">
        <f t="shared" si="5201"/>
        <v>15.297157330154949</v>
      </c>
      <c r="CB760" s="110">
        <f t="shared" si="5201"/>
        <v>19.075510113752042</v>
      </c>
      <c r="CC760" s="110">
        <f t="shared" ref="CC760:CO760" si="5202">CC$142/CC732</f>
        <v>16.532696982429584</v>
      </c>
      <c r="CD760" s="110">
        <f t="shared" si="5202"/>
        <v>14.429702547080707</v>
      </c>
      <c r="CE760" s="110">
        <f t="shared" si="5202"/>
        <v>15.368665128236998</v>
      </c>
      <c r="CF760" s="110">
        <f t="shared" si="5202"/>
        <v>14.6256702643268</v>
      </c>
      <c r="CG760" s="110">
        <f t="shared" si="5202"/>
        <v>14.23060651769805</v>
      </c>
      <c r="CH760" s="110">
        <f t="shared" si="5202"/>
        <v>16.062241270012983</v>
      </c>
      <c r="CI760" s="110">
        <f t="shared" si="5202"/>
        <v>11.643143929080905</v>
      </c>
      <c r="CJ760" s="110">
        <f t="shared" si="5202"/>
        <v>13.722252816584048</v>
      </c>
      <c r="CK760" s="110">
        <f t="shared" si="5202"/>
        <v>12.737404474055094</v>
      </c>
      <c r="CL760" s="110">
        <f t="shared" si="5202"/>
        <v>12.367867982356291</v>
      </c>
      <c r="CM760" s="110">
        <f t="shared" si="5202"/>
        <v>12.182646082530951</v>
      </c>
      <c r="CN760" s="110">
        <f t="shared" si="5202"/>
        <v>14.686472499936816</v>
      </c>
      <c r="CO760" s="110">
        <f t="shared" si="5202"/>
        <v>15.350303641019829</v>
      </c>
      <c r="CP760" s="110">
        <f t="shared" ref="CP760:CX760" si="5203">CP$142/CP732</f>
        <v>15.588065603866811</v>
      </c>
      <c r="CQ760" s="110">
        <f t="shared" si="5203"/>
        <v>13.741776850886341</v>
      </c>
      <c r="CR760" s="110">
        <f t="shared" si="5203"/>
        <v>15.221722880583409</v>
      </c>
      <c r="CS760" s="110">
        <f t="shared" si="5203"/>
        <v>14.749110868377935</v>
      </c>
      <c r="CT760" s="110">
        <f t="shared" si="5203"/>
        <v>18.389096441947565</v>
      </c>
      <c r="CU760" s="110">
        <f t="shared" si="5203"/>
        <v>17.50510978043912</v>
      </c>
      <c r="CV760" s="110">
        <f t="shared" si="5203"/>
        <v>21.670434197239988</v>
      </c>
      <c r="CW760" s="110">
        <f t="shared" si="5203"/>
        <v>16.824062150908905</v>
      </c>
      <c r="CX760" s="110">
        <f t="shared" si="5203"/>
        <v>17.205529075309819</v>
      </c>
      <c r="CY760" s="110">
        <f t="shared" ref="CY760:DD760" si="5204">CY$142/CY732</f>
        <v>21.861079365079366</v>
      </c>
      <c r="CZ760" s="111">
        <f t="shared" si="5204"/>
        <v>30.17602753087937</v>
      </c>
      <c r="DA760" s="110">
        <f t="shared" si="5204"/>
        <v>25.338317777943512</v>
      </c>
      <c r="DB760" s="110">
        <f t="shared" si="5204"/>
        <v>26.436556846894561</v>
      </c>
      <c r="DC760" s="110">
        <f t="shared" si="5204"/>
        <v>27.951983987320393</v>
      </c>
      <c r="DD760" s="110">
        <f t="shared" si="5204"/>
        <v>28.602675218723409</v>
      </c>
      <c r="DE760" s="110">
        <f>DE$142/DE732</f>
        <v>30.002176877992753</v>
      </c>
      <c r="DF760" s="110">
        <f>DF$142/DF732</f>
        <v>32.58199957340188</v>
      </c>
      <c r="DG760" s="110">
        <f>DG$142/DG732</f>
        <v>35.17596671584851</v>
      </c>
      <c r="DH760" s="110">
        <f>DH$142/DH732</f>
        <v>37.219822848152774</v>
      </c>
      <c r="DI760" s="110">
        <f>DI$142/DI732</f>
        <v>39.276528417665887</v>
      </c>
    </row>
    <row r="761" spans="1:113" outlineLevel="1">
      <c r="A761" s="1" t="s">
        <v>969</v>
      </c>
      <c r="B761" s="19" t="s">
        <v>429</v>
      </c>
      <c r="C761" s="110">
        <f t="shared" ref="C761:L761" si="5205">C$142/C734/2</f>
        <v>11.542626480086113</v>
      </c>
      <c r="D761" s="110">
        <f t="shared" si="5205"/>
        <v>9.6477049180327867</v>
      </c>
      <c r="E761" s="110">
        <f t="shared" si="5205"/>
        <v>10.77318276762402</v>
      </c>
      <c r="F761" s="110">
        <f t="shared" si="5205"/>
        <v>9.572214084507042</v>
      </c>
      <c r="G761" s="110">
        <f t="shared" si="5205"/>
        <v>8.9376989869754002</v>
      </c>
      <c r="H761" s="110">
        <f t="shared" si="5205"/>
        <v>9.2177913346613547</v>
      </c>
      <c r="I761" s="110">
        <f t="shared" si="5205"/>
        <v>9.1512757385854968</v>
      </c>
      <c r="J761" s="110">
        <f t="shared" si="5205"/>
        <v>7.8536639597834501</v>
      </c>
      <c r="K761" s="110">
        <f t="shared" si="5205"/>
        <v>9.1254911220249344</v>
      </c>
      <c r="L761" s="110">
        <f t="shared" si="5205"/>
        <v>8.9981514952349659</v>
      </c>
      <c r="M761" s="110">
        <f t="shared" ref="M761:AG761" si="5206">M$142/M734/2</f>
        <v>9.3736613009198422</v>
      </c>
      <c r="N761" s="110">
        <f t="shared" si="5206"/>
        <v>9.3074011133899788</v>
      </c>
      <c r="O761" s="110">
        <f t="shared" si="5206"/>
        <v>10.640192135835568</v>
      </c>
      <c r="P761" s="110">
        <f t="shared" si="5206"/>
        <v>10.608108851017041</v>
      </c>
      <c r="Q761" s="110">
        <f t="shared" si="5206"/>
        <v>7.1950339489407931</v>
      </c>
      <c r="R761" s="110">
        <f t="shared" si="5206"/>
        <v>4.3870109546165876</v>
      </c>
      <c r="S761" s="110">
        <f t="shared" si="5206"/>
        <v>6.1103542234332426</v>
      </c>
      <c r="T761" s="110">
        <f t="shared" si="5206"/>
        <v>7.7006406710914463</v>
      </c>
      <c r="U761" s="110">
        <f t="shared" si="5206"/>
        <v>7.4351370679380215</v>
      </c>
      <c r="V761" s="110">
        <f t="shared" si="5206"/>
        <v>7.3616976177077476</v>
      </c>
      <c r="W761" s="110">
        <f t="shared" si="5206"/>
        <v>7.4597480228066946</v>
      </c>
      <c r="X761" s="110">
        <f t="shared" si="5206"/>
        <v>6.994373977830274</v>
      </c>
      <c r="Y761" s="110">
        <f>Y$142/Y734/2</f>
        <v>7.7102641717116125</v>
      </c>
      <c r="Z761" s="110">
        <f>Z$142/Z734/2</f>
        <v>8.5227825489522502</v>
      </c>
      <c r="AA761" s="110">
        <f t="shared" si="5206"/>
        <v>9.2755952579729524</v>
      </c>
      <c r="AB761" s="110">
        <f t="shared" si="5206"/>
        <v>9.7842895107081436</v>
      </c>
      <c r="AC761" s="110">
        <f>AC$142/AC734/2</f>
        <v>10.033844734819368</v>
      </c>
      <c r="AD761" s="110">
        <f>AD$142/AD734/2</f>
        <v>10.176673271686482</v>
      </c>
      <c r="AE761" s="110">
        <f>AE$142/AE734/2</f>
        <v>10.194983756645009</v>
      </c>
      <c r="AF761" s="110">
        <f>AF$142/AF734/2</f>
        <v>9.9527975034674068</v>
      </c>
      <c r="AG761" s="110">
        <f t="shared" si="5206"/>
        <v>8.9468062790370269</v>
      </c>
      <c r="AH761" s="110">
        <f t="shared" ref="AH761:AM761" si="5207">AH$142/AH734/2</f>
        <v>9.6057301997011262</v>
      </c>
      <c r="AI761" s="110">
        <f t="shared" si="5207"/>
        <v>9.8230945163957006</v>
      </c>
      <c r="AJ761" s="110">
        <f t="shared" si="5207"/>
        <v>9.7171972751285978</v>
      </c>
      <c r="AK761" s="110">
        <f t="shared" si="5207"/>
        <v>9.4901975051975054</v>
      </c>
      <c r="AL761" s="110">
        <f t="shared" si="5207"/>
        <v>9.2538298970779103</v>
      </c>
      <c r="AM761" s="110">
        <f t="shared" si="5207"/>
        <v>12.496221869320321</v>
      </c>
      <c r="AN761" s="110">
        <f t="shared" ref="AN761:AS761" si="5208">AN$142/AN734/2</f>
        <v>10.438929098966028</v>
      </c>
      <c r="AO761" s="110">
        <f t="shared" si="5208"/>
        <v>10.242200166805672</v>
      </c>
      <c r="AP761" s="110">
        <f t="shared" si="5208"/>
        <v>11.407747252747253</v>
      </c>
      <c r="AQ761" s="110">
        <f t="shared" si="5208"/>
        <v>13.767670763964526</v>
      </c>
      <c r="AR761" s="110">
        <f t="shared" si="5208"/>
        <v>13.279431766661629</v>
      </c>
      <c r="AS761" s="110">
        <f t="shared" si="5208"/>
        <v>11.589969897652015</v>
      </c>
      <c r="AT761" s="110">
        <f t="shared" ref="AT761:AU761" si="5209">AT$142/AT734/2</f>
        <v>11.076878980891719</v>
      </c>
      <c r="AU761" s="110">
        <f t="shared" si="5209"/>
        <v>11.37437390601858</v>
      </c>
      <c r="AV761" s="110">
        <f t="shared" ref="AV761:AW761" si="5210">AV$142/AV734/2</f>
        <v>12.25145326001571</v>
      </c>
      <c r="AW761" s="110">
        <f t="shared" si="5210"/>
        <v>14.56044957638699</v>
      </c>
      <c r="AX761" s="110">
        <f t="shared" ref="AX761" si="5211">AX$142/AX734/2</f>
        <v>16.584724919093851</v>
      </c>
      <c r="AY761" s="110">
        <f t="shared" ref="AY761:BE761" si="5212">AY$142/AY734/2</f>
        <v>19.944602272727277</v>
      </c>
      <c r="AZ761" s="111">
        <f t="shared" si="5212"/>
        <v>16.509226417414833</v>
      </c>
      <c r="BA761" s="110">
        <f t="shared" si="5212"/>
        <v>16.675185841105087</v>
      </c>
      <c r="BB761" s="110">
        <f t="shared" si="5212"/>
        <v>16.839689540721178</v>
      </c>
      <c r="BC761" s="110">
        <f t="shared" si="5212"/>
        <v>17.463940489779606</v>
      </c>
      <c r="BD761" s="110">
        <f t="shared" si="5212"/>
        <v>17.855883363357282</v>
      </c>
      <c r="BE761" s="110">
        <f t="shared" si="5212"/>
        <v>18.049419116131922</v>
      </c>
      <c r="BF761" s="110">
        <f t="shared" ref="BF761:BM761" si="5213">BF$142/BF734/2</f>
        <v>18.287979306768303</v>
      </c>
      <c r="BG761" s="110">
        <f t="shared" si="5213"/>
        <v>18.894529080231734</v>
      </c>
      <c r="BH761" s="110">
        <f t="shared" si="5213"/>
        <v>19.337915142905256</v>
      </c>
      <c r="BI761" s="110">
        <f t="shared" si="5213"/>
        <v>20.134796315832052</v>
      </c>
      <c r="BJ761" s="110">
        <f t="shared" si="5213"/>
        <v>20.480751265969594</v>
      </c>
      <c r="BK761" s="110">
        <f t="shared" si="5213"/>
        <v>21.517713402357995</v>
      </c>
      <c r="BL761" s="110">
        <f t="shared" si="5213"/>
        <v>21.864635649520682</v>
      </c>
      <c r="BM761" s="110">
        <f t="shared" si="5213"/>
        <v>22.824533611593697</v>
      </c>
      <c r="BN761" s="110">
        <f t="shared" ref="BN761:BO761" si="5214">BN$142/BN734/2</f>
        <v>23.116996128169983</v>
      </c>
      <c r="BO761" s="110">
        <f t="shared" si="5214"/>
        <v>24.165758999039348</v>
      </c>
      <c r="BP761" s="110">
        <f t="shared" ref="BP761:BQ761" si="5215">BP$142/BP734/2</f>
        <v>24.397650768401085</v>
      </c>
      <c r="BQ761" s="110">
        <f t="shared" si="5215"/>
        <v>25.503135574685821</v>
      </c>
      <c r="BR761" s="110"/>
      <c r="BS761" s="110">
        <f t="shared" ref="BS761:CB761" si="5216">BS$142/BS734</f>
        <v>3.7756622340425534</v>
      </c>
      <c r="BT761" s="110">
        <f t="shared" si="5216"/>
        <v>5.2681290162774239</v>
      </c>
      <c r="BU761" s="110">
        <f t="shared" si="5216"/>
        <v>5.0106610909090916</v>
      </c>
      <c r="BV761" s="110">
        <f t="shared" si="5216"/>
        <v>5.056258064516129</v>
      </c>
      <c r="BW761" s="110">
        <f t="shared" si="5216"/>
        <v>5.3656643726839599</v>
      </c>
      <c r="BX761" s="110">
        <f t="shared" si="5216"/>
        <v>7.4971895758814506</v>
      </c>
      <c r="BY761" s="110">
        <f t="shared" si="5216"/>
        <v>7.9968963943404834</v>
      </c>
      <c r="BZ761" s="110">
        <f t="shared" si="5216"/>
        <v>9.0849022004889974</v>
      </c>
      <c r="CA761" s="110">
        <f t="shared" si="5216"/>
        <v>9.3955453879941437</v>
      </c>
      <c r="CB761" s="110">
        <f t="shared" si="5216"/>
        <v>11.775862068965518</v>
      </c>
      <c r="CC761" s="110">
        <f t="shared" ref="CC761:CO761" si="5217">CC$142/CC734</f>
        <v>10.648989305362194</v>
      </c>
      <c r="CD761" s="110">
        <f t="shared" si="5217"/>
        <v>9.6260515692193795</v>
      </c>
      <c r="CE761" s="110">
        <f t="shared" si="5217"/>
        <v>9.6464643958541085</v>
      </c>
      <c r="CF761" s="110">
        <f t="shared" si="5217"/>
        <v>9.203095293566383</v>
      </c>
      <c r="CG761" s="110">
        <f t="shared" si="5217"/>
        <v>9.3100622043699683</v>
      </c>
      <c r="CH761" s="110">
        <f t="shared" si="5217"/>
        <v>10.46272922451994</v>
      </c>
      <c r="CI761" s="110">
        <f t="shared" si="5217"/>
        <v>7.1664476319672135</v>
      </c>
      <c r="CJ761" s="110">
        <f t="shared" si="5217"/>
        <v>6.0508778450887064</v>
      </c>
      <c r="CK761" s="110">
        <f t="shared" si="5217"/>
        <v>7.0822063170778353</v>
      </c>
      <c r="CL761" s="110">
        <f t="shared" si="5217"/>
        <v>7.4780102005943538</v>
      </c>
      <c r="CM761" s="110">
        <f t="shared" si="5217"/>
        <v>7.5840111356582085</v>
      </c>
      <c r="CN761" s="110">
        <f t="shared" si="5217"/>
        <v>9.3268217109474243</v>
      </c>
      <c r="CO761" s="110">
        <f t="shared" si="5217"/>
        <v>10.044494847930553</v>
      </c>
      <c r="CP761" s="110">
        <f t="shared" ref="CP761:CX761" si="5218">CP$142/CP734</f>
        <v>10.159189233713654</v>
      </c>
      <c r="CQ761" s="110">
        <f t="shared" si="5218"/>
        <v>8.7967868371410614</v>
      </c>
      <c r="CR761" s="110">
        <f t="shared" si="5218"/>
        <v>9.7314398544959797</v>
      </c>
      <c r="CS761" s="110">
        <f t="shared" si="5218"/>
        <v>9.1407977310260655</v>
      </c>
      <c r="CT761" s="110">
        <f t="shared" si="5218"/>
        <v>11.461346922775382</v>
      </c>
      <c r="CU761" s="110">
        <f t="shared" si="5218"/>
        <v>9.6203666274970612</v>
      </c>
      <c r="CV761" s="110">
        <f t="shared" si="5218"/>
        <v>13.821190122685005</v>
      </c>
      <c r="CW761" s="110">
        <f t="shared" si="5218"/>
        <v>11.736246135283913</v>
      </c>
      <c r="CX761" s="110">
        <f t="shared" si="5218"/>
        <v>11.092249787261895</v>
      </c>
      <c r="CY761" s="110">
        <f t="shared" ref="CY761:DD761" si="5219">CY$142/CY734</f>
        <v>14.248912810912008</v>
      </c>
      <c r="CZ761" s="111">
        <f t="shared" si="5219"/>
        <v>19.969099489301183</v>
      </c>
      <c r="DA761" s="110">
        <f t="shared" si="5219"/>
        <v>16.947191472732108</v>
      </c>
      <c r="DB761" s="110">
        <f t="shared" si="5219"/>
        <v>17.518151001018637</v>
      </c>
      <c r="DC761" s="110">
        <f t="shared" si="5219"/>
        <v>18.337208300994384</v>
      </c>
      <c r="DD761" s="110">
        <f t="shared" si="5219"/>
        <v>18.988957605562053</v>
      </c>
      <c r="DE761" s="110">
        <f>DE$142/DE734</f>
        <v>20.157429101957831</v>
      </c>
      <c r="DF761" s="110">
        <f>DF$142/DF734</f>
        <v>21.444972288340939</v>
      </c>
      <c r="DG761" s="110">
        <f>DG$142/DG734</f>
        <v>22.820704225692502</v>
      </c>
      <c r="DH761" s="110">
        <f>DH$142/DH734</f>
        <v>24.144750722375338</v>
      </c>
      <c r="DI761" s="110">
        <f>DI$142/DI734</f>
        <v>25.481653795666251</v>
      </c>
    </row>
    <row r="762" spans="1:113" outlineLevel="1">
      <c r="A762" s="1" t="s">
        <v>970</v>
      </c>
      <c r="B762" s="19" t="s">
        <v>430</v>
      </c>
      <c r="C762" s="232">
        <f t="shared" ref="C762:L762" si="5220">C735/C$142*2</f>
        <v>4.3923865300146414E-2</v>
      </c>
      <c r="D762" s="232">
        <f t="shared" si="5220"/>
        <v>4.506295559973493E-2</v>
      </c>
      <c r="E762" s="232">
        <f t="shared" si="5220"/>
        <v>4.9802611600364408E-2</v>
      </c>
      <c r="F762" s="232">
        <f t="shared" si="5220"/>
        <v>5.0884955752212385E-2</v>
      </c>
      <c r="G762" s="232">
        <f t="shared" si="5220"/>
        <v>5.7529610829103212E-2</v>
      </c>
      <c r="H762" s="232">
        <f t="shared" si="5220"/>
        <v>5.3650254668930392E-2</v>
      </c>
      <c r="I762" s="232">
        <f t="shared" si="5220"/>
        <v>6.3842848373235103E-2</v>
      </c>
      <c r="J762" s="232">
        <f t="shared" si="5220"/>
        <v>5.2943008408595449E-2</v>
      </c>
      <c r="K762" s="232">
        <f t="shared" si="5220"/>
        <v>5.9025032938076413E-2</v>
      </c>
      <c r="L762" s="232">
        <f t="shared" si="5220"/>
        <v>4.3976608187134496E-2</v>
      </c>
      <c r="M762" s="42">
        <f t="shared" ref="M762:AG762" si="5221">M735/M$142*2</f>
        <v>5.8545372663814453E-2</v>
      </c>
      <c r="N762" s="42">
        <f t="shared" si="5221"/>
        <v>4.3249797898140666E-2</v>
      </c>
      <c r="O762" s="42">
        <f t="shared" si="5221"/>
        <v>5.3936651583710409E-2</v>
      </c>
      <c r="P762" s="42">
        <f t="shared" si="5221"/>
        <v>3.8240270727580364E-2</v>
      </c>
      <c r="Q762" s="42">
        <f t="shared" si="5221"/>
        <v>7.6176250933532488E-2</v>
      </c>
      <c r="R762" s="42">
        <f t="shared" si="5221"/>
        <v>7.8200692041522482E-2</v>
      </c>
      <c r="S762" s="42">
        <f t="shared" si="5221"/>
        <v>5.8974358974358966E-2</v>
      </c>
      <c r="T762" s="45">
        <f t="shared" si="5221"/>
        <v>4.3755697356426614E-2</v>
      </c>
      <c r="U762" s="42">
        <f t="shared" si="5221"/>
        <v>6.9901315789473686E-2</v>
      </c>
      <c r="V762" s="42">
        <f t="shared" si="5221"/>
        <v>5.1999212133149494E-2</v>
      </c>
      <c r="W762" s="42">
        <f t="shared" si="5221"/>
        <v>7.1892925430210322E-2</v>
      </c>
      <c r="X762" s="42">
        <f t="shared" si="5221"/>
        <v>5.5668427468508745E-2</v>
      </c>
      <c r="Y762" s="45">
        <f t="shared" si="5221"/>
        <v>7.4199623352165719E-2</v>
      </c>
      <c r="Z762" s="45">
        <f t="shared" si="5221"/>
        <v>5.2750080411707943E-2</v>
      </c>
      <c r="AA762" s="45">
        <f t="shared" si="5221"/>
        <v>5.7820179242555642E-2</v>
      </c>
      <c r="AB762" s="45">
        <f t="shared" si="5221"/>
        <v>4.7043701799485867E-2</v>
      </c>
      <c r="AC762" s="45">
        <f>AC735/AC$142*2</f>
        <v>5.3907022749752724E-2</v>
      </c>
      <c r="AD762" s="45">
        <f>AD735/AD$142*2</f>
        <v>4.6234676007005246E-2</v>
      </c>
      <c r="AE762" s="45">
        <f>AE735/AE$142*2</f>
        <v>5.2155526841301536E-2</v>
      </c>
      <c r="AF762" s="45">
        <f>AF735/AF$142*2</f>
        <v>4.629954401964223E-2</v>
      </c>
      <c r="AG762" s="45">
        <f t="shared" si="5221"/>
        <v>5.9701492537313432E-2</v>
      </c>
      <c r="AH762" s="45">
        <f t="shared" ref="AH762:AM762" si="5222">AH735/AH$142*2</f>
        <v>4.8295109816769814E-2</v>
      </c>
      <c r="AI762" s="45">
        <f t="shared" si="5222"/>
        <v>5.5616007737879336E-2</v>
      </c>
      <c r="AJ762" s="45">
        <f t="shared" si="5222"/>
        <v>4.9788399302962409E-2</v>
      </c>
      <c r="AK762" s="45">
        <f t="shared" si="5222"/>
        <v>6.3400576368876083E-2</v>
      </c>
      <c r="AL762" s="45">
        <f t="shared" si="5222"/>
        <v>5.5256250863378917E-2</v>
      </c>
      <c r="AM762" s="45">
        <f t="shared" si="5222"/>
        <v>5.5810582266247889E-2</v>
      </c>
      <c r="AN762" s="45">
        <f t="shared" ref="AN762:AS762" si="5223">AN735/AN$142*2</f>
        <v>5.0062578222778473E-2</v>
      </c>
      <c r="AO762" s="45">
        <f t="shared" si="5223"/>
        <v>2.8233938346297897E-2</v>
      </c>
      <c r="AP762" s="45">
        <f t="shared" si="5223"/>
        <v>3.6536353671903547E-2</v>
      </c>
      <c r="AQ762" s="45">
        <f t="shared" si="5223"/>
        <v>4.0052067687994394E-2</v>
      </c>
      <c r="AR762" s="45">
        <f t="shared" si="5223"/>
        <v>3.4653465346534656E-2</v>
      </c>
      <c r="AS762" s="45">
        <f t="shared" si="5223"/>
        <v>4.6470458065943798E-2</v>
      </c>
      <c r="AT762" s="45">
        <f t="shared" ref="AT762:AU762" si="5224">AT735/AT$142*2</f>
        <v>4.0935672514619888E-2</v>
      </c>
      <c r="AU762" s="45">
        <f t="shared" si="5224"/>
        <v>4.7870748977760051E-2</v>
      </c>
      <c r="AV762" s="45">
        <f t="shared" ref="AV762:AW762" si="5225">AV735/AV$142*2</f>
        <v>3.8461538461538464E-2</v>
      </c>
      <c r="AW762" s="45">
        <f t="shared" si="5225"/>
        <v>3.9252629926205054E-2</v>
      </c>
      <c r="AX762" s="45">
        <f t="shared" ref="AX762" si="5226">AX735/AX$142*2</f>
        <v>2.936378466557912E-2</v>
      </c>
      <c r="AY762" s="45">
        <f t="shared" ref="AY762:BE762" si="5227">AY735/AY$142*2</f>
        <v>2.8146143437077133E-2</v>
      </c>
      <c r="AZ762" s="43">
        <f t="shared" si="5227"/>
        <v>2.927072304913745E-2</v>
      </c>
      <c r="BA762" s="42">
        <f t="shared" si="5227"/>
        <v>3.1629878404570856E-2</v>
      </c>
      <c r="BB762" s="42">
        <f t="shared" si="5227"/>
        <v>2.7450417254920527E-2</v>
      </c>
      <c r="BC762" s="42">
        <f t="shared" si="5227"/>
        <v>2.9592900425296293E-2</v>
      </c>
      <c r="BD762" s="42">
        <f t="shared" si="5227"/>
        <v>2.5732140447870859E-2</v>
      </c>
      <c r="BE762" s="42">
        <f t="shared" si="5227"/>
        <v>2.8180839094932353E-2</v>
      </c>
      <c r="BF762" s="42">
        <f t="shared" ref="BF762:BM762" si="5228">BF735/BF$142*2</f>
        <v>2.5075828850457907E-2</v>
      </c>
      <c r="BG762" s="42">
        <f t="shared" si="5228"/>
        <v>2.7264028377951735E-2</v>
      </c>
      <c r="BH762" s="42">
        <f t="shared" si="5228"/>
        <v>2.4354923125930364E-2</v>
      </c>
      <c r="BI762" s="42">
        <f t="shared" si="5228"/>
        <v>2.6308847479930387E-2</v>
      </c>
      <c r="BJ762" s="42">
        <f t="shared" si="5228"/>
        <v>2.2771111028501548E-2</v>
      </c>
      <c r="BK762" s="42">
        <f t="shared" si="5228"/>
        <v>2.4548378080446905E-2</v>
      </c>
      <c r="BL762" s="232">
        <f t="shared" si="5228"/>
        <v>2.1283505979020529E-2</v>
      </c>
      <c r="BM762" s="232">
        <f t="shared" si="5228"/>
        <v>2.2899940197772847E-2</v>
      </c>
      <c r="BN762" s="232">
        <f t="shared" ref="BN762:BO762" si="5229">BN735/BN$142*2</f>
        <v>1.9886961267913433E-2</v>
      </c>
      <c r="BO762" s="232">
        <f t="shared" si="5229"/>
        <v>2.1356980498955961E-2</v>
      </c>
      <c r="BP762" s="232">
        <f t="shared" ref="BP762:BQ762" si="5230">BP735/BP$142*2</f>
        <v>1.8576528843400972E-2</v>
      </c>
      <c r="BQ762" s="232">
        <f t="shared" si="5230"/>
        <v>1.9913268530495066E-2</v>
      </c>
      <c r="BR762" s="42"/>
      <c r="BS762" s="232">
        <f t="shared" ref="BS762:CB762" si="5231">BS735/BS$142</f>
        <v>5.5865921787709501E-2</v>
      </c>
      <c r="BT762" s="232">
        <f t="shared" si="5231"/>
        <v>4.8336977788007829E-2</v>
      </c>
      <c r="BU762" s="232">
        <f t="shared" si="5231"/>
        <v>7.7220077220077218E-2</v>
      </c>
      <c r="BV762" s="232">
        <f t="shared" si="5231"/>
        <v>8.7888531618435156E-2</v>
      </c>
      <c r="BW762" s="232">
        <f t="shared" si="5231"/>
        <v>8.6042065009560215E-2</v>
      </c>
      <c r="BX762" s="232">
        <f t="shared" si="5231"/>
        <v>6.3750000000000001E-2</v>
      </c>
      <c r="BY762" s="232">
        <f t="shared" si="5231"/>
        <v>5.5201698513800419E-2</v>
      </c>
      <c r="BZ762" s="232">
        <f t="shared" si="5231"/>
        <v>4.7817047817047813E-2</v>
      </c>
      <c r="CA762" s="232">
        <f t="shared" si="5231"/>
        <v>4.6948356807511721E-2</v>
      </c>
      <c r="CB762" s="232">
        <f t="shared" si="5231"/>
        <v>3.9824304538799413E-2</v>
      </c>
      <c r="CC762" s="42">
        <f t="shared" ref="CC762:CR762" si="5232">CC735/CC$142</f>
        <v>4.5551169146674765E-2</v>
      </c>
      <c r="CD762" s="42">
        <f t="shared" si="5232"/>
        <v>5.2115059221658197E-2</v>
      </c>
      <c r="CE762" s="42">
        <f t="shared" si="5232"/>
        <v>5.6169429097605889E-2</v>
      </c>
      <c r="CF762" s="42">
        <f t="shared" si="5232"/>
        <v>5.1910408432147559E-2</v>
      </c>
      <c r="CG762" s="42">
        <f t="shared" si="5232"/>
        <v>5.043909029497861E-2</v>
      </c>
      <c r="CH762" s="42">
        <f t="shared" si="5232"/>
        <v>4.6334841628959275E-2</v>
      </c>
      <c r="CI762" s="42">
        <f t="shared" si="5232"/>
        <v>6.6218571072939991E-2</v>
      </c>
      <c r="CJ762" s="42">
        <f t="shared" si="5232"/>
        <v>5.8461538461538454E-2</v>
      </c>
      <c r="CK762" s="42">
        <f t="shared" si="5232"/>
        <v>5.9621710526315784E-2</v>
      </c>
      <c r="CL762" s="42">
        <f t="shared" si="5232"/>
        <v>6.1185468451242821E-2</v>
      </c>
      <c r="CM762" s="45">
        <f t="shared" si="5232"/>
        <v>6.2900188323917139E-2</v>
      </c>
      <c r="CN762" s="45">
        <f t="shared" si="5232"/>
        <v>5.2616363110725636E-2</v>
      </c>
      <c r="CO762" s="45">
        <f t="shared" si="5232"/>
        <v>4.957962413452028E-2</v>
      </c>
      <c r="CP762" s="45">
        <f t="shared" si="5232"/>
        <v>4.9336309174204153E-2</v>
      </c>
      <c r="CQ762" s="45">
        <f t="shared" si="5232"/>
        <v>5.6474384832593788E-2</v>
      </c>
      <c r="CR762" s="45">
        <f t="shared" si="5232"/>
        <v>5.1867972433804865E-2</v>
      </c>
      <c r="CS762" s="45">
        <f t="shared" ref="CS762:DC762" si="5233">CS735/CS$142</f>
        <v>5.9146425140661457E-2</v>
      </c>
      <c r="CT762" s="45">
        <f t="shared" si="5233"/>
        <v>5.206571635660788E-2</v>
      </c>
      <c r="CU762" s="45">
        <f t="shared" si="5233"/>
        <v>4.2927110342840677E-2</v>
      </c>
      <c r="CV762" s="45">
        <f t="shared" si="5233"/>
        <v>3.5045559226995093E-2</v>
      </c>
      <c r="CW762" s="45">
        <f t="shared" si="5233"/>
        <v>4.259791989378181E-2</v>
      </c>
      <c r="CX762" s="45">
        <f t="shared" si="5233"/>
        <v>4.4878827166650044E-2</v>
      </c>
      <c r="CY762" s="45">
        <f t="shared" si="5233"/>
        <v>3.6504945831370705E-2</v>
      </c>
      <c r="CZ762" s="43">
        <f t="shared" si="5233"/>
        <v>2.6251691474966168E-2</v>
      </c>
      <c r="DA762" s="42">
        <f t="shared" si="5233"/>
        <v>2.9839507928840433E-2</v>
      </c>
      <c r="DB762" s="42">
        <f t="shared" si="5233"/>
        <v>2.7948850401668716E-2</v>
      </c>
      <c r="DC762" s="42">
        <f t="shared" si="5233"/>
        <v>2.6419536651499084E-2</v>
      </c>
      <c r="DD762" s="42">
        <f t="shared" ref="DD762:DI762" si="5234">DD735/DD$142</f>
        <v>2.5646670762310527E-2</v>
      </c>
      <c r="DE762" s="42">
        <f t="shared" si="5234"/>
        <v>2.4823670606063351E-2</v>
      </c>
      <c r="DF762" s="42">
        <f t="shared" si="5234"/>
        <v>2.3184579298199857E-2</v>
      </c>
      <c r="DG762" s="232">
        <f t="shared" si="5234"/>
        <v>2.1647599718207143E-2</v>
      </c>
      <c r="DH762" s="232">
        <f t="shared" si="5234"/>
        <v>2.0206989241319872E-2</v>
      </c>
      <c r="DI762" s="232">
        <f t="shared" si="5234"/>
        <v>1.8857261865999116E-2</v>
      </c>
    </row>
    <row r="763" spans="1:113" outlineLevel="1">
      <c r="A763" s="1" t="s">
        <v>971</v>
      </c>
      <c r="B763" s="19" t="s">
        <v>365</v>
      </c>
      <c r="C763" s="232">
        <f t="shared" ref="C763:L767" si="5235">C737/C$142*2</f>
        <v>6.65513110608279E-2</v>
      </c>
      <c r="D763" s="232">
        <f t="shared" si="5235"/>
        <v>6.437565085676418E-2</v>
      </c>
      <c r="E763" s="232">
        <f t="shared" si="5235"/>
        <v>7.1146588000520594E-2</v>
      </c>
      <c r="F763" s="232">
        <f t="shared" si="5235"/>
        <v>7.2692793931731975E-2</v>
      </c>
      <c r="G763" s="232">
        <f t="shared" si="5235"/>
        <v>8.21851583272903E-2</v>
      </c>
      <c r="H763" s="232">
        <f t="shared" si="5235"/>
        <v>7.6643220955614849E-2</v>
      </c>
      <c r="I763" s="232">
        <f t="shared" si="5235"/>
        <v>9.1204069104621588E-2</v>
      </c>
      <c r="J763" s="232">
        <f t="shared" si="5235"/>
        <v>7.5632869155136367E-2</v>
      </c>
      <c r="K763" s="232">
        <f t="shared" si="5235"/>
        <v>8.4321475625823442E-2</v>
      </c>
      <c r="L763" s="232">
        <f t="shared" si="5235"/>
        <v>6.2823725981620712E-2</v>
      </c>
      <c r="M763" s="42">
        <f t="shared" ref="M763:AG763" si="5236">M737/M$142*2</f>
        <v>8.3636246662592076E-2</v>
      </c>
      <c r="N763" s="42">
        <f t="shared" si="5236"/>
        <v>6.1785425568772381E-2</v>
      </c>
      <c r="O763" s="42">
        <f t="shared" si="5236"/>
        <v>7.7052359405300586E-2</v>
      </c>
      <c r="P763" s="42">
        <f t="shared" si="5236"/>
        <v>5.4628958182257666E-2</v>
      </c>
      <c r="Q763" s="42">
        <f t="shared" si="5236"/>
        <v>0.10882321561933211</v>
      </c>
      <c r="R763" s="42">
        <f t="shared" si="5236"/>
        <v>0.11171527434503212</v>
      </c>
      <c r="S763" s="42">
        <f t="shared" si="5236"/>
        <v>8.4249084249084241E-2</v>
      </c>
      <c r="T763" s="45">
        <f t="shared" si="5236"/>
        <v>6.250813908060944E-2</v>
      </c>
      <c r="U763" s="42">
        <f t="shared" si="5236"/>
        <v>9.9859022556390981E-2</v>
      </c>
      <c r="V763" s="42">
        <f t="shared" si="5236"/>
        <v>7.4284588761642137E-2</v>
      </c>
      <c r="W763" s="42">
        <f t="shared" si="5236"/>
        <v>0.10270417918601475</v>
      </c>
      <c r="X763" s="42">
        <f t="shared" si="5236"/>
        <v>7.9526324955012481E-2</v>
      </c>
      <c r="Y763" s="45">
        <f t="shared" si="5236"/>
        <v>0.1059994619316653</v>
      </c>
      <c r="Z763" s="45">
        <f t="shared" si="5236"/>
        <v>7.5357257731011359E-2</v>
      </c>
      <c r="AA763" s="45">
        <f t="shared" si="5236"/>
        <v>8.2600256060793784E-2</v>
      </c>
      <c r="AB763" s="45">
        <f t="shared" si="5236"/>
        <v>6.7205288284979806E-2</v>
      </c>
      <c r="AC763" s="45">
        <f t="shared" ref="AC763:AF767" si="5237">AC737/AC$142*2</f>
        <v>7.7010032499646747E-2</v>
      </c>
      <c r="AD763" s="45">
        <f t="shared" si="5237"/>
        <v>6.6049537152864643E-2</v>
      </c>
      <c r="AE763" s="45">
        <f t="shared" si="5237"/>
        <v>7.4507895487573639E-2</v>
      </c>
      <c r="AF763" s="45">
        <f t="shared" si="5237"/>
        <v>6.6142205742346041E-2</v>
      </c>
      <c r="AG763" s="45">
        <f t="shared" si="5236"/>
        <v>8.5287846481876331E-2</v>
      </c>
      <c r="AH763" s="45">
        <f t="shared" ref="AH763:AK767" si="5238">AH737/AH$142*2</f>
        <v>6.899301402395687E-2</v>
      </c>
      <c r="AI763" s="45">
        <f t="shared" si="5238"/>
        <v>7.9451439625541909E-2</v>
      </c>
      <c r="AJ763" s="45">
        <f t="shared" si="5238"/>
        <v>7.1126284718517729E-2</v>
      </c>
      <c r="AK763" s="45">
        <f t="shared" si="5238"/>
        <v>9.0572251955537253E-2</v>
      </c>
      <c r="AL763" s="45">
        <f t="shared" ref="AL763:AM767" si="5239">AL737/AL$142*2</f>
        <v>7.893750123339846E-2</v>
      </c>
      <c r="AM763" s="45">
        <f t="shared" si="5239"/>
        <v>7.9729403237496985E-2</v>
      </c>
      <c r="AN763" s="45">
        <f t="shared" ref="AN763:AO767" si="5240">AN737/AN$142*2</f>
        <v>7.1517968889683536E-2</v>
      </c>
      <c r="AO763" s="45">
        <f t="shared" si="5240"/>
        <v>4.0334197637568424E-2</v>
      </c>
      <c r="AP763" s="45">
        <f t="shared" ref="AP763:AQ763" si="5241">AP737/AP$142*2</f>
        <v>5.2194790959862201E-2</v>
      </c>
      <c r="AQ763" s="45">
        <f t="shared" si="5241"/>
        <v>5.7217239554277703E-2</v>
      </c>
      <c r="AR763" s="45">
        <f t="shared" ref="AR763" si="5242">AR737/AR$142*2</f>
        <v>4.9504950495049507E-2</v>
      </c>
      <c r="AS763" s="45">
        <f t="shared" ref="AS763:AX763" si="5243">AS737/AS$142*2</f>
        <v>6.6386368665633994E-2</v>
      </c>
      <c r="AT763" s="45">
        <f t="shared" si="5243"/>
        <v>5.8479532163742694E-2</v>
      </c>
      <c r="AU763" s="45">
        <f t="shared" si="5243"/>
        <v>6.8386784253942928E-2</v>
      </c>
      <c r="AV763" s="45">
        <f t="shared" si="5243"/>
        <v>5.4945054945054944E-2</v>
      </c>
      <c r="AW763" s="45">
        <f t="shared" si="5243"/>
        <v>5.6075185608864368E-2</v>
      </c>
      <c r="AX763" s="45">
        <f t="shared" si="5243"/>
        <v>4.1948263807970169E-2</v>
      </c>
      <c r="AY763" s="45">
        <f t="shared" ref="AY763:BE763" si="5244">AY737/AY$142*2</f>
        <v>4.0208776338681619E-2</v>
      </c>
      <c r="AZ763" s="43">
        <f t="shared" si="5244"/>
        <v>4.1815318641624931E-2</v>
      </c>
      <c r="BA763" s="42">
        <f t="shared" si="5244"/>
        <v>4.5185540577958365E-2</v>
      </c>
      <c r="BB763" s="42">
        <f t="shared" si="5244"/>
        <v>3.9214881792743607E-2</v>
      </c>
      <c r="BC763" s="42">
        <f t="shared" si="5244"/>
        <v>4.2275572036137563E-2</v>
      </c>
      <c r="BD763" s="42">
        <f t="shared" si="5244"/>
        <v>3.6760200639815513E-2</v>
      </c>
      <c r="BE763" s="42">
        <f t="shared" si="5244"/>
        <v>4.025834156418908E-2</v>
      </c>
      <c r="BF763" s="42">
        <f t="shared" ref="BF763:BI767" si="5245">BF737/BF$142*2</f>
        <v>3.5822612643511297E-2</v>
      </c>
      <c r="BG763" s="42">
        <f t="shared" si="5245"/>
        <v>3.8948611968502481E-2</v>
      </c>
      <c r="BH763" s="42">
        <f t="shared" si="5245"/>
        <v>3.4792747322757667E-2</v>
      </c>
      <c r="BI763" s="42">
        <f t="shared" si="5245"/>
        <v>3.7584067828471984E-2</v>
      </c>
      <c r="BJ763" s="42">
        <f t="shared" ref="BJ763:BM767" si="5246">BJ737/BJ$142*2</f>
        <v>3.2530158612145074E-2</v>
      </c>
      <c r="BK763" s="42">
        <f t="shared" si="5246"/>
        <v>3.5069111543495575E-2</v>
      </c>
      <c r="BL763" s="232">
        <f t="shared" si="5246"/>
        <v>3.04050085414579E-2</v>
      </c>
      <c r="BM763" s="232">
        <f t="shared" si="5246"/>
        <v>3.2714200282532635E-2</v>
      </c>
      <c r="BN763" s="232">
        <f t="shared" ref="BN763:BO763" si="5247">BN737/BN$142*2</f>
        <v>2.8409944668447762E-2</v>
      </c>
      <c r="BO763" s="232">
        <f t="shared" si="5247"/>
        <v>3.0509972141365659E-2</v>
      </c>
      <c r="BP763" s="232">
        <f t="shared" ref="BP763:BQ763" si="5248">BP737/BP$142*2</f>
        <v>2.6537898347715676E-2</v>
      </c>
      <c r="BQ763" s="232">
        <f t="shared" si="5248"/>
        <v>2.8447526472135807E-2</v>
      </c>
      <c r="BR763" s="42"/>
      <c r="BS763" s="232">
        <f t="shared" ref="BS763:CB767" si="5249">BS737/BS$142</f>
        <v>8.3381972817476863E-2</v>
      </c>
      <c r="BT763" s="232">
        <f t="shared" si="5249"/>
        <v>7.2144742967175879E-2</v>
      </c>
      <c r="BU763" s="232">
        <f t="shared" si="5249"/>
        <v>0.11525384659713017</v>
      </c>
      <c r="BV763" s="232">
        <f t="shared" si="5249"/>
        <v>0.13117691286333605</v>
      </c>
      <c r="BW763" s="232">
        <f t="shared" si="5249"/>
        <v>0.13444072657743786</v>
      </c>
      <c r="BX763" s="232">
        <f t="shared" si="5249"/>
        <v>9.9609374999999986E-2</v>
      </c>
      <c r="BY763" s="232">
        <f t="shared" si="5249"/>
        <v>8.6252653927813158E-2</v>
      </c>
      <c r="BZ763" s="232">
        <f t="shared" si="5249"/>
        <v>7.4714137214137208E-2</v>
      </c>
      <c r="CA763" s="232">
        <f t="shared" si="5249"/>
        <v>7.3356807511737065E-2</v>
      </c>
      <c r="CB763" s="232">
        <f t="shared" si="5249"/>
        <v>6.0339855361817289E-2</v>
      </c>
      <c r="CC763" s="42">
        <f t="shared" ref="CC763:CR763" si="5250">CC737/CC$142</f>
        <v>6.5073098780963942E-2</v>
      </c>
      <c r="CD763" s="42">
        <f t="shared" si="5250"/>
        <v>7.4450084602368849E-2</v>
      </c>
      <c r="CE763" s="42">
        <f t="shared" si="5250"/>
        <v>8.0242041568008404E-2</v>
      </c>
      <c r="CF763" s="42">
        <f t="shared" si="5250"/>
        <v>7.4157726331639362E-2</v>
      </c>
      <c r="CG763" s="42">
        <f t="shared" si="5250"/>
        <v>7.2055843278540879E-2</v>
      </c>
      <c r="CH763" s="42">
        <f t="shared" si="5250"/>
        <v>6.6192630898513252E-2</v>
      </c>
      <c r="CI763" s="42">
        <f t="shared" si="5250"/>
        <v>9.4597958675628563E-2</v>
      </c>
      <c r="CJ763" s="42">
        <f t="shared" si="5250"/>
        <v>8.3516483516483497E-2</v>
      </c>
      <c r="CK763" s="42">
        <f t="shared" si="5250"/>
        <v>8.5173872180451138E-2</v>
      </c>
      <c r="CL763" s="42">
        <f t="shared" si="5250"/>
        <v>8.7407812073204041E-2</v>
      </c>
      <c r="CM763" s="45">
        <f t="shared" si="5250"/>
        <v>8.985741189131019E-2</v>
      </c>
      <c r="CN763" s="45">
        <f t="shared" si="5250"/>
        <v>7.516623301532234E-2</v>
      </c>
      <c r="CO763" s="45">
        <f t="shared" si="5250"/>
        <v>7.0828034477886118E-2</v>
      </c>
      <c r="CP763" s="45">
        <f t="shared" si="5250"/>
        <v>7.0480441677434516E-2</v>
      </c>
      <c r="CQ763" s="45">
        <f t="shared" si="5250"/>
        <v>8.0677692617991126E-2</v>
      </c>
      <c r="CR763" s="45">
        <f t="shared" si="5250"/>
        <v>7.4097103476864101E-2</v>
      </c>
      <c r="CS763" s="45">
        <f t="shared" ref="CS763:CZ767" si="5251">CS737/CS$142</f>
        <v>8.44948930580878E-2</v>
      </c>
      <c r="CT763" s="45">
        <f t="shared" si="5251"/>
        <v>7.4379594795154116E-2</v>
      </c>
      <c r="CU763" s="45">
        <f t="shared" si="5251"/>
        <v>6.1324443346915253E-2</v>
      </c>
      <c r="CV763" s="45">
        <f t="shared" si="5251"/>
        <v>5.0065084609992989E-2</v>
      </c>
      <c r="CW763" s="45">
        <f t="shared" si="5251"/>
        <v>6.0854171276831161E-2</v>
      </c>
      <c r="CX763" s="45">
        <f t="shared" si="5251"/>
        <v>6.4112610238071494E-2</v>
      </c>
      <c r="CY763" s="45">
        <f t="shared" si="5251"/>
        <v>5.2149922616243863E-2</v>
      </c>
      <c r="CZ763" s="43">
        <f t="shared" si="5251"/>
        <v>3.750241639280881E-2</v>
      </c>
      <c r="DA763" s="42">
        <f t="shared" ref="DA763:DB767" si="5252">DA737/DA$142</f>
        <v>4.2627868469772047E-2</v>
      </c>
      <c r="DB763" s="42">
        <f t="shared" si="5252"/>
        <v>3.9926929145241027E-2</v>
      </c>
      <c r="DC763" s="42">
        <f t="shared" ref="DC763:DD767" si="5253">DC737/DC$142</f>
        <v>3.7742195216427264E-2</v>
      </c>
      <c r="DD763" s="42">
        <f t="shared" si="5253"/>
        <v>3.6638101089015038E-2</v>
      </c>
      <c r="DE763" s="42">
        <f t="shared" ref="DE763:DF767" si="5254">DE737/DE$142</f>
        <v>3.5462386580090509E-2</v>
      </c>
      <c r="DF763" s="42">
        <f t="shared" si="5254"/>
        <v>3.3120827568856939E-2</v>
      </c>
      <c r="DG763" s="232">
        <f t="shared" ref="DG763:DH767" si="5255">DG737/DG$142</f>
        <v>3.0925142454581639E-2</v>
      </c>
      <c r="DH763" s="232">
        <f t="shared" si="5255"/>
        <v>2.8867127487599821E-2</v>
      </c>
      <c r="DI763" s="232">
        <f>DI737/DI$142</f>
        <v>2.6938945522855882E-2</v>
      </c>
    </row>
    <row r="764" spans="1:113" outlineLevel="1">
      <c r="A764" s="1" t="s">
        <v>17</v>
      </c>
      <c r="B764" s="19" t="s">
        <v>366</v>
      </c>
      <c r="C764" s="232" t="e">
        <f t="shared" si="5235"/>
        <v>#VALUE!</v>
      </c>
      <c r="D764" s="232">
        <f t="shared" si="5235"/>
        <v>3.8922448216682809E-2</v>
      </c>
      <c r="E764" s="232">
        <f t="shared" si="5235"/>
        <v>5.074974631185792E-2</v>
      </c>
      <c r="F764" s="232">
        <f t="shared" si="5235"/>
        <v>0.12312632572681023</v>
      </c>
      <c r="G764" s="232">
        <f t="shared" si="5235"/>
        <v>6.7735867896167104E-2</v>
      </c>
      <c r="H764" s="232">
        <f t="shared" si="5235"/>
        <v>4.4734208297709396E-2</v>
      </c>
      <c r="I764" s="232">
        <f t="shared" si="5235"/>
        <v>3.4973671917608876E-2</v>
      </c>
      <c r="J764" s="232">
        <f t="shared" si="5235"/>
        <v>3.8799433272237352E-2</v>
      </c>
      <c r="K764" s="232">
        <f t="shared" si="5235"/>
        <v>5.6385432935178482E-2</v>
      </c>
      <c r="L764" s="232">
        <f t="shared" si="5235"/>
        <v>3.4731637837763805E-2</v>
      </c>
      <c r="M764" s="42">
        <f t="shared" ref="M764:AG764" si="5256">M738/M$142*2</f>
        <v>6.8270808709434638E-2</v>
      </c>
      <c r="N764" s="42">
        <f t="shared" si="5256"/>
        <v>3.3998443626802863E-2</v>
      </c>
      <c r="O764" s="42">
        <f t="shared" si="5256"/>
        <v>3.9782609456418649E-2</v>
      </c>
      <c r="P764" s="42">
        <f t="shared" si="5256"/>
        <v>1.6479971393257204E-2</v>
      </c>
      <c r="Q764" s="42">
        <f t="shared" si="5256"/>
        <v>6.1489994286979349E-2</v>
      </c>
      <c r="R764" s="42">
        <f t="shared" si="5256"/>
        <v>-0.15277912256473239</v>
      </c>
      <c r="S764" s="42">
        <f t="shared" si="5256"/>
        <v>1.6430837835520108E-2</v>
      </c>
      <c r="T764" s="45">
        <f t="shared" si="5256"/>
        <v>2.7628624835476203E-2</v>
      </c>
      <c r="U764" s="42">
        <f t="shared" si="5256"/>
        <v>4.969477788037345E-2</v>
      </c>
      <c r="V764" s="42">
        <f t="shared" si="5256"/>
        <v>5.1980865945168854E-2</v>
      </c>
      <c r="W764" s="42">
        <f t="shared" si="5256"/>
        <v>5.961736892130285E-2</v>
      </c>
      <c r="X764" s="42">
        <f t="shared" si="5256"/>
        <v>3.46063553064637E-2</v>
      </c>
      <c r="Y764" s="45">
        <f t="shared" si="5256"/>
        <v>6.200532255973009E-2</v>
      </c>
      <c r="Z764" s="45">
        <f t="shared" si="5256"/>
        <v>3.4462160547718605E-2</v>
      </c>
      <c r="AA764" s="45">
        <f t="shared" si="5256"/>
        <v>0</v>
      </c>
      <c r="AB764" s="45">
        <f t="shared" si="5256"/>
        <v>5.1509743553692998E-2</v>
      </c>
      <c r="AC764" s="45">
        <f t="shared" si="5237"/>
        <v>3.4364861370034944E-2</v>
      </c>
      <c r="AD764" s="45">
        <f t="shared" si="5237"/>
        <v>5.0970902667426751E-2</v>
      </c>
      <c r="AE764" s="45">
        <f t="shared" si="5237"/>
        <v>3.8223979775328751E-2</v>
      </c>
      <c r="AF764" s="45">
        <f t="shared" si="5237"/>
        <v>-2.8790544884055348E-2</v>
      </c>
      <c r="AG764" s="45">
        <f t="shared" si="5256"/>
        <v>4.4516713948955899E-2</v>
      </c>
      <c r="AH764" s="45">
        <f t="shared" si="5238"/>
        <v>4.5567828603867926E-2</v>
      </c>
      <c r="AI764" s="45">
        <f t="shared" si="5238"/>
        <v>4.0282753511346081E-2</v>
      </c>
      <c r="AJ764" s="45">
        <f t="shared" si="5238"/>
        <v>3.4436976184548995E-2</v>
      </c>
      <c r="AK764" s="45">
        <f t="shared" si="5238"/>
        <v>4.6505084968013671E-2</v>
      </c>
      <c r="AL764" s="45">
        <f t="shared" si="5239"/>
        <v>5.1980993792917721E-2</v>
      </c>
      <c r="AM764" s="45">
        <f t="shared" si="5239"/>
        <v>4.8361823468827926E-2</v>
      </c>
      <c r="AN764" s="45">
        <f t="shared" si="5240"/>
        <v>5.7859209257473482E-2</v>
      </c>
      <c r="AO764" s="45">
        <f t="shared" si="5240"/>
        <v>5.765285457360584E-2</v>
      </c>
      <c r="AP764" s="45">
        <f t="shared" ref="AP764:AQ764" si="5257">AP738/AP$142*2</f>
        <v>2.0242928908237333E-2</v>
      </c>
      <c r="AQ764" s="45">
        <f t="shared" si="5257"/>
        <v>3.0072954886499172E-2</v>
      </c>
      <c r="AR764" s="45">
        <f t="shared" ref="AR764" si="5258">AR738/AR$142*2</f>
        <v>0.10867190167292591</v>
      </c>
      <c r="AS764" s="45">
        <f t="shared" ref="AS764:AT764" si="5259">AS738/AS$142*2</f>
        <v>4.489391167392346E-2</v>
      </c>
      <c r="AT764" s="45">
        <f t="shared" si="5259"/>
        <v>5.637495902982629E-2</v>
      </c>
      <c r="AU764" s="45">
        <f t="shared" ref="AU764:AV764" si="5260">AU738/AU$142*2</f>
        <v>5.6204331391296915E-2</v>
      </c>
      <c r="AV764" s="45">
        <f t="shared" si="5260"/>
        <v>4.4637227682989118E-2</v>
      </c>
      <c r="AW764" s="45">
        <f t="shared" ref="AW764:AX764" si="5261">AW738/AW$142*2</f>
        <v>3.4987161832610268E-2</v>
      </c>
      <c r="AX764" s="45">
        <f t="shared" si="5261"/>
        <v>3.2798145445179012E-2</v>
      </c>
      <c r="AY764" s="45">
        <f t="shared" ref="AY764:BE764" si="5262">AY738/AY$142*2</f>
        <v>2.4376663148830375E-2</v>
      </c>
      <c r="AZ764" s="43">
        <f t="shared" si="5262"/>
        <v>3.2412937999286628E-2</v>
      </c>
      <c r="BA764" s="42">
        <f t="shared" si="5262"/>
        <v>2.8048851157308707E-2</v>
      </c>
      <c r="BB764" s="42">
        <f t="shared" si="5262"/>
        <v>3.8944719927754182E-2</v>
      </c>
      <c r="BC764" s="42">
        <f t="shared" si="5262"/>
        <v>3.4606516829733799E-2</v>
      </c>
      <c r="BD764" s="42">
        <f t="shared" si="5262"/>
        <v>3.6350187921204112E-2</v>
      </c>
      <c r="BE764" s="42">
        <f t="shared" si="5262"/>
        <v>3.234032468595404E-2</v>
      </c>
      <c r="BF764" s="42">
        <f t="shared" si="5245"/>
        <v>3.439879861028064E-2</v>
      </c>
      <c r="BG764" s="42">
        <f t="shared" si="5245"/>
        <v>2.4029067880964688E-2</v>
      </c>
      <c r="BH764" s="42">
        <f t="shared" si="5245"/>
        <v>2.6125923593962739E-2</v>
      </c>
      <c r="BI764" s="42">
        <f t="shared" si="5245"/>
        <v>2.3338255517642466E-2</v>
      </c>
      <c r="BJ764" s="42">
        <f t="shared" ref="BJ764:BK764" si="5263">BJ738/BJ$142*2</f>
        <v>2.521061559860064E-2</v>
      </c>
      <c r="BK764" s="42">
        <f t="shared" si="5263"/>
        <v>2.1820557792603355E-2</v>
      </c>
      <c r="BL764" s="232">
        <f t="shared" si="5246"/>
        <v>2.3523634922714531E-2</v>
      </c>
      <c r="BM764" s="232">
        <f t="shared" si="5246"/>
        <v>2.0395051065498999E-2</v>
      </c>
      <c r="BN764" s="232">
        <f t="shared" ref="BN764:BO764" si="5264">BN738/BN$142*2</f>
        <v>2.1944009139792293E-2</v>
      </c>
      <c r="BO764" s="232">
        <f t="shared" si="5264"/>
        <v>1.9056803470090731E-2</v>
      </c>
      <c r="BP764" s="232">
        <f t="shared" ref="BP764:BQ764" si="5265">BP738/BP$142*2</f>
        <v>2.0465458478054675E-2</v>
      </c>
      <c r="BQ764" s="232">
        <f t="shared" si="5265"/>
        <v>1.7801073505198578E-2</v>
      </c>
      <c r="BR764" s="42"/>
      <c r="BS764" s="232">
        <f t="shared" si="5249"/>
        <v>0</v>
      </c>
      <c r="BT764" s="232">
        <f t="shared" si="5249"/>
        <v>4.1067368445346739E-2</v>
      </c>
      <c r="BU764" s="232">
        <f t="shared" si="5249"/>
        <v>7.0148609677198812E-2</v>
      </c>
      <c r="BV764" s="232">
        <f t="shared" si="5249"/>
        <v>5.6490490574091855E-2</v>
      </c>
      <c r="BW764" s="232">
        <f t="shared" si="5249"/>
        <v>7.7350050415657859E-2</v>
      </c>
      <c r="BX764" s="232">
        <f t="shared" si="5249"/>
        <v>6.7134678298800446E-2</v>
      </c>
      <c r="BY764" s="232">
        <f t="shared" si="5249"/>
        <v>5.6788347830057304E-2</v>
      </c>
      <c r="BZ764" s="232">
        <f t="shared" si="5249"/>
        <v>-2.4086820203325057E-2</v>
      </c>
      <c r="CA764" s="232">
        <f t="shared" si="5249"/>
        <v>-0.29728894763764169</v>
      </c>
      <c r="CB764" s="232">
        <f t="shared" si="5249"/>
        <v>4.1925213228287905E-2</v>
      </c>
      <c r="CC764" s="42">
        <f t="shared" ref="CC764:CR764" si="5266">CC738/CC$142</f>
        <v>4.3225242594272489E-2</v>
      </c>
      <c r="CD764" s="42">
        <f t="shared" si="5266"/>
        <v>9.0359218268039165E-2</v>
      </c>
      <c r="CE764" s="42">
        <f t="shared" si="5266"/>
        <v>3.7707444124833414E-2</v>
      </c>
      <c r="CF764" s="42">
        <f t="shared" si="5266"/>
        <v>4.4643044696266482E-2</v>
      </c>
      <c r="CG764" s="42">
        <f t="shared" si="5266"/>
        <v>5.1155499651471897E-2</v>
      </c>
      <c r="CH764" s="42">
        <f t="shared" si="5266"/>
        <v>3.530856253387521E-2</v>
      </c>
      <c r="CI764" s="42">
        <f t="shared" si="5266"/>
        <v>4.3177072574694615E-2</v>
      </c>
      <c r="CJ764" s="42">
        <f t="shared" si="5266"/>
        <v>-4.5034966621241242E-2</v>
      </c>
      <c r="CK764" s="42">
        <f t="shared" si="5266"/>
        <v>4.0693592904174895E-2</v>
      </c>
      <c r="CL764" s="42">
        <f t="shared" si="5266"/>
        <v>5.5362916945392492E-2</v>
      </c>
      <c r="CM764" s="45">
        <f t="shared" si="5266"/>
        <v>4.7402801938310625E-2</v>
      </c>
      <c r="CN764" s="45">
        <f t="shared" si="5266"/>
        <v>1.5523003875011595E-2</v>
      </c>
      <c r="CO764" s="45">
        <f t="shared" si="5266"/>
        <v>4.2185571402726038E-2</v>
      </c>
      <c r="CP764" s="45">
        <f t="shared" si="5266"/>
        <v>4.4727804836793866E-2</v>
      </c>
      <c r="CQ764" s="45">
        <f t="shared" si="5266"/>
        <v>6.0599605697506621E-3</v>
      </c>
      <c r="CR764" s="45">
        <f t="shared" si="5266"/>
        <v>4.2835878786837867E-2</v>
      </c>
      <c r="CS764" s="45">
        <f t="shared" si="5251"/>
        <v>4.2253225726252348E-2</v>
      </c>
      <c r="CT764" s="45">
        <f t="shared" si="5251"/>
        <v>4.6911720323514386E-2</v>
      </c>
      <c r="CU764" s="45">
        <f t="shared" si="5251"/>
        <v>6.2123393720626967E-2</v>
      </c>
      <c r="CV764" s="45">
        <f t="shared" si="5251"/>
        <v>2.3361821525521291E-2</v>
      </c>
      <c r="CW764" s="45">
        <f t="shared" si="5251"/>
        <v>8.3567664621102947E-2</v>
      </c>
      <c r="CX764" s="45">
        <f t="shared" si="5251"/>
        <v>5.6946835260772252E-2</v>
      </c>
      <c r="CY764" s="45">
        <f t="shared" si="5251"/>
        <v>3.7094087216575131E-2</v>
      </c>
      <c r="CZ764" s="43">
        <f t="shared" si="5251"/>
        <v>2.5791351302354795E-2</v>
      </c>
      <c r="DA764" s="42">
        <f t="shared" si="5252"/>
        <v>2.9554459497902925E-2</v>
      </c>
      <c r="DB764" s="42">
        <f t="shared" si="5252"/>
        <v>3.5966504784879789E-2</v>
      </c>
      <c r="DC764" s="42">
        <f t="shared" si="5253"/>
        <v>3.3589578569973813E-2</v>
      </c>
      <c r="DD764" s="42">
        <f t="shared" si="5253"/>
        <v>2.8500544572885998E-2</v>
      </c>
      <c r="DE764" s="42">
        <f t="shared" si="5254"/>
        <v>2.4186919354647649E-2</v>
      </c>
      <c r="DF764" s="42">
        <f t="shared" si="5254"/>
        <v>2.2989516245778538E-2</v>
      </c>
      <c r="DG764" s="232">
        <f t="shared" si="5255"/>
        <v>2.1468474805788416E-2</v>
      </c>
      <c r="DH764" s="232">
        <f t="shared" si="5255"/>
        <v>2.0042500201302316E-2</v>
      </c>
      <c r="DI764" s="232">
        <f>DI738/DI$142</f>
        <v>1.8706212835971389E-2</v>
      </c>
    </row>
    <row r="765" spans="1:113" outlineLevel="1">
      <c r="A765" s="1" t="s">
        <v>18</v>
      </c>
      <c r="B765" s="19" t="s">
        <v>714</v>
      </c>
      <c r="C765" s="232" t="e">
        <f t="shared" si="5235"/>
        <v>#VALUE!</v>
      </c>
      <c r="D765" s="232">
        <f t="shared" si="5235"/>
        <v>5.3880775177991884E-2</v>
      </c>
      <c r="E765" s="232">
        <f t="shared" si="5235"/>
        <v>6.6032836103766993E-2</v>
      </c>
      <c r="F765" s="232">
        <f t="shared" si="5235"/>
        <v>0.16029376105017573</v>
      </c>
      <c r="G765" s="232">
        <f t="shared" si="5235"/>
        <v>8.8056628265017242E-2</v>
      </c>
      <c r="H765" s="232">
        <f t="shared" si="5235"/>
        <v>6.1509536409350425E-2</v>
      </c>
      <c r="I765" s="232">
        <f t="shared" si="5235"/>
        <v>5.2421376495246759E-2</v>
      </c>
      <c r="J765" s="232">
        <f t="shared" si="5235"/>
        <v>5.5697866646643272E-2</v>
      </c>
      <c r="K765" s="232">
        <f t="shared" si="5235"/>
        <v>7.5064660057316906E-2</v>
      </c>
      <c r="L765" s="232">
        <f t="shared" si="5235"/>
        <v>4.8010737225577603E-2</v>
      </c>
      <c r="M765" s="42">
        <f t="shared" ref="M765:AG765" si="5267">M739/M$142*2</f>
        <v>8.3302803141027962E-2</v>
      </c>
      <c r="N765" s="42">
        <f t="shared" si="5267"/>
        <v>4.5169360818466661E-2</v>
      </c>
      <c r="O765" s="42">
        <f t="shared" si="5267"/>
        <v>5.3741518024307704E-2</v>
      </c>
      <c r="P765" s="42">
        <f t="shared" si="5267"/>
        <v>2.6381280351631949E-2</v>
      </c>
      <c r="Q765" s="42">
        <f t="shared" si="5267"/>
        <v>8.1184263964687503E-2</v>
      </c>
      <c r="R765" s="42">
        <f t="shared" si="5267"/>
        <v>-0.13100012594485946</v>
      </c>
      <c r="S765" s="42">
        <f t="shared" si="5267"/>
        <v>3.1840444950812841E-2</v>
      </c>
      <c r="T765" s="45">
        <f t="shared" si="5267"/>
        <v>3.8956429422638522E-2</v>
      </c>
      <c r="U765" s="42">
        <f t="shared" si="5267"/>
        <v>6.7784135045215382E-2</v>
      </c>
      <c r="V765" s="42">
        <f t="shared" si="5267"/>
        <v>6.5380135381034862E-2</v>
      </c>
      <c r="W765" s="42">
        <f t="shared" si="5267"/>
        <v>7.819364232854327E-2</v>
      </c>
      <c r="X765" s="42">
        <f t="shared" si="5267"/>
        <v>4.9076889204880764E-2</v>
      </c>
      <c r="Y765" s="45">
        <f t="shared" si="5267"/>
        <v>8.11983526203469E-2</v>
      </c>
      <c r="Z765" s="45">
        <f t="shared" si="5267"/>
        <v>4.8138196891392197E-2</v>
      </c>
      <c r="AA765" s="45">
        <f t="shared" si="5267"/>
        <v>0</v>
      </c>
      <c r="AB765" s="45">
        <f t="shared" si="5267"/>
        <v>6.4755106181785482E-2</v>
      </c>
      <c r="AC765" s="45">
        <f t="shared" si="5237"/>
        <v>4.5986886328629017E-2</v>
      </c>
      <c r="AD765" s="45">
        <f t="shared" si="5237"/>
        <v>6.407770621047934E-2</v>
      </c>
      <c r="AE765" s="45">
        <f t="shared" si="5237"/>
        <v>5.0179707331321252E-2</v>
      </c>
      <c r="AF765" s="45">
        <f t="shared" si="5237"/>
        <v>-1.5843758160298916E-2</v>
      </c>
      <c r="AG765" s="45">
        <f t="shared" si="5267"/>
        <v>5.8197460186927716E-2</v>
      </c>
      <c r="AH765" s="45">
        <f t="shared" si="5238"/>
        <v>5.9416375397445653E-2</v>
      </c>
      <c r="AI765" s="45">
        <f t="shared" si="5238"/>
        <v>5.2650103850717861E-2</v>
      </c>
      <c r="AJ765" s="45">
        <f t="shared" si="5238"/>
        <v>4.9075501368772208E-2</v>
      </c>
      <c r="AK765" s="45">
        <f t="shared" si="5238"/>
        <v>6.0608170002776129E-2</v>
      </c>
      <c r="AL765" s="45">
        <f t="shared" si="5239"/>
        <v>6.8361756598498455E-2</v>
      </c>
      <c r="AM765" s="45">
        <f t="shared" si="5239"/>
        <v>6.0797720932240833E-2</v>
      </c>
      <c r="AN765" s="45">
        <f t="shared" si="5240"/>
        <v>7.2737291637966661E-2</v>
      </c>
      <c r="AO765" s="45">
        <f t="shared" si="5240"/>
        <v>7.2477874321104488E-2</v>
      </c>
      <c r="AP765" s="45">
        <f t="shared" ref="AP765:AQ765" si="5268">AP739/AP$142*2</f>
        <v>2.638245177707536E-2</v>
      </c>
      <c r="AQ765" s="45">
        <f t="shared" si="5268"/>
        <v>3.7806000428741819E-2</v>
      </c>
      <c r="AR765" s="45">
        <f t="shared" ref="AR765" si="5269">AR739/AR$142*2</f>
        <v>0.11905477247232113</v>
      </c>
      <c r="AS765" s="45">
        <f t="shared" ref="AS765:AT765" si="5270">AS739/AS$142*2</f>
        <v>5.4868563746571793E-2</v>
      </c>
      <c r="AT765" s="45">
        <f t="shared" si="5270"/>
        <v>6.6935283143946395E-2</v>
      </c>
      <c r="AU765" s="45">
        <f t="shared" ref="AU765:AV765" si="5271">AU739/AU$142*2</f>
        <v>6.6998079327401441E-2</v>
      </c>
      <c r="AV765" s="45">
        <f t="shared" si="5271"/>
        <v>5.5692189225572571E-2</v>
      </c>
      <c r="AW765" s="45">
        <f t="shared" ref="AW765:AX765" si="5272">AW739/AW$142*2</f>
        <v>4.3674961061431331E-2</v>
      </c>
      <c r="AX765" s="45">
        <f t="shared" si="5272"/>
        <v>4.1195826582621463E-2</v>
      </c>
      <c r="AY765" s="45">
        <f t="shared" ref="AY765:BE765" si="5273">AY739/AY$142*2</f>
        <v>3.0644947958529609E-2</v>
      </c>
      <c r="AZ765" s="43">
        <f t="shared" si="5273"/>
        <v>4.0747693484817479E-2</v>
      </c>
      <c r="BA765" s="42">
        <f t="shared" si="5273"/>
        <v>3.5261412883473807E-2</v>
      </c>
      <c r="BB765" s="42">
        <f t="shared" si="5273"/>
        <v>4.6755650331384159E-2</v>
      </c>
      <c r="BC765" s="42">
        <f t="shared" si="5273"/>
        <v>4.1384781696685295E-2</v>
      </c>
      <c r="BD765" s="42">
        <f t="shared" si="5273"/>
        <v>4.3656911088950347E-2</v>
      </c>
      <c r="BE765" s="42">
        <f t="shared" si="5273"/>
        <v>3.8693308314355891E-2</v>
      </c>
      <c r="BF765" s="42">
        <f t="shared" si="5245"/>
        <v>4.1355823915772708E-2</v>
      </c>
      <c r="BG765" s="42">
        <f t="shared" si="5245"/>
        <v>3.0207971050355605E-2</v>
      </c>
      <c r="BH765" s="42">
        <f t="shared" si="5245"/>
        <v>3.2844018232410302E-2</v>
      </c>
      <c r="BI765" s="42">
        <f t="shared" si="5245"/>
        <v>2.9339521222179102E-2</v>
      </c>
      <c r="BJ765" s="42">
        <f t="shared" ref="BJ765:BK765" si="5274">BJ739/BJ$142*2</f>
        <v>3.169334532395509E-2</v>
      </c>
      <c r="BK765" s="42">
        <f t="shared" si="5274"/>
        <v>2.7431558367844219E-2</v>
      </c>
      <c r="BL765" s="232">
        <f t="shared" si="5246"/>
        <v>2.9572569617126839E-2</v>
      </c>
      <c r="BM765" s="232">
        <f t="shared" si="5246"/>
        <v>2.5639492768055886E-2</v>
      </c>
      <c r="BN765" s="232">
        <f t="shared" ref="BN765:BO765" si="5275">BN739/BN$142*2</f>
        <v>2.7586754347167456E-2</v>
      </c>
      <c r="BO765" s="232">
        <f t="shared" si="5275"/>
        <v>2.3957124362399773E-2</v>
      </c>
      <c r="BP765" s="232">
        <f t="shared" ref="BP765:BQ765" si="5276">BP739/BP$142*2</f>
        <v>2.5728004943840165E-2</v>
      </c>
      <c r="BQ765" s="232">
        <f t="shared" si="5276"/>
        <v>2.2378492406535357E-2</v>
      </c>
      <c r="BR765" s="42"/>
      <c r="BS765" s="232">
        <f t="shared" si="5249"/>
        <v>0</v>
      </c>
      <c r="BT765" s="232">
        <f t="shared" si="5249"/>
        <v>5.7982266393738185E-2</v>
      </c>
      <c r="BU765" s="232">
        <f t="shared" si="5249"/>
        <v>9.7136558020364999E-2</v>
      </c>
      <c r="BV765" s="232">
        <f t="shared" si="5249"/>
        <v>7.9486443286414493E-2</v>
      </c>
      <c r="BW765" s="232">
        <f t="shared" si="5249"/>
        <v>0.11103099033716332</v>
      </c>
      <c r="BX765" s="232">
        <f t="shared" si="5249"/>
        <v>9.03217011995638E-2</v>
      </c>
      <c r="BY765" s="232">
        <f t="shared" si="5249"/>
        <v>7.8811668150583297E-2</v>
      </c>
      <c r="BZ765" s="232">
        <f t="shared" si="5249"/>
        <v>-3.8821495132174751E-3</v>
      </c>
      <c r="CA765" s="232">
        <f t="shared" si="5249"/>
        <v>-0.27636554814183689</v>
      </c>
      <c r="CB765" s="232">
        <f t="shared" si="5249"/>
        <v>5.6490583869793248E-2</v>
      </c>
      <c r="CC765" s="42">
        <f t="shared" ref="CC765:CR765" si="5277">CC739/CC$142</f>
        <v>5.7722697554261626E-2</v>
      </c>
      <c r="CD765" s="42">
        <f t="shared" si="5277"/>
        <v>0.11757227235055588</v>
      </c>
      <c r="CE765" s="42">
        <f t="shared" si="5277"/>
        <v>5.4012309141093208E-2</v>
      </c>
      <c r="CF765" s="42">
        <f t="shared" si="5277"/>
        <v>6.1138130606366053E-2</v>
      </c>
      <c r="CG765" s="42">
        <f t="shared" si="5277"/>
        <v>6.5140137204643206E-2</v>
      </c>
      <c r="CH765" s="42">
        <f t="shared" si="5277"/>
        <v>4.7357480925939943E-2</v>
      </c>
      <c r="CI765" s="42">
        <f t="shared" si="5277"/>
        <v>6.0407052907718445E-2</v>
      </c>
      <c r="CJ765" s="42">
        <f t="shared" si="5277"/>
        <v>-2.9363012774405166E-2</v>
      </c>
      <c r="CK765" s="42">
        <f t="shared" si="5277"/>
        <v>5.6223045644182179E-2</v>
      </c>
      <c r="CL765" s="42">
        <f t="shared" si="5277"/>
        <v>7.125008355585169E-2</v>
      </c>
      <c r="CM765" s="45">
        <f t="shared" si="5277"/>
        <v>6.3817178547972905E-2</v>
      </c>
      <c r="CN765" s="45">
        <f t="shared" si="5277"/>
        <v>2.1683185412779353E-2</v>
      </c>
      <c r="CO765" s="45">
        <f t="shared" si="5277"/>
        <v>5.4436131702518951E-2</v>
      </c>
      <c r="CP765" s="45">
        <f t="shared" si="5277"/>
        <v>5.7293118494770021E-2</v>
      </c>
      <c r="CQ765" s="45">
        <f t="shared" si="5277"/>
        <v>2.0343812957824999E-2</v>
      </c>
      <c r="CR765" s="45">
        <f t="shared" si="5277"/>
        <v>5.5916798159631305E-2</v>
      </c>
      <c r="CS765" s="45">
        <f t="shared" si="5251"/>
        <v>5.7370259014529267E-2</v>
      </c>
      <c r="CT765" s="45">
        <f t="shared" si="5251"/>
        <v>6.0290443412402667E-2</v>
      </c>
      <c r="CU765" s="45">
        <f t="shared" si="5251"/>
        <v>7.809798067735961E-2</v>
      </c>
      <c r="CV765" s="45">
        <f t="shared" si="5251"/>
        <v>2.9752964568224401E-2</v>
      </c>
      <c r="CW765" s="45">
        <f t="shared" si="5251"/>
        <v>9.4364949818462801E-2</v>
      </c>
      <c r="CX765" s="45">
        <f t="shared" si="5251"/>
        <v>6.7746585487147515E-2</v>
      </c>
      <c r="CY765" s="45">
        <f t="shared" si="5251"/>
        <v>4.6292294650089438E-2</v>
      </c>
      <c r="CZ765" s="43">
        <f t="shared" si="5251"/>
        <v>3.2408429118065178E-2</v>
      </c>
      <c r="DA765" s="42">
        <f t="shared" si="5252"/>
        <v>3.7154177654506536E-2</v>
      </c>
      <c r="DB765" s="42">
        <f t="shared" si="5252"/>
        <v>4.3098995993501497E-2</v>
      </c>
      <c r="DC765" s="42">
        <f t="shared" si="5253"/>
        <v>4.0267679785815871E-2</v>
      </c>
      <c r="DD765" s="42">
        <f t="shared" si="5253"/>
        <v>3.4923614825891063E-2</v>
      </c>
      <c r="DE765" s="42">
        <f t="shared" si="5254"/>
        <v>3.0406412902985614E-2</v>
      </c>
      <c r="DF765" s="42">
        <f t="shared" si="5254"/>
        <v>2.8901106137550162E-2</v>
      </c>
      <c r="DG765" s="232">
        <f t="shared" si="5255"/>
        <v>2.6988939755848297E-2</v>
      </c>
      <c r="DH765" s="232">
        <f t="shared" si="5255"/>
        <v>2.5196285967351486E-2</v>
      </c>
      <c r="DI765" s="232">
        <f>DI739/DI$142</f>
        <v>2.3516381850935464E-2</v>
      </c>
    </row>
    <row r="766" spans="1:113" outlineLevel="1">
      <c r="A766" s="1" t="s">
        <v>19</v>
      </c>
      <c r="B766" s="19" t="s">
        <v>715</v>
      </c>
      <c r="C766" s="232">
        <f t="shared" si="5235"/>
        <v>4.0647480672566703E-2</v>
      </c>
      <c r="D766" s="232">
        <f t="shared" si="5235"/>
        <v>4.7708301473212013E-2</v>
      </c>
      <c r="E766" s="232">
        <f t="shared" si="5235"/>
        <v>4.8951547564315127E-2</v>
      </c>
      <c r="F766" s="232">
        <f t="shared" si="5235"/>
        <v>5.2997172567548795E-2</v>
      </c>
      <c r="G766" s="232">
        <f t="shared" si="5235"/>
        <v>5.7069978437865154E-2</v>
      </c>
      <c r="H766" s="232">
        <f t="shared" si="5235"/>
        <v>4.7870897507067384E-2</v>
      </c>
      <c r="I766" s="232">
        <f t="shared" si="5235"/>
        <v>5.1573105980008749E-2</v>
      </c>
      <c r="J766" s="232">
        <f t="shared" si="5235"/>
        <v>6.453369900650309E-2</v>
      </c>
      <c r="K766" s="232">
        <f t="shared" si="5235"/>
        <v>5.4227800046987858E-2</v>
      </c>
      <c r="L766" s="232">
        <f t="shared" si="5235"/>
        <v>6.0466868446160935E-2</v>
      </c>
      <c r="M766" s="42">
        <f t="shared" ref="M766:AG766" si="5278">M740/M$142*2</f>
        <v>5.4642020717807264E-2</v>
      </c>
      <c r="N766" s="42">
        <f t="shared" si="5278"/>
        <v>5.6628248425368392E-2</v>
      </c>
      <c r="O766" s="42">
        <f t="shared" si="5278"/>
        <v>4.7966068597705011E-2</v>
      </c>
      <c r="P766" s="42">
        <f t="shared" si="5278"/>
        <v>5.0879165014782735E-2</v>
      </c>
      <c r="Q766" s="42">
        <f t="shared" si="5278"/>
        <v>7.2247836761995032E-2</v>
      </c>
      <c r="R766" s="42">
        <f t="shared" si="5278"/>
        <v>6.4100402077143778E-2</v>
      </c>
      <c r="S766" s="42">
        <f t="shared" si="5278"/>
        <v>5.5570753794700278E-2</v>
      </c>
      <c r="T766" s="45">
        <f t="shared" si="5278"/>
        <v>5.1369911733247293E-2</v>
      </c>
      <c r="U766" s="42">
        <f t="shared" si="5278"/>
        <v>6.3557627774357917E-2</v>
      </c>
      <c r="V766" s="42">
        <f t="shared" si="5278"/>
        <v>6.5499361578139098E-2</v>
      </c>
      <c r="W766" s="42">
        <f t="shared" si="5278"/>
        <v>6.1884451775391938E-2</v>
      </c>
      <c r="X766" s="42">
        <f t="shared" si="5278"/>
        <v>6.5096728920001123E-2</v>
      </c>
      <c r="Y766" s="45">
        <f t="shared" si="5278"/>
        <v>5.8950356483018128E-2</v>
      </c>
      <c r="Z766" s="45">
        <f t="shared" si="5278"/>
        <v>5.4614328922982909E-2</v>
      </c>
      <c r="AA766" s="45">
        <f t="shared" si="5278"/>
        <v>5.2271793005198415E-2</v>
      </c>
      <c r="AB766" s="45">
        <f t="shared" si="5278"/>
        <v>4.9134136229211971E-2</v>
      </c>
      <c r="AC766" s="45">
        <f t="shared" si="5237"/>
        <v>4.914952713460486E-2</v>
      </c>
      <c r="AD766" s="45">
        <f t="shared" si="5237"/>
        <v>4.800015576846315E-2</v>
      </c>
      <c r="AE766" s="45">
        <f t="shared" si="5237"/>
        <v>4.5750068474370749E-2</v>
      </c>
      <c r="AF766" s="45">
        <f t="shared" si="5237"/>
        <v>4.4667875423618865E-2</v>
      </c>
      <c r="AG766" s="45">
        <f t="shared" si="5278"/>
        <v>4.7842202175276412E-2</v>
      </c>
      <c r="AH766" s="45">
        <f t="shared" si="5238"/>
        <v>4.358892331225786E-2</v>
      </c>
      <c r="AI766" s="45">
        <f t="shared" si="5238"/>
        <v>4.1956555218650361E-2</v>
      </c>
      <c r="AJ766" s="45">
        <f t="shared" si="5238"/>
        <v>3.9294046280320134E-2</v>
      </c>
      <c r="AK766" s="45">
        <f t="shared" si="5238"/>
        <v>3.7411081323028984E-2</v>
      </c>
      <c r="AL766" s="45">
        <f t="shared" si="5239"/>
        <v>4.1418499049524375E-2</v>
      </c>
      <c r="AM766" s="45">
        <f t="shared" si="5239"/>
        <v>2.4676773303905362E-2</v>
      </c>
      <c r="AN766" s="45">
        <f t="shared" si="5240"/>
        <v>3.4533743776668263E-2</v>
      </c>
      <c r="AO766" s="45">
        <f t="shared" si="5240"/>
        <v>1.6077954476719725E-2</v>
      </c>
      <c r="AP766" s="45">
        <f t="shared" ref="AP766:AQ766" si="5279">AP740/AP$142*2</f>
        <v>2.701093131922383E-2</v>
      </c>
      <c r="AQ766" s="45">
        <f t="shared" si="5279"/>
        <v>3.2685199563043693E-2</v>
      </c>
      <c r="AR766" s="45">
        <f t="shared" ref="AR766" si="5280">AR740/AR$142*2</f>
        <v>3.145449641515876E-2</v>
      </c>
      <c r="AS766" s="45">
        <f t="shared" ref="AS766:AT766" si="5281">AS740/AS$142*2</f>
        <v>3.5814531654038709E-2</v>
      </c>
      <c r="AT766" s="45">
        <f t="shared" si="5281"/>
        <v>3.5209669536016376E-2</v>
      </c>
      <c r="AU766" s="45">
        <f t="shared" ref="AU766:AV766" si="5282">AU740/AU$142*2</f>
        <v>3.3533615913591164E-2</v>
      </c>
      <c r="AV766" s="45">
        <f t="shared" si="5282"/>
        <v>3.1834522733247411E-2</v>
      </c>
      <c r="AW766" s="45">
        <f t="shared" ref="AW766:AX766" si="5283">AW740/AW$142*2</f>
        <v>2.5022816265689203E-2</v>
      </c>
      <c r="AX766" s="45">
        <f t="shared" si="5283"/>
        <v>2.2737830264523834E-2</v>
      </c>
      <c r="AY766" s="45">
        <f t="shared" ref="AY766:BE766" si="5284">AY740/AY$142*2</f>
        <v>1.8373030928903005E-2</v>
      </c>
      <c r="AZ766" s="43">
        <f t="shared" si="5284"/>
        <v>2.3246833276071223E-2</v>
      </c>
      <c r="BA766" s="42">
        <f t="shared" si="5284"/>
        <v>2.3140139734864677E-2</v>
      </c>
      <c r="BB766" s="42">
        <f t="shared" si="5284"/>
        <v>2.2983409452796436E-2</v>
      </c>
      <c r="BC766" s="42">
        <f t="shared" si="5284"/>
        <v>2.1903358199002965E-2</v>
      </c>
      <c r="BD766" s="42">
        <f t="shared" si="5284"/>
        <v>2.1187273604201775E-2</v>
      </c>
      <c r="BE766" s="42">
        <f t="shared" si="5284"/>
        <v>2.1236154335675096E-2</v>
      </c>
      <c r="BF766" s="42">
        <f t="shared" si="5245"/>
        <v>2.1356504806929438E-2</v>
      </c>
      <c r="BG766" s="42">
        <f t="shared" si="5245"/>
        <v>2.0947453323170207E-2</v>
      </c>
      <c r="BH766" s="42">
        <f t="shared" si="5245"/>
        <v>2.0757954740129425E-2</v>
      </c>
      <c r="BI766" s="42">
        <f t="shared" si="5245"/>
        <v>1.9824654559380969E-2</v>
      </c>
      <c r="BJ766" s="42">
        <f t="shared" ref="BJ766:BK766" si="5285">BJ740/BJ$142*2</f>
        <v>1.9094741975367081E-2</v>
      </c>
      <c r="BK766" s="42">
        <f t="shared" si="5285"/>
        <v>1.7544238253472708E-2</v>
      </c>
      <c r="BL766" s="232">
        <f t="shared" si="5246"/>
        <v>1.7110712719113162E-2</v>
      </c>
      <c r="BM766" s="232">
        <f t="shared" si="5246"/>
        <v>1.6159637689917412E-2</v>
      </c>
      <c r="BN766" s="232">
        <f t="shared" ref="BN766:BO766" si="5286">BN740/BN$142*2</f>
        <v>1.6107381348741512E-2</v>
      </c>
      <c r="BO766" s="232">
        <f t="shared" si="5286"/>
        <v>1.5179230982483706E-2</v>
      </c>
      <c r="BP766" s="232">
        <f t="shared" ref="BP766:BQ766" si="5287">BP740/BP$142*2</f>
        <v>1.5217377480088194E-2</v>
      </c>
      <c r="BQ766" s="232">
        <f t="shared" si="5287"/>
        <v>1.4340053342070818E-2</v>
      </c>
      <c r="BR766" s="42"/>
      <c r="BS766" s="232">
        <f t="shared" si="5249"/>
        <v>4.6354098794842938E-2</v>
      </c>
      <c r="BT766" s="232">
        <f t="shared" si="5249"/>
        <v>5.9579844952346875E-2</v>
      </c>
      <c r="BU766" s="232">
        <f t="shared" si="5249"/>
        <v>7.9557493338930127E-2</v>
      </c>
      <c r="BV766" s="232">
        <f t="shared" si="5249"/>
        <v>0.10094444676438244</v>
      </c>
      <c r="BW766" s="232">
        <f t="shared" si="5249"/>
        <v>9.5159110237634348E-2</v>
      </c>
      <c r="BX766" s="232">
        <f t="shared" si="5249"/>
        <v>7.3341330425299889E-2</v>
      </c>
      <c r="BY766" s="232">
        <f t="shared" si="5249"/>
        <v>6.3245553957491485E-2</v>
      </c>
      <c r="BZ766" s="232">
        <f t="shared" si="5249"/>
        <v>5.6960081814450739E-2</v>
      </c>
      <c r="CA766" s="232">
        <f t="shared" si="5249"/>
        <v>5.5360648386766249E-2</v>
      </c>
      <c r="CB766" s="232">
        <f t="shared" si="5249"/>
        <v>4.5927955564851609E-2</v>
      </c>
      <c r="CC766" s="42">
        <f t="shared" ref="CC766:CR766" si="5288">CC740/CC$142</f>
        <v>5.305781965995008E-2</v>
      </c>
      <c r="CD766" s="42">
        <f t="shared" si="5288"/>
        <v>6.0618805781763624E-2</v>
      </c>
      <c r="CE766" s="42">
        <f t="shared" si="5288"/>
        <v>5.5115868934864587E-2</v>
      </c>
      <c r="CF766" s="42">
        <f t="shared" si="5288"/>
        <v>6.1916414606973252E-2</v>
      </c>
      <c r="CG766" s="42">
        <f t="shared" si="5288"/>
        <v>6.388039048647294E-2</v>
      </c>
      <c r="CH766" s="42">
        <f t="shared" si="5288"/>
        <v>5.6207193869449251E-2</v>
      </c>
      <c r="CI766" s="42">
        <f t="shared" si="5288"/>
        <v>8.1474049373112409E-2</v>
      </c>
      <c r="CJ766" s="42">
        <f t="shared" si="5288"/>
        <v>6.2573867446392664E-2</v>
      </c>
      <c r="CK766" s="42">
        <f t="shared" si="5288"/>
        <v>7.1529256087828022E-2</v>
      </c>
      <c r="CL766" s="42">
        <f t="shared" si="5288"/>
        <v>7.2313927156089766E-2</v>
      </c>
      <c r="CM766" s="45">
        <f t="shared" si="5288"/>
        <v>7.2628169285403402E-2</v>
      </c>
      <c r="CN766" s="45">
        <f t="shared" si="5288"/>
        <v>6.0219982990508181E-2</v>
      </c>
      <c r="CO766" s="45">
        <f t="shared" si="5288"/>
        <v>5.7510327089919266E-2</v>
      </c>
      <c r="CP766" s="45">
        <f t="shared" si="5288"/>
        <v>5.6209398283533676E-2</v>
      </c>
      <c r="CQ766" s="45">
        <f t="shared" si="5288"/>
        <v>6.2079506841520755E-2</v>
      </c>
      <c r="CR766" s="45">
        <f t="shared" si="5288"/>
        <v>5.4963587690848442E-2</v>
      </c>
      <c r="CS766" s="45">
        <f t="shared" si="5251"/>
        <v>5.4898790602549534E-2</v>
      </c>
      <c r="CT766" s="45">
        <f t="shared" si="5251"/>
        <v>4.3227457953882865E-2</v>
      </c>
      <c r="CU766" s="45">
        <f t="shared" si="5251"/>
        <v>4.3273991608415295E-2</v>
      </c>
      <c r="CV766" s="45">
        <f t="shared" si="5251"/>
        <v>3.8221025560218683E-2</v>
      </c>
      <c r="CW766" s="45">
        <f t="shared" si="5251"/>
        <v>4.8214633323900975E-2</v>
      </c>
      <c r="CX766" s="45">
        <f t="shared" si="5251"/>
        <v>4.7285555036903314E-2</v>
      </c>
      <c r="CY766" s="45">
        <f t="shared" si="5251"/>
        <v>3.6062986088567638E-2</v>
      </c>
      <c r="CZ766" s="43">
        <f t="shared" si="5251"/>
        <v>2.580019876854148E-2</v>
      </c>
      <c r="DA766" s="42">
        <f t="shared" si="5252"/>
        <v>3.1004670689306429E-2</v>
      </c>
      <c r="DB766" s="42">
        <f t="shared" si="5252"/>
        <v>2.988356304553972E-2</v>
      </c>
      <c r="DC766" s="42">
        <f t="shared" si="5253"/>
        <v>2.8251565258072216E-2</v>
      </c>
      <c r="DD766" s="42">
        <f t="shared" si="5253"/>
        <v>2.7806078089930839E-2</v>
      </c>
      <c r="DE766" s="42">
        <f t="shared" si="5254"/>
        <v>2.6570173721350315E-2</v>
      </c>
      <c r="DF766" s="42">
        <f t="shared" si="5254"/>
        <v>2.4268174819853904E-2</v>
      </c>
      <c r="DG766" s="232">
        <f t="shared" si="5255"/>
        <v>2.2316373563247761E-2</v>
      </c>
      <c r="DH766" s="232">
        <f t="shared" si="5255"/>
        <v>2.1051953962114414E-2</v>
      </c>
      <c r="DI766" s="232">
        <f>DI740/DI$142</f>
        <v>1.9927058981484582E-2</v>
      </c>
    </row>
    <row r="767" spans="1:113" outlineLevel="1">
      <c r="A767" s="1" t="s">
        <v>27</v>
      </c>
      <c r="B767" s="19" t="s">
        <v>583</v>
      </c>
      <c r="C767" s="232">
        <f t="shared" si="5235"/>
        <v>6.3274926433248183E-2</v>
      </c>
      <c r="D767" s="232">
        <f t="shared" si="5235"/>
        <v>6.702099673024127E-2</v>
      </c>
      <c r="E767" s="232">
        <f t="shared" si="5235"/>
        <v>7.0295523964471307E-2</v>
      </c>
      <c r="F767" s="232">
        <f t="shared" si="5235"/>
        <v>7.4805010747068398E-2</v>
      </c>
      <c r="G767" s="232">
        <f t="shared" si="5235"/>
        <v>8.1725525936052243E-2</v>
      </c>
      <c r="H767" s="232">
        <f t="shared" si="5235"/>
        <v>7.0863863793751841E-2</v>
      </c>
      <c r="I767" s="232">
        <f t="shared" si="5235"/>
        <v>7.8934326711395233E-2</v>
      </c>
      <c r="J767" s="232">
        <f t="shared" si="5235"/>
        <v>8.7223559753043994E-2</v>
      </c>
      <c r="K767" s="232">
        <f t="shared" si="5235"/>
        <v>7.9524242734734893E-2</v>
      </c>
      <c r="L767" s="232">
        <f t="shared" si="5235"/>
        <v>7.9313986240647144E-2</v>
      </c>
      <c r="M767" s="42">
        <f t="shared" ref="M767:AG767" si="5289">M741/M$142*2</f>
        <v>7.9732894716584901E-2</v>
      </c>
      <c r="N767" s="42">
        <f t="shared" si="5289"/>
        <v>7.5163876096000115E-2</v>
      </c>
      <c r="O767" s="42">
        <f t="shared" si="5289"/>
        <v>7.1081776419295181E-2</v>
      </c>
      <c r="P767" s="42">
        <f t="shared" si="5289"/>
        <v>6.7267852469460043E-2</v>
      </c>
      <c r="Q767" s="42">
        <f t="shared" si="5289"/>
        <v>0.10489480144779467</v>
      </c>
      <c r="R767" s="42">
        <f t="shared" si="5289"/>
        <v>9.7614984380653427E-2</v>
      </c>
      <c r="S767" s="42">
        <f t="shared" si="5289"/>
        <v>8.084547906942556E-2</v>
      </c>
      <c r="T767" s="45">
        <f t="shared" si="5289"/>
        <v>7.0122353457430134E-2</v>
      </c>
      <c r="U767" s="42">
        <f t="shared" si="5289"/>
        <v>9.3515334541275211E-2</v>
      </c>
      <c r="V767" s="42">
        <f t="shared" si="5289"/>
        <v>8.7784738206631741E-2</v>
      </c>
      <c r="W767" s="42">
        <f t="shared" si="5289"/>
        <v>9.2695705531196354E-2</v>
      </c>
      <c r="X767" s="42">
        <f t="shared" si="5289"/>
        <v>8.8954626406504866E-2</v>
      </c>
      <c r="Y767" s="45">
        <f t="shared" si="5289"/>
        <v>9.0750195062517719E-2</v>
      </c>
      <c r="Z767" s="45">
        <f t="shared" si="5289"/>
        <v>7.7221506242286311E-2</v>
      </c>
      <c r="AA767" s="45">
        <f t="shared" si="5289"/>
        <v>7.705186982343655E-2</v>
      </c>
      <c r="AB767" s="45">
        <f t="shared" si="5289"/>
        <v>6.929572271470591E-2</v>
      </c>
      <c r="AC767" s="45">
        <f t="shared" si="5237"/>
        <v>7.2252536884498883E-2</v>
      </c>
      <c r="AD767" s="45">
        <f t="shared" si="5237"/>
        <v>6.781501691432254E-2</v>
      </c>
      <c r="AE767" s="45">
        <f t="shared" si="5237"/>
        <v>6.8102437120642831E-2</v>
      </c>
      <c r="AF767" s="45">
        <f t="shared" si="5237"/>
        <v>6.4510537146322669E-2</v>
      </c>
      <c r="AG767" s="45">
        <f t="shared" si="5289"/>
        <v>7.3428556119839311E-2</v>
      </c>
      <c r="AH767" s="45">
        <f t="shared" si="5238"/>
        <v>6.4286827519444922E-2</v>
      </c>
      <c r="AI767" s="45">
        <f t="shared" si="5238"/>
        <v>6.5791987106312927E-2</v>
      </c>
      <c r="AJ767" s="45">
        <f t="shared" si="5238"/>
        <v>6.0631931695875448E-2</v>
      </c>
      <c r="AK767" s="45">
        <f t="shared" si="5238"/>
        <v>6.4582756909690162E-2</v>
      </c>
      <c r="AL767" s="45">
        <f t="shared" si="5239"/>
        <v>6.5099749419543912E-2</v>
      </c>
      <c r="AM767" s="45">
        <f t="shared" si="5239"/>
        <v>4.8595594275154447E-2</v>
      </c>
      <c r="AN767" s="45">
        <f t="shared" si="5240"/>
        <v>5.5989134443573327E-2</v>
      </c>
      <c r="AO767" s="45">
        <f t="shared" si="5240"/>
        <v>2.8178213767990255E-2</v>
      </c>
      <c r="AP767" s="45">
        <f t="shared" ref="AP767:AQ767" si="5290">AP741/AP$142*2</f>
        <v>4.2669368607182491E-2</v>
      </c>
      <c r="AQ767" s="45">
        <f t="shared" si="5290"/>
        <v>4.9850371429327009E-2</v>
      </c>
      <c r="AR767" s="45">
        <f t="shared" ref="AR767" si="5291">AR741/AR$142*2</f>
        <v>4.6305981563673611E-2</v>
      </c>
      <c r="AS767" s="45">
        <f t="shared" ref="AS767:AT767" si="5292">AS741/AS$142*2</f>
        <v>5.5730442253728904E-2</v>
      </c>
      <c r="AT767" s="45">
        <f t="shared" si="5292"/>
        <v>5.2753529185139189E-2</v>
      </c>
      <c r="AU767" s="45">
        <f t="shared" ref="AU767:AV767" si="5293">AU741/AU$142*2</f>
        <v>5.4049651189774055E-2</v>
      </c>
      <c r="AV767" s="45">
        <f t="shared" si="5293"/>
        <v>4.8318039216763892E-2</v>
      </c>
      <c r="AW767" s="45">
        <f t="shared" ref="AW767:AX767" si="5294">AW741/AW$142*2</f>
        <v>4.184537194834851E-2</v>
      </c>
      <c r="AX767" s="45">
        <f t="shared" si="5294"/>
        <v>3.5322309406914887E-2</v>
      </c>
      <c r="AY767" s="45">
        <f t="shared" ref="AY767:BE767" si="5295">AY741/AY$142*2</f>
        <v>3.0435663830507487E-2</v>
      </c>
      <c r="AZ767" s="43">
        <f t="shared" si="5295"/>
        <v>3.5791428868558704E-2</v>
      </c>
      <c r="BA767" s="42">
        <f t="shared" si="5295"/>
        <v>3.6695801908252189E-2</v>
      </c>
      <c r="BB767" s="42">
        <f t="shared" si="5295"/>
        <v>3.4747873990619516E-2</v>
      </c>
      <c r="BC767" s="42">
        <f t="shared" si="5295"/>
        <v>3.4586029809844231E-2</v>
      </c>
      <c r="BD767" s="42">
        <f t="shared" si="5295"/>
        <v>3.2215333796146432E-2</v>
      </c>
      <c r="BE767" s="42">
        <f t="shared" si="5295"/>
        <v>3.331365680493182E-2</v>
      </c>
      <c r="BF767" s="42">
        <f t="shared" si="5245"/>
        <v>3.2103288599982828E-2</v>
      </c>
      <c r="BG767" s="42">
        <f t="shared" si="5245"/>
        <v>3.2632036913720949E-2</v>
      </c>
      <c r="BH767" s="42">
        <f t="shared" si="5245"/>
        <v>3.1195778936956724E-2</v>
      </c>
      <c r="BI767" s="42">
        <f t="shared" si="5245"/>
        <v>3.1099874907922563E-2</v>
      </c>
      <c r="BJ767" s="42">
        <f t="shared" ref="BJ767:BK767" si="5296">BJ741/BJ$142*2</f>
        <v>2.8853789559010603E-2</v>
      </c>
      <c r="BK767" s="42">
        <f t="shared" si="5296"/>
        <v>2.8064971716521378E-2</v>
      </c>
      <c r="BL767" s="232">
        <f t="shared" si="5246"/>
        <v>2.6232215281550529E-2</v>
      </c>
      <c r="BM767" s="232">
        <f t="shared" si="5246"/>
        <v>2.5973897774677204E-2</v>
      </c>
      <c r="BN767" s="232">
        <f t="shared" ref="BN767:BO767" si="5297">BN741/BN$142*2</f>
        <v>2.4630364749275838E-2</v>
      </c>
      <c r="BO767" s="232">
        <f t="shared" si="5297"/>
        <v>2.4332222624893401E-2</v>
      </c>
      <c r="BP767" s="232">
        <f t="shared" ref="BP767:BQ767" si="5298">BP741/BP$142*2</f>
        <v>2.3178746984402896E-2</v>
      </c>
      <c r="BQ767" s="232">
        <f t="shared" si="5298"/>
        <v>2.2874311283711559E-2</v>
      </c>
      <c r="BR767" s="42"/>
      <c r="BS767" s="232">
        <f t="shared" si="5249"/>
        <v>7.3870149824610307E-2</v>
      </c>
      <c r="BT767" s="232">
        <f t="shared" si="5249"/>
        <v>8.3387610131514911E-2</v>
      </c>
      <c r="BU767" s="232">
        <f t="shared" si="5249"/>
        <v>0.11759126271598308</v>
      </c>
      <c r="BV767" s="232">
        <f t="shared" si="5249"/>
        <v>0.14423282800928333</v>
      </c>
      <c r="BW767" s="232">
        <f t="shared" si="5249"/>
        <v>0.14355777180551196</v>
      </c>
      <c r="BX767" s="232">
        <f t="shared" si="5249"/>
        <v>0.10920070542529987</v>
      </c>
      <c r="BY767" s="232">
        <f t="shared" si="5249"/>
        <v>9.4296509371504231E-2</v>
      </c>
      <c r="BZ767" s="232">
        <f t="shared" si="5249"/>
        <v>8.3857171211540127E-2</v>
      </c>
      <c r="CA767" s="232">
        <f t="shared" si="5249"/>
        <v>8.1769099090991587E-2</v>
      </c>
      <c r="CB767" s="232">
        <f t="shared" si="5249"/>
        <v>6.64435063878695E-2</v>
      </c>
      <c r="CC767" s="42">
        <f t="shared" ref="CC767:CR767" si="5299">CC741/CC$142</f>
        <v>7.2579749294239257E-2</v>
      </c>
      <c r="CD767" s="42">
        <f t="shared" si="5299"/>
        <v>8.2953831162474276E-2</v>
      </c>
      <c r="CE767" s="42">
        <f t="shared" si="5299"/>
        <v>7.9188481405267117E-2</v>
      </c>
      <c r="CF767" s="42">
        <f t="shared" si="5299"/>
        <v>8.4163732506465055E-2</v>
      </c>
      <c r="CG767" s="42">
        <f t="shared" si="5299"/>
        <v>8.5497143470035203E-2</v>
      </c>
      <c r="CH767" s="42">
        <f t="shared" si="5299"/>
        <v>7.6064983139003228E-2</v>
      </c>
      <c r="CI767" s="42">
        <f t="shared" si="5299"/>
        <v>0.10985343697580098</v>
      </c>
      <c r="CJ767" s="42">
        <f t="shared" si="5299"/>
        <v>8.7628812501337722E-2</v>
      </c>
      <c r="CK767" s="42">
        <f t="shared" si="5299"/>
        <v>9.7081417741963369E-2</v>
      </c>
      <c r="CL767" s="42">
        <f t="shared" si="5299"/>
        <v>9.853627077805098E-2</v>
      </c>
      <c r="CM767" s="45">
        <f t="shared" si="5299"/>
        <v>9.9585392852796467E-2</v>
      </c>
      <c r="CN767" s="45">
        <f t="shared" si="5299"/>
        <v>8.2769852895104898E-2</v>
      </c>
      <c r="CO767" s="45">
        <f t="shared" si="5299"/>
        <v>7.8758737433285098E-2</v>
      </c>
      <c r="CP767" s="45">
        <f t="shared" si="5299"/>
        <v>7.7353530786764033E-2</v>
      </c>
      <c r="CQ767" s="45">
        <f t="shared" si="5299"/>
        <v>8.62828146269181E-2</v>
      </c>
      <c r="CR767" s="45">
        <f t="shared" si="5299"/>
        <v>7.7192718733907678E-2</v>
      </c>
      <c r="CS767" s="45">
        <f t="shared" si="5251"/>
        <v>8.024725851997587E-2</v>
      </c>
      <c r="CT767" s="45">
        <f t="shared" si="5251"/>
        <v>6.5541336392429109E-2</v>
      </c>
      <c r="CU767" s="45">
        <f t="shared" si="5251"/>
        <v>6.1671324612489871E-2</v>
      </c>
      <c r="CV767" s="45">
        <f t="shared" si="5251"/>
        <v>5.3240550943216579E-2</v>
      </c>
      <c r="CW767" s="45">
        <f t="shared" si="5251"/>
        <v>6.6470884706950326E-2</v>
      </c>
      <c r="CX767" s="45">
        <f t="shared" si="5251"/>
        <v>6.6519338108324763E-2</v>
      </c>
      <c r="CY767" s="45">
        <f t="shared" si="5251"/>
        <v>5.1707962873440795E-2</v>
      </c>
      <c r="CZ767" s="43">
        <f t="shared" si="5251"/>
        <v>3.7050923686384123E-2</v>
      </c>
      <c r="DA767" s="42">
        <f t="shared" si="5252"/>
        <v>4.379303123023804E-2</v>
      </c>
      <c r="DB767" s="42">
        <f t="shared" si="5252"/>
        <v>4.1861641789112031E-2</v>
      </c>
      <c r="DC767" s="42">
        <f t="shared" si="5253"/>
        <v>3.9574223823000396E-2</v>
      </c>
      <c r="DD767" s="42">
        <f t="shared" si="5253"/>
        <v>3.8797508416635353E-2</v>
      </c>
      <c r="DE767" s="42">
        <f t="shared" si="5254"/>
        <v>3.7208889695377466E-2</v>
      </c>
      <c r="DF767" s="42">
        <f t="shared" si="5254"/>
        <v>3.4204423090510985E-2</v>
      </c>
      <c r="DG767" s="232">
        <f t="shared" si="5255"/>
        <v>3.159391629962225E-2</v>
      </c>
      <c r="DH767" s="232">
        <f t="shared" si="5255"/>
        <v>2.971209220839436E-2</v>
      </c>
      <c r="DI767" s="232">
        <f>DI741/DI$142</f>
        <v>2.8008742638341341E-2</v>
      </c>
    </row>
    <row r="768" spans="1:113" s="112" customFormat="1" outlineLevel="1">
      <c r="A768" s="1" t="s">
        <v>972</v>
      </c>
      <c r="B768" s="112" t="s">
        <v>584</v>
      </c>
      <c r="C768" s="110">
        <f t="shared" ref="C768:L769" si="5300">C$142/C742</f>
        <v>2.399363367686095</v>
      </c>
      <c r="D768" s="110">
        <f t="shared" si="5300"/>
        <v>2.0958676930092031</v>
      </c>
      <c r="E768" s="110">
        <f t="shared" si="5300"/>
        <v>2.2492885833064382</v>
      </c>
      <c r="F768" s="110">
        <f t="shared" si="5300"/>
        <v>1.7784644572379158</v>
      </c>
      <c r="G768" s="110">
        <f t="shared" si="5300"/>
        <v>1.9156709560247196</v>
      </c>
      <c r="H768" s="110">
        <f t="shared" si="5300"/>
        <v>1.9038392385502643</v>
      </c>
      <c r="I768" s="110">
        <f t="shared" si="5300"/>
        <v>2.04424509803723</v>
      </c>
      <c r="J768" s="110">
        <f t="shared" si="5300"/>
        <v>2.2981155467655485</v>
      </c>
      <c r="K768" s="110">
        <f t="shared" si="5300"/>
        <v>2.6130192926427886</v>
      </c>
      <c r="L768" s="110">
        <f t="shared" si="5300"/>
        <v>2.9957611847264523</v>
      </c>
      <c r="M768" s="110">
        <f t="shared" ref="M768:AG768" si="5301">M$142/M742</f>
        <v>2.8635809714862286</v>
      </c>
      <c r="N768" s="110">
        <f t="shared" si="5301"/>
        <v>3.0337492305969573</v>
      </c>
      <c r="O768" s="110">
        <f t="shared" si="5301"/>
        <v>3.1251785988779193</v>
      </c>
      <c r="P768" s="110">
        <f t="shared" si="5301"/>
        <v>3.2153700393418227</v>
      </c>
      <c r="Q768" s="110">
        <f t="shared" si="5301"/>
        <v>2.1584553212759321</v>
      </c>
      <c r="R768" s="110">
        <f t="shared" si="5301"/>
        <v>1.490331393886922</v>
      </c>
      <c r="S768" s="110">
        <f t="shared" si="5301"/>
        <v>1.9755608741953774</v>
      </c>
      <c r="T768" s="110">
        <f t="shared" si="5301"/>
        <v>2.6197241103788564</v>
      </c>
      <c r="U768" s="110">
        <f t="shared" si="5301"/>
        <v>2.2085899458003988</v>
      </c>
      <c r="V768" s="110">
        <f t="shared" si="5301"/>
        <v>2.3206637592805288</v>
      </c>
      <c r="W768" s="110">
        <f t="shared" si="5301"/>
        <v>2.2757322127638191</v>
      </c>
      <c r="X768" s="110">
        <f t="shared" si="5301"/>
        <v>2.0805878632233745</v>
      </c>
      <c r="Y768" s="110">
        <f t="shared" si="5301"/>
        <v>2.1082095361328617</v>
      </c>
      <c r="Z768" s="110">
        <f t="shared" si="5301"/>
        <v>2.3893513072421619</v>
      </c>
      <c r="AA768" s="110">
        <f t="shared" si="5301"/>
        <v>2.5309947572683327</v>
      </c>
      <c r="AB768" s="110">
        <f t="shared" si="5301"/>
        <v>2.7525920723409856</v>
      </c>
      <c r="AC768" s="110">
        <f t="shared" ref="AC768:AF769" si="5302">AC$142/AC742</f>
        <v>2.7386881684491975</v>
      </c>
      <c r="AD768" s="110">
        <f t="shared" si="5302"/>
        <v>2.8033347255753394</v>
      </c>
      <c r="AE768" s="110">
        <f t="shared" si="5302"/>
        <v>2.6915179056940888</v>
      </c>
      <c r="AF768" s="110">
        <f t="shared" si="5302"/>
        <v>2.471413297242429</v>
      </c>
      <c r="AG768" s="110">
        <f t="shared" si="5301"/>
        <v>2.1252466091245377</v>
      </c>
      <c r="AH768" s="110">
        <f t="shared" ref="AH768:AK769" si="5303">AH$142/AH742</f>
        <v>2.3199482068458459</v>
      </c>
      <c r="AI768" s="110">
        <f t="shared" si="5303"/>
        <v>2.2671404125867478</v>
      </c>
      <c r="AJ768" s="110">
        <f t="shared" si="5303"/>
        <v>2.1489543311411876</v>
      </c>
      <c r="AK768" s="110">
        <f t="shared" si="5303"/>
        <v>1.9054943095712122</v>
      </c>
      <c r="AL768" s="110">
        <f t="shared" ref="AL768:AN769" si="5304">AL$142/AL742</f>
        <v>1.8838315018262404</v>
      </c>
      <c r="AM768" s="110">
        <f t="shared" si="5304"/>
        <v>2.105647417729402</v>
      </c>
      <c r="AN768" s="110">
        <f t="shared" si="5304"/>
        <v>1.9892849231990664</v>
      </c>
      <c r="AO768" s="110">
        <f t="shared" ref="AO768:AQ769" si="5305">AO$142/AO742</f>
        <v>1.708395681758581</v>
      </c>
      <c r="AP768" s="110">
        <f t="shared" si="5305"/>
        <v>1.9444844987666021</v>
      </c>
      <c r="AQ768" s="110">
        <f t="shared" si="5305"/>
        <v>2.2509497600993482</v>
      </c>
      <c r="AR768" s="110">
        <f t="shared" ref="AR768" si="5306">AR$142/AR742</f>
        <v>2.3084673029414131</v>
      </c>
      <c r="AS768" s="110">
        <f t="shared" ref="AS768:AT768" si="5307">AS$142/AS742</f>
        <v>2.1114747591652132</v>
      </c>
      <c r="AT768" s="110">
        <f t="shared" si="5307"/>
        <v>2.388145437417629</v>
      </c>
      <c r="AU768" s="110">
        <f t="shared" ref="AU768:AV768" si="5308">AU$142/AU742</f>
        <v>2.3147048351976895</v>
      </c>
      <c r="AV768" s="110">
        <f t="shared" si="5308"/>
        <v>2.5683894832962624</v>
      </c>
      <c r="AW768" s="110">
        <f t="shared" ref="AW768:AX768" si="5309">AW$142/AW742</f>
        <v>2.9143341190345224</v>
      </c>
      <c r="AX768" s="110">
        <f t="shared" si="5309"/>
        <v>3.4044670816027582</v>
      </c>
      <c r="AY768" s="110">
        <f t="shared" ref="AY768:BE768" si="5310">AY$142/AY742</f>
        <v>3.9209002294290141</v>
      </c>
      <c r="AZ768" s="111">
        <f t="shared" si="5310"/>
        <v>3.4764463699184271</v>
      </c>
      <c r="BA768" s="110">
        <f t="shared" si="5310"/>
        <v>3.5252382134167837</v>
      </c>
      <c r="BB768" s="110">
        <f t="shared" si="5310"/>
        <v>3.6706404771698642</v>
      </c>
      <c r="BC768" s="110">
        <f t="shared" si="5310"/>
        <v>3.7941683522080232</v>
      </c>
      <c r="BD768" s="110">
        <f t="shared" si="5310"/>
        <v>3.9438020339813669</v>
      </c>
      <c r="BE768" s="110">
        <f t="shared" si="5310"/>
        <v>4.0725355329217363</v>
      </c>
      <c r="BF768" s="110">
        <f t="shared" ref="BF768:BI769" si="5311">BF$142/BF742</f>
        <v>4.2250592930562894</v>
      </c>
      <c r="BG768" s="110">
        <f t="shared" si="5311"/>
        <v>4.3080749409088135</v>
      </c>
      <c r="BH768" s="110">
        <f t="shared" si="5311"/>
        <v>4.416214173867262</v>
      </c>
      <c r="BI768" s="110">
        <f t="shared" si="5311"/>
        <v>4.5097238730183165</v>
      </c>
      <c r="BJ768" s="110">
        <f t="shared" ref="BJ768:BM769" si="5312">BJ$142/BJ742</f>
        <v>4.6341604700193342</v>
      </c>
      <c r="BK768" s="110">
        <f t="shared" si="5312"/>
        <v>4.7369726801701679</v>
      </c>
      <c r="BL768" s="110">
        <f t="shared" si="5312"/>
        <v>4.8687907486069912</v>
      </c>
      <c r="BM768" s="110">
        <f t="shared" si="5312"/>
        <v>4.9789259802933357</v>
      </c>
      <c r="BN768" s="110">
        <f t="shared" ref="BN768:BO768" si="5313">BN$142/BN742</f>
        <v>5.114015354785229</v>
      </c>
      <c r="BO768" s="110">
        <f t="shared" si="5313"/>
        <v>5.2276870610117321</v>
      </c>
      <c r="BP768" s="110">
        <f t="shared" ref="BP768:BQ768" si="5314">BP$142/BP742</f>
        <v>5.365214480265049</v>
      </c>
      <c r="BQ768" s="110">
        <f t="shared" si="5314"/>
        <v>5.4812352441427938</v>
      </c>
      <c r="BR768" s="110"/>
      <c r="BS768" s="110">
        <f t="shared" ref="BS768:CB769" si="5315">BS$142/BS742</f>
        <v>1.1050761353609944</v>
      </c>
      <c r="BT768" s="110">
        <f t="shared" si="5315"/>
        <v>1.3659014271081222</v>
      </c>
      <c r="BU768" s="110">
        <f t="shared" si="5315"/>
        <v>1.1787595686308694</v>
      </c>
      <c r="BV768" s="110">
        <f t="shared" si="5315"/>
        <v>1.3482358723139931</v>
      </c>
      <c r="BW768" s="110">
        <f t="shared" si="5315"/>
        <v>1.4408371711627261</v>
      </c>
      <c r="BX768" s="110">
        <f t="shared" si="5315"/>
        <v>2.1739462109260881</v>
      </c>
      <c r="BY768" s="110">
        <f t="shared" si="5315"/>
        <v>2.5898214961501789</v>
      </c>
      <c r="BZ768" s="110">
        <f t="shared" si="5315"/>
        <v>3.2708307989977725</v>
      </c>
      <c r="CA768" s="110">
        <f t="shared" si="5315"/>
        <v>1.9971950990625003</v>
      </c>
      <c r="CB768" s="110">
        <f t="shared" si="5315"/>
        <v>2.399363367686095</v>
      </c>
      <c r="CC768" s="110">
        <f t="shared" ref="CC768:CR768" si="5316">CC$142/CC742</f>
        <v>2.2492885833064382</v>
      </c>
      <c r="CD768" s="110">
        <f t="shared" si="5316"/>
        <v>1.9156709560247196</v>
      </c>
      <c r="CE768" s="110">
        <f t="shared" si="5316"/>
        <v>2.04424509803723</v>
      </c>
      <c r="CF768" s="110">
        <f t="shared" si="5316"/>
        <v>2.6130192926427886</v>
      </c>
      <c r="CG768" s="110">
        <f t="shared" si="5316"/>
        <v>2.8635809714862286</v>
      </c>
      <c r="CH768" s="110">
        <f t="shared" si="5316"/>
        <v>3.1251785988779193</v>
      </c>
      <c r="CI768" s="110">
        <f t="shared" si="5316"/>
        <v>2.1584553212759321</v>
      </c>
      <c r="CJ768" s="110">
        <f t="shared" si="5316"/>
        <v>1.9755608741953774</v>
      </c>
      <c r="CK768" s="110">
        <f t="shared" si="5316"/>
        <v>2.2085899458003988</v>
      </c>
      <c r="CL768" s="110">
        <f t="shared" si="5316"/>
        <v>2.2757322127638191</v>
      </c>
      <c r="CM768" s="110">
        <f t="shared" si="5316"/>
        <v>2.1082095361328617</v>
      </c>
      <c r="CN768" s="110">
        <f t="shared" si="5316"/>
        <v>2.5309947572683327</v>
      </c>
      <c r="CO768" s="110">
        <f t="shared" si="5316"/>
        <v>2.7386881684491975</v>
      </c>
      <c r="CP768" s="110">
        <f t="shared" si="5316"/>
        <v>2.6915179056940888</v>
      </c>
      <c r="CQ768" s="110">
        <f t="shared" si="5316"/>
        <v>2.1252466091245377</v>
      </c>
      <c r="CR768" s="110">
        <f t="shared" si="5316"/>
        <v>2.2579670120733906</v>
      </c>
      <c r="CS768" s="110">
        <f t="shared" ref="CS768:CZ769" si="5317">CS$142/CS742</f>
        <v>1.8730142929307938</v>
      </c>
      <c r="CT768" s="110">
        <f t="shared" si="5317"/>
        <v>2.105647417729402</v>
      </c>
      <c r="CU768" s="110">
        <f t="shared" si="5317"/>
        <v>1.708395681758581</v>
      </c>
      <c r="CV768" s="110">
        <f t="shared" si="5317"/>
        <v>2.2509497600993482</v>
      </c>
      <c r="CW768" s="110">
        <f t="shared" si="5317"/>
        <v>2.1114747591652132</v>
      </c>
      <c r="CX768" s="110">
        <f t="shared" si="5317"/>
        <v>2.3147048351976895</v>
      </c>
      <c r="CY768" s="110">
        <f t="shared" si="5317"/>
        <v>2.9143341190345224</v>
      </c>
      <c r="CZ768" s="111">
        <f t="shared" si="5317"/>
        <v>3.9209002294290141</v>
      </c>
      <c r="DA768" s="110">
        <f t="shared" ref="DA768:DC769" si="5318">DA$142/DA742</f>
        <v>3.5252382134167837</v>
      </c>
      <c r="DB768" s="110">
        <f t="shared" si="5318"/>
        <v>3.7941683522080232</v>
      </c>
      <c r="DC768" s="110">
        <f t="shared" si="5318"/>
        <v>4.0725355329217354</v>
      </c>
      <c r="DD768" s="110">
        <f t="shared" ref="DD768:DF769" si="5319">DD$142/DD742</f>
        <v>4.3080749409088135</v>
      </c>
      <c r="DE768" s="110">
        <f t="shared" si="5319"/>
        <v>4.5097238730183165</v>
      </c>
      <c r="DF768" s="110">
        <f t="shared" si="5319"/>
        <v>4.7369726801701679</v>
      </c>
      <c r="DG768" s="110">
        <f t="shared" ref="DG768:DI769" si="5320">DG$142/DG742</f>
        <v>4.9789259802933357</v>
      </c>
      <c r="DH768" s="110">
        <f t="shared" si="5320"/>
        <v>5.2276870610117321</v>
      </c>
      <c r="DI768" s="110">
        <f t="shared" si="5320"/>
        <v>5.4812352441427938</v>
      </c>
    </row>
    <row r="769" spans="1:113" s="112" customFormat="1" outlineLevel="1">
      <c r="A769" s="1" t="s">
        <v>973</v>
      </c>
      <c r="B769" s="112" t="s">
        <v>585</v>
      </c>
      <c r="C769" s="110">
        <f t="shared" si="5300"/>
        <v>3.5432133267931603</v>
      </c>
      <c r="D769" s="110">
        <f t="shared" si="5300"/>
        <v>3.0282971360541495</v>
      </c>
      <c r="E769" s="110">
        <f t="shared" si="5300"/>
        <v>3.1855080669850215</v>
      </c>
      <c r="F769" s="110">
        <f t="shared" si="5300"/>
        <v>2.4361968158050877</v>
      </c>
      <c r="G769" s="110">
        <f t="shared" si="5300"/>
        <v>2.5889942183848196</v>
      </c>
      <c r="H769" s="110">
        <f t="shared" si="5300"/>
        <v>2.5367617504371585</v>
      </c>
      <c r="I769" s="110">
        <f t="shared" si="5300"/>
        <v>2.667183775904145</v>
      </c>
      <c r="J769" s="110">
        <f t="shared" si="5300"/>
        <v>3.9620455847423477</v>
      </c>
      <c r="K769" s="110">
        <f t="shared" si="5300"/>
        <v>4.3692878351978424</v>
      </c>
      <c r="L769" s="110">
        <f t="shared" si="5300"/>
        <v>5.0836154175664454</v>
      </c>
      <c r="M769" s="110">
        <f t="shared" ref="M769:AG769" si="5321">M$142/M743</f>
        <v>4.6259992699488475</v>
      </c>
      <c r="N769" s="110">
        <f t="shared" si="5321"/>
        <v>4.7418530429953183</v>
      </c>
      <c r="O769" s="110">
        <f t="shared" si="5321"/>
        <v>4.6494488207052731</v>
      </c>
      <c r="P769" s="110">
        <f t="shared" si="5321"/>
        <v>4.7740083795715424</v>
      </c>
      <c r="Q769" s="110">
        <f t="shared" si="5321"/>
        <v>3.1755992446551415</v>
      </c>
      <c r="R769" s="110">
        <f t="shared" si="5321"/>
        <v>2.0625625466285049</v>
      </c>
      <c r="S769" s="110">
        <f t="shared" si="5321"/>
        <v>2.7664864644808742</v>
      </c>
      <c r="T769" s="110">
        <f t="shared" si="5321"/>
        <v>3.5658219321059321</v>
      </c>
      <c r="U769" s="110">
        <f t="shared" si="5321"/>
        <v>2.938239561251268</v>
      </c>
      <c r="V769" s="110">
        <f t="shared" si="5321"/>
        <v>3.0833599493012858</v>
      </c>
      <c r="W769" s="110">
        <f t="shared" si="5321"/>
        <v>2.9627363473577089</v>
      </c>
      <c r="X769" s="110">
        <f t="shared" si="5321"/>
        <v>2.696647175783383</v>
      </c>
      <c r="Y769" s="110">
        <f t="shared" si="5321"/>
        <v>2.682129971066908</v>
      </c>
      <c r="Z769" s="110">
        <f t="shared" si="5321"/>
        <v>3.0009856845234242</v>
      </c>
      <c r="AA769" s="110">
        <f t="shared" si="5321"/>
        <v>3.1359680548915954</v>
      </c>
      <c r="AB769" s="110">
        <f t="shared" si="5321"/>
        <v>3.3381314878892732</v>
      </c>
      <c r="AC769" s="110">
        <f t="shared" si="5302"/>
        <v>3.2830790804827963</v>
      </c>
      <c r="AD769" s="110">
        <f t="shared" si="5302"/>
        <v>3.3353986877576021</v>
      </c>
      <c r="AE769" s="110">
        <f t="shared" si="5302"/>
        <v>3.1779055742817182</v>
      </c>
      <c r="AF769" s="110">
        <f t="shared" si="5302"/>
        <v>2.849053924914676</v>
      </c>
      <c r="AG769" s="110">
        <f t="shared" si="5321"/>
        <v>2.4594961240310078</v>
      </c>
      <c r="AH769" s="110">
        <f t="shared" si="5303"/>
        <v>2.6739563481601447</v>
      </c>
      <c r="AI769" s="110">
        <f t="shared" si="5303"/>
        <v>2.6004707036929338</v>
      </c>
      <c r="AJ769" s="110">
        <f t="shared" si="5303"/>
        <v>2.4160022644228296</v>
      </c>
      <c r="AK769" s="110">
        <f t="shared" si="5303"/>
        <v>2.1362738402598485</v>
      </c>
      <c r="AL769" s="110">
        <f t="shared" si="5304"/>
        <v>2.0787664716563929</v>
      </c>
      <c r="AM769" s="110">
        <f t="shared" si="5304"/>
        <v>2.3135161489313401</v>
      </c>
      <c r="AN769" s="110">
        <f t="shared" si="5304"/>
        <v>2.183052223446158</v>
      </c>
      <c r="AO769" s="110">
        <f t="shared" si="5305"/>
        <v>1.8524831405218731</v>
      </c>
      <c r="AP769" s="110">
        <f t="shared" si="5305"/>
        <v>2.0999445894434117</v>
      </c>
      <c r="AQ769" s="110">
        <f t="shared" si="5305"/>
        <v>2.4205443928345041</v>
      </c>
      <c r="AR769" s="110">
        <f t="shared" ref="AR769" si="5322">AR$142/AR743</f>
        <v>2.4916228408703196</v>
      </c>
      <c r="AS769" s="110">
        <f t="shared" ref="AS769:AT769" si="5323">AS$142/AS743</f>
        <v>2.2836084096978153</v>
      </c>
      <c r="AT769" s="110">
        <f t="shared" si="5323"/>
        <v>2.5838063053083746</v>
      </c>
      <c r="AU769" s="110">
        <f t="shared" ref="AU769:AV769" si="5324">AU$142/AU743</f>
        <v>2.5039005522998345</v>
      </c>
      <c r="AV769" s="110">
        <f t="shared" si="5324"/>
        <v>2.7771504865927343</v>
      </c>
      <c r="AW769" s="110">
        <f t="shared" ref="AW769:AX769" si="5325">AW$142/AW743</f>
        <v>3.1501550083032601</v>
      </c>
      <c r="AX769" s="110">
        <f t="shared" si="5325"/>
        <v>3.6711818790439281</v>
      </c>
      <c r="AY769" s="110">
        <f t="shared" ref="AY769:BE769" si="5326">AY$142/AY743</f>
        <v>4.2137602007271386</v>
      </c>
      <c r="AZ769" s="111">
        <f t="shared" si="5326"/>
        <v>3.8948141180448532</v>
      </c>
      <c r="BA769" s="110">
        <f t="shared" si="5326"/>
        <v>3.9360797516380885</v>
      </c>
      <c r="BB769" s="110">
        <f t="shared" si="5326"/>
        <v>4.099462632643637</v>
      </c>
      <c r="BC769" s="110">
        <f t="shared" si="5326"/>
        <v>4.234796851858329</v>
      </c>
      <c r="BD769" s="110">
        <f t="shared" si="5326"/>
        <v>4.401860231259425</v>
      </c>
      <c r="BE769" s="110">
        <f t="shared" si="5326"/>
        <v>4.5420696420441002</v>
      </c>
      <c r="BF769" s="110">
        <f t="shared" si="5311"/>
        <v>4.7110322331555112</v>
      </c>
      <c r="BG769" s="110">
        <f t="shared" si="5311"/>
        <v>4.790973960644334</v>
      </c>
      <c r="BH769" s="110">
        <f t="shared" si="5311"/>
        <v>4.9015208995648338</v>
      </c>
      <c r="BI769" s="110">
        <f t="shared" si="5311"/>
        <v>4.9935394176014825</v>
      </c>
      <c r="BJ769" s="110">
        <f t="shared" ref="BJ769:BK769" si="5327">BJ$142/BJ743</f>
        <v>5.1229210550670432</v>
      </c>
      <c r="BK769" s="110">
        <f t="shared" si="5327"/>
        <v>5.22529329255251</v>
      </c>
      <c r="BL769" s="110">
        <f t="shared" si="5312"/>
        <v>5.3623706960658053</v>
      </c>
      <c r="BM769" s="110">
        <f t="shared" si="5312"/>
        <v>5.4725434392545704</v>
      </c>
      <c r="BN769" s="110">
        <f t="shared" ref="BN769:BO769" si="5328">BN$142/BN743</f>
        <v>5.6122711487705779</v>
      </c>
      <c r="BO769" s="110">
        <f t="shared" si="5328"/>
        <v>5.7256187338556135</v>
      </c>
      <c r="BP769" s="110">
        <f t="shared" ref="BP769:BQ769" si="5329">BP$142/BP743</f>
        <v>5.8670111903394986</v>
      </c>
      <c r="BQ769" s="110">
        <f t="shared" si="5329"/>
        <v>5.9821270652113121</v>
      </c>
      <c r="BR769" s="110"/>
      <c r="BS769" s="110">
        <f t="shared" si="5315"/>
        <v>1.1050761353609944</v>
      </c>
      <c r="BT769" s="110">
        <f t="shared" si="5315"/>
        <v>1.3659014271081222</v>
      </c>
      <c r="BU769" s="110">
        <f t="shared" si="5315"/>
        <v>1.1787595686308694</v>
      </c>
      <c r="BV769" s="110">
        <f t="shared" si="5315"/>
        <v>1.3482358723139931</v>
      </c>
      <c r="BW769" s="110">
        <f t="shared" si="5315"/>
        <v>1.4408371711627261</v>
      </c>
      <c r="BX769" s="110">
        <f t="shared" si="5315"/>
        <v>2.1739462109260881</v>
      </c>
      <c r="BY769" s="110">
        <f t="shared" si="5315"/>
        <v>2.5898214961501789</v>
      </c>
      <c r="BZ769" s="110">
        <f t="shared" si="5315"/>
        <v>3.5280341818145415</v>
      </c>
      <c r="CA769" s="110">
        <f t="shared" si="5315"/>
        <v>3.0167712259721622</v>
      </c>
      <c r="CB769" s="110">
        <f t="shared" si="5315"/>
        <v>3.5432133267931603</v>
      </c>
      <c r="CC769" s="110">
        <f t="shared" ref="CC769:CR769" si="5330">CC$142/CC743</f>
        <v>3.1855080669850215</v>
      </c>
      <c r="CD769" s="110">
        <f t="shared" si="5330"/>
        <v>2.5889942183848196</v>
      </c>
      <c r="CE769" s="110">
        <f t="shared" si="5330"/>
        <v>2.667183775904145</v>
      </c>
      <c r="CF769" s="110">
        <f t="shared" si="5330"/>
        <v>4.3692878351978424</v>
      </c>
      <c r="CG769" s="110">
        <f t="shared" si="5330"/>
        <v>4.6259992699488475</v>
      </c>
      <c r="CH769" s="110">
        <f t="shared" si="5330"/>
        <v>4.6494488207052731</v>
      </c>
      <c r="CI769" s="110">
        <f t="shared" si="5330"/>
        <v>3.1755992446551415</v>
      </c>
      <c r="CJ769" s="110">
        <f t="shared" si="5330"/>
        <v>2.7664864644808742</v>
      </c>
      <c r="CK769" s="110">
        <f t="shared" si="5330"/>
        <v>2.938239561251268</v>
      </c>
      <c r="CL769" s="110">
        <f t="shared" si="5330"/>
        <v>2.9627363473577089</v>
      </c>
      <c r="CM769" s="110">
        <f t="shared" si="5330"/>
        <v>2.682129971066908</v>
      </c>
      <c r="CN769" s="110">
        <f t="shared" si="5330"/>
        <v>3.1359680548915954</v>
      </c>
      <c r="CO769" s="110">
        <f t="shared" si="5330"/>
        <v>3.2830790804827963</v>
      </c>
      <c r="CP769" s="110">
        <f t="shared" si="5330"/>
        <v>3.1779055742817182</v>
      </c>
      <c r="CQ769" s="110">
        <f t="shared" si="5330"/>
        <v>2.4594961240310078</v>
      </c>
      <c r="CR769" s="110">
        <f t="shared" si="5330"/>
        <v>2.5899485678976446</v>
      </c>
      <c r="CS769" s="110">
        <f t="shared" si="5317"/>
        <v>2.0998600816190556</v>
      </c>
      <c r="CT769" s="110">
        <f t="shared" si="5317"/>
        <v>2.3135161489313401</v>
      </c>
      <c r="CU769" s="110">
        <f t="shared" si="5317"/>
        <v>1.8524831405218731</v>
      </c>
      <c r="CV769" s="110">
        <f t="shared" si="5317"/>
        <v>2.4205443928345041</v>
      </c>
      <c r="CW769" s="110">
        <f t="shared" si="5317"/>
        <v>2.2836084096978153</v>
      </c>
      <c r="CX769" s="110">
        <f t="shared" si="5317"/>
        <v>2.5039005522998345</v>
      </c>
      <c r="CY769" s="110">
        <f t="shared" si="5317"/>
        <v>3.1501550083032601</v>
      </c>
      <c r="CZ769" s="111">
        <f t="shared" si="5317"/>
        <v>4.2137602007271386</v>
      </c>
      <c r="DA769" s="110">
        <f t="shared" si="5318"/>
        <v>3.9360797516380885</v>
      </c>
      <c r="DB769" s="110">
        <f t="shared" si="5318"/>
        <v>4.234796851858329</v>
      </c>
      <c r="DC769" s="110">
        <f t="shared" si="5318"/>
        <v>4.5420696420440994</v>
      </c>
      <c r="DD769" s="110">
        <f t="shared" si="5319"/>
        <v>4.790973960644334</v>
      </c>
      <c r="DE769" s="110">
        <f t="shared" si="5319"/>
        <v>4.9935394176014825</v>
      </c>
      <c r="DF769" s="110">
        <f t="shared" si="5319"/>
        <v>5.22529329255251</v>
      </c>
      <c r="DG769" s="110">
        <f t="shared" si="5320"/>
        <v>5.4725434392545704</v>
      </c>
      <c r="DH769" s="110">
        <f t="shared" si="5320"/>
        <v>5.7256187338556135</v>
      </c>
      <c r="DI769" s="110">
        <f t="shared" si="5320"/>
        <v>5.982127065211313</v>
      </c>
    </row>
    <row r="770" spans="1:113" outlineLevel="2">
      <c r="A770" s="1" t="s">
        <v>974</v>
      </c>
      <c r="B770" s="19" t="s">
        <v>801</v>
      </c>
      <c r="CZ770" s="22"/>
    </row>
    <row r="771" spans="1:113" outlineLevel="2">
      <c r="A771" s="1" t="s">
        <v>28</v>
      </c>
      <c r="B771" s="19" t="s">
        <v>801</v>
      </c>
      <c r="CZ771" s="22"/>
    </row>
    <row r="772" spans="1:113" outlineLevel="2">
      <c r="A772" s="1" t="s">
        <v>29</v>
      </c>
      <c r="B772" s="19" t="s">
        <v>801</v>
      </c>
      <c r="CZ772" s="22"/>
    </row>
    <row r="773" spans="1:113" outlineLevel="2">
      <c r="A773" s="1" t="s">
        <v>30</v>
      </c>
      <c r="B773" s="19" t="s">
        <v>801</v>
      </c>
      <c r="CZ773" s="22"/>
    </row>
    <row r="774" spans="1:113" outlineLevel="2">
      <c r="A774" s="1" t="s">
        <v>31</v>
      </c>
      <c r="B774" s="19" t="s">
        <v>801</v>
      </c>
      <c r="CZ774" s="22"/>
    </row>
    <row r="775" spans="1:113" outlineLevel="2">
      <c r="A775" s="1" t="s">
        <v>32</v>
      </c>
      <c r="B775" s="19" t="s">
        <v>801</v>
      </c>
      <c r="CZ775" s="22"/>
    </row>
    <row r="776" spans="1:113" outlineLevel="2">
      <c r="A776" s="1" t="s">
        <v>33</v>
      </c>
      <c r="B776" s="19" t="s">
        <v>801</v>
      </c>
      <c r="CZ776" s="22"/>
    </row>
    <row r="777" spans="1:113" outlineLevel="2">
      <c r="A777" s="1" t="s">
        <v>40</v>
      </c>
      <c r="B777" s="19" t="s">
        <v>801</v>
      </c>
      <c r="CZ777" s="22"/>
    </row>
    <row r="778" spans="1:113" outlineLevel="2">
      <c r="A778" s="1" t="s">
        <v>41</v>
      </c>
      <c r="B778" s="19" t="s">
        <v>801</v>
      </c>
      <c r="CZ778" s="22"/>
    </row>
    <row r="779" spans="1:113" outlineLevel="2">
      <c r="A779" s="1" t="s">
        <v>42</v>
      </c>
      <c r="B779" s="19" t="s">
        <v>801</v>
      </c>
      <c r="CZ779" s="22"/>
    </row>
    <row r="780" spans="1:113" outlineLevel="1">
      <c r="CZ780" s="22"/>
    </row>
    <row r="781" spans="1:113" s="24" customFormat="1" outlineLevel="1">
      <c r="A781" s="1"/>
      <c r="B781" s="24" t="s">
        <v>721</v>
      </c>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c r="AD781" s="13"/>
      <c r="AE781" s="13"/>
      <c r="AF781" s="13"/>
      <c r="AG781" s="13"/>
      <c r="AH781" s="13"/>
      <c r="AI781" s="13"/>
      <c r="AJ781" s="13"/>
      <c r="AK781" s="13"/>
      <c r="AL781" s="13"/>
      <c r="AM781" s="13"/>
      <c r="AN781" s="13"/>
      <c r="AO781" s="13"/>
      <c r="AP781" s="13"/>
      <c r="AQ781" s="13"/>
      <c r="AR781" s="13"/>
      <c r="AS781" s="13"/>
      <c r="AT781" s="13"/>
      <c r="AU781" s="13"/>
      <c r="AV781" s="13"/>
      <c r="AW781" s="13"/>
      <c r="AX781" s="13"/>
      <c r="AY781" s="13"/>
      <c r="AZ781" s="23"/>
      <c r="BA781" s="13"/>
      <c r="BB781" s="13"/>
      <c r="BC781" s="13"/>
      <c r="BD781" s="13"/>
      <c r="BE781" s="13"/>
      <c r="BF781" s="13"/>
      <c r="BG781" s="13"/>
      <c r="BH781" s="13"/>
      <c r="BI781" s="13"/>
      <c r="BJ781" s="13"/>
      <c r="BK781" s="13"/>
      <c r="BL781" s="13"/>
      <c r="BM781" s="13"/>
      <c r="BN781" s="13"/>
      <c r="BO781" s="13"/>
      <c r="BP781" s="13"/>
      <c r="BQ781" s="13"/>
      <c r="BR781" s="13"/>
      <c r="BS781" s="13"/>
      <c r="BT781" s="13"/>
      <c r="BU781" s="13"/>
      <c r="BV781" s="13"/>
      <c r="BW781" s="13"/>
      <c r="BX781" s="13"/>
      <c r="BY781" s="13"/>
      <c r="BZ781" s="13"/>
      <c r="CA781" s="13"/>
      <c r="CB781" s="13"/>
      <c r="CC781" s="13"/>
      <c r="CD781" s="13"/>
      <c r="CE781" s="13"/>
      <c r="CF781" s="13"/>
      <c r="CG781" s="13"/>
      <c r="CH781" s="13"/>
      <c r="CI781" s="13"/>
      <c r="CJ781" s="13"/>
      <c r="CK781" s="13"/>
      <c r="CL781" s="13"/>
      <c r="CM781" s="13"/>
      <c r="CN781" s="13"/>
      <c r="CO781" s="13"/>
      <c r="CP781" s="13"/>
      <c r="CQ781" s="13"/>
      <c r="CR781" s="13"/>
      <c r="CS781" s="13"/>
      <c r="CT781" s="13"/>
      <c r="CU781" s="13"/>
      <c r="CV781" s="13"/>
      <c r="CW781" s="13"/>
      <c r="CX781" s="13"/>
      <c r="CY781" s="13"/>
      <c r="CZ781" s="23"/>
      <c r="DA781" s="13"/>
      <c r="DB781" s="13"/>
    </row>
    <row r="782" spans="1:113" outlineLevel="1">
      <c r="A782" s="1" t="s">
        <v>999</v>
      </c>
      <c r="B782" s="19" t="s">
        <v>722</v>
      </c>
      <c r="C782" s="232">
        <f t="shared" ref="C782:L782" si="5331">C525/C701*C$5</f>
        <v>0.22487495158550755</v>
      </c>
      <c r="D782" s="232">
        <f t="shared" si="5331"/>
        <v>0.13324980836963798</v>
      </c>
      <c r="E782" s="232">
        <f t="shared" si="5331"/>
        <v>0.16174509956921623</v>
      </c>
      <c r="F782" s="232">
        <f t="shared" si="5331"/>
        <v>6.6011753773221729E-2</v>
      </c>
      <c r="G782" s="232">
        <f t="shared" si="5331"/>
        <v>0.14605625792841359</v>
      </c>
      <c r="H782" s="232">
        <f t="shared" si="5331"/>
        <v>0.1267488148067249</v>
      </c>
      <c r="I782" s="232">
        <f t="shared" si="5331"/>
        <v>0.13479620697051473</v>
      </c>
      <c r="J782" s="232">
        <f t="shared" si="5331"/>
        <v>0.19810342160192143</v>
      </c>
      <c r="K782" s="232">
        <f t="shared" si="5331"/>
        <v>0.18677519344595261</v>
      </c>
      <c r="L782" s="232">
        <f t="shared" si="5331"/>
        <v>0.20883756102252224</v>
      </c>
      <c r="M782" s="42">
        <f t="shared" ref="M782:AG782" si="5332">M525/M701*M$5</f>
        <v>0.1789480345795661</v>
      </c>
      <c r="N782" s="42">
        <f t="shared" si="5332"/>
        <v>0.21017830523299211</v>
      </c>
      <c r="O782" s="42">
        <f t="shared" si="5332"/>
        <v>0.20936510777016917</v>
      </c>
      <c r="P782" s="42">
        <f t="shared" si="5332"/>
        <v>0.1999248944836611</v>
      </c>
      <c r="Q782" s="42">
        <f t="shared" si="5332"/>
        <v>0.20009840905363294</v>
      </c>
      <c r="R782" s="42">
        <f t="shared" si="5332"/>
        <v>0.16719237791678063</v>
      </c>
      <c r="S782" s="42">
        <f t="shared" si="5332"/>
        <v>0.15015187390877999</v>
      </c>
      <c r="T782" s="45">
        <f t="shared" si="5332"/>
        <v>0.18614913632933316</v>
      </c>
      <c r="U782" s="42">
        <f t="shared" si="5332"/>
        <v>0.16749464225730881</v>
      </c>
      <c r="V782" s="42">
        <f t="shared" si="5332"/>
        <v>0.17799256572102023</v>
      </c>
      <c r="W782" s="42">
        <f t="shared" si="5332"/>
        <v>0.19144369131021136</v>
      </c>
      <c r="X782" s="42">
        <f t="shared" si="5332"/>
        <v>0.19688658934400824</v>
      </c>
      <c r="Y782" s="45">
        <f>Y525/Y701*Y$5</f>
        <v>0.17889910197602504</v>
      </c>
      <c r="Z782" s="45">
        <f>Z525/Z701*Z$5</f>
        <v>0.17572516804614602</v>
      </c>
      <c r="AA782" s="45">
        <f t="shared" si="5332"/>
        <v>0.18711356729102788</v>
      </c>
      <c r="AB782" s="45">
        <f t="shared" si="5332"/>
        <v>0.18623569232321646</v>
      </c>
      <c r="AC782" s="45">
        <f>AC525/AC701*AC$5</f>
        <v>0.19096530100072412</v>
      </c>
      <c r="AD782" s="45">
        <f>AD525/AD701*AD$5</f>
        <v>0.18470884901873963</v>
      </c>
      <c r="AE782" s="45">
        <f>AE525/AE701*AE$5</f>
        <v>0.18076275337048947</v>
      </c>
      <c r="AF782" s="45">
        <f>AF525/AF701*AF$5</f>
        <v>0.16799572509043076</v>
      </c>
      <c r="AG782" s="45">
        <f t="shared" si="5332"/>
        <v>0.15654486987323921</v>
      </c>
      <c r="AH782" s="45">
        <f t="shared" ref="AH782:AM782" si="5333">AH525/AH701*AH$5</f>
        <v>0.16026589782450823</v>
      </c>
      <c r="AI782" s="45">
        <f t="shared" si="5333"/>
        <v>0.16327632904076128</v>
      </c>
      <c r="AJ782" s="45">
        <f t="shared" si="5333"/>
        <v>0.15102437724340809</v>
      </c>
      <c r="AK782" s="45">
        <f t="shared" si="5333"/>
        <v>0.1340161281405354</v>
      </c>
      <c r="AL782" s="45">
        <f t="shared" si="5333"/>
        <v>0.13552522883635135</v>
      </c>
      <c r="AM782" s="45">
        <f t="shared" si="5333"/>
        <v>0.11626147404229113</v>
      </c>
      <c r="AN782" s="45">
        <f t="shared" ref="AN782:AS782" si="5334">AN525/AN701*AN$5</f>
        <v>0.17419530159264063</v>
      </c>
      <c r="AO782" s="45">
        <f t="shared" si="5334"/>
        <v>9.6509485902260689E-2</v>
      </c>
      <c r="AP782" s="45">
        <f t="shared" si="5334"/>
        <v>0.13140435261737321</v>
      </c>
      <c r="AQ782" s="45">
        <f t="shared" si="5334"/>
        <v>0.13944524400076838</v>
      </c>
      <c r="AR782" s="45">
        <f t="shared" si="5334"/>
        <v>0.15186558171843323</v>
      </c>
      <c r="AS782" s="45">
        <f t="shared" si="5334"/>
        <v>0.13400992602303588</v>
      </c>
      <c r="AT782" s="45">
        <f t="shared" ref="AT782:AU782" si="5335">AT525/AT701*AT$5</f>
        <v>0.14150688817074436</v>
      </c>
      <c r="AU782" s="45">
        <f t="shared" si="5335"/>
        <v>0.13520970518743824</v>
      </c>
      <c r="AV782" s="45">
        <f t="shared" ref="AV782:AW782" si="5336">AV525/AV701*AV$5</f>
        <v>0.13104645521804134</v>
      </c>
      <c r="AW782" s="45">
        <f t="shared" si="5336"/>
        <v>0.12774877768093507</v>
      </c>
      <c r="AX782" s="45">
        <f t="shared" ref="AX782" si="5337">AX525/AX701*AX$5</f>
        <v>0.13729903847957386</v>
      </c>
      <c r="AY782" s="45">
        <f t="shared" ref="AY782:BE782" si="5338">AY525/AY701*AY$5</f>
        <v>0.1304411138098592</v>
      </c>
      <c r="AZ782" s="43">
        <f t="shared" si="5338"/>
        <v>0.13648652075813281</v>
      </c>
      <c r="BA782" s="42">
        <f t="shared" si="5338"/>
        <v>0.14478286082677286</v>
      </c>
      <c r="BB782" s="42">
        <f t="shared" si="5338"/>
        <v>0.14388175776096404</v>
      </c>
      <c r="BC782" s="42">
        <f t="shared" si="5338"/>
        <v>0.1457369727055754</v>
      </c>
      <c r="BD782" s="42">
        <f t="shared" si="5338"/>
        <v>0.14452504904155211</v>
      </c>
      <c r="BE782" s="42">
        <f t="shared" si="5338"/>
        <v>0.14984051948819932</v>
      </c>
      <c r="BF782" s="42">
        <f t="shared" ref="BF782:BM782" si="5339">BF525/BF701*BF$5</f>
        <v>0.15198149599659122</v>
      </c>
      <c r="BG782" s="42">
        <f t="shared" si="5339"/>
        <v>0.15535891983704231</v>
      </c>
      <c r="BH782" s="42">
        <f t="shared" si="5339"/>
        <v>0.15364507815888898</v>
      </c>
      <c r="BI782" s="42">
        <f t="shared" si="5339"/>
        <v>0.15363954814699407</v>
      </c>
      <c r="BJ782" s="42">
        <f t="shared" si="5339"/>
        <v>0.14980253746744407</v>
      </c>
      <c r="BK782" s="42">
        <f t="shared" si="5339"/>
        <v>0.14701383540092988</v>
      </c>
      <c r="BL782" s="232">
        <f t="shared" si="5339"/>
        <v>0.14497462299337249</v>
      </c>
      <c r="BM782" s="232">
        <f t="shared" si="5339"/>
        <v>0.14388268347190342</v>
      </c>
      <c r="BN782" s="232">
        <f t="shared" ref="BN782:BO782" si="5340">BN525/BN701*BN$5</f>
        <v>0.14365015020151667</v>
      </c>
      <c r="BO782" s="232">
        <f t="shared" si="5340"/>
        <v>0.14311898233953216</v>
      </c>
      <c r="BP782" s="232">
        <f t="shared" ref="BP782:BQ782" si="5341">BP525/BP701*BP$5</f>
        <v>0.14286745311076815</v>
      </c>
      <c r="BQ782" s="232">
        <f t="shared" si="5341"/>
        <v>0.14224799223165371</v>
      </c>
      <c r="BR782" s="42"/>
      <c r="BS782" s="232">
        <f t="shared" ref="BS782:CB782" si="5342">BS525/BS701*BS$5</f>
        <v>7.5925392949652393E-2</v>
      </c>
      <c r="BT782" s="232">
        <f t="shared" si="5342"/>
        <v>7.7324536140056951E-2</v>
      </c>
      <c r="BU782" s="232">
        <f t="shared" si="5342"/>
        <v>0.11087898420543486</v>
      </c>
      <c r="BV782" s="232">
        <f t="shared" si="5342"/>
        <v>0.16065504110350237</v>
      </c>
      <c r="BW782" s="232">
        <f t="shared" si="5342"/>
        <v>0.16728582854323795</v>
      </c>
      <c r="BX782" s="232">
        <f t="shared" si="5342"/>
        <v>0.16730038022813687</v>
      </c>
      <c r="BY782" s="232">
        <f t="shared" si="5342"/>
        <v>0.15864929772214539</v>
      </c>
      <c r="BZ782" s="232">
        <f t="shared" si="5342"/>
        <v>0.20902542995737175</v>
      </c>
      <c r="CA782" s="232">
        <f t="shared" si="5342"/>
        <v>0.38087177316969956</v>
      </c>
      <c r="CB782" s="573">
        <f t="shared" si="5342"/>
        <v>0.14407161524828022</v>
      </c>
      <c r="CC782" s="42">
        <f t="shared" ref="CC782:CR782" si="5343">CC525/CC701*CC$5</f>
        <v>0.14743501190342889</v>
      </c>
      <c r="CD782" s="42">
        <f t="shared" si="5343"/>
        <v>0.10621026633195443</v>
      </c>
      <c r="CE782" s="42">
        <f t="shared" si="5343"/>
        <v>0.13077163086123358</v>
      </c>
      <c r="CF782" s="42">
        <f t="shared" si="5343"/>
        <v>0.1922158616652957</v>
      </c>
      <c r="CG782" s="42">
        <f t="shared" si="5343"/>
        <v>0.20004074149521286</v>
      </c>
      <c r="CH782" s="42">
        <f t="shared" si="5343"/>
        <v>0.20670520231213874</v>
      </c>
      <c r="CI782" s="42">
        <f t="shared" si="5343"/>
        <v>0.19794248884481905</v>
      </c>
      <c r="CJ782" s="42">
        <f t="shared" si="5343"/>
        <v>0.16367479900194068</v>
      </c>
      <c r="CK782" s="42">
        <f t="shared" si="5343"/>
        <v>0.175079595684832</v>
      </c>
      <c r="CL782" s="42">
        <f t="shared" si="5343"/>
        <v>0.18319342176890238</v>
      </c>
      <c r="CM782" s="45">
        <f t="shared" si="5343"/>
        <v>0.18614786809493805</v>
      </c>
      <c r="CN782" s="45">
        <f t="shared" si="5343"/>
        <v>0.18125148703307162</v>
      </c>
      <c r="CO782" s="45">
        <f t="shared" si="5343"/>
        <v>0.18832231459056098</v>
      </c>
      <c r="CP782" s="45">
        <f t="shared" si="5343"/>
        <v>0.18260028609997381</v>
      </c>
      <c r="CQ782" s="45">
        <f t="shared" si="5343"/>
        <v>0.16324760606757882</v>
      </c>
      <c r="CR782" s="45">
        <f t="shared" si="5343"/>
        <v>0.16147815620832112</v>
      </c>
      <c r="CS782" s="45">
        <f t="shared" ref="CS782:DC782" si="5344">CS525/CS701*CS$5</f>
        <v>0.14282214975734472</v>
      </c>
      <c r="CT782" s="45">
        <f t="shared" si="5344"/>
        <v>0.12606451043551162</v>
      </c>
      <c r="CU782" s="45">
        <f t="shared" si="5344"/>
        <v>0.13538079376728956</v>
      </c>
      <c r="CV782" s="45">
        <f t="shared" si="5344"/>
        <v>0.1354000425577189</v>
      </c>
      <c r="CW782" s="45">
        <f t="shared" si="5344"/>
        <v>0.14286851215662347</v>
      </c>
      <c r="CX782" s="45">
        <f t="shared" si="5344"/>
        <v>0.13846111234212274</v>
      </c>
      <c r="CY782" s="45">
        <f t="shared" si="5344"/>
        <v>0.12954203841857773</v>
      </c>
      <c r="CZ782" s="43">
        <f t="shared" si="5344"/>
        <v>0.13379237914573239</v>
      </c>
      <c r="DA782" s="42">
        <f t="shared" si="5344"/>
        <v>0.1406047313142626</v>
      </c>
      <c r="DB782" s="42">
        <f t="shared" si="5344"/>
        <v>0.14480059284899843</v>
      </c>
      <c r="DC782" s="42">
        <f t="shared" si="5344"/>
        <v>0.14716997126982739</v>
      </c>
      <c r="DD782" s="42">
        <f t="shared" ref="DD782:DI782" si="5345">DD525/DD701*DD$5</f>
        <v>0.15365100819182603</v>
      </c>
      <c r="DE782" s="42">
        <f t="shared" si="5345"/>
        <v>0.15361733735615063</v>
      </c>
      <c r="DF782" s="42">
        <f t="shared" si="5345"/>
        <v>0.14838500498007348</v>
      </c>
      <c r="DG782" s="232">
        <f t="shared" si="5345"/>
        <v>0.14441278956068074</v>
      </c>
      <c r="DH782" s="232">
        <f t="shared" si="5345"/>
        <v>0.14336278832568022</v>
      </c>
      <c r="DI782" s="232">
        <f t="shared" si="5345"/>
        <v>0.14253510476134398</v>
      </c>
    </row>
    <row r="783" spans="1:113" outlineLevel="1">
      <c r="A783" s="1" t="s">
        <v>1000</v>
      </c>
      <c r="B783" s="19" t="s">
        <v>592</v>
      </c>
      <c r="C783" s="232">
        <f t="shared" ref="C783:L783" si="5346">C515/C701*C$5</f>
        <v>0.20448842588753399</v>
      </c>
      <c r="D783" s="232">
        <f t="shared" si="5346"/>
        <v>0.13004030301854205</v>
      </c>
      <c r="E783" s="232">
        <f t="shared" si="5346"/>
        <v>0.14402113621187276</v>
      </c>
      <c r="F783" s="232">
        <f t="shared" si="5346"/>
        <v>0.12608032714242351</v>
      </c>
      <c r="G783" s="232">
        <f t="shared" si="5346"/>
        <v>0.14195827659085378</v>
      </c>
      <c r="H783" s="232">
        <f t="shared" si="5346"/>
        <v>0.12246607126538744</v>
      </c>
      <c r="I783" s="232">
        <f t="shared" si="5346"/>
        <v>0.14128752167789843</v>
      </c>
      <c r="J783" s="232">
        <f t="shared" si="5346"/>
        <v>0.19347483698505413</v>
      </c>
      <c r="K783" s="232">
        <f t="shared" si="5346"/>
        <v>0.18688584225723576</v>
      </c>
      <c r="L783" s="232">
        <f t="shared" si="5346"/>
        <v>0.21531476401571703</v>
      </c>
      <c r="M783" s="42">
        <f t="shared" ref="M783:AB783" si="5347">M515/M701*M$5</f>
        <v>0.18479237163426421</v>
      </c>
      <c r="N783" s="42">
        <f t="shared" si="5347"/>
        <v>0.21756476324437521</v>
      </c>
      <c r="O783" s="42">
        <f t="shared" si="5347"/>
        <v>0.20247507570226103</v>
      </c>
      <c r="P783" s="42">
        <f t="shared" si="5347"/>
        <v>0.19899736439537755</v>
      </c>
      <c r="Q783" s="42">
        <f t="shared" si="5347"/>
        <v>0.19224330621888289</v>
      </c>
      <c r="R783" s="42">
        <f t="shared" si="5347"/>
        <v>0.12216155090693646</v>
      </c>
      <c r="S783" s="42">
        <f t="shared" si="5347"/>
        <v>0.16558608978498482</v>
      </c>
      <c r="T783" s="45">
        <f t="shared" si="5347"/>
        <v>0.18646854116174452</v>
      </c>
      <c r="U783" s="42">
        <f t="shared" si="5347"/>
        <v>0.19094389217333205</v>
      </c>
      <c r="V783" s="42">
        <f t="shared" si="5347"/>
        <v>0.19321407936885324</v>
      </c>
      <c r="W783" s="42">
        <f t="shared" si="5347"/>
        <v>0.19934890657077664</v>
      </c>
      <c r="X783" s="42">
        <f t="shared" si="5347"/>
        <v>0.19319224936735466</v>
      </c>
      <c r="Y783" s="45">
        <f>Y515/Y701*Y$5</f>
        <v>0.18142825835133528</v>
      </c>
      <c r="Z783" s="45">
        <f>Z515/Z701*Z$5</f>
        <v>0.18051635274363112</v>
      </c>
      <c r="AA783" s="45">
        <f t="shared" si="5347"/>
        <v>0.18725436004293985</v>
      </c>
      <c r="AB783" s="45">
        <f t="shared" si="5347"/>
        <v>0.18791787827716991</v>
      </c>
      <c r="AC783" s="45">
        <f t="shared" ref="AC783:AK783" si="5348">AC515/AC701*AC$5</f>
        <v>0.18949766532395546</v>
      </c>
      <c r="AD783" s="45">
        <f t="shared" si="5348"/>
        <v>0.18731554501371192</v>
      </c>
      <c r="AE783" s="45">
        <f t="shared" si="5348"/>
        <v>0.17908606705389044</v>
      </c>
      <c r="AF783" s="45">
        <f t="shared" si="5348"/>
        <v>0.1735556095677909</v>
      </c>
      <c r="AG783" s="45">
        <f t="shared" si="5348"/>
        <v>0.15719146824880256</v>
      </c>
      <c r="AH783" s="45">
        <f t="shared" si="5348"/>
        <v>0.15807226857951495</v>
      </c>
      <c r="AI783" s="45">
        <f t="shared" si="5348"/>
        <v>0.15659345127751934</v>
      </c>
      <c r="AJ783" s="45">
        <f t="shared" si="5348"/>
        <v>0.14154302620570533</v>
      </c>
      <c r="AK783" s="45">
        <f t="shared" si="5348"/>
        <v>0.13080434663863699</v>
      </c>
      <c r="AL783" s="45">
        <f t="shared" ref="AL783:AQ783" si="5349">AL515/AL701*AL$5</f>
        <v>0.13297895633018622</v>
      </c>
      <c r="AM783" s="45">
        <f t="shared" si="5349"/>
        <v>0.10854603373334175</v>
      </c>
      <c r="AN783" s="45">
        <f t="shared" si="5349"/>
        <v>0.12240062844939202</v>
      </c>
      <c r="AO783" s="45">
        <f t="shared" si="5349"/>
        <v>8.1445687287347537E-2</v>
      </c>
      <c r="AP783" s="45">
        <f t="shared" si="5349"/>
        <v>0.10438940971944949</v>
      </c>
      <c r="AQ783" s="45">
        <f t="shared" si="5349"/>
        <v>0.12561097374692712</v>
      </c>
      <c r="AR783" s="45">
        <f t="shared" ref="AR783" si="5350">AR515/AR701*AR$5</f>
        <v>0.12278603932464807</v>
      </c>
      <c r="AS783" s="45">
        <f t="shared" ref="AS783:AT783" si="5351">AS515/AS701*AS$5</f>
        <v>0.13258807004401163</v>
      </c>
      <c r="AT783" s="45">
        <f t="shared" si="5351"/>
        <v>0.14172576966830158</v>
      </c>
      <c r="AU783" s="45">
        <f t="shared" ref="AU783:AV783" si="5352">AU515/AU701*AU$5</f>
        <v>0.13705882258121588</v>
      </c>
      <c r="AV783" s="45">
        <f t="shared" si="5352"/>
        <v>0.13820595897023524</v>
      </c>
      <c r="AW783" s="45">
        <f t="shared" ref="AW783:AX783" si="5353">AW515/AW701*AW$5</f>
        <v>0.13276501878944211</v>
      </c>
      <c r="AX783" s="45">
        <f t="shared" si="5353"/>
        <v>0.13724555229395657</v>
      </c>
      <c r="AY783" s="45">
        <f t="shared" ref="AY783:BE783" si="5354">AY515/AY701*AY$5</f>
        <v>0.13405429600692073</v>
      </c>
      <c r="AZ783" s="43">
        <f t="shared" si="5354"/>
        <v>0.13847011468754111</v>
      </c>
      <c r="BA783" s="42">
        <f t="shared" si="5354"/>
        <v>0.14478286082677286</v>
      </c>
      <c r="BB783" s="42">
        <f t="shared" si="5354"/>
        <v>0.14388175776096404</v>
      </c>
      <c r="BC783" s="42">
        <f t="shared" si="5354"/>
        <v>0.1457369727055754</v>
      </c>
      <c r="BD783" s="42">
        <f t="shared" si="5354"/>
        <v>0.14452504904155211</v>
      </c>
      <c r="BE783" s="42">
        <f t="shared" si="5354"/>
        <v>0.14984051948819932</v>
      </c>
      <c r="BF783" s="42">
        <f t="shared" ref="BF783:BM783" si="5355">BF515/BF701*BF$5</f>
        <v>0.15198149599659122</v>
      </c>
      <c r="BG783" s="42">
        <f t="shared" si="5355"/>
        <v>0.15535891983704231</v>
      </c>
      <c r="BH783" s="42">
        <f t="shared" si="5355"/>
        <v>0.15364507815888898</v>
      </c>
      <c r="BI783" s="42">
        <f t="shared" si="5355"/>
        <v>0.15363954814699407</v>
      </c>
      <c r="BJ783" s="42">
        <f t="shared" si="5355"/>
        <v>0.14980253746744407</v>
      </c>
      <c r="BK783" s="42">
        <f t="shared" si="5355"/>
        <v>0.14701383540092988</v>
      </c>
      <c r="BL783" s="232">
        <f t="shared" si="5355"/>
        <v>0.14497462299337249</v>
      </c>
      <c r="BM783" s="232">
        <f t="shared" si="5355"/>
        <v>0.14388268347190342</v>
      </c>
      <c r="BN783" s="232">
        <f t="shared" ref="BN783:BO783" si="5356">BN515/BN701*BN$5</f>
        <v>0.14365015020151667</v>
      </c>
      <c r="BO783" s="232">
        <f t="shared" si="5356"/>
        <v>0.14311898233953216</v>
      </c>
      <c r="BP783" s="232">
        <f t="shared" ref="BP783:BQ783" si="5357">BP515/BP701*BP$5</f>
        <v>0.14286745311076815</v>
      </c>
      <c r="BQ783" s="232">
        <f t="shared" si="5357"/>
        <v>0.14224799223165371</v>
      </c>
      <c r="BR783" s="42"/>
      <c r="BS783" s="232">
        <f t="shared" ref="BS783:CB783" si="5358">BS515/BS701*BS$5</f>
        <v>7.5925392949652393E-2</v>
      </c>
      <c r="BT783" s="232">
        <f t="shared" si="5358"/>
        <v>0.10106299418756878</v>
      </c>
      <c r="BU783" s="232">
        <f t="shared" si="5358"/>
        <v>0.11087898420543486</v>
      </c>
      <c r="BV783" s="232">
        <f t="shared" si="5358"/>
        <v>0.16523117655711181</v>
      </c>
      <c r="BW783" s="232">
        <f t="shared" si="5358"/>
        <v>0.16728582854323795</v>
      </c>
      <c r="BX783" s="232">
        <f t="shared" si="5358"/>
        <v>0.19383875223093039</v>
      </c>
      <c r="BY783" s="232">
        <f t="shared" si="5358"/>
        <v>0.18877810930791064</v>
      </c>
      <c r="BZ783" s="232">
        <f t="shared" si="5358"/>
        <v>0.21593414669998531</v>
      </c>
      <c r="CA783" s="232">
        <f t="shared" si="5358"/>
        <v>0.23670475384398362</v>
      </c>
      <c r="CB783" s="232">
        <f t="shared" si="5358"/>
        <v>0.13536002883835502</v>
      </c>
      <c r="CC783" s="42">
        <f t="shared" ref="CC783:CR783" si="5359">CC515/CC701*CC$5</f>
        <v>0.13699516925263996</v>
      </c>
      <c r="CD783" s="42">
        <f t="shared" si="5359"/>
        <v>0.13402975458093055</v>
      </c>
      <c r="CE783" s="42">
        <f t="shared" si="5359"/>
        <v>0.13189020624185066</v>
      </c>
      <c r="CF783" s="42">
        <f t="shared" si="5359"/>
        <v>0.19001103266384081</v>
      </c>
      <c r="CG783" s="42">
        <f t="shared" si="5359"/>
        <v>0.20640660012222448</v>
      </c>
      <c r="CH783" s="42">
        <f t="shared" si="5359"/>
        <v>0.20679768786127167</v>
      </c>
      <c r="CI783" s="42">
        <f t="shared" si="5359"/>
        <v>0.19356304743017683</v>
      </c>
      <c r="CJ783" s="42">
        <f t="shared" si="5359"/>
        <v>0.1473177155530912</v>
      </c>
      <c r="CK783" s="42">
        <f t="shared" si="5359"/>
        <v>0.1871348644555037</v>
      </c>
      <c r="CL783" s="42">
        <f t="shared" si="5359"/>
        <v>0.19462510385926712</v>
      </c>
      <c r="CM783" s="45">
        <f t="shared" si="5359"/>
        <v>0.18564902331442973</v>
      </c>
      <c r="CN783" s="45">
        <f t="shared" si="5359"/>
        <v>0.18367832500594813</v>
      </c>
      <c r="CO783" s="45">
        <f t="shared" si="5359"/>
        <v>0.18840959176103511</v>
      </c>
      <c r="CP783" s="45">
        <f t="shared" si="5359"/>
        <v>0.18304353958052103</v>
      </c>
      <c r="CQ783" s="45">
        <f t="shared" si="5359"/>
        <v>0.16629201550524805</v>
      </c>
      <c r="CR783" s="45">
        <f t="shared" si="5359"/>
        <v>0.15703783221105364</v>
      </c>
      <c r="CS783" s="45">
        <f t="shared" ref="CS783:DC783" si="5360">CS515/CS701*CS$5</f>
        <v>0.13648402455640779</v>
      </c>
      <c r="CT783" s="45">
        <f t="shared" si="5360"/>
        <v>0.12091661886481636</v>
      </c>
      <c r="CU783" s="45">
        <f t="shared" si="5360"/>
        <v>0.10197312708180432</v>
      </c>
      <c r="CV783" s="45">
        <f t="shared" si="5360"/>
        <v>0.11507873177997659</v>
      </c>
      <c r="CW783" s="45">
        <f t="shared" si="5360"/>
        <v>0.12726983326922311</v>
      </c>
      <c r="CX783" s="45">
        <f t="shared" si="5360"/>
        <v>0.13948592953689343</v>
      </c>
      <c r="CY783" s="45">
        <f t="shared" si="5360"/>
        <v>0.13563716094157233</v>
      </c>
      <c r="CZ783" s="43">
        <f t="shared" si="5360"/>
        <v>0.13559109045097359</v>
      </c>
      <c r="DA783" s="42">
        <f t="shared" si="5360"/>
        <v>0.14160241022314687</v>
      </c>
      <c r="DB783" s="42">
        <f t="shared" si="5360"/>
        <v>0.14480059284899846</v>
      </c>
      <c r="DC783" s="42">
        <f t="shared" si="5360"/>
        <v>0.14716997126982742</v>
      </c>
      <c r="DD783" s="42">
        <f t="shared" ref="DD783:DI783" si="5361">DD515/DD701*DD$5</f>
        <v>0.15365100819182595</v>
      </c>
      <c r="DE783" s="42">
        <f t="shared" si="5361"/>
        <v>0.1536173373561506</v>
      </c>
      <c r="DF783" s="42">
        <f t="shared" si="5361"/>
        <v>0.14838500498007351</v>
      </c>
      <c r="DG783" s="232">
        <f t="shared" si="5361"/>
        <v>0.14441278956068077</v>
      </c>
      <c r="DH783" s="232">
        <f t="shared" si="5361"/>
        <v>0.1433627883256802</v>
      </c>
      <c r="DI783" s="232">
        <f t="shared" si="5361"/>
        <v>0.14253510476134398</v>
      </c>
    </row>
    <row r="784" spans="1:113" outlineLevel="1">
      <c r="A784" s="1" t="s">
        <v>1115</v>
      </c>
      <c r="B784" s="19" t="s">
        <v>1116</v>
      </c>
      <c r="C784" s="232">
        <f t="shared" ref="C784:L784" si="5362">(C515-(C595*C80*(1-C129))/C$5)/(C701-C595)*C$5</f>
        <v>0.20843510134122203</v>
      </c>
      <c r="D784" s="232">
        <f t="shared" si="5362"/>
        <v>0.13336052921716524</v>
      </c>
      <c r="E784" s="232">
        <f t="shared" si="5362"/>
        <v>0.14854862531704324</v>
      </c>
      <c r="F784" s="232">
        <f t="shared" si="5362"/>
        <v>0.13206861615495086</v>
      </c>
      <c r="G784" s="232">
        <f t="shared" si="5362"/>
        <v>0.14881397438037691</v>
      </c>
      <c r="H784" s="232">
        <f t="shared" si="5362"/>
        <v>0.12345386886443505</v>
      </c>
      <c r="I784" s="232">
        <f t="shared" si="5362"/>
        <v>0.13760733028257405</v>
      </c>
      <c r="J784" s="232">
        <f t="shared" si="5362"/>
        <v>0.19025201291394789</v>
      </c>
      <c r="K784" s="232">
        <f t="shared" si="5362"/>
        <v>0.18560630306092701</v>
      </c>
      <c r="L784" s="232">
        <f t="shared" si="5362"/>
        <v>0.23172368975192939</v>
      </c>
      <c r="M784" s="42">
        <f t="shared" ref="M784:AG784" si="5363">(M515-(M595*M80*(1-M129))/M$5)/(M701-M595)*M$5</f>
        <v>0.1891098869914008</v>
      </c>
      <c r="N784" s="42">
        <f t="shared" si="5363"/>
        <v>0.22670509976049108</v>
      </c>
      <c r="O784" s="42">
        <f t="shared" si="5363"/>
        <v>0.21414723994088197</v>
      </c>
      <c r="P784" s="42">
        <f t="shared" si="5363"/>
        <v>0.21406696867099312</v>
      </c>
      <c r="Q784" s="42">
        <f t="shared" si="5363"/>
        <v>0.20631228302856322</v>
      </c>
      <c r="R784" s="42">
        <f t="shared" si="5363"/>
        <v>0.12255607761327225</v>
      </c>
      <c r="S784" s="42">
        <f t="shared" si="5363"/>
        <v>0.16354493697475633</v>
      </c>
      <c r="T784" s="42">
        <f t="shared" si="5363"/>
        <v>0.19161624987609596</v>
      </c>
      <c r="U784" s="42">
        <f t="shared" si="5363"/>
        <v>0.19610664794212956</v>
      </c>
      <c r="V784" s="42">
        <f t="shared" si="5363"/>
        <v>0.205399168221368</v>
      </c>
      <c r="W784" s="42">
        <f t="shared" si="5363"/>
        <v>0.1877767934467211</v>
      </c>
      <c r="X784" s="42">
        <f t="shared" si="5363"/>
        <v>0.17960494170897531</v>
      </c>
      <c r="Y784" s="42">
        <f t="shared" si="5363"/>
        <v>0.17306451660456812</v>
      </c>
      <c r="Z784" s="45">
        <f>(Z515-(Z595*Z80*(1-Z129))/Z$5)/(Z701-Z595)*Z$5</f>
        <v>0.17881051793807345</v>
      </c>
      <c r="AA784" s="45">
        <f t="shared" si="5363"/>
        <v>0.18677117347920319</v>
      </c>
      <c r="AB784" s="45">
        <f t="shared" si="5363"/>
        <v>0.18530204345274656</v>
      </c>
      <c r="AC784" s="45">
        <f>(AC515-(AC595*AC80*(1-AC129))/AC$5)/(AC701-AC595)*AC$5</f>
        <v>0.19654703372637164</v>
      </c>
      <c r="AD784" s="45">
        <f>(AD515-(AD595*AD80*(1-AD129))/AD$5)/(AD701-AD595)*AD$5</f>
        <v>0.19015473943456421</v>
      </c>
      <c r="AE784" s="45">
        <f>(AE515-(AE595*AE80*(1-AE129))/AE$5)/(AE701-AE595)*AE$5</f>
        <v>0.1797734676880319</v>
      </c>
      <c r="AF784" s="45">
        <f>(AF515-(AF595*AF80*(1-AF129))/AF$5)/(AF701-AF595)*AF$5</f>
        <v>0.17918983705278752</v>
      </c>
      <c r="AG784" s="45">
        <f t="shared" si="5363"/>
        <v>0.16264622278314958</v>
      </c>
      <c r="AH784" s="45">
        <f t="shared" ref="AH784:AM784" si="5364">(AH515-(AH595*AH80*(1-AH129))/AH$5)/(AH701-AH595)*AH$5</f>
        <v>0.15730145033535303</v>
      </c>
      <c r="AI784" s="45">
        <f t="shared" si="5364"/>
        <v>0.15268886416009425</v>
      </c>
      <c r="AJ784" s="45">
        <f t="shared" si="5364"/>
        <v>0.14064904681296858</v>
      </c>
      <c r="AK784" s="45">
        <f t="shared" si="5364"/>
        <v>0.12790548657748393</v>
      </c>
      <c r="AL784" s="45">
        <f t="shared" si="5364"/>
        <v>0.13529446331355341</v>
      </c>
      <c r="AM784" s="45">
        <f t="shared" si="5364"/>
        <v>0.10971519480151183</v>
      </c>
      <c r="AN784" s="45">
        <f t="shared" ref="AN784:AS784" si="5365">(AN515-(AN595*AN80*(1-AN129))/AN$5)/(AN701-AN595)*AN$5</f>
        <v>0.13167028223887353</v>
      </c>
      <c r="AO784" s="45">
        <f t="shared" si="5365"/>
        <v>8.7080420205998932E-2</v>
      </c>
      <c r="AP784" s="45">
        <f t="shared" si="5365"/>
        <v>0.11971130691740985</v>
      </c>
      <c r="AQ784" s="45">
        <f t="shared" si="5365"/>
        <v>0.14771354554664151</v>
      </c>
      <c r="AR784" s="45">
        <f t="shared" si="5365"/>
        <v>0.13301733504843394</v>
      </c>
      <c r="AS784" s="45">
        <f t="shared" si="5365"/>
        <v>0.14142931830448632</v>
      </c>
      <c r="AT784" s="45">
        <f t="shared" ref="AT784:AU784" si="5366">(AT515-(AT595*AT80*(1-AT129))/AT$5)/(AT701-AT595)*AT$5</f>
        <v>0.1500041044876437</v>
      </c>
      <c r="AU784" s="45">
        <f t="shared" si="5366"/>
        <v>0.14606691919608294</v>
      </c>
      <c r="AV784" s="45">
        <f t="shared" ref="AV784:AW784" si="5367">(AV515-(AV595*AV80*(1-AV129))/AV$5)/(AV701-AV595)*AV$5</f>
        <v>0.14845322531850863</v>
      </c>
      <c r="AW784" s="45">
        <f t="shared" si="5367"/>
        <v>0.13858364466028031</v>
      </c>
      <c r="AX784" s="45">
        <f t="shared" ref="AX784" si="5368">(AX515-(AX595*AX80*(1-AX129))/AX$5)/(AX701-AX595)*AX$5</f>
        <v>0.14236152069688593</v>
      </c>
      <c r="AY784" s="45">
        <f t="shared" ref="AY784:BE784" si="5369">(AY515-(AY595*AY80*(1-AY129))/AY$5)/(AY701-AY595)*AY$5</f>
        <v>0.13965170283206554</v>
      </c>
      <c r="AZ784" s="43">
        <f t="shared" si="5369"/>
        <v>0.14429085982544601</v>
      </c>
      <c r="BA784" s="42">
        <f t="shared" si="5369"/>
        <v>0.15165456198005056</v>
      </c>
      <c r="BB784" s="42">
        <f t="shared" si="5369"/>
        <v>0.14913546993959317</v>
      </c>
      <c r="BC784" s="42">
        <f t="shared" si="5369"/>
        <v>0.15082628846249543</v>
      </c>
      <c r="BD784" s="42">
        <f t="shared" si="5369"/>
        <v>0.14830254393755218</v>
      </c>
      <c r="BE784" s="42">
        <f t="shared" si="5369"/>
        <v>0.1533662103427397</v>
      </c>
      <c r="BF784" s="42">
        <f t="shared" ref="BF784:BM784" si="5370">(BF515-(BF595*BF80*(1-BF129))/BF$5)/(BF701-BF595)*BF$5</f>
        <v>0.15417742306515075</v>
      </c>
      <c r="BG784" s="42">
        <f t="shared" si="5370"/>
        <v>0.15912277155657134</v>
      </c>
      <c r="BH784" s="42">
        <f t="shared" si="5370"/>
        <v>0.1580296785327423</v>
      </c>
      <c r="BI784" s="42">
        <f t="shared" si="5370"/>
        <v>0.15937812716550054</v>
      </c>
      <c r="BJ784" s="42">
        <f t="shared" si="5370"/>
        <v>0.15555346979381157</v>
      </c>
      <c r="BK784" s="42">
        <f t="shared" si="5370"/>
        <v>0.15335204224438592</v>
      </c>
      <c r="BL784" s="232">
        <f t="shared" si="5370"/>
        <v>0.15120049869795757</v>
      </c>
      <c r="BM784" s="232">
        <f t="shared" si="5370"/>
        <v>0.15069464900418564</v>
      </c>
      <c r="BN784" s="232">
        <f t="shared" ref="BN784:BO784" si="5371">(BN515-(BN595*BN80*(1-BN129))/BN$5)/(BN701-BN595)*BN$5</f>
        <v>0.15051938276873772</v>
      </c>
      <c r="BO784" s="232">
        <f t="shared" si="5371"/>
        <v>0.15063815401189815</v>
      </c>
      <c r="BP784" s="232">
        <f t="shared" ref="BP784:BQ784" si="5372">(BP515-(BP595*BP80*(1-BP129))/BP$5)/(BP701-BP595)*BP$5</f>
        <v>0.15053987894167625</v>
      </c>
      <c r="BQ784" s="232">
        <f t="shared" si="5372"/>
        <v>0.15063120427612794</v>
      </c>
      <c r="BR784" s="42"/>
      <c r="BS784" s="232">
        <f t="shared" ref="BS784:CB784" si="5373">(BS515-(BS595*BS80*(1-BS129))/BS$5)/(BS701-BS595)*BS$5</f>
        <v>8.2799647722652484E-2</v>
      </c>
      <c r="BT784" s="232">
        <f t="shared" si="5373"/>
        <v>0.12570364894820066</v>
      </c>
      <c r="BU784" s="232">
        <f t="shared" si="5373"/>
        <v>0.15087035688617467</v>
      </c>
      <c r="BV784" s="232">
        <f t="shared" si="5373"/>
        <v>0.24936417201083358</v>
      </c>
      <c r="BW784" s="232">
        <f t="shared" si="5373"/>
        <v>0.25763475295322052</v>
      </c>
      <c r="BX784" s="232">
        <f t="shared" si="5373"/>
        <v>0.26556720676258944</v>
      </c>
      <c r="BY784" s="232">
        <f t="shared" si="5373"/>
        <v>0.2355154834940543</v>
      </c>
      <c r="BZ784" s="232">
        <f t="shared" si="5373"/>
        <v>0.26345773593921523</v>
      </c>
      <c r="CA784" s="232">
        <f t="shared" si="5373"/>
        <v>0.36461351212041204</v>
      </c>
      <c r="CB784" s="232">
        <f t="shared" si="5373"/>
        <v>0.13686474306527777</v>
      </c>
      <c r="CC784" s="42">
        <f t="shared" ref="CC784:CR784" si="5374">(CC515-(CC595*CC80*(1-CC129))/CC$5)/(CC701-CC595)*CC$5</f>
        <v>0.14130008715182635</v>
      </c>
      <c r="CD784" s="42">
        <f t="shared" si="5374"/>
        <v>0.14041079828727349</v>
      </c>
      <c r="CE784" s="42">
        <f t="shared" si="5374"/>
        <v>0.12844357612483875</v>
      </c>
      <c r="CF784" s="42">
        <f t="shared" si="5374"/>
        <v>0.18865615997988389</v>
      </c>
      <c r="CG784" s="42">
        <f t="shared" si="5374"/>
        <v>0.21202818069463383</v>
      </c>
      <c r="CH784" s="42">
        <f t="shared" si="5374"/>
        <v>0.21910695341636807</v>
      </c>
      <c r="CI784" s="42">
        <f t="shared" si="5374"/>
        <v>0.20803084173125438</v>
      </c>
      <c r="CJ784" s="42">
        <f t="shared" si="5374"/>
        <v>0.14569259749200833</v>
      </c>
      <c r="CK784" s="42">
        <f t="shared" si="5374"/>
        <v>0.1924046392863942</v>
      </c>
      <c r="CL784" s="42">
        <f t="shared" si="5374"/>
        <v>0.18328887157208332</v>
      </c>
      <c r="CM784" s="45">
        <f t="shared" si="5374"/>
        <v>0.17698741343297383</v>
      </c>
      <c r="CN784" s="45">
        <f t="shared" si="5374"/>
        <v>0.18319909963518177</v>
      </c>
      <c r="CO784" s="45">
        <f t="shared" si="5374"/>
        <v>0.19557429125347209</v>
      </c>
      <c r="CP784" s="45">
        <f t="shared" si="5374"/>
        <v>0.1837567305436269</v>
      </c>
      <c r="CQ784" s="45">
        <f t="shared" si="5374"/>
        <v>0.17226739831642851</v>
      </c>
      <c r="CR784" s="45">
        <f t="shared" si="5374"/>
        <v>0.15308547992682181</v>
      </c>
      <c r="CS784" s="45">
        <f t="shared" ref="CS784:DC784" si="5375">(CS515-(CS595*CS80*(1-CS129))/CS$5)/(CS701-CS595)*CS$5</f>
        <v>0.13337091909258197</v>
      </c>
      <c r="CT784" s="45">
        <f t="shared" si="5375"/>
        <v>0.12224303345908927</v>
      </c>
      <c r="CU784" s="45">
        <f t="shared" si="5375"/>
        <v>0.10902084951102838</v>
      </c>
      <c r="CV784" s="45">
        <f t="shared" si="5375"/>
        <v>0.13582046767587289</v>
      </c>
      <c r="CW784" s="45">
        <f t="shared" si="5375"/>
        <v>0.13392702289740427</v>
      </c>
      <c r="CX784" s="45">
        <f t="shared" si="5375"/>
        <v>0.1483328142978233</v>
      </c>
      <c r="CY784" s="45">
        <f t="shared" si="5375"/>
        <v>0.14164562091262276</v>
      </c>
      <c r="CZ784" s="43">
        <f t="shared" si="5375"/>
        <v>0.14134684657377541</v>
      </c>
      <c r="DA784" s="42">
        <f t="shared" si="5375"/>
        <v>0.14841053101853033</v>
      </c>
      <c r="DB784" s="42">
        <f t="shared" si="5375"/>
        <v>0.14980070455876057</v>
      </c>
      <c r="DC784" s="42">
        <f t="shared" si="5375"/>
        <v>0.15062479638594803</v>
      </c>
      <c r="DD784" s="42">
        <f t="shared" ref="DD784:DI784" si="5376">(DD515-(DD595*DD80*(1-DD129))/DD$5)/(DD701-DD595)*DD$5</f>
        <v>0.15738889224516878</v>
      </c>
      <c r="DE784" s="42">
        <f t="shared" si="5376"/>
        <v>0.15941374672278849</v>
      </c>
      <c r="DF784" s="42">
        <f t="shared" si="5376"/>
        <v>0.15485610345572642</v>
      </c>
      <c r="DG784" s="232">
        <f t="shared" si="5376"/>
        <v>0.15131956170299879</v>
      </c>
      <c r="DH784" s="232">
        <f t="shared" si="5376"/>
        <v>0.15097047793663756</v>
      </c>
      <c r="DI784" s="232">
        <f t="shared" si="5376"/>
        <v>0.15102405081238984</v>
      </c>
    </row>
    <row r="785" spans="1:113" outlineLevel="1">
      <c r="A785" s="1" t="s">
        <v>1001</v>
      </c>
      <c r="B785" s="19" t="s">
        <v>593</v>
      </c>
      <c r="C785" s="232" t="e">
        <f t="shared" ref="C785:L785" si="5377">C515/C702*C$5</f>
        <v>#DIV/0!</v>
      </c>
      <c r="D785" s="232">
        <f t="shared" si="5377"/>
        <v>0.18966900409344517</v>
      </c>
      <c r="E785" s="232">
        <f t="shared" si="5377"/>
        <v>0.20648394077039817</v>
      </c>
      <c r="F785" s="232">
        <f t="shared" si="5377"/>
        <v>0.17566474859547604</v>
      </c>
      <c r="G785" s="232">
        <f t="shared" si="5377"/>
        <v>0.19326728373662755</v>
      </c>
      <c r="H785" s="232">
        <f t="shared" si="5377"/>
        <v>0.16408720737508847</v>
      </c>
      <c r="I785" s="232">
        <f t="shared" si="5377"/>
        <v>0.18624477709644921</v>
      </c>
      <c r="J785" s="232">
        <f t="shared" si="5377"/>
        <v>0.3000759187944253</v>
      </c>
      <c r="K785" s="232">
        <f t="shared" si="5377"/>
        <v>0.31682195945659475</v>
      </c>
      <c r="L785" s="232">
        <f t="shared" si="5377"/>
        <v>0.35628729752770671</v>
      </c>
      <c r="M785" s="42">
        <f t="shared" ref="M785:AG785" si="5378">M515/M702*M$5</f>
        <v>0.28344740153723086</v>
      </c>
      <c r="N785" s="42">
        <f t="shared" si="5378"/>
        <v>0.34344988275357341</v>
      </c>
      <c r="O785" s="42">
        <f t="shared" si="5378"/>
        <v>0.30880878143062923</v>
      </c>
      <c r="P785" s="42">
        <f t="shared" si="5378"/>
        <v>0.29575352503304181</v>
      </c>
      <c r="Q785" s="42">
        <f t="shared" si="5378"/>
        <v>0.28474722597743302</v>
      </c>
      <c r="R785" s="42">
        <f t="shared" si="5378"/>
        <v>0.16488406694168167</v>
      </c>
      <c r="S785" s="42">
        <f t="shared" si="5378"/>
        <v>0.23174749012633289</v>
      </c>
      <c r="T785" s="45">
        <f t="shared" si="5378"/>
        <v>0.25728855651710258</v>
      </c>
      <c r="U785" s="42">
        <f t="shared" si="5378"/>
        <v>0.25685977962282786</v>
      </c>
      <c r="V785" s="42">
        <f t="shared" si="5378"/>
        <v>0.25683850616117609</v>
      </c>
      <c r="W785" s="42">
        <f t="shared" si="5378"/>
        <v>0.26127851215648573</v>
      </c>
      <c r="X785" s="42">
        <f t="shared" si="5378"/>
        <v>0.25094362032450973</v>
      </c>
      <c r="Y785" s="45">
        <f>Y515/Y702*Y$5</f>
        <v>0.23253972772847681</v>
      </c>
      <c r="Z785" s="45">
        <f>Z515/Z702*Z$5</f>
        <v>0.22815160749309907</v>
      </c>
      <c r="AA785" s="45">
        <f>AA515/AA702*AA$5</f>
        <v>0.23354955797817462</v>
      </c>
      <c r="AB785" s="45">
        <f t="shared" si="5378"/>
        <v>0.23029640485377442</v>
      </c>
      <c r="AC785" s="45">
        <f>AC515/AC702*AC$5</f>
        <v>0.22844659452258531</v>
      </c>
      <c r="AD785" s="45">
        <f>AD515/AD702*AD$5</f>
        <v>0.22369106277824211</v>
      </c>
      <c r="AE785" s="45">
        <f>AE515/AE702*AE$5</f>
        <v>0.21224361760009905</v>
      </c>
      <c r="AF785" s="45">
        <f>AF515/AF702*AF$5</f>
        <v>0.2026469060691497</v>
      </c>
      <c r="AG785" s="45">
        <f t="shared" si="5378"/>
        <v>0.18178854210676351</v>
      </c>
      <c r="AH785" s="45">
        <f t="shared" ref="AH785:AM785" si="5379">AH515/AH702*AH$5</f>
        <v>0.18256874688936309</v>
      </c>
      <c r="AI785" s="45">
        <f t="shared" si="5379"/>
        <v>0.18004430864729867</v>
      </c>
      <c r="AJ785" s="45">
        <f t="shared" si="5379"/>
        <v>0.16065792909826243</v>
      </c>
      <c r="AK785" s="45">
        <f t="shared" si="5379"/>
        <v>0.14681393482225502</v>
      </c>
      <c r="AL785" s="45">
        <f t="shared" si="5379"/>
        <v>0.14798253334087411</v>
      </c>
      <c r="AM785" s="45">
        <f t="shared" si="5379"/>
        <v>0.11950141411749277</v>
      </c>
      <c r="AN785" s="45">
        <f t="shared" ref="AN785:AS785" si="5380">AN515/AN702*AN$5</f>
        <v>0.13440826084240656</v>
      </c>
      <c r="AO785" s="45">
        <f t="shared" si="5380"/>
        <v>8.8836409771747102E-2</v>
      </c>
      <c r="AP785" s="45">
        <f t="shared" si="5380"/>
        <v>0.11294939509967535</v>
      </c>
      <c r="AQ785" s="45">
        <f t="shared" si="5380"/>
        <v>0.13535576414520145</v>
      </c>
      <c r="AR785" s="45">
        <f t="shared" si="5380"/>
        <v>0.13227703520576325</v>
      </c>
      <c r="AS785" s="45">
        <f t="shared" si="5380"/>
        <v>0.14324973507194233</v>
      </c>
      <c r="AT785" s="45">
        <f t="shared" ref="AT785:AU785" si="5381">AT515/AT702*AT$5</f>
        <v>0.15334000101864412</v>
      </c>
      <c r="AU785" s="45">
        <f t="shared" si="5381"/>
        <v>0.14836942206238798</v>
      </c>
      <c r="AV785" s="45">
        <f t="shared" ref="AV785:AW785" si="5382">AV515/AV702*AV$5</f>
        <v>0.14954680565885606</v>
      </c>
      <c r="AW785" s="45">
        <f t="shared" si="5382"/>
        <v>0.14353139822098188</v>
      </c>
      <c r="AX785" s="45">
        <f t="shared" ref="AX785" si="5383">AX515/AX702*AX$5</f>
        <v>0.14817122232913221</v>
      </c>
      <c r="AY785" s="45">
        <f t="shared" ref="AY785:BE785" si="5384">AY515/AY702*AY$5</f>
        <v>0.14430577689892921</v>
      </c>
      <c r="AZ785" s="43">
        <f t="shared" si="5384"/>
        <v>0.1518764150830931</v>
      </c>
      <c r="BA785" s="42">
        <f t="shared" si="5384"/>
        <v>0.16192699360403406</v>
      </c>
      <c r="BB785" s="42">
        <f t="shared" si="5384"/>
        <v>0.16067041797638851</v>
      </c>
      <c r="BC785" s="42">
        <f t="shared" si="5384"/>
        <v>0.16271211820051648</v>
      </c>
      <c r="BD785" s="42">
        <f t="shared" si="5384"/>
        <v>0.16131014755122616</v>
      </c>
      <c r="BE785" s="42">
        <f t="shared" si="5384"/>
        <v>0.16717976617857969</v>
      </c>
      <c r="BF785" s="42">
        <f t="shared" ref="BF785:BM785" si="5385">BF515/BF702*BF$5</f>
        <v>0.1694832343101231</v>
      </c>
      <c r="BG785" s="42">
        <f t="shared" si="5385"/>
        <v>0.17299801188049638</v>
      </c>
      <c r="BH785" s="42">
        <f t="shared" si="5385"/>
        <v>0.1706967497656259</v>
      </c>
      <c r="BI785" s="42">
        <f t="shared" si="5385"/>
        <v>0.17032045656336783</v>
      </c>
      <c r="BJ785" s="42">
        <f t="shared" si="5385"/>
        <v>0.16573675991148709</v>
      </c>
      <c r="BK785" s="42">
        <f t="shared" si="5385"/>
        <v>0.16234215410802322</v>
      </c>
      <c r="BL785" s="232">
        <f t="shared" si="5385"/>
        <v>0.15979458438770758</v>
      </c>
      <c r="BM785" s="232">
        <f t="shared" si="5385"/>
        <v>0.1583063997524827</v>
      </c>
      <c r="BN785" s="232">
        <f t="shared" ref="BN785:BO785" si="5386">BN515/BN702*BN$5</f>
        <v>0.15776779337928543</v>
      </c>
      <c r="BO785" s="232">
        <f t="shared" si="5386"/>
        <v>0.15690518559430966</v>
      </c>
      <c r="BP785" s="232">
        <f t="shared" ref="BP785:BQ785" si="5387">BP515/BP702*BP$5</f>
        <v>0.15635135851710807</v>
      </c>
      <c r="BQ785" s="232">
        <f t="shared" si="5387"/>
        <v>0.15539781922611684</v>
      </c>
      <c r="BR785" s="42"/>
      <c r="BS785" s="232">
        <f t="shared" ref="BS785:BZ785" si="5388">BS515/BS702*BS$5</f>
        <v>7.5925392949652393E-2</v>
      </c>
      <c r="BT785" s="232">
        <f t="shared" si="5388"/>
        <v>0.10106299418756878</v>
      </c>
      <c r="BU785" s="232">
        <f t="shared" si="5388"/>
        <v>0.11087898420543486</v>
      </c>
      <c r="BV785" s="232">
        <f t="shared" si="5388"/>
        <v>0.16523117655711181</v>
      </c>
      <c r="BW785" s="232">
        <f t="shared" si="5388"/>
        <v>0.16728582854323795</v>
      </c>
      <c r="BX785" s="232">
        <f t="shared" si="5388"/>
        <v>0.19383875223093039</v>
      </c>
      <c r="BY785" s="232">
        <f t="shared" si="5388"/>
        <v>0.18877810930791064</v>
      </c>
      <c r="BZ785" s="232">
        <f t="shared" si="5388"/>
        <v>0.22401829965688144</v>
      </c>
      <c r="CA785" s="232">
        <f>CA515/CA702*CA$5</f>
        <v>0.43125160627088155</v>
      </c>
      <c r="CB785" s="232">
        <f t="shared" ref="CB785:CT785" si="5389">CB515/CB702*CB$5</f>
        <v>0.20795643345024922</v>
      </c>
      <c r="CC785" s="232">
        <f t="shared" si="5389"/>
        <v>0.19808206066673512</v>
      </c>
      <c r="CD785" s="232">
        <f t="shared" si="5389"/>
        <v>0.1848756595060892</v>
      </c>
      <c r="CE785" s="232">
        <f t="shared" si="5389"/>
        <v>0.17525991670850932</v>
      </c>
      <c r="CF785" s="232">
        <f t="shared" si="5389"/>
        <v>0.28976769383048612</v>
      </c>
      <c r="CG785" s="232">
        <f t="shared" si="5389"/>
        <v>0.33470972004294325</v>
      </c>
      <c r="CH785" s="232">
        <f t="shared" si="5389"/>
        <v>0.31792975970425141</v>
      </c>
      <c r="CI785" s="232">
        <f t="shared" si="5389"/>
        <v>0.28424086151979372</v>
      </c>
      <c r="CJ785" s="232">
        <f t="shared" si="5389"/>
        <v>0.20618406693343033</v>
      </c>
      <c r="CK785" s="232">
        <f t="shared" si="5389"/>
        <v>0.25404951741502307</v>
      </c>
      <c r="CL785" s="232">
        <f t="shared" si="5389"/>
        <v>0.25619460682632472</v>
      </c>
      <c r="CM785" s="232">
        <f t="shared" si="5389"/>
        <v>0.23852653949299196</v>
      </c>
      <c r="CN785" s="232">
        <f t="shared" si="5389"/>
        <v>0.23052001373564848</v>
      </c>
      <c r="CO785" s="232">
        <f t="shared" si="5389"/>
        <v>0.22958098479208763</v>
      </c>
      <c r="CP785" s="376">
        <f t="shared" si="5389"/>
        <v>0.21774299854997783</v>
      </c>
      <c r="CQ785" s="376">
        <f t="shared" si="5389"/>
        <v>0.19379725032746475</v>
      </c>
      <c r="CR785" s="376">
        <f t="shared" si="5389"/>
        <v>0.18094417061789014</v>
      </c>
      <c r="CS785" s="376">
        <f t="shared" si="5389"/>
        <v>0.15467092308092681</v>
      </c>
      <c r="CT785" s="376">
        <f t="shared" si="5389"/>
        <v>0.13316379422055202</v>
      </c>
      <c r="CU785" s="45">
        <f t="shared" ref="CU785:DC785" si="5390">CU515/CU702*CU$5</f>
        <v>0.11071609176027093</v>
      </c>
      <c r="CV785" s="45">
        <f t="shared" si="5390"/>
        <v>0.12418732149776827</v>
      </c>
      <c r="CW785" s="45">
        <f t="shared" si="5390"/>
        <v>0.13726556129382986</v>
      </c>
      <c r="CX785" s="45">
        <f t="shared" si="5390"/>
        <v>0.15094339622641509</v>
      </c>
      <c r="CY785" s="45">
        <f t="shared" si="5390"/>
        <v>0.14670524714375205</v>
      </c>
      <c r="CZ785" s="43">
        <f t="shared" si="5390"/>
        <v>0.14617588443621257</v>
      </c>
      <c r="DA785" s="42">
        <f t="shared" si="5390"/>
        <v>0.15841182221237418</v>
      </c>
      <c r="DB785" s="42">
        <f t="shared" si="5390"/>
        <v>0.16168143285502518</v>
      </c>
      <c r="DC785" s="42">
        <f t="shared" si="5390"/>
        <v>0.16423099285982026</v>
      </c>
      <c r="DD785" s="42">
        <f t="shared" ref="DD785:DI785" si="5391">DD515/DD702*DD$5</f>
        <v>0.17121869191675948</v>
      </c>
      <c r="DE785" s="42">
        <f t="shared" si="5391"/>
        <v>0.170477331085468</v>
      </c>
      <c r="DF785" s="42">
        <f t="shared" si="5391"/>
        <v>0.16400952604459462</v>
      </c>
      <c r="DG785" s="232">
        <f t="shared" si="5391"/>
        <v>0.15903030650994418</v>
      </c>
      <c r="DH785" s="232">
        <f t="shared" si="5391"/>
        <v>0.15730978191910197</v>
      </c>
      <c r="DI785" s="232">
        <f t="shared" si="5391"/>
        <v>0.15584699131386645</v>
      </c>
    </row>
    <row r="786" spans="1:113" outlineLevel="1">
      <c r="A786" s="1" t="s">
        <v>1117</v>
      </c>
      <c r="B786" s="19" t="s">
        <v>1118</v>
      </c>
      <c r="C786" s="232">
        <f t="shared" ref="C786:L786" si="5392">(C515-(C595*C80*(1-C129))/C$5)/(C702-C595)*C$5</f>
        <v>-8.8765599257539716</v>
      </c>
      <c r="D786" s="232">
        <f t="shared" si="5392"/>
        <v>0.19759262208729497</v>
      </c>
      <c r="E786" s="232">
        <f t="shared" si="5392"/>
        <v>0.21687116750090071</v>
      </c>
      <c r="F786" s="232">
        <f t="shared" si="5392"/>
        <v>0.18897740195977206</v>
      </c>
      <c r="G786" s="232">
        <f t="shared" si="5392"/>
        <v>0.20736776655330438</v>
      </c>
      <c r="H786" s="232">
        <f t="shared" si="5392"/>
        <v>0.16604093713841356</v>
      </c>
      <c r="I786" s="232">
        <f t="shared" si="5392"/>
        <v>0.17935079200275619</v>
      </c>
      <c r="J786" s="232">
        <f t="shared" si="5392"/>
        <v>0.29172908435968059</v>
      </c>
      <c r="K786" s="232">
        <f t="shared" si="5392"/>
        <v>0.31274928701163002</v>
      </c>
      <c r="L786" s="232">
        <f t="shared" si="5392"/>
        <v>0.40875014102794099</v>
      </c>
      <c r="M786" s="42">
        <f t="shared" ref="M786:Y786" si="5393">(M515-(M595*M80*(1-M129))/M$5)/(M702-M595)*M$5</f>
        <v>0.29494730016680254</v>
      </c>
      <c r="N786" s="42">
        <f t="shared" si="5393"/>
        <v>0.36918589807513102</v>
      </c>
      <c r="O786" s="42">
        <f t="shared" si="5393"/>
        <v>0.33994585522691984</v>
      </c>
      <c r="P786" s="42">
        <f t="shared" si="5393"/>
        <v>0.33526673029483228</v>
      </c>
      <c r="Q786" s="42">
        <f t="shared" si="5393"/>
        <v>0.3219363124658739</v>
      </c>
      <c r="R786" s="42">
        <f t="shared" si="5393"/>
        <v>0.1657242592528517</v>
      </c>
      <c r="S786" s="42">
        <f t="shared" si="5393"/>
        <v>0.22758298067581537</v>
      </c>
      <c r="T786" s="45">
        <f t="shared" si="5393"/>
        <v>0.26766155817250425</v>
      </c>
      <c r="U786" s="42">
        <f t="shared" si="5393"/>
        <v>0.26681146332829525</v>
      </c>
      <c r="V786" s="42">
        <f t="shared" si="5393"/>
        <v>0.28015722050612551</v>
      </c>
      <c r="W786" s="42">
        <f t="shared" si="5393"/>
        <v>0.24082558517185895</v>
      </c>
      <c r="X786" s="42">
        <f t="shared" si="5393"/>
        <v>0.22747973306943325</v>
      </c>
      <c r="Y786" s="42">
        <f t="shared" si="5393"/>
        <v>0.21843061578689629</v>
      </c>
      <c r="Z786" s="45">
        <f>(Z515-(Z595*Z80*(1-Z129))/Z$5)/(Z702-Z595)*Z$5</f>
        <v>0.22534644927945441</v>
      </c>
      <c r="AA786" s="45">
        <f t="shared" ref="AA786:AG786" si="5394">(AA515-(AA595*AA80*(1-AA129))/AA$5)/(AA702-AA595)*AA$5</f>
        <v>0.23277926729375709</v>
      </c>
      <c r="AB786" s="45">
        <f t="shared" si="5394"/>
        <v>0.22630102150566075</v>
      </c>
      <c r="AC786" s="45">
        <f>(AC515-(AC595*AC80*(1-AC129))/AC$5)/(AC702-AC595)*AC$5</f>
        <v>0.23898385864719005</v>
      </c>
      <c r="AD786" s="45">
        <f>(AD515-(AD595*AD80*(1-AD129))/AD$5)/(AD702-AD595)*AD$5</f>
        <v>0.2278305075799609</v>
      </c>
      <c r="AE786" s="45">
        <f>(AE515-(AE595*AE80*(1-AE129))/AE$5)/(AE702-AE595)*AE$5</f>
        <v>0.21322554799996526</v>
      </c>
      <c r="AF786" s="45">
        <f>(AF515-(AF595*AF80*(1-AF129))/AF$5)/(AF702-AF595)*AF$5</f>
        <v>0.21048648483192664</v>
      </c>
      <c r="AG786" s="45">
        <f t="shared" si="5394"/>
        <v>0.18923993557497196</v>
      </c>
      <c r="AH786" s="45">
        <f t="shared" ref="AH786:AM786" si="5395">(AH515-(AH595*AH80*(1-AH129))/AH$5)/(AH702-AH595)*AH$5</f>
        <v>0.18152925207878731</v>
      </c>
      <c r="AI786" s="45">
        <f t="shared" si="5395"/>
        <v>0.17484494496592451</v>
      </c>
      <c r="AJ786" s="45">
        <f t="shared" si="5395"/>
        <v>0.15949458233197111</v>
      </c>
      <c r="AK786" s="45">
        <f t="shared" si="5395"/>
        <v>0.14312789556084343</v>
      </c>
      <c r="AL786" s="45">
        <f t="shared" si="5395"/>
        <v>0.15089082917034083</v>
      </c>
      <c r="AM786" s="45">
        <f t="shared" si="5395"/>
        <v>0.12093687277387823</v>
      </c>
      <c r="AN786" s="45">
        <f t="shared" ref="AN786:AS786" si="5396">(AN515-(AN595*AN80*(1-AN129))/AN$5)/(AN702-AN595)*AN$5</f>
        <v>0.14573339872381499</v>
      </c>
      <c r="AO786" s="45">
        <f t="shared" si="5396"/>
        <v>9.560677201455077E-2</v>
      </c>
      <c r="AP786" s="45">
        <f t="shared" si="5396"/>
        <v>0.13111298221075501</v>
      </c>
      <c r="AQ786" s="45">
        <f t="shared" si="5396"/>
        <v>0.16138054341102212</v>
      </c>
      <c r="AR786" s="45">
        <f t="shared" si="5396"/>
        <v>0.1442305482345014</v>
      </c>
      <c r="AS786" s="45">
        <f t="shared" si="5396"/>
        <v>0.1536513956015817</v>
      </c>
      <c r="AT786" s="45">
        <f t="shared" ref="AT786:AU786" si="5397">(AT515-(AT595*AT80*(1-AT129))/AT$5)/(AT702-AT595)*AT$5</f>
        <v>0.16320108394905947</v>
      </c>
      <c r="AU786" s="45">
        <f t="shared" si="5397"/>
        <v>0.15919282175947305</v>
      </c>
      <c r="AV786" s="45">
        <f t="shared" ref="AV786:AW786" si="5398">(AV515-(AV595*AV80*(1-AV129))/AV$5)/(AV702-AV595)*AV$5</f>
        <v>0.16188880749515311</v>
      </c>
      <c r="AW786" s="45">
        <f t="shared" si="5398"/>
        <v>0.15051536917372699</v>
      </c>
      <c r="AX786" s="45">
        <f t="shared" ref="AX786" si="5399">(AX515-(AX595*AX80*(1-AX129))/AX$5)/(AX702-AX595)*AX$5</f>
        <v>0.15428421182854732</v>
      </c>
      <c r="AY786" s="45">
        <f t="shared" ref="AY786:BE786" si="5400">(AY515-(AY595*AY80*(1-AY129))/AY$5)/(AY702-AY595)*AY$5</f>
        <v>0.15094864116675077</v>
      </c>
      <c r="AZ786" s="43">
        <f t="shared" si="5400"/>
        <v>0.15905176881250174</v>
      </c>
      <c r="BA786" s="42">
        <f t="shared" si="5400"/>
        <v>0.17081098183731516</v>
      </c>
      <c r="BB786" s="42">
        <f t="shared" si="5400"/>
        <v>0.16744066369861393</v>
      </c>
      <c r="BC786" s="42">
        <f t="shared" si="5400"/>
        <v>0.16924509341471511</v>
      </c>
      <c r="BD786" s="42">
        <f t="shared" si="5400"/>
        <v>0.16614631468704646</v>
      </c>
      <c r="BE786" s="42">
        <f t="shared" si="5400"/>
        <v>0.17168341710321713</v>
      </c>
      <c r="BF786" s="42">
        <f t="shared" ref="BF786:BM786" si="5401">(BF515-(BF595*BF80*(1-BF129))/BF$5)/(BF702-BF595)*BF$5</f>
        <v>0.17228047542968639</v>
      </c>
      <c r="BG786" s="42">
        <f t="shared" si="5401"/>
        <v>0.1777808491405711</v>
      </c>
      <c r="BH786" s="42">
        <f t="shared" si="5401"/>
        <v>0.17624487356656704</v>
      </c>
      <c r="BI786" s="42">
        <f t="shared" si="5401"/>
        <v>0.17755528317421923</v>
      </c>
      <c r="BJ786" s="42">
        <f t="shared" si="5401"/>
        <v>0.17296062637732978</v>
      </c>
      <c r="BK786" s="42">
        <f t="shared" si="5401"/>
        <v>0.17027844935180578</v>
      </c>
      <c r="BL786" s="232">
        <f t="shared" si="5401"/>
        <v>0.16756045191698668</v>
      </c>
      <c r="BM786" s="232">
        <f t="shared" si="5401"/>
        <v>0.16677518996798948</v>
      </c>
      <c r="BN786" s="232">
        <f t="shared" ref="BN786:BO786" si="5402">(BN515-(BN595*BN80*(1-BN129))/BN$5)/(BN702-BN595)*BN$5</f>
        <v>0.16627399200189552</v>
      </c>
      <c r="BO786" s="232">
        <f t="shared" si="5402"/>
        <v>0.16618479576145606</v>
      </c>
      <c r="BP786" s="232">
        <f t="shared" ref="BP786:BQ786" si="5403">(BP515-(BP595*BP80*(1-BP129))/BP$5)/(BP702-BP595)*BP$5</f>
        <v>0.16578354926475788</v>
      </c>
      <c r="BQ786" s="232">
        <f t="shared" si="5403"/>
        <v>0.16566953886557412</v>
      </c>
      <c r="BR786" s="42"/>
      <c r="BS786" s="232">
        <f t="shared" ref="BS786:CB786" si="5404">(BS515-(BS595*BS80*(1-BS129))/BS$5)/(BS702-BS595)*BS$5</f>
        <v>8.2799647722652484E-2</v>
      </c>
      <c r="BT786" s="232">
        <f t="shared" si="5404"/>
        <v>0.12570364894820066</v>
      </c>
      <c r="BU786" s="232">
        <f t="shared" si="5404"/>
        <v>0.15087035688617467</v>
      </c>
      <c r="BV786" s="232">
        <f t="shared" si="5404"/>
        <v>0.24936417201083358</v>
      </c>
      <c r="BW786" s="232">
        <f t="shared" si="5404"/>
        <v>0.25763475295322052</v>
      </c>
      <c r="BX786" s="232">
        <f t="shared" si="5404"/>
        <v>0.26556720676258944</v>
      </c>
      <c r="BY786" s="232">
        <f t="shared" si="5404"/>
        <v>0.2355154834940543</v>
      </c>
      <c r="BZ786" s="232">
        <f t="shared" si="5404"/>
        <v>0.27601113426095064</v>
      </c>
      <c r="CA786" s="232">
        <f t="shared" si="5404"/>
        <v>1.4101963777598283</v>
      </c>
      <c r="CB786" s="232">
        <f t="shared" si="5404"/>
        <v>0.21207197859539567</v>
      </c>
      <c r="CC786" s="232">
        <f t="shared" ref="CC786:CT786" si="5405">(CC515-(CC595*CC80*(1-CC129))/CC$5)/(CC702-CC595)*CC$5</f>
        <v>0.20816994436636804</v>
      </c>
      <c r="CD786" s="232">
        <f t="shared" si="5405"/>
        <v>0.19853433925177622</v>
      </c>
      <c r="CE786" s="232">
        <f t="shared" si="5405"/>
        <v>0.16867900961523724</v>
      </c>
      <c r="CF786" s="232">
        <f t="shared" si="5405"/>
        <v>0.28634593801809316</v>
      </c>
      <c r="CG786" s="232">
        <f t="shared" si="5405"/>
        <v>0.35133946274916544</v>
      </c>
      <c r="CH786" s="232">
        <f t="shared" si="5405"/>
        <v>0.35117898177876034</v>
      </c>
      <c r="CI786" s="232">
        <f t="shared" si="5405"/>
        <v>0.32146641763952638</v>
      </c>
      <c r="CJ786" s="232">
        <f t="shared" si="5405"/>
        <v>0.20274367371284133</v>
      </c>
      <c r="CK786" s="232">
        <f t="shared" si="5405"/>
        <v>0.26436415586172735</v>
      </c>
      <c r="CL786" s="232">
        <f t="shared" si="5405"/>
        <v>0.23595625709834206</v>
      </c>
      <c r="CM786" s="232">
        <f t="shared" si="5405"/>
        <v>0.22381098789114692</v>
      </c>
      <c r="CN786" s="232">
        <f t="shared" si="5405"/>
        <v>0.22974410279922042</v>
      </c>
      <c r="CO786" s="232">
        <f t="shared" si="5405"/>
        <v>0.24053715250196045</v>
      </c>
      <c r="CP786" s="376">
        <f t="shared" si="5405"/>
        <v>0.21877022620663603</v>
      </c>
      <c r="CQ786" s="376">
        <f t="shared" si="5405"/>
        <v>0.20211313022632652</v>
      </c>
      <c r="CR786" s="376">
        <f t="shared" si="5405"/>
        <v>0.17565721527067718</v>
      </c>
      <c r="CS786" s="376">
        <f t="shared" si="5405"/>
        <v>0.15063841211027998</v>
      </c>
      <c r="CT786" s="376">
        <f t="shared" si="5405"/>
        <v>0.13479266590623765</v>
      </c>
      <c r="CU786" s="45">
        <f t="shared" ref="CU786:DC786" si="5406">(CU515-(CU595*CU80*(1-CU129))/CU$5)/(CU702-CU595)*CU$5</f>
        <v>0.11911077398880428</v>
      </c>
      <c r="CV786" s="45">
        <f t="shared" si="5406"/>
        <v>0.1486990607056041</v>
      </c>
      <c r="CW786" s="45">
        <f t="shared" si="5406"/>
        <v>0.14521150794784654</v>
      </c>
      <c r="CX786" s="45">
        <f t="shared" si="5406"/>
        <v>0.16159627847307931</v>
      </c>
      <c r="CY786" s="45">
        <f t="shared" si="5406"/>
        <v>0.15392226668416803</v>
      </c>
      <c r="CZ786" s="43">
        <f t="shared" si="5406"/>
        <v>0.15303248541990933</v>
      </c>
      <c r="DA786" s="42">
        <f t="shared" si="5406"/>
        <v>0.1672071401316832</v>
      </c>
      <c r="DB786" s="42">
        <f t="shared" si="5406"/>
        <v>0.16811105363198489</v>
      </c>
      <c r="DC786" s="42">
        <f t="shared" si="5406"/>
        <v>0.16864817213146549</v>
      </c>
      <c r="DD786" s="42">
        <f t="shared" ref="DD786:DI786" si="5407">(DD515-(DD595*DD80*(1-DD129))/DD$5)/(DD702-DD595)*DD$5</f>
        <v>0.17597753067236785</v>
      </c>
      <c r="DE786" s="42">
        <f t="shared" si="5407"/>
        <v>0.17780291284127306</v>
      </c>
      <c r="DF786" s="42">
        <f t="shared" si="5407"/>
        <v>0.17212784566467521</v>
      </c>
      <c r="DG786" s="232">
        <f t="shared" si="5407"/>
        <v>0.16763389537068701</v>
      </c>
      <c r="DH786" s="232">
        <f t="shared" si="5407"/>
        <v>0.16671751340245261</v>
      </c>
      <c r="DI786" s="232">
        <f t="shared" si="5407"/>
        <v>0.16626921562543698</v>
      </c>
    </row>
    <row r="787" spans="1:113" outlineLevel="1">
      <c r="A787" s="1" t="s">
        <v>887</v>
      </c>
      <c r="B787" s="19" t="s">
        <v>594</v>
      </c>
      <c r="C787" s="235">
        <f t="shared" ref="C787:L787" si="5408">C515/C703*C$5</f>
        <v>1.6736419297183974E-2</v>
      </c>
      <c r="D787" s="235">
        <f t="shared" si="5408"/>
        <v>1.6850234526190461E-2</v>
      </c>
      <c r="E787" s="235">
        <f t="shared" si="5408"/>
        <v>1.865540859688446E-2</v>
      </c>
      <c r="F787" s="235">
        <f t="shared" si="5408"/>
        <v>1.6548208937452489E-2</v>
      </c>
      <c r="G787" s="235">
        <f t="shared" si="5408"/>
        <v>1.8751473886229702E-2</v>
      </c>
      <c r="H787" s="235">
        <f t="shared" si="5408"/>
        <v>1.5702336685567607E-2</v>
      </c>
      <c r="I787" s="235">
        <f t="shared" si="5408"/>
        <v>1.7144285614750007E-2</v>
      </c>
      <c r="J787" s="235">
        <f t="shared" si="5408"/>
        <v>1.8953065789138603E-2</v>
      </c>
      <c r="K787" s="235">
        <f t="shared" si="5408"/>
        <v>1.8399194426958816E-2</v>
      </c>
      <c r="L787" s="235">
        <f t="shared" si="5408"/>
        <v>2.0847148017369754E-2</v>
      </c>
      <c r="M787" s="48">
        <f t="shared" ref="M787:AG787" si="5409">M515/M703*M$5</f>
        <v>1.916949964608218E-2</v>
      </c>
      <c r="N787" s="48">
        <f t="shared" si="5409"/>
        <v>1.9951006255470246E-2</v>
      </c>
      <c r="O787" s="48">
        <f t="shared" si="5409"/>
        <v>1.852211798206491E-2</v>
      </c>
      <c r="P787" s="48">
        <f t="shared" si="5409"/>
        <v>2.1165971148450459E-2</v>
      </c>
      <c r="Q787" s="48">
        <f t="shared" si="5409"/>
        <v>2.3161821174844763E-2</v>
      </c>
      <c r="R787" s="48">
        <f t="shared" si="5409"/>
        <v>1.676902729866659E-2</v>
      </c>
      <c r="S787" s="48">
        <f t="shared" si="5409"/>
        <v>1.8106691948085913E-2</v>
      </c>
      <c r="T787" s="50">
        <f t="shared" si="5409"/>
        <v>1.9752876531706091E-2</v>
      </c>
      <c r="U787" s="48">
        <f t="shared" si="5409"/>
        <v>2.1493400397663828E-2</v>
      </c>
      <c r="V787" s="48">
        <f t="shared" si="5409"/>
        <v>2.2804185042097542E-2</v>
      </c>
      <c r="W787" s="48">
        <f t="shared" si="5409"/>
        <v>2.4741763444159438E-2</v>
      </c>
      <c r="X787" s="48">
        <f t="shared" si="5409"/>
        <v>2.441543839344083E-2</v>
      </c>
      <c r="Y787" s="50">
        <f>Y515/Y703*Y$5</f>
        <v>2.3542782830167176E-2</v>
      </c>
      <c r="Z787" s="50">
        <f>Z515/Z703*Z$5</f>
        <v>2.4484478051246681E-2</v>
      </c>
      <c r="AA787" s="50">
        <f t="shared" si="5409"/>
        <v>2.5512137079295536E-2</v>
      </c>
      <c r="AB787" s="50">
        <f t="shared" si="5409"/>
        <v>2.538848141184814E-2</v>
      </c>
      <c r="AC787" s="50">
        <f>AC515/AC703*AC$5</f>
        <v>2.6350957955622839E-2</v>
      </c>
      <c r="AD787" s="50">
        <f>AD515/AD703*AD$5</f>
        <v>2.6414316645065893E-2</v>
      </c>
      <c r="AE787" s="50">
        <f>AE515/AE703*AE$5</f>
        <v>2.5067171328112516E-2</v>
      </c>
      <c r="AF787" s="50">
        <f>AF515/AF703*AF$5</f>
        <v>2.4954817631919122E-2</v>
      </c>
      <c r="AG787" s="50">
        <f t="shared" si="5409"/>
        <v>2.3595620742429765E-2</v>
      </c>
      <c r="AH787" s="50">
        <f t="shared" ref="AH787:AM787" si="5410">AH515/AH703*AH$5</f>
        <v>2.3045913865390167E-2</v>
      </c>
      <c r="AI787" s="50">
        <f t="shared" si="5410"/>
        <v>2.2286239788406489E-2</v>
      </c>
      <c r="AJ787" s="50">
        <f t="shared" si="5410"/>
        <v>2.0779229976786971E-2</v>
      </c>
      <c r="AK787" s="50">
        <f t="shared" si="5410"/>
        <v>1.9357544819017542E-2</v>
      </c>
      <c r="AL787" s="50">
        <f t="shared" si="5410"/>
        <v>1.9809796945907558E-2</v>
      </c>
      <c r="AM787" s="50">
        <f t="shared" si="5410"/>
        <v>1.6657153408170967E-2</v>
      </c>
      <c r="AN787" s="50">
        <f t="shared" ref="AN787:AS787" si="5411">AN515/AN703*AN$5</f>
        <v>1.9085962309803455E-2</v>
      </c>
      <c r="AO787" s="50">
        <f t="shared" si="5411"/>
        <v>1.2892010312655329E-2</v>
      </c>
      <c r="AP787" s="50">
        <f t="shared" si="5411"/>
        <v>1.689024610838355E-2</v>
      </c>
      <c r="AQ787" s="50">
        <f t="shared" si="5411"/>
        <v>2.1341041854138897E-2</v>
      </c>
      <c r="AR787" s="50">
        <f t="shared" si="5411"/>
        <v>2.0408732136689599E-2</v>
      </c>
      <c r="AS787" s="50">
        <f t="shared" si="5411"/>
        <v>2.0165350783488172E-2</v>
      </c>
      <c r="AT787" s="50">
        <f t="shared" ref="AT787:AU787" si="5412">AT515/AT703*AT$5</f>
        <v>2.0504500730861221E-2</v>
      </c>
      <c r="AU787" s="50">
        <f t="shared" si="5412"/>
        <v>2.0290758830834654E-2</v>
      </c>
      <c r="AV787" s="50">
        <f t="shared" ref="AV787:AW787" si="5413">AV515/AV703*AV$5</f>
        <v>2.1432073582759604E-2</v>
      </c>
      <c r="AW787" s="50">
        <f t="shared" si="5413"/>
        <v>2.0805382472917199E-2</v>
      </c>
      <c r="AX787" s="50">
        <f t="shared" ref="AX787" si="5414">AX515/AX703*AX$5</f>
        <v>2.1434070420575463E-2</v>
      </c>
      <c r="AY787" s="50">
        <f t="shared" ref="AY787:BE787" si="5415">AY515/AY703*AY$5</f>
        <v>2.110314595080507E-2</v>
      </c>
      <c r="AZ787" s="49">
        <f t="shared" si="5415"/>
        <v>2.1571059760222791E-2</v>
      </c>
      <c r="BA787" s="48">
        <f t="shared" si="5415"/>
        <v>2.2167313106518753E-2</v>
      </c>
      <c r="BB787" s="48">
        <f t="shared" si="5415"/>
        <v>2.1941586236635783E-2</v>
      </c>
      <c r="BC787" s="48">
        <f t="shared" si="5415"/>
        <v>2.2061954898526994E-2</v>
      </c>
      <c r="BD787" s="48">
        <f t="shared" si="5415"/>
        <v>2.1713966442093863E-2</v>
      </c>
      <c r="BE787" s="48">
        <f t="shared" si="5415"/>
        <v>2.2329799260752289E-2</v>
      </c>
      <c r="BF787" s="48">
        <f t="shared" ref="BF787:BM787" si="5416">BF515/BF703*BF$5</f>
        <v>2.245378972412948E-2</v>
      </c>
      <c r="BG787" s="48">
        <f t="shared" si="5416"/>
        <v>2.291789559984898E-2</v>
      </c>
      <c r="BH787" s="48">
        <f t="shared" si="5416"/>
        <v>2.2810469031871408E-2</v>
      </c>
      <c r="BI787" s="48">
        <f t="shared" si="5416"/>
        <v>2.2946414104150624E-2</v>
      </c>
      <c r="BJ787" s="48">
        <f t="shared" si="5416"/>
        <v>2.2459021017273626E-2</v>
      </c>
      <c r="BK787" s="48">
        <f t="shared" si="5416"/>
        <v>2.2065240511927688E-2</v>
      </c>
      <c r="BL787" s="235">
        <f t="shared" si="5416"/>
        <v>2.1764068078041768E-2</v>
      </c>
      <c r="BM787" s="235">
        <f t="shared" si="5416"/>
        <v>2.160107631451744E-2</v>
      </c>
      <c r="BN787" s="235">
        <f t="shared" ref="BN787:BO787" si="5417">BN515/BN703*BN$5</f>
        <v>2.1573137903606713E-2</v>
      </c>
      <c r="BO787" s="235">
        <f t="shared" si="5417"/>
        <v>2.1505006122910241E-2</v>
      </c>
      <c r="BP787" s="235">
        <f t="shared" ref="BP787:BQ787" si="5418">BP515/BP703*BP$5</f>
        <v>2.1486255801531184E-2</v>
      </c>
      <c r="BQ787" s="235">
        <f t="shared" si="5418"/>
        <v>2.1418913915525292E-2</v>
      </c>
      <c r="BR787" s="48"/>
      <c r="BS787" s="235">
        <f t="shared" ref="BS787:CB787" si="5419">BS515/BS703*BS$5</f>
        <v>5.6139127283011767E-3</v>
      </c>
      <c r="BT787" s="235">
        <f t="shared" si="5419"/>
        <v>8.2370272156216135E-3</v>
      </c>
      <c r="BU787" s="235">
        <f t="shared" si="5419"/>
        <v>1.0127273996219349E-2</v>
      </c>
      <c r="BV787" s="235">
        <f t="shared" si="5419"/>
        <v>1.4724623327823129E-2</v>
      </c>
      <c r="BW787" s="235">
        <f t="shared" si="5419"/>
        <v>1.5159623109280696E-2</v>
      </c>
      <c r="BX787" s="235">
        <f t="shared" si="5419"/>
        <v>1.5258316332140196E-2</v>
      </c>
      <c r="BY787" s="235">
        <f t="shared" si="5419"/>
        <v>1.4339493308420721E-2</v>
      </c>
      <c r="BZ787" s="235">
        <f t="shared" si="5419"/>
        <v>1.5145344791145798E-2</v>
      </c>
      <c r="CA787" s="235">
        <f t="shared" si="5419"/>
        <v>1.4716716365549904E-2</v>
      </c>
      <c r="CB787" s="235">
        <f t="shared" si="5419"/>
        <v>1.6884815282519009E-2</v>
      </c>
      <c r="CC787" s="48">
        <f t="shared" ref="CC787:CR787" si="5420">CC515/CC703*CC$5</f>
        <v>1.7748331923283872E-2</v>
      </c>
      <c r="CD787" s="48">
        <f t="shared" si="5420"/>
        <v>1.7648909021719849E-2</v>
      </c>
      <c r="CE787" s="48">
        <f t="shared" si="5420"/>
        <v>1.6438685476548365E-2</v>
      </c>
      <c r="CF787" s="48">
        <f t="shared" si="5420"/>
        <v>1.8662001154968647E-2</v>
      </c>
      <c r="CG787" s="48">
        <f t="shared" si="5420"/>
        <v>1.9976540668308319E-2</v>
      </c>
      <c r="CH787" s="48">
        <f t="shared" si="5420"/>
        <v>1.9210434636201337E-2</v>
      </c>
      <c r="CI787" s="48">
        <f t="shared" si="5420"/>
        <v>2.2122894484472154E-2</v>
      </c>
      <c r="CJ787" s="48">
        <f t="shared" si="5420"/>
        <v>1.7465079043745512E-2</v>
      </c>
      <c r="CK787" s="48">
        <f t="shared" si="5420"/>
        <v>2.0616883529620236E-2</v>
      </c>
      <c r="CL787" s="48">
        <f t="shared" si="5420"/>
        <v>2.3760406608558191E-2</v>
      </c>
      <c r="CM787" s="50">
        <f t="shared" si="5420"/>
        <v>2.3969020891689449E-2</v>
      </c>
      <c r="CN787" s="50">
        <f t="shared" si="5420"/>
        <v>2.4996281561387081E-2</v>
      </c>
      <c r="CO787" s="50">
        <f t="shared" si="5420"/>
        <v>2.5866123252185014E-2</v>
      </c>
      <c r="CP787" s="50">
        <f t="shared" si="5420"/>
        <v>2.5722210083256061E-2</v>
      </c>
      <c r="CQ787" s="50">
        <f t="shared" si="5420"/>
        <v>2.4263103755041246E-2</v>
      </c>
      <c r="CR787" s="50">
        <f t="shared" si="5420"/>
        <v>2.2650488888571234E-2</v>
      </c>
      <c r="CS787" s="50">
        <f t="shared" ref="CS787:DC787" si="5421">CS515/CS703*CS$5</f>
        <v>2.0360770407038483E-2</v>
      </c>
      <c r="CT787" s="50">
        <f t="shared" si="5421"/>
        <v>1.8252523293117943E-2</v>
      </c>
      <c r="CU787" s="50">
        <f t="shared" si="5421"/>
        <v>1.6001949510486242E-2</v>
      </c>
      <c r="CV787" s="50">
        <f t="shared" si="5421"/>
        <v>1.9092853152933357E-2</v>
      </c>
      <c r="CW787" s="50">
        <f t="shared" si="5421"/>
        <v>2.0276688100974993E-2</v>
      </c>
      <c r="CX787" s="50">
        <f t="shared" si="5421"/>
        <v>2.0405204507186348E-2</v>
      </c>
      <c r="CY787" s="50">
        <f t="shared" si="5421"/>
        <v>2.1120569121465767E-2</v>
      </c>
      <c r="CZ787" s="49">
        <f t="shared" si="5421"/>
        <v>2.1262331479496618E-2</v>
      </c>
      <c r="DA787" s="48">
        <f t="shared" si="5421"/>
        <v>2.1866066954689338E-2</v>
      </c>
      <c r="DB787" s="48">
        <f t="shared" si="5421"/>
        <v>2.1999931116664189E-2</v>
      </c>
      <c r="DC787" s="48">
        <f t="shared" si="5421"/>
        <v>2.2020583957442077E-2</v>
      </c>
      <c r="DD787" s="48">
        <f t="shared" ref="DD787:DI787" si="5422">DD515/DD703*DD$5</f>
        <v>2.2682933356904966E-2</v>
      </c>
      <c r="DE787" s="48">
        <f t="shared" si="5422"/>
        <v>2.2875757349230627E-2</v>
      </c>
      <c r="DF787" s="48">
        <f t="shared" si="5422"/>
        <v>2.2258973631989799E-2</v>
      </c>
      <c r="DG787" s="235">
        <f t="shared" si="5422"/>
        <v>2.168019911763848E-2</v>
      </c>
      <c r="DH787" s="235">
        <f t="shared" si="5422"/>
        <v>2.1535910934516341E-2</v>
      </c>
      <c r="DI787" s="235">
        <f t="shared" si="5422"/>
        <v>2.1449430554770551E-2</v>
      </c>
    </row>
    <row r="788" spans="1:113" outlineLevel="1">
      <c r="A788" s="1" t="s">
        <v>888</v>
      </c>
      <c r="B788" s="19" t="s">
        <v>498</v>
      </c>
      <c r="C788" s="235">
        <f t="shared" ref="C788:L788" si="5423">C515/C697*C$5</f>
        <v>9.9923889533273368E-3</v>
      </c>
      <c r="D788" s="235">
        <f t="shared" si="5423"/>
        <v>9.7733338559451034E-3</v>
      </c>
      <c r="E788" s="235">
        <f t="shared" si="5423"/>
        <v>1.0798705043875494E-2</v>
      </c>
      <c r="F788" s="235">
        <f t="shared" si="5423"/>
        <v>9.3019133084504321E-3</v>
      </c>
      <c r="G788" s="235">
        <f t="shared" si="5423"/>
        <v>1.0334699962040885E-2</v>
      </c>
      <c r="H788" s="235">
        <f t="shared" si="5423"/>
        <v>8.7103555035236459E-3</v>
      </c>
      <c r="I788" s="235">
        <f t="shared" si="5423"/>
        <v>9.2965087738242653E-3</v>
      </c>
      <c r="J788" s="235">
        <f t="shared" si="5423"/>
        <v>1.0468678704126197E-2</v>
      </c>
      <c r="K788" s="235">
        <f t="shared" si="5423"/>
        <v>1.030601742626956E-2</v>
      </c>
      <c r="L788" s="235">
        <f t="shared" si="5423"/>
        <v>1.1857471074494801E-2</v>
      </c>
      <c r="M788" s="48">
        <f t="shared" ref="M788:AG788" si="5424">M515/M697*M$5</f>
        <v>1.1091369019357039E-2</v>
      </c>
      <c r="N788" s="48">
        <f t="shared" si="5424"/>
        <v>1.1653383425623423E-2</v>
      </c>
      <c r="O788" s="48">
        <f t="shared" si="5424"/>
        <v>1.044899057667203E-2</v>
      </c>
      <c r="P788" s="48">
        <f t="shared" si="5424"/>
        <v>1.0182326547976279E-2</v>
      </c>
      <c r="Q788" s="48">
        <f t="shared" si="5424"/>
        <v>9.5301125349555038E-3</v>
      </c>
      <c r="R788" s="48">
        <f t="shared" si="5424"/>
        <v>6.1743147068541197E-3</v>
      </c>
      <c r="S788" s="48">
        <f t="shared" si="5424"/>
        <v>7.4957958789670471E-3</v>
      </c>
      <c r="T788" s="50">
        <f t="shared" si="5424"/>
        <v>9.1590229935332237E-3</v>
      </c>
      <c r="U788" s="48">
        <f t="shared" si="5424"/>
        <v>9.7446842067434054E-3</v>
      </c>
      <c r="V788" s="48">
        <f t="shared" si="5424"/>
        <v>1.0088502878503505E-2</v>
      </c>
      <c r="W788" s="48">
        <f t="shared" si="5424"/>
        <v>1.0491028188654357E-2</v>
      </c>
      <c r="X788" s="48">
        <f t="shared" si="5424"/>
        <v>1.0111860911333585E-2</v>
      </c>
      <c r="Y788" s="50">
        <f>Y515/Y697*Y$5</f>
        <v>9.8991912086311574E-3</v>
      </c>
      <c r="Z788" s="50">
        <f>Z515/Z697*Z$5</f>
        <v>1.0257185371376936E-2</v>
      </c>
      <c r="AA788" s="50">
        <f t="shared" si="5424"/>
        <v>1.0946702161938162E-2</v>
      </c>
      <c r="AB788" s="50">
        <f t="shared" si="5424"/>
        <v>1.1013007791403153E-2</v>
      </c>
      <c r="AC788" s="50">
        <f>AC515/AC697*AC$5</f>
        <v>1.1108554344585519E-2</v>
      </c>
      <c r="AD788" s="50">
        <f>AD515/AD697*AD$5</f>
        <v>1.1176633251187524E-2</v>
      </c>
      <c r="AE788" s="50">
        <f>AE515/AE697*AE$5</f>
        <v>1.0386741853925614E-2</v>
      </c>
      <c r="AF788" s="50">
        <f>AF515/AF697*AF$5</f>
        <v>1.044793397463456E-2</v>
      </c>
      <c r="AG788" s="50">
        <f t="shared" si="5424"/>
        <v>1.005886494169436E-2</v>
      </c>
      <c r="AH788" s="50">
        <f t="shared" ref="AH788:AM788" si="5425">AH515/AH697*AH$5</f>
        <v>1.0006313297645501E-2</v>
      </c>
      <c r="AI788" s="50">
        <f t="shared" si="5425"/>
        <v>9.8542669993215998E-3</v>
      </c>
      <c r="AJ788" s="50">
        <f t="shared" si="5425"/>
        <v>9.3893521243532969E-3</v>
      </c>
      <c r="AK788" s="50">
        <f t="shared" si="5425"/>
        <v>8.8720814551000744E-3</v>
      </c>
      <c r="AL788" s="50">
        <f t="shared" si="5425"/>
        <v>9.1547554477074428E-3</v>
      </c>
      <c r="AM788" s="50">
        <f t="shared" si="5425"/>
        <v>7.6838685818341346E-3</v>
      </c>
      <c r="AN788" s="50">
        <f t="shared" ref="AN788:AS788" si="5426">AN515/AN697*AN$5</f>
        <v>8.7523527223757318E-3</v>
      </c>
      <c r="AO788" s="50">
        <f t="shared" si="5426"/>
        <v>5.7341275727963697E-3</v>
      </c>
      <c r="AP788" s="50">
        <f t="shared" si="5426"/>
        <v>7.4414462719799438E-3</v>
      </c>
      <c r="AQ788" s="50">
        <f t="shared" si="5426"/>
        <v>9.2752479189421762E-3</v>
      </c>
      <c r="AR788" s="50">
        <f t="shared" si="5426"/>
        <v>8.3674425033639019E-3</v>
      </c>
      <c r="AS788" s="50">
        <f t="shared" si="5426"/>
        <v>8.3377062419121069E-3</v>
      </c>
      <c r="AT788" s="50">
        <f t="shared" ref="AT788:AU788" si="5427">AT515/AT697*AT$5</f>
        <v>8.3700852100970641E-3</v>
      </c>
      <c r="AU788" s="50">
        <f t="shared" si="5427"/>
        <v>7.9566488255296015E-3</v>
      </c>
      <c r="AV788" s="50">
        <f t="shared" ref="AV788:AW788" si="5428">AV515/AV697*AV$5</f>
        <v>7.9078551066272471E-3</v>
      </c>
      <c r="AW788" s="50">
        <f t="shared" si="5428"/>
        <v>7.6211821574331748E-3</v>
      </c>
      <c r="AX788" s="50">
        <f t="shared" ref="AX788" si="5429">AX515/AX697*AX$5</f>
        <v>8.0361584658821712E-3</v>
      </c>
      <c r="AY788" s="50">
        <f t="shared" ref="AY788:BE788" si="5430">AY515/AY697*AY$5</f>
        <v>7.8363861203814313E-3</v>
      </c>
      <c r="AZ788" s="49">
        <f t="shared" si="5430"/>
        <v>7.8603339143647772E-3</v>
      </c>
      <c r="BA788" s="48">
        <f t="shared" si="5430"/>
        <v>7.9394036757761931E-3</v>
      </c>
      <c r="BB788" s="48">
        <f t="shared" si="5430"/>
        <v>7.8124359295184903E-3</v>
      </c>
      <c r="BC788" s="48">
        <f t="shared" si="5430"/>
        <v>7.7309010205622196E-3</v>
      </c>
      <c r="BD788" s="48">
        <f t="shared" si="5430"/>
        <v>7.5107633430352254E-3</v>
      </c>
      <c r="BE788" s="48">
        <f t="shared" si="5430"/>
        <v>7.6396357720791581E-3</v>
      </c>
      <c r="BF788" s="48">
        <f t="shared" ref="BF788:BM788" si="5431">BF515/BF697*BF$5</f>
        <v>7.6092722275813186E-3</v>
      </c>
      <c r="BG788" s="48">
        <f t="shared" si="5431"/>
        <v>7.7203857412002103E-3</v>
      </c>
      <c r="BH788" s="48">
        <f t="shared" si="5431"/>
        <v>7.636219485347668E-3</v>
      </c>
      <c r="BI788" s="48">
        <f t="shared" si="5431"/>
        <v>7.6545080619810938E-3</v>
      </c>
      <c r="BJ788" s="48">
        <f t="shared" si="5431"/>
        <v>7.4712244832721231E-3</v>
      </c>
      <c r="BK788" s="48">
        <f t="shared" si="5431"/>
        <v>7.3264296672105747E-3</v>
      </c>
      <c r="BL788" s="235">
        <f t="shared" si="5431"/>
        <v>7.2179470608479479E-3</v>
      </c>
      <c r="BM788" s="235">
        <f t="shared" si="5431"/>
        <v>7.155541055320294E-3</v>
      </c>
      <c r="BN788" s="235">
        <f t="shared" ref="BN788:BO788" si="5432">BN515/BN697*BN$5</f>
        <v>7.138014641599702E-3</v>
      </c>
      <c r="BO788" s="235">
        <f t="shared" si="5432"/>
        <v>7.1072936220274502E-3</v>
      </c>
      <c r="BP788" s="235">
        <f t="shared" ref="BP788:BQ788" si="5433">BP515/BP697*BP$5</f>
        <v>7.0929930026001039E-3</v>
      </c>
      <c r="BQ788" s="235">
        <f t="shared" si="5433"/>
        <v>7.0627503110751175E-3</v>
      </c>
      <c r="BR788" s="48"/>
      <c r="BS788" s="235">
        <f t="shared" ref="BS788:CB788" si="5434">BS515/BS697*BS$5</f>
        <v>4.5910857260910423E-3</v>
      </c>
      <c r="BT788" s="235">
        <f t="shared" si="5434"/>
        <v>6.5156476823874957E-3</v>
      </c>
      <c r="BU788" s="235">
        <f t="shared" si="5434"/>
        <v>7.3459478265365365E-3</v>
      </c>
      <c r="BV788" s="235">
        <f t="shared" si="5434"/>
        <v>1.0763563580614938E-2</v>
      </c>
      <c r="BW788" s="235">
        <f t="shared" si="5434"/>
        <v>1.0853013917850735E-2</v>
      </c>
      <c r="BX788" s="235">
        <f t="shared" si="5434"/>
        <v>1.0921841934976128E-2</v>
      </c>
      <c r="BY788" s="235">
        <f t="shared" si="5434"/>
        <v>1.0497349358585246E-2</v>
      </c>
      <c r="BZ788" s="235">
        <f t="shared" si="5434"/>
        <v>1.0787114208296311E-2</v>
      </c>
      <c r="CA788" s="235">
        <f t="shared" si="5434"/>
        <v>1.0506477324667682E-2</v>
      </c>
      <c r="CB788" s="235">
        <f t="shared" si="5434"/>
        <v>9.9853742853343967E-3</v>
      </c>
      <c r="CC788" s="48">
        <f t="shared" ref="CC788:CR788" si="5435">CC515/CC697*CC$5</f>
        <v>1.0283797427777809E-2</v>
      </c>
      <c r="CD788" s="48">
        <f t="shared" si="5435"/>
        <v>9.8211121307476296E-3</v>
      </c>
      <c r="CE788" s="48">
        <f t="shared" si="5435"/>
        <v>9.0109823233441542E-3</v>
      </c>
      <c r="CF788" s="48">
        <f t="shared" si="5435"/>
        <v>1.0382697355651782E-2</v>
      </c>
      <c r="CG788" s="48">
        <f t="shared" si="5435"/>
        <v>1.1468136519775674E-2</v>
      </c>
      <c r="CH788" s="48">
        <f t="shared" si="5435"/>
        <v>1.0846865639060359E-2</v>
      </c>
      <c r="CI788" s="48">
        <f t="shared" si="5435"/>
        <v>9.8478574341339144E-3</v>
      </c>
      <c r="CJ788" s="48">
        <f t="shared" si="5435"/>
        <v>6.8476380400710052E-3</v>
      </c>
      <c r="CK788" s="48">
        <f t="shared" si="5435"/>
        <v>9.4532156391850929E-3</v>
      </c>
      <c r="CL788" s="48">
        <f t="shared" si="5435"/>
        <v>1.0290787071753736E-2</v>
      </c>
      <c r="CM788" s="50">
        <f t="shared" si="5435"/>
        <v>1.0005008871645541E-2</v>
      </c>
      <c r="CN788" s="50">
        <f t="shared" si="5435"/>
        <v>1.0602356689647595E-2</v>
      </c>
      <c r="CO788" s="50">
        <f t="shared" si="5435"/>
        <v>1.1061380091309227E-2</v>
      </c>
      <c r="CP788" s="50">
        <f t="shared" si="5435"/>
        <v>1.0772131186416562E-2</v>
      </c>
      <c r="CQ788" s="50">
        <f t="shared" si="5435"/>
        <v>1.0252968395320411E-2</v>
      </c>
      <c r="CR788" s="50">
        <f t="shared" si="5435"/>
        <v>9.929153867433713E-3</v>
      </c>
      <c r="CS788" s="50">
        <f t="shared" ref="CS788:DC788" si="5436">CS515/CS697*CS$5</f>
        <v>9.1315361159167337E-3</v>
      </c>
      <c r="CT788" s="50">
        <f t="shared" si="5436"/>
        <v>8.4270757093976092E-3</v>
      </c>
      <c r="CU788" s="50">
        <f t="shared" si="5436"/>
        <v>7.2266115343721654E-3</v>
      </c>
      <c r="CV788" s="50">
        <f t="shared" si="5436"/>
        <v>8.3175610792355116E-3</v>
      </c>
      <c r="CW788" s="50">
        <f t="shared" si="5436"/>
        <v>8.3523462737393351E-3</v>
      </c>
      <c r="CX788" s="50">
        <f t="shared" si="5436"/>
        <v>8.1640460986526723E-3</v>
      </c>
      <c r="CY788" s="50">
        <f t="shared" si="5436"/>
        <v>7.7648136160538075E-3</v>
      </c>
      <c r="CZ788" s="49">
        <f t="shared" si="5436"/>
        <v>7.9325714930377714E-3</v>
      </c>
      <c r="DA788" s="48">
        <f t="shared" si="5436"/>
        <v>7.8977796922258953E-3</v>
      </c>
      <c r="DB788" s="48">
        <f t="shared" si="5436"/>
        <v>7.7699071224040473E-3</v>
      </c>
      <c r="DC788" s="48">
        <f t="shared" si="5436"/>
        <v>7.5746422533014054E-3</v>
      </c>
      <c r="DD788" s="48">
        <f t="shared" ref="DD788:DI788" si="5437">DD515/DD697*DD$5</f>
        <v>7.663661336021076E-3</v>
      </c>
      <c r="DE788" s="48">
        <f t="shared" si="5437"/>
        <v>7.6442778886761011E-3</v>
      </c>
      <c r="DF788" s="48">
        <f t="shared" si="5437"/>
        <v>7.3975934360461688E-3</v>
      </c>
      <c r="DG788" s="235">
        <f t="shared" si="5437"/>
        <v>7.1858793163980085E-3</v>
      </c>
      <c r="DH788" s="235">
        <f t="shared" si="5437"/>
        <v>7.1215300224602533E-3</v>
      </c>
      <c r="DI788" s="235">
        <f t="shared" si="5437"/>
        <v>7.0767537847744189E-3</v>
      </c>
    </row>
    <row r="789" spans="1:113" outlineLevel="1">
      <c r="A789" s="1" t="s">
        <v>889</v>
      </c>
      <c r="B789" s="19" t="s">
        <v>499</v>
      </c>
      <c r="C789" s="235">
        <f t="shared" ref="C789:L789" si="5438">C515/C698*C$5</f>
        <v>1.0245045259759228E-2</v>
      </c>
      <c r="D789" s="235">
        <f t="shared" si="5438"/>
        <v>1.0009844715828942E-2</v>
      </c>
      <c r="E789" s="235">
        <f t="shared" si="5438"/>
        <v>1.1049325439478555E-2</v>
      </c>
      <c r="F789" s="235">
        <f t="shared" si="5438"/>
        <v>9.4997457795995884E-3</v>
      </c>
      <c r="G789" s="235">
        <f t="shared" si="5438"/>
        <v>1.0538378952554609E-2</v>
      </c>
      <c r="H789" s="235">
        <f t="shared" si="5438"/>
        <v>8.8703856502705472E-3</v>
      </c>
      <c r="I789" s="235">
        <f t="shared" si="5438"/>
        <v>9.4465480294854114E-3</v>
      </c>
      <c r="J789" s="235">
        <f t="shared" si="5438"/>
        <v>1.0673851128565441E-2</v>
      </c>
      <c r="K789" s="235">
        <f t="shared" si="5438"/>
        <v>1.0544499112688314E-2</v>
      </c>
      <c r="L789" s="235">
        <f t="shared" si="5438"/>
        <v>1.2121597770205451E-2</v>
      </c>
      <c r="M789" s="48">
        <f t="shared" ref="M789:AG789" si="5439">M515/M698*M$5</f>
        <v>1.1328016419734513E-2</v>
      </c>
      <c r="N789" s="48">
        <f t="shared" si="5439"/>
        <v>1.188674944055514E-2</v>
      </c>
      <c r="O789" s="48">
        <f t="shared" si="5439"/>
        <v>1.0638026854557977E-2</v>
      </c>
      <c r="P789" s="48">
        <f t="shared" si="5439"/>
        <v>1.0355677775849403E-2</v>
      </c>
      <c r="Q789" s="48">
        <f t="shared" si="5439"/>
        <v>9.6861024400919198E-3</v>
      </c>
      <c r="R789" s="48">
        <f t="shared" si="5439"/>
        <v>6.2562453046249899E-3</v>
      </c>
      <c r="S789" s="48">
        <f t="shared" si="5439"/>
        <v>7.5939368914154422E-3</v>
      </c>
      <c r="T789" s="50">
        <f t="shared" si="5439"/>
        <v>9.2845508232374061E-3</v>
      </c>
      <c r="U789" s="48">
        <f t="shared" si="5439"/>
        <v>9.8739992611898871E-3</v>
      </c>
      <c r="V789" s="48">
        <f t="shared" si="5439"/>
        <v>1.0220703189315472E-2</v>
      </c>
      <c r="W789" s="48">
        <f t="shared" si="5439"/>
        <v>1.062354416588359E-2</v>
      </c>
      <c r="X789" s="48">
        <f t="shared" si="5439"/>
        <v>1.0235149165784415E-2</v>
      </c>
      <c r="Y789" s="50">
        <f>Y515/Y698*Y$5</f>
        <v>1.0019349995749629E-2</v>
      </c>
      <c r="Z789" s="50">
        <f>Z515/Z698*Z$5</f>
        <v>1.0380333529658331E-2</v>
      </c>
      <c r="AA789" s="50">
        <f t="shared" si="5439"/>
        <v>1.1075039654189558E-2</v>
      </c>
      <c r="AB789" s="50">
        <f t="shared" si="5439"/>
        <v>1.1133071439969356E-2</v>
      </c>
      <c r="AC789" s="50">
        <f>AC515/AC698*AC$5</f>
        <v>1.1220700524786494E-2</v>
      </c>
      <c r="AD789" s="50">
        <f>AD515/AD698*AD$5</f>
        <v>1.1286140580237261E-2</v>
      </c>
      <c r="AE789" s="50">
        <f>AE515/AE698*AE$5</f>
        <v>1.0481714307583561E-2</v>
      </c>
      <c r="AF789" s="50">
        <f>AF515/AF698*AF$5</f>
        <v>1.0539012244580212E-2</v>
      </c>
      <c r="AG789" s="50">
        <f t="shared" si="5439"/>
        <v>1.0146719153108944E-2</v>
      </c>
      <c r="AH789" s="50">
        <f t="shared" ref="AH789:AM789" si="5440">AH515/AH698*AH$5</f>
        <v>1.0092031733266792E-2</v>
      </c>
      <c r="AI789" s="50">
        <f t="shared" si="5440"/>
        <v>9.93570531051805E-3</v>
      </c>
      <c r="AJ789" s="50">
        <f t="shared" si="5440"/>
        <v>9.4640475480263185E-3</v>
      </c>
      <c r="AK789" s="50">
        <f t="shared" si="5440"/>
        <v>8.9381912591863181E-3</v>
      </c>
      <c r="AL789" s="50">
        <f t="shared" si="5440"/>
        <v>9.2191037187215209E-3</v>
      </c>
      <c r="AM789" s="50">
        <f t="shared" si="5440"/>
        <v>7.7340598204401773E-3</v>
      </c>
      <c r="AN789" s="50">
        <f t="shared" ref="AN789:AS789" si="5441">AN515/AN698*AN$5</f>
        <v>8.8086232022740064E-3</v>
      </c>
      <c r="AO789" s="50">
        <f t="shared" si="5441"/>
        <v>5.7679117825140507E-3</v>
      </c>
      <c r="AP789" s="50">
        <f t="shared" si="5441"/>
        <v>7.4818666139548247E-3</v>
      </c>
      <c r="AQ789" s="50">
        <f t="shared" si="5441"/>
        <v>9.3248196554838406E-3</v>
      </c>
      <c r="AR789" s="50">
        <f t="shared" si="5441"/>
        <v>8.4085567691772559E-3</v>
      </c>
      <c r="AS789" s="50">
        <f t="shared" si="5441"/>
        <v>8.376912675187061E-3</v>
      </c>
      <c r="AT789" s="50">
        <f t="shared" ref="AT789:AU789" si="5442">AT515/AT698*AT$5</f>
        <v>8.4076943134352503E-3</v>
      </c>
      <c r="AU789" s="50">
        <f t="shared" si="5442"/>
        <v>7.992017668106954E-3</v>
      </c>
      <c r="AV789" s="50">
        <f t="shared" ref="AV789:AW789" si="5443">AV515/AV698*AV$5</f>
        <v>7.9423176659346919E-3</v>
      </c>
      <c r="AW789" s="50">
        <f t="shared" si="5443"/>
        <v>7.6541399293558179E-3</v>
      </c>
      <c r="AX789" s="50">
        <f t="shared" ref="AX789" si="5444">AX515/AX698*AX$5</f>
        <v>8.0710051979862151E-3</v>
      </c>
      <c r="AY789" s="50">
        <f t="shared" ref="AY789:BE789" si="5445">AY515/AY698*AY$5</f>
        <v>7.8690645431617572E-3</v>
      </c>
      <c r="AZ789" s="49">
        <f t="shared" si="5445"/>
        <v>7.8999185055389758E-3</v>
      </c>
      <c r="BA789" s="48">
        <f t="shared" si="5445"/>
        <v>7.985767973584447E-3</v>
      </c>
      <c r="BB789" s="48">
        <f t="shared" si="5445"/>
        <v>7.8570137017027787E-3</v>
      </c>
      <c r="BC789" s="48">
        <f t="shared" si="5445"/>
        <v>7.77392338070789E-3</v>
      </c>
      <c r="BD789" s="48">
        <f t="shared" si="5445"/>
        <v>7.5515992393641587E-3</v>
      </c>
      <c r="BE789" s="48">
        <f t="shared" si="5445"/>
        <v>7.6802487826073372E-3</v>
      </c>
      <c r="BF789" s="48">
        <f t="shared" ref="BF789:BM789" si="5446">BF515/BF698*BF$5</f>
        <v>7.6488181019453436E-3</v>
      </c>
      <c r="BG789" s="48">
        <f t="shared" si="5446"/>
        <v>7.7597029808078475E-3</v>
      </c>
      <c r="BH789" s="48">
        <f t="shared" si="5446"/>
        <v>7.6743209275738286E-3</v>
      </c>
      <c r="BI789" s="48">
        <f t="shared" si="5446"/>
        <v>7.6920406680496779E-3</v>
      </c>
      <c r="BJ789" s="48">
        <f t="shared" si="5446"/>
        <v>7.5072212807219341E-3</v>
      </c>
      <c r="BK789" s="48">
        <f t="shared" si="5446"/>
        <v>7.361066496988181E-3</v>
      </c>
      <c r="BL789" s="235">
        <f t="shared" si="5446"/>
        <v>7.2514305271290797E-3</v>
      </c>
      <c r="BM789" s="235">
        <f t="shared" si="5446"/>
        <v>7.1881117836433625E-3</v>
      </c>
      <c r="BN789" s="235">
        <f t="shared" ref="BN789:BO789" si="5447">BN515/BN698*BN$5</f>
        <v>7.169895353945562E-3</v>
      </c>
      <c r="BO789" s="235">
        <f t="shared" si="5447"/>
        <v>7.1384407320218583E-3</v>
      </c>
      <c r="BP789" s="235">
        <f t="shared" ref="BP789:BQ789" si="5448">BP515/BP698*BP$5</f>
        <v>7.123493244483789E-3</v>
      </c>
      <c r="BQ789" s="235">
        <f t="shared" si="5448"/>
        <v>7.0925495522868578E-3</v>
      </c>
      <c r="BR789" s="48"/>
      <c r="BS789" s="235">
        <f t="shared" ref="BS789:CB789" si="5449">BS515/BS698*BS$5</f>
        <v>4.5910857260910423E-3</v>
      </c>
      <c r="BT789" s="235">
        <f t="shared" si="5449"/>
        <v>6.5156476823874957E-3</v>
      </c>
      <c r="BU789" s="235">
        <f t="shared" si="5449"/>
        <v>7.3459478265365365E-3</v>
      </c>
      <c r="BV789" s="235">
        <f t="shared" si="5449"/>
        <v>1.0763563580614938E-2</v>
      </c>
      <c r="BW789" s="235">
        <f t="shared" si="5449"/>
        <v>1.0853013917850735E-2</v>
      </c>
      <c r="BX789" s="235">
        <f t="shared" si="5449"/>
        <v>1.0921841934976128E-2</v>
      </c>
      <c r="BY789" s="235">
        <f t="shared" si="5449"/>
        <v>1.0497349358585246E-2</v>
      </c>
      <c r="BZ789" s="235">
        <f t="shared" si="5449"/>
        <v>1.080659577520221E-2</v>
      </c>
      <c r="CA789" s="235">
        <f t="shared" si="5449"/>
        <v>1.0721154153329117E-2</v>
      </c>
      <c r="CB789" s="235">
        <f t="shared" si="5449"/>
        <v>1.0249318190606383E-2</v>
      </c>
      <c r="CC789" s="48">
        <f t="shared" ref="CC789:CR789" si="5450">CC515/CC698*CC$5</f>
        <v>1.0527509350383209E-2</v>
      </c>
      <c r="CD789" s="48">
        <f t="shared" si="5450"/>
        <v>1.0023105917861895E-2</v>
      </c>
      <c r="CE789" s="48">
        <f t="shared" si="5450"/>
        <v>9.1659499543171891E-3</v>
      </c>
      <c r="CF789" s="48">
        <f t="shared" si="5450"/>
        <v>1.058175600858163E-2</v>
      </c>
      <c r="CG789" s="48">
        <f t="shared" si="5450"/>
        <v>1.1717699711177349E-2</v>
      </c>
      <c r="CH789" s="48">
        <f t="shared" si="5450"/>
        <v>1.1049450739512658E-2</v>
      </c>
      <c r="CI789" s="48">
        <f t="shared" si="5450"/>
        <v>1.0010330832353132E-2</v>
      </c>
      <c r="CJ789" s="48">
        <f t="shared" si="5450"/>
        <v>6.9397340176750181E-3</v>
      </c>
      <c r="CK789" s="48">
        <f t="shared" si="5450"/>
        <v>9.5806904933723267E-3</v>
      </c>
      <c r="CL789" s="48">
        <f t="shared" si="5450"/>
        <v>1.0423235852371504E-2</v>
      </c>
      <c r="CM789" s="50">
        <f t="shared" si="5450"/>
        <v>1.0125984082829434E-2</v>
      </c>
      <c r="CN789" s="50">
        <f t="shared" si="5450"/>
        <v>1.0728189777786116E-2</v>
      </c>
      <c r="CO789" s="50">
        <f t="shared" si="5450"/>
        <v>1.117907887497168E-2</v>
      </c>
      <c r="CP789" s="50">
        <f t="shared" si="5450"/>
        <v>1.0874112251719241E-2</v>
      </c>
      <c r="CQ789" s="50">
        <f t="shared" si="5450"/>
        <v>1.0343481762388369E-2</v>
      </c>
      <c r="CR789" s="50">
        <f t="shared" si="5450"/>
        <v>1.0012797298670698E-2</v>
      </c>
      <c r="CS789" s="50">
        <f t="shared" ref="CS789:DC789" si="5451">CS515/CS698*CS$5</f>
        <v>9.2039440164814086E-3</v>
      </c>
      <c r="CT789" s="50">
        <f t="shared" si="5451"/>
        <v>8.4814395647136616E-3</v>
      </c>
      <c r="CU789" s="50">
        <f t="shared" si="5451"/>
        <v>7.2672810410971027E-3</v>
      </c>
      <c r="CV789" s="50">
        <f t="shared" si="5451"/>
        <v>8.3618891897481087E-3</v>
      </c>
      <c r="CW789" s="50">
        <f t="shared" si="5451"/>
        <v>8.3924537015575233E-3</v>
      </c>
      <c r="CX789" s="50">
        <f t="shared" si="5451"/>
        <v>8.2004785783665966E-3</v>
      </c>
      <c r="CY789" s="50">
        <f t="shared" si="5451"/>
        <v>7.798495007805631E-3</v>
      </c>
      <c r="CZ789" s="49">
        <f t="shared" si="5451"/>
        <v>7.9663194306450018E-3</v>
      </c>
      <c r="DA789" s="48">
        <f t="shared" si="5451"/>
        <v>7.9447996517769699E-3</v>
      </c>
      <c r="DB789" s="48">
        <f t="shared" si="5451"/>
        <v>7.8136830322882919E-3</v>
      </c>
      <c r="DC789" s="48">
        <f t="shared" si="5451"/>
        <v>7.6153599563903883E-3</v>
      </c>
      <c r="DD789" s="48">
        <f t="shared" ref="DD789:DI789" si="5452">DD515/DD698*DD$5</f>
        <v>7.7030824384577961E-3</v>
      </c>
      <c r="DE789" s="48">
        <f t="shared" si="5452"/>
        <v>7.6820843540505055E-3</v>
      </c>
      <c r="DF789" s="48">
        <f t="shared" si="5452"/>
        <v>7.4328951744169211E-3</v>
      </c>
      <c r="DG789" s="235">
        <f t="shared" si="5452"/>
        <v>7.2188964054902688E-3</v>
      </c>
      <c r="DH789" s="235">
        <f t="shared" si="5452"/>
        <v>7.1530330267977312E-3</v>
      </c>
      <c r="DI789" s="235">
        <f t="shared" si="5452"/>
        <v>7.106893088434642E-3</v>
      </c>
    </row>
    <row r="790" spans="1:113" outlineLevel="1">
      <c r="A790" s="1" t="s">
        <v>1010</v>
      </c>
      <c r="B790" s="19" t="s">
        <v>563</v>
      </c>
      <c r="C790" s="570">
        <f t="shared" ref="C790:L790" si="5453">-AVERAGE(C101,C106)/(C103*C$5)</f>
        <v>12.076058530510586</v>
      </c>
      <c r="D790" s="570">
        <f t="shared" si="5453"/>
        <v>2.5205479452054793</v>
      </c>
      <c r="E790" s="570">
        <f t="shared" si="5453"/>
        <v>3.967123287671233</v>
      </c>
      <c r="F790" s="570">
        <f t="shared" si="5453"/>
        <v>3.5572249226690236</v>
      </c>
      <c r="G790" s="570">
        <f t="shared" si="5453"/>
        <v>2.513742349169338</v>
      </c>
      <c r="H790" s="570">
        <f t="shared" si="5453"/>
        <v>20.172131147540984</v>
      </c>
      <c r="I790" s="570">
        <f t="shared" si="5453"/>
        <v>6.3934426229508201</v>
      </c>
      <c r="J790" s="570">
        <f t="shared" si="5453"/>
        <v>13.610958904109587</v>
      </c>
      <c r="K790" s="570">
        <f t="shared" si="5453"/>
        <v>6.5800842992623805</v>
      </c>
      <c r="L790" s="570">
        <f t="shared" si="5453"/>
        <v>5.8287671232876708</v>
      </c>
      <c r="M790" s="113">
        <f>-AVERAGE(M101,M106)/(M103*M$5)</f>
        <v>3.8293759512937595</v>
      </c>
      <c r="N790" s="113">
        <f>-AVERAGE(N101,N106)/(N103*N$5)</f>
        <v>4.1673059360730598</v>
      </c>
      <c r="O790" s="113">
        <f>-AVERAGE(O101,O106)/(O103*O$5)</f>
        <v>4.3700342465753419</v>
      </c>
      <c r="P790" s="113">
        <f>-AVERAGE(P101,P106)/(P103*P$5)</f>
        <v>3.6687483736664066</v>
      </c>
      <c r="Q790" s="113">
        <f t="shared" ref="Q790:AG790" si="5454">-AVERAGE(Q101,Q106)/(Q103*Q$5)</f>
        <v>3.6160014255167496</v>
      </c>
      <c r="R790" s="113">
        <f t="shared" si="5454"/>
        <v>4.7530332681017615</v>
      </c>
      <c r="S790" s="113">
        <f t="shared" si="5454"/>
        <v>4.2252580221429916</v>
      </c>
      <c r="T790" s="114">
        <f t="shared" si="5454"/>
        <v>3.56754478398314</v>
      </c>
      <c r="U790" s="113">
        <f t="shared" si="5454"/>
        <v>5.8602184376156972</v>
      </c>
      <c r="V790" s="113">
        <f t="shared" si="5454"/>
        <v>6.3791645526805336</v>
      </c>
      <c r="W790" s="113">
        <f t="shared" si="5454"/>
        <v>5.8267123287671234</v>
      </c>
      <c r="X790" s="113">
        <f t="shared" si="5454"/>
        <v>7.843187818505557</v>
      </c>
      <c r="Y790" s="114">
        <f>-AVERAGE(Y101,Y106)/(Y103*Y$5)</f>
        <v>8.7850637522768675</v>
      </c>
      <c r="Z790" s="114">
        <f>-AVERAGE(Z101,Z106)/(Z103*Z$5)</f>
        <v>7.946477495107632</v>
      </c>
      <c r="AA790" s="114">
        <f t="shared" si="5454"/>
        <v>6.9983932433824281</v>
      </c>
      <c r="AB790" s="114">
        <f t="shared" si="5454"/>
        <v>7.5092939936775558</v>
      </c>
      <c r="AC790" s="114">
        <f>-AVERAGE(AC101,AC106)/(AC103*AC$5)</f>
        <v>4.7635533416355331</v>
      </c>
      <c r="AD790" s="114">
        <f>-AVERAGE(AD101,AD106)/(AD103*AD$5)</f>
        <v>6.7561260657151072</v>
      </c>
      <c r="AE790" s="114">
        <f>-AVERAGE(AE101,AE106)/(AE103*AE$5)</f>
        <v>6.1129763387297631</v>
      </c>
      <c r="AF790" s="114">
        <f>-AVERAGE(AF101,AF106)/(AF103*AF$5)</f>
        <v>6.0668704269704543</v>
      </c>
      <c r="AG790" s="114">
        <f t="shared" si="5454"/>
        <v>5.4293269490883516</v>
      </c>
      <c r="AH790" s="114">
        <f t="shared" ref="AH790:AM790" si="5455">-AVERAGE(AH101,AH106)/(AH103*AH$5)</f>
        <v>4.7260273972602738</v>
      </c>
      <c r="AI790" s="114">
        <f t="shared" si="5455"/>
        <v>5.5225469894870978</v>
      </c>
      <c r="AJ790" s="114">
        <f t="shared" si="5455"/>
        <v>4.7790587277905869</v>
      </c>
      <c r="AK790" s="114">
        <f t="shared" si="5455"/>
        <v>2.6242633571400695</v>
      </c>
      <c r="AL790" s="114">
        <f t="shared" si="5455"/>
        <v>3.9292178141493208</v>
      </c>
      <c r="AM790" s="114">
        <f t="shared" si="5455"/>
        <v>3.9558015887908926</v>
      </c>
      <c r="AN790" s="114">
        <f t="shared" ref="AN790:AS790" si="5456">-AVERAGE(AN101,AN106)/(AN103*AN$5)</f>
        <v>2.86100347739692</v>
      </c>
      <c r="AO790" s="114">
        <f t="shared" si="5456"/>
        <v>2.4627458019225403</v>
      </c>
      <c r="AP790" s="114">
        <f t="shared" si="5456"/>
        <v>2.7853113848279039</v>
      </c>
      <c r="AQ790" s="114">
        <f t="shared" si="5456"/>
        <v>3.7205256104824302</v>
      </c>
      <c r="AR790" s="114">
        <f t="shared" si="5456"/>
        <v>4.7449315068493148</v>
      </c>
      <c r="AS790" s="114">
        <f t="shared" si="5456"/>
        <v>3.5016412509692425</v>
      </c>
      <c r="AT790" s="114">
        <f t="shared" ref="AT790:AU790" si="5457">-AVERAGE(AT101,AT106)/(AT103*AT$5)</f>
        <v>4.2036679392170067</v>
      </c>
      <c r="AU790" s="114">
        <f t="shared" si="5457"/>
        <v>4.1577604032049624</v>
      </c>
      <c r="AV790" s="114">
        <f t="shared" ref="AV790:AW790" si="5458">-AVERAGE(AV101,AV106)/(AV103*AV$5)</f>
        <v>3.1596881417284468</v>
      </c>
      <c r="AW790" s="114">
        <f t="shared" si="5458"/>
        <v>2.7905969687596657</v>
      </c>
      <c r="AX790" s="114">
        <f t="shared" ref="AX790" si="5459">-AVERAGE(AX101,AX106)/(AX103*AX$5)</f>
        <v>3.4046550360161554</v>
      </c>
      <c r="AY790" s="114">
        <f t="shared" ref="AY790:BE790" si="5460">-AVERAGE(AY101,AY106)/(AY103*AY$5)</f>
        <v>3.4474189304233418</v>
      </c>
      <c r="AZ790" s="115">
        <f t="shared" si="5460"/>
        <v>3.8350348205402924</v>
      </c>
      <c r="BA790" s="113">
        <f t="shared" si="5460"/>
        <v>3.7299693855634217</v>
      </c>
      <c r="BB790" s="113">
        <f t="shared" si="5460"/>
        <v>3.7615933565915514</v>
      </c>
      <c r="BC790" s="113">
        <f t="shared" si="5460"/>
        <v>3.6772813959296307</v>
      </c>
      <c r="BD790" s="113">
        <f t="shared" si="5460"/>
        <v>3.709391068614583</v>
      </c>
      <c r="BE790" s="113">
        <f t="shared" si="5460"/>
        <v>3.6672055447260048</v>
      </c>
      <c r="BF790" s="113">
        <f t="shared" ref="BF790:BM790" si="5461">-AVERAGE(BF101,BF106)/(BF103*BF$5)</f>
        <v>3.7160805842122948</v>
      </c>
      <c r="BG790" s="113">
        <f t="shared" si="5461"/>
        <v>3.6541893742617377</v>
      </c>
      <c r="BH790" s="113">
        <f t="shared" si="5461"/>
        <v>3.7136449893443961</v>
      </c>
      <c r="BI790" s="113">
        <f t="shared" si="5461"/>
        <v>3.6521784463945819</v>
      </c>
      <c r="BJ790" s="113">
        <f t="shared" si="5461"/>
        <v>3.6521784463945814</v>
      </c>
      <c r="BK790" s="113">
        <f t="shared" si="5461"/>
        <v>3.6521784463945819</v>
      </c>
      <c r="BL790" s="570">
        <f t="shared" si="5461"/>
        <v>3.6521784463945828</v>
      </c>
      <c r="BM790" s="570">
        <f t="shared" si="5461"/>
        <v>3.6521784463945819</v>
      </c>
      <c r="BN790" s="570">
        <f t="shared" ref="BN790:BO790" si="5462">-AVERAGE(BN101,BN106)/(BN103*BN$5)</f>
        <v>3.652178446394581</v>
      </c>
      <c r="BO790" s="570">
        <f t="shared" si="5462"/>
        <v>3.6521784463945814</v>
      </c>
      <c r="BP790" s="570">
        <f t="shared" ref="BP790:BQ790" si="5463">-AVERAGE(BP101,BP106)/(BP103*BP$5)</f>
        <v>3.6521784463945823</v>
      </c>
      <c r="BQ790" s="570">
        <f t="shared" si="5463"/>
        <v>3.6521784463945819</v>
      </c>
      <c r="BR790" s="48"/>
      <c r="BS790" s="570" t="e">
        <f t="shared" ref="BS790:CB790" si="5464">-AVERAGE(BS101,BS106)/(BS103*BS$5)</f>
        <v>#DIV/0!</v>
      </c>
      <c r="BT790" s="570" t="e">
        <f t="shared" si="5464"/>
        <v>#DIV/0!</v>
      </c>
      <c r="BU790" s="570" t="e">
        <f t="shared" si="5464"/>
        <v>#DIV/0!</v>
      </c>
      <c r="BV790" s="570" t="e">
        <f t="shared" si="5464"/>
        <v>#DIV/0!</v>
      </c>
      <c r="BW790" s="570" t="e">
        <f t="shared" si="5464"/>
        <v>#DIV/0!</v>
      </c>
      <c r="BX790" s="570" t="e">
        <f t="shared" si="5464"/>
        <v>#DIV/0!</v>
      </c>
      <c r="BY790" s="570" t="e">
        <f t="shared" si="5464"/>
        <v>#DIV/0!</v>
      </c>
      <c r="BZ790" s="570" t="e">
        <f t="shared" si="5464"/>
        <v>#DIV/0!</v>
      </c>
      <c r="CA790" s="570" t="e">
        <f t="shared" si="5464"/>
        <v>#DIV/0!</v>
      </c>
      <c r="CB790" s="570" t="e">
        <f t="shared" si="5464"/>
        <v>#DIV/0!</v>
      </c>
      <c r="CC790" s="113">
        <f t="shared" ref="CC790:CR790" si="5465">-AVERAGE(CC101,CC106)/(CC103*CC$5)</f>
        <v>4</v>
      </c>
      <c r="CD790" s="113">
        <f t="shared" si="5465"/>
        <v>3.0544871794871793</v>
      </c>
      <c r="CE790" s="113">
        <f t="shared" si="5465"/>
        <v>8.1818181818181817</v>
      </c>
      <c r="CF790" s="113">
        <f t="shared" si="5465"/>
        <v>9.5833333333333339</v>
      </c>
      <c r="CG790" s="113">
        <f t="shared" si="5465"/>
        <v>4.8488372093023253</v>
      </c>
      <c r="CH790" s="113">
        <f t="shared" si="5465"/>
        <v>4.5483870967741939</v>
      </c>
      <c r="CI790" s="113">
        <f t="shared" si="5465"/>
        <v>3.6931818181818183</v>
      </c>
      <c r="CJ790" s="113">
        <f t="shared" si="5465"/>
        <v>4.2049180327868854</v>
      </c>
      <c r="CK790" s="113">
        <f t="shared" si="5465"/>
        <v>4.558988764044944</v>
      </c>
      <c r="CL790" s="113">
        <f t="shared" si="5465"/>
        <v>6.139344262295082</v>
      </c>
      <c r="CM790" s="114">
        <f t="shared" si="5465"/>
        <v>8.3715083798882688</v>
      </c>
      <c r="CN790" s="114">
        <f t="shared" si="5465"/>
        <v>7.3938775510204078</v>
      </c>
      <c r="CO790" s="114">
        <f t="shared" si="5465"/>
        <v>5.7576219512195124</v>
      </c>
      <c r="CP790" s="114">
        <f t="shared" si="5465"/>
        <v>6.4009740259740262</v>
      </c>
      <c r="CQ790" s="114">
        <f t="shared" si="5465"/>
        <v>5.6952506596306067</v>
      </c>
      <c r="CR790" s="114">
        <f t="shared" si="5465"/>
        <v>5.3086734693877551</v>
      </c>
      <c r="CS790" s="114">
        <f t="shared" ref="CS790:DC790" si="5466">-AVERAGE(CS101,CS106)/(CS103*CS$5)</f>
        <v>3.3933092224231465</v>
      </c>
      <c r="CT790" s="114">
        <f t="shared" si="5466"/>
        <v>3.9233333333333333</v>
      </c>
      <c r="CU790" s="114">
        <f t="shared" si="5466"/>
        <v>2.7395264116575593</v>
      </c>
      <c r="CV790" s="114">
        <f t="shared" si="5466"/>
        <v>3.2263033175355451</v>
      </c>
      <c r="CW790" s="114">
        <f t="shared" si="5466"/>
        <v>3.8118279569892475</v>
      </c>
      <c r="CX790" s="114">
        <f t="shared" si="5466"/>
        <v>4.2037974683544306</v>
      </c>
      <c r="CY790" s="114">
        <f t="shared" si="5466"/>
        <v>2.9496350364963502</v>
      </c>
      <c r="CZ790" s="115">
        <f t="shared" si="5466"/>
        <v>3.4670571010248903</v>
      </c>
      <c r="DA790" s="113">
        <f t="shared" si="5466"/>
        <v>3.766006104468445</v>
      </c>
      <c r="DB790" s="113">
        <f t="shared" si="5466"/>
        <v>3.7093625754299455</v>
      </c>
      <c r="DC790" s="113">
        <f t="shared" si="5466"/>
        <v>3.6879594757629444</v>
      </c>
      <c r="DD790" s="113">
        <f t="shared" ref="DD790:DI790" si="5467">-AVERAGE(DD101,DD106)/(DD103*DD$5)</f>
        <v>3.6849994834308859</v>
      </c>
      <c r="DE790" s="113">
        <f t="shared" si="5467"/>
        <v>3.6829204745474864</v>
      </c>
      <c r="DF790" s="113">
        <f t="shared" si="5467"/>
        <v>3.6566211733365108</v>
      </c>
      <c r="DG790" s="570">
        <f t="shared" si="5467"/>
        <v>3.6552997887161367</v>
      </c>
      <c r="DH790" s="570">
        <f t="shared" si="5467"/>
        <v>3.6555261605362457</v>
      </c>
      <c r="DI790" s="570">
        <f t="shared" si="5467"/>
        <v>3.6559812575680031</v>
      </c>
    </row>
    <row r="791" spans="1:113" outlineLevel="1">
      <c r="A791" s="1" t="s">
        <v>674</v>
      </c>
      <c r="B791" s="19" t="s">
        <v>773</v>
      </c>
      <c r="C791" s="235"/>
      <c r="D791" s="235"/>
      <c r="E791" s="235"/>
      <c r="F791" s="235"/>
      <c r="G791" s="235"/>
      <c r="H791" s="235"/>
      <c r="I791" s="235"/>
      <c r="J791" s="235"/>
      <c r="K791" s="235"/>
      <c r="L791" s="235"/>
      <c r="M791" s="48"/>
      <c r="N791" s="48"/>
      <c r="O791" s="48"/>
      <c r="P791" s="42">
        <f t="shared" ref="P791:AG791" si="5468">P106/(P106-(P443*P$5-P434))</f>
        <v>4.5186219073583035E-2</v>
      </c>
      <c r="Q791" s="42">
        <f t="shared" si="5468"/>
        <v>4.624636124651961E-2</v>
      </c>
      <c r="R791" s="42">
        <f t="shared" si="5468"/>
        <v>6.7393301209518086E-2</v>
      </c>
      <c r="S791" s="42">
        <f t="shared" si="5468"/>
        <v>7.3973559400258695E-2</v>
      </c>
      <c r="T791" s="45">
        <f t="shared" si="5468"/>
        <v>8.7213620454410626E-2</v>
      </c>
      <c r="U791" s="42">
        <f t="shared" si="5468"/>
        <v>9.8816103203204872E-2</v>
      </c>
      <c r="V791" s="42">
        <f t="shared" si="5468"/>
        <v>0.11266878050518365</v>
      </c>
      <c r="W791" s="42">
        <f t="shared" si="5468"/>
        <v>0.12671827009753911</v>
      </c>
      <c r="X791" s="42">
        <f t="shared" si="5468"/>
        <v>0.14035116653507029</v>
      </c>
      <c r="Y791" s="45">
        <f>Y106/(Y106-(Y443*Y$5-Y434))</f>
        <v>0.15670392985498555</v>
      </c>
      <c r="Z791" s="45">
        <f>Z106/(Z106-(Z443*Z$5-Z434))</f>
        <v>0.17305962601277719</v>
      </c>
      <c r="AA791" s="45">
        <f t="shared" si="5468"/>
        <v>0.17559561796704143</v>
      </c>
      <c r="AB791" s="45">
        <f t="shared" si="5468"/>
        <v>0.17341752880021458</v>
      </c>
      <c r="AC791" s="45">
        <f>AC106/(AC106-(AC443*AC$5-AC434))</f>
        <v>0.16508326626511002</v>
      </c>
      <c r="AD791" s="45">
        <f>AD106/(AD106-(AD443*AD$5-AD434))</f>
        <v>0.17084085174581995</v>
      </c>
      <c r="AE791" s="45">
        <f>AE106/(AE106-(AE443*AE$5-AE434))</f>
        <v>0.17170546560772798</v>
      </c>
      <c r="AF791" s="45">
        <f>AF106/(AF106-(AF443*AF$5-AF434))</f>
        <v>0.17648433806510119</v>
      </c>
      <c r="AG791" s="45">
        <f t="shared" si="5468"/>
        <v>0.17779328947576112</v>
      </c>
      <c r="AH791" s="45">
        <f t="shared" ref="AH791:AM791" si="5469">AH106/(AH106-(AH443*AH$5-AH434))</f>
        <v>0.15132720419599943</v>
      </c>
      <c r="AI791" s="45">
        <f t="shared" si="5469"/>
        <v>0.15803100270552484</v>
      </c>
      <c r="AJ791" s="45">
        <f t="shared" si="5469"/>
        <v>0.15147346921762328</v>
      </c>
      <c r="AK791" s="45">
        <f t="shared" si="5469"/>
        <v>0.14335469465844955</v>
      </c>
      <c r="AL791" s="45">
        <f t="shared" si="5469"/>
        <v>0.15324473303752212</v>
      </c>
      <c r="AM791" s="45">
        <f t="shared" si="5469"/>
        <v>0.13092773765869301</v>
      </c>
      <c r="AN791" s="45">
        <f t="shared" ref="AN791:AS791" si="5470">AN106/(AN106-(AN443*AN$5-AN434))</f>
        <v>0.12232677421925912</v>
      </c>
      <c r="AO791" s="45">
        <f t="shared" si="5470"/>
        <v>0.10309352247565716</v>
      </c>
      <c r="AP791" s="45">
        <f t="shared" si="5470"/>
        <v>0.10946231658430622</v>
      </c>
      <c r="AQ791" s="45">
        <f t="shared" si="5470"/>
        <v>0.11083837595368499</v>
      </c>
      <c r="AR791" s="45">
        <f t="shared" si="5470"/>
        <v>0.12869971977670397</v>
      </c>
      <c r="AS791" s="45">
        <f t="shared" si="5470"/>
        <v>0.10697404014300174</v>
      </c>
      <c r="AT791" s="45">
        <f t="shared" ref="AT791:AU791" si="5471">AT106/(AT106-(AT443*AT$5-AT434))</f>
        <v>0.12724720460816108</v>
      </c>
      <c r="AU791" s="45">
        <f t="shared" si="5471"/>
        <v>0.13685632087316732</v>
      </c>
      <c r="AV791" s="45">
        <f t="shared" ref="AV791:AW791" si="5472">AV106/(AV106-(AV443*AV$5-AV434))</f>
        <v>0.14878272651776739</v>
      </c>
      <c r="AW791" s="45">
        <f t="shared" si="5472"/>
        <v>0.14950623486042849</v>
      </c>
      <c r="AX791" s="45">
        <f t="shared" ref="AX791" si="5473">AX106/(AX106-(AX443*AX$5-AX434))</f>
        <v>0.15827859946700437</v>
      </c>
      <c r="AY791" s="45">
        <f t="shared" ref="AY791:BE791" si="5474">AY106/(AY106-(AY443*AY$5-AY434))</f>
        <v>0.16699987577652942</v>
      </c>
      <c r="AZ791" s="43">
        <f t="shared" si="5474"/>
        <v>0.17585506226068789</v>
      </c>
      <c r="BA791" s="42">
        <f t="shared" si="5474"/>
        <v>0.18567417873532954</v>
      </c>
      <c r="BB791" s="42">
        <f t="shared" si="5474"/>
        <v>0.18879757058616306</v>
      </c>
      <c r="BC791" s="42">
        <f t="shared" si="5474"/>
        <v>0.19081185693103853</v>
      </c>
      <c r="BD791" s="42">
        <f t="shared" si="5474"/>
        <v>0.19142408403352784</v>
      </c>
      <c r="BE791" s="42">
        <f t="shared" si="5474"/>
        <v>0.1944092006951165</v>
      </c>
      <c r="BF791" s="42">
        <f t="shared" ref="BF791:BM791" si="5475">BF106/(BF106-(BF443*BF$5-BF434))</f>
        <v>0.19526010055521409</v>
      </c>
      <c r="BG791" s="42">
        <f t="shared" si="5475"/>
        <v>0.1970668980697475</v>
      </c>
      <c r="BH791" s="42">
        <f t="shared" si="5475"/>
        <v>0.1980778809267032</v>
      </c>
      <c r="BI791" s="42">
        <f t="shared" si="5475"/>
        <v>0.199808846512115</v>
      </c>
      <c r="BJ791" s="42">
        <f t="shared" si="5475"/>
        <v>0.20019341380690039</v>
      </c>
      <c r="BK791" s="42">
        <f t="shared" si="5475"/>
        <v>0.19999081379186132</v>
      </c>
      <c r="BL791" s="232">
        <f t="shared" si="5475"/>
        <v>0.20061357671098051</v>
      </c>
      <c r="BM791" s="232">
        <f t="shared" si="5475"/>
        <v>0.20043570739205996</v>
      </c>
      <c r="BN791" s="232">
        <f t="shared" ref="BN791:BO791" si="5476">BN106/(BN106-(BN443*BN$5-BN434))</f>
        <v>0.20167380363866866</v>
      </c>
      <c r="BO791" s="232">
        <f t="shared" si="5476"/>
        <v>0.20226701548870923</v>
      </c>
      <c r="BP791" s="232">
        <f t="shared" ref="BP791:BQ791" si="5477">BP106/(BP106-(BP443*BP$5-BP434))</f>
        <v>0.20330277178651765</v>
      </c>
      <c r="BQ791" s="232">
        <f t="shared" si="5477"/>
        <v>0.20368316210499762</v>
      </c>
      <c r="BR791" s="48"/>
      <c r="BS791" s="232">
        <f t="shared" ref="BS791:CB791" si="5478">BS106/(BS106-(BS443*BS$5-BS434))</f>
        <v>0</v>
      </c>
      <c r="BT791" s="232">
        <f t="shared" si="5478"/>
        <v>0</v>
      </c>
      <c r="BU791" s="232">
        <f t="shared" si="5478"/>
        <v>0</v>
      </c>
      <c r="BV791" s="232">
        <f t="shared" si="5478"/>
        <v>0</v>
      </c>
      <c r="BW791" s="232">
        <f t="shared" si="5478"/>
        <v>0</v>
      </c>
      <c r="BX791" s="232">
        <f t="shared" si="5478"/>
        <v>0</v>
      </c>
      <c r="BY791" s="232">
        <f t="shared" si="5478"/>
        <v>0</v>
      </c>
      <c r="BZ791" s="232">
        <f t="shared" si="5478"/>
        <v>7.1151358344113845E-3</v>
      </c>
      <c r="CA791" s="232">
        <f t="shared" si="5478"/>
        <v>1.2463768115942029E-2</v>
      </c>
      <c r="CB791" s="232">
        <f t="shared" si="5478"/>
        <v>1.4675052410901468E-2</v>
      </c>
      <c r="CC791" s="42">
        <f t="shared" ref="CC791:CR791" si="5479">CC106/(CC106-(CC443*CC$5-CC434))</f>
        <v>3.8948937756243009E-2</v>
      </c>
      <c r="CD791" s="42">
        <f t="shared" si="5479"/>
        <v>4.334906484880266E-2</v>
      </c>
      <c r="CE791" s="42">
        <f t="shared" si="5479"/>
        <v>1.6863672182821119E-2</v>
      </c>
      <c r="CF791" s="42">
        <f t="shared" si="5479"/>
        <v>3.0167412564230067E-2</v>
      </c>
      <c r="CG791" s="42">
        <f t="shared" si="5479"/>
        <v>3.705501618122977E-2</v>
      </c>
      <c r="CH791" s="42">
        <f t="shared" si="5479"/>
        <v>4.4581206844791353E-2</v>
      </c>
      <c r="CI791" s="42">
        <f t="shared" si="5479"/>
        <v>4.8449080428218501E-2</v>
      </c>
      <c r="CJ791" s="42">
        <f t="shared" si="5479"/>
        <v>7.6712641057790951E-2</v>
      </c>
      <c r="CK791" s="42">
        <f t="shared" si="5479"/>
        <v>0.10135495572388777</v>
      </c>
      <c r="CL791" s="42">
        <f t="shared" si="5479"/>
        <v>0.1296351824087956</v>
      </c>
      <c r="CM791" s="45">
        <f t="shared" si="5479"/>
        <v>0.15862648129140619</v>
      </c>
      <c r="CN791" s="45">
        <f t="shared" si="5479"/>
        <v>0.17992140718562874</v>
      </c>
      <c r="CO791" s="45">
        <f t="shared" si="5479"/>
        <v>0.16816326530612244</v>
      </c>
      <c r="CP791" s="45">
        <f t="shared" si="5479"/>
        <v>0.17742483438083914</v>
      </c>
      <c r="CQ791" s="45">
        <f t="shared" si="5479"/>
        <v>0.18138891150370431</v>
      </c>
      <c r="CR791" s="45">
        <f t="shared" si="5479"/>
        <v>0.15838178691343871</v>
      </c>
      <c r="CS791" s="45">
        <f t="shared" ref="CS791:DC791" si="5480">CS106/(CS106-(CS443*CS$5-CS434))</f>
        <v>0.14774204028589993</v>
      </c>
      <c r="CT791" s="45">
        <f t="shared" si="5480"/>
        <v>0.14165149760052953</v>
      </c>
      <c r="CU791" s="45">
        <f t="shared" si="5480"/>
        <v>0.11036362088052457</v>
      </c>
      <c r="CV791" s="45">
        <f t="shared" si="5480"/>
        <v>0.11541572306696862</v>
      </c>
      <c r="CW791" s="45">
        <f t="shared" si="5480"/>
        <v>0.11303650220617729</v>
      </c>
      <c r="CX791" s="45">
        <f t="shared" si="5480"/>
        <v>0.14295327102803737</v>
      </c>
      <c r="CY791" s="45">
        <f t="shared" si="5480"/>
        <v>0.15583369931196017</v>
      </c>
      <c r="CZ791" s="43">
        <f t="shared" si="5480"/>
        <v>0.17473190348525469</v>
      </c>
      <c r="DA791" s="42">
        <f t="shared" si="5480"/>
        <v>0.18982945121643705</v>
      </c>
      <c r="DB791" s="42">
        <f t="shared" si="5480"/>
        <v>0.1975103714406454</v>
      </c>
      <c r="DC791" s="42">
        <f t="shared" si="5480"/>
        <v>0.20002980208028603</v>
      </c>
      <c r="DD791" s="42">
        <f t="shared" ref="DD791:DI791" si="5481">DD106/(DD106-(DD443*DD$5-DD434))</f>
        <v>0.20336893005014592</v>
      </c>
      <c r="DE791" s="42">
        <f t="shared" si="5481"/>
        <v>0.20624037521313957</v>
      </c>
      <c r="DF791" s="42">
        <f t="shared" si="5481"/>
        <v>0.20737543232757541</v>
      </c>
      <c r="DG791" s="232">
        <f t="shared" si="5481"/>
        <v>0.207739530833465</v>
      </c>
      <c r="DH791" s="232">
        <f t="shared" si="5481"/>
        <v>0.20926859083940083</v>
      </c>
      <c r="DI791" s="232">
        <f t="shared" si="5481"/>
        <v>0.21077685238999203</v>
      </c>
    </row>
    <row r="792" spans="1:113" outlineLevel="1">
      <c r="A792" s="1" t="s">
        <v>811</v>
      </c>
      <c r="B792" s="19" t="s">
        <v>500</v>
      </c>
      <c r="C792" s="232">
        <f>C393/C419</f>
        <v>0.49291019581363943</v>
      </c>
      <c r="D792" s="232">
        <f>D393/D419</f>
        <v>0.48328200615926087</v>
      </c>
      <c r="E792" s="232">
        <f>E393/E419</f>
        <v>0.47788589119858471</v>
      </c>
      <c r="F792" s="232">
        <f t="shared" ref="F792:L792" si="5482">F393/F419</f>
        <v>0.45284280936454852</v>
      </c>
      <c r="G792" s="232">
        <f t="shared" si="5482"/>
        <v>0.47659747659747659</v>
      </c>
      <c r="H792" s="232">
        <f t="shared" si="5482"/>
        <v>0.48743043561696414</v>
      </c>
      <c r="I792" s="232">
        <f t="shared" si="5482"/>
        <v>0.48125000000000001</v>
      </c>
      <c r="J792" s="232">
        <f t="shared" si="5482"/>
        <v>0.45774518790100827</v>
      </c>
      <c r="K792" s="232">
        <f t="shared" si="5482"/>
        <v>0.45670267398618736</v>
      </c>
      <c r="L792" s="232">
        <f t="shared" si="5482"/>
        <v>0.45840266222961729</v>
      </c>
      <c r="M792" s="42">
        <f t="shared" ref="M792:AG792" si="5483">M393/M419</f>
        <v>0.46318563663317408</v>
      </c>
      <c r="N792" s="42">
        <f t="shared" si="5483"/>
        <v>0.46850693914900104</v>
      </c>
      <c r="O792" s="42">
        <f t="shared" si="5483"/>
        <v>0.465210843373494</v>
      </c>
      <c r="P792" s="42">
        <f t="shared" si="5483"/>
        <v>0.44427023945267957</v>
      </c>
      <c r="Q792" s="42">
        <f t="shared" si="5483"/>
        <v>0.45283276450511944</v>
      </c>
      <c r="R792" s="42">
        <f t="shared" si="5483"/>
        <v>0.40183940573045629</v>
      </c>
      <c r="S792" s="42">
        <f t="shared" si="5483"/>
        <v>0.37195325542570951</v>
      </c>
      <c r="T792" s="45">
        <f t="shared" si="5483"/>
        <v>0.37453569954601734</v>
      </c>
      <c r="U792" s="42">
        <f t="shared" si="5483"/>
        <v>0.38016440696060638</v>
      </c>
      <c r="V792" s="42">
        <f t="shared" si="5483"/>
        <v>0.36574596981209567</v>
      </c>
      <c r="W792" s="42">
        <f t="shared" si="5483"/>
        <v>0.34798387096774192</v>
      </c>
      <c r="X792" s="42">
        <f t="shared" si="5483"/>
        <v>0.34250371103414151</v>
      </c>
      <c r="Y792" s="45">
        <f>Y393/Y419</f>
        <v>0.35161772025883525</v>
      </c>
      <c r="Z792" s="45">
        <f>Z393/Z419</f>
        <v>0.3330741568665565</v>
      </c>
      <c r="AA792" s="45">
        <f t="shared" si="5483"/>
        <v>0.32757311052031901</v>
      </c>
      <c r="AB792" s="45">
        <f t="shared" si="5483"/>
        <v>0.33225690706853245</v>
      </c>
      <c r="AC792" s="45">
        <f>AC393/AC419</f>
        <v>0.32044788056518264</v>
      </c>
      <c r="AD792" s="45">
        <f>AD393/AD419</f>
        <v>0.32625564935618656</v>
      </c>
      <c r="AE792" s="45">
        <f>AE393/AE419</f>
        <v>0.33119567968947766</v>
      </c>
      <c r="AF792" s="45">
        <f>AF393/AF419</f>
        <v>0.32149758454106281</v>
      </c>
      <c r="AG792" s="45">
        <f t="shared" si="5483"/>
        <v>0.30980773910927234</v>
      </c>
      <c r="AH792" s="45">
        <f t="shared" ref="AH792:AM792" si="5484">AH393/AH419</f>
        <v>0.3213868328788469</v>
      </c>
      <c r="AI792" s="45">
        <f t="shared" si="5484"/>
        <v>0.29141572311892716</v>
      </c>
      <c r="AJ792" s="45">
        <f t="shared" si="5484"/>
        <v>0.26816349118507393</v>
      </c>
      <c r="AK792" s="45">
        <f t="shared" si="5484"/>
        <v>0.25975719058095004</v>
      </c>
      <c r="AL792" s="45">
        <f t="shared" si="5484"/>
        <v>0.23292147644856481</v>
      </c>
      <c r="AM792" s="45">
        <f t="shared" si="5484"/>
        <v>0.22110954546928197</v>
      </c>
      <c r="AN792" s="45">
        <f t="shared" ref="AN792:AS792" si="5485">AN393/AN419</f>
        <v>0.22232387923147301</v>
      </c>
      <c r="AO792" s="45">
        <f t="shared" si="5485"/>
        <v>0.21110921792468904</v>
      </c>
      <c r="AP792" s="45">
        <f t="shared" si="5485"/>
        <v>0.19739152244795585</v>
      </c>
      <c r="AQ792" s="45">
        <f t="shared" si="5485"/>
        <v>0.20442804428044281</v>
      </c>
      <c r="AR792" s="45">
        <f t="shared" si="5485"/>
        <v>0.194845956884447</v>
      </c>
      <c r="AS792" s="45">
        <f t="shared" si="5485"/>
        <v>0.22707041805754252</v>
      </c>
      <c r="AT792" s="45">
        <f t="shared" ref="AT792:AU792" si="5486">AT393/AT419</f>
        <v>0.14578286720986566</v>
      </c>
      <c r="AU792" s="45">
        <f t="shared" si="5486"/>
        <v>0.15489934872705743</v>
      </c>
      <c r="AV792" s="45">
        <f t="shared" ref="AV792:AW792" si="5487">AV393/AV419</f>
        <v>0.16448091435269982</v>
      </c>
      <c r="AW792" s="45">
        <f t="shared" si="5487"/>
        <v>0.155637707948244</v>
      </c>
      <c r="AX792" s="45">
        <f t="shared" ref="AX792" si="5488">AX393/AX419</f>
        <v>0.15343690146839753</v>
      </c>
      <c r="AY792" s="45">
        <f t="shared" ref="AY792:BE792" si="5489">AY393/AY419</f>
        <v>0.15861636971046772</v>
      </c>
      <c r="AZ792" s="43">
        <f t="shared" si="5489"/>
        <v>0.15484987683909193</v>
      </c>
      <c r="BA792" s="42">
        <f t="shared" si="5489"/>
        <v>0.1475939243697709</v>
      </c>
      <c r="BB792" s="42">
        <f t="shared" si="5489"/>
        <v>0.14153119915488735</v>
      </c>
      <c r="BC792" s="42">
        <f t="shared" si="5489"/>
        <v>0.14384906264482616</v>
      </c>
      <c r="BD792" s="42">
        <f t="shared" si="5489"/>
        <v>0.13785633655753782</v>
      </c>
      <c r="BE792" s="42">
        <f t="shared" si="5489"/>
        <v>0.14057598940417301</v>
      </c>
      <c r="BF792" s="42">
        <f t="shared" ref="BF792:BM792" si="5490">BF393/BF419</f>
        <v>0.13575416124899042</v>
      </c>
      <c r="BG792" s="42">
        <f t="shared" si="5490"/>
        <v>0.13690724081118796</v>
      </c>
      <c r="BH792" s="42">
        <f t="shared" si="5490"/>
        <v>0.1349569970269057</v>
      </c>
      <c r="BI792" s="42">
        <f t="shared" si="5490"/>
        <v>0.13614281962287864</v>
      </c>
      <c r="BJ792" s="42">
        <f t="shared" si="5490"/>
        <v>0.1355173900337647</v>
      </c>
      <c r="BK792" s="42">
        <f t="shared" si="5490"/>
        <v>0.13651293183527216</v>
      </c>
      <c r="BL792" s="232">
        <f t="shared" si="5490"/>
        <v>0.13599217846602457</v>
      </c>
      <c r="BM792" s="232">
        <f t="shared" si="5490"/>
        <v>0.13705532941417461</v>
      </c>
      <c r="BN792" s="232">
        <f t="shared" ref="BN792:BO792" si="5491">BN393/BN419</f>
        <v>0.13654009734641209</v>
      </c>
      <c r="BO792" s="232">
        <f t="shared" si="5491"/>
        <v>0.13761426871987961</v>
      </c>
      <c r="BP792" s="232">
        <f t="shared" ref="BP792:BQ792" si="5492">BP393/BP419</f>
        <v>0.13710464247493306</v>
      </c>
      <c r="BQ792" s="232">
        <f t="shared" si="5492"/>
        <v>0.13819016768428727</v>
      </c>
      <c r="BR792" s="42"/>
      <c r="BS792" s="232">
        <f t="shared" ref="BS792:CB792" si="5493">BS393/BS419</f>
        <v>0.30174081237911027</v>
      </c>
      <c r="BT792" s="232">
        <f t="shared" si="5493"/>
        <v>0.31738035264483627</v>
      </c>
      <c r="BU792" s="232">
        <f t="shared" si="5493"/>
        <v>0.33223761446348909</v>
      </c>
      <c r="BV792" s="232">
        <f t="shared" si="5493"/>
        <v>0.31927710843373491</v>
      </c>
      <c r="BW792" s="232">
        <f t="shared" si="5493"/>
        <v>0.28514309764309764</v>
      </c>
      <c r="BX792" s="232">
        <f t="shared" si="5493"/>
        <v>0.30506043843474701</v>
      </c>
      <c r="BY792" s="232">
        <f t="shared" si="5493"/>
        <v>0.35047801147227531</v>
      </c>
      <c r="BZ792" s="232">
        <f t="shared" si="5493"/>
        <v>0.36151339608979</v>
      </c>
      <c r="CA792" s="232">
        <f t="shared" si="5493"/>
        <v>0.39420100993647172</v>
      </c>
      <c r="CB792" s="232">
        <f t="shared" si="5493"/>
        <v>0.492973708068903</v>
      </c>
      <c r="CC792" s="42">
        <f t="shared" ref="CC792:CO792" si="5494">CC393/CC419</f>
        <v>0.48059108954565505</v>
      </c>
      <c r="CD792" s="42">
        <f t="shared" si="5494"/>
        <v>0.46526226194275988</v>
      </c>
      <c r="CE792" s="42">
        <f t="shared" si="5494"/>
        <v>0.48431989324182634</v>
      </c>
      <c r="CF792" s="42">
        <f t="shared" si="5494"/>
        <v>0.45721491623130966</v>
      </c>
      <c r="CG792" s="42">
        <f t="shared" si="5494"/>
        <v>0.46080622465027732</v>
      </c>
      <c r="CH792" s="42">
        <f t="shared" si="5494"/>
        <v>0.46684852618019246</v>
      </c>
      <c r="CI792" s="42">
        <f t="shared" si="5494"/>
        <v>0.4486437486925598</v>
      </c>
      <c r="CJ792" s="42">
        <f t="shared" si="5494"/>
        <v>0.38646513225695639</v>
      </c>
      <c r="CK792" s="42">
        <f t="shared" si="5494"/>
        <v>0.37730206201794425</v>
      </c>
      <c r="CL792" s="42">
        <f t="shared" si="5494"/>
        <v>0.3567831527544636</v>
      </c>
      <c r="CM792" s="45">
        <f t="shared" si="5494"/>
        <v>0.34704714640198508</v>
      </c>
      <c r="CN792" s="45">
        <f t="shared" si="5494"/>
        <v>0.33029153258729166</v>
      </c>
      <c r="CO792" s="45">
        <f t="shared" si="5494"/>
        <v>0.32632471764653365</v>
      </c>
      <c r="CP792" s="45">
        <f t="shared" ref="CP792:CX792" si="5495">CP393/CP419</f>
        <v>0.32873865467808977</v>
      </c>
      <c r="CQ792" s="45">
        <f t="shared" si="5495"/>
        <v>0.31567462722754275</v>
      </c>
      <c r="CR792" s="45">
        <f t="shared" si="5495"/>
        <v>0.3066276494780133</v>
      </c>
      <c r="CS792" s="45">
        <f t="shared" si="5495"/>
        <v>0.26402375411283202</v>
      </c>
      <c r="CT792" s="45">
        <f t="shared" si="5495"/>
        <v>0.22710886806056235</v>
      </c>
      <c r="CU792" s="45">
        <f t="shared" si="5495"/>
        <v>0.21678380539539582</v>
      </c>
      <c r="CV792" s="45">
        <f t="shared" si="5495"/>
        <v>0.20094386487829111</v>
      </c>
      <c r="CW792" s="45">
        <f t="shared" si="5495"/>
        <v>0.21126817611081858</v>
      </c>
      <c r="CX792" s="45">
        <f t="shared" si="5495"/>
        <v>0.15032246176524783</v>
      </c>
      <c r="CY792" s="45">
        <f t="shared" ref="CY792:DD792" si="5496">CY393/CY419</f>
        <v>0.16007948774563921</v>
      </c>
      <c r="CZ792" s="43">
        <f t="shared" si="5496"/>
        <v>0.15605129105919549</v>
      </c>
      <c r="DA792" s="42">
        <f t="shared" si="5496"/>
        <v>0.15120305021124864</v>
      </c>
      <c r="DB792" s="42">
        <f t="shared" si="5496"/>
        <v>0.14269262757341042</v>
      </c>
      <c r="DC792" s="42">
        <f t="shared" si="5496"/>
        <v>0.13922519981263493</v>
      </c>
      <c r="DD792" s="42">
        <f t="shared" si="5496"/>
        <v>0.13633148220711763</v>
      </c>
      <c r="DE792" s="42">
        <f>DE393/DE419</f>
        <v>0.13554968096274847</v>
      </c>
      <c r="DF792" s="42">
        <f>DF393/DF419</f>
        <v>0.13601478669167599</v>
      </c>
      <c r="DG792" s="232">
        <f>DG393/DG419</f>
        <v>0.13652483004498389</v>
      </c>
      <c r="DH792" s="232">
        <f>DH393/DH419</f>
        <v>0.13707678428738643</v>
      </c>
      <c r="DI792" s="232">
        <f>DI393/DI419</f>
        <v>0.13764699538224179</v>
      </c>
    </row>
    <row r="793" spans="1:113" outlineLevel="1">
      <c r="A793" s="1" t="s">
        <v>812</v>
      </c>
      <c r="B793" s="19" t="s">
        <v>472</v>
      </c>
      <c r="C793" s="232">
        <f t="shared" ref="C793:L793" si="5497">-C430/C419</f>
        <v>0.58181408957911318</v>
      </c>
      <c r="D793" s="232">
        <f t="shared" si="5497"/>
        <v>0.57061152661680603</v>
      </c>
      <c r="E793" s="232">
        <f t="shared" si="5497"/>
        <v>0.57651481645289693</v>
      </c>
      <c r="F793" s="232">
        <f t="shared" si="5497"/>
        <v>0.60423634336677812</v>
      </c>
      <c r="G793" s="232">
        <f t="shared" si="5497"/>
        <v>0.5781440781440782</v>
      </c>
      <c r="H793" s="232">
        <f t="shared" si="5497"/>
        <v>0.61466129341777009</v>
      </c>
      <c r="I793" s="232">
        <f t="shared" si="5497"/>
        <v>0.5768939393939394</v>
      </c>
      <c r="J793" s="232">
        <f t="shared" si="5497"/>
        <v>0.52593950504124654</v>
      </c>
      <c r="K793" s="232">
        <f t="shared" si="5497"/>
        <v>0.53125553391181157</v>
      </c>
      <c r="L793" s="232">
        <f t="shared" si="5497"/>
        <v>0.4936772046589018</v>
      </c>
      <c r="M793" s="42">
        <f t="shared" ref="M793:AG793" si="5498">-M430/M419</f>
        <v>0.49859990116949432</v>
      </c>
      <c r="N793" s="42">
        <f t="shared" si="5498"/>
        <v>0.47948757053530577</v>
      </c>
      <c r="O793" s="42">
        <f t="shared" si="5498"/>
        <v>0.4944277108433735</v>
      </c>
      <c r="P793" s="42">
        <f t="shared" si="5498"/>
        <v>0.48147092360319271</v>
      </c>
      <c r="Q793" s="42">
        <f t="shared" si="5498"/>
        <v>0.49733788395904438</v>
      </c>
      <c r="R793" s="42">
        <f t="shared" si="5498"/>
        <v>0.4725857799787761</v>
      </c>
      <c r="S793" s="42">
        <f t="shared" si="5498"/>
        <v>0.46900389538119086</v>
      </c>
      <c r="T793" s="45">
        <f t="shared" si="5498"/>
        <v>0.4403631861328931</v>
      </c>
      <c r="U793" s="42">
        <f t="shared" si="5498"/>
        <v>0.46258140279705351</v>
      </c>
      <c r="V793" s="42">
        <f t="shared" si="5498"/>
        <v>0.45261320464113358</v>
      </c>
      <c r="W793" s="42">
        <f t="shared" si="5498"/>
        <v>0.45191532258064515</v>
      </c>
      <c r="X793" s="42">
        <f t="shared" si="5498"/>
        <v>0.45541810984661057</v>
      </c>
      <c r="Y793" s="45">
        <f>-Y430/Y419</f>
        <v>0.45734196117471376</v>
      </c>
      <c r="Z793" s="45">
        <f>-Z430/Z419</f>
        <v>0.43415297890951504</v>
      </c>
      <c r="AA793" s="45">
        <f t="shared" si="5498"/>
        <v>0.4313520698822636</v>
      </c>
      <c r="AB793" s="45">
        <f t="shared" si="5498"/>
        <v>0.4261750986724076</v>
      </c>
      <c r="AC793" s="45">
        <f>-AC430/AC419</f>
        <v>0.42193192926330758</v>
      </c>
      <c r="AD793" s="45">
        <f>-AD430/AD419</f>
        <v>0.4190330007674597</v>
      </c>
      <c r="AE793" s="45">
        <f>-AE430/AE419</f>
        <v>0.42857142857142855</v>
      </c>
      <c r="AF793" s="45">
        <f>-AF430/AF419</f>
        <v>0.41948470209339772</v>
      </c>
      <c r="AG793" s="45">
        <f t="shared" si="5498"/>
        <v>0.42378518698791273</v>
      </c>
      <c r="AH793" s="45">
        <f t="shared" ref="AH793:AM793" si="5499">-AH430/AH419</f>
        <v>0.42649006622516555</v>
      </c>
      <c r="AI793" s="45">
        <f t="shared" si="5499"/>
        <v>0.41716855376214568</v>
      </c>
      <c r="AJ793" s="45">
        <f t="shared" si="5499"/>
        <v>0.43133844572693492</v>
      </c>
      <c r="AK793" s="45">
        <f t="shared" si="5499"/>
        <v>0.45131589668377742</v>
      </c>
      <c r="AL793" s="45">
        <f t="shared" si="5499"/>
        <v>0.42419864283256498</v>
      </c>
      <c r="AM793" s="45">
        <f t="shared" si="5499"/>
        <v>0.49502603735859219</v>
      </c>
      <c r="AN793" s="45">
        <f t="shared" ref="AN793:AS793" si="5500">-AN430/AN419</f>
        <v>0.43691258421359064</v>
      </c>
      <c r="AO793" s="45">
        <f t="shared" si="5500"/>
        <v>0.48926563298688019</v>
      </c>
      <c r="AP793" s="45">
        <f t="shared" si="5500"/>
        <v>0.46743583312432069</v>
      </c>
      <c r="AQ793" s="45">
        <f t="shared" si="5500"/>
        <v>0.47298072980729805</v>
      </c>
      <c r="AR793" s="45">
        <f t="shared" si="5500"/>
        <v>0.45345667795490213</v>
      </c>
      <c r="AS793" s="45">
        <f t="shared" si="5500"/>
        <v>0.47194404705134319</v>
      </c>
      <c r="AT793" s="45">
        <f t="shared" ref="AT793:AU793" si="5501">-AT430/AT419</f>
        <v>0.42376862658738895</v>
      </c>
      <c r="AU793" s="45">
        <f t="shared" si="5501"/>
        <v>0.45034043812907043</v>
      </c>
      <c r="AV793" s="45">
        <f t="shared" ref="AV793:AW793" si="5502">-AV430/AV419</f>
        <v>0.44039856399736244</v>
      </c>
      <c r="AW793" s="45">
        <f t="shared" si="5502"/>
        <v>0.45892791127541588</v>
      </c>
      <c r="AX793" s="45">
        <f t="shared" ref="AX793" si="5503">-AX430/AX419</f>
        <v>0.45201106618429454</v>
      </c>
      <c r="AY793" s="45">
        <f t="shared" ref="AY793:BE793" si="5504">-AY430/AY419</f>
        <v>0.46102449888641434</v>
      </c>
      <c r="AZ793" s="43">
        <f t="shared" si="5504"/>
        <v>0.45869116570135143</v>
      </c>
      <c r="BA793" s="42">
        <f t="shared" si="5504"/>
        <v>0.44647330353575432</v>
      </c>
      <c r="BB793" s="42">
        <f t="shared" si="5504"/>
        <v>0.45006380889077541</v>
      </c>
      <c r="BC793" s="42">
        <f t="shared" si="5504"/>
        <v>0.45136670568548537</v>
      </c>
      <c r="BD793" s="42">
        <f t="shared" si="5504"/>
        <v>0.45631812714341952</v>
      </c>
      <c r="BE793" s="42">
        <f t="shared" si="5504"/>
        <v>0.44833173444201541</v>
      </c>
      <c r="BF793" s="42">
        <f t="shared" ref="BF793:BM793" si="5505">-BF430/BF419</f>
        <v>0.45007178332078945</v>
      </c>
      <c r="BG793" s="42">
        <f t="shared" si="5505"/>
        <v>0.44708597178533388</v>
      </c>
      <c r="BH793" s="42">
        <f t="shared" si="5505"/>
        <v>0.45050573562774476</v>
      </c>
      <c r="BI793" s="42">
        <f t="shared" si="5505"/>
        <v>0.44884647600179783</v>
      </c>
      <c r="BJ793" s="42">
        <f t="shared" si="5505"/>
        <v>0.45024294296686901</v>
      </c>
      <c r="BK793" s="42">
        <f t="shared" si="5505"/>
        <v>0.45312564878400213</v>
      </c>
      <c r="BL793" s="232">
        <f t="shared" si="5505"/>
        <v>0.45325076201495779</v>
      </c>
      <c r="BM793" s="232">
        <f t="shared" si="5505"/>
        <v>0.45564262395460831</v>
      </c>
      <c r="BN793" s="232">
        <f t="shared" ref="BN793:BO793" si="5506">-BN430/BN419</f>
        <v>0.45395159286151732</v>
      </c>
      <c r="BO793" s="232">
        <f t="shared" si="5506"/>
        <v>0.45409017970624371</v>
      </c>
      <c r="BP793" s="232">
        <f t="shared" ref="BP793:BQ793" si="5507">-BP430/BP419</f>
        <v>0.45215313502971322</v>
      </c>
      <c r="BQ793" s="232">
        <f t="shared" si="5507"/>
        <v>0.45224898018372028</v>
      </c>
      <c r="BR793" s="42"/>
      <c r="BS793" s="232">
        <f t="shared" ref="BS793:CB793" si="5508">-BS430/BS419</f>
        <v>0.6767676767676768</v>
      </c>
      <c r="BT793" s="232">
        <f t="shared" si="5508"/>
        <v>0.67643691321273181</v>
      </c>
      <c r="BU793" s="232">
        <f t="shared" si="5508"/>
        <v>0.67715426156374736</v>
      </c>
      <c r="BV793" s="232">
        <f t="shared" si="5508"/>
        <v>0.63317555938037862</v>
      </c>
      <c r="BW793" s="232">
        <f t="shared" si="5508"/>
        <v>0.60248316498316501</v>
      </c>
      <c r="BX793" s="232">
        <f t="shared" si="5508"/>
        <v>0.59905757017004713</v>
      </c>
      <c r="BY793" s="232">
        <f t="shared" si="5508"/>
        <v>0.58107074569789674</v>
      </c>
      <c r="BZ793" s="232">
        <f t="shared" si="5508"/>
        <v>0.55575669804489503</v>
      </c>
      <c r="CA793" s="232">
        <f t="shared" si="5508"/>
        <v>0.55497638051799969</v>
      </c>
      <c r="CB793" s="232">
        <f t="shared" si="5508"/>
        <v>0.5859020852221215</v>
      </c>
      <c r="CC793" s="42">
        <f t="shared" ref="CC793:CR793" si="5509">-CC430/CC419</f>
        <v>0.57355535950595504</v>
      </c>
      <c r="CD793" s="42">
        <f t="shared" si="5509"/>
        <v>0.59059474412171509</v>
      </c>
      <c r="CE793" s="42">
        <f t="shared" si="5509"/>
        <v>0.59565341721475551</v>
      </c>
      <c r="CF793" s="42">
        <f t="shared" si="5509"/>
        <v>0.52864348765988112</v>
      </c>
      <c r="CG793" s="42">
        <f t="shared" si="5509"/>
        <v>0.49615098087906628</v>
      </c>
      <c r="CH793" s="42">
        <f t="shared" si="5509"/>
        <v>0.48700462226263547</v>
      </c>
      <c r="CI793" s="42">
        <f t="shared" si="5509"/>
        <v>0.48957534342096087</v>
      </c>
      <c r="CJ793" s="42">
        <f t="shared" si="5509"/>
        <v>0.47074315813580669</v>
      </c>
      <c r="CK793" s="42">
        <f t="shared" si="5509"/>
        <v>0.45128285849205102</v>
      </c>
      <c r="CL793" s="42">
        <f t="shared" si="5509"/>
        <v>0.45226105091815455</v>
      </c>
      <c r="CM793" s="45">
        <f t="shared" si="5509"/>
        <v>0.45637717121588089</v>
      </c>
      <c r="CN793" s="45">
        <f t="shared" si="5509"/>
        <v>0.43273617981845253</v>
      </c>
      <c r="CO793" s="45">
        <f t="shared" si="5509"/>
        <v>0.42404356948350519</v>
      </c>
      <c r="CP793" s="45">
        <f t="shared" si="5509"/>
        <v>0.423827296632454</v>
      </c>
      <c r="CQ793" s="45">
        <f t="shared" si="5509"/>
        <v>0.42162686386228632</v>
      </c>
      <c r="CR793" s="45">
        <f t="shared" si="5509"/>
        <v>0.42189971527997472</v>
      </c>
      <c r="CS793" s="45">
        <f t="shared" ref="CS793:DC793" si="5510">-CS430/CS419</f>
        <v>0.44117647058823528</v>
      </c>
      <c r="CT793" s="45">
        <f t="shared" si="5510"/>
        <v>0.45905254675770812</v>
      </c>
      <c r="CU793" s="45">
        <f t="shared" si="5510"/>
        <v>0.46277513572661083</v>
      </c>
      <c r="CV793" s="45">
        <f t="shared" si="5510"/>
        <v>0.47023513826792518</v>
      </c>
      <c r="CW793" s="45">
        <f t="shared" si="5510"/>
        <v>0.46287820486856496</v>
      </c>
      <c r="CX793" s="45">
        <f t="shared" si="5510"/>
        <v>0.43700018426386583</v>
      </c>
      <c r="CY793" s="45">
        <f t="shared" si="5510"/>
        <v>0.44962096121292411</v>
      </c>
      <c r="CZ793" s="43">
        <f t="shared" si="5510"/>
        <v>0.45656068856490428</v>
      </c>
      <c r="DA793" s="42">
        <f t="shared" si="5510"/>
        <v>0.45255049357467914</v>
      </c>
      <c r="DB793" s="42">
        <f t="shared" si="5510"/>
        <v>0.4507166606960466</v>
      </c>
      <c r="DC793" s="42">
        <f t="shared" si="5510"/>
        <v>0.45229839369719915</v>
      </c>
      <c r="DD793" s="42">
        <f t="shared" ref="DD793:DI793" si="5511">-DD430/DD419</f>
        <v>0.44857685475475778</v>
      </c>
      <c r="DE793" s="42">
        <f t="shared" si="5511"/>
        <v>0.44967642395074436</v>
      </c>
      <c r="DF793" s="42">
        <f t="shared" si="5511"/>
        <v>0.45168321221223096</v>
      </c>
      <c r="DG793" s="232">
        <f t="shared" si="5511"/>
        <v>0.45444911399030469</v>
      </c>
      <c r="DH793" s="232">
        <f t="shared" si="5511"/>
        <v>0.45402083483872202</v>
      </c>
      <c r="DI793" s="232">
        <f t="shared" si="5511"/>
        <v>0.45220102143297614</v>
      </c>
    </row>
    <row r="794" spans="1:113" outlineLevel="1">
      <c r="A794" s="1" t="s">
        <v>813</v>
      </c>
      <c r="B794" s="19" t="s">
        <v>408</v>
      </c>
      <c r="C794" s="232"/>
      <c r="D794" s="232"/>
      <c r="E794" s="232">
        <f t="shared" ref="E794:L794" si="5512">(E419/D419-1)-(E430/D430-1)</f>
        <v>-1.0290931626369959E-2</v>
      </c>
      <c r="F794" s="232">
        <f t="shared" si="5512"/>
        <v>-4.7691234449082187E-2</v>
      </c>
      <c r="G794" s="232">
        <f t="shared" si="5512"/>
        <v>4.7312690518209521E-2</v>
      </c>
      <c r="H794" s="232">
        <f t="shared" si="5512"/>
        <v>-6.6980362122917469E-2</v>
      </c>
      <c r="I794" s="232">
        <f t="shared" si="5512"/>
        <v>6.2257767482305937E-2</v>
      </c>
      <c r="J794" s="232">
        <f t="shared" si="5512"/>
        <v>9.1252934797747765E-2</v>
      </c>
      <c r="K794" s="232">
        <f t="shared" si="5512"/>
        <v>-1.0463441977023535E-2</v>
      </c>
      <c r="L794" s="232">
        <f t="shared" si="5512"/>
        <v>7.5281919603329306E-2</v>
      </c>
      <c r="M794" s="42">
        <f t="shared" ref="M794:AX794" si="5513">(M419/L419-1)-(M430/L430-1)</f>
        <v>-1.0072696500103451E-2</v>
      </c>
      <c r="N794" s="42">
        <f t="shared" si="5513"/>
        <v>4.1400578780434127E-2</v>
      </c>
      <c r="O794" s="42">
        <f t="shared" si="5513"/>
        <v>-3.1552968080651889E-2</v>
      </c>
      <c r="P794" s="42">
        <f t="shared" si="5513"/>
        <v>2.7689558110602697E-2</v>
      </c>
      <c r="Q794" s="42">
        <f t="shared" si="5513"/>
        <v>-3.4406596982419435E-2</v>
      </c>
      <c r="R794" s="42">
        <f t="shared" si="5513"/>
        <v>5.7623550331225681E-2</v>
      </c>
      <c r="S794" s="42">
        <f t="shared" si="5513"/>
        <v>8.0297487797662548E-3</v>
      </c>
      <c r="T794" s="45">
        <f t="shared" si="5513"/>
        <v>6.5872271958828277E-2</v>
      </c>
      <c r="U794" s="42">
        <f t="shared" si="5513"/>
        <v>-4.8762426310494544E-2</v>
      </c>
      <c r="V794" s="42">
        <f t="shared" si="5513"/>
        <v>2.2404865414378916E-2</v>
      </c>
      <c r="W794" s="42">
        <f t="shared" si="5513"/>
        <v>1.5705512795021193E-3</v>
      </c>
      <c r="X794" s="42">
        <f t="shared" si="5513"/>
        <v>-7.8955309664467954E-3</v>
      </c>
      <c r="Y794" s="45">
        <f>(Y419/X419-1)-(Y430/X430-1)</f>
        <v>-4.1992800066920077E-3</v>
      </c>
      <c r="Z794" s="45">
        <f>(Z419/Y419-1)-(Z430/Y430-1)</f>
        <v>5.1935445913502409E-2</v>
      </c>
      <c r="AA794" s="45">
        <f t="shared" si="5513"/>
        <v>6.6037998377015406E-3</v>
      </c>
      <c r="AB794" s="45">
        <f t="shared" si="5513"/>
        <v>1.2703692504396624E-2</v>
      </c>
      <c r="AC794" s="45">
        <f t="shared" si="5513"/>
        <v>1.0050175828373642E-2</v>
      </c>
      <c r="AD794" s="45">
        <f t="shared" si="5513"/>
        <v>7.1600114723688879E-3</v>
      </c>
      <c r="AE794" s="45">
        <f t="shared" si="5513"/>
        <v>-2.30036442622783E-2</v>
      </c>
      <c r="AF794" s="45">
        <f t="shared" si="5513"/>
        <v>2.2220347087446912E-2</v>
      </c>
      <c r="AG794" s="45">
        <f t="shared" si="5513"/>
        <v>-1.0175062820477199E-2</v>
      </c>
      <c r="AH794" s="45">
        <f t="shared" si="5513"/>
        <v>-6.6456977431357256E-3</v>
      </c>
      <c r="AI794" s="45">
        <f t="shared" si="5513"/>
        <v>2.1205844848736999E-2</v>
      </c>
      <c r="AJ794" s="45">
        <f t="shared" si="5513"/>
        <v>-3.4501436662679463E-2</v>
      </c>
      <c r="AK794" s="45">
        <f t="shared" si="5513"/>
        <v>-4.493827998411426E-2</v>
      </c>
      <c r="AL794" s="45">
        <f t="shared" si="5513"/>
        <v>5.8630154486777775E-2</v>
      </c>
      <c r="AM794" s="45">
        <f t="shared" si="5513"/>
        <v>-0.16177106344799674</v>
      </c>
      <c r="AN794" s="45">
        <f t="shared" si="5513"/>
        <v>0.12164266904513832</v>
      </c>
      <c r="AO794" s="45">
        <f t="shared" si="5513"/>
        <v>-0.11698459670681016</v>
      </c>
      <c r="AP794" s="45">
        <f t="shared" si="5513"/>
        <v>4.5465129053817499E-2</v>
      </c>
      <c r="AQ794" s="45">
        <f t="shared" si="5513"/>
        <v>-1.2094440180452359E-2</v>
      </c>
      <c r="AR794" s="45">
        <f t="shared" si="5513"/>
        <v>4.0980876521663934E-2</v>
      </c>
      <c r="AS794" s="45">
        <f t="shared" si="5513"/>
        <v>-4.2369413109548448E-2</v>
      </c>
      <c r="AT794" s="45">
        <f t="shared" si="5513"/>
        <v>0.11052437739650534</v>
      </c>
      <c r="AU794" s="45">
        <f t="shared" si="5513"/>
        <v>-6.2192675827334121E-2</v>
      </c>
      <c r="AV794" s="45">
        <f t="shared" si="5513"/>
        <v>2.230018734982453E-2</v>
      </c>
      <c r="AW794" s="45">
        <f t="shared" si="5513"/>
        <v>-4.1691802018910873E-2</v>
      </c>
      <c r="AX794" s="45">
        <f t="shared" si="5513"/>
        <v>1.5709161470845556E-2</v>
      </c>
      <c r="AY794" s="45">
        <f t="shared" ref="AY794:BE794" si="5514">(AY419/AX419-1)-(AY430/AX430-1)</f>
        <v>-2.0324074241063528E-2</v>
      </c>
      <c r="AZ794" s="43">
        <f t="shared" si="5514"/>
        <v>5.2912134318885418E-3</v>
      </c>
      <c r="BA794" s="42">
        <f t="shared" si="5514"/>
        <v>2.6914600488551654E-2</v>
      </c>
      <c r="BB794" s="42">
        <f t="shared" si="5514"/>
        <v>-8.3461799056934183E-3</v>
      </c>
      <c r="BC794" s="42">
        <f t="shared" si="5514"/>
        <v>-2.9074156153365838E-3</v>
      </c>
      <c r="BD794" s="42">
        <f t="shared" si="5514"/>
        <v>-1.1251698228076146E-2</v>
      </c>
      <c r="BE794" s="42">
        <f t="shared" si="5514"/>
        <v>1.7735984477978972E-2</v>
      </c>
      <c r="BF794" s="42">
        <f t="shared" ref="BF794:BM794" si="5515">(BF419/BE419-1)-(BF430/BE430-1)</f>
        <v>-3.9947026904185723E-3</v>
      </c>
      <c r="BG794" s="42">
        <f t="shared" si="5515"/>
        <v>6.6520804404579525E-3</v>
      </c>
      <c r="BH794" s="42">
        <f t="shared" si="5515"/>
        <v>-7.8476545973389378E-3</v>
      </c>
      <c r="BI794" s="42">
        <f t="shared" si="5515"/>
        <v>3.6802807128221149E-3</v>
      </c>
      <c r="BJ794" s="42">
        <f t="shared" si="5515"/>
        <v>-3.199999567391032E-3</v>
      </c>
      <c r="BK794" s="42">
        <f t="shared" si="5515"/>
        <v>-6.3929362265052747E-3</v>
      </c>
      <c r="BL794" s="232">
        <f t="shared" si="5515"/>
        <v>-2.836297463097992E-4</v>
      </c>
      <c r="BM794" s="232">
        <f t="shared" si="5515"/>
        <v>-5.2985362779336409E-3</v>
      </c>
      <c r="BN794" s="232">
        <f t="shared" ref="BN794" si="5516">(BN419/BM419-1)-(BN430/BM430-1)</f>
        <v>3.8121033647129376E-3</v>
      </c>
      <c r="BO794" s="232">
        <f t="shared" ref="BO794" si="5517">(BO419/BN419-1)-(BO430/BN430-1)</f>
        <v>-3.0483694502125847E-4</v>
      </c>
      <c r="BP794" s="232">
        <f t="shared" ref="BP794" si="5518">(BP419/BO419-1)-(BP430/BO430-1)</f>
        <v>4.3936516727418606E-3</v>
      </c>
      <c r="BQ794" s="232">
        <f t="shared" ref="BQ794" si="5519">(BQ419/BP419-1)-(BQ430/BP430-1)</f>
        <v>-2.1165521317689784E-4</v>
      </c>
      <c r="BR794" s="42"/>
      <c r="BS794" s="232" t="e">
        <f t="shared" ref="BS794:CB794" si="5520">(BS419/BR419-1)-(BS430/BR430-1)</f>
        <v>#DIV/0!</v>
      </c>
      <c r="BT794" s="232">
        <f t="shared" si="5520"/>
        <v>4.5869941074772047E-4</v>
      </c>
      <c r="BU794" s="232">
        <f t="shared" si="5520"/>
        <v>-1.0342541052724696E-3</v>
      </c>
      <c r="BV794" s="232">
        <f t="shared" si="5520"/>
        <v>7.0878296722710621E-2</v>
      </c>
      <c r="BW794" s="232">
        <f t="shared" si="5520"/>
        <v>4.9558361595500977E-2</v>
      </c>
      <c r="BX794" s="232">
        <f t="shared" si="5520"/>
        <v>5.8401426066463369E-3</v>
      </c>
      <c r="BY794" s="232">
        <f t="shared" si="5520"/>
        <v>3.217205608390783E-2</v>
      </c>
      <c r="BZ794" s="232">
        <f t="shared" si="5520"/>
        <v>4.6013425217236392E-2</v>
      </c>
      <c r="CA794" s="232">
        <f t="shared" si="5520"/>
        <v>1.5603808787003626E-3</v>
      </c>
      <c r="CB794" s="232">
        <f t="shared" si="5520"/>
        <v>-8.0096395159721334E-2</v>
      </c>
      <c r="CC794" s="42">
        <f t="shared" ref="CC794:CS794" si="5521">(CC419/CB419-1)-(CC430/CB430-1)</f>
        <v>2.1655727039496808E-2</v>
      </c>
      <c r="CD794" s="42">
        <f t="shared" si="5521"/>
        <v>-3.079276600721581E-2</v>
      </c>
      <c r="CE794" s="42">
        <f t="shared" si="5521"/>
        <v>-9.5605367355588999E-3</v>
      </c>
      <c r="CF794" s="42">
        <f t="shared" si="5521"/>
        <v>0.11905012608708831</v>
      </c>
      <c r="CG794" s="42">
        <f t="shared" si="5521"/>
        <v>6.6883962245531281E-2</v>
      </c>
      <c r="CH794" s="42">
        <f t="shared" si="5521"/>
        <v>2.0137553330169755E-2</v>
      </c>
      <c r="CI794" s="42">
        <f t="shared" si="5521"/>
        <v>-5.7362240752365512E-3</v>
      </c>
      <c r="CJ794" s="42">
        <f t="shared" si="5521"/>
        <v>4.684844725687265E-2</v>
      </c>
      <c r="CK794" s="42">
        <f t="shared" si="5521"/>
        <v>4.5109930784521968E-2</v>
      </c>
      <c r="CL794" s="42">
        <f t="shared" si="5521"/>
        <v>-2.2358196610592351E-3</v>
      </c>
      <c r="CM794" s="45">
        <f t="shared" si="5521"/>
        <v>-9.3285146776724837E-3</v>
      </c>
      <c r="CN794" s="45">
        <f t="shared" si="5521"/>
        <v>5.3526433436913323E-2</v>
      </c>
      <c r="CO794" s="45">
        <f t="shared" si="5521"/>
        <v>2.1611893908230373E-2</v>
      </c>
      <c r="CP794" s="45">
        <f t="shared" si="5521"/>
        <v>5.3682295842572003E-4</v>
      </c>
      <c r="CQ794" s="45">
        <f t="shared" si="5521"/>
        <v>5.4492254341376167E-3</v>
      </c>
      <c r="CR794" s="45">
        <f t="shared" si="5521"/>
        <v>-6.6128681718446991E-4</v>
      </c>
      <c r="CS794" s="45">
        <f t="shared" si="5521"/>
        <v>-4.502908386844795E-2</v>
      </c>
      <c r="CT794" s="45">
        <f t="shared" ref="CT794:DI794" si="5522">(CT419/CS419-1)-(CT430/CS430-1)</f>
        <v>-3.833560709413375E-2</v>
      </c>
      <c r="CU794" s="45">
        <f t="shared" si="5522"/>
        <v>-8.1718806809032429E-3</v>
      </c>
      <c r="CV794" s="45">
        <f t="shared" si="5522"/>
        <v>-1.6388124898871315E-2</v>
      </c>
      <c r="CW794" s="45">
        <f t="shared" si="5522"/>
        <v>1.5990433021991768E-2</v>
      </c>
      <c r="CX794" s="45">
        <f t="shared" si="5522"/>
        <v>6.1445580075998318E-2</v>
      </c>
      <c r="CY794" s="45">
        <f t="shared" si="5522"/>
        <v>-2.8921992984795697E-2</v>
      </c>
      <c r="CZ794" s="43">
        <f t="shared" si="5522"/>
        <v>-1.6167894833369889E-2</v>
      </c>
      <c r="DA794" s="42">
        <f t="shared" si="5522"/>
        <v>9.3185220588543061E-3</v>
      </c>
      <c r="DB794" s="42">
        <f t="shared" si="5522"/>
        <v>4.2365043771805944E-3</v>
      </c>
      <c r="DC794" s="42">
        <f t="shared" si="5522"/>
        <v>-3.6314295712742695E-3</v>
      </c>
      <c r="DD794" s="42">
        <f t="shared" si="5522"/>
        <v>8.5366101660575566E-3</v>
      </c>
      <c r="DE794" s="42">
        <f t="shared" si="5522"/>
        <v>-2.5173410002763408E-3</v>
      </c>
      <c r="DF794" s="42">
        <f t="shared" si="5522"/>
        <v>-4.5848543155400101E-3</v>
      </c>
      <c r="DG794" s="42">
        <f t="shared" si="5522"/>
        <v>-6.2983009486823338E-3</v>
      </c>
      <c r="DH794" s="42">
        <f t="shared" si="5522"/>
        <v>9.692483356489312E-4</v>
      </c>
      <c r="DI794" s="42">
        <f t="shared" si="5522"/>
        <v>4.1221987176536246E-3</v>
      </c>
    </row>
    <row r="795" spans="1:113" outlineLevel="1">
      <c r="A795" s="1" t="s">
        <v>2106</v>
      </c>
      <c r="B795" s="19" t="s">
        <v>2107</v>
      </c>
      <c r="C795" s="230">
        <f>(C178)/(C204-C205)</f>
        <v>1.3543332644811001</v>
      </c>
      <c r="D795" s="230">
        <f>(D178)/(D204-D205)</f>
        <v>1.3230290954041439</v>
      </c>
      <c r="E795" s="230">
        <f t="shared" ref="E795:L795" si="5523">(E178)/(E204-E205)</f>
        <v>1.305153028534314</v>
      </c>
      <c r="F795" s="230">
        <f t="shared" si="5523"/>
        <v>1.2923831501286156</v>
      </c>
      <c r="G795" s="230">
        <f t="shared" si="5523"/>
        <v>1.3158164260632073</v>
      </c>
      <c r="H795" s="230">
        <f t="shared" si="5523"/>
        <v>1.3563183266232228</v>
      </c>
      <c r="I795" s="230">
        <f t="shared" si="5523"/>
        <v>1.4163513894452604</v>
      </c>
      <c r="J795" s="230">
        <f t="shared" si="5523"/>
        <v>1.5098383176582479</v>
      </c>
      <c r="K795" s="230">
        <f t="shared" si="5523"/>
        <v>1.5722727179466136</v>
      </c>
      <c r="L795" s="230">
        <f t="shared" si="5523"/>
        <v>1.653797705831904</v>
      </c>
      <c r="M795" s="230">
        <f t="shared" ref="M795:AG795" si="5524">(M178)/(M204-M205)</f>
        <v>1.705560249683965</v>
      </c>
      <c r="N795" s="230">
        <f t="shared" si="5524"/>
        <v>1.7093410563181934</v>
      </c>
      <c r="O795" s="230">
        <f t="shared" si="5524"/>
        <v>1.6270376630515755</v>
      </c>
      <c r="P795" s="230">
        <f t="shared" si="5524"/>
        <v>1.6469823486394639</v>
      </c>
      <c r="Q795" s="230">
        <f t="shared" si="5524"/>
        <v>1.6425336090535165</v>
      </c>
      <c r="R795" s="230">
        <f t="shared" si="5524"/>
        <v>1.5629544451817086</v>
      </c>
      <c r="S795" s="230">
        <f t="shared" si="5524"/>
        <v>1.60692378992135</v>
      </c>
      <c r="T795" s="230">
        <f t="shared" si="5524"/>
        <v>1.615877458571964</v>
      </c>
      <c r="U795" s="230">
        <f t="shared" si="5524"/>
        <v>1.5582281525348025</v>
      </c>
      <c r="V795" s="230">
        <f t="shared" si="5524"/>
        <v>1.4934000732657926</v>
      </c>
      <c r="W795" s="230">
        <f t="shared" si="5524"/>
        <v>1.45659093530158</v>
      </c>
      <c r="X795" s="230">
        <f t="shared" si="5524"/>
        <v>1.3990776641358231</v>
      </c>
      <c r="Y795" s="230">
        <f t="shared" si="5524"/>
        <v>1.3985974717583012</v>
      </c>
      <c r="Z795" s="386">
        <f t="shared" si="5524"/>
        <v>1.3975936708827958</v>
      </c>
      <c r="AA795" s="386">
        <f t="shared" si="5524"/>
        <v>1.3845087138792862</v>
      </c>
      <c r="AB795" s="386">
        <f t="shared" si="5524"/>
        <v>1.3730706175665566</v>
      </c>
      <c r="AC795" s="386">
        <f>(AC178)/(AC204-AC205)</f>
        <v>1.3730159997991753</v>
      </c>
      <c r="AD795" s="386">
        <f>(AD178)/(AD204-AD205)</f>
        <v>1.3646734734034414</v>
      </c>
      <c r="AE795" s="386">
        <f>(AE178)/(AE204-AE205)</f>
        <v>1.347440433273529</v>
      </c>
      <c r="AF795" s="386">
        <f>(AF178)/(AF204-AF205)</f>
        <v>1.3440740570570151</v>
      </c>
      <c r="AG795" s="386">
        <f t="shared" si="5524"/>
        <v>1.3494858713549176</v>
      </c>
      <c r="AH795" s="386">
        <f t="shared" ref="AH795:AM795" si="5525">(AH178)/(AH204-AH205)</f>
        <v>1.3267344694683763</v>
      </c>
      <c r="AI795" s="386">
        <f t="shared" si="5525"/>
        <v>1.31793704695942</v>
      </c>
      <c r="AJ795" s="386">
        <f t="shared" si="5525"/>
        <v>1.3079608198007762</v>
      </c>
      <c r="AK795" s="386">
        <f t="shared" si="5525"/>
        <v>1.3159591560610544</v>
      </c>
      <c r="AL795" s="386">
        <f t="shared" si="5525"/>
        <v>1.3183903908916559</v>
      </c>
      <c r="AM795" s="386">
        <f t="shared" si="5525"/>
        <v>1.3241396615627499</v>
      </c>
      <c r="AN795" s="386">
        <f t="shared" ref="AN795:AS795" si="5526">(AN178)/(AN204-AN205)</f>
        <v>1.285545512038593</v>
      </c>
      <c r="AO795" s="386">
        <f t="shared" si="5526"/>
        <v>1.2150182356270669</v>
      </c>
      <c r="AP795" s="386">
        <f t="shared" si="5526"/>
        <v>1.1635477297051622</v>
      </c>
      <c r="AQ795" s="386">
        <f t="shared" si="5526"/>
        <v>1.1634049251324645</v>
      </c>
      <c r="AR795" s="386">
        <f t="shared" si="5526"/>
        <v>1.1457342265083115</v>
      </c>
      <c r="AS795" s="386">
        <f t="shared" si="5526"/>
        <v>1.1351801798909869</v>
      </c>
      <c r="AT795" s="386">
        <f t="shared" ref="AT795:AU795" si="5527">(AT178)/(AT204-AT205)</f>
        <v>1.140952128285283</v>
      </c>
      <c r="AU795" s="386">
        <f t="shared" si="5527"/>
        <v>1.1393316151370807</v>
      </c>
      <c r="AV795" s="386">
        <f t="shared" ref="AV795:AW795" si="5528">(AV178)/(AV204-AV205)</f>
        <v>1.1238773325324083</v>
      </c>
      <c r="AW795" s="386">
        <f t="shared" si="5528"/>
        <v>1.1320792114673943</v>
      </c>
      <c r="AX795" s="386">
        <f t="shared" ref="AX795" si="5529">(AX178)/(AX204-AX205)</f>
        <v>1.1311374655446125</v>
      </c>
      <c r="AY795" s="386">
        <f t="shared" ref="AY795:BE795" si="5530">(AY178)/(AY204-AY205)</f>
        <v>1.1302107310656939</v>
      </c>
      <c r="AZ795" s="231">
        <f t="shared" si="5530"/>
        <v>1.1117014555813567</v>
      </c>
      <c r="BA795" s="230">
        <f t="shared" si="5530"/>
        <v>1.1241769961835448</v>
      </c>
      <c r="BB795" s="230">
        <f t="shared" si="5530"/>
        <v>1.1240578890435995</v>
      </c>
      <c r="BC795" s="230">
        <f t="shared" si="5530"/>
        <v>1.1257249612596423</v>
      </c>
      <c r="BD795" s="230">
        <f t="shared" si="5530"/>
        <v>1.1250027154118003</v>
      </c>
      <c r="BE795" s="230">
        <f t="shared" si="5530"/>
        <v>1.1234649623344426</v>
      </c>
      <c r="BF795" s="230">
        <f t="shared" ref="BF795:BM795" si="5531">(BF178)/(BF204-BF205)</f>
        <v>1.1220678755594162</v>
      </c>
      <c r="BG795" s="230">
        <f t="shared" si="5531"/>
        <v>1.1180032510796691</v>
      </c>
      <c r="BH795" s="230">
        <f t="shared" si="5531"/>
        <v>1.1140912788796413</v>
      </c>
      <c r="BI795" s="230">
        <f t="shared" si="5531"/>
        <v>1.1141892009255476</v>
      </c>
      <c r="BJ795" s="230">
        <f t="shared" si="5531"/>
        <v>1.1142806675659127</v>
      </c>
      <c r="BK795" s="230">
        <f t="shared" si="5531"/>
        <v>1.1142809005787724</v>
      </c>
      <c r="BL795" s="230">
        <f t="shared" si="5531"/>
        <v>1.1142812417299568</v>
      </c>
      <c r="BM795" s="230">
        <f t="shared" si="5531"/>
        <v>1.1142816897419798</v>
      </c>
      <c r="BN795" s="230">
        <f t="shared" ref="BN795:BO795" si="5532">(BN178)/(BN204-BN205)</f>
        <v>1.1142822433472743</v>
      </c>
      <c r="BO795" s="230">
        <f t="shared" si="5532"/>
        <v>1.1142829012881605</v>
      </c>
      <c r="BP795" s="230">
        <f t="shared" ref="BP795:BQ795" si="5533">(BP178)/(BP204-BP205)</f>
        <v>1.1142836623168086</v>
      </c>
      <c r="BQ795" s="230">
        <f t="shared" si="5533"/>
        <v>1.1142845251952005</v>
      </c>
      <c r="BR795" s="232"/>
      <c r="BS795" s="230">
        <f t="shared" ref="BS795:CB795" si="5534">(BS178)/(BS204-BS205)</f>
        <v>0.85816664254307917</v>
      </c>
      <c r="BT795" s="230">
        <f t="shared" si="5534"/>
        <v>0.81550018414965109</v>
      </c>
      <c r="BU795" s="230">
        <f t="shared" si="5534"/>
        <v>0.83401123812923006</v>
      </c>
      <c r="BV795" s="230">
        <f t="shared" si="5534"/>
        <v>0.87606711331037601</v>
      </c>
      <c r="BW795" s="230">
        <f t="shared" si="5534"/>
        <v>1.0652846163083944</v>
      </c>
      <c r="BX795" s="230">
        <f t="shared" si="5534"/>
        <v>1.1267246202764851</v>
      </c>
      <c r="BY795" s="230">
        <f t="shared" si="5534"/>
        <v>1.1680652889703151</v>
      </c>
      <c r="BZ795" s="230">
        <f t="shared" si="5534"/>
        <v>1.2988420390182505</v>
      </c>
      <c r="CA795" s="230">
        <f t="shared" si="5534"/>
        <v>1.4141550536432015</v>
      </c>
      <c r="CB795" s="230">
        <f t="shared" si="5534"/>
        <v>1.3543332644811001</v>
      </c>
      <c r="CC795" s="230">
        <f t="shared" ref="CC795:CR795" si="5535">(CC178)/(CC204-CC205)</f>
        <v>1.305153028534314</v>
      </c>
      <c r="CD795" s="230">
        <f t="shared" si="5535"/>
        <v>1.3158164260632073</v>
      </c>
      <c r="CE795" s="230">
        <f t="shared" si="5535"/>
        <v>1.4163513894452604</v>
      </c>
      <c r="CF795" s="230">
        <f t="shared" si="5535"/>
        <v>1.5722727179466136</v>
      </c>
      <c r="CG795" s="230">
        <f t="shared" si="5535"/>
        <v>1.705560249683965</v>
      </c>
      <c r="CH795" s="230">
        <f t="shared" si="5535"/>
        <v>1.6270376630515755</v>
      </c>
      <c r="CI795" s="230">
        <f t="shared" si="5535"/>
        <v>1.6425336090535165</v>
      </c>
      <c r="CJ795" s="230">
        <f t="shared" si="5535"/>
        <v>1.60692378992135</v>
      </c>
      <c r="CK795" s="230">
        <f t="shared" si="5535"/>
        <v>1.5582281525348025</v>
      </c>
      <c r="CL795" s="230">
        <f t="shared" si="5535"/>
        <v>1.45659093530158</v>
      </c>
      <c r="CM795" s="386">
        <f t="shared" si="5535"/>
        <v>1.3985974717583012</v>
      </c>
      <c r="CN795" s="386">
        <f t="shared" si="5535"/>
        <v>1.3845087138792862</v>
      </c>
      <c r="CO795" s="386">
        <f t="shared" si="5535"/>
        <v>1.3730159997991753</v>
      </c>
      <c r="CP795" s="386">
        <f t="shared" si="5535"/>
        <v>1.347440433273529</v>
      </c>
      <c r="CQ795" s="386">
        <f t="shared" si="5535"/>
        <v>1.3494858713549176</v>
      </c>
      <c r="CR795" s="386">
        <f t="shared" si="5535"/>
        <v>1.31793704695942</v>
      </c>
      <c r="CS795" s="386">
        <f t="shared" ref="CS795:DC795" si="5536">(CS178)/(CS204-CS205)</f>
        <v>1.3159591560610544</v>
      </c>
      <c r="CT795" s="386">
        <f t="shared" si="5536"/>
        <v>1.3241396615627499</v>
      </c>
      <c r="CU795" s="386">
        <f t="shared" si="5536"/>
        <v>1.2150182356270669</v>
      </c>
      <c r="CV795" s="386">
        <f t="shared" si="5536"/>
        <v>1.1634049251324645</v>
      </c>
      <c r="CW795" s="386">
        <f t="shared" si="5536"/>
        <v>1.1351801798909869</v>
      </c>
      <c r="CX795" s="386">
        <f t="shared" si="5536"/>
        <v>1.1393316151370807</v>
      </c>
      <c r="CY795" s="386">
        <f t="shared" si="5536"/>
        <v>1.1320792114673943</v>
      </c>
      <c r="CZ795" s="231">
        <f t="shared" si="5536"/>
        <v>1.1302107310656939</v>
      </c>
      <c r="DA795" s="230">
        <f t="shared" si="5536"/>
        <v>1.1241769961835448</v>
      </c>
      <c r="DB795" s="230">
        <f t="shared" si="5536"/>
        <v>1.1257249612596423</v>
      </c>
      <c r="DC795" s="230">
        <f t="shared" si="5536"/>
        <v>1.1234649623344426</v>
      </c>
      <c r="DD795" s="230">
        <f t="shared" ref="DD795:DI795" si="5537">(DD178)/(DD204-DD205)</f>
        <v>1.1180032510796691</v>
      </c>
      <c r="DE795" s="230">
        <f t="shared" si="5537"/>
        <v>1.1141892009255476</v>
      </c>
      <c r="DF795" s="230">
        <f t="shared" si="5537"/>
        <v>1.1142809005787724</v>
      </c>
      <c r="DG795" s="230">
        <f t="shared" si="5537"/>
        <v>1.1142816897419798</v>
      </c>
      <c r="DH795" s="230">
        <f t="shared" si="5537"/>
        <v>1.1142829012881605</v>
      </c>
      <c r="DI795" s="230">
        <f t="shared" si="5537"/>
        <v>1.1142845251952005</v>
      </c>
    </row>
    <row r="796" spans="1:113" outlineLevel="2">
      <c r="A796" s="1" t="s">
        <v>814</v>
      </c>
      <c r="B796" s="19" t="s">
        <v>801</v>
      </c>
      <c r="CZ796" s="22"/>
    </row>
    <row r="797" spans="1:113" outlineLevel="2">
      <c r="A797" s="1" t="s">
        <v>43</v>
      </c>
      <c r="B797" s="19" t="s">
        <v>801</v>
      </c>
      <c r="CZ797" s="22"/>
    </row>
    <row r="798" spans="1:113" outlineLevel="2">
      <c r="A798" s="1" t="s">
        <v>44</v>
      </c>
      <c r="B798" s="19" t="s">
        <v>801</v>
      </c>
      <c r="CZ798" s="22"/>
    </row>
    <row r="799" spans="1:113" outlineLevel="2">
      <c r="A799" s="1" t="s">
        <v>45</v>
      </c>
      <c r="B799" s="19" t="s">
        <v>801</v>
      </c>
      <c r="CZ799" s="22"/>
    </row>
    <row r="800" spans="1:113" outlineLevel="2">
      <c r="A800" s="1" t="s">
        <v>46</v>
      </c>
      <c r="B800" s="19" t="s">
        <v>801</v>
      </c>
      <c r="CZ800" s="22"/>
    </row>
    <row r="801" spans="1:113" outlineLevel="2">
      <c r="A801" s="1" t="s">
        <v>47</v>
      </c>
      <c r="B801" s="19" t="s">
        <v>801</v>
      </c>
      <c r="CZ801" s="22"/>
    </row>
    <row r="802" spans="1:113" outlineLevel="2">
      <c r="A802" s="1" t="s">
        <v>48</v>
      </c>
      <c r="B802" s="19" t="s">
        <v>801</v>
      </c>
      <c r="CZ802" s="22"/>
    </row>
    <row r="803" spans="1:113" outlineLevel="2">
      <c r="A803" s="1" t="s">
        <v>141</v>
      </c>
      <c r="B803" s="19" t="s">
        <v>801</v>
      </c>
      <c r="CZ803" s="22"/>
    </row>
    <row r="804" spans="1:113" outlineLevel="2">
      <c r="A804" s="1" t="s">
        <v>142</v>
      </c>
      <c r="B804" s="19" t="s">
        <v>801</v>
      </c>
      <c r="CZ804" s="22"/>
    </row>
    <row r="805" spans="1:113" outlineLevel="2">
      <c r="A805" s="1" t="s">
        <v>143</v>
      </c>
      <c r="B805" s="19" t="s">
        <v>801</v>
      </c>
      <c r="CZ805" s="22"/>
    </row>
    <row r="806" spans="1:113" outlineLevel="1">
      <c r="CZ806" s="22"/>
    </row>
    <row r="807" spans="1:113" s="24" customFormat="1" outlineLevel="1">
      <c r="A807" s="1"/>
      <c r="B807" s="24" t="s">
        <v>570</v>
      </c>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497"/>
      <c r="AB807" s="13"/>
      <c r="AC807" s="13"/>
      <c r="AD807" s="13"/>
      <c r="AE807" s="13"/>
      <c r="AF807" s="13"/>
      <c r="AG807" s="13"/>
      <c r="AH807" s="13"/>
      <c r="AI807" s="13"/>
      <c r="AJ807" s="13"/>
      <c r="AY807" s="13"/>
      <c r="AZ807" s="23"/>
      <c r="BA807" s="13"/>
      <c r="BB807" s="13"/>
      <c r="BC807" s="13"/>
      <c r="BD807" s="13"/>
      <c r="BE807" s="13"/>
      <c r="BF807" s="13"/>
      <c r="BG807" s="13"/>
      <c r="BH807" s="13"/>
      <c r="BI807" s="13"/>
      <c r="BJ807" s="13"/>
      <c r="BK807" s="13"/>
      <c r="BL807" s="13"/>
      <c r="BM807" s="13"/>
      <c r="BN807" s="13"/>
      <c r="BO807" s="13"/>
      <c r="BP807" s="13"/>
      <c r="BQ807" s="13"/>
      <c r="BR807" s="13"/>
      <c r="BS807" s="13"/>
      <c r="BT807" s="13"/>
      <c r="BU807" s="13"/>
      <c r="BV807" s="13"/>
      <c r="BW807" s="13"/>
      <c r="BX807" s="13"/>
      <c r="BY807" s="13"/>
      <c r="BZ807" s="13"/>
      <c r="CA807" s="13"/>
      <c r="CB807" s="13"/>
      <c r="CC807" s="13"/>
      <c r="CD807" s="13"/>
      <c r="CE807" s="13"/>
      <c r="CF807" s="13"/>
      <c r="CG807" s="13"/>
      <c r="CH807" s="13"/>
      <c r="CI807" s="13"/>
      <c r="CJ807" s="13"/>
      <c r="CK807" s="13"/>
      <c r="CL807" s="13"/>
      <c r="CM807" s="13"/>
      <c r="CN807" s="13"/>
      <c r="CO807" s="13"/>
      <c r="CP807" s="13"/>
      <c r="CQ807" s="13"/>
      <c r="CR807" s="13"/>
      <c r="CS807" s="13"/>
      <c r="CT807" s="13"/>
      <c r="CU807" s="13"/>
      <c r="CV807" s="13"/>
      <c r="CW807" s="13"/>
      <c r="CX807" s="13"/>
      <c r="CY807" s="13"/>
      <c r="CZ807" s="23"/>
      <c r="DA807" s="13"/>
      <c r="DB807" s="13"/>
    </row>
    <row r="808" spans="1:113" outlineLevel="1">
      <c r="A808" s="1" t="s">
        <v>815</v>
      </c>
      <c r="B808" s="19" t="s">
        <v>422</v>
      </c>
      <c r="C808" s="235">
        <f t="shared" ref="C808:K808" si="5538">-C470/(C233+AVERAGE(B179:C179))*C$5</f>
        <v>7.0005714473089283E-3</v>
      </c>
      <c r="D808" s="235">
        <f t="shared" si="5538"/>
        <v>7.2893169724703721E-3</v>
      </c>
      <c r="E808" s="235">
        <f t="shared" si="5538"/>
        <v>4.5067632198106068E-3</v>
      </c>
      <c r="F808" s="235">
        <f t="shared" si="5538"/>
        <v>4.8972866276860453E-3</v>
      </c>
      <c r="G808" s="235">
        <f t="shared" si="5538"/>
        <v>5.2600291127882096E-3</v>
      </c>
      <c r="H808" s="235">
        <f t="shared" si="5538"/>
        <v>3.1366174323372146E-3</v>
      </c>
      <c r="I808" s="235">
        <f t="shared" si="5538"/>
        <v>3.9975881650466975E-3</v>
      </c>
      <c r="J808" s="235">
        <f t="shared" si="5538"/>
        <v>2.8152884544193116E-3</v>
      </c>
      <c r="K808" s="235">
        <f t="shared" si="5538"/>
        <v>4.1258562064753279E-3</v>
      </c>
      <c r="L808" s="235">
        <f>-L470/(L237-L232)*L$5</f>
        <v>4.2856231908203132E-3</v>
      </c>
      <c r="M808" s="48">
        <f t="shared" ref="M808:AG808" si="5539">-M470/(M237-M232)*M$5</f>
        <v>4.3182680055232313E-3</v>
      </c>
      <c r="N808" s="48">
        <f t="shared" si="5539"/>
        <v>4.1095840058185638E-3</v>
      </c>
      <c r="O808" s="48">
        <f t="shared" si="5539"/>
        <v>3.6731083755519567E-3</v>
      </c>
      <c r="P808" s="48">
        <f t="shared" si="5539"/>
        <v>3.0372327390481109E-3</v>
      </c>
      <c r="Q808" s="48">
        <f t="shared" si="5539"/>
        <v>3.1453270511320837E-3</v>
      </c>
      <c r="R808" s="48">
        <f t="shared" si="5539"/>
        <v>2.5992616667286981E-3</v>
      </c>
      <c r="S808" s="48">
        <f t="shared" si="5539"/>
        <v>9.3206212688692943E-3</v>
      </c>
      <c r="T808" s="50">
        <f t="shared" si="5539"/>
        <v>1.2128869787276952E-2</v>
      </c>
      <c r="U808" s="48">
        <f t="shared" si="5539"/>
        <v>1.00976631631824E-2</v>
      </c>
      <c r="V808" s="48">
        <f t="shared" si="5539"/>
        <v>8.388637410654369E-3</v>
      </c>
      <c r="W808" s="48">
        <f t="shared" si="5539"/>
        <v>1.1132286948869901E-2</v>
      </c>
      <c r="X808" s="48">
        <f t="shared" si="5539"/>
        <v>8.0981646262467052E-3</v>
      </c>
      <c r="Y808" s="50">
        <f>-Y470/(Y237-Y232)*Y$5</f>
        <v>9.840124269080177E-3</v>
      </c>
      <c r="Z808" s="50">
        <f>-Z470/(Z237-Z232)*Z$5</f>
        <v>9.8599752159305911E-3</v>
      </c>
      <c r="AA808" s="50">
        <f t="shared" si="5539"/>
        <v>8.4599869777025657E-3</v>
      </c>
      <c r="AB808" s="50">
        <f t="shared" si="5539"/>
        <v>7.6043604081508847E-3</v>
      </c>
      <c r="AC808" s="50">
        <f>-AC470/(AC237-AC232)*AC$5</f>
        <v>8.7815978494224251E-3</v>
      </c>
      <c r="AD808" s="50">
        <f>-AD470/(AD237-AD232)*AD$5</f>
        <v>4.8543777923497258E-3</v>
      </c>
      <c r="AE808" s="50">
        <f>-AE470/(AE237-AE232)*AE$5</f>
        <v>7.2632196454277872E-3</v>
      </c>
      <c r="AF808" s="50">
        <f>-AF470/(AF237-AF232)*AF$5</f>
        <v>4.7048909311244351E-3</v>
      </c>
      <c r="AG808" s="50">
        <f t="shared" si="5539"/>
        <v>5.8109125407603988E-3</v>
      </c>
      <c r="AH808" s="50">
        <f t="shared" ref="AH808:AM808" si="5540">-AH470/(AH237-AH232)*AH$5</f>
        <v>4.6029542143457714E-3</v>
      </c>
      <c r="AI808" s="50">
        <f t="shared" si="5540"/>
        <v>5.1096304957075588E-3</v>
      </c>
      <c r="AJ808" s="50">
        <f t="shared" si="5540"/>
        <v>4.7283362905632675E-3</v>
      </c>
      <c r="AK808" s="50">
        <f t="shared" si="5540"/>
        <v>5.6218297375824587E-3</v>
      </c>
      <c r="AL808" s="50">
        <f t="shared" si="5540"/>
        <v>4.9442199671610098E-3</v>
      </c>
      <c r="AM808" s="50">
        <f t="shared" si="5540"/>
        <v>5.4780261407011222E-3</v>
      </c>
      <c r="AN808" s="50">
        <f t="shared" ref="AN808:AS808" si="5541">-AN470/(AN237-AN232)*AN$5</f>
        <v>4.1827893455683336E-3</v>
      </c>
      <c r="AO808" s="50">
        <f t="shared" si="5541"/>
        <v>4.9711873091360737E-3</v>
      </c>
      <c r="AP808" s="50">
        <f t="shared" si="5541"/>
        <v>3.9200844725321904E-3</v>
      </c>
      <c r="AQ808" s="50">
        <f t="shared" si="5541"/>
        <v>2.7222082173706886E-3</v>
      </c>
      <c r="AR808" s="50">
        <f t="shared" si="5541"/>
        <v>2.8749702584086627E-3</v>
      </c>
      <c r="AS808" s="50">
        <f t="shared" si="5541"/>
        <v>1.9982252081177016E-3</v>
      </c>
      <c r="AT808" s="50">
        <f t="shared" ref="AT808:AU808" si="5542">-AT470/(AT237-AT232)*AT$5</f>
        <v>2.9201347047808713E-3</v>
      </c>
      <c r="AU808" s="50">
        <f t="shared" si="5542"/>
        <v>1.6760400838738952E-3</v>
      </c>
      <c r="AV808" s="50">
        <f t="shared" ref="AV808:AW808" si="5543">-AV470/(AV237-AV232)*AV$5</f>
        <v>2.5151748889331261E-3</v>
      </c>
      <c r="AW808" s="50">
        <f t="shared" si="5543"/>
        <v>2.7652009419844559E-3</v>
      </c>
      <c r="AX808" s="50">
        <f t="shared" ref="AX808" si="5544">-AX470/(AX237-AX232)*AX$5</f>
        <v>2.1972484785957309E-3</v>
      </c>
      <c r="AY808" s="50">
        <f t="shared" ref="AY808:BE808" si="5545">-AY470/(AY237-AY232)*AY$5</f>
        <v>2.3833890430361585E-3</v>
      </c>
      <c r="AZ808" s="49">
        <f t="shared" si="5545"/>
        <v>2.5166088332193959E-3</v>
      </c>
      <c r="BA808" s="48">
        <f t="shared" si="5545"/>
        <v>2.6855228334169926E-3</v>
      </c>
      <c r="BB808" s="48">
        <f t="shared" si="5545"/>
        <v>2.9710176814404733E-3</v>
      </c>
      <c r="BC808" s="48">
        <f t="shared" si="5545"/>
        <v>3.5069604385328515E-3</v>
      </c>
      <c r="BD808" s="48">
        <f t="shared" si="5545"/>
        <v>3.4789350593670298E-3</v>
      </c>
      <c r="BE808" s="48">
        <f t="shared" si="5545"/>
        <v>3.4972473167576069E-3</v>
      </c>
      <c r="BF808" s="48">
        <f t="shared" ref="BF808:BM808" si="5546">-BF470/(BF237-BF232)*BF$5</f>
        <v>2.8586014671758289E-3</v>
      </c>
      <c r="BG808" s="48">
        <f t="shared" si="5546"/>
        <v>2.3127846787337342E-3</v>
      </c>
      <c r="BH808" s="48">
        <f t="shared" si="5546"/>
        <v>2.1850650348768483E-3</v>
      </c>
      <c r="BI808" s="48">
        <f t="shared" si="5546"/>
        <v>2.2015927956582195E-3</v>
      </c>
      <c r="BJ808" s="48">
        <f t="shared" si="5546"/>
        <v>2.7972784989691683E-3</v>
      </c>
      <c r="BK808" s="48">
        <f t="shared" si="5546"/>
        <v>3.2686465460961913E-3</v>
      </c>
      <c r="BL808" s="235">
        <f t="shared" si="5546"/>
        <v>3.7401047981850356E-3</v>
      </c>
      <c r="BM808" s="235">
        <f t="shared" si="5546"/>
        <v>3.7364717095501902E-3</v>
      </c>
      <c r="BN808" s="235">
        <f t="shared" ref="BN808:BO808" si="5547">-BN470/(BN237-BN232)*BN$5</f>
        <v>3.7328653205600747E-3</v>
      </c>
      <c r="BO808" s="235">
        <f t="shared" si="5547"/>
        <v>3.7292855116544568E-3</v>
      </c>
      <c r="BP808" s="235">
        <f t="shared" ref="BP808:BQ808" si="5548">-BP470/(BP237-BP232)*BP$5</f>
        <v>3.7257321632674719E-3</v>
      </c>
      <c r="BQ808" s="235">
        <f t="shared" si="5548"/>
        <v>3.7222051558277423E-3</v>
      </c>
      <c r="BR808" s="48"/>
      <c r="BS808" s="235">
        <f t="shared" ref="BS808:CB808" si="5549">-BS470/(BS233+AVERAGE(BR179:BS179))*BS$5</f>
        <v>1.1807236272345364E-2</v>
      </c>
      <c r="BT808" s="235">
        <f t="shared" si="5549"/>
        <v>2.9965671281227294E-2</v>
      </c>
      <c r="BU808" s="235">
        <f t="shared" si="5549"/>
        <v>6.6209458902435686E-3</v>
      </c>
      <c r="BV808" s="235">
        <f t="shared" si="5549"/>
        <v>7.723822152846822E-3</v>
      </c>
      <c r="BW808" s="235">
        <f t="shared" si="5549"/>
        <v>3.7548486323046104E-3</v>
      </c>
      <c r="BX808" s="235">
        <f t="shared" si="5549"/>
        <v>-5.7742248748999456E-3</v>
      </c>
      <c r="BY808" s="235">
        <f t="shared" si="5549"/>
        <v>3.4437381822743861E-3</v>
      </c>
      <c r="BZ808" s="235">
        <f t="shared" si="5549"/>
        <v>4.0814184964277972E-3</v>
      </c>
      <c r="CA808" s="235">
        <f t="shared" si="5549"/>
        <v>3.1405005925162453E-3</v>
      </c>
      <c r="CB808" s="235">
        <f t="shared" si="5549"/>
        <v>7.334801798552058E-3</v>
      </c>
      <c r="CC808" s="48">
        <f>-CC470/(CC233+AVERAGE(CB179:CC179))*CC$5</f>
        <v>5.9045219072631243E-3</v>
      </c>
      <c r="CD808" s="48">
        <f>-CD470/(CD233+AVERAGE(CC179:CD179))*CD$5</f>
        <v>5.0760023347913253E-3</v>
      </c>
      <c r="CE808" s="48">
        <f>-CE470/(CE233+AVERAGE(CD179:CE179))*CE$5</f>
        <v>3.5581042203620314E-3</v>
      </c>
      <c r="CF808" s="48">
        <f>-CF470/(CF233+AVERAGE(CE179:CF179))*CF$5</f>
        <v>3.5011282080707473E-3</v>
      </c>
      <c r="CG808" s="48">
        <f t="shared" ref="CG808:CR808" si="5550">-CG470/(CG237-CG232)*CG$5</f>
        <v>4.3115137531631303E-3</v>
      </c>
      <c r="CH808" s="48">
        <f t="shared" si="5550"/>
        <v>3.7305411471753804E-3</v>
      </c>
      <c r="CI808" s="48">
        <f t="shared" si="5550"/>
        <v>3.1293452562639514E-3</v>
      </c>
      <c r="CJ808" s="48">
        <f t="shared" si="5550"/>
        <v>6.1177249589832051E-3</v>
      </c>
      <c r="CK808" s="48">
        <f t="shared" si="5550"/>
        <v>1.1028696495184105E-2</v>
      </c>
      <c r="CL808" s="48">
        <f t="shared" si="5550"/>
        <v>1.0116215294865552E-2</v>
      </c>
      <c r="CM808" s="50">
        <f t="shared" si="5550"/>
        <v>9.3065559464658738E-3</v>
      </c>
      <c r="CN808" s="50">
        <f t="shared" si="5550"/>
        <v>9.4388641990067381E-3</v>
      </c>
      <c r="CO808" s="50">
        <f t="shared" si="5550"/>
        <v>8.3629909598998738E-3</v>
      </c>
      <c r="CP808" s="50">
        <f t="shared" si="5550"/>
        <v>6.1355150879519342E-3</v>
      </c>
      <c r="CQ808" s="50">
        <f t="shared" si="5550"/>
        <v>5.3203514778123332E-3</v>
      </c>
      <c r="CR808" s="50">
        <f t="shared" si="5550"/>
        <v>4.8519959570986759E-3</v>
      </c>
      <c r="CS808" s="50">
        <f t="shared" ref="CS808:DC808" si="5551">-CS470/(CS237-CS232)*CS$5</f>
        <v>5.1787846062830902E-3</v>
      </c>
      <c r="CT808" s="50">
        <f t="shared" si="5551"/>
        <v>5.2296913114881311E-3</v>
      </c>
      <c r="CU808" s="50">
        <f t="shared" si="5551"/>
        <v>4.5620024450679407E-3</v>
      </c>
      <c r="CV808" s="50">
        <f t="shared" si="5551"/>
        <v>3.3269363712289993E-3</v>
      </c>
      <c r="CW808" s="50">
        <f t="shared" si="5551"/>
        <v>2.4306197881964792E-3</v>
      </c>
      <c r="CX808" s="50">
        <f t="shared" si="5551"/>
        <v>2.2929522267628442E-3</v>
      </c>
      <c r="CY808" s="50">
        <f t="shared" si="5551"/>
        <v>2.639731315121074E-3</v>
      </c>
      <c r="CZ808" s="49">
        <f t="shared" si="5551"/>
        <v>2.2905701106456732E-3</v>
      </c>
      <c r="DA808" s="48">
        <f t="shared" si="5551"/>
        <v>2.6012178599230853E-3</v>
      </c>
      <c r="DB808" s="48">
        <f t="shared" si="5551"/>
        <v>3.2389835336847001E-3</v>
      </c>
      <c r="DC808" s="48">
        <f t="shared" si="5551"/>
        <v>3.4878504227641794E-3</v>
      </c>
      <c r="DD808" s="48">
        <f t="shared" ref="DD808:DI808" si="5552">-DD470/(DD237-DD232)*DD$5</f>
        <v>2.5858818796098667E-3</v>
      </c>
      <c r="DE808" s="48">
        <f t="shared" si="5552"/>
        <v>2.1930728366574043E-3</v>
      </c>
      <c r="DF808" s="48">
        <f t="shared" si="5552"/>
        <v>3.0325372581479345E-3</v>
      </c>
      <c r="DG808" s="235">
        <f t="shared" si="5552"/>
        <v>3.7379502608274229E-3</v>
      </c>
      <c r="DH808" s="235">
        <f t="shared" si="5552"/>
        <v>3.7305743506690497E-3</v>
      </c>
      <c r="DI808" s="235">
        <f t="shared" si="5552"/>
        <v>3.7234674245801781E-3</v>
      </c>
    </row>
    <row r="809" spans="1:113" outlineLevel="1">
      <c r="A809" s="1" t="s">
        <v>816</v>
      </c>
      <c r="B809" s="19" t="s">
        <v>859</v>
      </c>
      <c r="C809" s="235">
        <f t="shared" ref="C809:K809" si="5553">-C470/(C237+AVERAGE(B179:C179))*C$5</f>
        <v>3.5673239689281199E-3</v>
      </c>
      <c r="D809" s="235">
        <f t="shared" si="5553"/>
        <v>3.6290208774451124E-3</v>
      </c>
      <c r="E809" s="235">
        <f t="shared" si="5553"/>
        <v>2.1506763384004099E-3</v>
      </c>
      <c r="F809" s="235">
        <f t="shared" si="5553"/>
        <v>2.2398447832764593E-3</v>
      </c>
      <c r="G809" s="235">
        <f t="shared" si="5553"/>
        <v>2.3029964872144626E-3</v>
      </c>
      <c r="H809" s="235">
        <f t="shared" si="5553"/>
        <v>1.3191423805185135E-3</v>
      </c>
      <c r="I809" s="235">
        <f t="shared" si="5553"/>
        <v>1.5668524693201841E-3</v>
      </c>
      <c r="J809" s="235">
        <f t="shared" si="5553"/>
        <v>1.0715583746837435E-3</v>
      </c>
      <c r="K809" s="235">
        <f t="shared" si="5553"/>
        <v>1.6086639695468659E-3</v>
      </c>
      <c r="L809" s="235">
        <f>-L470/L237*L$5</f>
        <v>1.4977956100318418E-3</v>
      </c>
      <c r="M809" s="48">
        <f t="shared" ref="M809:AG809" si="5554">-M470/M237*M$5</f>
        <v>1.54008631735496E-3</v>
      </c>
      <c r="N809" s="48">
        <f t="shared" si="5554"/>
        <v>1.4916599262175239E-3</v>
      </c>
      <c r="O809" s="48">
        <f t="shared" si="5554"/>
        <v>1.3933383051514246E-3</v>
      </c>
      <c r="P809" s="48">
        <f t="shared" si="5554"/>
        <v>1.2148597932304206E-3</v>
      </c>
      <c r="Q809" s="48">
        <f t="shared" si="5554"/>
        <v>1.2798593836290458E-3</v>
      </c>
      <c r="R809" s="48">
        <f t="shared" si="5554"/>
        <v>1.0584649648096647E-3</v>
      </c>
      <c r="S809" s="48">
        <f t="shared" si="5554"/>
        <v>3.6757584254597303E-3</v>
      </c>
      <c r="T809" s="50">
        <f t="shared" si="5554"/>
        <v>4.5833093724279468E-3</v>
      </c>
      <c r="U809" s="48">
        <f t="shared" si="5554"/>
        <v>3.5997155408111783E-3</v>
      </c>
      <c r="V809" s="48">
        <f t="shared" si="5554"/>
        <v>3.0200189122461542E-3</v>
      </c>
      <c r="W809" s="48">
        <f t="shared" si="5554"/>
        <v>3.9184775830659793E-3</v>
      </c>
      <c r="X809" s="48">
        <f t="shared" si="5554"/>
        <v>2.8196612868018273E-3</v>
      </c>
      <c r="Y809" s="50">
        <f>-Y470/Y237*Y$5</f>
        <v>3.4139871804093357E-3</v>
      </c>
      <c r="Z809" s="50">
        <f>-Z470/Z237*Z$5</f>
        <v>3.4041374798047482E-3</v>
      </c>
      <c r="AA809" s="50">
        <f t="shared" si="5554"/>
        <v>2.9049203005853171E-3</v>
      </c>
      <c r="AB809" s="50">
        <f t="shared" si="5554"/>
        <v>2.6081991310313631E-3</v>
      </c>
      <c r="AC809" s="50">
        <f>-AC470/AC237*AC$5</f>
        <v>3.0135029003488622E-3</v>
      </c>
      <c r="AD809" s="50">
        <f>-AD470/AD237*AD$5</f>
        <v>1.6637695916163536E-3</v>
      </c>
      <c r="AE809" s="50">
        <f>-AE470/AE237*AE$5</f>
        <v>2.5016900100256105E-3</v>
      </c>
      <c r="AF809" s="50">
        <f>-AF470/AF237*AF$5</f>
        <v>1.64828302100141E-3</v>
      </c>
      <c r="AG809" s="50">
        <f t="shared" si="5554"/>
        <v>2.0460205753054439E-3</v>
      </c>
      <c r="AH809" s="50">
        <f t="shared" ref="AH809:AM809" si="5555">-AH470/AH237*AH$5</f>
        <v>1.597223462389451E-3</v>
      </c>
      <c r="AI809" s="50">
        <f t="shared" si="5555"/>
        <v>1.7490264504422467E-3</v>
      </c>
      <c r="AJ809" s="50">
        <f t="shared" si="5555"/>
        <v>1.6038872005282529E-3</v>
      </c>
      <c r="AK809" s="50">
        <f t="shared" si="5555"/>
        <v>1.8778946499921328E-3</v>
      </c>
      <c r="AL809" s="50">
        <f t="shared" si="5555"/>
        <v>1.6218057031104662E-3</v>
      </c>
      <c r="AM809" s="50">
        <f t="shared" si="5555"/>
        <v>1.7471778796675022E-3</v>
      </c>
      <c r="AN809" s="50">
        <f t="shared" ref="AN809:AS809" si="5556">-AN470/AN237*AN$5</f>
        <v>1.2978449627176439E-3</v>
      </c>
      <c r="AO809" s="50">
        <f t="shared" si="5556"/>
        <v>1.528641814368253E-3</v>
      </c>
      <c r="AP809" s="50">
        <f t="shared" si="5556"/>
        <v>1.1791097957915676E-3</v>
      </c>
      <c r="AQ809" s="50">
        <f t="shared" si="5556"/>
        <v>8.0140845442564846E-4</v>
      </c>
      <c r="AR809" s="50">
        <f t="shared" si="5556"/>
        <v>8.3767024861101187E-4</v>
      </c>
      <c r="AS809" s="50">
        <f t="shared" si="5556"/>
        <v>5.8679733980955811E-4</v>
      </c>
      <c r="AT809" s="50">
        <f t="shared" ref="AT809:AU809" si="5557">-AT470/AT237*AT$5</f>
        <v>8.7429798202075888E-4</v>
      </c>
      <c r="AU809" s="50">
        <f t="shared" si="5557"/>
        <v>5.0444107628872697E-4</v>
      </c>
      <c r="AV809" s="50">
        <f t="shared" ref="AV809:AW809" si="5558">-AV470/AV237*AV$5</f>
        <v>7.5798767286943617E-4</v>
      </c>
      <c r="AW809" s="50">
        <f t="shared" si="5558"/>
        <v>8.3239219896555773E-4</v>
      </c>
      <c r="AX809" s="50">
        <f t="shared" ref="AX809" si="5559">-AX470/AX237*AX$5</f>
        <v>6.6002638758684974E-4</v>
      </c>
      <c r="AY809" s="50">
        <f t="shared" ref="AY809:BE809" si="5560">-AY470/AY237*AY$5</f>
        <v>7.1812944114470006E-4</v>
      </c>
      <c r="AZ809" s="49">
        <f t="shared" si="5560"/>
        <v>7.6595248184692616E-4</v>
      </c>
      <c r="BA809" s="48">
        <f t="shared" si="5560"/>
        <v>8.186041965495851E-4</v>
      </c>
      <c r="BB809" s="48">
        <f t="shared" si="5560"/>
        <v>9.0728706164195554E-4</v>
      </c>
      <c r="BC809" s="48">
        <f t="shared" si="5560"/>
        <v>1.0662295518395393E-3</v>
      </c>
      <c r="BD809" s="48">
        <f t="shared" si="5560"/>
        <v>1.0479458067750834E-3</v>
      </c>
      <c r="BE809" s="48">
        <f t="shared" si="5560"/>
        <v>1.0438196956295974E-3</v>
      </c>
      <c r="BF809" s="48">
        <f t="shared" ref="BF809:BM809" si="5561">-BF470/BF237*BF$5</f>
        <v>8.4542948500212925E-4</v>
      </c>
      <c r="BG809" s="48">
        <f t="shared" si="5561"/>
        <v>6.79121062814361E-4</v>
      </c>
      <c r="BH809" s="48">
        <f t="shared" si="5561"/>
        <v>6.371034735092022E-4</v>
      </c>
      <c r="BI809" s="48">
        <f t="shared" si="5561"/>
        <v>6.3948381708863616E-4</v>
      </c>
      <c r="BJ809" s="48">
        <f t="shared" si="5561"/>
        <v>8.0951097672652458E-4</v>
      </c>
      <c r="BK809" s="48">
        <f t="shared" si="5561"/>
        <v>9.4348389210488547E-4</v>
      </c>
      <c r="BL809" s="235">
        <f t="shared" si="5561"/>
        <v>1.0767978453459861E-3</v>
      </c>
      <c r="BM809" s="235">
        <f t="shared" si="5561"/>
        <v>1.0730016143692921E-3</v>
      </c>
      <c r="BN809" s="235">
        <f t="shared" ref="BN809:BO809" si="5562">-BN470/BN237*BN$5</f>
        <v>1.0692362431676203E-3</v>
      </c>
      <c r="BO809" s="235">
        <f t="shared" si="5562"/>
        <v>1.0655015092371426E-3</v>
      </c>
      <c r="BP809" s="235">
        <f t="shared" ref="BP809:BQ809" si="5563">-BP470/BP237*BP$5</f>
        <v>1.0617971911999441E-3</v>
      </c>
      <c r="BQ809" s="235">
        <f t="shared" si="5563"/>
        <v>1.05812306880624E-3</v>
      </c>
      <c r="BR809" s="48"/>
      <c r="BS809" s="235">
        <f t="shared" ref="BS809:CB809" si="5564">-BS470/(BS237+AVERAGE(BR179:BS179))*BS$5</f>
        <v>8.2123780116748184E-3</v>
      </c>
      <c r="BT809" s="235">
        <f t="shared" si="5564"/>
        <v>2.0358297329777581E-2</v>
      </c>
      <c r="BU809" s="235">
        <f t="shared" si="5564"/>
        <v>4.1853026883884818E-3</v>
      </c>
      <c r="BV809" s="235">
        <f t="shared" si="5564"/>
        <v>4.5928875855104382E-3</v>
      </c>
      <c r="BW809" s="235">
        <f t="shared" si="5564"/>
        <v>2.1127587151297E-3</v>
      </c>
      <c r="BX809" s="235">
        <f t="shared" si="5564"/>
        <v>-3.0755178374253524E-3</v>
      </c>
      <c r="BY809" s="235">
        <f t="shared" si="5564"/>
        <v>1.8202000115735261E-3</v>
      </c>
      <c r="BZ809" s="235">
        <f t="shared" si="5564"/>
        <v>2.1719610175308284E-3</v>
      </c>
      <c r="CA809" s="235">
        <f t="shared" si="5564"/>
        <v>1.649881702644417E-3</v>
      </c>
      <c r="CB809" s="235">
        <f t="shared" si="5564"/>
        <v>3.7491525423728814E-3</v>
      </c>
      <c r="CC809" s="48">
        <f>-CC470/(CC237+AVERAGE(CB179:CC179))*CC$5</f>
        <v>2.881539791207581E-3</v>
      </c>
      <c r="CD809" s="48">
        <f>-CD470/(CD237+AVERAGE(CC179:CD179))*CD$5</f>
        <v>2.270900712723001E-3</v>
      </c>
      <c r="CE809" s="48">
        <f>-CE470/(CE237+AVERAGE(CD179:CE179))*CE$5</f>
        <v>1.4452383467265933E-3</v>
      </c>
      <c r="CF809" s="48">
        <f>-CF470/(CF237+AVERAGE(CE179:CF179))*CF$5</f>
        <v>1.3476634763885159E-3</v>
      </c>
      <c r="CG809" s="48">
        <f t="shared" ref="CG809:CR809" si="5565">-CG470/CG237*CG$5</f>
        <v>1.5194447866617388E-3</v>
      </c>
      <c r="CH809" s="48">
        <f t="shared" si="5565"/>
        <v>1.4039113780942578E-3</v>
      </c>
      <c r="CI809" s="48">
        <f t="shared" si="5565"/>
        <v>1.2483443320478707E-3</v>
      </c>
      <c r="CJ809" s="48">
        <f t="shared" si="5565"/>
        <v>2.3928473989525143E-3</v>
      </c>
      <c r="CK809" s="48">
        <f t="shared" si="5565"/>
        <v>4.0915389598143639E-3</v>
      </c>
      <c r="CL809" s="48">
        <f t="shared" si="5565"/>
        <v>3.4669619496516379E-3</v>
      </c>
      <c r="CM809" s="50">
        <f t="shared" si="5565"/>
        <v>3.1182456133715818E-3</v>
      </c>
      <c r="CN809" s="50">
        <f t="shared" si="5565"/>
        <v>3.1544881002163595E-3</v>
      </c>
      <c r="CO809" s="50">
        <f t="shared" si="5565"/>
        <v>2.812728278159711E-3</v>
      </c>
      <c r="CP809" s="50">
        <f t="shared" si="5565"/>
        <v>2.0870573612419194E-3</v>
      </c>
      <c r="CQ809" s="50">
        <f t="shared" si="5565"/>
        <v>1.848787198699645E-3</v>
      </c>
      <c r="CR809" s="50">
        <f t="shared" si="5565"/>
        <v>1.6731504923884885E-3</v>
      </c>
      <c r="CS809" s="50">
        <f t="shared" ref="CS809:DC809" si="5566">-CS470/CS237*CS$5</f>
        <v>1.7402262294098233E-3</v>
      </c>
      <c r="CT809" s="50">
        <f t="shared" si="5566"/>
        <v>1.6842039986808242E-3</v>
      </c>
      <c r="CU809" s="50">
        <f t="shared" si="5566"/>
        <v>1.4135331274351289E-3</v>
      </c>
      <c r="CV809" s="50">
        <f t="shared" si="5566"/>
        <v>9.8988108109155206E-4</v>
      </c>
      <c r="CW809" s="50">
        <f t="shared" si="5566"/>
        <v>7.1105547388986283E-4</v>
      </c>
      <c r="CX809" s="50">
        <f t="shared" si="5566"/>
        <v>6.8835391868649076E-4</v>
      </c>
      <c r="CY809" s="50">
        <f t="shared" si="5566"/>
        <v>7.9506998424848407E-4</v>
      </c>
      <c r="CZ809" s="49">
        <f t="shared" si="5566"/>
        <v>6.8913712149561157E-4</v>
      </c>
      <c r="DA809" s="48">
        <f t="shared" si="5566"/>
        <v>7.9232180838772343E-4</v>
      </c>
      <c r="DB809" s="48">
        <f t="shared" si="5566"/>
        <v>9.8689201964695427E-4</v>
      </c>
      <c r="DC809" s="48">
        <f t="shared" si="5566"/>
        <v>1.0457431446967563E-3</v>
      </c>
      <c r="DD809" s="48">
        <f t="shared" ref="DD809:DI809" si="5567">-DD470/DD237*DD$5</f>
        <v>7.6199279418358464E-4</v>
      </c>
      <c r="DE809" s="48">
        <f t="shared" si="5567"/>
        <v>6.3820318135132399E-4</v>
      </c>
      <c r="DF809" s="48">
        <f t="shared" si="5567"/>
        <v>8.7644244920846584E-4</v>
      </c>
      <c r="DG809" s="235">
        <f t="shared" si="5567"/>
        <v>1.0747813819741395E-3</v>
      </c>
      <c r="DH809" s="235">
        <f t="shared" si="5567"/>
        <v>1.0672009531689825E-3</v>
      </c>
      <c r="DI809" s="235">
        <f t="shared" si="5567"/>
        <v>1.05979324656106E-3</v>
      </c>
    </row>
    <row r="810" spans="1:113" outlineLevel="1">
      <c r="A810" s="1" t="s">
        <v>817</v>
      </c>
      <c r="B810" s="19" t="s">
        <v>352</v>
      </c>
      <c r="C810" s="235">
        <f t="shared" ref="C810:K810" si="5568">-C472/(C233+AVERAGE(B179:C179))*C$5</f>
        <v>5.3627019011460849E-3</v>
      </c>
      <c r="D810" s="235">
        <f t="shared" si="5568"/>
        <v>7.5767093979082724E-3</v>
      </c>
      <c r="E810" s="235">
        <f t="shared" si="5568"/>
        <v>4.2908703709574041E-3</v>
      </c>
      <c r="F810" s="235">
        <f t="shared" si="5568"/>
        <v>3.975754197745123E-3</v>
      </c>
      <c r="G810" s="235">
        <f t="shared" si="5568"/>
        <v>4.1540742736891501E-3</v>
      </c>
      <c r="H810" s="235">
        <f t="shared" si="5568"/>
        <v>3.8883687177734064E-3</v>
      </c>
      <c r="I810" s="235">
        <f t="shared" si="5568"/>
        <v>3.2707539532200254E-3</v>
      </c>
      <c r="J810" s="235">
        <f t="shared" si="5568"/>
        <v>3.4252676195434956E-3</v>
      </c>
      <c r="K810" s="235">
        <f t="shared" si="5568"/>
        <v>3.8218457491560934E-3</v>
      </c>
      <c r="L810" s="235">
        <f>-L472/(L237-L232)*L$5</f>
        <v>4.5263885386192066E-3</v>
      </c>
      <c r="M810" s="48">
        <f t="shared" ref="M810:AG810" si="5569">-M472/(M237-M232)*M$5</f>
        <v>4.7231056310410337E-3</v>
      </c>
      <c r="N810" s="48">
        <f t="shared" si="5569"/>
        <v>3.9282788290912743E-3</v>
      </c>
      <c r="O810" s="48">
        <f t="shared" si="5569"/>
        <v>4.1409099139477247E-3</v>
      </c>
      <c r="P810" s="48">
        <f t="shared" si="5569"/>
        <v>5.0318333437961238E-3</v>
      </c>
      <c r="Q810" s="48">
        <f t="shared" si="5569"/>
        <v>8.3456011090037967E-3</v>
      </c>
      <c r="R810" s="48">
        <f t="shared" si="5569"/>
        <v>2.1858446171498666E-2</v>
      </c>
      <c r="S810" s="48">
        <f t="shared" si="5569"/>
        <v>1.6027464496945882E-2</v>
      </c>
      <c r="T810" s="50">
        <f t="shared" si="5569"/>
        <v>1.5003780783366748E-2</v>
      </c>
      <c r="U810" s="48">
        <f t="shared" si="5569"/>
        <v>7.9585226753100449E-3</v>
      </c>
      <c r="V810" s="48">
        <f t="shared" si="5569"/>
        <v>7.8250597034786231E-3</v>
      </c>
      <c r="W810" s="48">
        <f t="shared" si="5569"/>
        <v>6.2430312738385981E-3</v>
      </c>
      <c r="X810" s="48">
        <f t="shared" si="5569"/>
        <v>5.9481128319467036E-3</v>
      </c>
      <c r="Y810" s="50">
        <f>-Y472/(Y237-Y232)*Y$5</f>
        <v>5.9019047435276912E-3</v>
      </c>
      <c r="Z810" s="50">
        <f>-Z472/(Z237-Z232)*Z$5</f>
        <v>6.4890435181765432E-3</v>
      </c>
      <c r="AA810" s="50">
        <f t="shared" si="5569"/>
        <v>4.9341100520768405E-3</v>
      </c>
      <c r="AB810" s="50">
        <f t="shared" si="5569"/>
        <v>4.5907433375494766E-3</v>
      </c>
      <c r="AC810" s="50">
        <f>-AC472/(AC237-AC232)*AC$5</f>
        <v>4.8885213617435724E-3</v>
      </c>
      <c r="AD810" s="50">
        <f>-AD472/(AD237-AD232)*AD$5</f>
        <v>4.1554984992877029E-3</v>
      </c>
      <c r="AE810" s="50">
        <f>-AE472/(AE237-AE232)*AE$5</f>
        <v>5.0446696650119482E-3</v>
      </c>
      <c r="AF810" s="50">
        <f>-AF472/(AF237-AF232)*AF$5</f>
        <v>5.0352153418485417E-3</v>
      </c>
      <c r="AG810" s="50">
        <f t="shared" si="5569"/>
        <v>6.0468443281296172E-3</v>
      </c>
      <c r="AH810" s="50">
        <f t="shared" ref="AH810:AM810" si="5570">-AH472/(AH237-AH232)*AH$5</f>
        <v>5.0776603579983743E-3</v>
      </c>
      <c r="AI810" s="50">
        <f t="shared" si="5570"/>
        <v>4.2594566821360499E-3</v>
      </c>
      <c r="AJ810" s="50">
        <f t="shared" si="5570"/>
        <v>4.9966106900278503E-3</v>
      </c>
      <c r="AK810" s="50">
        <f t="shared" si="5570"/>
        <v>4.1519017786732833E-3</v>
      </c>
      <c r="AL810" s="50">
        <f t="shared" si="5570"/>
        <v>4.9356659533769951E-3</v>
      </c>
      <c r="AM810" s="50">
        <f t="shared" si="5570"/>
        <v>5.540175545863048E-3</v>
      </c>
      <c r="AN810" s="50">
        <f t="shared" ref="AN810:AS810" si="5571">-AN472/(AN237-AN232)*AN$5</f>
        <v>5.8004920625509574E-3</v>
      </c>
      <c r="AO810" s="50">
        <f t="shared" si="5571"/>
        <v>1.6771027221616105E-2</v>
      </c>
      <c r="AP810" s="50">
        <f t="shared" si="5571"/>
        <v>7.9850219509778123E-3</v>
      </c>
      <c r="AQ810" s="50">
        <f t="shared" si="5571"/>
        <v>-3.0267264247375793E-3</v>
      </c>
      <c r="AR810" s="50">
        <f t="shared" si="5571"/>
        <v>-6.6141953797745306E-4</v>
      </c>
      <c r="AS810" s="50">
        <f t="shared" si="5571"/>
        <v>-2.4288771926258266E-3</v>
      </c>
      <c r="AT810" s="50">
        <f t="shared" ref="AT810:AU810" si="5572">-AT472/(AT237-AT232)*AT$5</f>
        <v>4.0994198740192996E-3</v>
      </c>
      <c r="AU810" s="50">
        <f t="shared" si="5572"/>
        <v>4.7197921229845067E-3</v>
      </c>
      <c r="AV810" s="50">
        <f t="shared" ref="AV810:AW810" si="5573">-AV472/(AV237-AV232)*AV$5</f>
        <v>3.2215974657631092E-3</v>
      </c>
      <c r="AW810" s="50">
        <f t="shared" si="5573"/>
        <v>3.0229739111524985E-3</v>
      </c>
      <c r="AX810" s="50">
        <f t="shared" ref="AX810" si="5574">-AX472/(AX237-AX232)*AX$5</f>
        <v>2.4245500453470132E-3</v>
      </c>
      <c r="AY810" s="50">
        <f t="shared" ref="AY810:BE810" si="5575">-AY472/(AY237-AY232)*AY$5</f>
        <v>3.014504521721746E-3</v>
      </c>
      <c r="AZ810" s="49">
        <f t="shared" si="5575"/>
        <v>2.2299950494360757E-3</v>
      </c>
      <c r="BA810" s="48">
        <f t="shared" si="5575"/>
        <v>2.7225579026234027E-3</v>
      </c>
      <c r="BB810" s="48">
        <f t="shared" si="5575"/>
        <v>2.8551285391062177E-3</v>
      </c>
      <c r="BC810" s="48">
        <f t="shared" si="5575"/>
        <v>3.0628409543932843E-3</v>
      </c>
      <c r="BD810" s="48">
        <f t="shared" si="5575"/>
        <v>3.4685038959908604E-3</v>
      </c>
      <c r="BE810" s="48">
        <f t="shared" si="5575"/>
        <v>3.5275582261472104E-3</v>
      </c>
      <c r="BF810" s="48">
        <f t="shared" ref="BF810:BM810" si="5576">-BF472/(BF237-BF232)*BF$5</f>
        <v>3.1699469380872931E-3</v>
      </c>
      <c r="BG810" s="48">
        <f t="shared" si="5576"/>
        <v>2.6490743272898328E-3</v>
      </c>
      <c r="BH810" s="48">
        <f t="shared" si="5576"/>
        <v>2.2707630829903896E-3</v>
      </c>
      <c r="BI810" s="48">
        <f t="shared" si="5576"/>
        <v>2.2240437516889509E-3</v>
      </c>
      <c r="BJ810" s="48">
        <f t="shared" si="5576"/>
        <v>3.0867697207280329E-3</v>
      </c>
      <c r="BK810" s="48">
        <f t="shared" si="5576"/>
        <v>3.6249865661051972E-3</v>
      </c>
      <c r="BL810" s="235">
        <f t="shared" si="5576"/>
        <v>4.0895888724075931E-3</v>
      </c>
      <c r="BM810" s="235">
        <f t="shared" si="5576"/>
        <v>4.0877760490796982E-3</v>
      </c>
      <c r="BN810" s="235">
        <f t="shared" ref="BN810:BO810" si="5577">-BN472/(BN237-BN232)*BN$5</f>
        <v>4.0774170697192285E-3</v>
      </c>
      <c r="BO810" s="235">
        <f t="shared" si="5577"/>
        <v>4.0775388255048046E-3</v>
      </c>
      <c r="BP810" s="235">
        <f t="shared" ref="BP810:BQ810" si="5578">-BP472/(BP237-BP232)*BP$5</f>
        <v>4.0663391480582284E-3</v>
      </c>
      <c r="BQ810" s="235">
        <f t="shared" si="5578"/>
        <v>4.0664649998798869E-3</v>
      </c>
      <c r="BR810" s="48"/>
      <c r="BS810" s="235">
        <f t="shared" ref="BS810:CB810" si="5579">-BS472/(BS233+AVERAGE(BR179:BS179))*BS$5</f>
        <v>1.7072899103923057E-2</v>
      </c>
      <c r="BT810" s="235">
        <f t="shared" si="5579"/>
        <v>9.9921155394473628E-3</v>
      </c>
      <c r="BU810" s="235">
        <f t="shared" si="5579"/>
        <v>7.502024817395642E-3</v>
      </c>
      <c r="BV810" s="235">
        <f t="shared" si="5579"/>
        <v>4.3656386081308129E-3</v>
      </c>
      <c r="BW810" s="235">
        <f t="shared" si="5579"/>
        <v>2.6191228114223518E-3</v>
      </c>
      <c r="BX810" s="235">
        <f t="shared" si="5579"/>
        <v>2.1273460065420855E-3</v>
      </c>
      <c r="BY810" s="235">
        <f t="shared" si="5579"/>
        <v>4.638098245490936E-3</v>
      </c>
      <c r="BZ810" s="235">
        <f t="shared" si="5579"/>
        <v>4.364114149860026E-3</v>
      </c>
      <c r="CA810" s="235">
        <f t="shared" si="5579"/>
        <v>3.1245589651430665E-3</v>
      </c>
      <c r="CB810" s="235">
        <f t="shared" si="5579"/>
        <v>5.1065075812704195E-3</v>
      </c>
      <c r="CC810" s="48">
        <f>-CC472/(CC233+AVERAGE(CB179:CC179))*CC$5</f>
        <v>5.9442384223344011E-3</v>
      </c>
      <c r="CD810" s="48">
        <f>-CD472/(CD233+AVERAGE(CC179:CD179))*CD$5</f>
        <v>4.0634664359878066E-3</v>
      </c>
      <c r="CE810" s="48">
        <f>-CE472/(CE233+AVERAGE(CD179:CE179))*CE$5</f>
        <v>3.5710427811633479E-3</v>
      </c>
      <c r="CF810" s="48">
        <f>-CF472/(CF233+AVERAGE(CE179:CF179))*CF$5</f>
        <v>3.6366557516089699E-3</v>
      </c>
      <c r="CG810" s="48">
        <f t="shared" ref="CG810:CR810" si="5580">-CG472/(CG237-CG232)*CG$5</f>
        <v>4.6377904696187182E-3</v>
      </c>
      <c r="CH810" s="48">
        <f t="shared" si="5580"/>
        <v>3.891958792966623E-3</v>
      </c>
      <c r="CI810" s="48">
        <f t="shared" si="5580"/>
        <v>6.8316692214213026E-3</v>
      </c>
      <c r="CJ810" s="48">
        <f t="shared" si="5580"/>
        <v>1.9393759869972927E-2</v>
      </c>
      <c r="CK810" s="48">
        <f t="shared" si="5580"/>
        <v>1.1465203019793094E-2</v>
      </c>
      <c r="CL810" s="48">
        <f t="shared" si="5580"/>
        <v>7.3198166067992686E-3</v>
      </c>
      <c r="CM810" s="50">
        <f t="shared" si="5580"/>
        <v>6.1460518045490216E-3</v>
      </c>
      <c r="CN810" s="50">
        <f t="shared" si="5580"/>
        <v>5.886369488948294E-3</v>
      </c>
      <c r="CO810" s="50">
        <f t="shared" si="5580"/>
        <v>4.8361228063013226E-3</v>
      </c>
      <c r="CP810" s="50">
        <f t="shared" si="5580"/>
        <v>4.6522554926297097E-3</v>
      </c>
      <c r="CQ810" s="50">
        <f t="shared" si="5580"/>
        <v>5.6060079329968877E-3</v>
      </c>
      <c r="CR810" s="50">
        <f t="shared" si="5580"/>
        <v>4.668660433236424E-3</v>
      </c>
      <c r="CS810" s="50">
        <f t="shared" ref="CS810:DC810" si="5581">-CS472/(CS237-CS232)*CS$5</f>
        <v>4.5877738835627697E-3</v>
      </c>
      <c r="CT810" s="50">
        <f t="shared" si="5581"/>
        <v>5.2559491758135948E-3</v>
      </c>
      <c r="CU810" s="50">
        <f t="shared" si="5581"/>
        <v>1.123984555448246E-2</v>
      </c>
      <c r="CV810" s="50">
        <f t="shared" si="5581"/>
        <v>2.5317620187649253E-3</v>
      </c>
      <c r="CW810" s="50">
        <f t="shared" si="5581"/>
        <v>-1.5550739505128012E-3</v>
      </c>
      <c r="CX810" s="50">
        <f t="shared" si="5581"/>
        <v>4.4107483806479714E-3</v>
      </c>
      <c r="CY810" s="50">
        <f t="shared" si="5581"/>
        <v>3.1225140335207984E-3</v>
      </c>
      <c r="CZ810" s="49">
        <f t="shared" si="5581"/>
        <v>2.7216921445642533E-3</v>
      </c>
      <c r="DA810" s="48">
        <f t="shared" si="5581"/>
        <v>2.4784236603731273E-3</v>
      </c>
      <c r="DB810" s="48">
        <f t="shared" si="5581"/>
        <v>2.9586960920303224E-3</v>
      </c>
      <c r="DC810" s="48">
        <f t="shared" si="5581"/>
        <v>3.4978124095278061E-3</v>
      </c>
      <c r="DD810" s="48">
        <f t="shared" ref="DD810:DI810" si="5582">-DD472/(DD237-DD232)*DD$5</f>
        <v>2.9096434934299752E-3</v>
      </c>
      <c r="DE810" s="48">
        <f t="shared" si="5582"/>
        <v>2.2471871157680565E-3</v>
      </c>
      <c r="DF810" s="48">
        <f t="shared" si="5582"/>
        <v>3.3554069063493727E-3</v>
      </c>
      <c r="DG810" s="235">
        <f t="shared" si="5582"/>
        <v>4.0883156924805203E-3</v>
      </c>
      <c r="DH810" s="235">
        <f t="shared" si="5582"/>
        <v>4.0769302659500279E-3</v>
      </c>
      <c r="DI810" s="235">
        <f t="shared" si="5582"/>
        <v>4.0658546892682187E-3</v>
      </c>
    </row>
    <row r="811" spans="1:113" outlineLevel="1">
      <c r="A811" s="1" t="s">
        <v>818</v>
      </c>
      <c r="B811" s="19" t="s">
        <v>351</v>
      </c>
      <c r="C811" s="235">
        <f t="shared" ref="C811:K811" si="5583">-C472/(C237+AVERAGE(B179:C179))*C$5</f>
        <v>2.7327047761977674E-3</v>
      </c>
      <c r="D811" s="235">
        <f t="shared" si="5583"/>
        <v>3.7721005536167835E-3</v>
      </c>
      <c r="E811" s="235">
        <f t="shared" si="5583"/>
        <v>2.0476499269800308E-3</v>
      </c>
      <c r="F811" s="235">
        <f t="shared" si="5583"/>
        <v>1.8183686143803514E-3</v>
      </c>
      <c r="G811" s="235">
        <f t="shared" si="5583"/>
        <v>1.8187767129796268E-3</v>
      </c>
      <c r="H811" s="235">
        <f t="shared" si="5583"/>
        <v>1.6353004717171657E-3</v>
      </c>
      <c r="I811" s="235">
        <f t="shared" si="5583"/>
        <v>1.2819702021710597E-3</v>
      </c>
      <c r="J811" s="235">
        <f t="shared" si="5583"/>
        <v>1.3037293558652212E-3</v>
      </c>
      <c r="K811" s="235">
        <f t="shared" si="5583"/>
        <v>1.4901308349486761E-3</v>
      </c>
      <c r="L811" s="235">
        <f>-L472/L237*L$5</f>
        <v>1.5819414308201475E-3</v>
      </c>
      <c r="M811" s="48">
        <f t="shared" ref="M811:AG811" si="5584">-M472/M237*M$5</f>
        <v>1.6844694096069873E-3</v>
      </c>
      <c r="N811" s="48">
        <f t="shared" si="5584"/>
        <v>1.4258514000608684E-3</v>
      </c>
      <c r="O811" s="48">
        <f t="shared" si="5584"/>
        <v>1.5707917685433511E-3</v>
      </c>
      <c r="P811" s="48">
        <f t="shared" si="5584"/>
        <v>2.0126781649041298E-3</v>
      </c>
      <c r="Q811" s="48">
        <f t="shared" si="5584"/>
        <v>3.3958935645624013E-3</v>
      </c>
      <c r="R811" s="48">
        <f t="shared" si="5584"/>
        <v>8.9011428721709317E-3</v>
      </c>
      <c r="S811" s="48">
        <f t="shared" si="5584"/>
        <v>6.3207254070256225E-3</v>
      </c>
      <c r="T811" s="50">
        <f t="shared" si="5584"/>
        <v>5.669693078772675E-3</v>
      </c>
      <c r="U811" s="48">
        <f t="shared" si="5584"/>
        <v>2.8371334330766916E-3</v>
      </c>
      <c r="V811" s="48">
        <f t="shared" si="5584"/>
        <v>2.8171235848084277E-3</v>
      </c>
      <c r="W811" s="48">
        <f t="shared" si="5584"/>
        <v>2.1974979812571017E-3</v>
      </c>
      <c r="X811" s="48">
        <f t="shared" si="5584"/>
        <v>2.0710450152385388E-3</v>
      </c>
      <c r="Y811" s="50">
        <f>-Y472/Y237*Y$5</f>
        <v>2.0476394996060405E-3</v>
      </c>
      <c r="Z811" s="50">
        <f>-Z472/Z237*Z$5</f>
        <v>2.2403297944014154E-3</v>
      </c>
      <c r="AA811" s="50">
        <f t="shared" si="5584"/>
        <v>1.6942338674252287E-3</v>
      </c>
      <c r="AB811" s="50">
        <f t="shared" si="5584"/>
        <v>1.5745667145063843E-3</v>
      </c>
      <c r="AC811" s="50">
        <f>-AC472/AC237*AC$5</f>
        <v>1.6775504361089062E-3</v>
      </c>
      <c r="AD811" s="50">
        <f>-AD472/AD237*AD$5</f>
        <v>1.424238560916723E-3</v>
      </c>
      <c r="AE811" s="50">
        <f>-AE472/AE237*AE$5</f>
        <v>1.7375489549987765E-3</v>
      </c>
      <c r="AF811" s="50">
        <f>-AF472/AF237*AF$5</f>
        <v>1.7640068763658354E-3</v>
      </c>
      <c r="AG811" s="50">
        <f t="shared" si="5584"/>
        <v>2.1290920873855146E-3</v>
      </c>
      <c r="AH811" s="50">
        <f t="shared" ref="AH811:AM811" si="5585">-AH472/AH237*AH$5</f>
        <v>1.7619463240723411E-3</v>
      </c>
      <c r="AI811" s="50">
        <f t="shared" si="5585"/>
        <v>1.4580119654106797E-3</v>
      </c>
      <c r="AJ811" s="50">
        <f t="shared" si="5585"/>
        <v>1.6948878927568062E-3</v>
      </c>
      <c r="AK811" s="50">
        <f t="shared" si="5585"/>
        <v>1.3868854983886852E-3</v>
      </c>
      <c r="AL811" s="50">
        <f t="shared" si="5585"/>
        <v>1.6189998108905518E-3</v>
      </c>
      <c r="AM811" s="50">
        <f t="shared" si="5585"/>
        <v>1.7669999949959827E-3</v>
      </c>
      <c r="AN811" s="50">
        <f t="shared" ref="AN811:AS811" si="5586">-AN472/AN237*AN$5</f>
        <v>1.79978927522169E-3</v>
      </c>
      <c r="AO811" s="50">
        <f t="shared" si="5586"/>
        <v>5.1570966625528241E-3</v>
      </c>
      <c r="AP811" s="50">
        <f t="shared" si="5586"/>
        <v>2.4017894685638861E-3</v>
      </c>
      <c r="AQ811" s="50">
        <f t="shared" si="5586"/>
        <v>-8.9105753576817852E-4</v>
      </c>
      <c r="AR811" s="50">
        <f t="shared" si="5586"/>
        <v>-1.9271554799333098E-4</v>
      </c>
      <c r="AS811" s="50">
        <f t="shared" si="5586"/>
        <v>-7.1326228373403181E-4</v>
      </c>
      <c r="AT811" s="50">
        <f t="shared" ref="AT811:AU811" si="5587">-AT472/AT237*AT$5</f>
        <v>1.2273798593752962E-3</v>
      </c>
      <c r="AU811" s="50">
        <f t="shared" si="5587"/>
        <v>1.4205251063413682E-3</v>
      </c>
      <c r="AV811" s="50">
        <f t="shared" ref="AV811:AW811" si="5588">-AV472/AV237*AV$5</f>
        <v>9.708792723481975E-4</v>
      </c>
      <c r="AW811" s="50">
        <f t="shared" si="5588"/>
        <v>9.099880819199742E-4</v>
      </c>
      <c r="AX811" s="50">
        <f t="shared" ref="AX811" si="5589">-AX472/AX237*AX$5</f>
        <v>7.2830497940617903E-4</v>
      </c>
      <c r="AY811" s="50">
        <f t="shared" ref="AY811:BE811" si="5590">-AY472/AY237*AY$5</f>
        <v>9.0828832742912216E-4</v>
      </c>
      <c r="AZ811" s="49">
        <f t="shared" si="5590"/>
        <v>6.7871900474769295E-4</v>
      </c>
      <c r="BA811" s="48">
        <f t="shared" si="5590"/>
        <v>8.2989326946105867E-4</v>
      </c>
      <c r="BB811" s="48">
        <f t="shared" si="5590"/>
        <v>8.718969257698341E-4</v>
      </c>
      <c r="BC811" s="48">
        <f t="shared" si="5590"/>
        <v>9.312028451409479E-4</v>
      </c>
      <c r="BD811" s="48">
        <f t="shared" si="5590"/>
        <v>1.0448036688123726E-3</v>
      </c>
      <c r="BE811" s="48">
        <f t="shared" si="5590"/>
        <v>1.0528665605915657E-3</v>
      </c>
      <c r="BF811" s="48">
        <f t="shared" ref="BF811:BM811" si="5591">-BF472/BF237*BF$5</f>
        <v>9.3750970120326169E-4</v>
      </c>
      <c r="BG811" s="48">
        <f t="shared" si="5591"/>
        <v>7.7786842379477274E-4</v>
      </c>
      <c r="BH811" s="48">
        <f t="shared" si="5591"/>
        <v>6.6209061268109103E-4</v>
      </c>
      <c r="BI811" s="48">
        <f t="shared" si="5591"/>
        <v>6.4600501532662772E-4</v>
      </c>
      <c r="BJ811" s="48">
        <f t="shared" si="5591"/>
        <v>8.9328751945050896E-4</v>
      </c>
      <c r="BK811" s="48">
        <f t="shared" si="5591"/>
        <v>1.0463402469445854E-3</v>
      </c>
      <c r="BL811" s="235">
        <f t="shared" si="5591"/>
        <v>1.1774163355787214E-3</v>
      </c>
      <c r="BM811" s="235">
        <f t="shared" si="5591"/>
        <v>1.1738855906848731E-3</v>
      </c>
      <c r="BN811" s="235">
        <f t="shared" ref="BN811:BO811" si="5592">-BN472/BN237*BN$5</f>
        <v>1.1679291201430186E-3</v>
      </c>
      <c r="BO811" s="235">
        <f t="shared" si="5592"/>
        <v>1.1650016495038942E-3</v>
      </c>
      <c r="BP811" s="235">
        <f t="shared" ref="BP811:BQ811" si="5593">-BP472/BP237*BP$5</f>
        <v>1.1588668472851348E-3</v>
      </c>
      <c r="BQ811" s="235">
        <f t="shared" si="5593"/>
        <v>1.1559869068821413E-3</v>
      </c>
      <c r="BR811" s="48"/>
      <c r="BS811" s="235">
        <f t="shared" ref="BS811:CB811" si="5594">-BS472/(BS237+AVERAGE(BR179:BS179))*BS$5</f>
        <v>1.1874845049471479E-2</v>
      </c>
      <c r="BT811" s="235">
        <f t="shared" si="5594"/>
        <v>6.7885166728435401E-3</v>
      </c>
      <c r="BU811" s="235">
        <f t="shared" si="5594"/>
        <v>4.7422596645700756E-3</v>
      </c>
      <c r="BV811" s="235">
        <f t="shared" si="5594"/>
        <v>2.5959799396363349E-3</v>
      </c>
      <c r="BW811" s="235">
        <f t="shared" si="5594"/>
        <v>1.4737144124052845E-3</v>
      </c>
      <c r="BX811" s="235">
        <f t="shared" si="5594"/>
        <v>1.1330855190514455E-3</v>
      </c>
      <c r="BY811" s="235">
        <f t="shared" si="5594"/>
        <v>2.4514832525816856E-3</v>
      </c>
      <c r="BZ811" s="235">
        <f t="shared" si="5594"/>
        <v>2.3223998758879418E-3</v>
      </c>
      <c r="CA811" s="235">
        <f t="shared" si="5594"/>
        <v>1.6415066686208412E-3</v>
      </c>
      <c r="CB811" s="235">
        <f t="shared" si="5594"/>
        <v>2.6101694915254235E-3</v>
      </c>
      <c r="CC811" s="48">
        <f>-CC472/(CC237+AVERAGE(CB179:CC179))*CC$5</f>
        <v>2.9009223458569592E-3</v>
      </c>
      <c r="CD811" s="48">
        <f>-CD472/(CD237+AVERAGE(CC179:CD179))*CD$5</f>
        <v>1.8179126440433472E-3</v>
      </c>
      <c r="CE811" s="48">
        <f>-CE472/(CE237+AVERAGE(CD179:CE179))*CE$5</f>
        <v>1.4504937588965081E-3</v>
      </c>
      <c r="CF811" s="48">
        <f>-CF472/(CF237+AVERAGE(CE179:CF179))*CF$5</f>
        <v>1.3998310948293616E-3</v>
      </c>
      <c r="CG811" s="48">
        <f t="shared" ref="CG811:CR811" si="5595">-CG472/CG237*CG$5</f>
        <v>1.6344297975442487E-3</v>
      </c>
      <c r="CH811" s="48">
        <f t="shared" si="5595"/>
        <v>1.464657543492567E-3</v>
      </c>
      <c r="CI811" s="48">
        <f t="shared" si="5595"/>
        <v>2.7252587530622531E-3</v>
      </c>
      <c r="CJ811" s="48">
        <f t="shared" si="5595"/>
        <v>7.5855498852775028E-3</v>
      </c>
      <c r="CK811" s="48">
        <f t="shared" si="5595"/>
        <v>4.2534786280635298E-3</v>
      </c>
      <c r="CL811" s="48">
        <f t="shared" si="5595"/>
        <v>2.5085988103754077E-3</v>
      </c>
      <c r="CM811" s="50">
        <f t="shared" si="5595"/>
        <v>2.0592901594673452E-3</v>
      </c>
      <c r="CN811" s="50">
        <f t="shared" si="5595"/>
        <v>1.9672369593280122E-3</v>
      </c>
      <c r="CO811" s="50">
        <f t="shared" si="5595"/>
        <v>1.6265352239600757E-3</v>
      </c>
      <c r="CP811" s="50">
        <f t="shared" si="5595"/>
        <v>1.5825116445947938E-3</v>
      </c>
      <c r="CQ811" s="50">
        <f t="shared" si="5595"/>
        <v>1.9480509409117064E-3</v>
      </c>
      <c r="CR811" s="50">
        <f t="shared" si="5595"/>
        <v>1.6099295159625615E-3</v>
      </c>
      <c r="CS811" s="50">
        <f t="shared" ref="CS811:DC811" si="5596">-CS472/CS237*CS$5</f>
        <v>1.5416289831963869E-3</v>
      </c>
      <c r="CT811" s="50">
        <f t="shared" si="5596"/>
        <v>1.6926602530675063E-3</v>
      </c>
      <c r="CU811" s="50">
        <f t="shared" si="5596"/>
        <v>3.4826579401973138E-3</v>
      </c>
      <c r="CV811" s="50">
        <f t="shared" si="5596"/>
        <v>7.5328862489659331E-4</v>
      </c>
      <c r="CW811" s="50">
        <f t="shared" si="5596"/>
        <v>-4.5492258813383701E-4</v>
      </c>
      <c r="CX811" s="50">
        <f t="shared" si="5596"/>
        <v>1.324125246362208E-3</v>
      </c>
      <c r="CY811" s="50">
        <f t="shared" si="5596"/>
        <v>9.404810138160534E-4</v>
      </c>
      <c r="CZ811" s="49">
        <f t="shared" si="5596"/>
        <v>8.1884378102424547E-4</v>
      </c>
      <c r="DA811" s="48">
        <f t="shared" si="5596"/>
        <v>7.5491912722597612E-4</v>
      </c>
      <c r="DB811" s="48">
        <f t="shared" si="5596"/>
        <v>9.0149070886557823E-4</v>
      </c>
      <c r="DC811" s="48">
        <f t="shared" si="5596"/>
        <v>1.0487299927845154E-3</v>
      </c>
      <c r="DD811" s="48">
        <f t="shared" ref="DD811:DI811" si="5597">-DD472/DD237*DD$5</f>
        <v>8.5739700375304538E-4</v>
      </c>
      <c r="DE811" s="48">
        <f t="shared" si="5597"/>
        <v>6.5395090505100293E-4</v>
      </c>
      <c r="DF811" s="48">
        <f t="shared" si="5597"/>
        <v>9.6975594914467669E-4</v>
      </c>
      <c r="DG811" s="235">
        <f t="shared" si="5597"/>
        <v>1.1755227553343953E-3</v>
      </c>
      <c r="DH811" s="235">
        <f t="shared" si="5597"/>
        <v>1.1662825765810141E-3</v>
      </c>
      <c r="DI811" s="235">
        <f t="shared" si="5597"/>
        <v>1.1572453441487842E-3</v>
      </c>
    </row>
    <row r="812" spans="1:113" outlineLevel="1">
      <c r="A812" s="1" t="s">
        <v>819</v>
      </c>
      <c r="B812" s="19" t="s">
        <v>622</v>
      </c>
      <c r="C812" s="235">
        <f t="shared" ref="C812:L812" si="5598">C124/(C181-C176)</f>
        <v>8.6115527291997888E-3</v>
      </c>
      <c r="D812" s="235">
        <f t="shared" si="5598"/>
        <v>1.2862488306828812E-2</v>
      </c>
      <c r="E812" s="235">
        <f t="shared" si="5598"/>
        <v>1.1440564870307913E-2</v>
      </c>
      <c r="F812" s="235">
        <f t="shared" si="5598"/>
        <v>1.1282995702885205E-2</v>
      </c>
      <c r="G812" s="235">
        <f t="shared" si="5598"/>
        <v>8.1744539096016023E-3</v>
      </c>
      <c r="H812" s="235">
        <f t="shared" si="5598"/>
        <v>7.0779882863443435E-3</v>
      </c>
      <c r="I812" s="235">
        <f t="shared" si="5598"/>
        <v>4.3164954337899545E-3</v>
      </c>
      <c r="J812" s="235">
        <f t="shared" si="5598"/>
        <v>4.6184342988801596E-3</v>
      </c>
      <c r="K812" s="235">
        <f t="shared" si="5598"/>
        <v>3.6978440165139161E-3</v>
      </c>
      <c r="L812" s="235">
        <f t="shared" si="5598"/>
        <v>3.4775277938774436E-3</v>
      </c>
      <c r="M812" s="48">
        <f t="shared" ref="M812:AG812" si="5599">M124/(M181-M176)</f>
        <v>2.9216181821440732E-3</v>
      </c>
      <c r="N812" s="48">
        <f t="shared" si="5599"/>
        <v>2.7969250374440409E-3</v>
      </c>
      <c r="O812" s="48">
        <f t="shared" si="5599"/>
        <v>2.9513000441643475E-3</v>
      </c>
      <c r="P812" s="48">
        <f t="shared" si="5599"/>
        <v>3.5015576323987538E-3</v>
      </c>
      <c r="Q812" s="48">
        <f t="shared" si="5599"/>
        <v>4.1261402766870053E-3</v>
      </c>
      <c r="R812" s="48">
        <f t="shared" si="5599"/>
        <v>1.364257851771424E-2</v>
      </c>
      <c r="S812" s="48">
        <f t="shared" si="5599"/>
        <v>2.1692421049377308E-2</v>
      </c>
      <c r="T812" s="50">
        <f t="shared" si="5599"/>
        <v>2.5736255409522894E-2</v>
      </c>
      <c r="U812" s="48">
        <f t="shared" si="5599"/>
        <v>2.791051085438483E-2</v>
      </c>
      <c r="V812" s="48">
        <f t="shared" si="5599"/>
        <v>2.883283739814789E-2</v>
      </c>
      <c r="W812" s="48">
        <f t="shared" si="5599"/>
        <v>2.9411928016568847E-2</v>
      </c>
      <c r="X812" s="48">
        <f t="shared" si="5599"/>
        <v>2.5513154879472713E-2</v>
      </c>
      <c r="Y812" s="50">
        <f>Y124/(Y181-Y176)</f>
        <v>2.5031376004699724E-2</v>
      </c>
      <c r="Z812" s="50">
        <f>Z124/(Z181-Z176)</f>
        <v>2.3775785848100327E-2</v>
      </c>
      <c r="AA812" s="50">
        <f t="shared" si="5599"/>
        <v>2.2282029774555259E-2</v>
      </c>
      <c r="AB812" s="50">
        <f t="shared" si="5599"/>
        <v>1.9383125510535483E-2</v>
      </c>
      <c r="AC812" s="50">
        <f>AC124/(AC181-AC176)</f>
        <v>1.6266643476916535E-2</v>
      </c>
      <c r="AD812" s="50">
        <f>AD124/(AD181-AD176)</f>
        <v>1.5634524380086456E-2</v>
      </c>
      <c r="AE812" s="50">
        <f>AE124/(AE181-AE176)</f>
        <v>1.2861924648493285E-2</v>
      </c>
      <c r="AF812" s="50">
        <f>AF124/(AF181-AF176)</f>
        <v>1.1749336255215138E-2</v>
      </c>
      <c r="AG812" s="50">
        <f t="shared" si="5599"/>
        <v>1.2745783787984768E-2</v>
      </c>
      <c r="AH812" s="50">
        <f t="shared" ref="AH812:AM812" si="5600">AH124/(AH181-AH176)</f>
        <v>1.3741744774065357E-2</v>
      </c>
      <c r="AI812" s="50">
        <f t="shared" si="5600"/>
        <v>1.2744890246779786E-2</v>
      </c>
      <c r="AJ812" s="50">
        <f t="shared" si="5600"/>
        <v>1.3600029082331272E-2</v>
      </c>
      <c r="AK812" s="50">
        <f t="shared" si="5600"/>
        <v>1.293938555217271E-2</v>
      </c>
      <c r="AL812" s="50">
        <f t="shared" si="5600"/>
        <v>1.4484380467243329E-2</v>
      </c>
      <c r="AM812" s="50">
        <f t="shared" si="5600"/>
        <v>1.5284119200938483E-2</v>
      </c>
      <c r="AN812" s="50">
        <f t="shared" ref="AN812:AS812" si="5601">AN124/(AN181-AN176)</f>
        <v>1.4376596278148678E-2</v>
      </c>
      <c r="AO812" s="50">
        <f t="shared" si="5601"/>
        <v>1.5012016382899502E-2</v>
      </c>
      <c r="AP812" s="50">
        <f t="shared" si="5601"/>
        <v>1.323073114727511E-2</v>
      </c>
      <c r="AQ812" s="50">
        <f t="shared" si="5601"/>
        <v>1.4341607067732435E-2</v>
      </c>
      <c r="AR812" s="50">
        <f t="shared" si="5601"/>
        <v>1.4282550021739665E-2</v>
      </c>
      <c r="AS812" s="50">
        <f t="shared" si="5601"/>
        <v>1.1259448054301751E-2</v>
      </c>
      <c r="AT812" s="50">
        <f t="shared" ref="AT812:AU812" si="5602">AT124/(AT181-AT176)</f>
        <v>1.1145292618996924E-2</v>
      </c>
      <c r="AU812" s="50">
        <f t="shared" si="5602"/>
        <v>1.1893225581520088E-2</v>
      </c>
      <c r="AV812" s="50">
        <f t="shared" ref="AV812:AW812" si="5603">AV124/(AV181-AV176)</f>
        <v>1.1663225708819301E-2</v>
      </c>
      <c r="AW812" s="50">
        <f t="shared" si="5603"/>
        <v>1.3760448237780545E-2</v>
      </c>
      <c r="AX812" s="50">
        <f t="shared" ref="AX812" si="5604">AX124/(AX181-AX176)</f>
        <v>1.8003324269053485E-2</v>
      </c>
      <c r="AY812" s="50">
        <f t="shared" ref="AY812:BE812" si="5605">AY124/(AY181-AY176)</f>
        <v>1.802912272262187E-2</v>
      </c>
      <c r="AZ812" s="49">
        <f t="shared" si="5605"/>
        <v>1.6582800686346898E-2</v>
      </c>
      <c r="BA812" s="48">
        <f t="shared" si="5605"/>
        <v>1.5219304006115729E-2</v>
      </c>
      <c r="BB812" s="48">
        <f t="shared" si="5605"/>
        <v>1.6357792089709593E-2</v>
      </c>
      <c r="BC812" s="48">
        <f t="shared" si="5605"/>
        <v>1.7629610286200349E-2</v>
      </c>
      <c r="BD812" s="48">
        <f t="shared" si="5605"/>
        <v>1.8601543874818122E-2</v>
      </c>
      <c r="BE812" s="48">
        <f t="shared" si="5605"/>
        <v>1.9571861267426417E-2</v>
      </c>
      <c r="BF812" s="48">
        <f t="shared" ref="BF812:BM812" si="5606">BF124/(BF181-BF176)</f>
        <v>1.88808032455208E-2</v>
      </c>
      <c r="BG812" s="48">
        <f t="shared" si="5606"/>
        <v>1.8137996997257298E-2</v>
      </c>
      <c r="BH812" s="48">
        <f t="shared" si="5606"/>
        <v>1.7382888667902583E-2</v>
      </c>
      <c r="BI812" s="48">
        <f t="shared" si="5606"/>
        <v>1.6567232214935407E-2</v>
      </c>
      <c r="BJ812" s="48">
        <f t="shared" si="5606"/>
        <v>1.6567232214935407E-2</v>
      </c>
      <c r="BK812" s="48">
        <f t="shared" si="5606"/>
        <v>1.6567232214935407E-2</v>
      </c>
      <c r="BL812" s="235">
        <f t="shared" si="5606"/>
        <v>1.6567232214935407E-2</v>
      </c>
      <c r="BM812" s="235">
        <f t="shared" si="5606"/>
        <v>1.6567232214935407E-2</v>
      </c>
      <c r="BN812" s="235">
        <f t="shared" ref="BN812:BO812" si="5607">BN124/(BN181-BN176)</f>
        <v>1.6567232214935407E-2</v>
      </c>
      <c r="BO812" s="235">
        <f t="shared" si="5607"/>
        <v>1.6567232214935407E-2</v>
      </c>
      <c r="BP812" s="235">
        <f t="shared" ref="BP812:BQ812" si="5608">BP124/(BP181-BP176)</f>
        <v>1.6567232214935407E-2</v>
      </c>
      <c r="BQ812" s="235">
        <f t="shared" si="5608"/>
        <v>1.6567232214935407E-2</v>
      </c>
      <c r="BR812" s="48"/>
      <c r="BS812" s="235">
        <f t="shared" ref="BS812:CB812" si="5609">BS124/(BS181-BS176)</f>
        <v>3.4188437399533131E-2</v>
      </c>
      <c r="BT812" s="235">
        <f t="shared" si="5609"/>
        <v>4.5985305572670068E-2</v>
      </c>
      <c r="BU812" s="235">
        <f t="shared" si="5609"/>
        <v>4.7852914249627135E-2</v>
      </c>
      <c r="BV812" s="235">
        <f t="shared" si="5609"/>
        <v>3.793724874081604E-2</v>
      </c>
      <c r="BW812" s="235">
        <f t="shared" si="5609"/>
        <v>2.7041829259943861E-2</v>
      </c>
      <c r="BX812" s="235">
        <f t="shared" si="5609"/>
        <v>1.8853789486827321E-2</v>
      </c>
      <c r="BY812" s="235">
        <f t="shared" si="5609"/>
        <v>1.7312294346395453E-2</v>
      </c>
      <c r="BZ812" s="235">
        <f t="shared" si="5609"/>
        <v>1.0838186047278906E-2</v>
      </c>
      <c r="CA812" s="235">
        <f t="shared" si="5609"/>
        <v>1.4658779769592395E-2</v>
      </c>
      <c r="CB812" s="235">
        <f t="shared" si="5609"/>
        <v>8.6356409885821658E-3</v>
      </c>
      <c r="CC812" s="48">
        <f t="shared" ref="CC812:CR812" si="5610">CC124/(CC181-CC176)</f>
        <v>1.1440564870307913E-2</v>
      </c>
      <c r="CD812" s="48">
        <f t="shared" si="5610"/>
        <v>8.1744539096016023E-3</v>
      </c>
      <c r="CE812" s="48">
        <f t="shared" si="5610"/>
        <v>4.3164954337899545E-3</v>
      </c>
      <c r="CF812" s="48">
        <f t="shared" si="5610"/>
        <v>3.6978440165139161E-3</v>
      </c>
      <c r="CG812" s="48">
        <f t="shared" si="5610"/>
        <v>2.9216181821440732E-3</v>
      </c>
      <c r="CH812" s="48">
        <f t="shared" si="5610"/>
        <v>2.9513000441643475E-3</v>
      </c>
      <c r="CI812" s="48">
        <f t="shared" si="5610"/>
        <v>4.1261402766870053E-3</v>
      </c>
      <c r="CJ812" s="48">
        <f t="shared" si="5610"/>
        <v>2.1692421049377308E-2</v>
      </c>
      <c r="CK812" s="48">
        <f t="shared" si="5610"/>
        <v>2.791051085438483E-2</v>
      </c>
      <c r="CL812" s="48">
        <f t="shared" si="5610"/>
        <v>2.9411928016568847E-2</v>
      </c>
      <c r="CM812" s="50">
        <f t="shared" si="5610"/>
        <v>2.5031376004699724E-2</v>
      </c>
      <c r="CN812" s="50">
        <f t="shared" si="5610"/>
        <v>2.2282029774555259E-2</v>
      </c>
      <c r="CO812" s="50">
        <f t="shared" si="5610"/>
        <v>1.6266643476916535E-2</v>
      </c>
      <c r="CP812" s="50">
        <f t="shared" si="5610"/>
        <v>1.2861924648493285E-2</v>
      </c>
      <c r="CQ812" s="50">
        <f t="shared" si="5610"/>
        <v>1.2745783787984768E-2</v>
      </c>
      <c r="CR812" s="50">
        <f t="shared" si="5610"/>
        <v>1.2744890246779786E-2</v>
      </c>
      <c r="CS812" s="50">
        <f t="shared" ref="CS812:DC812" si="5611">CS124/(CS181-CS176)</f>
        <v>1.293938555217271E-2</v>
      </c>
      <c r="CT812" s="50">
        <f t="shared" si="5611"/>
        <v>1.5284119200938483E-2</v>
      </c>
      <c r="CU812" s="50">
        <f t="shared" si="5611"/>
        <v>1.5012016382899502E-2</v>
      </c>
      <c r="CV812" s="50">
        <f t="shared" si="5611"/>
        <v>1.4341607067732435E-2</v>
      </c>
      <c r="CW812" s="50">
        <f t="shared" si="5611"/>
        <v>1.1259448054301751E-2</v>
      </c>
      <c r="CX812" s="50">
        <f t="shared" si="5611"/>
        <v>1.1893225581520088E-2</v>
      </c>
      <c r="CY812" s="50">
        <f t="shared" si="5611"/>
        <v>1.3760448237780545E-2</v>
      </c>
      <c r="CZ812" s="49">
        <f t="shared" si="5611"/>
        <v>1.802912272262187E-2</v>
      </c>
      <c r="DA812" s="48">
        <f t="shared" si="5611"/>
        <v>1.5219304006115729E-2</v>
      </c>
      <c r="DB812" s="48">
        <f t="shared" si="5611"/>
        <v>1.7629610286200349E-2</v>
      </c>
      <c r="DC812" s="48">
        <f t="shared" si="5611"/>
        <v>1.9571861267426417E-2</v>
      </c>
      <c r="DD812" s="48">
        <f t="shared" ref="DD812:DI812" si="5612">DD124/(DD181-DD176)</f>
        <v>1.8137996997257298E-2</v>
      </c>
      <c r="DE812" s="48">
        <f t="shared" si="5612"/>
        <v>1.6567232214935407E-2</v>
      </c>
      <c r="DF812" s="48">
        <f t="shared" si="5612"/>
        <v>1.6567232214935407E-2</v>
      </c>
      <c r="DG812" s="235">
        <f t="shared" si="5612"/>
        <v>1.6567232214935407E-2</v>
      </c>
      <c r="DH812" s="235">
        <f t="shared" si="5612"/>
        <v>1.6567232214935407E-2</v>
      </c>
      <c r="DI812" s="235">
        <f t="shared" si="5612"/>
        <v>1.6567232214935407E-2</v>
      </c>
    </row>
    <row r="813" spans="1:113" outlineLevel="1">
      <c r="A813" s="1" t="s">
        <v>820</v>
      </c>
      <c r="B813" s="19" t="s">
        <v>347</v>
      </c>
      <c r="C813" s="235">
        <f t="shared" ref="C813:L813" si="5613">(C124+C125)/C181</f>
        <v>1.0291365091127451E-2</v>
      </c>
      <c r="D813" s="235">
        <f t="shared" si="5613"/>
        <v>8.0253930392759753E-3</v>
      </c>
      <c r="E813" s="235">
        <f t="shared" si="5613"/>
        <v>7.0841059287785864E-3</v>
      </c>
      <c r="F813" s="235">
        <f t="shared" si="5613"/>
        <v>6.4573273522100629E-3</v>
      </c>
      <c r="G813" s="235">
        <f t="shared" si="5613"/>
        <v>5.0288068563622947E-3</v>
      </c>
      <c r="H813" s="235">
        <f t="shared" si="5613"/>
        <v>4.1205856318740014E-3</v>
      </c>
      <c r="I813" s="235">
        <f t="shared" si="5613"/>
        <v>2.8517777954680614E-3</v>
      </c>
      <c r="J813" s="235">
        <f t="shared" si="5613"/>
        <v>3.0168521784626292E-3</v>
      </c>
      <c r="K813" s="235">
        <f t="shared" si="5613"/>
        <v>2.7068276523609983E-3</v>
      </c>
      <c r="L813" s="235">
        <f t="shared" si="5613"/>
        <v>2.4486389739873287E-3</v>
      </c>
      <c r="M813" s="48">
        <f t="shared" ref="M813:AG813" si="5614">(M124+M125)/M181</f>
        <v>2.217414236660531E-3</v>
      </c>
      <c r="N813" s="48">
        <f t="shared" si="5614"/>
        <v>2.1238842886331863E-3</v>
      </c>
      <c r="O813" s="48">
        <f t="shared" si="5614"/>
        <v>4.1470518962849453E-3</v>
      </c>
      <c r="P813" s="48">
        <f t="shared" si="5614"/>
        <v>3.8750222978443131E-3</v>
      </c>
      <c r="Q813" s="48">
        <f t="shared" si="5614"/>
        <v>4.7079127029713615E-3</v>
      </c>
      <c r="R813" s="48">
        <f t="shared" si="5614"/>
        <v>9.5732087897897247E-3</v>
      </c>
      <c r="S813" s="48">
        <f t="shared" si="5614"/>
        <v>1.4022698716590957E-2</v>
      </c>
      <c r="T813" s="50">
        <f t="shared" si="5614"/>
        <v>1.5753989679320304E-2</v>
      </c>
      <c r="U813" s="48">
        <f t="shared" si="5614"/>
        <v>1.6779115144106446E-2</v>
      </c>
      <c r="V813" s="48">
        <f t="shared" si="5614"/>
        <v>1.6567520330089319E-2</v>
      </c>
      <c r="W813" s="48">
        <f t="shared" si="5614"/>
        <v>1.7550558400427959E-2</v>
      </c>
      <c r="X813" s="48">
        <f t="shared" si="5614"/>
        <v>1.4685195689166194E-2</v>
      </c>
      <c r="Y813" s="50">
        <f>(Y124+Y125)/Y181</f>
        <v>1.4001547500490536E-2</v>
      </c>
      <c r="Z813" s="50">
        <f>(Z124+Z125)/Z181</f>
        <v>1.3003095975232198E-2</v>
      </c>
      <c r="AA813" s="50">
        <f t="shared" si="5614"/>
        <v>1.1539811025676741E-2</v>
      </c>
      <c r="AB813" s="50">
        <f t="shared" si="5614"/>
        <v>1.1098893837919893E-2</v>
      </c>
      <c r="AC813" s="50">
        <f>(AC124+AC125)/AC181</f>
        <v>9.4284729994576974E-3</v>
      </c>
      <c r="AD813" s="50">
        <f>(AD124+AD125)/AD181</f>
        <v>8.8005058973449971E-3</v>
      </c>
      <c r="AE813" s="50">
        <f>(AE124+AE125)/AE181</f>
        <v>8.030098135305138E-3</v>
      </c>
      <c r="AF813" s="50">
        <f>(AF124+AF125)/AF181</f>
        <v>7.1656688402380554E-3</v>
      </c>
      <c r="AG813" s="50">
        <f t="shared" si="5614"/>
        <v>7.7924821603689689E-3</v>
      </c>
      <c r="AH813" s="50">
        <f t="shared" ref="AH813:AM813" si="5615">(AH124+AH125)/AH181</f>
        <v>7.9581248067909331E-3</v>
      </c>
      <c r="AI813" s="50">
        <f t="shared" si="5615"/>
        <v>7.957408298207137E-3</v>
      </c>
      <c r="AJ813" s="50">
        <f t="shared" si="5615"/>
        <v>8.1417229868924607E-3</v>
      </c>
      <c r="AK813" s="50">
        <f t="shared" si="5615"/>
        <v>8.5569125000501782E-3</v>
      </c>
      <c r="AL813" s="50">
        <f t="shared" si="5615"/>
        <v>8.9346118290304331E-3</v>
      </c>
      <c r="AM813" s="50">
        <f t="shared" si="5615"/>
        <v>9.157542899252552E-3</v>
      </c>
      <c r="AN813" s="50">
        <f t="shared" ref="AN813:AS813" si="5616">(AN124+AN125)/AN181</f>
        <v>8.4851694502747262E-3</v>
      </c>
      <c r="AO813" s="50">
        <f t="shared" si="5616"/>
        <v>8.8665133517448133E-3</v>
      </c>
      <c r="AP813" s="50">
        <f t="shared" si="5616"/>
        <v>7.8400143141373526E-3</v>
      </c>
      <c r="AQ813" s="50">
        <f t="shared" si="5616"/>
        <v>8.7698909788416751E-3</v>
      </c>
      <c r="AR813" s="50">
        <f t="shared" si="5616"/>
        <v>8.0345626241608847E-3</v>
      </c>
      <c r="AS813" s="50">
        <f t="shared" si="5616"/>
        <v>6.904321308834907E-3</v>
      </c>
      <c r="AT813" s="50">
        <f t="shared" ref="AT813:AU813" si="5617">(AT124+AT125)/AT181</f>
        <v>6.3670305178737518E-3</v>
      </c>
      <c r="AU813" s="50">
        <f t="shared" si="5617"/>
        <v>6.8442802828282395E-3</v>
      </c>
      <c r="AV813" s="50">
        <f t="shared" ref="AV813:AW813" si="5618">(AV124+AV125)/AV181</f>
        <v>6.9676799220688814E-3</v>
      </c>
      <c r="AW813" s="50">
        <f t="shared" si="5618"/>
        <v>8.2679233263229842E-3</v>
      </c>
      <c r="AX813" s="50">
        <f t="shared" ref="AX813" si="5619">(AX124+AX125)/AX181</f>
        <v>1.0572740516263035E-2</v>
      </c>
      <c r="AY813" s="50">
        <f t="shared" ref="AY813:BE813" si="5620">(AY124+AY125)/AY181</f>
        <v>1.0850858393437805E-2</v>
      </c>
      <c r="AZ813" s="49">
        <f t="shared" si="5620"/>
        <v>9.998796591488654E-3</v>
      </c>
      <c r="BA813" s="48">
        <f t="shared" si="5620"/>
        <v>9.1999999999999998E-3</v>
      </c>
      <c r="BB813" s="48">
        <f t="shared" si="5620"/>
        <v>9.9499999999999988E-3</v>
      </c>
      <c r="BC813" s="48">
        <f t="shared" si="5620"/>
        <v>1.0699999999999999E-2</v>
      </c>
      <c r="BD813" s="48">
        <f t="shared" si="5620"/>
        <v>1.12E-2</v>
      </c>
      <c r="BE813" s="48">
        <f t="shared" si="5620"/>
        <v>1.1699999999999999E-2</v>
      </c>
      <c r="BF813" s="48">
        <f t="shared" ref="BF813:BM813" si="5621">(BF124+BF125)/BF181</f>
        <v>1.1199999999999998E-2</v>
      </c>
      <c r="BG813" s="48">
        <f t="shared" si="5621"/>
        <v>1.0699999999999998E-2</v>
      </c>
      <c r="BH813" s="48">
        <f t="shared" si="5621"/>
        <v>1.0199999999999996E-2</v>
      </c>
      <c r="BI813" s="48">
        <f t="shared" si="5621"/>
        <v>9.6999999999999968E-3</v>
      </c>
      <c r="BJ813" s="48">
        <f t="shared" si="5621"/>
        <v>9.6798236660789027E-3</v>
      </c>
      <c r="BK813" s="48">
        <f t="shared" si="5621"/>
        <v>9.6697949817947156E-3</v>
      </c>
      <c r="BL813" s="235">
        <f t="shared" si="5621"/>
        <v>9.659842515321003E-3</v>
      </c>
      <c r="BM813" s="235">
        <f t="shared" si="5621"/>
        <v>9.6499657253020111E-3</v>
      </c>
      <c r="BN813" s="235">
        <f t="shared" ref="BN813:BO813" si="5622">(BN124+BN125)/BN181</f>
        <v>9.6401640732940892E-3</v>
      </c>
      <c r="BO813" s="235">
        <f t="shared" si="5622"/>
        <v>9.6304370237678388E-3</v>
      </c>
      <c r="BP813" s="235">
        <f t="shared" ref="BP813:BQ813" si="5623">(BP124+BP125)/BP181</f>
        <v>9.6207840441098081E-3</v>
      </c>
      <c r="BQ813" s="235">
        <f t="shared" si="5623"/>
        <v>9.6112046046238613E-3</v>
      </c>
      <c r="BR813" s="48"/>
      <c r="BS813" s="235">
        <f t="shared" ref="BS813:CB813" si="5624">(BS124+BS125)/BS181</f>
        <v>3.8412391697313461E-2</v>
      </c>
      <c r="BT813" s="235">
        <f t="shared" si="5624"/>
        <v>5.1567304376170513E-2</v>
      </c>
      <c r="BU813" s="235">
        <f t="shared" si="5624"/>
        <v>4.0115228477561264E-2</v>
      </c>
      <c r="BV813" s="235">
        <f t="shared" si="5624"/>
        <v>2.6257466418011299E-2</v>
      </c>
      <c r="BW813" s="235">
        <f t="shared" si="5624"/>
        <v>1.9130606501937746E-2</v>
      </c>
      <c r="BX813" s="235">
        <f t="shared" si="5624"/>
        <v>1.3233155068517121E-2</v>
      </c>
      <c r="BY813" s="235">
        <f t="shared" si="5624"/>
        <v>1.2051775059961545E-2</v>
      </c>
      <c r="BZ813" s="235">
        <f t="shared" si="5624"/>
        <v>7.6104710192910433E-3</v>
      </c>
      <c r="CA813" s="235">
        <f t="shared" si="5624"/>
        <v>9.5164175075085206E-3</v>
      </c>
      <c r="CB813" s="235">
        <f t="shared" si="5624"/>
        <v>6.5478890244603585E-3</v>
      </c>
      <c r="CC813" s="48">
        <f t="shared" ref="CC813:CR813" si="5625">(CC124+CC125)/CC181</f>
        <v>7.0841059287785864E-3</v>
      </c>
      <c r="CD813" s="48">
        <f t="shared" si="5625"/>
        <v>5.0288068563622947E-3</v>
      </c>
      <c r="CE813" s="48">
        <f t="shared" si="5625"/>
        <v>2.8517777954680614E-3</v>
      </c>
      <c r="CF813" s="48">
        <f t="shared" si="5625"/>
        <v>2.7068276523609983E-3</v>
      </c>
      <c r="CG813" s="48">
        <f t="shared" si="5625"/>
        <v>2.217414236660531E-3</v>
      </c>
      <c r="CH813" s="48">
        <f t="shared" si="5625"/>
        <v>4.1470518962849453E-3</v>
      </c>
      <c r="CI813" s="48">
        <f t="shared" si="5625"/>
        <v>4.7079127029713615E-3</v>
      </c>
      <c r="CJ813" s="48">
        <f t="shared" si="5625"/>
        <v>1.4022698716590957E-2</v>
      </c>
      <c r="CK813" s="48">
        <f t="shared" si="5625"/>
        <v>1.6779115144106446E-2</v>
      </c>
      <c r="CL813" s="48">
        <f t="shared" si="5625"/>
        <v>1.7550558400427959E-2</v>
      </c>
      <c r="CM813" s="50">
        <f t="shared" si="5625"/>
        <v>1.4001547500490536E-2</v>
      </c>
      <c r="CN813" s="50">
        <f t="shared" si="5625"/>
        <v>1.1539811025676741E-2</v>
      </c>
      <c r="CO813" s="50">
        <f t="shared" si="5625"/>
        <v>9.4284729994576974E-3</v>
      </c>
      <c r="CP813" s="50">
        <f t="shared" si="5625"/>
        <v>8.030098135305138E-3</v>
      </c>
      <c r="CQ813" s="50">
        <f t="shared" si="5625"/>
        <v>7.7924821603689689E-3</v>
      </c>
      <c r="CR813" s="50">
        <f t="shared" si="5625"/>
        <v>7.957408298207137E-3</v>
      </c>
      <c r="CS813" s="50">
        <f t="shared" ref="CS813:DC813" si="5626">(CS124+CS125)/CS181</f>
        <v>8.5569125000501782E-3</v>
      </c>
      <c r="CT813" s="50">
        <f t="shared" si="5626"/>
        <v>9.157542899252552E-3</v>
      </c>
      <c r="CU813" s="50">
        <f t="shared" si="5626"/>
        <v>8.8665133517448133E-3</v>
      </c>
      <c r="CV813" s="50">
        <f t="shared" si="5626"/>
        <v>8.7698909788416751E-3</v>
      </c>
      <c r="CW813" s="50">
        <f t="shared" si="5626"/>
        <v>6.904321308834907E-3</v>
      </c>
      <c r="CX813" s="50">
        <f t="shared" si="5626"/>
        <v>6.8442802828282395E-3</v>
      </c>
      <c r="CY813" s="50">
        <f t="shared" si="5626"/>
        <v>8.2679233263229842E-3</v>
      </c>
      <c r="CZ813" s="49">
        <f t="shared" si="5626"/>
        <v>1.0850858393437805E-2</v>
      </c>
      <c r="DA813" s="48">
        <f t="shared" si="5626"/>
        <v>9.1999999999999998E-3</v>
      </c>
      <c r="DB813" s="48">
        <f t="shared" si="5626"/>
        <v>1.0699999999999999E-2</v>
      </c>
      <c r="DC813" s="48">
        <f t="shared" si="5626"/>
        <v>1.1699999999999999E-2</v>
      </c>
      <c r="DD813" s="48">
        <f t="shared" ref="DD813:DI813" si="5627">(DD124+DD125)/DD181</f>
        <v>1.0699999999999998E-2</v>
      </c>
      <c r="DE813" s="48">
        <f t="shared" si="5627"/>
        <v>9.6999999999999968E-3</v>
      </c>
      <c r="DF813" s="48">
        <f t="shared" si="5627"/>
        <v>9.6697949817947156E-3</v>
      </c>
      <c r="DG813" s="235">
        <f t="shared" si="5627"/>
        <v>9.6499657253020111E-3</v>
      </c>
      <c r="DH813" s="235">
        <f t="shared" si="5627"/>
        <v>9.6304370237678388E-3</v>
      </c>
      <c r="DI813" s="235">
        <f t="shared" si="5627"/>
        <v>9.6112046046238613E-3</v>
      </c>
    </row>
    <row r="814" spans="1:113" outlineLevel="1">
      <c r="A814" s="1" t="s">
        <v>821</v>
      </c>
      <c r="B814" s="19" t="s">
        <v>296</v>
      </c>
      <c r="C814" s="235">
        <f t="shared" ref="C814:L814" si="5628">(C124+C125)/C613</f>
        <v>1.1641603376137242E-2</v>
      </c>
      <c r="D814" s="235">
        <f t="shared" si="5628"/>
        <v>9.3439694512949204E-3</v>
      </c>
      <c r="E814" s="235">
        <f t="shared" si="5628"/>
        <v>8.450963849442392E-3</v>
      </c>
      <c r="F814" s="235">
        <f t="shared" si="5628"/>
        <v>7.8597213624444426E-3</v>
      </c>
      <c r="G814" s="235">
        <f t="shared" si="5628"/>
        <v>6.2190071385755542E-3</v>
      </c>
      <c r="H814" s="235">
        <f t="shared" si="5628"/>
        <v>5.1438042560217438E-3</v>
      </c>
      <c r="I814" s="235">
        <f t="shared" si="5628"/>
        <v>3.5967186586424601E-3</v>
      </c>
      <c r="J814" s="235">
        <f t="shared" si="5628"/>
        <v>3.9574039430133835E-3</v>
      </c>
      <c r="K814" s="235">
        <f t="shared" si="5628"/>
        <v>3.6769554597776946E-3</v>
      </c>
      <c r="L814" s="235">
        <f t="shared" si="5628"/>
        <v>3.3009814128595184E-3</v>
      </c>
      <c r="M814" s="48">
        <f t="shared" ref="M814:AG814" si="5629">(M124+M125)/M613</f>
        <v>2.8553211543259501E-3</v>
      </c>
      <c r="N814" s="48">
        <f t="shared" si="5629"/>
        <v>2.6943031687904199E-3</v>
      </c>
      <c r="O814" s="48">
        <f t="shared" si="5629"/>
        <v>5.6695211272198148E-3</v>
      </c>
      <c r="P814" s="48">
        <f t="shared" si="5629"/>
        <v>7.1231107613455216E-3</v>
      </c>
      <c r="Q814" s="48">
        <f t="shared" si="5629"/>
        <v>8.7347506824784309E-3</v>
      </c>
      <c r="R814" s="48">
        <f t="shared" si="5629"/>
        <v>1.8588401472696196E-2</v>
      </c>
      <c r="S814" s="48">
        <f t="shared" si="5629"/>
        <v>2.3608552950463237E-2</v>
      </c>
      <c r="T814" s="50">
        <f t="shared" si="5629"/>
        <v>2.638771688591994E-2</v>
      </c>
      <c r="U814" s="48">
        <f t="shared" si="5629"/>
        <v>2.9451105662933557E-2</v>
      </c>
      <c r="V814" s="48">
        <f t="shared" si="5629"/>
        <v>2.9443590381106798E-2</v>
      </c>
      <c r="W814" s="48">
        <f t="shared" si="5629"/>
        <v>3.2142869820489792E-2</v>
      </c>
      <c r="X814" s="48">
        <f t="shared" si="5629"/>
        <v>2.6089585327757344E-2</v>
      </c>
      <c r="Y814" s="50">
        <f>(Y124+Y125)/Y613</f>
        <v>2.4981257451607897E-2</v>
      </c>
      <c r="Z814" s="50">
        <f>(Z124+Z125)/Z613</f>
        <v>2.360325054457563E-2</v>
      </c>
      <c r="AA814" s="50">
        <f t="shared" si="5629"/>
        <v>1.9884067833684734E-2</v>
      </c>
      <c r="AB814" s="50">
        <f t="shared" si="5629"/>
        <v>1.9602210672148464E-2</v>
      </c>
      <c r="AC814" s="50">
        <f>(AC124+AC125)/AC613</f>
        <v>1.6937358423522793E-2</v>
      </c>
      <c r="AD814" s="50">
        <f>(AD124+AD125)/AD613</f>
        <v>1.5609775441299767E-2</v>
      </c>
      <c r="AE814" s="50">
        <f>(AE124+AE125)/AE613</f>
        <v>1.4043138307826242E-2</v>
      </c>
      <c r="AF814" s="50">
        <f>(AF124+AF125)/AF613</f>
        <v>1.2308295684329016E-2</v>
      </c>
      <c r="AG814" s="50">
        <f t="shared" si="5629"/>
        <v>1.3831913993315884E-2</v>
      </c>
      <c r="AH814" s="50">
        <f t="shared" ref="AH814:AM814" si="5630">(AH124+AH125)/AH613</f>
        <v>1.3093353433482786E-2</v>
      </c>
      <c r="AI814" s="50">
        <f t="shared" si="5630"/>
        <v>1.3398526070612246E-2</v>
      </c>
      <c r="AJ814" s="50">
        <f t="shared" si="5630"/>
        <v>1.3671750945930006E-2</v>
      </c>
      <c r="AK814" s="50">
        <f t="shared" si="5630"/>
        <v>1.3944249169232379E-2</v>
      </c>
      <c r="AL814" s="50">
        <f t="shared" si="5630"/>
        <v>1.521979404417447E-2</v>
      </c>
      <c r="AM814" s="50">
        <f t="shared" si="5630"/>
        <v>1.5370106148484193E-2</v>
      </c>
      <c r="AN814" s="50">
        <f t="shared" ref="AN814:AS814" si="5631">(AN124+AN125)/AN613</f>
        <v>1.455402823975741E-2</v>
      </c>
      <c r="AO814" s="50">
        <f t="shared" si="5631"/>
        <v>1.5186350967583109E-2</v>
      </c>
      <c r="AP814" s="50">
        <f t="shared" si="5631"/>
        <v>1.3716447391626398E-2</v>
      </c>
      <c r="AQ814" s="50">
        <f t="shared" si="5631"/>
        <v>1.5907073755214343E-2</v>
      </c>
      <c r="AR814" s="50">
        <f t="shared" si="5631"/>
        <v>1.4466220411207665E-2</v>
      </c>
      <c r="AS814" s="50">
        <f t="shared" si="5631"/>
        <v>1.2259686839716243E-2</v>
      </c>
      <c r="AT814" s="50">
        <f t="shared" ref="AT814:AU814" si="5632">(AT124+AT125)/AT613</f>
        <v>1.1509179586819461E-2</v>
      </c>
      <c r="AU814" s="50">
        <f t="shared" si="5632"/>
        <v>1.3628438092958854E-2</v>
      </c>
      <c r="AV814" s="50">
        <f t="shared" ref="AV814:AW814" si="5633">(AV124+AV125)/AV613</f>
        <v>1.3946044810242341E-2</v>
      </c>
      <c r="AW814" s="50">
        <f t="shared" si="5633"/>
        <v>1.676608541100329E-2</v>
      </c>
      <c r="AX814" s="50">
        <f t="shared" ref="AX814" si="5634">(AX124+AX125)/AX613</f>
        <v>2.1379897961933705E-2</v>
      </c>
      <c r="AY814" s="50">
        <f t="shared" ref="AY814:BE814" si="5635">(AY124+AY125)/AY613</f>
        <v>2.217496901107539E-2</v>
      </c>
      <c r="AZ814" s="49">
        <f t="shared" si="5635"/>
        <v>2.0717975104391363E-2</v>
      </c>
      <c r="BA814" s="48">
        <f t="shared" si="5635"/>
        <v>1.9342059021213616E-2</v>
      </c>
      <c r="BB814" s="48">
        <f t="shared" si="5635"/>
        <v>2.1243413595834513E-2</v>
      </c>
      <c r="BC814" s="48">
        <f t="shared" si="5635"/>
        <v>2.3248441984105694E-2</v>
      </c>
      <c r="BD814" s="48">
        <f t="shared" si="5635"/>
        <v>2.4638780991930339E-2</v>
      </c>
      <c r="BE814" s="48">
        <f t="shared" si="5635"/>
        <v>2.6052981469568273E-2</v>
      </c>
      <c r="BF814" s="48">
        <f t="shared" ref="BF814:BM814" si="5636">(BF124+BF125)/BF613</f>
        <v>2.5156216971933609E-2</v>
      </c>
      <c r="BG814" s="48">
        <f t="shared" si="5636"/>
        <v>2.4211609700366992E-2</v>
      </c>
      <c r="BH814" s="48">
        <f t="shared" si="5636"/>
        <v>2.3235210781910182E-2</v>
      </c>
      <c r="BI814" s="48">
        <f t="shared" si="5636"/>
        <v>2.2207336620411779E-2</v>
      </c>
      <c r="BJ814" s="48">
        <f t="shared" si="5636"/>
        <v>2.2204723341021564E-2</v>
      </c>
      <c r="BK814" s="48">
        <f t="shared" si="5636"/>
        <v>2.2221526814416949E-2</v>
      </c>
      <c r="BL814" s="235">
        <f t="shared" si="5636"/>
        <v>2.2238213509980884E-2</v>
      </c>
      <c r="BM814" s="235">
        <f t="shared" si="5636"/>
        <v>2.2254783657198206E-2</v>
      </c>
      <c r="BN814" s="235">
        <f t="shared" ref="BN814:BO814" si="5637">(BN124+BN125)/BN613</f>
        <v>2.2271237494106019E-2</v>
      </c>
      <c r="BO814" s="235">
        <f t="shared" si="5637"/>
        <v>2.228757526716469E-2</v>
      </c>
      <c r="BP814" s="235">
        <f t="shared" ref="BP814:BQ814" si="5638">(BP124+BP125)/BP613</f>
        <v>2.230379723112837E-2</v>
      </c>
      <c r="BQ814" s="235">
        <f t="shared" si="5638"/>
        <v>2.2319903648915354E-2</v>
      </c>
      <c r="BR814" s="48"/>
      <c r="BS814" s="235">
        <f t="shared" ref="BS814:CB814" si="5639">(BS124+BS125)/BS613</f>
        <v>3.7227009935897878E-2</v>
      </c>
      <c r="BT814" s="235">
        <f t="shared" si="5639"/>
        <v>5.2307233592825152E-2</v>
      </c>
      <c r="BU814" s="235">
        <f t="shared" si="5639"/>
        <v>4.1024530162239684E-2</v>
      </c>
      <c r="BV814" s="235">
        <f t="shared" si="5639"/>
        <v>2.7606098063452822E-2</v>
      </c>
      <c r="BW814" s="235">
        <f t="shared" si="5639"/>
        <v>2.0065763923051032E-2</v>
      </c>
      <c r="BX814" s="235">
        <f t="shared" si="5639"/>
        <v>1.3993616135448953E-2</v>
      </c>
      <c r="BY814" s="235">
        <f t="shared" si="5639"/>
        <v>1.2877127214579958E-2</v>
      </c>
      <c r="BZ814" s="235">
        <f t="shared" si="5639"/>
        <v>8.6584434890915659E-3</v>
      </c>
      <c r="CA814" s="235">
        <f t="shared" si="5639"/>
        <v>1.0974129074437284E-2</v>
      </c>
      <c r="CB814" s="235">
        <f t="shared" si="5639"/>
        <v>7.406979180968761E-3</v>
      </c>
      <c r="CC814" s="48">
        <f t="shared" ref="CC814:CR814" si="5640">(CC124+CC125)/CC613</f>
        <v>8.450963849442392E-3</v>
      </c>
      <c r="CD814" s="48">
        <f t="shared" si="5640"/>
        <v>6.2190071385755542E-3</v>
      </c>
      <c r="CE814" s="48">
        <f t="shared" si="5640"/>
        <v>3.5967186586424601E-3</v>
      </c>
      <c r="CF814" s="48">
        <f t="shared" si="5640"/>
        <v>3.6769554597776946E-3</v>
      </c>
      <c r="CG814" s="48">
        <f t="shared" si="5640"/>
        <v>2.8553211543259501E-3</v>
      </c>
      <c r="CH814" s="48">
        <f t="shared" si="5640"/>
        <v>5.6695211272198148E-3</v>
      </c>
      <c r="CI814" s="48">
        <f t="shared" si="5640"/>
        <v>8.7347506824784309E-3</v>
      </c>
      <c r="CJ814" s="48">
        <f t="shared" si="5640"/>
        <v>2.3608552950463237E-2</v>
      </c>
      <c r="CK814" s="48">
        <f t="shared" si="5640"/>
        <v>2.9451105662933557E-2</v>
      </c>
      <c r="CL814" s="48">
        <f t="shared" si="5640"/>
        <v>3.2142869820489792E-2</v>
      </c>
      <c r="CM814" s="50">
        <f t="shared" si="5640"/>
        <v>2.4981257451607897E-2</v>
      </c>
      <c r="CN814" s="50">
        <f t="shared" si="5640"/>
        <v>1.9884067833684734E-2</v>
      </c>
      <c r="CO814" s="50">
        <f t="shared" si="5640"/>
        <v>1.6937358423522793E-2</v>
      </c>
      <c r="CP814" s="50">
        <f t="shared" si="5640"/>
        <v>1.4043138307826242E-2</v>
      </c>
      <c r="CQ814" s="50">
        <f t="shared" si="5640"/>
        <v>1.3831913993315884E-2</v>
      </c>
      <c r="CR814" s="50">
        <f t="shared" si="5640"/>
        <v>1.3398526070612246E-2</v>
      </c>
      <c r="CS814" s="50">
        <f t="shared" ref="CS814:DC814" si="5641">(CS124+CS125)/CS613</f>
        <v>1.3944249169232379E-2</v>
      </c>
      <c r="CT814" s="50">
        <f t="shared" si="5641"/>
        <v>1.5370106148484193E-2</v>
      </c>
      <c r="CU814" s="50">
        <f t="shared" si="5641"/>
        <v>1.5186350967583109E-2</v>
      </c>
      <c r="CV814" s="50">
        <f t="shared" si="5641"/>
        <v>1.5907073755214343E-2</v>
      </c>
      <c r="CW814" s="50">
        <f t="shared" si="5641"/>
        <v>1.2259686839716243E-2</v>
      </c>
      <c r="CX814" s="50">
        <f t="shared" si="5641"/>
        <v>1.3628438092958854E-2</v>
      </c>
      <c r="CY814" s="50">
        <f t="shared" si="5641"/>
        <v>1.676608541100329E-2</v>
      </c>
      <c r="CZ814" s="49">
        <f t="shared" si="5641"/>
        <v>2.217496901107539E-2</v>
      </c>
      <c r="DA814" s="48">
        <f t="shared" si="5641"/>
        <v>1.9342059021213616E-2</v>
      </c>
      <c r="DB814" s="48">
        <f t="shared" si="5641"/>
        <v>2.3248441984105694E-2</v>
      </c>
      <c r="DC814" s="48">
        <f t="shared" si="5641"/>
        <v>2.6052981469568273E-2</v>
      </c>
      <c r="DD814" s="48">
        <f t="shared" ref="DD814:DI814" si="5642">(DD124+DD125)/DD613</f>
        <v>2.4211609700366992E-2</v>
      </c>
      <c r="DE814" s="48">
        <f t="shared" si="5642"/>
        <v>2.2207336620411779E-2</v>
      </c>
      <c r="DF814" s="48">
        <f t="shared" si="5642"/>
        <v>2.2221526814416949E-2</v>
      </c>
      <c r="DG814" s="235">
        <f t="shared" si="5642"/>
        <v>2.2254783657198206E-2</v>
      </c>
      <c r="DH814" s="235">
        <f t="shared" si="5642"/>
        <v>2.228757526716469E-2</v>
      </c>
      <c r="DI814" s="235">
        <f t="shared" si="5642"/>
        <v>2.2319903648915354E-2</v>
      </c>
    </row>
    <row r="815" spans="1:113" outlineLevel="1">
      <c r="A815" s="1" t="s">
        <v>822</v>
      </c>
      <c r="B815" s="19" t="s">
        <v>512</v>
      </c>
      <c r="C815" s="232">
        <f>C120/C124</f>
        <v>0.32727272727272727</v>
      </c>
      <c r="D815" s="232">
        <f>D120/D124</f>
        <v>0.29569377990430623</v>
      </c>
      <c r="E815" s="232">
        <f>E120/E124</f>
        <v>0.28632025450689291</v>
      </c>
      <c r="F815" s="232">
        <f t="shared" ref="F815:L815" si="5643">F120/F124</f>
        <v>0.28618063112078346</v>
      </c>
      <c r="G815" s="232">
        <f t="shared" si="5643"/>
        <v>0.30827067669172931</v>
      </c>
      <c r="H815" s="232">
        <f t="shared" si="5643"/>
        <v>0.33165829145728642</v>
      </c>
      <c r="I815" s="232">
        <f t="shared" si="5643"/>
        <v>0.39393939393939392</v>
      </c>
      <c r="J815" s="232">
        <f t="shared" si="5643"/>
        <v>0.4044943820224719</v>
      </c>
      <c r="K815" s="232">
        <f t="shared" si="5643"/>
        <v>0.39746835443037976</v>
      </c>
      <c r="L815" s="232">
        <f t="shared" si="5643"/>
        <v>0.45202020202020204</v>
      </c>
      <c r="M815" s="42">
        <f t="shared" ref="M815:AG815" si="5644">M120/M124</f>
        <v>0.52453987730061347</v>
      </c>
      <c r="N815" s="42">
        <f t="shared" si="5644"/>
        <v>0.50591715976331364</v>
      </c>
      <c r="O815" s="42">
        <f t="shared" si="5644"/>
        <v>0.47268408551068886</v>
      </c>
      <c r="P815" s="42">
        <f t="shared" si="5644"/>
        <v>0.33629893238434166</v>
      </c>
      <c r="Q815" s="42">
        <f t="shared" si="5644"/>
        <v>0.40849194729136162</v>
      </c>
      <c r="R815" s="42">
        <f t="shared" si="5644"/>
        <v>0.41783345615327927</v>
      </c>
      <c r="S815" s="42">
        <f t="shared" si="5644"/>
        <v>0.41068883610451307</v>
      </c>
      <c r="T815" s="45">
        <f t="shared" si="5644"/>
        <v>0.37777317022600043</v>
      </c>
      <c r="U815" s="42">
        <f t="shared" si="5644"/>
        <v>0.38190184049079756</v>
      </c>
      <c r="V815" s="42">
        <f t="shared" si="5644"/>
        <v>0.41840277777777779</v>
      </c>
      <c r="W815" s="42">
        <f t="shared" si="5644"/>
        <v>0.40117047385312443</v>
      </c>
      <c r="X815" s="42">
        <f t="shared" si="5644"/>
        <v>0.4484602224123182</v>
      </c>
      <c r="Y815" s="45">
        <f>Y120/Y124</f>
        <v>0.42841903136334542</v>
      </c>
      <c r="Z815" s="45">
        <f>Z120/Z124</f>
        <v>0.41183035714285715</v>
      </c>
      <c r="AA815" s="45">
        <f t="shared" si="5644"/>
        <v>0.37598152424942261</v>
      </c>
      <c r="AB815" s="45">
        <f t="shared" si="5644"/>
        <v>0.3594821020563595</v>
      </c>
      <c r="AC815" s="45">
        <f>AC120/AC124</f>
        <v>0.33471933471933474</v>
      </c>
      <c r="AD815" s="45">
        <f>AD120/AD124</f>
        <v>0.33214285714285713</v>
      </c>
      <c r="AE815" s="45">
        <f>AE120/AE124</f>
        <v>0.31068301225919437</v>
      </c>
      <c r="AF815" s="45">
        <f>AF120/AF124</f>
        <v>0.32604017216642756</v>
      </c>
      <c r="AG815" s="45">
        <f t="shared" si="5644"/>
        <v>0.30295250320924261</v>
      </c>
      <c r="AH815" s="45">
        <f t="shared" ref="AH815:AM815" si="5645">AH120/AH124</f>
        <v>0.30133333333333334</v>
      </c>
      <c r="AI815" s="45">
        <f t="shared" si="5645"/>
        <v>0.30749921556322563</v>
      </c>
      <c r="AJ815" s="45">
        <f t="shared" si="5645"/>
        <v>0.29046629046629047</v>
      </c>
      <c r="AK815" s="45">
        <f t="shared" si="5645"/>
        <v>0.27367096571248822</v>
      </c>
      <c r="AL815" s="45">
        <f t="shared" si="5645"/>
        <v>0.25842696629213485</v>
      </c>
      <c r="AM815" s="45">
        <f t="shared" si="5645"/>
        <v>0.24710104914411926</v>
      </c>
      <c r="AN815" s="45">
        <f t="shared" ref="AN815:AS815" si="5646">AN120/AN124</f>
        <v>0.28347620455217265</v>
      </c>
      <c r="AO815" s="45">
        <f t="shared" si="5646"/>
        <v>0.27254791431792558</v>
      </c>
      <c r="AP815" s="45">
        <f t="shared" si="5646"/>
        <v>0.28129032258064518</v>
      </c>
      <c r="AQ815" s="45">
        <f t="shared" si="5646"/>
        <v>0.26400704018773835</v>
      </c>
      <c r="AR815" s="45">
        <f t="shared" si="5646"/>
        <v>0.22745548535324525</v>
      </c>
      <c r="AS815" s="45">
        <f t="shared" si="5646"/>
        <v>0.24940698068451372</v>
      </c>
      <c r="AT815" s="45">
        <f t="shared" ref="AT815:AU815" si="5647">AT120/AT124</f>
        <v>0.21113306982872201</v>
      </c>
      <c r="AU815" s="45">
        <f t="shared" si="5647"/>
        <v>0.22669873722188816</v>
      </c>
      <c r="AV815" s="45">
        <f t="shared" ref="AV815:AW815" si="5648">AV120/AV124</f>
        <v>0.22644423849243125</v>
      </c>
      <c r="AW815" s="45">
        <f t="shared" si="5648"/>
        <v>0.18256410256410258</v>
      </c>
      <c r="AX815" s="45">
        <f t="shared" ref="AX815" si="5649">AX120/AX124</f>
        <v>0.14069903075461632</v>
      </c>
      <c r="AY815" s="45">
        <f t="shared" ref="AY815:BE815" si="5650">AY120/AY124</f>
        <v>0.14787646395796974</v>
      </c>
      <c r="AZ815" s="43">
        <f t="shared" si="5650"/>
        <v>0.15093085882424012</v>
      </c>
      <c r="BA815" s="42">
        <f t="shared" si="5650"/>
        <v>0.15324768765470895</v>
      </c>
      <c r="BB815" s="42">
        <f t="shared" si="5650"/>
        <v>0.1331793640751224</v>
      </c>
      <c r="BC815" s="42">
        <f t="shared" si="5650"/>
        <v>0.10766244151857024</v>
      </c>
      <c r="BD815" s="42">
        <f t="shared" si="5650"/>
        <v>8.8934549869377627E-2</v>
      </c>
      <c r="BE815" s="42">
        <f t="shared" si="5650"/>
        <v>7.367927687323414E-2</v>
      </c>
      <c r="BF815" s="42">
        <f t="shared" ref="BF815:BM815" si="5651">BF120/BF124</f>
        <v>6.9132957648053772E-2</v>
      </c>
      <c r="BG815" s="42">
        <f t="shared" si="5651"/>
        <v>6.6010626543107562E-2</v>
      </c>
      <c r="BH815" s="42">
        <f t="shared" si="5651"/>
        <v>5.6359687256929733E-2</v>
      </c>
      <c r="BI815" s="42">
        <f t="shared" si="5651"/>
        <v>4.5795671020576675E-2</v>
      </c>
      <c r="BJ815" s="42">
        <f t="shared" si="5651"/>
        <v>4.5795671020576675E-2</v>
      </c>
      <c r="BK815" s="42">
        <f t="shared" si="5651"/>
        <v>4.5795671020576675E-2</v>
      </c>
      <c r="BL815" s="232">
        <f t="shared" si="5651"/>
        <v>4.5795671020576682E-2</v>
      </c>
      <c r="BM815" s="232">
        <f t="shared" si="5651"/>
        <v>4.5795671020576675E-2</v>
      </c>
      <c r="BN815" s="232">
        <f t="shared" ref="BN815:BO815" si="5652">BN120/BN124</f>
        <v>4.5795671020576675E-2</v>
      </c>
      <c r="BO815" s="232">
        <f t="shared" si="5652"/>
        <v>4.5795671020576675E-2</v>
      </c>
      <c r="BP815" s="232">
        <f t="shared" ref="BP815:BQ815" si="5653">BP120/BP124</f>
        <v>4.5795671020576675E-2</v>
      </c>
      <c r="BQ815" s="232">
        <f t="shared" si="5653"/>
        <v>4.5795671020576675E-2</v>
      </c>
      <c r="BR815" s="42"/>
      <c r="BS815" s="232">
        <f t="shared" ref="BS815:CB815" si="5654">BS120/BS124</f>
        <v>0.77702253794654264</v>
      </c>
      <c r="BT815" s="232">
        <f t="shared" si="5654"/>
        <v>0.2763740243019232</v>
      </c>
      <c r="BU815" s="232">
        <f t="shared" si="5654"/>
        <v>0.2959827357237716</v>
      </c>
      <c r="BV815" s="232">
        <f t="shared" si="5654"/>
        <v>0.30328867235079171</v>
      </c>
      <c r="BW815" s="232">
        <f t="shared" si="5654"/>
        <v>0.26160337552742619</v>
      </c>
      <c r="BX815" s="232">
        <f t="shared" si="5654"/>
        <v>0.26600441501103755</v>
      </c>
      <c r="BY815" s="232">
        <f t="shared" si="5654"/>
        <v>0.30129589632829373</v>
      </c>
      <c r="BZ815" s="232">
        <f t="shared" si="5654"/>
        <v>0.41856925418569252</v>
      </c>
      <c r="CA815" s="232">
        <f t="shared" si="5654"/>
        <v>0.38061674008810575</v>
      </c>
      <c r="CB815" s="232">
        <f t="shared" si="5654"/>
        <v>0.32635983263598328</v>
      </c>
      <c r="CC815" s="42">
        <f t="shared" ref="CC815:CO815" si="5655">CC120/CC124</f>
        <v>0.28632025450689291</v>
      </c>
      <c r="CD815" s="42">
        <f t="shared" si="5655"/>
        <v>0.30827067669172931</v>
      </c>
      <c r="CE815" s="42">
        <f t="shared" si="5655"/>
        <v>0.39393939393939392</v>
      </c>
      <c r="CF815" s="42">
        <f t="shared" si="5655"/>
        <v>0.39746835443037976</v>
      </c>
      <c r="CG815" s="42">
        <f t="shared" si="5655"/>
        <v>0.52453987730061347</v>
      </c>
      <c r="CH815" s="42">
        <f t="shared" si="5655"/>
        <v>0.47268408551068886</v>
      </c>
      <c r="CI815" s="42">
        <f t="shared" si="5655"/>
        <v>0.40849194729136162</v>
      </c>
      <c r="CJ815" s="42">
        <f t="shared" si="5655"/>
        <v>0.41068883610451307</v>
      </c>
      <c r="CK815" s="42">
        <f t="shared" si="5655"/>
        <v>0.38190184049079756</v>
      </c>
      <c r="CL815" s="42">
        <f t="shared" si="5655"/>
        <v>0.40117047385312443</v>
      </c>
      <c r="CM815" s="45">
        <f t="shared" si="5655"/>
        <v>0.42841903136334542</v>
      </c>
      <c r="CN815" s="45">
        <f t="shared" si="5655"/>
        <v>0.37598152424942261</v>
      </c>
      <c r="CO815" s="45">
        <f t="shared" si="5655"/>
        <v>0.33471933471933474</v>
      </c>
      <c r="CP815" s="45">
        <f t="shared" ref="CP815:CX815" si="5656">CP120/CP124</f>
        <v>0.31068301225919437</v>
      </c>
      <c r="CQ815" s="45">
        <f t="shared" si="5656"/>
        <v>0.30295250320924261</v>
      </c>
      <c r="CR815" s="45">
        <f t="shared" si="5656"/>
        <v>0.30749921556322563</v>
      </c>
      <c r="CS815" s="45">
        <f t="shared" si="5656"/>
        <v>0.27367096571248822</v>
      </c>
      <c r="CT815" s="45">
        <f t="shared" si="5656"/>
        <v>0.24710104914411926</v>
      </c>
      <c r="CU815" s="45">
        <f t="shared" si="5656"/>
        <v>0.27254791431792558</v>
      </c>
      <c r="CV815" s="45">
        <f t="shared" si="5656"/>
        <v>0.26400704018773835</v>
      </c>
      <c r="CW815" s="45">
        <f t="shared" si="5656"/>
        <v>0.24940698068451372</v>
      </c>
      <c r="CX815" s="45">
        <f t="shared" si="5656"/>
        <v>0.22669873722188816</v>
      </c>
      <c r="CY815" s="45">
        <f t="shared" ref="CY815:DD815" si="5657">CY120/CY124</f>
        <v>0.18256410256410258</v>
      </c>
      <c r="CZ815" s="43">
        <f t="shared" si="5657"/>
        <v>0.14787646395796974</v>
      </c>
      <c r="DA815" s="42">
        <f t="shared" si="5657"/>
        <v>0.15324768765470895</v>
      </c>
      <c r="DB815" s="42">
        <f t="shared" si="5657"/>
        <v>0.10766244151857024</v>
      </c>
      <c r="DC815" s="42">
        <f t="shared" si="5657"/>
        <v>7.367927687323414E-2</v>
      </c>
      <c r="DD815" s="42">
        <f t="shared" si="5657"/>
        <v>6.6010626543107562E-2</v>
      </c>
      <c r="DE815" s="42">
        <f>DE120/DE124</f>
        <v>4.5795671020576675E-2</v>
      </c>
      <c r="DF815" s="42">
        <f>DF120/DF124</f>
        <v>4.5795671020576675E-2</v>
      </c>
      <c r="DG815" s="232">
        <f>DG120/DG124</f>
        <v>4.5795671020576675E-2</v>
      </c>
      <c r="DH815" s="232">
        <f>DH120/DH124</f>
        <v>4.5795671020576675E-2</v>
      </c>
      <c r="DI815" s="232">
        <f>DI120/DI124</f>
        <v>4.5795671020576675E-2</v>
      </c>
    </row>
    <row r="816" spans="1:113" outlineLevel="1">
      <c r="A816" s="1" t="s">
        <v>823</v>
      </c>
      <c r="B816" s="19" t="s">
        <v>350</v>
      </c>
      <c r="C816" s="235">
        <f t="shared" ref="C816:L816" si="5658">C121/(C181-C176)</f>
        <v>1.6849737437972731E-2</v>
      </c>
      <c r="D816" s="235">
        <f t="shared" si="5658"/>
        <v>1.6419674068238885E-2</v>
      </c>
      <c r="E816" s="235">
        <f t="shared" si="5658"/>
        <v>1.6451119792298546E-2</v>
      </c>
      <c r="F816" s="235">
        <f t="shared" si="5658"/>
        <v>1.629220380601596E-2</v>
      </c>
      <c r="G816" s="235">
        <f t="shared" si="5658"/>
        <v>1.6287445759732518E-2</v>
      </c>
      <c r="H816" s="235">
        <f t="shared" si="5658"/>
        <v>1.6100348564247267E-2</v>
      </c>
      <c r="I816" s="235">
        <f t="shared" si="5658"/>
        <v>1.6564402587519025E-2</v>
      </c>
      <c r="J816" s="235">
        <f t="shared" si="5658"/>
        <v>1.4311957074507281E-2</v>
      </c>
      <c r="K816" s="235">
        <f t="shared" si="5658"/>
        <v>1.3012666285960362E-2</v>
      </c>
      <c r="L816" s="235">
        <f t="shared" si="5658"/>
        <v>9.1416829126929767E-3</v>
      </c>
      <c r="M816" s="48">
        <f t="shared" ref="M816:AG816" si="5659">M121/(M181-M176)</f>
        <v>9.3742718359592046E-3</v>
      </c>
      <c r="N816" s="48">
        <f t="shared" si="5659"/>
        <v>8.6059231921355103E-3</v>
      </c>
      <c r="O816" s="48">
        <f t="shared" si="5659"/>
        <v>7.2485611536007967E-3</v>
      </c>
      <c r="P816" s="48">
        <f t="shared" si="5659"/>
        <v>7.4205607476635514E-3</v>
      </c>
      <c r="Q816" s="48">
        <f t="shared" si="5659"/>
        <v>8.8564006524497075E-3</v>
      </c>
      <c r="R816" s="48">
        <f t="shared" si="5659"/>
        <v>1.2436160373185345E-2</v>
      </c>
      <c r="S816" s="48">
        <f t="shared" si="5659"/>
        <v>1.6617115886993307E-2</v>
      </c>
      <c r="T816" s="50">
        <f t="shared" si="5659"/>
        <v>1.8420392633977406E-2</v>
      </c>
      <c r="U816" s="48">
        <f t="shared" si="5659"/>
        <v>1.8519608525119996E-2</v>
      </c>
      <c r="V816" s="48">
        <f t="shared" si="5659"/>
        <v>1.8504407797769681E-2</v>
      </c>
      <c r="W816" s="48">
        <f t="shared" si="5659"/>
        <v>1.6896450246256182E-2</v>
      </c>
      <c r="X816" s="48">
        <f t="shared" si="5659"/>
        <v>1.6281277621973178E-2</v>
      </c>
      <c r="Y816" s="50">
        <f>Y121/(Y181-Y176)</f>
        <v>1.5151272397126759E-2</v>
      </c>
      <c r="Z816" s="50">
        <f>Z121/(Z181-Z176)</f>
        <v>1.5167677668274716E-2</v>
      </c>
      <c r="AA816" s="50">
        <f t="shared" si="5659"/>
        <v>1.4707168844267652E-2</v>
      </c>
      <c r="AB816" s="50">
        <f t="shared" si="5659"/>
        <v>1.4122764715724E-2</v>
      </c>
      <c r="AC816" s="50">
        <f>AC121/(AC181-AC176)</f>
        <v>1.3425899085937349E-2</v>
      </c>
      <c r="AD816" s="50">
        <f>AD121/(AD181-AD176)</f>
        <v>1.2856604423267522E-2</v>
      </c>
      <c r="AE816" s="50">
        <f>AE121/(AE181-AE176)</f>
        <v>1.2442954773778794E-2</v>
      </c>
      <c r="AF816" s="50">
        <f>AF121/(AF181-AF176)</f>
        <v>1.1804121539045051E-2</v>
      </c>
      <c r="AG816" s="50">
        <f t="shared" si="5659"/>
        <v>1.1526835274242963E-2</v>
      </c>
      <c r="AH816" s="50">
        <f t="shared" ref="AH816:AM816" si="5660">AH121/(AH181-AH176)</f>
        <v>1.1429060023941173E-2</v>
      </c>
      <c r="AI816" s="50">
        <f t="shared" si="5660"/>
        <v>1.0985319582021986E-2</v>
      </c>
      <c r="AJ816" s="50">
        <f t="shared" si="5660"/>
        <v>1.1196697539715559E-2</v>
      </c>
      <c r="AK816" s="50">
        <f t="shared" si="5660"/>
        <v>1.1246153595675747E-2</v>
      </c>
      <c r="AL816" s="50">
        <f t="shared" si="5660"/>
        <v>1.5517816601703949E-2</v>
      </c>
      <c r="AM816" s="50">
        <f t="shared" si="5660"/>
        <v>1.6474103081298687E-2</v>
      </c>
      <c r="AN816" s="50">
        <f t="shared" ref="AN816:AS816" si="5661">AN121/(AN181-AN176)</f>
        <v>1.7283363010118437E-2</v>
      </c>
      <c r="AO816" s="50">
        <f t="shared" si="5661"/>
        <v>2.2831127509054597E-2</v>
      </c>
      <c r="AP816" s="50">
        <f t="shared" si="5661"/>
        <v>2.5364592002663219E-2</v>
      </c>
      <c r="AQ816" s="50">
        <f t="shared" si="5661"/>
        <v>2.2343289861169541E-2</v>
      </c>
      <c r="AR816" s="50">
        <f t="shared" si="5661"/>
        <v>2.0763431421610048E-2</v>
      </c>
      <c r="AS816" s="50">
        <f t="shared" si="5661"/>
        <v>1.7593126051638552E-2</v>
      </c>
      <c r="AT816" s="50">
        <f t="shared" ref="AT816:AU816" si="5662">AT121/(AT181-AT176)</f>
        <v>1.7988120498381069E-2</v>
      </c>
      <c r="AU816" s="50">
        <f t="shared" si="5662"/>
        <v>1.8580036115928556E-2</v>
      </c>
      <c r="AV816" s="50">
        <f t="shared" ref="AV816:AW816" si="5663">AV121/(AV181-AV176)</f>
        <v>1.9204508195244632E-2</v>
      </c>
      <c r="AW816" s="50">
        <f t="shared" si="5663"/>
        <v>1.9134079690636897E-2</v>
      </c>
      <c r="AX816" s="50">
        <f t="shared" ref="AX816" si="5664">AX121/(AX181-AX176)</f>
        <v>1.8927227361078561E-2</v>
      </c>
      <c r="AY816" s="50">
        <f t="shared" ref="AY816:BE816" si="5665">AY121/(AY181-AY176)</f>
        <v>1.8169224385510361E-2</v>
      </c>
      <c r="AZ816" s="49">
        <f t="shared" si="5665"/>
        <v>1.7491588761449069E-2</v>
      </c>
      <c r="BA816" s="48">
        <f t="shared" si="5665"/>
        <v>1.6794373503401745E-2</v>
      </c>
      <c r="BB816" s="48">
        <f t="shared" si="5665"/>
        <v>1.6355466202065193E-2</v>
      </c>
      <c r="BC816" s="48">
        <f t="shared" si="5665"/>
        <v>1.5993833618681331E-2</v>
      </c>
      <c r="BD816" s="48">
        <f t="shared" si="5665"/>
        <v>1.5940823486707063E-2</v>
      </c>
      <c r="BE816" s="48">
        <f t="shared" si="5665"/>
        <v>1.5891787156557088E-2</v>
      </c>
      <c r="BF816" s="48">
        <f t="shared" ref="BF816:BM816" si="5666">BF121/(BF181-BF176)</f>
        <v>1.5893446972174593E-2</v>
      </c>
      <c r="BG816" s="48">
        <f t="shared" si="5666"/>
        <v>1.5881684959903331E-2</v>
      </c>
      <c r="BH816" s="48">
        <f t="shared" si="5666"/>
        <v>1.5869693529753721E-2</v>
      </c>
      <c r="BI816" s="48">
        <f t="shared" si="5666"/>
        <v>1.5833558363002737E-2</v>
      </c>
      <c r="BJ816" s="48">
        <f t="shared" si="5666"/>
        <v>1.5694872227045725E-2</v>
      </c>
      <c r="BK816" s="48">
        <f t="shared" si="5666"/>
        <v>1.5547622834255656E-2</v>
      </c>
      <c r="BL816" s="235">
        <f t="shared" si="5666"/>
        <v>1.5401695675773633E-2</v>
      </c>
      <c r="BM816" s="235">
        <f t="shared" si="5666"/>
        <v>1.5257079693158997E-2</v>
      </c>
      <c r="BN816" s="235">
        <f t="shared" ref="BN816:BO816" si="5667">BN121/(BN181-BN176)</f>
        <v>1.5113763911337813E-2</v>
      </c>
      <c r="BO816" s="235">
        <f t="shared" si="5667"/>
        <v>1.4971737438020615E-2</v>
      </c>
      <c r="BP816" s="235">
        <f t="shared" ref="BP816:BQ816" si="5668">BP121/(BP181-BP176)</f>
        <v>1.4830989463125773E-2</v>
      </c>
      <c r="BQ816" s="235">
        <f t="shared" si="5668"/>
        <v>1.4691509258208276E-2</v>
      </c>
      <c r="BR816" s="48"/>
      <c r="BS816" s="235">
        <f t="shared" ref="BS816:CB816" si="5669">BS121/(BS181-BS176)</f>
        <v>8.0880194573740918E-3</v>
      </c>
      <c r="BT816" s="235">
        <f t="shared" si="5669"/>
        <v>7.3527643174455155E-3</v>
      </c>
      <c r="BU816" s="235">
        <f t="shared" si="5669"/>
        <v>7.8702315393124316E-3</v>
      </c>
      <c r="BV816" s="235">
        <f t="shared" si="5669"/>
        <v>1.0997643362136685E-2</v>
      </c>
      <c r="BW816" s="235">
        <f t="shared" si="5669"/>
        <v>1.5745875265283767E-2</v>
      </c>
      <c r="BX816" s="235">
        <f t="shared" si="5669"/>
        <v>1.4358846297914845E-2</v>
      </c>
      <c r="BY816" s="235">
        <f t="shared" si="5669"/>
        <v>2.0116661681124737E-2</v>
      </c>
      <c r="BZ816" s="235">
        <f t="shared" si="5669"/>
        <v>1.7832692720104258E-2</v>
      </c>
      <c r="CA816" s="235">
        <f t="shared" si="5669"/>
        <v>1.7538874825644469E-2</v>
      </c>
      <c r="CB816" s="235">
        <f t="shared" si="5669"/>
        <v>1.6849737437972731E-2</v>
      </c>
      <c r="CC816" s="48">
        <f t="shared" ref="CC816:CR816" si="5670">CC121/(CC181-CC176)</f>
        <v>1.6451119792298546E-2</v>
      </c>
      <c r="CD816" s="48">
        <f t="shared" si="5670"/>
        <v>1.6287445759732518E-2</v>
      </c>
      <c r="CE816" s="48">
        <f t="shared" si="5670"/>
        <v>1.6564402587519025E-2</v>
      </c>
      <c r="CF816" s="48">
        <f t="shared" si="5670"/>
        <v>1.3012666285960362E-2</v>
      </c>
      <c r="CG816" s="48">
        <f t="shared" si="5670"/>
        <v>9.3742718359592046E-3</v>
      </c>
      <c r="CH816" s="48">
        <f t="shared" si="5670"/>
        <v>7.2485611536007967E-3</v>
      </c>
      <c r="CI816" s="48">
        <f t="shared" si="5670"/>
        <v>8.8564006524497075E-3</v>
      </c>
      <c r="CJ816" s="48">
        <f t="shared" si="5670"/>
        <v>1.6617115886993307E-2</v>
      </c>
      <c r="CK816" s="48">
        <f t="shared" si="5670"/>
        <v>1.8519608525119996E-2</v>
      </c>
      <c r="CL816" s="48">
        <f t="shared" si="5670"/>
        <v>1.6896450246256182E-2</v>
      </c>
      <c r="CM816" s="50">
        <f t="shared" si="5670"/>
        <v>1.5151272397126759E-2</v>
      </c>
      <c r="CN816" s="50">
        <f t="shared" si="5670"/>
        <v>1.4707168844267652E-2</v>
      </c>
      <c r="CO816" s="50">
        <f t="shared" si="5670"/>
        <v>1.3425899085937349E-2</v>
      </c>
      <c r="CP816" s="50">
        <f t="shared" si="5670"/>
        <v>1.2442954773778794E-2</v>
      </c>
      <c r="CQ816" s="50">
        <f t="shared" si="5670"/>
        <v>1.1526835274242963E-2</v>
      </c>
      <c r="CR816" s="50">
        <f t="shared" si="5670"/>
        <v>1.0985319582021986E-2</v>
      </c>
      <c r="CS816" s="50">
        <f t="shared" ref="CS816:DC816" si="5671">CS121/(CS181-CS176)</f>
        <v>1.1246153595675747E-2</v>
      </c>
      <c r="CT816" s="50">
        <f t="shared" si="5671"/>
        <v>1.6474103081298687E-2</v>
      </c>
      <c r="CU816" s="50">
        <f t="shared" si="5671"/>
        <v>2.2831127509054597E-2</v>
      </c>
      <c r="CV816" s="50">
        <f t="shared" si="5671"/>
        <v>2.2343289861169541E-2</v>
      </c>
      <c r="CW816" s="50">
        <f t="shared" si="5671"/>
        <v>1.7593126051638552E-2</v>
      </c>
      <c r="CX816" s="50">
        <f t="shared" si="5671"/>
        <v>1.8580036115928556E-2</v>
      </c>
      <c r="CY816" s="50">
        <f t="shared" si="5671"/>
        <v>1.9134079690636897E-2</v>
      </c>
      <c r="CZ816" s="49">
        <f t="shared" si="5671"/>
        <v>1.8169224385510361E-2</v>
      </c>
      <c r="DA816" s="48">
        <f t="shared" si="5671"/>
        <v>1.6794373503401745E-2</v>
      </c>
      <c r="DB816" s="48">
        <f t="shared" si="5671"/>
        <v>1.5993833618681331E-2</v>
      </c>
      <c r="DC816" s="48">
        <f t="shared" si="5671"/>
        <v>1.5891787156557088E-2</v>
      </c>
      <c r="DD816" s="48">
        <f t="shared" ref="DD816:DI816" si="5672">DD121/(DD181-DD176)</f>
        <v>1.5881684959903331E-2</v>
      </c>
      <c r="DE816" s="48">
        <f t="shared" si="5672"/>
        <v>1.5833558363002737E-2</v>
      </c>
      <c r="DF816" s="48">
        <f t="shared" si="5672"/>
        <v>1.5547622834255656E-2</v>
      </c>
      <c r="DG816" s="235">
        <f t="shared" si="5672"/>
        <v>1.5257079693158997E-2</v>
      </c>
      <c r="DH816" s="235">
        <f t="shared" si="5672"/>
        <v>1.4971737438020615E-2</v>
      </c>
      <c r="DI816" s="235">
        <f t="shared" si="5672"/>
        <v>1.4691509258208276E-2</v>
      </c>
    </row>
    <row r="817" spans="1:113" outlineLevel="1">
      <c r="A817" s="1" t="s">
        <v>824</v>
      </c>
      <c r="B817" s="19" t="s">
        <v>297</v>
      </c>
      <c r="C817" s="235">
        <f>C121/(C613-C612)</f>
        <v>1.0156890931399241E-2</v>
      </c>
      <c r="D817" s="235">
        <f>D121/(D613-D612)</f>
        <v>9.7034413029088509E-3</v>
      </c>
      <c r="E817" s="235">
        <f t="shared" ref="E817:L817" si="5673">E121/(E613-E612)</f>
        <v>9.6954790181539973E-3</v>
      </c>
      <c r="F817" s="235">
        <f t="shared" si="5673"/>
        <v>9.3114312378519849E-3</v>
      </c>
      <c r="G817" s="235">
        <f t="shared" si="5673"/>
        <v>9.1075933270553956E-3</v>
      </c>
      <c r="H817" s="235">
        <f t="shared" si="5673"/>
        <v>8.7465059061457399E-3</v>
      </c>
      <c r="I817" s="235">
        <f t="shared" si="5673"/>
        <v>8.3456151071809436E-3</v>
      </c>
      <c r="J817" s="235">
        <f t="shared" si="5673"/>
        <v>7.7471910112359554E-3</v>
      </c>
      <c r="K817" s="235">
        <f t="shared" si="5673"/>
        <v>7.444899708095659E-3</v>
      </c>
      <c r="L817" s="235">
        <f t="shared" si="5673"/>
        <v>5.2229932116140106E-3</v>
      </c>
      <c r="M817" s="48">
        <f t="shared" ref="M817:AG817" si="5674">M121/(M613-M612)</f>
        <v>4.9110056293458406E-3</v>
      </c>
      <c r="N817" s="48">
        <f t="shared" si="5674"/>
        <v>4.5036462212676032E-3</v>
      </c>
      <c r="O817" s="48">
        <f t="shared" si="5674"/>
        <v>4.2864723244784931E-3</v>
      </c>
      <c r="P817" s="48">
        <f t="shared" si="5674"/>
        <v>6.5570701843246934E-3</v>
      </c>
      <c r="Q817" s="48">
        <f t="shared" si="5674"/>
        <v>7.821169440887751E-3</v>
      </c>
      <c r="R817" s="48">
        <f t="shared" si="5674"/>
        <v>1.1182881241778955E-2</v>
      </c>
      <c r="S817" s="48">
        <f t="shared" si="5674"/>
        <v>1.2478090794070876E-2</v>
      </c>
      <c r="T817" s="50">
        <f t="shared" si="5674"/>
        <v>1.3355721835754026E-2</v>
      </c>
      <c r="U817" s="48">
        <f t="shared" si="5674"/>
        <v>1.3479356449332652E-2</v>
      </c>
      <c r="V817" s="48">
        <f t="shared" si="5674"/>
        <v>1.3601354003139717E-2</v>
      </c>
      <c r="W817" s="48">
        <f t="shared" si="5674"/>
        <v>1.2332720007132956E-2</v>
      </c>
      <c r="X817" s="48">
        <f t="shared" si="5674"/>
        <v>1.1545932225687377E-2</v>
      </c>
      <c r="Y817" s="50">
        <f>Y121/(Y613-Y612)</f>
        <v>1.0851894778314572E-2</v>
      </c>
      <c r="Z817" s="50">
        <f>Z121/(Z613-Z612)</f>
        <v>1.1057504439638328E-2</v>
      </c>
      <c r="AA817" s="50">
        <f t="shared" si="5674"/>
        <v>1.021904074029048E-2</v>
      </c>
      <c r="AB817" s="50">
        <f t="shared" si="5674"/>
        <v>1.0169947980893254E-2</v>
      </c>
      <c r="AC817" s="50">
        <f>AC121/(AC613-AC612)</f>
        <v>9.611327463010742E-3</v>
      </c>
      <c r="AD817" s="50">
        <f>AD121/(AD613-AD612)</f>
        <v>8.8693005996327724E-3</v>
      </c>
      <c r="AE817" s="50">
        <f>AE121/(AE613-AE612)</f>
        <v>8.6535870716286413E-3</v>
      </c>
      <c r="AF817" s="50">
        <f>AF121/(AF613-AF612)</f>
        <v>8.3622673955164387E-3</v>
      </c>
      <c r="AG817" s="50">
        <f t="shared" si="5674"/>
        <v>8.1911461209778214E-3</v>
      </c>
      <c r="AH817" s="50">
        <f t="shared" ref="AH817:AM817" si="5675">AH121/(AH613-AH612)</f>
        <v>7.5148717893801231E-3</v>
      </c>
      <c r="AI817" s="50">
        <f t="shared" si="5675"/>
        <v>7.2814697595020928E-3</v>
      </c>
      <c r="AJ817" s="50">
        <f t="shared" si="5675"/>
        <v>7.5534422387836019E-3</v>
      </c>
      <c r="AK817" s="50">
        <f t="shared" si="5675"/>
        <v>7.4771059297265704E-3</v>
      </c>
      <c r="AL817" s="50">
        <f t="shared" si="5675"/>
        <v>1.0326081070836808E-2</v>
      </c>
      <c r="AM817" s="50">
        <f t="shared" si="5675"/>
        <v>1.0478455286734984E-2</v>
      </c>
      <c r="AN817" s="50">
        <f t="shared" ref="AN817:AS817" si="5676">AN121/(AN613-AN612)</f>
        <v>1.0839061129959464E-2</v>
      </c>
      <c r="AO817" s="50">
        <f t="shared" si="5676"/>
        <v>1.4420327423742765E-2</v>
      </c>
      <c r="AP817" s="50">
        <f t="shared" si="5676"/>
        <v>1.5768108251525605E-2</v>
      </c>
      <c r="AQ817" s="50">
        <f t="shared" si="5676"/>
        <v>1.391953872362731E-2</v>
      </c>
      <c r="AR817" s="50">
        <f t="shared" si="5676"/>
        <v>1.2956663518366366E-2</v>
      </c>
      <c r="AS817" s="50">
        <f t="shared" si="5676"/>
        <v>1.1713540303876316E-2</v>
      </c>
      <c r="AT817" s="50">
        <f t="shared" ref="AT817:AU817" si="5677">AT121/(AT613-AT612)</f>
        <v>1.2188539290627014E-2</v>
      </c>
      <c r="AU817" s="50">
        <f t="shared" si="5677"/>
        <v>1.4319217127944244E-2</v>
      </c>
      <c r="AV817" s="50">
        <f t="shared" ref="AV817:AW817" si="5678">AV121/(AV613-AV612)</f>
        <v>1.445482528102838E-2</v>
      </c>
      <c r="AW817" s="50">
        <f t="shared" si="5678"/>
        <v>1.4639189729081858E-2</v>
      </c>
      <c r="AX817" s="50">
        <f t="shared" ref="AX817" si="5679">AX121/(AX613-AX612)</f>
        <v>1.426060132375356E-2</v>
      </c>
      <c r="AY817" s="50">
        <f t="shared" ref="AY817:BE817" si="5680">AY121/(AY613-AY612)</f>
        <v>1.3939858821642E-2</v>
      </c>
      <c r="AZ817" s="49">
        <f t="shared" si="5680"/>
        <v>1.3546180940019897E-2</v>
      </c>
      <c r="BA817" s="48">
        <f t="shared" si="5680"/>
        <v>1.3200263320639441E-2</v>
      </c>
      <c r="BB817" s="48">
        <f t="shared" si="5680"/>
        <v>1.3039659502045955E-2</v>
      </c>
      <c r="BC817" s="48">
        <f t="shared" si="5680"/>
        <v>1.2892450888513797E-2</v>
      </c>
      <c r="BD817" s="48">
        <f t="shared" si="5680"/>
        <v>1.2843949884433237E-2</v>
      </c>
      <c r="BE817" s="48">
        <f t="shared" si="5680"/>
        <v>1.2798205718521151E-2</v>
      </c>
      <c r="BF817" s="48">
        <f t="shared" ref="BF817:BM817" si="5681">BF121/(BF613-BF612)</f>
        <v>1.2741711960002523E-2</v>
      </c>
      <c r="BG817" s="48">
        <f t="shared" si="5681"/>
        <v>1.269048372353645E-2</v>
      </c>
      <c r="BH817" s="48">
        <f t="shared" si="5681"/>
        <v>1.2639783086015526E-2</v>
      </c>
      <c r="BI817" s="48">
        <f t="shared" si="5681"/>
        <v>1.259460145396557E-2</v>
      </c>
      <c r="BJ817" s="48">
        <f t="shared" si="5681"/>
        <v>1.2468655439425914E-2</v>
      </c>
      <c r="BK817" s="48">
        <f t="shared" si="5681"/>
        <v>1.2343968885031656E-2</v>
      </c>
      <c r="BL817" s="235">
        <f t="shared" si="5681"/>
        <v>1.2220529196181339E-2</v>
      </c>
      <c r="BM817" s="235">
        <f t="shared" si="5681"/>
        <v>1.2098323904219525E-2</v>
      </c>
      <c r="BN817" s="235">
        <f t="shared" ref="BN817:BO817" si="5682">BN121/(BN613-BN612)</f>
        <v>1.1977340665177329E-2</v>
      </c>
      <c r="BO817" s="235">
        <f t="shared" si="5682"/>
        <v>1.1857567258525556E-2</v>
      </c>
      <c r="BP817" s="235">
        <f t="shared" ref="BP817:BQ817" si="5683">BP121/(BP613-BP612)</f>
        <v>1.17389915859403E-2</v>
      </c>
      <c r="BQ817" s="235">
        <f t="shared" si="5683"/>
        <v>1.1621601670080898E-2</v>
      </c>
      <c r="BR817" s="48"/>
      <c r="BS817" s="235">
        <f t="shared" ref="BS817:CB817" si="5684">BS121/(BS613-BS612)</f>
        <v>7.6464622103875586E-3</v>
      </c>
      <c r="BT817" s="235">
        <f t="shared" si="5684"/>
        <v>6.7403800325994221E-3</v>
      </c>
      <c r="BU817" s="235">
        <f t="shared" si="5684"/>
        <v>6.7727265735950826E-3</v>
      </c>
      <c r="BV817" s="235">
        <f t="shared" si="5684"/>
        <v>7.5867455093160769E-3</v>
      </c>
      <c r="BW817" s="235">
        <f t="shared" si="5684"/>
        <v>9.9350621301349147E-3</v>
      </c>
      <c r="BX817" s="235">
        <f t="shared" si="5684"/>
        <v>8.9905794363297591E-3</v>
      </c>
      <c r="BY817" s="235">
        <f t="shared" si="5684"/>
        <v>1.3107405196671987E-2</v>
      </c>
      <c r="BZ817" s="235">
        <f t="shared" si="5684"/>
        <v>1.2634556271111163E-2</v>
      </c>
      <c r="CA817" s="235">
        <f t="shared" si="5684"/>
        <v>1.2159197743654027E-2</v>
      </c>
      <c r="CB817" s="235">
        <f t="shared" si="5684"/>
        <v>1.1839176758316619E-2</v>
      </c>
      <c r="CC817" s="48">
        <f t="shared" ref="CC817:CR817" si="5685">CC121/(CC613-CC612)</f>
        <v>9.6954790181539973E-3</v>
      </c>
      <c r="CD817" s="48">
        <f t="shared" si="5685"/>
        <v>9.1075933270553956E-3</v>
      </c>
      <c r="CE817" s="48">
        <f t="shared" si="5685"/>
        <v>8.3456151071809436E-3</v>
      </c>
      <c r="CF817" s="48">
        <f t="shared" si="5685"/>
        <v>7.444899708095659E-3</v>
      </c>
      <c r="CG817" s="48">
        <f t="shared" si="5685"/>
        <v>4.9110056293458406E-3</v>
      </c>
      <c r="CH817" s="48">
        <f t="shared" si="5685"/>
        <v>4.2864723244784931E-3</v>
      </c>
      <c r="CI817" s="48">
        <f t="shared" si="5685"/>
        <v>7.821169440887751E-3</v>
      </c>
      <c r="CJ817" s="48">
        <f t="shared" si="5685"/>
        <v>1.2478090794070876E-2</v>
      </c>
      <c r="CK817" s="48">
        <f t="shared" si="5685"/>
        <v>1.3479356449332652E-2</v>
      </c>
      <c r="CL817" s="48">
        <f t="shared" si="5685"/>
        <v>1.2332720007132956E-2</v>
      </c>
      <c r="CM817" s="50">
        <f t="shared" si="5685"/>
        <v>1.0851894778314572E-2</v>
      </c>
      <c r="CN817" s="50">
        <f t="shared" si="5685"/>
        <v>1.021904074029048E-2</v>
      </c>
      <c r="CO817" s="50">
        <f t="shared" si="5685"/>
        <v>9.611327463010742E-3</v>
      </c>
      <c r="CP817" s="50">
        <f t="shared" si="5685"/>
        <v>8.6535870716286413E-3</v>
      </c>
      <c r="CQ817" s="50">
        <f t="shared" si="5685"/>
        <v>8.1911461209778214E-3</v>
      </c>
      <c r="CR817" s="50">
        <f t="shared" si="5685"/>
        <v>7.2814697595020928E-3</v>
      </c>
      <c r="CS817" s="50">
        <f t="shared" ref="CS817:DC817" si="5686">CS121/(CS613-CS612)</f>
        <v>7.4771059297265704E-3</v>
      </c>
      <c r="CT817" s="50">
        <f t="shared" si="5686"/>
        <v>1.0478455286734984E-2</v>
      </c>
      <c r="CU817" s="50">
        <f t="shared" si="5686"/>
        <v>1.4420327423742765E-2</v>
      </c>
      <c r="CV817" s="50">
        <f t="shared" si="5686"/>
        <v>1.391953872362731E-2</v>
      </c>
      <c r="CW817" s="50">
        <f t="shared" si="5686"/>
        <v>1.1713540303876316E-2</v>
      </c>
      <c r="CX817" s="50">
        <f t="shared" si="5686"/>
        <v>1.4319217127944244E-2</v>
      </c>
      <c r="CY817" s="50">
        <f t="shared" si="5686"/>
        <v>1.4639189729081858E-2</v>
      </c>
      <c r="CZ817" s="49">
        <f t="shared" si="5686"/>
        <v>1.3939858821642E-2</v>
      </c>
      <c r="DA817" s="48">
        <f t="shared" si="5686"/>
        <v>1.3200263320639441E-2</v>
      </c>
      <c r="DB817" s="48">
        <f t="shared" si="5686"/>
        <v>1.2892450888513797E-2</v>
      </c>
      <c r="DC817" s="48">
        <f t="shared" si="5686"/>
        <v>1.2798205718521151E-2</v>
      </c>
      <c r="DD817" s="48">
        <f t="shared" ref="DD817:DI817" si="5687">DD121/(DD613-DD612)</f>
        <v>1.269048372353645E-2</v>
      </c>
      <c r="DE817" s="48">
        <f t="shared" si="5687"/>
        <v>1.259460145396557E-2</v>
      </c>
      <c r="DF817" s="48">
        <f t="shared" si="5687"/>
        <v>1.2343968885031656E-2</v>
      </c>
      <c r="DG817" s="235">
        <f t="shared" si="5687"/>
        <v>1.2098323904219525E-2</v>
      </c>
      <c r="DH817" s="235">
        <f t="shared" si="5687"/>
        <v>1.1857567258525556E-2</v>
      </c>
      <c r="DI817" s="235">
        <f t="shared" si="5687"/>
        <v>1.1621601670080898E-2</v>
      </c>
    </row>
    <row r="818" spans="1:113" outlineLevel="1">
      <c r="A818" s="1" t="s">
        <v>825</v>
      </c>
      <c r="B818" s="19" t="s">
        <v>263</v>
      </c>
      <c r="C818" s="235">
        <f t="shared" ref="C818:L818" si="5688">C121/(C613)</f>
        <v>1.0109623291878337E-2</v>
      </c>
      <c r="D818" s="235">
        <f t="shared" si="5688"/>
        <v>9.6477207802069843E-3</v>
      </c>
      <c r="E818" s="235">
        <f t="shared" si="5688"/>
        <v>9.6136803522180233E-3</v>
      </c>
      <c r="F818" s="235">
        <f t="shared" si="5688"/>
        <v>9.2299559716493597E-3</v>
      </c>
      <c r="G818" s="235">
        <f t="shared" si="5688"/>
        <v>9.0253937115143592E-3</v>
      </c>
      <c r="H818" s="235">
        <f t="shared" si="5688"/>
        <v>8.6238100983673186E-3</v>
      </c>
      <c r="I818" s="235">
        <f t="shared" si="5688"/>
        <v>8.2269771617224097E-3</v>
      </c>
      <c r="J818" s="235">
        <f t="shared" si="5688"/>
        <v>7.6325315208607769E-3</v>
      </c>
      <c r="K818" s="235">
        <f t="shared" si="5688"/>
        <v>7.3328093100301223E-3</v>
      </c>
      <c r="L818" s="235">
        <f t="shared" si="5688"/>
        <v>5.1365047096962012E-3</v>
      </c>
      <c r="M818" s="48">
        <f t="shared" ref="M818:AG818" si="5689">M121/(M613)</f>
        <v>4.8327927628235342E-3</v>
      </c>
      <c r="N818" s="48">
        <f t="shared" si="5689"/>
        <v>4.4336634423133492E-3</v>
      </c>
      <c r="O818" s="48">
        <f t="shared" si="5689"/>
        <v>4.2144391412978349E-3</v>
      </c>
      <c r="P818" s="48">
        <f t="shared" si="5689"/>
        <v>6.0082329438828014E-3</v>
      </c>
      <c r="Q818" s="48">
        <f t="shared" si="5689"/>
        <v>7.1337852370548073E-3</v>
      </c>
      <c r="R818" s="48">
        <f t="shared" si="5689"/>
        <v>1.0338962509768523E-2</v>
      </c>
      <c r="S818" s="48">
        <f t="shared" si="5689"/>
        <v>1.1165505684886926E-2</v>
      </c>
      <c r="T818" s="50">
        <f t="shared" si="5689"/>
        <v>1.1605350833252088E-2</v>
      </c>
      <c r="U818" s="48">
        <f t="shared" si="5689"/>
        <v>1.1900791208337775E-2</v>
      </c>
      <c r="V818" s="48">
        <f t="shared" si="5689"/>
        <v>1.1650669029250988E-2</v>
      </c>
      <c r="W818" s="48">
        <f t="shared" si="5689"/>
        <v>1.0801850122998393E-2</v>
      </c>
      <c r="X818" s="48">
        <f t="shared" si="5689"/>
        <v>1.0023345257889522E-2</v>
      </c>
      <c r="Y818" s="50">
        <f>Y121/(Y613)</f>
        <v>9.3696228702024858E-3</v>
      </c>
      <c r="Z818" s="50">
        <f>Z121/(Z613)</f>
        <v>9.4757817188365154E-3</v>
      </c>
      <c r="AA818" s="50">
        <f t="shared" si="5689"/>
        <v>8.6827602549535473E-3</v>
      </c>
      <c r="AB818" s="50">
        <f t="shared" si="5689"/>
        <v>8.5877491419731472E-3</v>
      </c>
      <c r="AC818" s="50">
        <f>AC121/(AC613)</f>
        <v>8.2288320033164063E-3</v>
      </c>
      <c r="AD818" s="50">
        <f>AD121/(AD613)</f>
        <v>7.826131290929279E-3</v>
      </c>
      <c r="AE818" s="50">
        <f>AE121/(AE613)</f>
        <v>7.4907585952522365E-3</v>
      </c>
      <c r="AF818" s="50">
        <f>AF121/(AF613)</f>
        <v>7.1333615170299141E-3</v>
      </c>
      <c r="AG818" s="50">
        <f t="shared" si="5689"/>
        <v>7.1401966721311889E-3</v>
      </c>
      <c r="AH818" s="50">
        <f t="shared" ref="AH818:AM818" si="5690">AH121/(AH613)</f>
        <v>6.4309786680290778E-3</v>
      </c>
      <c r="AI818" s="50">
        <f t="shared" si="5690"/>
        <v>6.2851350949405466E-3</v>
      </c>
      <c r="AJ818" s="50">
        <f t="shared" si="5690"/>
        <v>6.2880526998702465E-3</v>
      </c>
      <c r="AK818" s="50">
        <f t="shared" si="5690"/>
        <v>6.0247006183876571E-3</v>
      </c>
      <c r="AL818" s="50">
        <f t="shared" si="5690"/>
        <v>8.5680139460489191E-3</v>
      </c>
      <c r="AM818" s="50">
        <f t="shared" si="5690"/>
        <v>8.6226317579655536E-3</v>
      </c>
      <c r="AN818" s="50">
        <f t="shared" ref="AN818:AS818" si="5691">AN121/(AN613)</f>
        <v>9.0548008032879587E-3</v>
      </c>
      <c r="AO818" s="50">
        <f t="shared" si="5691"/>
        <v>1.1860696167474085E-2</v>
      </c>
      <c r="AP818" s="50">
        <f t="shared" si="5691"/>
        <v>1.3101389721702938E-2</v>
      </c>
      <c r="AQ818" s="50">
        <f t="shared" si="5691"/>
        <v>1.1784414662288098E-2</v>
      </c>
      <c r="AR818" s="50">
        <f t="shared" si="5691"/>
        <v>1.0726235201630761E-2</v>
      </c>
      <c r="AS818" s="50">
        <f t="shared" si="5691"/>
        <v>9.2610445638813231E-3</v>
      </c>
      <c r="AT818" s="50">
        <f t="shared" ref="AT818:AU818" si="5692">AT121/(AT613)</f>
        <v>9.7148974979182363E-3</v>
      </c>
      <c r="AU818" s="50">
        <f t="shared" si="5692"/>
        <v>1.1102753893228944E-2</v>
      </c>
      <c r="AV818" s="50">
        <f t="shared" ref="AV818:AW818" si="5693">AV121/(AV613)</f>
        <v>1.1495889087316993E-2</v>
      </c>
      <c r="AW818" s="50">
        <f t="shared" si="5693"/>
        <v>1.1598734683489074E-2</v>
      </c>
      <c r="AX818" s="50">
        <f t="shared" ref="AX818" si="5694">AX121/(AX613)</f>
        <v>1.1385474605540572E-2</v>
      </c>
      <c r="AY818" s="50">
        <f t="shared" ref="AY818:BE818" si="5695">AY121/(AY613)</f>
        <v>1.1208416894254704E-2</v>
      </c>
      <c r="AZ818" s="49">
        <f t="shared" si="5695"/>
        <v>1.096752488571372E-2</v>
      </c>
      <c r="BA818" s="48">
        <f t="shared" si="5695"/>
        <v>1.0742772167896125E-2</v>
      </c>
      <c r="BB818" s="48">
        <f t="shared" si="5695"/>
        <v>1.0667952519831865E-2</v>
      </c>
      <c r="BC818" s="48">
        <f t="shared" si="5695"/>
        <v>1.0597947052724198E-2</v>
      </c>
      <c r="BD818" s="48">
        <f t="shared" si="5695"/>
        <v>1.0613897648317499E-2</v>
      </c>
      <c r="BE818" s="48">
        <f t="shared" si="5695"/>
        <v>1.0629387163834917E-2</v>
      </c>
      <c r="BF818" s="48">
        <f t="shared" ref="BF818:BM818" si="5696">BF121/(BF613)</f>
        <v>1.0641847090849841E-2</v>
      </c>
      <c r="BG818" s="48">
        <f t="shared" si="5696"/>
        <v>1.0654268555627929E-2</v>
      </c>
      <c r="BH818" s="48">
        <f t="shared" si="5696"/>
        <v>1.0659877060531781E-2</v>
      </c>
      <c r="BI818" s="48">
        <f t="shared" si="5696"/>
        <v>1.0665968537498618E-2</v>
      </c>
      <c r="BJ818" s="48">
        <f t="shared" si="5696"/>
        <v>1.0571301181199264E-2</v>
      </c>
      <c r="BK818" s="48">
        <f t="shared" si="5696"/>
        <v>1.0480045965918384E-2</v>
      </c>
      <c r="BL818" s="235">
        <f t="shared" si="5696"/>
        <v>1.038947802429158E-2</v>
      </c>
      <c r="BM818" s="235">
        <f t="shared" si="5696"/>
        <v>1.0299593555883235E-2</v>
      </c>
      <c r="BN818" s="235">
        <f t="shared" ref="BN818:BO818" si="5697">BN121/(BN613)</f>
        <v>1.0210388766329083E-2</v>
      </c>
      <c r="BO818" s="235">
        <f t="shared" si="5697"/>
        <v>1.0121859867387764E-2</v>
      </c>
      <c r="BP818" s="235">
        <f t="shared" ref="BP818:BQ818" si="5698">BP121/(BP613)</f>
        <v>1.0034003076996641E-2</v>
      </c>
      <c r="BQ818" s="235">
        <f t="shared" si="5698"/>
        <v>9.9468146193316814E-3</v>
      </c>
      <c r="BR818" s="48"/>
      <c r="BS818" s="235">
        <f t="shared" ref="BS818:CB818" si="5699">BS121/(BS613)</f>
        <v>6.3552951869176207E-3</v>
      </c>
      <c r="BT818" s="235">
        <f t="shared" si="5699"/>
        <v>5.865873135363805E-3</v>
      </c>
      <c r="BU818" s="235">
        <f t="shared" si="5699"/>
        <v>5.9204039558994892E-3</v>
      </c>
      <c r="BV818" s="235">
        <f t="shared" si="5699"/>
        <v>6.7629967463734139E-3</v>
      </c>
      <c r="BW818" s="235">
        <f t="shared" si="5699"/>
        <v>8.9325013592936858E-3</v>
      </c>
      <c r="BX818" s="235">
        <f t="shared" si="5699"/>
        <v>7.9798306888097335E-3</v>
      </c>
      <c r="BY818" s="235">
        <f t="shared" si="5699"/>
        <v>1.1394563226059239E-2</v>
      </c>
      <c r="BZ818" s="235">
        <f t="shared" si="5699"/>
        <v>1.0858210454417615E-2</v>
      </c>
      <c r="CA818" s="235">
        <f t="shared" si="5699"/>
        <v>1.0569409420628249E-2</v>
      </c>
      <c r="CB818" s="235">
        <f t="shared" si="5699"/>
        <v>1.0109623291878337E-2</v>
      </c>
      <c r="CC818" s="48">
        <f t="shared" ref="CC818:CR818" si="5700">CC121/(CC613)</f>
        <v>9.6136803522180233E-3</v>
      </c>
      <c r="CD818" s="48">
        <f t="shared" si="5700"/>
        <v>9.0253937115143592E-3</v>
      </c>
      <c r="CE818" s="48">
        <f t="shared" si="5700"/>
        <v>8.2269771617224097E-3</v>
      </c>
      <c r="CF818" s="48">
        <f t="shared" si="5700"/>
        <v>7.3328093100301223E-3</v>
      </c>
      <c r="CG818" s="48">
        <f t="shared" si="5700"/>
        <v>4.8327927628235342E-3</v>
      </c>
      <c r="CH818" s="48">
        <f t="shared" si="5700"/>
        <v>4.2144391412978349E-3</v>
      </c>
      <c r="CI818" s="48">
        <f t="shared" si="5700"/>
        <v>7.1337852370548073E-3</v>
      </c>
      <c r="CJ818" s="48">
        <f t="shared" si="5700"/>
        <v>1.1165505684886926E-2</v>
      </c>
      <c r="CK818" s="48">
        <f t="shared" si="5700"/>
        <v>1.1900791208337775E-2</v>
      </c>
      <c r="CL818" s="48">
        <f t="shared" si="5700"/>
        <v>1.0801850122998393E-2</v>
      </c>
      <c r="CM818" s="50">
        <f t="shared" si="5700"/>
        <v>9.3696228702024858E-3</v>
      </c>
      <c r="CN818" s="50">
        <f t="shared" si="5700"/>
        <v>8.6827602549535473E-3</v>
      </c>
      <c r="CO818" s="50">
        <f t="shared" si="5700"/>
        <v>8.2288320033164063E-3</v>
      </c>
      <c r="CP818" s="50">
        <f t="shared" si="5700"/>
        <v>7.4907585952522365E-3</v>
      </c>
      <c r="CQ818" s="50">
        <f t="shared" si="5700"/>
        <v>7.1401966721311889E-3</v>
      </c>
      <c r="CR818" s="50">
        <f t="shared" si="5700"/>
        <v>6.2851350949405466E-3</v>
      </c>
      <c r="CS818" s="50">
        <f t="shared" ref="CS818:DC818" si="5701">CS121/(CS613)</f>
        <v>6.0247006183876571E-3</v>
      </c>
      <c r="CT818" s="50">
        <f t="shared" si="5701"/>
        <v>8.6226317579655536E-3</v>
      </c>
      <c r="CU818" s="50">
        <f t="shared" si="5701"/>
        <v>1.1860696167474085E-2</v>
      </c>
      <c r="CV818" s="50">
        <f t="shared" si="5701"/>
        <v>1.1784414662288098E-2</v>
      </c>
      <c r="CW818" s="50">
        <f t="shared" si="5701"/>
        <v>9.2610445638813231E-3</v>
      </c>
      <c r="CX818" s="50">
        <f t="shared" si="5701"/>
        <v>1.1102753893228944E-2</v>
      </c>
      <c r="CY818" s="50">
        <f t="shared" si="5701"/>
        <v>1.1598734683489074E-2</v>
      </c>
      <c r="CZ818" s="49">
        <f t="shared" si="5701"/>
        <v>1.1208416894254704E-2</v>
      </c>
      <c r="DA818" s="48">
        <f t="shared" si="5701"/>
        <v>1.0742772167896125E-2</v>
      </c>
      <c r="DB818" s="48">
        <f t="shared" si="5701"/>
        <v>1.0597947052724198E-2</v>
      </c>
      <c r="DC818" s="48">
        <f t="shared" si="5701"/>
        <v>1.0629387163834917E-2</v>
      </c>
      <c r="DD818" s="48">
        <f t="shared" ref="DD818:DI818" si="5702">DD121/(DD613)</f>
        <v>1.0654268555627929E-2</v>
      </c>
      <c r="DE818" s="48">
        <f t="shared" si="5702"/>
        <v>1.0665968537498618E-2</v>
      </c>
      <c r="DF818" s="48">
        <f t="shared" si="5702"/>
        <v>1.0480045965918384E-2</v>
      </c>
      <c r="DG818" s="235">
        <f t="shared" si="5702"/>
        <v>1.0299593555883235E-2</v>
      </c>
      <c r="DH818" s="235">
        <f t="shared" si="5702"/>
        <v>1.0121859867387764E-2</v>
      </c>
      <c r="DI818" s="235">
        <f t="shared" si="5702"/>
        <v>9.9468146193316814E-3</v>
      </c>
    </row>
    <row r="819" spans="1:113" outlineLevel="1" collapsed="1">
      <c r="A819" s="1" t="s">
        <v>2203</v>
      </c>
      <c r="B819" s="19" t="s">
        <v>2204</v>
      </c>
      <c r="C819" s="234">
        <f>(C121+C123)/(C181-C176)</f>
        <v>1.6849737437972731E-2</v>
      </c>
      <c r="D819" s="234">
        <f>(D121+D123)/(D181-D176)</f>
        <v>1.6419674068238885E-2</v>
      </c>
      <c r="E819" s="234">
        <f t="shared" ref="E819:L819" si="5703">(E121+E123)/(E181-E176)</f>
        <v>1.6451119792298546E-2</v>
      </c>
      <c r="F819" s="234">
        <f t="shared" si="5703"/>
        <v>1.629220380601596E-2</v>
      </c>
      <c r="G819" s="234">
        <f t="shared" si="5703"/>
        <v>1.6287445759732518E-2</v>
      </c>
      <c r="H819" s="234">
        <f t="shared" si="5703"/>
        <v>1.6100348564247267E-2</v>
      </c>
      <c r="I819" s="234">
        <f t="shared" si="5703"/>
        <v>1.6564402587519025E-2</v>
      </c>
      <c r="J819" s="234">
        <f t="shared" si="5703"/>
        <v>1.4311957074507281E-2</v>
      </c>
      <c r="K819" s="234">
        <f t="shared" si="5703"/>
        <v>1.3012666285960362E-2</v>
      </c>
      <c r="L819" s="234">
        <f t="shared" si="5703"/>
        <v>9.1416829126929767E-3</v>
      </c>
      <c r="M819" s="234">
        <f t="shared" ref="M819:AG819" si="5704">(M121+M123)/(M181-M176)</f>
        <v>9.3742718359592046E-3</v>
      </c>
      <c r="N819" s="234">
        <f t="shared" si="5704"/>
        <v>1.2743386265277582E-2</v>
      </c>
      <c r="O819" s="234">
        <f t="shared" si="5704"/>
        <v>1.0753668094413561E-2</v>
      </c>
      <c r="P819" s="234">
        <f t="shared" si="5704"/>
        <v>7.4205607476635514E-3</v>
      </c>
      <c r="Q819" s="234">
        <f t="shared" si="5704"/>
        <v>8.8564006524497075E-3</v>
      </c>
      <c r="R819" s="234">
        <f t="shared" si="5704"/>
        <v>1.2436160373185345E-2</v>
      </c>
      <c r="S819" s="234">
        <f t="shared" si="5704"/>
        <v>1.6617115886993307E-2</v>
      </c>
      <c r="T819" s="234">
        <f t="shared" si="5704"/>
        <v>1.8420392633977406E-2</v>
      </c>
      <c r="U819" s="234">
        <f t="shared" si="5704"/>
        <v>1.9183125270891412E-2</v>
      </c>
      <c r="V819" s="234">
        <f t="shared" si="5704"/>
        <v>1.9344253177229622E-2</v>
      </c>
      <c r="W819" s="234">
        <f t="shared" si="5704"/>
        <v>1.7945884717679918E-2</v>
      </c>
      <c r="X819" s="234">
        <f t="shared" si="5704"/>
        <v>1.7705343794672573E-2</v>
      </c>
      <c r="Y819" s="234">
        <f t="shared" si="5704"/>
        <v>1.6748110763972337E-2</v>
      </c>
      <c r="Z819" s="234">
        <f t="shared" si="5704"/>
        <v>1.6664278473891746E-2</v>
      </c>
      <c r="AA819" s="234">
        <f t="shared" si="5704"/>
        <v>1.6235520540120518E-2</v>
      </c>
      <c r="AB819" s="234">
        <f t="shared" si="5704"/>
        <v>1.5515357891525357E-2</v>
      </c>
      <c r="AC819" s="234">
        <f>(AC121+AC123)/(AC181-AC176)</f>
        <v>1.4899414458809206E-2</v>
      </c>
      <c r="AD819" s="234">
        <f>(AD121+AD123)/(AD181-AD176)</f>
        <v>1.4350259877436496E-2</v>
      </c>
      <c r="AE819" s="234">
        <f>(AE121+AE123)/(AE181-AE176)</f>
        <v>1.4001702909813356E-2</v>
      </c>
      <c r="AF819" s="234">
        <f>(AF121+AF123)/(AF181-AF176)</f>
        <v>1.3430823043533229E-2</v>
      </c>
      <c r="AG819" s="234">
        <f t="shared" si="5704"/>
        <v>1.3784753326543218E-2</v>
      </c>
      <c r="AH819" s="234">
        <f t="shared" ref="AH819:AM819" si="5705">(AH121+AH123)/(AH181-AH176)</f>
        <v>1.3595166163141994E-2</v>
      </c>
      <c r="AI819" s="234">
        <f t="shared" si="5705"/>
        <v>1.3340744858254585E-2</v>
      </c>
      <c r="AJ819" s="234">
        <f t="shared" si="5705"/>
        <v>1.3434421362588005E-2</v>
      </c>
      <c r="AK819" s="234">
        <f t="shared" si="5705"/>
        <v>1.3643542111004379E-2</v>
      </c>
      <c r="AL819" s="234">
        <f t="shared" si="5705"/>
        <v>1.7710816902783769E-2</v>
      </c>
      <c r="AM819" s="234">
        <f t="shared" si="5705"/>
        <v>1.8647300593304019E-2</v>
      </c>
      <c r="AN819" s="234">
        <f t="shared" ref="AN819:AS819" si="5706">(AN121+AN123)/(AN181-AN176)</f>
        <v>1.7283363010118437E-2</v>
      </c>
      <c r="AO819" s="234">
        <f t="shared" si="5706"/>
        <v>2.2831127509054597E-2</v>
      </c>
      <c r="AP819" s="234">
        <f t="shared" si="5706"/>
        <v>2.5364592002663219E-2</v>
      </c>
      <c r="AQ819" s="234">
        <f t="shared" si="5706"/>
        <v>2.2343289861169541E-2</v>
      </c>
      <c r="AR819" s="234">
        <f t="shared" si="5706"/>
        <v>2.0763431421610048E-2</v>
      </c>
      <c r="AS819" s="234">
        <f t="shared" si="5706"/>
        <v>1.7593126051638552E-2</v>
      </c>
      <c r="AT819" s="234">
        <f t="shared" ref="AT819:AU819" si="5707">(AT121+AT123)/(AT181-AT176)</f>
        <v>1.7988120498381069E-2</v>
      </c>
      <c r="AU819" s="234">
        <f t="shared" si="5707"/>
        <v>1.8580036115928556E-2</v>
      </c>
      <c r="AV819" s="234">
        <f t="shared" ref="AV819:AW819" si="5708">(AV121+AV123)/(AV181-AV176)</f>
        <v>1.9204508195244632E-2</v>
      </c>
      <c r="AW819" s="234">
        <f t="shared" si="5708"/>
        <v>1.9134079690636897E-2</v>
      </c>
      <c r="AX819" s="234">
        <f t="shared" ref="AX819" si="5709">(AX121+AX123)/(AX181-AX176)</f>
        <v>1.8927227361078561E-2</v>
      </c>
      <c r="AY819" s="234">
        <f t="shared" ref="AY819:BE819" si="5710">(AY121+AY123)/(AY181-AY176)</f>
        <v>1.8169224385510361E-2</v>
      </c>
      <c r="AZ819" s="237">
        <f t="shared" si="5710"/>
        <v>1.7491588761449069E-2</v>
      </c>
      <c r="BA819" s="234">
        <f t="shared" si="5710"/>
        <v>1.6794373503401745E-2</v>
      </c>
      <c r="BB819" s="234">
        <f t="shared" si="5710"/>
        <v>1.6355466202065193E-2</v>
      </c>
      <c r="BC819" s="234">
        <f t="shared" si="5710"/>
        <v>1.5993833618681331E-2</v>
      </c>
      <c r="BD819" s="234">
        <f t="shared" si="5710"/>
        <v>1.5940823486707063E-2</v>
      </c>
      <c r="BE819" s="234">
        <f t="shared" si="5710"/>
        <v>1.5891787156557088E-2</v>
      </c>
      <c r="BF819" s="234">
        <f t="shared" ref="BF819:BM819" si="5711">(BF121+BF123)/(BF181-BF176)</f>
        <v>1.5893446972174593E-2</v>
      </c>
      <c r="BG819" s="234">
        <f t="shared" si="5711"/>
        <v>1.5881684959903331E-2</v>
      </c>
      <c r="BH819" s="234">
        <f t="shared" si="5711"/>
        <v>1.5869693529753721E-2</v>
      </c>
      <c r="BI819" s="234">
        <f t="shared" si="5711"/>
        <v>1.5833558363002737E-2</v>
      </c>
      <c r="BJ819" s="234">
        <f t="shared" si="5711"/>
        <v>1.5694872227045725E-2</v>
      </c>
      <c r="BK819" s="234">
        <f t="shared" si="5711"/>
        <v>1.5547622834255656E-2</v>
      </c>
      <c r="BL819" s="234">
        <f t="shared" si="5711"/>
        <v>1.5401695675773633E-2</v>
      </c>
      <c r="BM819" s="234">
        <f t="shared" si="5711"/>
        <v>1.5257079693158997E-2</v>
      </c>
      <c r="BN819" s="234">
        <f t="shared" ref="BN819:BO819" si="5712">(BN121+BN123)/(BN181-BN176)</f>
        <v>1.5113763911337813E-2</v>
      </c>
      <c r="BO819" s="234">
        <f t="shared" si="5712"/>
        <v>1.4971737438020615E-2</v>
      </c>
      <c r="BP819" s="234">
        <f t="shared" ref="BP819:BQ819" si="5713">(BP121+BP123)/(BP181-BP176)</f>
        <v>1.4830989463125773E-2</v>
      </c>
      <c r="BQ819" s="234">
        <f t="shared" si="5713"/>
        <v>1.4691509258208276E-2</v>
      </c>
      <c r="BS819" s="234">
        <f t="shared" ref="BS819:CB819" si="5714">(BS121+BS123)/(BS181-BS176)</f>
        <v>8.0880194573740918E-3</v>
      </c>
      <c r="BT819" s="234">
        <f t="shared" si="5714"/>
        <v>7.3527643174455155E-3</v>
      </c>
      <c r="BU819" s="234">
        <f t="shared" si="5714"/>
        <v>7.8702315393124316E-3</v>
      </c>
      <c r="BV819" s="234">
        <f t="shared" si="5714"/>
        <v>1.0997643362136685E-2</v>
      </c>
      <c r="BW819" s="234">
        <f t="shared" si="5714"/>
        <v>1.5745875265283767E-2</v>
      </c>
      <c r="BX819" s="234">
        <f t="shared" si="5714"/>
        <v>1.4358846297914845E-2</v>
      </c>
      <c r="BY819" s="234">
        <f t="shared" si="5714"/>
        <v>2.0116661681124737E-2</v>
      </c>
      <c r="BZ819" s="234">
        <f t="shared" si="5714"/>
        <v>1.7832692720104258E-2</v>
      </c>
      <c r="CA819" s="234">
        <f t="shared" si="5714"/>
        <v>1.7538874825644469E-2</v>
      </c>
      <c r="CB819" s="234">
        <f t="shared" si="5714"/>
        <v>1.6849737437972731E-2</v>
      </c>
      <c r="CC819" s="234">
        <f t="shared" ref="CC819:CR819" si="5715">(CC121+CC123)/(CC181-CC176)</f>
        <v>1.6451119792298546E-2</v>
      </c>
      <c r="CD819" s="234">
        <f t="shared" si="5715"/>
        <v>1.6287445759732518E-2</v>
      </c>
      <c r="CE819" s="234">
        <f t="shared" si="5715"/>
        <v>1.6564402587519025E-2</v>
      </c>
      <c r="CF819" s="234">
        <f t="shared" si="5715"/>
        <v>1.3012666285960362E-2</v>
      </c>
      <c r="CG819" s="234">
        <f t="shared" si="5715"/>
        <v>9.3742718359592046E-3</v>
      </c>
      <c r="CH819" s="234">
        <f t="shared" si="5715"/>
        <v>1.0753668094413561E-2</v>
      </c>
      <c r="CI819" s="234">
        <f t="shared" si="5715"/>
        <v>8.8564006524497075E-3</v>
      </c>
      <c r="CJ819" s="234">
        <f t="shared" si="5715"/>
        <v>1.6617115886993307E-2</v>
      </c>
      <c r="CK819" s="234">
        <f t="shared" si="5715"/>
        <v>1.9183125270891412E-2</v>
      </c>
      <c r="CL819" s="234">
        <f t="shared" si="5715"/>
        <v>1.7945884717679918E-2</v>
      </c>
      <c r="CM819" s="234">
        <f t="shared" si="5715"/>
        <v>1.6748110763972337E-2</v>
      </c>
      <c r="CN819" s="234">
        <f t="shared" si="5715"/>
        <v>1.6235520540120518E-2</v>
      </c>
      <c r="CO819" s="234">
        <f t="shared" si="5715"/>
        <v>1.4899414458809206E-2</v>
      </c>
      <c r="CP819" s="234">
        <f t="shared" si="5715"/>
        <v>1.4001702909813356E-2</v>
      </c>
      <c r="CQ819" s="234">
        <f t="shared" si="5715"/>
        <v>1.3784753326543218E-2</v>
      </c>
      <c r="CR819" s="234">
        <f t="shared" si="5715"/>
        <v>1.3340744858254585E-2</v>
      </c>
      <c r="CS819" s="234">
        <f t="shared" ref="CS819:DC819" si="5716">(CS121+CS123)/(CS181-CS176)</f>
        <v>1.3643542111004379E-2</v>
      </c>
      <c r="CT819" s="234">
        <f t="shared" si="5716"/>
        <v>1.8647300593304019E-2</v>
      </c>
      <c r="CU819" s="234">
        <f t="shared" si="5716"/>
        <v>2.2831127509054597E-2</v>
      </c>
      <c r="CV819" s="234">
        <f t="shared" si="5716"/>
        <v>2.2343289861169541E-2</v>
      </c>
      <c r="CW819" s="234">
        <f t="shared" si="5716"/>
        <v>1.7593126051638552E-2</v>
      </c>
      <c r="CX819" s="234">
        <f t="shared" si="5716"/>
        <v>1.8580036115928556E-2</v>
      </c>
      <c r="CY819" s="234">
        <f t="shared" si="5716"/>
        <v>1.9134079690636897E-2</v>
      </c>
      <c r="CZ819" s="237">
        <f t="shared" si="5716"/>
        <v>1.8169224385510361E-2</v>
      </c>
      <c r="DA819" s="234">
        <f t="shared" si="5716"/>
        <v>1.6794373503401745E-2</v>
      </c>
      <c r="DB819" s="234">
        <f t="shared" si="5716"/>
        <v>1.5993833618681331E-2</v>
      </c>
      <c r="DC819" s="234">
        <f t="shared" si="5716"/>
        <v>1.5891787156557088E-2</v>
      </c>
      <c r="DD819" s="234">
        <f t="shared" ref="DD819:DI819" si="5717">(DD121+DD123)/(DD181-DD176)</f>
        <v>1.5881684959903331E-2</v>
      </c>
      <c r="DE819" s="234">
        <f t="shared" si="5717"/>
        <v>1.5833558363002737E-2</v>
      </c>
      <c r="DF819" s="234">
        <f t="shared" si="5717"/>
        <v>1.5547622834255656E-2</v>
      </c>
      <c r="DG819" s="234">
        <f t="shared" si="5717"/>
        <v>1.5257079693158997E-2</v>
      </c>
      <c r="DH819" s="234">
        <f t="shared" si="5717"/>
        <v>1.4971737438020615E-2</v>
      </c>
      <c r="DI819" s="234">
        <f t="shared" si="5717"/>
        <v>1.4691509258208276E-2</v>
      </c>
    </row>
    <row r="820" spans="1:113" outlineLevel="1">
      <c r="A820" s="1" t="s">
        <v>2205</v>
      </c>
      <c r="B820" s="19" t="s">
        <v>2206</v>
      </c>
      <c r="C820" s="234">
        <f>(C121+C123)/(C613-C612)</f>
        <v>1.0156890931399241E-2</v>
      </c>
      <c r="D820" s="234">
        <f>(D121+D123)/(D613-D612)</f>
        <v>9.7034413029088509E-3</v>
      </c>
      <c r="E820" s="234">
        <f t="shared" ref="E820:L820" si="5718">(E121+E123)/(E613-E612)</f>
        <v>9.6954790181539973E-3</v>
      </c>
      <c r="F820" s="234">
        <f t="shared" si="5718"/>
        <v>9.3114312378519849E-3</v>
      </c>
      <c r="G820" s="234">
        <f t="shared" si="5718"/>
        <v>9.1075933270553956E-3</v>
      </c>
      <c r="H820" s="234">
        <f t="shared" si="5718"/>
        <v>8.7465059061457399E-3</v>
      </c>
      <c r="I820" s="234">
        <f t="shared" si="5718"/>
        <v>8.3456151071809436E-3</v>
      </c>
      <c r="J820" s="234">
        <f t="shared" si="5718"/>
        <v>7.7471910112359554E-3</v>
      </c>
      <c r="K820" s="234">
        <f t="shared" si="5718"/>
        <v>7.444899708095659E-3</v>
      </c>
      <c r="L820" s="234">
        <f t="shared" si="5718"/>
        <v>5.2229932116140106E-3</v>
      </c>
      <c r="M820" s="234">
        <f t="shared" ref="M820:AG820" si="5719">(M121+M123)/(M613-M612)</f>
        <v>4.9110056293458406E-3</v>
      </c>
      <c r="N820" s="234">
        <f t="shared" si="5719"/>
        <v>6.6688607507231819E-3</v>
      </c>
      <c r="O820" s="234">
        <f t="shared" si="5719"/>
        <v>6.3592345703578418E-3</v>
      </c>
      <c r="P820" s="234">
        <f t="shared" si="5719"/>
        <v>6.5570701843246934E-3</v>
      </c>
      <c r="Q820" s="234">
        <f t="shared" si="5719"/>
        <v>7.821169440887751E-3</v>
      </c>
      <c r="R820" s="234">
        <f t="shared" si="5719"/>
        <v>1.1182881241778955E-2</v>
      </c>
      <c r="S820" s="234">
        <f t="shared" si="5719"/>
        <v>1.2478090794070876E-2</v>
      </c>
      <c r="T820" s="234">
        <f t="shared" si="5719"/>
        <v>1.3355721835754026E-2</v>
      </c>
      <c r="U820" s="234">
        <f t="shared" si="5719"/>
        <v>1.3962292074792708E-2</v>
      </c>
      <c r="V820" s="234">
        <f t="shared" si="5719"/>
        <v>1.4218668236525379E-2</v>
      </c>
      <c r="W820" s="234">
        <f t="shared" si="5719"/>
        <v>1.3098702288220083E-2</v>
      </c>
      <c r="X820" s="234">
        <f t="shared" si="5719"/>
        <v>1.2555814367411374E-2</v>
      </c>
      <c r="Y820" s="234">
        <f t="shared" si="5719"/>
        <v>1.1995608750368168E-2</v>
      </c>
      <c r="Z820" s="234">
        <f t="shared" si="5719"/>
        <v>1.2148552813318529E-2</v>
      </c>
      <c r="AA820" s="234">
        <f t="shared" si="5719"/>
        <v>1.1280991440033753E-2</v>
      </c>
      <c r="AB820" s="234">
        <f t="shared" si="5719"/>
        <v>1.1172768635455202E-2</v>
      </c>
      <c r="AC820" s="234">
        <f>(AC121+AC123)/(AC613-AC612)</f>
        <v>1.0666187080217751E-2</v>
      </c>
      <c r="AD820" s="234">
        <f>(AD121+AD123)/(AD613-AD612)</f>
        <v>9.8997188017616623E-3</v>
      </c>
      <c r="AE820" s="234">
        <f>(AE121+AE123)/(AE613-AE612)</f>
        <v>9.7376352710433801E-3</v>
      </c>
      <c r="AF820" s="234">
        <f>(AF121+AF123)/(AF613-AF612)</f>
        <v>9.5146541197825389E-3</v>
      </c>
      <c r="AG820" s="234">
        <f t="shared" si="5719"/>
        <v>9.7956573554631859E-3</v>
      </c>
      <c r="AH820" s="234">
        <f t="shared" ref="AH820:AM820" si="5720">(AH121+AH123)/(AH613-AH612)</f>
        <v>8.9391367669185012E-3</v>
      </c>
      <c r="AI820" s="234">
        <f t="shared" si="5720"/>
        <v>8.8427313861299539E-3</v>
      </c>
      <c r="AJ820" s="234">
        <f t="shared" si="5720"/>
        <v>9.0630407237353022E-3</v>
      </c>
      <c r="AK820" s="234">
        <f t="shared" si="5720"/>
        <v>9.0710311532549628E-3</v>
      </c>
      <c r="AL820" s="234">
        <f t="shared" si="5720"/>
        <v>1.1785377792698642E-2</v>
      </c>
      <c r="AM820" s="234">
        <f t="shared" si="5720"/>
        <v>1.186073102256196E-2</v>
      </c>
      <c r="AN820" s="234">
        <f t="shared" ref="AN820:AS820" si="5721">(AN121+AN123)/(AN613-AN612)</f>
        <v>1.0839061129959464E-2</v>
      </c>
      <c r="AO820" s="234">
        <f t="shared" si="5721"/>
        <v>1.4420327423742765E-2</v>
      </c>
      <c r="AP820" s="234">
        <f t="shared" si="5721"/>
        <v>1.5768108251525605E-2</v>
      </c>
      <c r="AQ820" s="234">
        <f t="shared" si="5721"/>
        <v>1.391953872362731E-2</v>
      </c>
      <c r="AR820" s="234">
        <f t="shared" si="5721"/>
        <v>1.2956663518366366E-2</v>
      </c>
      <c r="AS820" s="234">
        <f t="shared" si="5721"/>
        <v>1.1713540303876316E-2</v>
      </c>
      <c r="AT820" s="234">
        <f t="shared" ref="AT820:AU820" si="5722">(AT121+AT123)/(AT613-AT612)</f>
        <v>1.2188539290627014E-2</v>
      </c>
      <c r="AU820" s="234">
        <f t="shared" si="5722"/>
        <v>1.4319217127944244E-2</v>
      </c>
      <c r="AV820" s="234">
        <f t="shared" ref="AV820:AW820" si="5723">(AV121+AV123)/(AV613-AV612)</f>
        <v>1.445482528102838E-2</v>
      </c>
      <c r="AW820" s="234">
        <f t="shared" si="5723"/>
        <v>1.4639189729081858E-2</v>
      </c>
      <c r="AX820" s="234">
        <f t="shared" ref="AX820" si="5724">(AX121+AX123)/(AX613-AX612)</f>
        <v>1.426060132375356E-2</v>
      </c>
      <c r="AY820" s="234">
        <f t="shared" ref="AY820:BE820" si="5725">(AY121+AY123)/(AY613-AY612)</f>
        <v>1.3939858821642E-2</v>
      </c>
      <c r="AZ820" s="237">
        <f t="shared" si="5725"/>
        <v>1.3546180940019897E-2</v>
      </c>
      <c r="BA820" s="234">
        <f t="shared" si="5725"/>
        <v>1.3200263320639441E-2</v>
      </c>
      <c r="BB820" s="234">
        <f t="shared" si="5725"/>
        <v>1.3039659502045955E-2</v>
      </c>
      <c r="BC820" s="234">
        <f t="shared" si="5725"/>
        <v>1.2892450888513797E-2</v>
      </c>
      <c r="BD820" s="234">
        <f t="shared" si="5725"/>
        <v>1.2843949884433237E-2</v>
      </c>
      <c r="BE820" s="234">
        <f t="shared" si="5725"/>
        <v>1.2798205718521151E-2</v>
      </c>
      <c r="BF820" s="234">
        <f t="shared" ref="BF820:BM820" si="5726">(BF121+BF123)/(BF613-BF612)</f>
        <v>1.2741711960002523E-2</v>
      </c>
      <c r="BG820" s="234">
        <f t="shared" si="5726"/>
        <v>1.269048372353645E-2</v>
      </c>
      <c r="BH820" s="234">
        <f t="shared" si="5726"/>
        <v>1.2639783086015526E-2</v>
      </c>
      <c r="BI820" s="234">
        <f t="shared" si="5726"/>
        <v>1.259460145396557E-2</v>
      </c>
      <c r="BJ820" s="234">
        <f t="shared" si="5726"/>
        <v>1.2468655439425914E-2</v>
      </c>
      <c r="BK820" s="234">
        <f t="shared" si="5726"/>
        <v>1.2343968885031656E-2</v>
      </c>
      <c r="BL820" s="234">
        <f t="shared" si="5726"/>
        <v>1.2220529196181339E-2</v>
      </c>
      <c r="BM820" s="234">
        <f t="shared" si="5726"/>
        <v>1.2098323904219525E-2</v>
      </c>
      <c r="BN820" s="234">
        <f t="shared" ref="BN820:BO820" si="5727">(BN121+BN123)/(BN613-BN612)</f>
        <v>1.1977340665177329E-2</v>
      </c>
      <c r="BO820" s="234">
        <f t="shared" si="5727"/>
        <v>1.1857567258525556E-2</v>
      </c>
      <c r="BP820" s="234">
        <f t="shared" ref="BP820:BQ820" si="5728">(BP121+BP123)/(BP613-BP612)</f>
        <v>1.17389915859403E-2</v>
      </c>
      <c r="BQ820" s="234">
        <f t="shared" si="5728"/>
        <v>1.1621601670080898E-2</v>
      </c>
      <c r="BS820" s="234">
        <f t="shared" ref="BS820:CB820" si="5729">(BS121+BS123)/(BS613-BS612)</f>
        <v>7.6464622103875586E-3</v>
      </c>
      <c r="BT820" s="234">
        <f t="shared" si="5729"/>
        <v>6.7403800325994221E-3</v>
      </c>
      <c r="BU820" s="234">
        <f t="shared" si="5729"/>
        <v>6.7727265735950826E-3</v>
      </c>
      <c r="BV820" s="234">
        <f t="shared" si="5729"/>
        <v>7.5867455093160769E-3</v>
      </c>
      <c r="BW820" s="234">
        <f t="shared" si="5729"/>
        <v>9.9350621301349147E-3</v>
      </c>
      <c r="BX820" s="234">
        <f t="shared" si="5729"/>
        <v>8.9905794363297591E-3</v>
      </c>
      <c r="BY820" s="234">
        <f t="shared" si="5729"/>
        <v>1.3107405196671987E-2</v>
      </c>
      <c r="BZ820" s="234">
        <f t="shared" si="5729"/>
        <v>1.2634556271111163E-2</v>
      </c>
      <c r="CA820" s="234">
        <f t="shared" si="5729"/>
        <v>1.2159197743654027E-2</v>
      </c>
      <c r="CB820" s="234">
        <f t="shared" si="5729"/>
        <v>1.1839176758316619E-2</v>
      </c>
      <c r="CC820" s="234">
        <f t="shared" ref="CC820:CR820" si="5730">(CC121+CC123)/(CC613-CC612)</f>
        <v>9.6954790181539973E-3</v>
      </c>
      <c r="CD820" s="234">
        <f t="shared" si="5730"/>
        <v>9.1075933270553956E-3</v>
      </c>
      <c r="CE820" s="234">
        <f t="shared" si="5730"/>
        <v>8.3456151071809436E-3</v>
      </c>
      <c r="CF820" s="234">
        <f t="shared" si="5730"/>
        <v>7.444899708095659E-3</v>
      </c>
      <c r="CG820" s="234">
        <f t="shared" si="5730"/>
        <v>4.9110056293458406E-3</v>
      </c>
      <c r="CH820" s="234">
        <f t="shared" si="5730"/>
        <v>6.3592345703578418E-3</v>
      </c>
      <c r="CI820" s="234">
        <f t="shared" si="5730"/>
        <v>7.821169440887751E-3</v>
      </c>
      <c r="CJ820" s="234">
        <f t="shared" si="5730"/>
        <v>1.2478090794070876E-2</v>
      </c>
      <c r="CK820" s="234">
        <f t="shared" si="5730"/>
        <v>1.3962292074792708E-2</v>
      </c>
      <c r="CL820" s="234">
        <f t="shared" si="5730"/>
        <v>1.3098702288220083E-2</v>
      </c>
      <c r="CM820" s="234">
        <f t="shared" si="5730"/>
        <v>1.1995608750368168E-2</v>
      </c>
      <c r="CN820" s="234">
        <f t="shared" si="5730"/>
        <v>1.1280991440033753E-2</v>
      </c>
      <c r="CO820" s="234">
        <f t="shared" si="5730"/>
        <v>1.0666187080217751E-2</v>
      </c>
      <c r="CP820" s="234">
        <f t="shared" si="5730"/>
        <v>9.7376352710433801E-3</v>
      </c>
      <c r="CQ820" s="234">
        <f t="shared" si="5730"/>
        <v>9.7956573554631859E-3</v>
      </c>
      <c r="CR820" s="234">
        <f t="shared" si="5730"/>
        <v>8.8427313861299539E-3</v>
      </c>
      <c r="CS820" s="234">
        <f t="shared" ref="CS820:DC820" si="5731">(CS121+CS123)/(CS613-CS612)</f>
        <v>9.0710311532549628E-3</v>
      </c>
      <c r="CT820" s="234">
        <f t="shared" si="5731"/>
        <v>1.186073102256196E-2</v>
      </c>
      <c r="CU820" s="234">
        <f t="shared" si="5731"/>
        <v>1.4420327423742765E-2</v>
      </c>
      <c r="CV820" s="234">
        <f t="shared" si="5731"/>
        <v>1.391953872362731E-2</v>
      </c>
      <c r="CW820" s="234">
        <f t="shared" si="5731"/>
        <v>1.1713540303876316E-2</v>
      </c>
      <c r="CX820" s="234">
        <f t="shared" si="5731"/>
        <v>1.4319217127944244E-2</v>
      </c>
      <c r="CY820" s="234">
        <f t="shared" si="5731"/>
        <v>1.4639189729081858E-2</v>
      </c>
      <c r="CZ820" s="237">
        <f t="shared" si="5731"/>
        <v>1.3939858821642E-2</v>
      </c>
      <c r="DA820" s="234">
        <f t="shared" si="5731"/>
        <v>1.3200263320639441E-2</v>
      </c>
      <c r="DB820" s="234">
        <f t="shared" si="5731"/>
        <v>1.2892450888513797E-2</v>
      </c>
      <c r="DC820" s="234">
        <f t="shared" si="5731"/>
        <v>1.2798205718521151E-2</v>
      </c>
      <c r="DD820" s="234">
        <f t="shared" ref="DD820:DI820" si="5732">(DD121+DD123)/(DD613-DD612)</f>
        <v>1.269048372353645E-2</v>
      </c>
      <c r="DE820" s="234">
        <f t="shared" si="5732"/>
        <v>1.259460145396557E-2</v>
      </c>
      <c r="DF820" s="234">
        <f t="shared" si="5732"/>
        <v>1.2343968885031656E-2</v>
      </c>
      <c r="DG820" s="234">
        <f t="shared" si="5732"/>
        <v>1.2098323904219525E-2</v>
      </c>
      <c r="DH820" s="234">
        <f t="shared" si="5732"/>
        <v>1.1857567258525556E-2</v>
      </c>
      <c r="DI820" s="234">
        <f t="shared" si="5732"/>
        <v>1.1621601670080898E-2</v>
      </c>
    </row>
    <row r="821" spans="1:113" outlineLevel="1">
      <c r="A821" s="1" t="s">
        <v>2207</v>
      </c>
      <c r="B821" s="19" t="s">
        <v>2208</v>
      </c>
      <c r="C821" s="234">
        <f>(C121+C123)/(C613)</f>
        <v>1.0109623291878337E-2</v>
      </c>
      <c r="D821" s="234">
        <f>(D121+D123)/(D613)</f>
        <v>9.6477207802069843E-3</v>
      </c>
      <c r="E821" s="234">
        <f t="shared" ref="E821:L821" si="5733">(E121+E123)/(E613)</f>
        <v>9.6136803522180233E-3</v>
      </c>
      <c r="F821" s="234">
        <f t="shared" si="5733"/>
        <v>9.2299559716493597E-3</v>
      </c>
      <c r="G821" s="234">
        <f t="shared" si="5733"/>
        <v>9.0253937115143592E-3</v>
      </c>
      <c r="H821" s="234">
        <f t="shared" si="5733"/>
        <v>8.6238100983673186E-3</v>
      </c>
      <c r="I821" s="234">
        <f t="shared" si="5733"/>
        <v>8.2269771617224097E-3</v>
      </c>
      <c r="J821" s="234">
        <f t="shared" si="5733"/>
        <v>7.6325315208607769E-3</v>
      </c>
      <c r="K821" s="234">
        <f t="shared" si="5733"/>
        <v>7.3328093100301223E-3</v>
      </c>
      <c r="L821" s="234">
        <f t="shared" si="5733"/>
        <v>5.1365047096962012E-3</v>
      </c>
      <c r="M821" s="234">
        <f t="shared" ref="M821:AG821" si="5734">(M121+M123)/(M613)</f>
        <v>4.8327927628235342E-3</v>
      </c>
      <c r="N821" s="234">
        <f t="shared" si="5734"/>
        <v>6.5652324049639979E-3</v>
      </c>
      <c r="O821" s="234">
        <f t="shared" si="5734"/>
        <v>6.2523690935695157E-3</v>
      </c>
      <c r="P821" s="234">
        <f t="shared" si="5734"/>
        <v>6.0082329438828014E-3</v>
      </c>
      <c r="Q821" s="234">
        <f t="shared" si="5734"/>
        <v>7.1337852370548073E-3</v>
      </c>
      <c r="R821" s="234">
        <f t="shared" si="5734"/>
        <v>1.0338962509768523E-2</v>
      </c>
      <c r="S821" s="234">
        <f t="shared" si="5734"/>
        <v>1.1165505684886926E-2</v>
      </c>
      <c r="T821" s="234">
        <f t="shared" si="5734"/>
        <v>1.1605350833252088E-2</v>
      </c>
      <c r="U821" s="234">
        <f t="shared" si="5734"/>
        <v>1.2327170321262907E-2</v>
      </c>
      <c r="V821" s="234">
        <f t="shared" si="5734"/>
        <v>1.2179449018255167E-2</v>
      </c>
      <c r="W821" s="234">
        <f t="shared" si="5734"/>
        <v>1.1472750442829709E-2</v>
      </c>
      <c r="X821" s="234">
        <f t="shared" si="5734"/>
        <v>1.0900052064963639E-2</v>
      </c>
      <c r="Y821" s="234">
        <f t="shared" si="5734"/>
        <v>1.0357115728218187E-2</v>
      </c>
      <c r="Z821" s="234">
        <f t="shared" si="5734"/>
        <v>1.0410760880737108E-2</v>
      </c>
      <c r="AA821" s="234">
        <f t="shared" si="5734"/>
        <v>9.5850624927846205E-3</v>
      </c>
      <c r="AB821" s="234">
        <f t="shared" si="5734"/>
        <v>9.4345550678192804E-3</v>
      </c>
      <c r="AC821" s="234">
        <f>(AC121+AC123)/(AC613)</f>
        <v>9.1319603807944565E-3</v>
      </c>
      <c r="AD821" s="234">
        <f>(AD121+AD123)/(AD613)</f>
        <v>8.7353560988874032E-3</v>
      </c>
      <c r="AE821" s="234">
        <f>(AE121+AE123)/(AE613)</f>
        <v>8.4291374779304675E-3</v>
      </c>
      <c r="AF821" s="234">
        <f>(AF121+AF123)/(AF613)</f>
        <v>8.1163952712511016E-3</v>
      </c>
      <c r="AG821" s="234">
        <f t="shared" si="5734"/>
        <v>8.5388441394897464E-3</v>
      </c>
      <c r="AH821" s="234">
        <f t="shared" ref="AH821:AM821" si="5735">(AH121+AH123)/(AH613)</f>
        <v>7.6498175178301006E-3</v>
      </c>
      <c r="AI821" s="234">
        <f t="shared" si="5735"/>
        <v>7.6327669008815664E-3</v>
      </c>
      <c r="AJ821" s="234">
        <f t="shared" si="5735"/>
        <v>7.5447558729323377E-3</v>
      </c>
      <c r="AK821" s="234">
        <f t="shared" si="5735"/>
        <v>7.3090106669690281E-3</v>
      </c>
      <c r="AL821" s="234">
        <f t="shared" si="5735"/>
        <v>9.7788580773861943E-3</v>
      </c>
      <c r="AM821" s="234">
        <f t="shared" si="5735"/>
        <v>9.7600947075947193E-3</v>
      </c>
      <c r="AN821" s="234">
        <f t="shared" ref="AN821:AS821" si="5736">(AN121+AN123)/(AN613)</f>
        <v>9.0548008032879587E-3</v>
      </c>
      <c r="AO821" s="234">
        <f t="shared" si="5736"/>
        <v>1.1860696167474085E-2</v>
      </c>
      <c r="AP821" s="234">
        <f t="shared" si="5736"/>
        <v>1.3101389721702938E-2</v>
      </c>
      <c r="AQ821" s="234">
        <f t="shared" si="5736"/>
        <v>1.1784414662288098E-2</v>
      </c>
      <c r="AR821" s="234">
        <f t="shared" si="5736"/>
        <v>1.0726235201630761E-2</v>
      </c>
      <c r="AS821" s="234">
        <f t="shared" si="5736"/>
        <v>9.2610445638813231E-3</v>
      </c>
      <c r="AT821" s="234">
        <f t="shared" ref="AT821:AU821" si="5737">(AT121+AT123)/(AT613)</f>
        <v>9.7148974979182363E-3</v>
      </c>
      <c r="AU821" s="234">
        <f t="shared" si="5737"/>
        <v>1.1102753893228944E-2</v>
      </c>
      <c r="AV821" s="234">
        <f t="shared" ref="AV821:AW821" si="5738">(AV121+AV123)/(AV613)</f>
        <v>1.1495889087316993E-2</v>
      </c>
      <c r="AW821" s="234">
        <f t="shared" si="5738"/>
        <v>1.1598734683489074E-2</v>
      </c>
      <c r="AX821" s="234">
        <f t="shared" ref="AX821" si="5739">(AX121+AX123)/(AX613)</f>
        <v>1.1385474605540572E-2</v>
      </c>
      <c r="AY821" s="234">
        <f t="shared" ref="AY821:BE821" si="5740">(AY121+AY123)/(AY613)</f>
        <v>1.1208416894254704E-2</v>
      </c>
      <c r="AZ821" s="237">
        <f t="shared" si="5740"/>
        <v>1.096752488571372E-2</v>
      </c>
      <c r="BA821" s="234">
        <f t="shared" si="5740"/>
        <v>1.0742772167896125E-2</v>
      </c>
      <c r="BB821" s="234">
        <f t="shared" si="5740"/>
        <v>1.0667952519831865E-2</v>
      </c>
      <c r="BC821" s="234">
        <f t="shared" si="5740"/>
        <v>1.0597947052724198E-2</v>
      </c>
      <c r="BD821" s="234">
        <f t="shared" si="5740"/>
        <v>1.0613897648317499E-2</v>
      </c>
      <c r="BE821" s="234">
        <f t="shared" si="5740"/>
        <v>1.0629387163834917E-2</v>
      </c>
      <c r="BF821" s="234">
        <f t="shared" ref="BF821:BM821" si="5741">(BF121+BF123)/(BF613)</f>
        <v>1.0641847090849841E-2</v>
      </c>
      <c r="BG821" s="234">
        <f t="shared" si="5741"/>
        <v>1.0654268555627929E-2</v>
      </c>
      <c r="BH821" s="234">
        <f t="shared" si="5741"/>
        <v>1.0659877060531781E-2</v>
      </c>
      <c r="BI821" s="234">
        <f t="shared" si="5741"/>
        <v>1.0665968537498618E-2</v>
      </c>
      <c r="BJ821" s="234">
        <f t="shared" si="5741"/>
        <v>1.0571301181199264E-2</v>
      </c>
      <c r="BK821" s="234">
        <f t="shared" si="5741"/>
        <v>1.0480045965918384E-2</v>
      </c>
      <c r="BL821" s="234">
        <f t="shared" si="5741"/>
        <v>1.038947802429158E-2</v>
      </c>
      <c r="BM821" s="234">
        <f t="shared" si="5741"/>
        <v>1.0299593555883235E-2</v>
      </c>
      <c r="BN821" s="234">
        <f t="shared" ref="BN821:BO821" si="5742">(BN121+BN123)/(BN613)</f>
        <v>1.0210388766329083E-2</v>
      </c>
      <c r="BO821" s="234">
        <f t="shared" si="5742"/>
        <v>1.0121859867387764E-2</v>
      </c>
      <c r="BP821" s="234">
        <f t="shared" ref="BP821:BQ821" si="5743">(BP121+BP123)/(BP613)</f>
        <v>1.0034003076996641E-2</v>
      </c>
      <c r="BQ821" s="234">
        <f t="shared" si="5743"/>
        <v>9.9468146193316814E-3</v>
      </c>
      <c r="BS821" s="234">
        <f t="shared" ref="BS821:CB821" si="5744">(BS121+BS123)/(BS613)</f>
        <v>6.3552951869176207E-3</v>
      </c>
      <c r="BT821" s="234">
        <f t="shared" si="5744"/>
        <v>5.865873135363805E-3</v>
      </c>
      <c r="BU821" s="234">
        <f t="shared" si="5744"/>
        <v>5.9204039558994892E-3</v>
      </c>
      <c r="BV821" s="234">
        <f t="shared" si="5744"/>
        <v>6.7629967463734139E-3</v>
      </c>
      <c r="BW821" s="234">
        <f t="shared" si="5744"/>
        <v>8.9325013592936858E-3</v>
      </c>
      <c r="BX821" s="234">
        <f t="shared" si="5744"/>
        <v>7.9798306888097335E-3</v>
      </c>
      <c r="BY821" s="234">
        <f t="shared" si="5744"/>
        <v>1.1394563226059239E-2</v>
      </c>
      <c r="BZ821" s="234">
        <f t="shared" si="5744"/>
        <v>1.0858210454417615E-2</v>
      </c>
      <c r="CA821" s="234">
        <f t="shared" si="5744"/>
        <v>1.0569409420628249E-2</v>
      </c>
      <c r="CB821" s="234">
        <f t="shared" si="5744"/>
        <v>1.0109623291878337E-2</v>
      </c>
      <c r="CC821" s="234">
        <f t="shared" ref="CC821:CR821" si="5745">(CC121+CC123)/(CC613)</f>
        <v>9.6136803522180233E-3</v>
      </c>
      <c r="CD821" s="234">
        <f t="shared" si="5745"/>
        <v>9.0253937115143592E-3</v>
      </c>
      <c r="CE821" s="234">
        <f t="shared" si="5745"/>
        <v>8.2269771617224097E-3</v>
      </c>
      <c r="CF821" s="234">
        <f t="shared" si="5745"/>
        <v>7.3328093100301223E-3</v>
      </c>
      <c r="CG821" s="234">
        <f t="shared" si="5745"/>
        <v>4.8327927628235342E-3</v>
      </c>
      <c r="CH821" s="234">
        <f t="shared" si="5745"/>
        <v>6.2523690935695157E-3</v>
      </c>
      <c r="CI821" s="234">
        <f t="shared" si="5745"/>
        <v>7.1337852370548073E-3</v>
      </c>
      <c r="CJ821" s="234">
        <f t="shared" si="5745"/>
        <v>1.1165505684886926E-2</v>
      </c>
      <c r="CK821" s="234">
        <f t="shared" si="5745"/>
        <v>1.2327170321262907E-2</v>
      </c>
      <c r="CL821" s="234">
        <f t="shared" si="5745"/>
        <v>1.1472750442829709E-2</v>
      </c>
      <c r="CM821" s="234">
        <f t="shared" si="5745"/>
        <v>1.0357115728218187E-2</v>
      </c>
      <c r="CN821" s="234">
        <f t="shared" si="5745"/>
        <v>9.5850624927846205E-3</v>
      </c>
      <c r="CO821" s="234">
        <f t="shared" si="5745"/>
        <v>9.1319603807944565E-3</v>
      </c>
      <c r="CP821" s="234">
        <f t="shared" si="5745"/>
        <v>8.4291374779304675E-3</v>
      </c>
      <c r="CQ821" s="234">
        <f t="shared" si="5745"/>
        <v>8.5388441394897464E-3</v>
      </c>
      <c r="CR821" s="234">
        <f t="shared" si="5745"/>
        <v>7.6327669008815664E-3</v>
      </c>
      <c r="CS821" s="234">
        <f t="shared" ref="CS821:DC821" si="5746">(CS121+CS123)/(CS613)</f>
        <v>7.3090106669690281E-3</v>
      </c>
      <c r="CT821" s="234">
        <f t="shared" si="5746"/>
        <v>9.7600947075947193E-3</v>
      </c>
      <c r="CU821" s="234">
        <f t="shared" si="5746"/>
        <v>1.1860696167474085E-2</v>
      </c>
      <c r="CV821" s="234">
        <f t="shared" si="5746"/>
        <v>1.1784414662288098E-2</v>
      </c>
      <c r="CW821" s="234">
        <f t="shared" si="5746"/>
        <v>9.2610445638813231E-3</v>
      </c>
      <c r="CX821" s="234">
        <f t="shared" si="5746"/>
        <v>1.1102753893228944E-2</v>
      </c>
      <c r="CY821" s="234">
        <f t="shared" si="5746"/>
        <v>1.1598734683489074E-2</v>
      </c>
      <c r="CZ821" s="237">
        <f t="shared" si="5746"/>
        <v>1.1208416894254704E-2</v>
      </c>
      <c r="DA821" s="234">
        <f t="shared" si="5746"/>
        <v>1.0742772167896125E-2</v>
      </c>
      <c r="DB821" s="234">
        <f t="shared" si="5746"/>
        <v>1.0597947052724198E-2</v>
      </c>
      <c r="DC821" s="234">
        <f t="shared" si="5746"/>
        <v>1.0629387163834917E-2</v>
      </c>
      <c r="DD821" s="234">
        <f t="shared" ref="DD821:DI821" si="5747">(DD121+DD123)/(DD613)</f>
        <v>1.0654268555627929E-2</v>
      </c>
      <c r="DE821" s="234">
        <f t="shared" si="5747"/>
        <v>1.0665968537498618E-2</v>
      </c>
      <c r="DF821" s="234">
        <f t="shared" si="5747"/>
        <v>1.0480045965918384E-2</v>
      </c>
      <c r="DG821" s="234">
        <f t="shared" si="5747"/>
        <v>1.0299593555883235E-2</v>
      </c>
      <c r="DH821" s="234">
        <f t="shared" si="5747"/>
        <v>1.0121859867387764E-2</v>
      </c>
      <c r="DI821" s="234">
        <f t="shared" si="5747"/>
        <v>9.9468146193316814E-3</v>
      </c>
    </row>
    <row r="822" spans="1:113" outlineLevel="1">
      <c r="A822" s="1" t="s">
        <v>826</v>
      </c>
      <c r="B822" s="19" t="s">
        <v>264</v>
      </c>
      <c r="C822" s="235">
        <f t="shared" ref="C822:L822" si="5748">(C121+C120)/(C181-C176)</f>
        <v>1.9668063785710843E-2</v>
      </c>
      <c r="D822" s="235">
        <f t="shared" si="5748"/>
        <v>2.0223031854660036E-2</v>
      </c>
      <c r="E822" s="235">
        <f t="shared" si="5748"/>
        <v>1.9726785237667726E-2</v>
      </c>
      <c r="F822" s="235">
        <f t="shared" si="5748"/>
        <v>1.9521178637200737E-2</v>
      </c>
      <c r="G822" s="235">
        <f t="shared" si="5748"/>
        <v>1.8807390198030755E-2</v>
      </c>
      <c r="H822" s="235">
        <f t="shared" si="5748"/>
        <v>1.8447822066250921E-2</v>
      </c>
      <c r="I822" s="235">
        <f t="shared" si="5748"/>
        <v>1.8264840182648401E-2</v>
      </c>
      <c r="J822" s="235">
        <f t="shared" si="5748"/>
        <v>1.6180087802144198E-2</v>
      </c>
      <c r="K822" s="235">
        <f t="shared" si="5748"/>
        <v>1.4482442262144376E-2</v>
      </c>
      <c r="L822" s="235">
        <f t="shared" si="5748"/>
        <v>1.0713595728612326E-2</v>
      </c>
      <c r="M822" s="235">
        <f t="shared" ref="M822:AG822" si="5749">(M121+M120)/(M181-M176)</f>
        <v>1.0906777078740298E-2</v>
      </c>
      <c r="N822" s="235">
        <f t="shared" si="5749"/>
        <v>1.0020935563150099E-2</v>
      </c>
      <c r="O822" s="235">
        <f t="shared" si="5749"/>
        <v>8.6435937160442757E-3</v>
      </c>
      <c r="P822" s="235">
        <f t="shared" si="5749"/>
        <v>8.5981308411214961E-3</v>
      </c>
      <c r="Q822" s="235">
        <f t="shared" si="5749"/>
        <v>1.05418957288709E-2</v>
      </c>
      <c r="R822" s="235">
        <f t="shared" si="5749"/>
        <v>1.8136486106084367E-2</v>
      </c>
      <c r="S822" s="235">
        <f t="shared" si="5749"/>
        <v>2.5525951040051113E-2</v>
      </c>
      <c r="T822" s="236">
        <f t="shared" si="5749"/>
        <v>2.8142859429778923E-2</v>
      </c>
      <c r="U822" s="235">
        <f t="shared" si="5749"/>
        <v>2.9178683989447944E-2</v>
      </c>
      <c r="V822" s="235">
        <f t="shared" si="5749"/>
        <v>3.0568147056369753E-2</v>
      </c>
      <c r="W822" s="235">
        <f t="shared" si="5749"/>
        <v>2.8695647345597094E-2</v>
      </c>
      <c r="X822" s="235">
        <f t="shared" si="5749"/>
        <v>2.7722912733661433E-2</v>
      </c>
      <c r="Y822" s="236">
        <f t="shared" si="5749"/>
        <v>2.5875190258751901E-2</v>
      </c>
      <c r="Z822" s="236">
        <f t="shared" si="5749"/>
        <v>2.4959268045449963E-2</v>
      </c>
      <c r="AA822" s="236">
        <f t="shared" si="5749"/>
        <v>2.3084800362275958E-2</v>
      </c>
      <c r="AB822" s="236">
        <f t="shared" si="5749"/>
        <v>2.1090651418673542E-2</v>
      </c>
      <c r="AC822" s="236">
        <f>(AC121+AC120)/(AC181-AC176)</f>
        <v>1.8870659168647459E-2</v>
      </c>
      <c r="AD822" s="236">
        <f>(AD121+AD120)/(AD181-AD176)</f>
        <v>1.8049500020939094E-2</v>
      </c>
      <c r="AE822" s="236">
        <f>(AE121+AE120)/(AE181-AE176)</f>
        <v>1.6438936267023467E-2</v>
      </c>
      <c r="AF822" s="236">
        <f>(AF121+AF120)/(AF181-AF176)</f>
        <v>1.5634877154536642E-2</v>
      </c>
      <c r="AG822" s="236">
        <f t="shared" si="5749"/>
        <v>1.5388202378176731E-2</v>
      </c>
      <c r="AH822" s="236">
        <f t="shared" ref="AH822:AM822" si="5750">(AH121+AH120)/(AH181-AH176)</f>
        <v>1.55699057825262E-2</v>
      </c>
      <c r="AI822" s="236">
        <f t="shared" si="5750"/>
        <v>1.4904363335346175E-2</v>
      </c>
      <c r="AJ822" s="236">
        <f t="shared" si="5750"/>
        <v>1.5147047537493992E-2</v>
      </c>
      <c r="AK822" s="236">
        <f t="shared" si="5750"/>
        <v>1.4787287735465069E-2</v>
      </c>
      <c r="AL822" s="236">
        <f t="shared" si="5750"/>
        <v>1.9260971104474698E-2</v>
      </c>
      <c r="AM822" s="236">
        <f t="shared" si="5750"/>
        <v>2.0250824971094362E-2</v>
      </c>
      <c r="AN822" s="236">
        <f t="shared" ref="AN822:AS822" si="5751">(AN121+AN120)/(AN181-AN176)</f>
        <v>2.1358785957426917E-2</v>
      </c>
      <c r="AO822" s="236">
        <f t="shared" si="5751"/>
        <v>2.6922621263920386E-2</v>
      </c>
      <c r="AP822" s="236">
        <f t="shared" si="5751"/>
        <v>2.9086268635058022E-2</v>
      </c>
      <c r="AQ822" s="236">
        <f t="shared" si="5751"/>
        <v>2.6129575094657131E-2</v>
      </c>
      <c r="AR822" s="236">
        <f t="shared" si="5751"/>
        <v>2.4012075768886847E-2</v>
      </c>
      <c r="AS822" s="236">
        <f t="shared" si="5751"/>
        <v>2.0401310995036077E-2</v>
      </c>
      <c r="AT822" s="236">
        <f t="shared" ref="AT822:AU822" si="5752">(AT121+AT120)/(AT181-AT176)</f>
        <v>2.0341260343169288E-2</v>
      </c>
      <c r="AU822" s="236">
        <f t="shared" si="5752"/>
        <v>2.1276215336754216E-2</v>
      </c>
      <c r="AV822" s="236">
        <f t="shared" ref="AV822:AW822" si="5753">(AV121+AV120)/(AV181-AV176)</f>
        <v>2.1845578459243564E-2</v>
      </c>
      <c r="AW822" s="236">
        <f t="shared" si="5753"/>
        <v>2.164624357404709E-2</v>
      </c>
      <c r="AX822" s="236">
        <f t="shared" ref="AX822" si="5754">(AX121+AX120)/(AX181-AX176)</f>
        <v>2.146027763609545E-2</v>
      </c>
      <c r="AY822" s="236">
        <f t="shared" ref="AY822:BE822" si="5755">(AY121+AY120)/(AY181-AY176)</f>
        <v>2.0835307301995967E-2</v>
      </c>
      <c r="AZ822" s="766">
        <f t="shared" si="5755"/>
        <v>1.9994445110750603E-2</v>
      </c>
      <c r="BA822" s="235">
        <f t="shared" si="5755"/>
        <v>1.9126696650053031E-2</v>
      </c>
      <c r="BB822" s="235">
        <f t="shared" si="5755"/>
        <v>1.8533986550245785E-2</v>
      </c>
      <c r="BC822" s="235">
        <f t="shared" si="5755"/>
        <v>1.789188050511456E-2</v>
      </c>
      <c r="BD822" s="235">
        <f t="shared" si="5755"/>
        <v>1.7595143418089491E-2</v>
      </c>
      <c r="BE822" s="235">
        <f t="shared" si="5755"/>
        <v>1.7333827741804326E-2</v>
      </c>
      <c r="BF822" s="235">
        <f t="shared" ref="BF822:BM822" si="5756">(BF121+BF120)/(BF181-BF176)</f>
        <v>1.719873274330842E-2</v>
      </c>
      <c r="BG822" s="235">
        <f t="shared" si="5756"/>
        <v>1.7078985505929286E-2</v>
      </c>
      <c r="BH822" s="235">
        <f t="shared" si="5756"/>
        <v>1.6849387698698735E-2</v>
      </c>
      <c r="BI822" s="235">
        <f t="shared" si="5756"/>
        <v>1.6592265879239419E-2</v>
      </c>
      <c r="BJ822" s="235">
        <f t="shared" si="5756"/>
        <v>1.6453579743282407E-2</v>
      </c>
      <c r="BK822" s="235">
        <f t="shared" si="5756"/>
        <v>1.6306330350492337E-2</v>
      </c>
      <c r="BL822" s="235">
        <f t="shared" si="5756"/>
        <v>1.6160403192010314E-2</v>
      </c>
      <c r="BM822" s="235">
        <f t="shared" si="5756"/>
        <v>1.6015787209395678E-2</v>
      </c>
      <c r="BN822" s="235">
        <f t="shared" ref="BN822:BO822" si="5757">(BN121+BN120)/(BN181-BN176)</f>
        <v>1.5872471427574496E-2</v>
      </c>
      <c r="BO822" s="235">
        <f t="shared" si="5757"/>
        <v>1.5730444954257298E-2</v>
      </c>
      <c r="BP822" s="235">
        <f t="shared" ref="BP822:BQ822" si="5758">(BP121+BP120)/(BP181-BP176)</f>
        <v>1.5589696979362456E-2</v>
      </c>
      <c r="BQ822" s="235">
        <f t="shared" si="5758"/>
        <v>1.5450216774444959E-2</v>
      </c>
      <c r="BR822" s="235"/>
      <c r="BS822" s="235">
        <f>(BS121+BS120)/(BS181-BS176)</f>
        <v>3.4653205853985826E-2</v>
      </c>
      <c r="BT822" s="235">
        <f>(BT121+BT120)/(BT181-BT176)</f>
        <v>2.0061908277317998E-2</v>
      </c>
      <c r="BU822" s="235">
        <f t="shared" ref="BU822:CB822" si="5759">(BU121+BU120)/(BU181-BU176)</f>
        <v>2.2033868011272124E-2</v>
      </c>
      <c r="BV822" s="235">
        <f t="shared" si="5759"/>
        <v>2.2503581165380527E-2</v>
      </c>
      <c r="BW822" s="235">
        <f t="shared" si="5759"/>
        <v>2.2820109080121404E-2</v>
      </c>
      <c r="BX822" s="235">
        <f t="shared" si="5759"/>
        <v>1.9374037541099596E-2</v>
      </c>
      <c r="BY822" s="235">
        <f t="shared" si="5759"/>
        <v>2.5332784923721208E-2</v>
      </c>
      <c r="BZ822" s="235">
        <f t="shared" si="5759"/>
        <v>2.2369224170639568E-2</v>
      </c>
      <c r="CA822" s="235">
        <f t="shared" si="5759"/>
        <v>2.3118251795216201E-2</v>
      </c>
      <c r="CB822" s="235">
        <f t="shared" si="5759"/>
        <v>1.9668063785710843E-2</v>
      </c>
      <c r="CC822" s="235">
        <f t="shared" ref="CC822:CR822" si="5760">(CC121+CC120)/(CC181-CC176)</f>
        <v>1.9726785237667726E-2</v>
      </c>
      <c r="CD822" s="235">
        <f t="shared" si="5760"/>
        <v>1.8807390198030755E-2</v>
      </c>
      <c r="CE822" s="235">
        <f t="shared" si="5760"/>
        <v>1.8264840182648401E-2</v>
      </c>
      <c r="CF822" s="235">
        <f t="shared" si="5760"/>
        <v>1.4482442262144376E-2</v>
      </c>
      <c r="CG822" s="235">
        <f t="shared" si="5760"/>
        <v>1.0906777078740298E-2</v>
      </c>
      <c r="CH822" s="235">
        <f t="shared" si="5760"/>
        <v>8.6435937160442757E-3</v>
      </c>
      <c r="CI822" s="235">
        <f t="shared" si="5760"/>
        <v>1.05418957288709E-2</v>
      </c>
      <c r="CJ822" s="235">
        <f t="shared" si="5760"/>
        <v>2.5525951040051113E-2</v>
      </c>
      <c r="CK822" s="235">
        <f t="shared" si="5760"/>
        <v>2.9178683989447944E-2</v>
      </c>
      <c r="CL822" s="235">
        <f t="shared" si="5760"/>
        <v>2.8695647345597094E-2</v>
      </c>
      <c r="CM822" s="235">
        <f t="shared" si="5760"/>
        <v>2.5875190258751901E-2</v>
      </c>
      <c r="CN822" s="236">
        <f t="shared" si="5760"/>
        <v>2.3084800362275958E-2</v>
      </c>
      <c r="CO822" s="236">
        <f t="shared" si="5760"/>
        <v>1.8870659168647459E-2</v>
      </c>
      <c r="CP822" s="236">
        <f t="shared" si="5760"/>
        <v>1.6438936267023467E-2</v>
      </c>
      <c r="CQ822" s="236">
        <f t="shared" si="5760"/>
        <v>1.5388202378176731E-2</v>
      </c>
      <c r="CR822" s="236">
        <f t="shared" si="5760"/>
        <v>1.4904363335346175E-2</v>
      </c>
      <c r="CS822" s="236">
        <f t="shared" ref="CS822:DC822" si="5761">(CS121+CS120)/(CS181-CS176)</f>
        <v>1.4787287735465069E-2</v>
      </c>
      <c r="CT822" s="236">
        <f t="shared" si="5761"/>
        <v>2.0250824971094362E-2</v>
      </c>
      <c r="CU822" s="236">
        <f t="shared" si="5761"/>
        <v>2.6922621263920386E-2</v>
      </c>
      <c r="CV822" s="236">
        <f t="shared" si="5761"/>
        <v>2.6129575094657131E-2</v>
      </c>
      <c r="CW822" s="236">
        <f t="shared" si="5761"/>
        <v>2.0401310995036077E-2</v>
      </c>
      <c r="CX822" s="236">
        <f t="shared" si="5761"/>
        <v>2.1276215336754216E-2</v>
      </c>
      <c r="CY822" s="236">
        <f t="shared" si="5761"/>
        <v>2.164624357404709E-2</v>
      </c>
      <c r="CZ822" s="766">
        <f t="shared" si="5761"/>
        <v>2.0835307301995967E-2</v>
      </c>
      <c r="DA822" s="235">
        <f t="shared" si="5761"/>
        <v>1.9126696650053031E-2</v>
      </c>
      <c r="DB822" s="235">
        <f t="shared" si="5761"/>
        <v>1.789188050511456E-2</v>
      </c>
      <c r="DC822" s="235">
        <f t="shared" si="5761"/>
        <v>1.7333827741804326E-2</v>
      </c>
      <c r="DD822" s="235">
        <f t="shared" ref="DD822:DI822" si="5762">(DD121+DD120)/(DD181-DD176)</f>
        <v>1.7078985505929286E-2</v>
      </c>
      <c r="DE822" s="235">
        <f t="shared" si="5762"/>
        <v>1.6592265879239419E-2</v>
      </c>
      <c r="DF822" s="235">
        <f t="shared" si="5762"/>
        <v>1.6306330350492337E-2</v>
      </c>
      <c r="DG822" s="235">
        <f t="shared" si="5762"/>
        <v>1.6015787209395678E-2</v>
      </c>
      <c r="DH822" s="235">
        <f t="shared" si="5762"/>
        <v>1.5730444954257298E-2</v>
      </c>
      <c r="DI822" s="235">
        <f t="shared" si="5762"/>
        <v>1.5450216774444959E-2</v>
      </c>
    </row>
    <row r="823" spans="1:113" outlineLevel="1">
      <c r="A823" s="1" t="s">
        <v>827</v>
      </c>
      <c r="B823" s="19" t="s">
        <v>371</v>
      </c>
      <c r="C823" s="235">
        <f t="shared" ref="C823:L823" si="5763">(C121+C120)/(C613-C612)</f>
        <v>1.1855756176536784E-2</v>
      </c>
      <c r="D823" s="235">
        <f t="shared" si="5763"/>
        <v>1.1951090000509175E-2</v>
      </c>
      <c r="E823" s="235">
        <f t="shared" si="5763"/>
        <v>1.1625994751857228E-2</v>
      </c>
      <c r="F823" s="235">
        <f t="shared" si="5763"/>
        <v>1.1156876916491828E-2</v>
      </c>
      <c r="G823" s="235">
        <f t="shared" si="5763"/>
        <v>1.0516692671996042E-2</v>
      </c>
      <c r="H823" s="235">
        <f t="shared" si="5763"/>
        <v>1.0021769653875384E-2</v>
      </c>
      <c r="I823" s="235">
        <f t="shared" si="5763"/>
        <v>9.2023437219166757E-3</v>
      </c>
      <c r="J823" s="235">
        <f t="shared" si="5763"/>
        <v>8.7584269662921346E-3</v>
      </c>
      <c r="K823" s="235">
        <f t="shared" si="5763"/>
        <v>8.2857984521035859E-3</v>
      </c>
      <c r="L823" s="235">
        <f t="shared" si="5763"/>
        <v>6.1210871452152668E-3</v>
      </c>
      <c r="M823" s="235">
        <f t="shared" ref="M823:AG823" si="5764">(M121+M120)/(M613-M612)</f>
        <v>5.7138564540285741E-3</v>
      </c>
      <c r="N823" s="235">
        <f t="shared" si="5764"/>
        <v>5.2441495903414112E-3</v>
      </c>
      <c r="O823" s="235">
        <f t="shared" si="5764"/>
        <v>5.1114316983384735E-3</v>
      </c>
      <c r="P823" s="235">
        <f t="shared" si="5764"/>
        <v>7.5976128080336497E-3</v>
      </c>
      <c r="Q823" s="235">
        <f t="shared" si="5764"/>
        <v>9.3096457533077253E-3</v>
      </c>
      <c r="R823" s="235">
        <f t="shared" si="5764"/>
        <v>1.630874515777626E-2</v>
      </c>
      <c r="S823" s="235">
        <f t="shared" si="5764"/>
        <v>1.9167895129868873E-2</v>
      </c>
      <c r="T823" s="236">
        <f t="shared" si="5764"/>
        <v>2.0405004913605657E-2</v>
      </c>
      <c r="U823" s="235">
        <f t="shared" si="5764"/>
        <v>2.1237483593819981E-2</v>
      </c>
      <c r="V823" s="235">
        <f t="shared" si="5764"/>
        <v>2.2468602825745684E-2</v>
      </c>
      <c r="W823" s="235">
        <f t="shared" si="5764"/>
        <v>2.0944954648985579E-2</v>
      </c>
      <c r="X823" s="235">
        <f t="shared" si="5764"/>
        <v>1.9659812881607765E-2</v>
      </c>
      <c r="Y823" s="236">
        <f t="shared" si="5764"/>
        <v>1.8532756503677864E-2</v>
      </c>
      <c r="Z823" s="236">
        <f t="shared" si="5764"/>
        <v>1.8195746458928994E-2</v>
      </c>
      <c r="AA823" s="236">
        <f t="shared" si="5764"/>
        <v>1.604010383517953E-2</v>
      </c>
      <c r="AB823" s="236">
        <f t="shared" si="5764"/>
        <v>1.5187594789584839E-2</v>
      </c>
      <c r="AC823" s="236">
        <f>(AC121+AC120)/(AC613-AC612)</f>
        <v>1.3509120212493689E-2</v>
      </c>
      <c r="AD823" s="236">
        <f>(AD121+AD120)/(AD613-AD612)</f>
        <v>1.2451689115445358E-2</v>
      </c>
      <c r="AE823" s="236">
        <f>(AE121+AE120)/(AE613-AE612)</f>
        <v>1.1432635490359491E-2</v>
      </c>
      <c r="AF823" s="236">
        <f>(AF121+AF120)/(AF613-AF612)</f>
        <v>1.1076048567428057E-2</v>
      </c>
      <c r="AG823" s="236">
        <f t="shared" si="5764"/>
        <v>1.0935092869807865E-2</v>
      </c>
      <c r="AH823" s="236">
        <f t="shared" ref="AH823:AM823" si="5765">(AH121+AH120)/(AH613-AH612)</f>
        <v>1.023757382350894E-2</v>
      </c>
      <c r="AI823" s="236">
        <f t="shared" si="5765"/>
        <v>9.8791546391206048E-3</v>
      </c>
      <c r="AJ823" s="236">
        <f t="shared" si="5765"/>
        <v>1.0218401297055738E-2</v>
      </c>
      <c r="AK823" s="236">
        <f t="shared" si="5765"/>
        <v>9.8314606741573031E-3</v>
      </c>
      <c r="AL823" s="236">
        <f t="shared" si="5765"/>
        <v>1.2816902933754967E-2</v>
      </c>
      <c r="AM823" s="236">
        <f t="shared" si="5765"/>
        <v>1.288066263346342E-2</v>
      </c>
      <c r="AN823" s="236">
        <f t="shared" ref="AN823:AS823" si="5766">(AN121+AN120)/(AN613-AN612)</f>
        <v>1.3394915475578133E-2</v>
      </c>
      <c r="AO823" s="236">
        <f t="shared" si="5766"/>
        <v>1.7004548442786361E-2</v>
      </c>
      <c r="AP823" s="236">
        <f t="shared" si="5766"/>
        <v>1.8081719288936059E-2</v>
      </c>
      <c r="AQ823" s="236">
        <f t="shared" si="5766"/>
        <v>1.6278338356702924E-2</v>
      </c>
      <c r="AR823" s="236">
        <f t="shared" si="5766"/>
        <v>1.4983861761461222E-2</v>
      </c>
      <c r="AS823" s="236">
        <f t="shared" si="5766"/>
        <v>1.3583235741667027E-2</v>
      </c>
      <c r="AT823" s="236">
        <f t="shared" ref="AT823:AU823" si="5767">(AT121+AT120)/(AT613-AT612)</f>
        <v>1.3782999226400874E-2</v>
      </c>
      <c r="AU823" s="236">
        <f t="shared" si="5767"/>
        <v>1.6397101984462713E-2</v>
      </c>
      <c r="AV823" s="236">
        <f t="shared" ref="AV823:AW823" si="5768">(AV121+AV120)/(AV613-AV612)</f>
        <v>1.6442702754010333E-2</v>
      </c>
      <c r="AW823" s="236">
        <f t="shared" si="5768"/>
        <v>1.6561207631922772E-2</v>
      </c>
      <c r="AX823" s="236">
        <f t="shared" ref="AX823" si="5769">(AX121+AX120)/(AX613-AX612)</f>
        <v>1.616911224381162E-2</v>
      </c>
      <c r="AY823" s="236">
        <f t="shared" ref="AY823:BE823" si="5770">(AY121+AY120)/(AY613-AY612)</f>
        <v>1.5985340713111137E-2</v>
      </c>
      <c r="AZ823" s="766">
        <f t="shared" si="5770"/>
        <v>1.5484492287085176E-2</v>
      </c>
      <c r="BA823" s="235">
        <f t="shared" si="5770"/>
        <v>1.5033453446986412E-2</v>
      </c>
      <c r="BB823" s="235">
        <f t="shared" si="5770"/>
        <v>1.4776520023635156E-2</v>
      </c>
      <c r="BC823" s="235">
        <f t="shared" si="5770"/>
        <v>1.442244531329352E-2</v>
      </c>
      <c r="BD823" s="235">
        <f t="shared" si="5770"/>
        <v>1.4176879912120546E-2</v>
      </c>
      <c r="BE823" s="235">
        <f t="shared" si="5770"/>
        <v>1.3959530866072972E-2</v>
      </c>
      <c r="BF823" s="235">
        <f t="shared" ref="BF823:BM823" si="5771">(BF121+BF120)/(BF613-BF612)</f>
        <v>1.3788154267350618E-2</v>
      </c>
      <c r="BG823" s="235">
        <f t="shared" si="5771"/>
        <v>1.3647203563395067E-2</v>
      </c>
      <c r="BH823" s="235">
        <f t="shared" si="5771"/>
        <v>1.3420083081278978E-2</v>
      </c>
      <c r="BI823" s="235">
        <f t="shared" si="5771"/>
        <v>1.3198105642225431E-2</v>
      </c>
      <c r="BJ823" s="235">
        <f t="shared" si="5771"/>
        <v>1.3071404060912369E-2</v>
      </c>
      <c r="BK823" s="235">
        <f t="shared" si="5771"/>
        <v>1.2946341483923788E-2</v>
      </c>
      <c r="BL823" s="235">
        <f t="shared" si="5771"/>
        <v>1.2822528323336984E-2</v>
      </c>
      <c r="BM823" s="235">
        <f t="shared" si="5771"/>
        <v>1.2699952096809552E-2</v>
      </c>
      <c r="BN823" s="235">
        <f t="shared" ref="BN823:BO823" si="5772">(BN121+BN120)/(BN613-BN612)</f>
        <v>1.2578600446692133E-2</v>
      </c>
      <c r="BO823" s="235">
        <f t="shared" si="5772"/>
        <v>1.2458461138782831E-2</v>
      </c>
      <c r="BP823" s="235">
        <f t="shared" ref="BP823:BQ823" si="5773">(BP121+BP120)/(BP613-BP612)</f>
        <v>1.2339522061094111E-2</v>
      </c>
      <c r="BQ823" s="235">
        <f t="shared" si="5773"/>
        <v>1.2221771222631994E-2</v>
      </c>
      <c r="BR823" s="235"/>
      <c r="BS823" s="235">
        <f>(BS121+BS120)/(BS613-BS612)</f>
        <v>3.2761349107499775E-2</v>
      </c>
      <c r="BT823" s="235">
        <f>(BT121+BT120)/(BT613-BT612)</f>
        <v>1.8391026847880104E-2</v>
      </c>
      <c r="BU823" s="235">
        <f t="shared" ref="BU823:CB823" si="5774">(BU121+BU120)/(BU613-BU612)</f>
        <v>1.8961241820347575E-2</v>
      </c>
      <c r="BV823" s="235">
        <f t="shared" si="5774"/>
        <v>1.5524138920323234E-2</v>
      </c>
      <c r="BW823" s="235">
        <f t="shared" si="5774"/>
        <v>1.4398640768311471E-2</v>
      </c>
      <c r="BX823" s="235">
        <f t="shared" si="5774"/>
        <v>1.2130767326410153E-2</v>
      </c>
      <c r="BY823" s="235">
        <f t="shared" si="5774"/>
        <v>1.6506072529266301E-2</v>
      </c>
      <c r="BZ823" s="235">
        <f t="shared" si="5774"/>
        <v>1.5848712584298555E-2</v>
      </c>
      <c r="CA823" s="235">
        <f t="shared" si="5774"/>
        <v>1.6027219411738371E-2</v>
      </c>
      <c r="CB823" s="235">
        <f t="shared" si="5774"/>
        <v>1.3819425050987162E-2</v>
      </c>
      <c r="CC823" s="235">
        <f t="shared" ref="CC823:CR823" si="5775">(CC121+CC120)/(CC613-CC612)</f>
        <v>1.1625994751857228E-2</v>
      </c>
      <c r="CD823" s="235">
        <f t="shared" si="5775"/>
        <v>1.0516692671996042E-2</v>
      </c>
      <c r="CE823" s="235">
        <f t="shared" si="5775"/>
        <v>9.2023437219166757E-3</v>
      </c>
      <c r="CF823" s="235">
        <f t="shared" si="5775"/>
        <v>8.2857984521035859E-3</v>
      </c>
      <c r="CG823" s="235">
        <f t="shared" si="5775"/>
        <v>5.7138564540285741E-3</v>
      </c>
      <c r="CH823" s="235">
        <f t="shared" si="5775"/>
        <v>5.1114316983384735E-3</v>
      </c>
      <c r="CI823" s="235">
        <f t="shared" si="5775"/>
        <v>9.3096457533077253E-3</v>
      </c>
      <c r="CJ823" s="235">
        <f t="shared" si="5775"/>
        <v>1.9167895129868873E-2</v>
      </c>
      <c r="CK823" s="235">
        <f t="shared" si="5775"/>
        <v>2.1237483593819981E-2</v>
      </c>
      <c r="CL823" s="235">
        <f t="shared" si="5775"/>
        <v>2.0944954648985579E-2</v>
      </c>
      <c r="CM823" s="235">
        <f t="shared" si="5775"/>
        <v>1.8532756503677864E-2</v>
      </c>
      <c r="CN823" s="236">
        <f t="shared" si="5775"/>
        <v>1.604010383517953E-2</v>
      </c>
      <c r="CO823" s="236">
        <f t="shared" si="5775"/>
        <v>1.3509120212493689E-2</v>
      </c>
      <c r="CP823" s="236">
        <f t="shared" si="5775"/>
        <v>1.1432635490359491E-2</v>
      </c>
      <c r="CQ823" s="236">
        <f t="shared" si="5775"/>
        <v>1.0935092869807865E-2</v>
      </c>
      <c r="CR823" s="236">
        <f t="shared" si="5775"/>
        <v>9.8791546391206048E-3</v>
      </c>
      <c r="CS823" s="236">
        <f t="shared" ref="CS823:DC823" si="5776">(CS121+CS120)/(CS613-CS612)</f>
        <v>9.8314606741573031E-3</v>
      </c>
      <c r="CT823" s="236">
        <f t="shared" si="5776"/>
        <v>1.288066263346342E-2</v>
      </c>
      <c r="CU823" s="236">
        <f t="shared" si="5776"/>
        <v>1.7004548442786361E-2</v>
      </c>
      <c r="CV823" s="236">
        <f t="shared" si="5776"/>
        <v>1.6278338356702924E-2</v>
      </c>
      <c r="CW823" s="236">
        <f t="shared" si="5776"/>
        <v>1.3583235741667027E-2</v>
      </c>
      <c r="CX823" s="236">
        <f t="shared" si="5776"/>
        <v>1.6397101984462713E-2</v>
      </c>
      <c r="CY823" s="236">
        <f t="shared" si="5776"/>
        <v>1.6561207631922772E-2</v>
      </c>
      <c r="CZ823" s="766">
        <f t="shared" si="5776"/>
        <v>1.5985340713111137E-2</v>
      </c>
      <c r="DA823" s="235">
        <f t="shared" si="5776"/>
        <v>1.5033453446986412E-2</v>
      </c>
      <c r="DB823" s="235">
        <f t="shared" si="5776"/>
        <v>1.442244531329352E-2</v>
      </c>
      <c r="DC823" s="235">
        <f t="shared" si="5776"/>
        <v>1.3959530866072972E-2</v>
      </c>
      <c r="DD823" s="235">
        <f t="shared" ref="DD823:DI823" si="5777">(DD121+DD120)/(DD613-DD612)</f>
        <v>1.3647203563395067E-2</v>
      </c>
      <c r="DE823" s="235">
        <f t="shared" si="5777"/>
        <v>1.3198105642225431E-2</v>
      </c>
      <c r="DF823" s="235">
        <f t="shared" si="5777"/>
        <v>1.2946341483923788E-2</v>
      </c>
      <c r="DG823" s="235">
        <f t="shared" si="5777"/>
        <v>1.2699952096809552E-2</v>
      </c>
      <c r="DH823" s="235">
        <f t="shared" si="5777"/>
        <v>1.2458461138782831E-2</v>
      </c>
      <c r="DI823" s="235">
        <f t="shared" si="5777"/>
        <v>1.2221771222631994E-2</v>
      </c>
    </row>
    <row r="824" spans="1:113" outlineLevel="1">
      <c r="A824" s="1" t="s">
        <v>828</v>
      </c>
      <c r="B824" s="19" t="s">
        <v>372</v>
      </c>
      <c r="C824" s="235">
        <f t="shared" ref="C824:L824" si="5778">(C121+C120)/(C613)</f>
        <v>1.1800582441484865E-2</v>
      </c>
      <c r="D824" s="235">
        <f t="shared" si="5778"/>
        <v>1.1882462700060027E-2</v>
      </c>
      <c r="E824" s="235">
        <f t="shared" si="5778"/>
        <v>1.1527908740934002E-2</v>
      </c>
      <c r="F824" s="235">
        <f t="shared" si="5778"/>
        <v>1.1059253952466075E-2</v>
      </c>
      <c r="G824" s="235">
        <f t="shared" si="5778"/>
        <v>1.0421775380088278E-2</v>
      </c>
      <c r="H824" s="235">
        <f t="shared" si="5778"/>
        <v>9.881184472061523E-3</v>
      </c>
      <c r="I824" s="235">
        <f t="shared" si="5778"/>
        <v>9.0715268631770419E-3</v>
      </c>
      <c r="J824" s="235">
        <f t="shared" si="5778"/>
        <v>8.6288010449760335E-3</v>
      </c>
      <c r="K824" s="235">
        <f t="shared" si="5778"/>
        <v>8.1610474838968335E-3</v>
      </c>
      <c r="L824" s="235">
        <f t="shared" si="5778"/>
        <v>6.0197269412385832E-3</v>
      </c>
      <c r="M824" s="235">
        <f t="shared" ref="M824:AG824" si="5779">(M121+M120)/(M613)</f>
        <v>5.6228573540690633E-3</v>
      </c>
      <c r="N824" s="235">
        <f t="shared" si="5779"/>
        <v>5.1626600275398709E-3</v>
      </c>
      <c r="O824" s="235">
        <f t="shared" si="5779"/>
        <v>5.0255352623019642E-3</v>
      </c>
      <c r="P824" s="235">
        <f t="shared" si="5779"/>
        <v>6.9616804891337244E-3</v>
      </c>
      <c r="Q824" s="235">
        <f t="shared" si="5779"/>
        <v>8.4914428640249923E-3</v>
      </c>
      <c r="R824" s="235">
        <f t="shared" si="5779"/>
        <v>1.507800191400357E-2</v>
      </c>
      <c r="S824" s="235">
        <f t="shared" si="5779"/>
        <v>1.7151601600908475E-2</v>
      </c>
      <c r="T824" s="236">
        <f t="shared" si="5779"/>
        <v>1.7730770653120367E-2</v>
      </c>
      <c r="U824" s="235">
        <f t="shared" si="5779"/>
        <v>1.8750365345006036E-2</v>
      </c>
      <c r="V824" s="235">
        <f t="shared" si="5779"/>
        <v>1.9246190858059342E-2</v>
      </c>
      <c r="W824" s="235">
        <f t="shared" si="5779"/>
        <v>1.8345041549673247E-2</v>
      </c>
      <c r="X824" s="235">
        <f t="shared" si="5779"/>
        <v>1.7067230983691908E-2</v>
      </c>
      <c r="Y824" s="236">
        <f t="shared" si="5779"/>
        <v>1.6001347481893212E-2</v>
      </c>
      <c r="Z824" s="236">
        <f t="shared" si="5779"/>
        <v>1.5592932618505292E-2</v>
      </c>
      <c r="AA824" s="236">
        <f t="shared" si="5779"/>
        <v>1.3628713262323868E-2</v>
      </c>
      <c r="AB824" s="236">
        <f t="shared" si="5779"/>
        <v>1.2824771018291607E-2</v>
      </c>
      <c r="AC824" s="236">
        <f>(AC121+AC120)/(AC613)</f>
        <v>1.156596538501399E-2</v>
      </c>
      <c r="AD824" s="236">
        <f>(AD121+AD120)/(AD613)</f>
        <v>1.098717454850332E-2</v>
      </c>
      <c r="AE824" s="236">
        <f>(AE121+AE120)/(AE613)</f>
        <v>9.8963715112510547E-3</v>
      </c>
      <c r="AF824" s="236">
        <f>(AF121+AF120)/(AF613)</f>
        <v>9.4483296066336948E-3</v>
      </c>
      <c r="AG824" s="236">
        <f t="shared" si="5779"/>
        <v>9.5320865438458247E-3</v>
      </c>
      <c r="AH824" s="236">
        <f t="shared" ref="AH824:AM824" si="5780">(AH121+AH120)/(AH613)</f>
        <v>8.7609769955622353E-3</v>
      </c>
      <c r="AI824" s="236">
        <f t="shared" si="5780"/>
        <v>8.5273747720580328E-3</v>
      </c>
      <c r="AJ824" s="236">
        <f t="shared" si="5780"/>
        <v>8.5065647996080181E-3</v>
      </c>
      <c r="AK824" s="236">
        <f t="shared" si="5780"/>
        <v>7.9217290432871366E-3</v>
      </c>
      <c r="AL824" s="236">
        <f t="shared" si="5780"/>
        <v>1.0634760886364862E-2</v>
      </c>
      <c r="AM824" s="236">
        <f t="shared" si="5780"/>
        <v>1.0599387757806529E-2</v>
      </c>
      <c r="AN824" s="236">
        <f t="shared" ref="AN824:AS824" si="5781">(AN121+AN120)/(AN613)</f>
        <v>1.1189925949674277E-2</v>
      </c>
      <c r="AO824" s="236">
        <f t="shared" si="5781"/>
        <v>1.3986213809050704E-2</v>
      </c>
      <c r="AP824" s="236">
        <f t="shared" si="5781"/>
        <v>1.5023720503685938E-2</v>
      </c>
      <c r="AQ824" s="236">
        <f t="shared" si="5781"/>
        <v>1.3781397000088754E-2</v>
      </c>
      <c r="AR824" s="236">
        <f t="shared" si="5781"/>
        <v>1.2404460859412578E-2</v>
      </c>
      <c r="AS824" s="236">
        <f t="shared" si="5781"/>
        <v>1.0739276790950648E-2</v>
      </c>
      <c r="AT824" s="236">
        <f t="shared" ref="AT824:AU824" si="5782">(AT121+AT120)/(AT613)</f>
        <v>1.0985764701217336E-2</v>
      </c>
      <c r="AU824" s="236">
        <f t="shared" si="5782"/>
        <v>1.2713892545171713E-2</v>
      </c>
      <c r="AV824" s="236">
        <f t="shared" ref="AV824:AW824" si="5783">(AV121+AV120)/(AV613)</f>
        <v>1.307684344022569E-2</v>
      </c>
      <c r="AW824" s="236">
        <f t="shared" si="5783"/>
        <v>1.3121563209147237E-2</v>
      </c>
      <c r="AX824" s="236">
        <f t="shared" ref="AX824" si="5784">(AX121+AX120)/(AX613)</f>
        <v>1.2909204364293726E-2</v>
      </c>
      <c r="AY824" s="236">
        <f t="shared" ref="AY824:BE824" si="5785">(AY121+AY120)/(AY613)</f>
        <v>1.2853097380806014E-2</v>
      </c>
      <c r="AZ824" s="766">
        <f t="shared" si="5785"/>
        <v>1.2536858562070808E-2</v>
      </c>
      <c r="BA824" s="235">
        <f t="shared" si="5785"/>
        <v>1.2234677548070635E-2</v>
      </c>
      <c r="BB824" s="235">
        <f t="shared" si="5785"/>
        <v>1.2088905695409555E-2</v>
      </c>
      <c r="BC824" s="235">
        <f t="shared" si="5785"/>
        <v>1.1855644293147652E-2</v>
      </c>
      <c r="BD824" s="235">
        <f t="shared" si="5785"/>
        <v>1.1715395475196197E-2</v>
      </c>
      <c r="BE824" s="235">
        <f t="shared" si="5785"/>
        <v>1.1593911010999047E-2</v>
      </c>
      <c r="BF824" s="235">
        <f t="shared" ref="BF824:BM824" si="5786">(BF121+BF120)/(BF613)</f>
        <v>1.15158331815064E-2</v>
      </c>
      <c r="BG824" s="235">
        <f t="shared" si="5786"/>
        <v>1.1457480657578486E-2</v>
      </c>
      <c r="BH824" s="235">
        <f t="shared" si="5786"/>
        <v>1.1317950222328737E-2</v>
      </c>
      <c r="BI824" s="235">
        <f t="shared" si="5786"/>
        <v>1.1177057094588416E-2</v>
      </c>
      <c r="BJ824" s="235">
        <f t="shared" si="5786"/>
        <v>1.1082329595228431E-2</v>
      </c>
      <c r="BK824" s="235">
        <f t="shared" si="5786"/>
        <v>1.0991461101827736E-2</v>
      </c>
      <c r="BL824" s="235">
        <f t="shared" si="5786"/>
        <v>1.0901277194509238E-2</v>
      </c>
      <c r="BM824" s="235">
        <f t="shared" si="5786"/>
        <v>1.0811774078118778E-2</v>
      </c>
      <c r="BN824" s="235">
        <f t="shared" ref="BN824:BO824" si="5787">(BN121+BN120)/(BN613)</f>
        <v>1.0722947963770374E-2</v>
      </c>
      <c r="BO824" s="235">
        <f t="shared" si="5787"/>
        <v>1.0634795068894799E-2</v>
      </c>
      <c r="BP824" s="235">
        <f t="shared" ref="BP824:BQ824" si="5788">(BP121+BP120)/(BP613)</f>
        <v>1.0547311617292433E-2</v>
      </c>
      <c r="BQ824" s="235">
        <f t="shared" si="5788"/>
        <v>1.0460493839190147E-2</v>
      </c>
      <c r="BR824" s="235"/>
      <c r="BS824" s="235">
        <f>(BS121+BS120)/(BS613)</f>
        <v>2.7229330188407255E-2</v>
      </c>
      <c r="BT824" s="235">
        <f>(BT121+BT120)/(BT613)</f>
        <v>1.6004947762141352E-2</v>
      </c>
      <c r="BU824" s="235">
        <f t="shared" ref="BU824:CB824" si="5789">(BU121+BU120)/(BU613)</f>
        <v>1.6575039588873287E-2</v>
      </c>
      <c r="BV824" s="235">
        <f t="shared" si="5789"/>
        <v>1.3838568972621229E-2</v>
      </c>
      <c r="BW824" s="235">
        <f t="shared" si="5789"/>
        <v>1.2945654143903891E-2</v>
      </c>
      <c r="BX824" s="235">
        <f t="shared" si="5789"/>
        <v>1.0766988943886755E-2</v>
      </c>
      <c r="BY824" s="235">
        <f t="shared" si="5789"/>
        <v>1.4349101460325529E-2</v>
      </c>
      <c r="BZ824" s="235">
        <f t="shared" si="5789"/>
        <v>1.3620474908594159E-2</v>
      </c>
      <c r="CA824" s="235">
        <f t="shared" si="5789"/>
        <v>1.3931695775349459E-2</v>
      </c>
      <c r="CB824" s="235">
        <f t="shared" si="5789"/>
        <v>1.1800582441484865E-2</v>
      </c>
      <c r="CC824" s="235">
        <f t="shared" ref="CC824:CR824" si="5790">(CC121+CC120)/(CC613)</f>
        <v>1.1527908740934002E-2</v>
      </c>
      <c r="CD824" s="235">
        <f t="shared" si="5790"/>
        <v>1.0421775380088278E-2</v>
      </c>
      <c r="CE824" s="235">
        <f t="shared" si="5790"/>
        <v>9.0715268631770419E-3</v>
      </c>
      <c r="CF824" s="235">
        <f t="shared" si="5790"/>
        <v>8.1610474838968335E-3</v>
      </c>
      <c r="CG824" s="235">
        <f t="shared" si="5790"/>
        <v>5.6228573540690633E-3</v>
      </c>
      <c r="CH824" s="235">
        <f t="shared" si="5790"/>
        <v>5.0255352623019642E-3</v>
      </c>
      <c r="CI824" s="235">
        <f t="shared" si="5790"/>
        <v>8.4914428640249923E-3</v>
      </c>
      <c r="CJ824" s="235">
        <f t="shared" si="5790"/>
        <v>1.7151601600908475E-2</v>
      </c>
      <c r="CK824" s="235">
        <f t="shared" si="5790"/>
        <v>1.8750365345006036E-2</v>
      </c>
      <c r="CL824" s="235">
        <f t="shared" si="5790"/>
        <v>1.8345041549673247E-2</v>
      </c>
      <c r="CM824" s="235">
        <f t="shared" si="5790"/>
        <v>1.6001347481893212E-2</v>
      </c>
      <c r="CN824" s="236">
        <f t="shared" si="5790"/>
        <v>1.3628713262323868E-2</v>
      </c>
      <c r="CO824" s="236">
        <f t="shared" si="5790"/>
        <v>1.156596538501399E-2</v>
      </c>
      <c r="CP824" s="236">
        <f t="shared" si="5790"/>
        <v>9.8963715112510547E-3</v>
      </c>
      <c r="CQ824" s="236">
        <f t="shared" si="5790"/>
        <v>9.5320865438458247E-3</v>
      </c>
      <c r="CR824" s="236">
        <f t="shared" si="5790"/>
        <v>8.5273747720580328E-3</v>
      </c>
      <c r="CS824" s="236">
        <f t="shared" ref="CS824:DC824" si="5791">(CS121+CS120)/(CS613)</f>
        <v>7.9217290432871366E-3</v>
      </c>
      <c r="CT824" s="236">
        <f t="shared" si="5791"/>
        <v>1.0599387757806529E-2</v>
      </c>
      <c r="CU824" s="236">
        <f t="shared" si="5791"/>
        <v>1.3986213809050704E-2</v>
      </c>
      <c r="CV824" s="236">
        <f t="shared" si="5791"/>
        <v>1.3781397000088754E-2</v>
      </c>
      <c r="CW824" s="236">
        <f t="shared" si="5791"/>
        <v>1.0739276790950648E-2</v>
      </c>
      <c r="CX824" s="236">
        <f t="shared" si="5791"/>
        <v>1.2713892545171713E-2</v>
      </c>
      <c r="CY824" s="236">
        <f t="shared" si="5791"/>
        <v>1.3121563209147237E-2</v>
      </c>
      <c r="CZ824" s="766">
        <f t="shared" si="5791"/>
        <v>1.2853097380806014E-2</v>
      </c>
      <c r="DA824" s="235">
        <f t="shared" si="5791"/>
        <v>1.2234677548070635E-2</v>
      </c>
      <c r="DB824" s="235">
        <f t="shared" si="5791"/>
        <v>1.1855644293147652E-2</v>
      </c>
      <c r="DC824" s="235">
        <f t="shared" si="5791"/>
        <v>1.1593911010999047E-2</v>
      </c>
      <c r="DD824" s="235">
        <f t="shared" ref="DD824:DI824" si="5792">(DD121+DD120)/(DD613)</f>
        <v>1.1457480657578486E-2</v>
      </c>
      <c r="DE824" s="235">
        <f t="shared" si="5792"/>
        <v>1.1177057094588416E-2</v>
      </c>
      <c r="DF824" s="235">
        <f t="shared" si="5792"/>
        <v>1.0991461101827736E-2</v>
      </c>
      <c r="DG824" s="235">
        <f t="shared" si="5792"/>
        <v>1.0811774078118778E-2</v>
      </c>
      <c r="DH824" s="235">
        <f t="shared" si="5792"/>
        <v>1.0634795068894799E-2</v>
      </c>
      <c r="DI824" s="235">
        <f t="shared" si="5792"/>
        <v>1.0460493839190147E-2</v>
      </c>
    </row>
    <row r="825" spans="1:113" outlineLevel="1">
      <c r="A825" s="1" t="s">
        <v>2209</v>
      </c>
      <c r="B825" s="19" t="s">
        <v>2210</v>
      </c>
      <c r="C825" s="234">
        <f>(C121+C120+C123)/(C181-C176)</f>
        <v>1.9668063785710843E-2</v>
      </c>
      <c r="D825" s="234">
        <f>(D121+D120+D123)/(D181-D176)</f>
        <v>2.0223031854660036E-2</v>
      </c>
      <c r="E825" s="234">
        <f t="shared" ref="E825:L825" si="5793">(E121+E120+E123)/(E181-E176)</f>
        <v>1.9726785237667726E-2</v>
      </c>
      <c r="F825" s="234">
        <f t="shared" si="5793"/>
        <v>1.9521178637200737E-2</v>
      </c>
      <c r="G825" s="234">
        <f t="shared" si="5793"/>
        <v>1.8807390198030755E-2</v>
      </c>
      <c r="H825" s="234">
        <f t="shared" si="5793"/>
        <v>1.8447822066250921E-2</v>
      </c>
      <c r="I825" s="234">
        <f t="shared" si="5793"/>
        <v>1.8264840182648401E-2</v>
      </c>
      <c r="J825" s="234">
        <f t="shared" si="5793"/>
        <v>1.6180087802144198E-2</v>
      </c>
      <c r="K825" s="234">
        <f t="shared" si="5793"/>
        <v>1.4482442262144376E-2</v>
      </c>
      <c r="L825" s="234">
        <f t="shared" si="5793"/>
        <v>1.0713595728612326E-2</v>
      </c>
      <c r="M825" s="234">
        <f t="shared" ref="M825:AG825" si="5794">(M121+M120+M123)/(M181-M176)</f>
        <v>1.0906777078740298E-2</v>
      </c>
      <c r="N825" s="234">
        <f t="shared" si="5794"/>
        <v>1.4158398636292171E-2</v>
      </c>
      <c r="O825" s="234">
        <f t="shared" si="5794"/>
        <v>1.2148700656857041E-2</v>
      </c>
      <c r="P825" s="234">
        <f t="shared" si="5794"/>
        <v>8.5981308411214961E-3</v>
      </c>
      <c r="Q825" s="234">
        <f t="shared" si="5794"/>
        <v>1.05418957288709E-2</v>
      </c>
      <c r="R825" s="234">
        <f t="shared" si="5794"/>
        <v>1.8136486106084367E-2</v>
      </c>
      <c r="S825" s="234">
        <f t="shared" si="5794"/>
        <v>2.5525951040051113E-2</v>
      </c>
      <c r="T825" s="234">
        <f t="shared" si="5794"/>
        <v>2.8142859429778923E-2</v>
      </c>
      <c r="U825" s="234">
        <f t="shared" si="5794"/>
        <v>2.984220073521936E-2</v>
      </c>
      <c r="V825" s="234">
        <f t="shared" si="5794"/>
        <v>3.1407992435829694E-2</v>
      </c>
      <c r="W825" s="234">
        <f t="shared" si="5794"/>
        <v>2.9745081817020829E-2</v>
      </c>
      <c r="X825" s="234">
        <f t="shared" si="5794"/>
        <v>2.9146978906360831E-2</v>
      </c>
      <c r="Y825" s="234">
        <f t="shared" si="5794"/>
        <v>2.7472028625597479E-2</v>
      </c>
      <c r="Z825" s="234">
        <f t="shared" si="5794"/>
        <v>2.6455868851066992E-2</v>
      </c>
      <c r="AA825" s="234">
        <f t="shared" si="5794"/>
        <v>2.4613152058128824E-2</v>
      </c>
      <c r="AB825" s="234">
        <f t="shared" si="5794"/>
        <v>2.2483244594474899E-2</v>
      </c>
      <c r="AC825" s="234">
        <f>(AC121+AC120+AC123)/(AC181-AC176)</f>
        <v>2.0344174541519315E-2</v>
      </c>
      <c r="AD825" s="234">
        <f>(AD121+AD120+AD123)/(AD181-AD176)</f>
        <v>1.954315547510807E-2</v>
      </c>
      <c r="AE825" s="234">
        <f>(AE121+AE120+AE123)/(AE181-AE176)</f>
        <v>1.7997684403058031E-2</v>
      </c>
      <c r="AF825" s="234">
        <f>(AF121+AF120+AF123)/(AF181-AF176)</f>
        <v>1.726157865902482E-2</v>
      </c>
      <c r="AG825" s="234">
        <f t="shared" si="5794"/>
        <v>1.7646120430476985E-2</v>
      </c>
      <c r="AH825" s="234">
        <f t="shared" ref="AH825:AM825" si="5795">(AH121+AH120+AH123)/(AH181-AH176)</f>
        <v>1.7736011921727021E-2</v>
      </c>
      <c r="AI825" s="234">
        <f t="shared" si="5795"/>
        <v>1.7259788611578775E-2</v>
      </c>
      <c r="AJ825" s="234">
        <f t="shared" si="5795"/>
        <v>1.7384771360366438E-2</v>
      </c>
      <c r="AK825" s="234">
        <f t="shared" si="5795"/>
        <v>1.7184676250793701E-2</v>
      </c>
      <c r="AL825" s="234">
        <f t="shared" si="5795"/>
        <v>2.1453971405554516E-2</v>
      </c>
      <c r="AM825" s="234">
        <f t="shared" si="5795"/>
        <v>2.2424022483099697E-2</v>
      </c>
      <c r="AN825" s="234">
        <f t="shared" ref="AN825:AS825" si="5796">(AN121+AN120+AN123)/(AN181-AN176)</f>
        <v>2.1358785957426917E-2</v>
      </c>
      <c r="AO825" s="234">
        <f t="shared" si="5796"/>
        <v>2.6922621263920386E-2</v>
      </c>
      <c r="AP825" s="234">
        <f t="shared" si="5796"/>
        <v>2.9086268635058022E-2</v>
      </c>
      <c r="AQ825" s="234">
        <f t="shared" si="5796"/>
        <v>2.6129575094657131E-2</v>
      </c>
      <c r="AR825" s="234">
        <f t="shared" si="5796"/>
        <v>2.4012075768886847E-2</v>
      </c>
      <c r="AS825" s="234">
        <f t="shared" si="5796"/>
        <v>2.0401310995036077E-2</v>
      </c>
      <c r="AT825" s="234">
        <f t="shared" ref="AT825:AU825" si="5797">(AT121+AT120+AT123)/(AT181-AT176)</f>
        <v>2.0341260343169288E-2</v>
      </c>
      <c r="AU825" s="234">
        <f t="shared" si="5797"/>
        <v>2.1276215336754216E-2</v>
      </c>
      <c r="AV825" s="234">
        <f t="shared" ref="AV825:AW825" si="5798">(AV121+AV120+AV123)/(AV181-AV176)</f>
        <v>2.1845578459243564E-2</v>
      </c>
      <c r="AW825" s="234">
        <f t="shared" si="5798"/>
        <v>2.164624357404709E-2</v>
      </c>
      <c r="AX825" s="234">
        <f t="shared" ref="AX825" si="5799">(AX121+AX120+AX123)/(AX181-AX176)</f>
        <v>2.146027763609545E-2</v>
      </c>
      <c r="AY825" s="234">
        <f t="shared" ref="AY825:BE825" si="5800">(AY121+AY120+AY123)/(AY181-AY176)</f>
        <v>2.0835307301995967E-2</v>
      </c>
      <c r="AZ825" s="237">
        <f t="shared" si="5800"/>
        <v>1.9994445110750603E-2</v>
      </c>
      <c r="BA825" s="234">
        <f t="shared" si="5800"/>
        <v>1.9126696650053031E-2</v>
      </c>
      <c r="BB825" s="234">
        <f t="shared" si="5800"/>
        <v>1.8533986550245785E-2</v>
      </c>
      <c r="BC825" s="234">
        <f t="shared" si="5800"/>
        <v>1.789188050511456E-2</v>
      </c>
      <c r="BD825" s="234">
        <f t="shared" si="5800"/>
        <v>1.7595143418089491E-2</v>
      </c>
      <c r="BE825" s="234">
        <f t="shared" si="5800"/>
        <v>1.7333827741804326E-2</v>
      </c>
      <c r="BF825" s="234">
        <f t="shared" ref="BF825:BM825" si="5801">(BF121+BF120+BF123)/(BF181-BF176)</f>
        <v>1.719873274330842E-2</v>
      </c>
      <c r="BG825" s="234">
        <f t="shared" si="5801"/>
        <v>1.7078985505929286E-2</v>
      </c>
      <c r="BH825" s="234">
        <f t="shared" si="5801"/>
        <v>1.6849387698698735E-2</v>
      </c>
      <c r="BI825" s="234">
        <f t="shared" si="5801"/>
        <v>1.6592265879239419E-2</v>
      </c>
      <c r="BJ825" s="234">
        <f t="shared" si="5801"/>
        <v>1.6453579743282407E-2</v>
      </c>
      <c r="BK825" s="234">
        <f t="shared" si="5801"/>
        <v>1.6306330350492337E-2</v>
      </c>
      <c r="BL825" s="234">
        <f t="shared" si="5801"/>
        <v>1.6160403192010314E-2</v>
      </c>
      <c r="BM825" s="234">
        <f t="shared" si="5801"/>
        <v>1.6015787209395678E-2</v>
      </c>
      <c r="BN825" s="234">
        <f t="shared" ref="BN825:BO825" si="5802">(BN121+BN120+BN123)/(BN181-BN176)</f>
        <v>1.5872471427574496E-2</v>
      </c>
      <c r="BO825" s="234">
        <f t="shared" si="5802"/>
        <v>1.5730444954257298E-2</v>
      </c>
      <c r="BP825" s="234">
        <f t="shared" ref="BP825:BQ825" si="5803">(BP121+BP120+BP123)/(BP181-BP176)</f>
        <v>1.5589696979362456E-2</v>
      </c>
      <c r="BQ825" s="234">
        <f t="shared" si="5803"/>
        <v>1.5450216774444959E-2</v>
      </c>
      <c r="BS825" s="234">
        <f t="shared" ref="BS825:CB825" si="5804">(BS121+BS120+BS123)/(BS181-BS176)</f>
        <v>3.4653205853985826E-2</v>
      </c>
      <c r="BT825" s="234">
        <f t="shared" si="5804"/>
        <v>2.0061908277317998E-2</v>
      </c>
      <c r="BU825" s="234">
        <f t="shared" si="5804"/>
        <v>2.2033868011272124E-2</v>
      </c>
      <c r="BV825" s="234">
        <f t="shared" si="5804"/>
        <v>2.2503581165380527E-2</v>
      </c>
      <c r="BW825" s="234">
        <f t="shared" si="5804"/>
        <v>2.2820109080121404E-2</v>
      </c>
      <c r="BX825" s="234">
        <f t="shared" si="5804"/>
        <v>1.9374037541099596E-2</v>
      </c>
      <c r="BY825" s="234">
        <f t="shared" si="5804"/>
        <v>2.5332784923721208E-2</v>
      </c>
      <c r="BZ825" s="234">
        <f t="shared" si="5804"/>
        <v>2.2369224170639568E-2</v>
      </c>
      <c r="CA825" s="234">
        <f t="shared" si="5804"/>
        <v>2.3118251795216201E-2</v>
      </c>
      <c r="CB825" s="234">
        <f t="shared" si="5804"/>
        <v>1.9668063785710843E-2</v>
      </c>
      <c r="CC825" s="234">
        <f t="shared" ref="CC825:CR825" si="5805">(CC121+CC120+CC123)/(CC181-CC176)</f>
        <v>1.9726785237667726E-2</v>
      </c>
      <c r="CD825" s="234">
        <f t="shared" si="5805"/>
        <v>1.8807390198030755E-2</v>
      </c>
      <c r="CE825" s="234">
        <f t="shared" si="5805"/>
        <v>1.8264840182648401E-2</v>
      </c>
      <c r="CF825" s="234">
        <f t="shared" si="5805"/>
        <v>1.4482442262144376E-2</v>
      </c>
      <c r="CG825" s="234">
        <f t="shared" si="5805"/>
        <v>1.0906777078740298E-2</v>
      </c>
      <c r="CH825" s="234">
        <f t="shared" si="5805"/>
        <v>1.2148700656857041E-2</v>
      </c>
      <c r="CI825" s="234">
        <f t="shared" si="5805"/>
        <v>1.05418957288709E-2</v>
      </c>
      <c r="CJ825" s="234">
        <f t="shared" si="5805"/>
        <v>2.5525951040051113E-2</v>
      </c>
      <c r="CK825" s="234">
        <f t="shared" si="5805"/>
        <v>2.984220073521936E-2</v>
      </c>
      <c r="CL825" s="234">
        <f t="shared" si="5805"/>
        <v>2.9745081817020829E-2</v>
      </c>
      <c r="CM825" s="234">
        <f t="shared" si="5805"/>
        <v>2.7472028625597479E-2</v>
      </c>
      <c r="CN825" s="234">
        <f t="shared" si="5805"/>
        <v>2.4613152058128824E-2</v>
      </c>
      <c r="CO825" s="234">
        <f t="shared" si="5805"/>
        <v>2.0344174541519315E-2</v>
      </c>
      <c r="CP825" s="234">
        <f t="shared" si="5805"/>
        <v>1.7997684403058031E-2</v>
      </c>
      <c r="CQ825" s="234">
        <f t="shared" si="5805"/>
        <v>1.7646120430476985E-2</v>
      </c>
      <c r="CR825" s="234">
        <f t="shared" si="5805"/>
        <v>1.7259788611578775E-2</v>
      </c>
      <c r="CS825" s="234">
        <f t="shared" ref="CS825:DC825" si="5806">(CS121+CS120+CS123)/(CS181-CS176)</f>
        <v>1.7184676250793701E-2</v>
      </c>
      <c r="CT825" s="234">
        <f t="shared" si="5806"/>
        <v>2.2424022483099697E-2</v>
      </c>
      <c r="CU825" s="234">
        <f t="shared" si="5806"/>
        <v>2.6922621263920386E-2</v>
      </c>
      <c r="CV825" s="234">
        <f t="shared" si="5806"/>
        <v>2.6129575094657131E-2</v>
      </c>
      <c r="CW825" s="234">
        <f t="shared" si="5806"/>
        <v>2.0401310995036077E-2</v>
      </c>
      <c r="CX825" s="234">
        <f t="shared" si="5806"/>
        <v>2.1276215336754216E-2</v>
      </c>
      <c r="CY825" s="234">
        <f t="shared" si="5806"/>
        <v>2.164624357404709E-2</v>
      </c>
      <c r="CZ825" s="237">
        <f t="shared" si="5806"/>
        <v>2.0835307301995967E-2</v>
      </c>
      <c r="DA825" s="234">
        <f t="shared" si="5806"/>
        <v>1.9126696650053031E-2</v>
      </c>
      <c r="DB825" s="234">
        <f t="shared" si="5806"/>
        <v>1.789188050511456E-2</v>
      </c>
      <c r="DC825" s="234">
        <f t="shared" si="5806"/>
        <v>1.7333827741804326E-2</v>
      </c>
      <c r="DD825" s="234">
        <f t="shared" ref="DD825:DI825" si="5807">(DD121+DD120+DD123)/(DD181-DD176)</f>
        <v>1.7078985505929286E-2</v>
      </c>
      <c r="DE825" s="234">
        <f t="shared" si="5807"/>
        <v>1.6592265879239419E-2</v>
      </c>
      <c r="DF825" s="234">
        <f t="shared" si="5807"/>
        <v>1.6306330350492337E-2</v>
      </c>
      <c r="DG825" s="234">
        <f t="shared" si="5807"/>
        <v>1.6015787209395678E-2</v>
      </c>
      <c r="DH825" s="234">
        <f t="shared" si="5807"/>
        <v>1.5730444954257298E-2</v>
      </c>
      <c r="DI825" s="234">
        <f t="shared" si="5807"/>
        <v>1.5450216774444959E-2</v>
      </c>
    </row>
    <row r="826" spans="1:113" outlineLevel="1">
      <c r="A826" s="1" t="s">
        <v>2211</v>
      </c>
      <c r="B826" s="19" t="s">
        <v>2212</v>
      </c>
      <c r="C826" s="234">
        <f>(C121+C120+C123)/(C613-C612)</f>
        <v>1.1855756176536784E-2</v>
      </c>
      <c r="D826" s="234">
        <f>(D121+D120+D123)/(D613-D612)</f>
        <v>1.1951090000509175E-2</v>
      </c>
      <c r="E826" s="234">
        <f t="shared" ref="E826:L826" si="5808">(E121+E120+E123)/(E613-E612)</f>
        <v>1.1625994751857228E-2</v>
      </c>
      <c r="F826" s="234">
        <f t="shared" si="5808"/>
        <v>1.1156876916491828E-2</v>
      </c>
      <c r="G826" s="234">
        <f t="shared" si="5808"/>
        <v>1.0516692671996042E-2</v>
      </c>
      <c r="H826" s="234">
        <f t="shared" si="5808"/>
        <v>1.0021769653875384E-2</v>
      </c>
      <c r="I826" s="234">
        <f t="shared" si="5808"/>
        <v>9.2023437219166757E-3</v>
      </c>
      <c r="J826" s="234">
        <f t="shared" si="5808"/>
        <v>8.7584269662921346E-3</v>
      </c>
      <c r="K826" s="234">
        <f t="shared" si="5808"/>
        <v>8.2857984521035859E-3</v>
      </c>
      <c r="L826" s="234">
        <f t="shared" si="5808"/>
        <v>6.1210871452152668E-3</v>
      </c>
      <c r="M826" s="234">
        <f t="shared" ref="M826:AG826" si="5809">(M121+M120+M123)/(M613-M612)</f>
        <v>5.7138564540285741E-3</v>
      </c>
      <c r="N826" s="234">
        <f t="shared" si="5809"/>
        <v>7.4093641197969899E-3</v>
      </c>
      <c r="O826" s="234">
        <f t="shared" si="5809"/>
        <v>7.1841939442178222E-3</v>
      </c>
      <c r="P826" s="234">
        <f t="shared" si="5809"/>
        <v>7.5976128080336497E-3</v>
      </c>
      <c r="Q826" s="234">
        <f t="shared" si="5809"/>
        <v>9.3096457533077253E-3</v>
      </c>
      <c r="R826" s="234">
        <f t="shared" si="5809"/>
        <v>1.630874515777626E-2</v>
      </c>
      <c r="S826" s="234">
        <f t="shared" si="5809"/>
        <v>1.9167895129868873E-2</v>
      </c>
      <c r="T826" s="234">
        <f t="shared" si="5809"/>
        <v>2.0405004913605657E-2</v>
      </c>
      <c r="U826" s="234">
        <f t="shared" si="5809"/>
        <v>2.1720419219280036E-2</v>
      </c>
      <c r="V826" s="234">
        <f t="shared" si="5809"/>
        <v>2.3085917059131343E-2</v>
      </c>
      <c r="W826" s="234">
        <f t="shared" si="5809"/>
        <v>2.1710936930072706E-2</v>
      </c>
      <c r="X826" s="234">
        <f t="shared" si="5809"/>
        <v>2.0669695023331758E-2</v>
      </c>
      <c r="Y826" s="234">
        <f t="shared" si="5809"/>
        <v>1.9676470475731459E-2</v>
      </c>
      <c r="Z826" s="234">
        <f t="shared" si="5809"/>
        <v>1.9286794832609193E-2</v>
      </c>
      <c r="AA826" s="234">
        <f t="shared" si="5809"/>
        <v>1.7102054534922802E-2</v>
      </c>
      <c r="AB826" s="234">
        <f t="shared" si="5809"/>
        <v>1.6190415444146788E-2</v>
      </c>
      <c r="AC826" s="234">
        <f>(AC121+AC120+AC123)/(AC613-AC612)</f>
        <v>1.4563979829700697E-2</v>
      </c>
      <c r="AD826" s="234">
        <f>(AD121+AD120+AD123)/(AD613-AD612)</f>
        <v>1.3482107317574248E-2</v>
      </c>
      <c r="AE826" s="234">
        <f>(AE121+AE120+AE123)/(AE613-AE612)</f>
        <v>1.251668368977423E-2</v>
      </c>
      <c r="AF826" s="234">
        <f>(AF121+AF120+AF123)/(AF613-AF612)</f>
        <v>1.2228435291694158E-2</v>
      </c>
      <c r="AG826" s="234">
        <f t="shared" si="5809"/>
        <v>1.253960410429323E-2</v>
      </c>
      <c r="AH826" s="234">
        <f t="shared" ref="AH826:AM826" si="5810">(AH121+AH120+AH123)/(AH613-AH612)</f>
        <v>1.1661838801047316E-2</v>
      </c>
      <c r="AI826" s="234">
        <f t="shared" si="5810"/>
        <v>1.1440416265748465E-2</v>
      </c>
      <c r="AJ826" s="234">
        <f t="shared" si="5810"/>
        <v>1.1727999782007439E-2</v>
      </c>
      <c r="AK826" s="234">
        <f t="shared" si="5810"/>
        <v>1.1425385897685696E-2</v>
      </c>
      <c r="AL826" s="234">
        <f t="shared" si="5810"/>
        <v>1.4276199655616804E-2</v>
      </c>
      <c r="AM826" s="234">
        <f t="shared" si="5810"/>
        <v>1.4262938369290396E-2</v>
      </c>
      <c r="AN826" s="234">
        <f t="shared" ref="AN826:AS826" si="5811">(AN121+AN120+AN123)/(AN613-AN612)</f>
        <v>1.3394915475578133E-2</v>
      </c>
      <c r="AO826" s="234">
        <f t="shared" si="5811"/>
        <v>1.7004548442786361E-2</v>
      </c>
      <c r="AP826" s="234">
        <f t="shared" si="5811"/>
        <v>1.8081719288936059E-2</v>
      </c>
      <c r="AQ826" s="234">
        <f t="shared" si="5811"/>
        <v>1.6278338356702924E-2</v>
      </c>
      <c r="AR826" s="234">
        <f t="shared" si="5811"/>
        <v>1.4983861761461222E-2</v>
      </c>
      <c r="AS826" s="234">
        <f t="shared" si="5811"/>
        <v>1.3583235741667027E-2</v>
      </c>
      <c r="AT826" s="234">
        <f t="shared" ref="AT826:AU826" si="5812">(AT121+AT120+AT123)/(AT613-AT612)</f>
        <v>1.3782999226400874E-2</v>
      </c>
      <c r="AU826" s="234">
        <f t="shared" si="5812"/>
        <v>1.6397101984462713E-2</v>
      </c>
      <c r="AV826" s="234">
        <f t="shared" ref="AV826:AW826" si="5813">(AV121+AV120+AV123)/(AV613-AV612)</f>
        <v>1.6442702754010333E-2</v>
      </c>
      <c r="AW826" s="234">
        <f t="shared" si="5813"/>
        <v>1.6561207631922772E-2</v>
      </c>
      <c r="AX826" s="234">
        <f t="shared" ref="AX826" si="5814">(AX121+AX120+AX123)/(AX613-AX612)</f>
        <v>1.616911224381162E-2</v>
      </c>
      <c r="AY826" s="234">
        <f t="shared" ref="AY826:BE826" si="5815">(AY121+AY120+AY123)/(AY613-AY612)</f>
        <v>1.5985340713111137E-2</v>
      </c>
      <c r="AZ826" s="237">
        <f t="shared" si="5815"/>
        <v>1.5484492287085176E-2</v>
      </c>
      <c r="BA826" s="234">
        <f t="shared" si="5815"/>
        <v>1.5033453446986412E-2</v>
      </c>
      <c r="BB826" s="234">
        <f t="shared" si="5815"/>
        <v>1.4776520023635156E-2</v>
      </c>
      <c r="BC826" s="234">
        <f t="shared" si="5815"/>
        <v>1.442244531329352E-2</v>
      </c>
      <c r="BD826" s="234">
        <f t="shared" si="5815"/>
        <v>1.4176879912120546E-2</v>
      </c>
      <c r="BE826" s="234">
        <f t="shared" si="5815"/>
        <v>1.3959530866072972E-2</v>
      </c>
      <c r="BF826" s="234">
        <f t="shared" ref="BF826:BM826" si="5816">(BF121+BF120+BF123)/(BF613-BF612)</f>
        <v>1.3788154267350618E-2</v>
      </c>
      <c r="BG826" s="234">
        <f t="shared" si="5816"/>
        <v>1.3647203563395067E-2</v>
      </c>
      <c r="BH826" s="234">
        <f t="shared" si="5816"/>
        <v>1.3420083081278978E-2</v>
      </c>
      <c r="BI826" s="234">
        <f t="shared" si="5816"/>
        <v>1.3198105642225431E-2</v>
      </c>
      <c r="BJ826" s="234">
        <f t="shared" si="5816"/>
        <v>1.3071404060912369E-2</v>
      </c>
      <c r="BK826" s="234">
        <f t="shared" si="5816"/>
        <v>1.2946341483923788E-2</v>
      </c>
      <c r="BL826" s="234">
        <f t="shared" si="5816"/>
        <v>1.2822528323336984E-2</v>
      </c>
      <c r="BM826" s="234">
        <f t="shared" si="5816"/>
        <v>1.2699952096809552E-2</v>
      </c>
      <c r="BN826" s="234">
        <f t="shared" ref="BN826:BO826" si="5817">(BN121+BN120+BN123)/(BN613-BN612)</f>
        <v>1.2578600446692133E-2</v>
      </c>
      <c r="BO826" s="234">
        <f t="shared" si="5817"/>
        <v>1.2458461138782831E-2</v>
      </c>
      <c r="BP826" s="234">
        <f t="shared" ref="BP826:BQ826" si="5818">(BP121+BP120+BP123)/(BP613-BP612)</f>
        <v>1.2339522061094111E-2</v>
      </c>
      <c r="BQ826" s="234">
        <f t="shared" si="5818"/>
        <v>1.2221771222631994E-2</v>
      </c>
      <c r="BS826" s="234">
        <f t="shared" ref="BS826:CB826" si="5819">(BS121+BS120+BS123)/(BS613-BS612)</f>
        <v>3.2761349107499775E-2</v>
      </c>
      <c r="BT826" s="234">
        <f t="shared" si="5819"/>
        <v>1.8391026847880104E-2</v>
      </c>
      <c r="BU826" s="234">
        <f t="shared" si="5819"/>
        <v>1.8961241820347575E-2</v>
      </c>
      <c r="BV826" s="234">
        <f t="shared" si="5819"/>
        <v>1.5524138920323234E-2</v>
      </c>
      <c r="BW826" s="234">
        <f t="shared" si="5819"/>
        <v>1.4398640768311471E-2</v>
      </c>
      <c r="BX826" s="234">
        <f t="shared" si="5819"/>
        <v>1.2130767326410153E-2</v>
      </c>
      <c r="BY826" s="234">
        <f t="shared" si="5819"/>
        <v>1.6506072529266301E-2</v>
      </c>
      <c r="BZ826" s="234">
        <f t="shared" si="5819"/>
        <v>1.5848712584298555E-2</v>
      </c>
      <c r="CA826" s="234">
        <f t="shared" si="5819"/>
        <v>1.6027219411738371E-2</v>
      </c>
      <c r="CB826" s="234">
        <f t="shared" si="5819"/>
        <v>1.3819425050987162E-2</v>
      </c>
      <c r="CC826" s="234">
        <f t="shared" ref="CC826:CR826" si="5820">(CC121+CC120+CC123)/(CC613-CC612)</f>
        <v>1.1625994751857228E-2</v>
      </c>
      <c r="CD826" s="234">
        <f t="shared" si="5820"/>
        <v>1.0516692671996042E-2</v>
      </c>
      <c r="CE826" s="234">
        <f t="shared" si="5820"/>
        <v>9.2023437219166757E-3</v>
      </c>
      <c r="CF826" s="234">
        <f t="shared" si="5820"/>
        <v>8.2857984521035859E-3</v>
      </c>
      <c r="CG826" s="234">
        <f t="shared" si="5820"/>
        <v>5.7138564540285741E-3</v>
      </c>
      <c r="CH826" s="234">
        <f t="shared" si="5820"/>
        <v>7.1841939442178222E-3</v>
      </c>
      <c r="CI826" s="234">
        <f t="shared" si="5820"/>
        <v>9.3096457533077253E-3</v>
      </c>
      <c r="CJ826" s="234">
        <f t="shared" si="5820"/>
        <v>1.9167895129868873E-2</v>
      </c>
      <c r="CK826" s="234">
        <f t="shared" si="5820"/>
        <v>2.1720419219280036E-2</v>
      </c>
      <c r="CL826" s="234">
        <f t="shared" si="5820"/>
        <v>2.1710936930072706E-2</v>
      </c>
      <c r="CM826" s="234">
        <f t="shared" si="5820"/>
        <v>1.9676470475731459E-2</v>
      </c>
      <c r="CN826" s="234">
        <f t="shared" si="5820"/>
        <v>1.7102054534922802E-2</v>
      </c>
      <c r="CO826" s="234">
        <f t="shared" si="5820"/>
        <v>1.4563979829700697E-2</v>
      </c>
      <c r="CP826" s="234">
        <f t="shared" si="5820"/>
        <v>1.251668368977423E-2</v>
      </c>
      <c r="CQ826" s="234">
        <f t="shared" si="5820"/>
        <v>1.253960410429323E-2</v>
      </c>
      <c r="CR826" s="234">
        <f t="shared" si="5820"/>
        <v>1.1440416265748465E-2</v>
      </c>
      <c r="CS826" s="234">
        <f t="shared" ref="CS826:DC826" si="5821">(CS121+CS120+CS123)/(CS613-CS612)</f>
        <v>1.1425385897685696E-2</v>
      </c>
      <c r="CT826" s="234">
        <f t="shared" si="5821"/>
        <v>1.4262938369290396E-2</v>
      </c>
      <c r="CU826" s="234">
        <f t="shared" si="5821"/>
        <v>1.7004548442786361E-2</v>
      </c>
      <c r="CV826" s="234">
        <f t="shared" si="5821"/>
        <v>1.6278338356702924E-2</v>
      </c>
      <c r="CW826" s="234">
        <f t="shared" si="5821"/>
        <v>1.3583235741667027E-2</v>
      </c>
      <c r="CX826" s="234">
        <f t="shared" si="5821"/>
        <v>1.6397101984462713E-2</v>
      </c>
      <c r="CY826" s="234">
        <f t="shared" si="5821"/>
        <v>1.6561207631922772E-2</v>
      </c>
      <c r="CZ826" s="237">
        <f t="shared" si="5821"/>
        <v>1.5985340713111137E-2</v>
      </c>
      <c r="DA826" s="234">
        <f t="shared" si="5821"/>
        <v>1.5033453446986412E-2</v>
      </c>
      <c r="DB826" s="234">
        <f t="shared" si="5821"/>
        <v>1.442244531329352E-2</v>
      </c>
      <c r="DC826" s="234">
        <f t="shared" si="5821"/>
        <v>1.3959530866072972E-2</v>
      </c>
      <c r="DD826" s="234">
        <f t="shared" ref="DD826:DI826" si="5822">(DD121+DD120+DD123)/(DD613-DD612)</f>
        <v>1.3647203563395067E-2</v>
      </c>
      <c r="DE826" s="234">
        <f t="shared" si="5822"/>
        <v>1.3198105642225431E-2</v>
      </c>
      <c r="DF826" s="234">
        <f t="shared" si="5822"/>
        <v>1.2946341483923788E-2</v>
      </c>
      <c r="DG826" s="234">
        <f t="shared" si="5822"/>
        <v>1.2699952096809552E-2</v>
      </c>
      <c r="DH826" s="234">
        <f t="shared" si="5822"/>
        <v>1.2458461138782831E-2</v>
      </c>
      <c r="DI826" s="234">
        <f t="shared" si="5822"/>
        <v>1.2221771222631994E-2</v>
      </c>
    </row>
    <row r="827" spans="1:113" outlineLevel="1">
      <c r="A827" s="1" t="s">
        <v>2213</v>
      </c>
      <c r="B827" s="19" t="s">
        <v>2214</v>
      </c>
      <c r="C827" s="234">
        <f>(C121+C120+C123)/(C613)</f>
        <v>1.1800582441484865E-2</v>
      </c>
      <c r="D827" s="234">
        <f>(D121+D120+D123)/(D613)</f>
        <v>1.1882462700060027E-2</v>
      </c>
      <c r="E827" s="234">
        <f t="shared" ref="E827:L827" si="5823">(E121+E120+E123)/(E613)</f>
        <v>1.1527908740934002E-2</v>
      </c>
      <c r="F827" s="234">
        <f t="shared" si="5823"/>
        <v>1.1059253952466075E-2</v>
      </c>
      <c r="G827" s="234">
        <f t="shared" si="5823"/>
        <v>1.0421775380088278E-2</v>
      </c>
      <c r="H827" s="234">
        <f t="shared" si="5823"/>
        <v>9.881184472061523E-3</v>
      </c>
      <c r="I827" s="234">
        <f t="shared" si="5823"/>
        <v>9.0715268631770419E-3</v>
      </c>
      <c r="J827" s="234">
        <f t="shared" si="5823"/>
        <v>8.6288010449760335E-3</v>
      </c>
      <c r="K827" s="234">
        <f t="shared" si="5823"/>
        <v>8.1610474838968335E-3</v>
      </c>
      <c r="L827" s="234">
        <f t="shared" si="5823"/>
        <v>6.0197269412385832E-3</v>
      </c>
      <c r="M827" s="234">
        <f t="shared" ref="M827:AG827" si="5824">(M121+M120+M123)/(M613)</f>
        <v>5.6228573540690633E-3</v>
      </c>
      <c r="N827" s="234">
        <f t="shared" si="5824"/>
        <v>7.2942289901905197E-3</v>
      </c>
      <c r="O827" s="234">
        <f t="shared" si="5824"/>
        <v>7.063465214573645E-3</v>
      </c>
      <c r="P827" s="234">
        <f t="shared" si="5824"/>
        <v>6.9616804891337244E-3</v>
      </c>
      <c r="Q827" s="234">
        <f t="shared" si="5824"/>
        <v>8.4914428640249923E-3</v>
      </c>
      <c r="R827" s="234">
        <f t="shared" si="5824"/>
        <v>1.507800191400357E-2</v>
      </c>
      <c r="S827" s="234">
        <f t="shared" si="5824"/>
        <v>1.7151601600908475E-2</v>
      </c>
      <c r="T827" s="234">
        <f t="shared" si="5824"/>
        <v>1.7730770653120367E-2</v>
      </c>
      <c r="U827" s="234">
        <f t="shared" si="5824"/>
        <v>1.9176744457931168E-2</v>
      </c>
      <c r="V827" s="234">
        <f t="shared" si="5824"/>
        <v>1.9774970847063519E-2</v>
      </c>
      <c r="W827" s="234">
        <f t="shared" si="5824"/>
        <v>1.9015941869504564E-2</v>
      </c>
      <c r="X827" s="234">
        <f t="shared" si="5824"/>
        <v>1.7943937790766026E-2</v>
      </c>
      <c r="Y827" s="234">
        <f t="shared" si="5824"/>
        <v>1.6988840339908912E-2</v>
      </c>
      <c r="Z827" s="234">
        <f t="shared" si="5824"/>
        <v>1.6527911780405889E-2</v>
      </c>
      <c r="AA827" s="234">
        <f t="shared" si="5824"/>
        <v>1.4531015500154941E-2</v>
      </c>
      <c r="AB827" s="234">
        <f t="shared" si="5824"/>
        <v>1.367157694413774E-2</v>
      </c>
      <c r="AC827" s="234">
        <f>(AC121+AC120+AC123)/(AC613)</f>
        <v>1.2469093762492042E-2</v>
      </c>
      <c r="AD827" s="234">
        <f>(AD121+AD120+AD123)/(AD613)</f>
        <v>1.1896399356461444E-2</v>
      </c>
      <c r="AE827" s="234">
        <f>(AE121+AE120+AE123)/(AE613)</f>
        <v>1.0834750393929286E-2</v>
      </c>
      <c r="AF827" s="234">
        <f>(AF121+AF120+AF123)/(AF613)</f>
        <v>1.0431363360854883E-2</v>
      </c>
      <c r="AG827" s="234">
        <f t="shared" si="5824"/>
        <v>1.0930734011204382E-2</v>
      </c>
      <c r="AH827" s="234">
        <f t="shared" ref="AH827:AM827" si="5825">(AH121+AH120+AH123)/(AH613)</f>
        <v>9.9798158453632581E-3</v>
      </c>
      <c r="AI827" s="234">
        <f t="shared" si="5825"/>
        <v>9.8750065779990535E-3</v>
      </c>
      <c r="AJ827" s="234">
        <f t="shared" si="5825"/>
        <v>9.7632679726701085E-3</v>
      </c>
      <c r="AK827" s="234">
        <f t="shared" si="5825"/>
        <v>9.2060390918685068E-3</v>
      </c>
      <c r="AL827" s="234">
        <f t="shared" si="5825"/>
        <v>1.1845605017702137E-2</v>
      </c>
      <c r="AM827" s="234">
        <f t="shared" si="5825"/>
        <v>1.1736850707435695E-2</v>
      </c>
      <c r="AN827" s="234">
        <f t="shared" ref="AN827:AS827" si="5826">(AN121+AN120+AN123)/(AN613)</f>
        <v>1.1189925949674277E-2</v>
      </c>
      <c r="AO827" s="234">
        <f t="shared" si="5826"/>
        <v>1.3986213809050704E-2</v>
      </c>
      <c r="AP827" s="234">
        <f t="shared" si="5826"/>
        <v>1.5023720503685938E-2</v>
      </c>
      <c r="AQ827" s="234">
        <f t="shared" si="5826"/>
        <v>1.3781397000088754E-2</v>
      </c>
      <c r="AR827" s="234">
        <f t="shared" si="5826"/>
        <v>1.2404460859412578E-2</v>
      </c>
      <c r="AS827" s="234">
        <f t="shared" si="5826"/>
        <v>1.0739276790950648E-2</v>
      </c>
      <c r="AT827" s="234">
        <f t="shared" ref="AT827:AU827" si="5827">(AT121+AT120+AT123)/(AT613)</f>
        <v>1.0985764701217336E-2</v>
      </c>
      <c r="AU827" s="234">
        <f t="shared" si="5827"/>
        <v>1.2713892545171713E-2</v>
      </c>
      <c r="AV827" s="234">
        <f t="shared" ref="AV827:AW827" si="5828">(AV121+AV120+AV123)/(AV613)</f>
        <v>1.307684344022569E-2</v>
      </c>
      <c r="AW827" s="234">
        <f t="shared" si="5828"/>
        <v>1.3121563209147237E-2</v>
      </c>
      <c r="AX827" s="234">
        <f t="shared" ref="AX827" si="5829">(AX121+AX120+AX123)/(AX613)</f>
        <v>1.2909204364293726E-2</v>
      </c>
      <c r="AY827" s="234">
        <f t="shared" ref="AY827:BE827" si="5830">(AY121+AY120+AY123)/(AY613)</f>
        <v>1.2853097380806014E-2</v>
      </c>
      <c r="AZ827" s="237">
        <f t="shared" si="5830"/>
        <v>1.2536858562070808E-2</v>
      </c>
      <c r="BA827" s="234">
        <f t="shared" si="5830"/>
        <v>1.2234677548070635E-2</v>
      </c>
      <c r="BB827" s="234">
        <f t="shared" si="5830"/>
        <v>1.2088905695409555E-2</v>
      </c>
      <c r="BC827" s="234">
        <f t="shared" si="5830"/>
        <v>1.1855644293147652E-2</v>
      </c>
      <c r="BD827" s="234">
        <f t="shared" si="5830"/>
        <v>1.1715395475196197E-2</v>
      </c>
      <c r="BE827" s="234">
        <f t="shared" si="5830"/>
        <v>1.1593911010999047E-2</v>
      </c>
      <c r="BF827" s="234">
        <f t="shared" ref="BF827:BM827" si="5831">(BF121+BF120+BF123)/(BF613)</f>
        <v>1.15158331815064E-2</v>
      </c>
      <c r="BG827" s="234">
        <f t="shared" si="5831"/>
        <v>1.1457480657578486E-2</v>
      </c>
      <c r="BH827" s="234">
        <f t="shared" si="5831"/>
        <v>1.1317950222328737E-2</v>
      </c>
      <c r="BI827" s="234">
        <f t="shared" si="5831"/>
        <v>1.1177057094588416E-2</v>
      </c>
      <c r="BJ827" s="234">
        <f t="shared" si="5831"/>
        <v>1.1082329595228431E-2</v>
      </c>
      <c r="BK827" s="234">
        <f t="shared" si="5831"/>
        <v>1.0991461101827736E-2</v>
      </c>
      <c r="BL827" s="234">
        <f t="shared" si="5831"/>
        <v>1.0901277194509238E-2</v>
      </c>
      <c r="BM827" s="234">
        <f t="shared" si="5831"/>
        <v>1.0811774078118778E-2</v>
      </c>
      <c r="BN827" s="234">
        <f t="shared" ref="BN827:BO827" si="5832">(BN121+BN120+BN123)/(BN613)</f>
        <v>1.0722947963770374E-2</v>
      </c>
      <c r="BO827" s="234">
        <f t="shared" si="5832"/>
        <v>1.0634795068894799E-2</v>
      </c>
      <c r="BP827" s="234">
        <f t="shared" ref="BP827:BQ827" si="5833">(BP121+BP120+BP123)/(BP613)</f>
        <v>1.0547311617292433E-2</v>
      </c>
      <c r="BQ827" s="234">
        <f t="shared" si="5833"/>
        <v>1.0460493839190147E-2</v>
      </c>
      <c r="BS827" s="234">
        <f t="shared" ref="BS827:CB827" si="5834">(BS121+BS120+BS123)/(BS613)</f>
        <v>2.7229330188407255E-2</v>
      </c>
      <c r="BT827" s="234">
        <f t="shared" si="5834"/>
        <v>1.6004947762141352E-2</v>
      </c>
      <c r="BU827" s="234">
        <f t="shared" si="5834"/>
        <v>1.6575039588873287E-2</v>
      </c>
      <c r="BV827" s="234">
        <f t="shared" si="5834"/>
        <v>1.3838568972621229E-2</v>
      </c>
      <c r="BW827" s="234">
        <f t="shared" si="5834"/>
        <v>1.2945654143903891E-2</v>
      </c>
      <c r="BX827" s="234">
        <f t="shared" si="5834"/>
        <v>1.0766988943886755E-2</v>
      </c>
      <c r="BY827" s="234">
        <f t="shared" si="5834"/>
        <v>1.4349101460325529E-2</v>
      </c>
      <c r="BZ827" s="234">
        <f t="shared" si="5834"/>
        <v>1.3620474908594159E-2</v>
      </c>
      <c r="CA827" s="234">
        <f t="shared" si="5834"/>
        <v>1.3931695775349459E-2</v>
      </c>
      <c r="CB827" s="234">
        <f t="shared" si="5834"/>
        <v>1.1800582441484865E-2</v>
      </c>
      <c r="CC827" s="234">
        <f t="shared" ref="CC827:CR827" si="5835">(CC121+CC120+CC123)/(CC613)</f>
        <v>1.1527908740934002E-2</v>
      </c>
      <c r="CD827" s="234">
        <f t="shared" si="5835"/>
        <v>1.0421775380088278E-2</v>
      </c>
      <c r="CE827" s="234">
        <f t="shared" si="5835"/>
        <v>9.0715268631770419E-3</v>
      </c>
      <c r="CF827" s="234">
        <f t="shared" si="5835"/>
        <v>8.1610474838968335E-3</v>
      </c>
      <c r="CG827" s="234">
        <f t="shared" si="5835"/>
        <v>5.6228573540690633E-3</v>
      </c>
      <c r="CH827" s="234">
        <f t="shared" si="5835"/>
        <v>7.063465214573645E-3</v>
      </c>
      <c r="CI827" s="234">
        <f t="shared" si="5835"/>
        <v>8.4914428640249923E-3</v>
      </c>
      <c r="CJ827" s="234">
        <f t="shared" si="5835"/>
        <v>1.7151601600908475E-2</v>
      </c>
      <c r="CK827" s="234">
        <f t="shared" si="5835"/>
        <v>1.9176744457931168E-2</v>
      </c>
      <c r="CL827" s="234">
        <f t="shared" si="5835"/>
        <v>1.9015941869504564E-2</v>
      </c>
      <c r="CM827" s="234">
        <f t="shared" si="5835"/>
        <v>1.6988840339908912E-2</v>
      </c>
      <c r="CN827" s="234">
        <f t="shared" si="5835"/>
        <v>1.4531015500154941E-2</v>
      </c>
      <c r="CO827" s="234">
        <f t="shared" si="5835"/>
        <v>1.2469093762492042E-2</v>
      </c>
      <c r="CP827" s="234">
        <f t="shared" si="5835"/>
        <v>1.0834750393929286E-2</v>
      </c>
      <c r="CQ827" s="234">
        <f t="shared" si="5835"/>
        <v>1.0930734011204382E-2</v>
      </c>
      <c r="CR827" s="234">
        <f t="shared" si="5835"/>
        <v>9.8750065779990535E-3</v>
      </c>
      <c r="CS827" s="234">
        <f t="shared" ref="CS827:DC827" si="5836">(CS121+CS120+CS123)/(CS613)</f>
        <v>9.2060390918685068E-3</v>
      </c>
      <c r="CT827" s="234">
        <f t="shared" si="5836"/>
        <v>1.1736850707435695E-2</v>
      </c>
      <c r="CU827" s="234">
        <f t="shared" si="5836"/>
        <v>1.3986213809050704E-2</v>
      </c>
      <c r="CV827" s="234">
        <f t="shared" si="5836"/>
        <v>1.3781397000088754E-2</v>
      </c>
      <c r="CW827" s="234">
        <f t="shared" si="5836"/>
        <v>1.0739276790950648E-2</v>
      </c>
      <c r="CX827" s="234">
        <f t="shared" si="5836"/>
        <v>1.2713892545171713E-2</v>
      </c>
      <c r="CY827" s="234">
        <f t="shared" si="5836"/>
        <v>1.3121563209147237E-2</v>
      </c>
      <c r="CZ827" s="237">
        <f t="shared" si="5836"/>
        <v>1.2853097380806014E-2</v>
      </c>
      <c r="DA827" s="234">
        <f t="shared" si="5836"/>
        <v>1.2234677548070635E-2</v>
      </c>
      <c r="DB827" s="234">
        <f t="shared" si="5836"/>
        <v>1.1855644293147652E-2</v>
      </c>
      <c r="DC827" s="234">
        <f t="shared" si="5836"/>
        <v>1.1593911010999047E-2</v>
      </c>
      <c r="DD827" s="234">
        <f t="shared" ref="DD827:DI827" si="5837">(DD121+DD120+DD123)/(DD613)</f>
        <v>1.1457480657578486E-2</v>
      </c>
      <c r="DE827" s="234">
        <f t="shared" si="5837"/>
        <v>1.1177057094588416E-2</v>
      </c>
      <c r="DF827" s="234">
        <f t="shared" si="5837"/>
        <v>1.0991461101827736E-2</v>
      </c>
      <c r="DG827" s="234">
        <f t="shared" si="5837"/>
        <v>1.0811774078118778E-2</v>
      </c>
      <c r="DH827" s="234">
        <f t="shared" si="5837"/>
        <v>1.0634795068894799E-2</v>
      </c>
      <c r="DI827" s="234">
        <f t="shared" si="5837"/>
        <v>1.0460493839190147E-2</v>
      </c>
    </row>
    <row r="828" spans="1:113" outlineLevel="2">
      <c r="A828" s="1" t="s">
        <v>182</v>
      </c>
      <c r="B828" s="19" t="s">
        <v>801</v>
      </c>
      <c r="CZ828" s="22"/>
    </row>
    <row r="829" spans="1:113" outlineLevel="2">
      <c r="A829" s="1" t="s">
        <v>183</v>
      </c>
      <c r="B829" s="19" t="s">
        <v>801</v>
      </c>
      <c r="CZ829" s="22"/>
    </row>
    <row r="830" spans="1:113" outlineLevel="2">
      <c r="A830" s="1" t="s">
        <v>184</v>
      </c>
      <c r="B830" s="19" t="s">
        <v>801</v>
      </c>
      <c r="CZ830" s="22"/>
    </row>
    <row r="831" spans="1:113" outlineLevel="2">
      <c r="A831" s="1" t="s">
        <v>185</v>
      </c>
      <c r="B831" s="19" t="s">
        <v>801</v>
      </c>
      <c r="CZ831" s="22"/>
    </row>
    <row r="832" spans="1:113" outlineLevel="1">
      <c r="CZ832" s="22"/>
    </row>
    <row r="833" spans="1:113" s="24" customFormat="1" outlineLevel="1">
      <c r="A833" s="1"/>
      <c r="B833" s="24" t="s">
        <v>620</v>
      </c>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c r="AD833" s="13"/>
      <c r="AE833" s="13"/>
      <c r="AF833" s="600"/>
      <c r="AG833" s="13"/>
      <c r="AH833" s="13"/>
      <c r="AJ833" s="706"/>
      <c r="AK833" s="706"/>
      <c r="AL833" s="706"/>
      <c r="AM833" s="706"/>
      <c r="AN833" s="706"/>
      <c r="AO833" s="706"/>
      <c r="AP833" s="706"/>
      <c r="AQ833" s="706"/>
      <c r="AR833" s="706"/>
      <c r="AS833" s="706"/>
      <c r="AT833" s="706"/>
      <c r="AU833" s="706"/>
      <c r="AV833" s="706"/>
      <c r="AW833" s="706"/>
      <c r="AX833" s="706"/>
      <c r="AY833" s="13"/>
      <c r="AZ833" s="23"/>
      <c r="BA833" s="13"/>
      <c r="BB833" s="13"/>
      <c r="BC833" s="13"/>
      <c r="BD833" s="13"/>
      <c r="BE833" s="13"/>
      <c r="BF833" s="13"/>
      <c r="BG833" s="13"/>
      <c r="BH833" s="13"/>
      <c r="BI833" s="13"/>
      <c r="BJ833" s="13"/>
      <c r="BK833" s="13"/>
      <c r="BL833" s="13"/>
      <c r="BM833" s="13"/>
      <c r="BN833" s="13"/>
      <c r="BO833" s="13"/>
      <c r="BP833" s="13"/>
      <c r="BQ833" s="13"/>
      <c r="BR833" s="13"/>
      <c r="BS833" s="13"/>
      <c r="BT833" s="13"/>
      <c r="BU833" s="13"/>
      <c r="BV833" s="13"/>
      <c r="BW833" s="13"/>
      <c r="BX833" s="13"/>
      <c r="BY833" s="13"/>
      <c r="BZ833" s="13"/>
      <c r="CA833" s="13"/>
      <c r="CB833" s="13"/>
      <c r="CC833" s="13"/>
      <c r="CD833" s="13"/>
      <c r="CE833" s="13"/>
      <c r="CF833" s="13"/>
      <c r="CG833" s="13"/>
      <c r="CH833" s="13"/>
      <c r="CI833" s="13"/>
      <c r="CJ833" s="13"/>
      <c r="CK833" s="13"/>
      <c r="CL833" s="13"/>
      <c r="CM833" s="13"/>
      <c r="CN833" s="13"/>
      <c r="CO833" s="579"/>
      <c r="CP833" s="579"/>
      <c r="CQ833" s="579"/>
      <c r="CR833" s="579"/>
      <c r="CS833" s="579"/>
      <c r="CT833" s="579"/>
      <c r="CU833" s="579"/>
      <c r="CV833" s="579"/>
      <c r="CW833" s="579"/>
      <c r="CX833" s="579"/>
      <c r="CY833" s="579"/>
      <c r="CZ833" s="528"/>
      <c r="DA833" s="162"/>
      <c r="DB833" s="162"/>
    </row>
    <row r="834" spans="1:113" outlineLevel="1">
      <c r="A834" s="1" t="s">
        <v>954</v>
      </c>
      <c r="B834" s="19" t="s">
        <v>543</v>
      </c>
      <c r="C834" s="232">
        <f>C590/C613</f>
        <v>5.1877759551389985E-2</v>
      </c>
      <c r="D834" s="232">
        <f>D590/D613</f>
        <v>5.4263005257790861E-2</v>
      </c>
      <c r="E834" s="232">
        <f>E590/E613</f>
        <v>5.5101418655928082E-2</v>
      </c>
      <c r="F834" s="232">
        <f t="shared" ref="F834:L834" si="5838">F590/F613</f>
        <v>5.8148027070827911E-2</v>
      </c>
      <c r="G834" s="232">
        <f t="shared" si="5838"/>
        <v>5.7817012696855755E-2</v>
      </c>
      <c r="H834" s="232">
        <f t="shared" si="5838"/>
        <v>5.1368188428345535E-2</v>
      </c>
      <c r="I834" s="232">
        <f t="shared" si="5838"/>
        <v>4.5652931414295925E-2</v>
      </c>
      <c r="J834" s="232">
        <f t="shared" si="5838"/>
        <v>4.7981447247528695E-2</v>
      </c>
      <c r="K834" s="232">
        <f t="shared" si="5838"/>
        <v>4.9150923986727088E-2</v>
      </c>
      <c r="L834" s="232">
        <f t="shared" si="5838"/>
        <v>5.8095299185363179E-2</v>
      </c>
      <c r="M834" s="42">
        <f t="shared" ref="M834:AG834" si="5839">M590/M613</f>
        <v>5.3017492307265823E-2</v>
      </c>
      <c r="N834" s="42">
        <f t="shared" si="5839"/>
        <v>5.4431745030246961E-2</v>
      </c>
      <c r="O834" s="42">
        <f t="shared" si="5839"/>
        <v>5.6218335663366578E-2</v>
      </c>
      <c r="P834" s="42">
        <f t="shared" si="5839"/>
        <v>6.1308190568436345E-2</v>
      </c>
      <c r="Q834" s="42">
        <f t="shared" si="5839"/>
        <v>6.1298971781159214E-2</v>
      </c>
      <c r="R834" s="42">
        <f t="shared" si="5839"/>
        <v>6.5673725077207895E-2</v>
      </c>
      <c r="S834" s="42">
        <f t="shared" si="5839"/>
        <v>6.3541248320846427E-2</v>
      </c>
      <c r="T834" s="45">
        <f t="shared" si="5839"/>
        <v>6.8253717443998801E-2</v>
      </c>
      <c r="U834" s="42">
        <f t="shared" si="5839"/>
        <v>6.8598897603680611E-2</v>
      </c>
      <c r="V834" s="42">
        <f t="shared" si="5839"/>
        <v>7.3535437013898863E-2</v>
      </c>
      <c r="W834" s="42">
        <f t="shared" si="5839"/>
        <v>7.6585578837887053E-2</v>
      </c>
      <c r="X834" s="42">
        <f t="shared" si="5839"/>
        <v>7.6710166104029157E-2</v>
      </c>
      <c r="Y834" s="45">
        <f>Y590/Y613</f>
        <v>7.8153949806299472E-2</v>
      </c>
      <c r="Z834" s="45">
        <f>Z590/Z613</f>
        <v>8.3050684490950266E-2</v>
      </c>
      <c r="AA834" s="45">
        <f t="shared" si="5839"/>
        <v>8.2118617806646046E-2</v>
      </c>
      <c r="AB834" s="45">
        <f t="shared" si="5839"/>
        <v>8.5392747391508594E-2</v>
      </c>
      <c r="AC834" s="45">
        <f>AC590/AC613</f>
        <v>9.3013339650296845E-2</v>
      </c>
      <c r="AD834" s="45">
        <f>AD590/AD613</f>
        <v>9.2296231673880041E-2</v>
      </c>
      <c r="AE834" s="45">
        <f>AE590/AE613</f>
        <v>9.0577970877709704E-2</v>
      </c>
      <c r="AF834" s="45">
        <f>AF590/AF613</f>
        <v>0.10481024392480047</v>
      </c>
      <c r="AG834" s="45">
        <f t="shared" si="5839"/>
        <v>0.10556494462420217</v>
      </c>
      <c r="AH834" s="45">
        <f t="shared" ref="AH834:AM834" si="5840">AH590/AH613</f>
        <v>9.9259761593288143E-2</v>
      </c>
      <c r="AI834" s="45">
        <f t="shared" si="5840"/>
        <v>0.10103577745084805</v>
      </c>
      <c r="AJ834" s="45">
        <f t="shared" si="5840"/>
        <v>0.10398424811040841</v>
      </c>
      <c r="AK834" s="45">
        <f t="shared" si="5840"/>
        <v>0.10132748379894116</v>
      </c>
      <c r="AL834" s="45">
        <f t="shared" si="5840"/>
        <v>0.10788868321262333</v>
      </c>
      <c r="AM834" s="45">
        <f t="shared" si="5840"/>
        <v>0.10682654463051228</v>
      </c>
      <c r="AN834" s="45">
        <f t="shared" ref="AN834:AS834" si="5841">AN590/AN613</f>
        <v>0.11661924417905663</v>
      </c>
      <c r="AO834" s="45">
        <f t="shared" si="5841"/>
        <v>0.11555826160352392</v>
      </c>
      <c r="AP834" s="45">
        <f t="shared" si="5841"/>
        <v>0.12582228140100879</v>
      </c>
      <c r="AQ834" s="45">
        <f t="shared" si="5841"/>
        <v>0.1305493920298216</v>
      </c>
      <c r="AR834" s="45">
        <f t="shared" si="5841"/>
        <v>0.11752665136769035</v>
      </c>
      <c r="AS834" s="45">
        <f t="shared" si="5841"/>
        <v>0.11452885364697565</v>
      </c>
      <c r="AT834" s="45">
        <f t="shared" ref="AT834:AU834" si="5842">AT590/AT613</f>
        <v>0.11410444506126333</v>
      </c>
      <c r="AU834" s="45">
        <f t="shared" si="5842"/>
        <v>0.12160250602574403</v>
      </c>
      <c r="AV834" s="45">
        <f t="shared" ref="AV834:AW834" si="5843">AV590/AV613</f>
        <v>0.12343737867846882</v>
      </c>
      <c r="AW834" s="45">
        <f t="shared" si="5843"/>
        <v>0.12338974785638358</v>
      </c>
      <c r="AX834" s="45">
        <f t="shared" ref="AX834" si="5844">AX590/AX613</f>
        <v>0.12204557092184613</v>
      </c>
      <c r="AY834" s="45">
        <f t="shared" ref="AY834:BE834" si="5845">AY590/AY613</f>
        <v>0.12288141571516391</v>
      </c>
      <c r="AZ834" s="43">
        <f t="shared" si="5845"/>
        <v>0.12254259761334627</v>
      </c>
      <c r="BA834" s="42">
        <f t="shared" si="5845"/>
        <v>0.12345864424231444</v>
      </c>
      <c r="BB834" s="42">
        <f t="shared" si="5845"/>
        <v>0.12170965135907187</v>
      </c>
      <c r="BC834" s="42">
        <f t="shared" si="5845"/>
        <v>0.12123661212591444</v>
      </c>
      <c r="BD834" s="42">
        <f t="shared" si="5845"/>
        <v>0.11964976901698805</v>
      </c>
      <c r="BE834" s="42">
        <f t="shared" si="5845"/>
        <v>0.11913308256494996</v>
      </c>
      <c r="BF834" s="42">
        <f t="shared" ref="BF834:BM834" si="5846">BF590/BF613</f>
        <v>0.11753124479965724</v>
      </c>
      <c r="BG834" s="42">
        <f t="shared" si="5846"/>
        <v>0.11917226205994526</v>
      </c>
      <c r="BH834" s="42">
        <f t="shared" si="5846"/>
        <v>0.11993030866607958</v>
      </c>
      <c r="BI834" s="42">
        <f t="shared" si="5846"/>
        <v>0.1214298097338349</v>
      </c>
      <c r="BJ834" s="42">
        <f t="shared" si="5846"/>
        <v>0.12165032241509691</v>
      </c>
      <c r="BK834" s="42">
        <f t="shared" si="5846"/>
        <v>0.12246004101286136</v>
      </c>
      <c r="BL834" s="232">
        <f t="shared" si="5846"/>
        <v>0.12245633427518375</v>
      </c>
      <c r="BM834" s="232">
        <f t="shared" si="5846"/>
        <v>0.12319189556268111</v>
      </c>
      <c r="BN834" s="232">
        <f t="shared" ref="BN834:BO834" si="5847">BN590/BN613</f>
        <v>0.12327508916144471</v>
      </c>
      <c r="BO834" s="232">
        <f t="shared" si="5847"/>
        <v>0.12405417570836925</v>
      </c>
      <c r="BP834" s="232">
        <f t="shared" ref="BP834:BQ834" si="5848">BP590/BP613</f>
        <v>0.12425419262643081</v>
      </c>
      <c r="BQ834" s="232">
        <f t="shared" si="5848"/>
        <v>0.12511616670646639</v>
      </c>
      <c r="BR834" s="42"/>
      <c r="BS834" s="232">
        <f t="shared" ref="BS834:CB834" si="5849">BS590/BS613</f>
        <v>6.578259096694121E-2</v>
      </c>
      <c r="BT834" s="232">
        <f t="shared" si="5849"/>
        <v>7.2998680399953941E-2</v>
      </c>
      <c r="BU834" s="232">
        <f t="shared" si="5849"/>
        <v>8.1027219217783622E-2</v>
      </c>
      <c r="BV834" s="232">
        <f t="shared" si="5849"/>
        <v>8.6483952090703725E-2</v>
      </c>
      <c r="BW834" s="232">
        <f t="shared" si="5849"/>
        <v>8.7383165471351262E-2</v>
      </c>
      <c r="BX834" s="232">
        <f t="shared" si="5849"/>
        <v>7.3957996021649625E-2</v>
      </c>
      <c r="BY834" s="232">
        <f t="shared" si="5849"/>
        <v>6.6831866653958974E-2</v>
      </c>
      <c r="BZ834" s="232">
        <f t="shared" si="5849"/>
        <v>6.4114669130941382E-2</v>
      </c>
      <c r="CA834" s="232">
        <f t="shared" si="5849"/>
        <v>7.1604246443136885E-2</v>
      </c>
      <c r="CB834" s="232">
        <f t="shared" si="5849"/>
        <v>5.1877759551389985E-2</v>
      </c>
      <c r="CC834" s="42">
        <f t="shared" ref="CC834:CO834" si="5850">CC590/CC613</f>
        <v>5.5101418655928082E-2</v>
      </c>
      <c r="CD834" s="42">
        <f t="shared" si="5850"/>
        <v>5.7817012696855755E-2</v>
      </c>
      <c r="CE834" s="42">
        <f t="shared" si="5850"/>
        <v>4.5652931414295925E-2</v>
      </c>
      <c r="CF834" s="42">
        <f t="shared" si="5850"/>
        <v>4.9150923986727088E-2</v>
      </c>
      <c r="CG834" s="42">
        <f t="shared" si="5850"/>
        <v>5.3017492307265823E-2</v>
      </c>
      <c r="CH834" s="42">
        <f t="shared" si="5850"/>
        <v>5.6218335663366578E-2</v>
      </c>
      <c r="CI834" s="42">
        <f t="shared" si="5850"/>
        <v>6.1298971781159214E-2</v>
      </c>
      <c r="CJ834" s="42">
        <f t="shared" si="5850"/>
        <v>6.3541248320846427E-2</v>
      </c>
      <c r="CK834" s="42">
        <f t="shared" si="5850"/>
        <v>6.8598897603680611E-2</v>
      </c>
      <c r="CL834" s="42">
        <f t="shared" si="5850"/>
        <v>7.6585578837887053E-2</v>
      </c>
      <c r="CM834" s="45">
        <f t="shared" si="5850"/>
        <v>7.8153949806299472E-2</v>
      </c>
      <c r="CN834" s="45">
        <f t="shared" si="5850"/>
        <v>8.2118617806646046E-2</v>
      </c>
      <c r="CO834" s="45">
        <f t="shared" si="5850"/>
        <v>9.3013339650296845E-2</v>
      </c>
      <c r="CP834" s="45">
        <f t="shared" ref="CP834:CX834" si="5851">CP590/CP613</f>
        <v>9.0577970877709704E-2</v>
      </c>
      <c r="CQ834" s="45">
        <f t="shared" si="5851"/>
        <v>0.10556494462420217</v>
      </c>
      <c r="CR834" s="45">
        <f t="shared" si="5851"/>
        <v>0.10103577745084805</v>
      </c>
      <c r="CS834" s="45">
        <f t="shared" si="5851"/>
        <v>0.10132748379894116</v>
      </c>
      <c r="CT834" s="45">
        <f t="shared" si="5851"/>
        <v>0.10682654463051228</v>
      </c>
      <c r="CU834" s="45">
        <f t="shared" si="5851"/>
        <v>0.11555826160352392</v>
      </c>
      <c r="CV834" s="45">
        <f t="shared" si="5851"/>
        <v>0.1305493920298216</v>
      </c>
      <c r="CW834" s="45">
        <f t="shared" si="5851"/>
        <v>0.11452885364697565</v>
      </c>
      <c r="CX834" s="45">
        <f t="shared" si="5851"/>
        <v>0.12160250602574403</v>
      </c>
      <c r="CY834" s="45">
        <f t="shared" ref="CY834:DD834" si="5852">CY590/CY613</f>
        <v>0.12338974785638358</v>
      </c>
      <c r="CZ834" s="43">
        <f t="shared" si="5852"/>
        <v>0.12288141571516391</v>
      </c>
      <c r="DA834" s="42">
        <f t="shared" si="5852"/>
        <v>0.12345864424231444</v>
      </c>
      <c r="DB834" s="42">
        <f t="shared" si="5852"/>
        <v>0.12123661212591444</v>
      </c>
      <c r="DC834" s="42">
        <f t="shared" si="5852"/>
        <v>0.11913308256494999</v>
      </c>
      <c r="DD834" s="42">
        <f t="shared" si="5852"/>
        <v>0.11917226205994526</v>
      </c>
      <c r="DE834" s="42">
        <f>DE590/DE613</f>
        <v>0.1214298097338349</v>
      </c>
      <c r="DF834" s="42">
        <f>DF590/DF613</f>
        <v>0.12246004101286136</v>
      </c>
      <c r="DG834" s="232">
        <f>DG590/DG613</f>
        <v>0.12319189556268111</v>
      </c>
      <c r="DH834" s="232">
        <f>DH590/DH613</f>
        <v>0.12405417570836925</v>
      </c>
      <c r="DI834" s="232">
        <f>DI590/DI613</f>
        <v>0.12511616670646639</v>
      </c>
    </row>
    <row r="835" spans="1:113" outlineLevel="1">
      <c r="A835" s="1" t="s">
        <v>2432</v>
      </c>
      <c r="B835" s="19" t="s">
        <v>2433</v>
      </c>
      <c r="C835" s="232"/>
      <c r="D835" s="232"/>
      <c r="E835" s="232"/>
      <c r="F835" s="232"/>
      <c r="G835" s="232"/>
      <c r="H835" s="232"/>
      <c r="I835" s="232"/>
      <c r="J835" s="232"/>
      <c r="K835" s="232"/>
      <c r="L835" s="232"/>
      <c r="M835" s="232"/>
      <c r="N835" s="232"/>
      <c r="O835" s="232"/>
      <c r="P835" s="232"/>
      <c r="Q835" s="232"/>
      <c r="R835" s="232"/>
      <c r="S835" s="232"/>
      <c r="T835" s="376"/>
      <c r="U835" s="232"/>
      <c r="V835" s="232"/>
      <c r="W835" s="232"/>
      <c r="X835" s="232"/>
      <c r="Y835" s="376"/>
      <c r="Z835" s="376"/>
      <c r="AA835" s="376">
        <f t="shared" ref="AA835:AG835" si="5853">AA593/AA616</f>
        <v>0.11011861780664606</v>
      </c>
      <c r="AB835" s="376">
        <f t="shared" si="5853"/>
        <v>0.11439274739150861</v>
      </c>
      <c r="AC835" s="376">
        <f>AC593/AC616</f>
        <v>0.12101333965029687</v>
      </c>
      <c r="AD835" s="376">
        <f>AD593/AD616</f>
        <v>0.13329623167388005</v>
      </c>
      <c r="AE835" s="376">
        <f>AE593/AE616</f>
        <v>0.12657797087770972</v>
      </c>
      <c r="AF835" s="376">
        <f>AF593/AF616</f>
        <v>0.14581024392480046</v>
      </c>
      <c r="AG835" s="376">
        <f t="shared" si="5853"/>
        <v>0.14356494462420219</v>
      </c>
      <c r="AH835" s="376">
        <f t="shared" ref="AH835:AM835" si="5854">AH593/AH616</f>
        <v>0.15425976159328814</v>
      </c>
      <c r="AI835" s="376">
        <f t="shared" si="5854"/>
        <v>0.15603577745084807</v>
      </c>
      <c r="AJ835" s="376">
        <f t="shared" si="5854"/>
        <v>0.1629842481104084</v>
      </c>
      <c r="AK835" s="376">
        <f t="shared" si="5854"/>
        <v>0.15532748379894115</v>
      </c>
      <c r="AL835" s="376">
        <f t="shared" si="5854"/>
        <v>0.16500000000000001</v>
      </c>
      <c r="AM835" s="376">
        <f t="shared" si="5854"/>
        <v>0.16200000000000001</v>
      </c>
      <c r="AN835" s="376">
        <f t="shared" ref="AN835:AS835" si="5855">AN593/AN616</f>
        <v>0.17499999999999999</v>
      </c>
      <c r="AO835" s="376">
        <f t="shared" si="5855"/>
        <v>0.17399999999999999</v>
      </c>
      <c r="AP835" s="376">
        <f t="shared" si="5855"/>
        <v>0.187</v>
      </c>
      <c r="AQ835" s="376">
        <f t="shared" si="5855"/>
        <v>0.19399999999999998</v>
      </c>
      <c r="AR835" s="376">
        <f t="shared" si="5855"/>
        <v>0.184</v>
      </c>
      <c r="AS835" s="376">
        <f t="shared" si="5855"/>
        <v>0.18600000000000003</v>
      </c>
      <c r="AT835" s="376">
        <f t="shared" ref="AT835:AU835" si="5856">AT593/AT616</f>
        <v>0.185</v>
      </c>
      <c r="AU835" s="376">
        <f t="shared" si="5856"/>
        <v>0.19100000000000003</v>
      </c>
      <c r="AV835" s="376">
        <f t="shared" ref="AV835:AW835" si="5857">AV593/AV616</f>
        <v>0.19</v>
      </c>
      <c r="AW835" s="376">
        <f t="shared" si="5857"/>
        <v>0.191</v>
      </c>
      <c r="AX835" s="376">
        <f t="shared" ref="AX835" si="5858">AX593/AX616</f>
        <v>0.188</v>
      </c>
      <c r="AY835" s="376">
        <f t="shared" ref="AY835:BE835" si="5859">AY593/AY616</f>
        <v>0.187</v>
      </c>
      <c r="AZ835" s="375">
        <f t="shared" si="5859"/>
        <v>0.183</v>
      </c>
      <c r="BA835" s="232">
        <f t="shared" si="5859"/>
        <v>0.18394536584132026</v>
      </c>
      <c r="BB835" s="232">
        <f t="shared" si="5859"/>
        <v>0.18167892901261129</v>
      </c>
      <c r="BC835" s="232">
        <f t="shared" si="5859"/>
        <v>0.18139578296826112</v>
      </c>
      <c r="BD835" s="232">
        <f t="shared" si="5859"/>
        <v>0.17941003940951197</v>
      </c>
      <c r="BE835" s="232">
        <f t="shared" si="5859"/>
        <v>0.17888706391995277</v>
      </c>
      <c r="BF835" s="232">
        <f t="shared" ref="BF835:BM835" si="5860">BF593/BF616</f>
        <v>0.17662789347964125</v>
      </c>
      <c r="BG835" s="232">
        <f t="shared" si="5860"/>
        <v>0.17870980246116666</v>
      </c>
      <c r="BH835" s="232">
        <f t="shared" si="5860"/>
        <v>0.17960146254407564</v>
      </c>
      <c r="BI835" s="232">
        <f t="shared" si="5860"/>
        <v>0.18140327956359734</v>
      </c>
      <c r="BJ835" s="232">
        <f t="shared" si="5860"/>
        <v>0.18149405662798207</v>
      </c>
      <c r="BK835" s="232">
        <f t="shared" si="5860"/>
        <v>0.18230764168411764</v>
      </c>
      <c r="BL835" s="232">
        <f t="shared" si="5860"/>
        <v>0.18203089677923362</v>
      </c>
      <c r="BM835" s="232">
        <f t="shared" si="5860"/>
        <v>0.18275484186446339</v>
      </c>
      <c r="BN835" s="232">
        <f t="shared" ref="BN835:BO835" si="5861">BN593/BN616</f>
        <v>0.18260525655163259</v>
      </c>
      <c r="BO835" s="232">
        <f t="shared" si="5861"/>
        <v>0.18339632578388715</v>
      </c>
      <c r="BP835" s="232">
        <f t="shared" ref="BP835:BQ835" si="5862">BP593/BP616</f>
        <v>0.18341482849066579</v>
      </c>
      <c r="BQ835" s="232">
        <f t="shared" si="5862"/>
        <v>0.18432737134894109</v>
      </c>
      <c r="BR835" s="232"/>
      <c r="BS835" s="232"/>
      <c r="BT835" s="232"/>
      <c r="BU835" s="232"/>
      <c r="BV835" s="232"/>
      <c r="BW835" s="232"/>
      <c r="BX835" s="232"/>
      <c r="BY835" s="232"/>
      <c r="BZ835" s="232"/>
      <c r="CA835" s="232"/>
      <c r="CB835" s="232"/>
      <c r="CC835" s="232"/>
      <c r="CD835" s="232"/>
      <c r="CE835" s="232"/>
      <c r="CF835" s="232"/>
      <c r="CG835" s="232"/>
      <c r="CH835" s="232"/>
      <c r="CI835" s="232"/>
      <c r="CJ835" s="232"/>
      <c r="CK835" s="232"/>
      <c r="CL835" s="232"/>
      <c r="CM835" s="376"/>
      <c r="CN835" s="376">
        <f t="shared" ref="CN835:CS835" si="5863">CN593/CN616</f>
        <v>0.11011861780664606</v>
      </c>
      <c r="CO835" s="376">
        <f>CO593/CO616</f>
        <v>0.12101333965029687</v>
      </c>
      <c r="CP835" s="376">
        <f t="shared" si="5863"/>
        <v>0.12657797087770972</v>
      </c>
      <c r="CQ835" s="376">
        <f t="shared" si="5863"/>
        <v>0.14356494462420219</v>
      </c>
      <c r="CR835" s="376">
        <f t="shared" si="5863"/>
        <v>0.15603577745084807</v>
      </c>
      <c r="CS835" s="376">
        <f t="shared" si="5863"/>
        <v>0.15532748379894115</v>
      </c>
      <c r="CT835" s="376">
        <f t="shared" ref="CT835:DC835" si="5864">CT593/CT616</f>
        <v>0.16200000000000001</v>
      </c>
      <c r="CU835" s="376">
        <f t="shared" si="5864"/>
        <v>0.17399999999999999</v>
      </c>
      <c r="CV835" s="376">
        <f t="shared" si="5864"/>
        <v>0.19399999999999998</v>
      </c>
      <c r="CW835" s="376">
        <f t="shared" si="5864"/>
        <v>0.18600000000000003</v>
      </c>
      <c r="CX835" s="376">
        <f t="shared" si="5864"/>
        <v>0.19100000000000003</v>
      </c>
      <c r="CY835" s="376">
        <f t="shared" si="5864"/>
        <v>0.191</v>
      </c>
      <c r="CZ835" s="375">
        <f t="shared" si="5864"/>
        <v>0.187</v>
      </c>
      <c r="DA835" s="232">
        <f t="shared" si="5864"/>
        <v>0.18394536584132026</v>
      </c>
      <c r="DB835" s="232">
        <f t="shared" si="5864"/>
        <v>0.18139578296826112</v>
      </c>
      <c r="DC835" s="232">
        <f t="shared" si="5864"/>
        <v>0.17888706391995279</v>
      </c>
      <c r="DD835" s="232">
        <f t="shared" ref="DD835:DI835" si="5865">DD593/DD616</f>
        <v>0.17870980246116666</v>
      </c>
      <c r="DE835" s="232">
        <f t="shared" si="5865"/>
        <v>0.18140327956359734</v>
      </c>
      <c r="DF835" s="232">
        <f t="shared" si="5865"/>
        <v>0.18230764168411764</v>
      </c>
      <c r="DG835" s="232">
        <f t="shared" si="5865"/>
        <v>0.18275484186446339</v>
      </c>
      <c r="DH835" s="232">
        <f t="shared" si="5865"/>
        <v>0.18339632578388715</v>
      </c>
      <c r="DI835" s="232">
        <f t="shared" si="5865"/>
        <v>0.18432737134894109</v>
      </c>
    </row>
    <row r="836" spans="1:113" outlineLevel="1">
      <c r="A836" s="1" t="s">
        <v>955</v>
      </c>
      <c r="B836" s="19" t="s">
        <v>544</v>
      </c>
      <c r="C836" s="232">
        <f>C587/C613</f>
        <v>6.5145285186764268E-2</v>
      </c>
      <c r="D836" s="232">
        <f>D587/D613</f>
        <v>6.7519581112453084E-2</v>
      </c>
      <c r="E836" s="232">
        <f>E587/E613</f>
        <v>6.7784954164864686E-2</v>
      </c>
      <c r="F836" s="232">
        <f t="shared" ref="F836:L836" si="5866">F587/F613</f>
        <v>7.0584471138129393E-2</v>
      </c>
      <c r="G836" s="232">
        <f t="shared" si="5866"/>
        <v>6.9567053566563133E-2</v>
      </c>
      <c r="H836" s="232">
        <f t="shared" si="5866"/>
        <v>7.2635596395526789E-2</v>
      </c>
      <c r="I836" s="232">
        <f t="shared" si="5866"/>
        <v>7.4343997495880609E-2</v>
      </c>
      <c r="J836" s="232">
        <f t="shared" si="5866"/>
        <v>7.4648261509680416E-2</v>
      </c>
      <c r="K836" s="232">
        <f t="shared" si="5866"/>
        <v>7.459946507419854E-2</v>
      </c>
      <c r="L836" s="232">
        <f t="shared" si="5866"/>
        <v>7.5443954861916351E-2</v>
      </c>
      <c r="M836" s="42">
        <f t="shared" ref="M836:AG836" si="5867">M587/M613</f>
        <v>7.5559744591984765E-2</v>
      </c>
      <c r="N836" s="42">
        <f t="shared" si="5867"/>
        <v>7.0567722077512371E-2</v>
      </c>
      <c r="O836" s="42">
        <f t="shared" si="5867"/>
        <v>7.1376458648363339E-2</v>
      </c>
      <c r="P836" s="42">
        <f t="shared" si="5867"/>
        <v>8.1703896523195513E-2</v>
      </c>
      <c r="Q836" s="42">
        <f t="shared" si="5867"/>
        <v>8.1707631593033611E-2</v>
      </c>
      <c r="R836" s="42">
        <f t="shared" si="5867"/>
        <v>8.7542678518444231E-2</v>
      </c>
      <c r="S836" s="42">
        <f t="shared" si="5867"/>
        <v>8.0706698610976471E-2</v>
      </c>
      <c r="T836" s="45">
        <f t="shared" si="5867"/>
        <v>9.0990388268240949E-2</v>
      </c>
      <c r="U836" s="42">
        <f t="shared" si="5867"/>
        <v>9.1468635346140748E-2</v>
      </c>
      <c r="V836" s="42">
        <f t="shared" si="5867"/>
        <v>9.7123927119409731E-2</v>
      </c>
      <c r="W836" s="42">
        <f t="shared" si="5867"/>
        <v>0.10014873398624832</v>
      </c>
      <c r="X836" s="42">
        <f t="shared" si="5867"/>
        <v>9.9000688601131995E-2</v>
      </c>
      <c r="Y836" s="45">
        <f>Y587/Y613</f>
        <v>0.10006704382949069</v>
      </c>
      <c r="Z836" s="45">
        <f>Z587/Z613</f>
        <v>0.10536750980567684</v>
      </c>
      <c r="AA836" s="45">
        <f t="shared" si="5867"/>
        <v>0.10253434520807636</v>
      </c>
      <c r="AB836" s="45">
        <f t="shared" si="5867"/>
        <v>0.10550064782149451</v>
      </c>
      <c r="AC836" s="45">
        <f>AC587/AC613</f>
        <v>0.11136017055801489</v>
      </c>
      <c r="AD836" s="45">
        <f>AD587/AD613</f>
        <v>0.11612585257528721</v>
      </c>
      <c r="AE836" s="45">
        <f>AE587/AE613</f>
        <v>0.11159386094092824</v>
      </c>
      <c r="AF836" s="45">
        <f>AF587/AF613</f>
        <v>0.12217123123704357</v>
      </c>
      <c r="AG836" s="45">
        <f t="shared" si="5867"/>
        <v>0.1235294564784996</v>
      </c>
      <c r="AH836" s="45">
        <f t="shared" ref="AH836:AM836" si="5868">AH587/AH613</f>
        <v>0.11551018257381192</v>
      </c>
      <c r="AI836" s="45">
        <f t="shared" si="5868"/>
        <v>0.12099857457620526</v>
      </c>
      <c r="AJ836" s="45">
        <f t="shared" si="5868"/>
        <v>0.12331796858695751</v>
      </c>
      <c r="AK836" s="45">
        <f t="shared" si="5868"/>
        <v>0.12290345651661971</v>
      </c>
      <c r="AL836" s="45">
        <f t="shared" si="5868"/>
        <v>0.12921212012292652</v>
      </c>
      <c r="AM836" s="45">
        <f t="shared" si="5868"/>
        <v>0.12667803393394322</v>
      </c>
      <c r="AN836" s="45">
        <f t="shared" ref="AN836:AS836" si="5869">AN587/AN613</f>
        <v>0.14074905266345172</v>
      </c>
      <c r="AO836" s="45">
        <f t="shared" si="5869"/>
        <v>0.13938735855526346</v>
      </c>
      <c r="AP836" s="45">
        <f t="shared" si="5869"/>
        <v>0.14968607809248352</v>
      </c>
      <c r="AQ836" s="45">
        <f t="shared" si="5869"/>
        <v>0.1571935741546108</v>
      </c>
      <c r="AR836" s="45">
        <f t="shared" si="5869"/>
        <v>0.13990935038681829</v>
      </c>
      <c r="AS836" s="45">
        <f t="shared" si="5869"/>
        <v>0.13568806086460516</v>
      </c>
      <c r="AT836" s="45">
        <f t="shared" ref="AT836:AU836" si="5870">AT587/AT613</f>
        <v>0.13256671557159286</v>
      </c>
      <c r="AU836" s="45">
        <f t="shared" si="5870"/>
        <v>0.14481230448383733</v>
      </c>
      <c r="AV836" s="45">
        <f t="shared" ref="AV836:AW836" si="5871">AV587/AV613</f>
        <v>0.14686483595172159</v>
      </c>
      <c r="AW836" s="45">
        <f t="shared" si="5871"/>
        <v>0.14322073955568485</v>
      </c>
      <c r="AX836" s="45">
        <f t="shared" ref="AX836" si="5872">AX587/AX613</f>
        <v>0.14126737000097436</v>
      </c>
      <c r="AY836" s="45">
        <f t="shared" ref="AY836:BE836" si="5873">AY587/AY613</f>
        <v>0.13881828900825363</v>
      </c>
      <c r="AZ836" s="43">
        <f t="shared" si="5873"/>
        <v>0.1381904177633532</v>
      </c>
      <c r="BA836" s="42">
        <f t="shared" si="5873"/>
        <v>0.13871622700615602</v>
      </c>
      <c r="BB836" s="42">
        <f t="shared" si="5873"/>
        <v>0.13682764757356081</v>
      </c>
      <c r="BC836" s="42">
        <f t="shared" si="5873"/>
        <v>0.1362243331544809</v>
      </c>
      <c r="BD836" s="42">
        <f t="shared" si="5873"/>
        <v>0.13446408417169425</v>
      </c>
      <c r="BE836" s="42">
        <f t="shared" si="5873"/>
        <v>0.1337825597749088</v>
      </c>
      <c r="BF836" s="42">
        <f t="shared" ref="BF836:BM836" si="5874">BF587/BF613</f>
        <v>0.1319655008548454</v>
      </c>
      <c r="BG836" s="42">
        <f t="shared" si="5874"/>
        <v>0.13341059616760753</v>
      </c>
      <c r="BH836" s="42">
        <f t="shared" si="5874"/>
        <v>0.13396374938126099</v>
      </c>
      <c r="BI836" s="42">
        <f t="shared" si="5874"/>
        <v>0.13528045076060075</v>
      </c>
      <c r="BJ836" s="42">
        <f t="shared" si="5874"/>
        <v>0.13527769583955565</v>
      </c>
      <c r="BK836" s="42">
        <f t="shared" si="5874"/>
        <v>0.13584863928564825</v>
      </c>
      <c r="BL836" s="232">
        <f t="shared" si="5874"/>
        <v>0.13561012946272502</v>
      </c>
      <c r="BM836" s="232">
        <f t="shared" si="5874"/>
        <v>0.13611479865385689</v>
      </c>
      <c r="BN836" s="232">
        <f t="shared" ref="BN836:BO836" si="5875">BN587/BN613</f>
        <v>0.13597095089518765</v>
      </c>
      <c r="BO836" s="232">
        <f t="shared" si="5875"/>
        <v>0.13652678739235247</v>
      </c>
      <c r="BP836" s="232">
        <f t="shared" ref="BP836:BQ836" si="5876">BP587/BP613</f>
        <v>0.13650728694689918</v>
      </c>
      <c r="BQ836" s="232">
        <f t="shared" si="5876"/>
        <v>0.13715341852926508</v>
      </c>
      <c r="BR836" s="42"/>
      <c r="BS836" s="232">
        <f t="shared" ref="BS836:CB836" si="5877">BS587/BS613</f>
        <v>8.5519839531885633E-2</v>
      </c>
      <c r="BT836" s="232">
        <f t="shared" si="5877"/>
        <v>9.6630444088221315E-2</v>
      </c>
      <c r="BU836" s="232">
        <f t="shared" si="5877"/>
        <v>9.7912994113956209E-2</v>
      </c>
      <c r="BV836" s="232">
        <f t="shared" si="5877"/>
        <v>0.10246792549337198</v>
      </c>
      <c r="BW836" s="232">
        <f t="shared" si="5877"/>
        <v>0.10051005877326981</v>
      </c>
      <c r="BX836" s="232">
        <f t="shared" si="5877"/>
        <v>8.6367210991349405E-2</v>
      </c>
      <c r="BY836" s="232">
        <f t="shared" si="5877"/>
        <v>8.0662070718302253E-2</v>
      </c>
      <c r="BZ836" s="232">
        <f t="shared" si="5877"/>
        <v>7.0523122664630955E-2</v>
      </c>
      <c r="CA836" s="232">
        <f t="shared" si="5877"/>
        <v>7.4857569814140282E-2</v>
      </c>
      <c r="CB836" s="232">
        <f t="shared" si="5877"/>
        <v>6.5145285186764268E-2</v>
      </c>
      <c r="CC836" s="42">
        <f t="shared" ref="CC836:CO836" si="5878">CC587/CC613</f>
        <v>6.7784954164864686E-2</v>
      </c>
      <c r="CD836" s="42">
        <f t="shared" si="5878"/>
        <v>6.9567053566563133E-2</v>
      </c>
      <c r="CE836" s="42">
        <f t="shared" si="5878"/>
        <v>7.4343997495880609E-2</v>
      </c>
      <c r="CF836" s="42">
        <f t="shared" si="5878"/>
        <v>7.459946507419854E-2</v>
      </c>
      <c r="CG836" s="42">
        <f t="shared" si="5878"/>
        <v>7.5559744591984765E-2</v>
      </c>
      <c r="CH836" s="42">
        <f t="shared" si="5878"/>
        <v>7.1376458648363339E-2</v>
      </c>
      <c r="CI836" s="42">
        <f t="shared" si="5878"/>
        <v>8.1707631593033611E-2</v>
      </c>
      <c r="CJ836" s="42">
        <f t="shared" si="5878"/>
        <v>8.0706698610976471E-2</v>
      </c>
      <c r="CK836" s="42">
        <f t="shared" si="5878"/>
        <v>9.1468635346140748E-2</v>
      </c>
      <c r="CL836" s="42">
        <f t="shared" si="5878"/>
        <v>0.10014873398624832</v>
      </c>
      <c r="CM836" s="45">
        <f t="shared" si="5878"/>
        <v>0.10006704382949069</v>
      </c>
      <c r="CN836" s="45">
        <f t="shared" si="5878"/>
        <v>0.10253434520807636</v>
      </c>
      <c r="CO836" s="45">
        <f t="shared" si="5878"/>
        <v>0.11136017055801489</v>
      </c>
      <c r="CP836" s="45">
        <f t="shared" ref="CP836:CX836" si="5879">CP587/CP613</f>
        <v>0.11159386094092824</v>
      </c>
      <c r="CQ836" s="45">
        <f t="shared" si="5879"/>
        <v>0.1235294564784996</v>
      </c>
      <c r="CR836" s="45">
        <f t="shared" si="5879"/>
        <v>0.12099857457620526</v>
      </c>
      <c r="CS836" s="45">
        <f t="shared" si="5879"/>
        <v>0.12290345651661971</v>
      </c>
      <c r="CT836" s="45">
        <f t="shared" si="5879"/>
        <v>0.12667803393394322</v>
      </c>
      <c r="CU836" s="45">
        <f t="shared" si="5879"/>
        <v>0.13938735855526346</v>
      </c>
      <c r="CV836" s="45">
        <f t="shared" si="5879"/>
        <v>0.1571935741546108</v>
      </c>
      <c r="CW836" s="45">
        <f t="shared" si="5879"/>
        <v>0.13568806086460516</v>
      </c>
      <c r="CX836" s="45">
        <f t="shared" si="5879"/>
        <v>0.14481230448383733</v>
      </c>
      <c r="CY836" s="45">
        <f t="shared" ref="CY836:DD836" si="5880">CY587/CY613</f>
        <v>0.14322073955568485</v>
      </c>
      <c r="CZ836" s="43">
        <f t="shared" si="5880"/>
        <v>0.13881828900825363</v>
      </c>
      <c r="DA836" s="42">
        <f t="shared" si="5880"/>
        <v>0.13871622700615602</v>
      </c>
      <c r="DB836" s="42">
        <f t="shared" si="5880"/>
        <v>0.1362243331544809</v>
      </c>
      <c r="DC836" s="42">
        <f t="shared" si="5880"/>
        <v>0.13378255977490883</v>
      </c>
      <c r="DD836" s="42">
        <f t="shared" si="5880"/>
        <v>0.13341059616760753</v>
      </c>
      <c r="DE836" s="42">
        <f>DE587/DE613</f>
        <v>0.13528045076060075</v>
      </c>
      <c r="DF836" s="42">
        <f>DF587/DF613</f>
        <v>0.13584863928564825</v>
      </c>
      <c r="DG836" s="232">
        <f>DG587/DG613</f>
        <v>0.13611479865385689</v>
      </c>
      <c r="DH836" s="232">
        <f>DH587/DH613</f>
        <v>0.13652678739235247</v>
      </c>
      <c r="DI836" s="232">
        <f>DI587/DI613</f>
        <v>0.13715341852926508</v>
      </c>
    </row>
    <row r="837" spans="1:113" outlineLevel="1">
      <c r="A837" s="1" t="s">
        <v>956</v>
      </c>
      <c r="B837" s="19" t="s">
        <v>652</v>
      </c>
      <c r="C837" s="232">
        <f>C607/C613</f>
        <v>9.1412962574882753E-2</v>
      </c>
      <c r="D837" s="232">
        <f>D607/D613</f>
        <v>9.3157639707530868E-2</v>
      </c>
      <c r="E837" s="232">
        <f>E607/E613</f>
        <v>9.7980134563165996E-2</v>
      </c>
      <c r="F837" s="232">
        <f t="shared" ref="F837:L837" si="5881">F607/F613</f>
        <v>9.8065673884163013E-2</v>
      </c>
      <c r="G837" s="232">
        <f t="shared" si="5881"/>
        <v>9.7242657075908664E-2</v>
      </c>
      <c r="H837" s="232">
        <f t="shared" si="5881"/>
        <v>9.4620596808301205E-2</v>
      </c>
      <c r="I837" s="232">
        <f t="shared" si="5881"/>
        <v>0.1024976228583578</v>
      </c>
      <c r="J837" s="232">
        <f t="shared" si="5881"/>
        <v>9.5957359664367872E-2</v>
      </c>
      <c r="K837" s="232">
        <f t="shared" si="5881"/>
        <v>9.7484160604350098E-2</v>
      </c>
      <c r="L837" s="232">
        <f t="shared" si="5881"/>
        <v>9.8121549142188916E-2</v>
      </c>
      <c r="M837" s="42">
        <f t="shared" ref="M837:AG837" si="5882">M607/M613</f>
        <v>9.6637374213400601E-2</v>
      </c>
      <c r="N837" s="42">
        <f t="shared" si="5882"/>
        <v>9.7800647144337061E-2</v>
      </c>
      <c r="O837" s="42">
        <f t="shared" si="5882"/>
        <v>9.7620920573718045E-2</v>
      </c>
      <c r="P837" s="42">
        <f t="shared" si="5882"/>
        <v>0.12084064814254293</v>
      </c>
      <c r="Q837" s="42">
        <f t="shared" si="5882"/>
        <v>0.11583398620931284</v>
      </c>
      <c r="R837" s="42">
        <f t="shared" si="5882"/>
        <v>0.11390828663248206</v>
      </c>
      <c r="S837" s="42">
        <f t="shared" si="5882"/>
        <v>0.10419407553075101</v>
      </c>
      <c r="T837" s="45">
        <f t="shared" si="5882"/>
        <v>0.11630229047668676</v>
      </c>
      <c r="U837" s="42">
        <f t="shared" si="5882"/>
        <v>0.11491604801578978</v>
      </c>
      <c r="V837" s="42">
        <f t="shared" si="5882"/>
        <v>0.11502190409822001</v>
      </c>
      <c r="W837" s="42">
        <f t="shared" si="5882"/>
        <v>0.11700643567343838</v>
      </c>
      <c r="X837" s="42">
        <f t="shared" si="5882"/>
        <v>0.11105288792596699</v>
      </c>
      <c r="Y837" s="45">
        <f>Y607/Y613</f>
        <v>0.10977353717299621</v>
      </c>
      <c r="Z837" s="45">
        <f>Z607/Z613</f>
        <v>0.11221739260172872</v>
      </c>
      <c r="AA837" s="45">
        <f t="shared" si="5882"/>
        <v>0.11191585803778124</v>
      </c>
      <c r="AB837" s="45">
        <f t="shared" si="5882"/>
        <v>0.11424399381203303</v>
      </c>
      <c r="AC837" s="45">
        <f>AC607/AC613</f>
        <v>0.12005093051833647</v>
      </c>
      <c r="AD837" s="45">
        <f>AD607/AD613</f>
        <v>0.12718100654868461</v>
      </c>
      <c r="AE837" s="45">
        <f>AE607/AE613</f>
        <v>0.12694693277573016</v>
      </c>
      <c r="AF837" s="45">
        <f>AF607/AF613</f>
        <v>0.14084632584767562</v>
      </c>
      <c r="AG837" s="45">
        <f t="shared" si="5882"/>
        <v>0.14360714222369744</v>
      </c>
      <c r="AH837" s="45">
        <f t="shared" ref="AH837:AM837" si="5883">AH607/AH613</f>
        <v>0.13698419862491151</v>
      </c>
      <c r="AI837" s="45">
        <f t="shared" si="5883"/>
        <v>0.14248746748180469</v>
      </c>
      <c r="AJ837" s="45">
        <f t="shared" si="5883"/>
        <v>0.1474130969340072</v>
      </c>
      <c r="AK837" s="45">
        <f t="shared" si="5883"/>
        <v>0.1503318709497353</v>
      </c>
      <c r="AL837" s="45">
        <f t="shared" si="5883"/>
        <v>0.15826339341875886</v>
      </c>
      <c r="AM837" s="45">
        <f t="shared" si="5883"/>
        <v>0.1548385244344711</v>
      </c>
      <c r="AN837" s="45">
        <f t="shared" ref="AN837:AS837" si="5884">AN607/AN613</f>
        <v>0.17355517261340209</v>
      </c>
      <c r="AO837" s="45">
        <f t="shared" si="5884"/>
        <v>0.17549917792802694</v>
      </c>
      <c r="AP837" s="45">
        <f t="shared" si="5884"/>
        <v>0.18897481570314981</v>
      </c>
      <c r="AQ837" s="45">
        <f t="shared" si="5884"/>
        <v>0.19818052720333718</v>
      </c>
      <c r="AR837" s="45">
        <f t="shared" si="5884"/>
        <v>0.18001724843037165</v>
      </c>
      <c r="AS837" s="45">
        <f t="shared" si="5884"/>
        <v>0.17584134711945562</v>
      </c>
      <c r="AT837" s="45">
        <f t="shared" ref="AT837:AU837" si="5885">AT607/AT613</f>
        <v>0.17794718267972559</v>
      </c>
      <c r="AU837" s="45">
        <f t="shared" si="5885"/>
        <v>0.20038804082121062</v>
      </c>
      <c r="AV837" s="45">
        <f t="shared" ref="AV837:AW837" si="5886">AV607/AV613</f>
        <v>0.20541622451708638</v>
      </c>
      <c r="AW837" s="45">
        <f t="shared" si="5886"/>
        <v>0.20915579263010881</v>
      </c>
      <c r="AX837" s="45">
        <f t="shared" ref="AX837" si="5887">AX607/AX613</f>
        <v>0.20669860625371864</v>
      </c>
      <c r="AY837" s="45">
        <f t="shared" ref="AY837:BE837" si="5888">AY607/AY613</f>
        <v>0.20901752511866489</v>
      </c>
      <c r="AZ837" s="43">
        <f t="shared" si="5888"/>
        <v>0.20633076725178603</v>
      </c>
      <c r="BA837" s="42">
        <f t="shared" si="5888"/>
        <v>0.20517684409083492</v>
      </c>
      <c r="BB837" s="42">
        <f t="shared" si="5888"/>
        <v>0.2026896709565873</v>
      </c>
      <c r="BC837" s="42">
        <f t="shared" si="5888"/>
        <v>0.20152762199453078</v>
      </c>
      <c r="BD837" s="42">
        <f t="shared" si="5888"/>
        <v>0.19906752991885435</v>
      </c>
      <c r="BE837" s="42">
        <f t="shared" si="5888"/>
        <v>0.19772087292838966</v>
      </c>
      <c r="BF837" s="42">
        <f t="shared" ref="BF837:BM837" si="5889">BF607/BF613</f>
        <v>0.19503226035869389</v>
      </c>
      <c r="BG837" s="42">
        <f t="shared" si="5889"/>
        <v>0.19568438927452891</v>
      </c>
      <c r="BH837" s="42">
        <f t="shared" si="5889"/>
        <v>0.19540529781750715</v>
      </c>
      <c r="BI837" s="42">
        <f t="shared" si="5889"/>
        <v>0.19597993296393748</v>
      </c>
      <c r="BJ837" s="42">
        <f t="shared" si="5889"/>
        <v>0.19502978503462001</v>
      </c>
      <c r="BK837" s="42">
        <f t="shared" si="5889"/>
        <v>0.19459154735105227</v>
      </c>
      <c r="BL837" s="232">
        <f t="shared" si="5889"/>
        <v>0.19336031031507345</v>
      </c>
      <c r="BM837" s="232">
        <f t="shared" si="5889"/>
        <v>0.19288845592240908</v>
      </c>
      <c r="BN837" s="232">
        <f t="shared" ref="BN837:BO837" si="5890">BN607/BN613</f>
        <v>0.19178404129498042</v>
      </c>
      <c r="BO837" s="232">
        <f t="shared" si="5890"/>
        <v>0.19139502406105241</v>
      </c>
      <c r="BP837" s="232">
        <f t="shared" ref="BP837:BQ837" si="5891">BP607/BP613</f>
        <v>0.19044614274560576</v>
      </c>
      <c r="BQ837" s="232">
        <f t="shared" si="5891"/>
        <v>0.19017812930748484</v>
      </c>
      <c r="BR837" s="42"/>
      <c r="BS837" s="232">
        <f t="shared" ref="BS837:CB837" si="5892">BS607/BS613</f>
        <v>0.10139228879867211</v>
      </c>
      <c r="BT837" s="232">
        <f t="shared" si="5892"/>
        <v>0.10904560738503685</v>
      </c>
      <c r="BU837" s="232">
        <f t="shared" si="5892"/>
        <v>0.10968508171741015</v>
      </c>
      <c r="BV837" s="232">
        <f t="shared" si="5892"/>
        <v>0.11148999048065585</v>
      </c>
      <c r="BW837" s="232">
        <f t="shared" si="5892"/>
        <v>0.12715221500142401</v>
      </c>
      <c r="BX837" s="232">
        <f t="shared" si="5892"/>
        <v>0.10891890641624648</v>
      </c>
      <c r="BY837" s="232">
        <f t="shared" si="5892"/>
        <v>0.10485963295951542</v>
      </c>
      <c r="BZ837" s="232">
        <f t="shared" si="5892"/>
        <v>9.3836634657880988E-2</v>
      </c>
      <c r="CA837" s="232">
        <f t="shared" si="5892"/>
        <v>9.7428473584259517E-2</v>
      </c>
      <c r="CB837" s="232">
        <f t="shared" si="5892"/>
        <v>9.162975220944769E-2</v>
      </c>
      <c r="CC837" s="42">
        <f t="shared" ref="CC837:CO837" si="5893">CC607/CC613</f>
        <v>9.7980134563165996E-2</v>
      </c>
      <c r="CD837" s="42">
        <f t="shared" si="5893"/>
        <v>9.7242657075908664E-2</v>
      </c>
      <c r="CE837" s="42">
        <f t="shared" si="5893"/>
        <v>0.1024976228583578</v>
      </c>
      <c r="CF837" s="42">
        <f t="shared" si="5893"/>
        <v>9.7484160604350098E-2</v>
      </c>
      <c r="CG837" s="42">
        <f t="shared" si="5893"/>
        <v>9.6637374213400601E-2</v>
      </c>
      <c r="CH837" s="42">
        <f t="shared" si="5893"/>
        <v>9.7620920573718045E-2</v>
      </c>
      <c r="CI837" s="42">
        <f t="shared" si="5893"/>
        <v>0.11583398620931284</v>
      </c>
      <c r="CJ837" s="42">
        <f t="shared" si="5893"/>
        <v>0.10419407553075101</v>
      </c>
      <c r="CK837" s="42">
        <f t="shared" si="5893"/>
        <v>0.11491604801578978</v>
      </c>
      <c r="CL837" s="42">
        <f t="shared" si="5893"/>
        <v>0.11700643567343838</v>
      </c>
      <c r="CM837" s="45">
        <f t="shared" si="5893"/>
        <v>0.10977353717299621</v>
      </c>
      <c r="CN837" s="45">
        <f t="shared" si="5893"/>
        <v>0.11191585803778124</v>
      </c>
      <c r="CO837" s="45">
        <f t="shared" si="5893"/>
        <v>0.12005093051833647</v>
      </c>
      <c r="CP837" s="45">
        <f t="shared" ref="CP837:CX837" si="5894">CP607/CP613</f>
        <v>0.12694693277573016</v>
      </c>
      <c r="CQ837" s="45">
        <f t="shared" si="5894"/>
        <v>0.14360714222369744</v>
      </c>
      <c r="CR837" s="45">
        <f t="shared" si="5894"/>
        <v>0.14248746748180469</v>
      </c>
      <c r="CS837" s="45">
        <f t="shared" si="5894"/>
        <v>0.1503318709497353</v>
      </c>
      <c r="CT837" s="45">
        <f t="shared" si="5894"/>
        <v>0.1548385244344711</v>
      </c>
      <c r="CU837" s="45">
        <f t="shared" si="5894"/>
        <v>0.17549917792802694</v>
      </c>
      <c r="CV837" s="45">
        <f t="shared" si="5894"/>
        <v>0.19818052720333718</v>
      </c>
      <c r="CW837" s="45">
        <f t="shared" si="5894"/>
        <v>0.17584134711945562</v>
      </c>
      <c r="CX837" s="45">
        <f t="shared" si="5894"/>
        <v>0.20038804082121062</v>
      </c>
      <c r="CY837" s="45">
        <f t="shared" ref="CY837:DD837" si="5895">CY607/CY613</f>
        <v>0.20915579263010881</v>
      </c>
      <c r="CZ837" s="43">
        <f t="shared" si="5895"/>
        <v>0.20901752511866489</v>
      </c>
      <c r="DA837" s="42">
        <f t="shared" si="5895"/>
        <v>0.20517684409083492</v>
      </c>
      <c r="DB837" s="42">
        <f t="shared" si="5895"/>
        <v>0.20152762199453078</v>
      </c>
      <c r="DC837" s="42">
        <f t="shared" si="5895"/>
        <v>0.19772087292838969</v>
      </c>
      <c r="DD837" s="42">
        <f t="shared" si="5895"/>
        <v>0.19568438927452891</v>
      </c>
      <c r="DE837" s="42">
        <f>DE607/DE613</f>
        <v>0.19597993296393748</v>
      </c>
      <c r="DF837" s="42">
        <f>DF607/DF613</f>
        <v>0.19459154735105227</v>
      </c>
      <c r="DG837" s="232">
        <f>DG607/DG613</f>
        <v>0.19288845592240908</v>
      </c>
      <c r="DH837" s="232">
        <f>DH607/DH613</f>
        <v>0.19139502406105241</v>
      </c>
      <c r="DI837" s="232">
        <f>DI607/DI613</f>
        <v>0.19017812930748484</v>
      </c>
    </row>
    <row r="838" spans="1:113" outlineLevel="1">
      <c r="A838" s="1" t="s">
        <v>1011</v>
      </c>
      <c r="B838" s="19" t="s">
        <v>653</v>
      </c>
      <c r="C838" s="232">
        <f>C735/C730</f>
        <v>0.82020026121027423</v>
      </c>
      <c r="D838" s="232">
        <f>D735/D730</f>
        <v>0.72224680851063827</v>
      </c>
      <c r="E838" s="232">
        <f>E735/E730</f>
        <v>0.79524767801857577</v>
      </c>
      <c r="F838" s="232">
        <f t="shared" ref="F838:L838" si="5896">F735/F730</f>
        <v>0.7277525252525251</v>
      </c>
      <c r="G838" s="232">
        <f t="shared" si="5896"/>
        <v>0.78897113249444861</v>
      </c>
      <c r="H838" s="232">
        <f t="shared" si="5896"/>
        <v>0.82683597002497922</v>
      </c>
      <c r="I838" s="232">
        <f t="shared" si="5896"/>
        <v>0.93697056712132076</v>
      </c>
      <c r="J838" s="232">
        <f t="shared" si="5896"/>
        <v>0.64309210526315785</v>
      </c>
      <c r="K838" s="232">
        <f t="shared" si="5896"/>
        <v>0.84414446417998812</v>
      </c>
      <c r="L838" s="232">
        <f t="shared" si="5896"/>
        <v>0.58425036390101892</v>
      </c>
      <c r="M838" s="42">
        <f t="shared" ref="M838:AG838" si="5897">M735/M730</f>
        <v>0.83860441767068272</v>
      </c>
      <c r="N838" s="42">
        <f t="shared" si="5897"/>
        <v>0.60576719576719573</v>
      </c>
      <c r="O838" s="42">
        <f t="shared" si="5897"/>
        <v>0.87412431941923774</v>
      </c>
      <c r="P838" s="42">
        <f t="shared" si="5897"/>
        <v>0.62533050847457605</v>
      </c>
      <c r="Q838" s="42">
        <f t="shared" si="5897"/>
        <v>0.8679870967741935</v>
      </c>
      <c r="R838" s="42">
        <f t="shared" si="5897"/>
        <v>0.81624468085106372</v>
      </c>
      <c r="S838" s="42">
        <f t="shared" si="5897"/>
        <v>0.72511598481653305</v>
      </c>
      <c r="T838" s="45">
        <f t="shared" si="5897"/>
        <v>0.62610483042137721</v>
      </c>
      <c r="U838" s="42">
        <f t="shared" si="5897"/>
        <v>0.83454545454545448</v>
      </c>
      <c r="V838" s="42">
        <f t="shared" si="5897"/>
        <v>0.61597343797162685</v>
      </c>
      <c r="W838" s="42">
        <f t="shared" si="5897"/>
        <v>0.83789655172413791</v>
      </c>
      <c r="X838" s="42">
        <f t="shared" si="5897"/>
        <v>0.60255343082114732</v>
      </c>
      <c r="Y838" s="45">
        <f>Y735/Y730</f>
        <v>0.88720056899004274</v>
      </c>
      <c r="Z838" s="45">
        <f>Z735/Z730</f>
        <v>0.70172654155495984</v>
      </c>
      <c r="AA838" s="45">
        <f t="shared" si="5897"/>
        <v>0.80501253132832085</v>
      </c>
      <c r="AB838" s="45">
        <f t="shared" si="5897"/>
        <v>0.69363250883392236</v>
      </c>
      <c r="AC838" s="45">
        <f>AC735/AC730</f>
        <v>0.80148519362186788</v>
      </c>
      <c r="AD838" s="45">
        <f>AD735/AD730</f>
        <v>0.69702544031311164</v>
      </c>
      <c r="AE838" s="45">
        <f>AE735/AE730</f>
        <v>0.80268390548372714</v>
      </c>
      <c r="AF838" s="45">
        <f>AF735/AF730</f>
        <v>0.69565326633165825</v>
      </c>
      <c r="AG838" s="45">
        <f t="shared" si="5897"/>
        <v>0.82138558129465256</v>
      </c>
      <c r="AH838" s="45">
        <f t="shared" ref="AH838:AM838" si="5898">AH735/AH730</f>
        <v>0.70729908864954427</v>
      </c>
      <c r="AI838" s="45">
        <f t="shared" si="5898"/>
        <v>0.82146260617360667</v>
      </c>
      <c r="AJ838" s="45">
        <f t="shared" si="5898"/>
        <v>0.75685080469769461</v>
      </c>
      <c r="AK838" s="45">
        <f t="shared" si="5898"/>
        <v>0.93855455177206393</v>
      </c>
      <c r="AL838" s="45">
        <f t="shared" si="5898"/>
        <v>0.78136891091587435</v>
      </c>
      <c r="AM838" s="45">
        <f t="shared" si="5898"/>
        <v>1.1019260216878082</v>
      </c>
      <c r="AN838" s="45">
        <f t="shared" ref="AN838:AS838" si="5899">AN735/AN730</f>
        <v>0.8176565749942224</v>
      </c>
      <c r="AO838" s="45">
        <f t="shared" si="5899"/>
        <v>0.59821256038647341</v>
      </c>
      <c r="AP838" s="45">
        <f t="shared" si="5899"/>
        <v>0.6864012409513961</v>
      </c>
      <c r="AQ838" s="45">
        <f t="shared" si="5899"/>
        <v>0.74064785788923726</v>
      </c>
      <c r="AR838" s="45">
        <f t="shared" si="5899"/>
        <v>0.6415929203539823</v>
      </c>
      <c r="AS838" s="45">
        <f t="shared" si="5899"/>
        <v>0.73796659104970108</v>
      </c>
      <c r="AT838" s="45">
        <f t="shared" ref="AT838:AU838" si="5900">AT735/AT730</f>
        <v>0.68716216216216219</v>
      </c>
      <c r="AU838" s="45">
        <f t="shared" si="5900"/>
        <v>0.82665576451349132</v>
      </c>
      <c r="AV838" s="45">
        <f t="shared" ref="AV838:AW838" si="5901">AV735/AV730</f>
        <v>0.71709503885236092</v>
      </c>
      <c r="AW838" s="45">
        <f t="shared" si="5901"/>
        <v>0.86827901183309109</v>
      </c>
      <c r="AX838" s="45">
        <f t="shared" ref="AX838" si="5902">AX735/AX730</f>
        <v>0.73304754481683554</v>
      </c>
      <c r="AY838" s="45">
        <f t="shared" ref="AY838:BE838" si="5903">AY735/AY730</f>
        <v>0.84906250000000028</v>
      </c>
      <c r="AZ838" s="43">
        <f t="shared" si="5903"/>
        <v>0.7216161616161616</v>
      </c>
      <c r="BA838" s="42">
        <f t="shared" si="5903"/>
        <v>0.78766831584046981</v>
      </c>
      <c r="BB838" s="42">
        <f t="shared" si="5903"/>
        <v>0.69536945290849694</v>
      </c>
      <c r="BC838" s="42">
        <f t="shared" si="5903"/>
        <v>0.7805345566097367</v>
      </c>
      <c r="BD838" s="42">
        <f t="shared" si="5903"/>
        <v>0.69975208307229386</v>
      </c>
      <c r="BE838" s="42">
        <f t="shared" si="5903"/>
        <v>0.77420184461557584</v>
      </c>
      <c r="BF838" s="42">
        <f t="shared" ref="BF838:BM838" si="5904">BF735/BF730</f>
        <v>0.69345837391124454</v>
      </c>
      <c r="BG838" s="42">
        <f t="shared" si="5904"/>
        <v>0.77113143814743434</v>
      </c>
      <c r="BH838" s="42">
        <f t="shared" si="5904"/>
        <v>0.70052553953879504</v>
      </c>
      <c r="BI838" s="42">
        <f t="shared" si="5904"/>
        <v>0.78708027723634411</v>
      </c>
      <c r="BJ838" s="42">
        <f t="shared" si="5904"/>
        <v>0.70407531271471702</v>
      </c>
      <c r="BK838" s="42">
        <f t="shared" si="5904"/>
        <v>0.80579215569865981</v>
      </c>
      <c r="BL838" s="232">
        <f t="shared" si="5904"/>
        <v>0.71629897971173395</v>
      </c>
      <c r="BM838" s="232">
        <f t="shared" si="5904"/>
        <v>0.80486497364359633</v>
      </c>
      <c r="BN838" s="232">
        <f t="shared" ref="BN838:BO838" si="5905">BN735/BN730</f>
        <v>0.70778929028251447</v>
      </c>
      <c r="BO838" s="232">
        <f t="shared" si="5905"/>
        <v>0.79469590240885146</v>
      </c>
      <c r="BP838" s="232">
        <f t="shared" ref="BP838:BQ838" si="5906">BP735/BP730</f>
        <v>0.69770361822013682</v>
      </c>
      <c r="BQ838" s="232">
        <f t="shared" si="5906"/>
        <v>0.78189851059705251</v>
      </c>
      <c r="BR838" s="42"/>
      <c r="BS838" s="232">
        <f t="shared" ref="BS838:CB838" si="5907">BS735/BS730</f>
        <v>0.77583761310833954</v>
      </c>
      <c r="BT838" s="232">
        <f t="shared" si="5907"/>
        <v>0.6214404145077721</v>
      </c>
      <c r="BU838" s="232">
        <f t="shared" si="5907"/>
        <v>0.78008797653958939</v>
      </c>
      <c r="BV838" s="232">
        <f t="shared" si="5907"/>
        <v>0.74943620178041537</v>
      </c>
      <c r="BW838" s="232">
        <f t="shared" si="5907"/>
        <v>0.77935656836461131</v>
      </c>
      <c r="BX838" s="232">
        <f t="shared" si="5907"/>
        <v>0.74887109687750186</v>
      </c>
      <c r="BY838" s="232">
        <f t="shared" si="5907"/>
        <v>0.7457208943716267</v>
      </c>
      <c r="BZ838" s="232">
        <f t="shared" si="5907"/>
        <v>0.72569775357385968</v>
      </c>
      <c r="CA838" s="232">
        <f t="shared" si="5907"/>
        <v>0.7181764004767579</v>
      </c>
      <c r="CB838" s="232">
        <f t="shared" si="5907"/>
        <v>0.76058588548601858</v>
      </c>
      <c r="CC838" s="42">
        <f t="shared" ref="CC838:CO838" si="5908">CC735/CC730</f>
        <v>0.76034893470523224</v>
      </c>
      <c r="CD838" s="42">
        <f t="shared" si="5908"/>
        <v>0.76029788450851654</v>
      </c>
      <c r="CE838" s="42">
        <f t="shared" si="5908"/>
        <v>0.88607170393215118</v>
      </c>
      <c r="CF838" s="42">
        <f t="shared" si="5908"/>
        <v>0.74382468524941625</v>
      </c>
      <c r="CG838" s="42">
        <f t="shared" si="5908"/>
        <v>0.70525557167530228</v>
      </c>
      <c r="CH838" s="42">
        <f t="shared" si="5908"/>
        <v>0.7339044865831843</v>
      </c>
      <c r="CI838" s="42">
        <f t="shared" si="5908"/>
        <v>0.74145572422625394</v>
      </c>
      <c r="CJ838" s="42">
        <f t="shared" si="5908"/>
        <v>0.76923220324629493</v>
      </c>
      <c r="CK838" s="42">
        <f t="shared" si="5908"/>
        <v>0.72942261975553346</v>
      </c>
      <c r="CL838" s="42">
        <f t="shared" si="5908"/>
        <v>0.7252834623877521</v>
      </c>
      <c r="CM838" s="45">
        <f t="shared" si="5908"/>
        <v>0.73899722415499935</v>
      </c>
      <c r="CN838" s="45">
        <f t="shared" si="5908"/>
        <v>0.75079931917098441</v>
      </c>
      <c r="CO838" s="45">
        <f t="shared" si="5908"/>
        <v>0.74409095610885934</v>
      </c>
      <c r="CP838" s="45">
        <f t="shared" ref="CP838:CX838" si="5909">CP735/CP730</f>
        <v>0.74948063841496981</v>
      </c>
      <c r="CQ838" s="45">
        <f t="shared" si="5909"/>
        <v>0.7568493879723257</v>
      </c>
      <c r="CR838" s="45">
        <f t="shared" si="5909"/>
        <v>0.76426111249051176</v>
      </c>
      <c r="CS838" s="45">
        <f t="shared" si="5909"/>
        <v>0.8445956253505329</v>
      </c>
      <c r="CT838" s="45">
        <f t="shared" si="5909"/>
        <v>0.92585573531200605</v>
      </c>
      <c r="CU838" s="45">
        <f t="shared" si="5909"/>
        <v>0.72963598615916947</v>
      </c>
      <c r="CV838" s="45">
        <f t="shared" si="5909"/>
        <v>0.71634115335721715</v>
      </c>
      <c r="CW838" s="45">
        <f t="shared" si="5909"/>
        <v>0.69095362167795726</v>
      </c>
      <c r="CX838" s="45">
        <f t="shared" si="5909"/>
        <v>0.75506354249404284</v>
      </c>
      <c r="CY838" s="45">
        <f t="shared" ref="CY838:DD838" si="5910">CY735/CY730</f>
        <v>0.79091602277348527</v>
      </c>
      <c r="CZ838" s="43">
        <f t="shared" si="5910"/>
        <v>0.79098712446351926</v>
      </c>
      <c r="DA838" s="42">
        <f t="shared" si="5910"/>
        <v>0.75517960934686057</v>
      </c>
      <c r="DB838" s="42">
        <f t="shared" si="5910"/>
        <v>0.73798861095271207</v>
      </c>
      <c r="DC838" s="42">
        <f t="shared" si="5910"/>
        <v>0.73759617336172745</v>
      </c>
      <c r="DD838" s="42">
        <f t="shared" si="5910"/>
        <v>0.7326869744300244</v>
      </c>
      <c r="DE838" s="42">
        <f>DE735/DE730</f>
        <v>0.74387435442478245</v>
      </c>
      <c r="DF838" s="42">
        <f>DF735/DF730</f>
        <v>0.7544974438992641</v>
      </c>
      <c r="DG838" s="232">
        <f>DG735/DG730</f>
        <v>0.76056547984527711</v>
      </c>
      <c r="DH838" s="232">
        <f>DH735/DH730</f>
        <v>0.75120199287932621</v>
      </c>
      <c r="DI838" s="232">
        <f>DI735/DI730</f>
        <v>0.73976289771034565</v>
      </c>
    </row>
    <row r="839" spans="1:113" outlineLevel="1">
      <c r="A839" s="1" t="s">
        <v>1074</v>
      </c>
      <c r="B839" s="19" t="s">
        <v>769</v>
      </c>
      <c r="C839" s="571">
        <f>C137</f>
        <v>0</v>
      </c>
      <c r="D839" s="571">
        <f>D137</f>
        <v>0</v>
      </c>
      <c r="E839" s="571">
        <f t="shared" ref="E839:L839" si="5911">E137</f>
        <v>400.2</v>
      </c>
      <c r="F839" s="571">
        <f t="shared" si="5911"/>
        <v>260</v>
      </c>
      <c r="G839" s="571">
        <f t="shared" si="5911"/>
        <v>417</v>
      </c>
      <c r="H839" s="571">
        <f t="shared" si="5911"/>
        <v>337</v>
      </c>
      <c r="I839" s="571">
        <f t="shared" si="5911"/>
        <v>75</v>
      </c>
      <c r="J839" s="571">
        <f t="shared" si="5911"/>
        <v>0</v>
      </c>
      <c r="K839" s="571">
        <f t="shared" si="5911"/>
        <v>194</v>
      </c>
      <c r="L839" s="571">
        <f t="shared" si="5911"/>
        <v>324</v>
      </c>
      <c r="M839" s="116">
        <f t="shared" ref="M839:AK839" si="5912">M137</f>
        <v>0</v>
      </c>
      <c r="N839" s="116">
        <f t="shared" si="5912"/>
        <v>88</v>
      </c>
      <c r="O839" s="116">
        <f t="shared" si="5912"/>
        <v>559</v>
      </c>
      <c r="P839" s="116">
        <f t="shared" si="5912"/>
        <v>781</v>
      </c>
      <c r="Q839" s="116">
        <f t="shared" si="5912"/>
        <v>495</v>
      </c>
      <c r="R839" s="116">
        <f t="shared" si="5912"/>
        <v>554</v>
      </c>
      <c r="S839" s="116">
        <f t="shared" si="5912"/>
        <v>758</v>
      </c>
      <c r="T839" s="116">
        <f t="shared" si="5912"/>
        <v>244</v>
      </c>
      <c r="U839" s="116">
        <f t="shared" si="5912"/>
        <v>446</v>
      </c>
      <c r="V839" s="116">
        <f t="shared" si="5912"/>
        <v>642</v>
      </c>
      <c r="W839" s="116">
        <f t="shared" si="5912"/>
        <v>510</v>
      </c>
      <c r="X839" s="116">
        <f t="shared" si="5912"/>
        <v>435</v>
      </c>
      <c r="Y839" s="176">
        <f t="shared" si="5912"/>
        <v>390</v>
      </c>
      <c r="Z839" s="176">
        <f t="shared" si="5912"/>
        <v>435</v>
      </c>
      <c r="AA839" s="176">
        <f t="shared" si="5912"/>
        <v>742</v>
      </c>
      <c r="AB839" s="176">
        <f t="shared" si="5912"/>
        <v>849</v>
      </c>
      <c r="AC839" s="176">
        <f t="shared" si="5912"/>
        <v>533</v>
      </c>
      <c r="AD839" s="176">
        <f t="shared" si="5912"/>
        <v>624</v>
      </c>
      <c r="AE839" s="176">
        <f t="shared" si="5912"/>
        <v>569</v>
      </c>
      <c r="AF839" s="176">
        <f t="shared" si="5912"/>
        <v>395</v>
      </c>
      <c r="AG839" s="176">
        <f t="shared" si="5912"/>
        <v>532</v>
      </c>
      <c r="AH839" s="176">
        <f t="shared" si="5912"/>
        <v>537</v>
      </c>
      <c r="AI839" s="176">
        <f t="shared" si="5912"/>
        <v>1067</v>
      </c>
      <c r="AJ839" s="176">
        <f t="shared" si="5912"/>
        <v>1242</v>
      </c>
      <c r="AK839" s="176">
        <f t="shared" si="5912"/>
        <v>1464</v>
      </c>
      <c r="AL839" s="176">
        <f t="shared" ref="AL839:AQ839" si="5913">AL137</f>
        <v>1730</v>
      </c>
      <c r="AM839" s="176">
        <f t="shared" si="5913"/>
        <v>1190</v>
      </c>
      <c r="AN839" s="176">
        <f t="shared" si="5913"/>
        <v>1255</v>
      </c>
      <c r="AO839" s="176">
        <f t="shared" si="5913"/>
        <v>2007</v>
      </c>
      <c r="AP839" s="176">
        <f t="shared" si="5913"/>
        <v>2307</v>
      </c>
      <c r="AQ839" s="176">
        <f t="shared" si="5913"/>
        <v>3709</v>
      </c>
      <c r="AR839" s="176">
        <f t="shared" ref="AR839" si="5914">AR137</f>
        <v>1354</v>
      </c>
      <c r="AS839" s="176">
        <f t="shared" ref="AS839:AT839" si="5915">AS137</f>
        <v>1635</v>
      </c>
      <c r="AT839" s="176">
        <f t="shared" si="5915"/>
        <v>1645</v>
      </c>
      <c r="AU839" s="176">
        <f t="shared" ref="AU839:AV839" si="5916">AU137</f>
        <v>1928</v>
      </c>
      <c r="AV839" s="176">
        <f t="shared" si="5916"/>
        <v>1688</v>
      </c>
      <c r="AW839" s="176">
        <f t="shared" ref="AW839:AX839" si="5917">AW137</f>
        <v>1861</v>
      </c>
      <c r="AX839" s="176">
        <f t="shared" si="5917"/>
        <v>1738</v>
      </c>
      <c r="AY839" s="176">
        <f t="shared" ref="AY839:BE839" si="5918">AY137</f>
        <v>2008</v>
      </c>
      <c r="AZ839" s="117">
        <f t="shared" si="5918"/>
        <v>1895</v>
      </c>
      <c r="BA839" s="116">
        <f t="shared" si="5918"/>
        <v>1553.065329499072</v>
      </c>
      <c r="BB839" s="116">
        <f t="shared" si="5918"/>
        <v>1457.594862083992</v>
      </c>
      <c r="BC839" s="116">
        <f t="shared" si="5918"/>
        <v>1152.8659070353006</v>
      </c>
      <c r="BD839" s="116">
        <f t="shared" si="5918"/>
        <v>1045.6918814417963</v>
      </c>
      <c r="BE839" s="116">
        <f t="shared" si="5918"/>
        <v>745.49633472566575</v>
      </c>
      <c r="BF839" s="116">
        <f t="shared" ref="BF839:BM839" si="5919">BF137</f>
        <v>647.91202427903158</v>
      </c>
      <c r="BG839" s="116">
        <f t="shared" si="5919"/>
        <v>336.37474454948551</v>
      </c>
      <c r="BH839" s="116">
        <f t="shared" si="5919"/>
        <v>211.32687172865735</v>
      </c>
      <c r="BI839" s="116">
        <f t="shared" si="5919"/>
        <v>-153.52908990729634</v>
      </c>
      <c r="BJ839" s="116">
        <f t="shared" si="5919"/>
        <v>-290.12198224021631</v>
      </c>
      <c r="BK839" s="116">
        <f t="shared" si="5919"/>
        <v>-703.62064752345964</v>
      </c>
      <c r="BL839" s="571">
        <f t="shared" si="5919"/>
        <v>-874.43341754511539</v>
      </c>
      <c r="BM839" s="571">
        <f t="shared" si="5919"/>
        <v>-1292.3908075320178</v>
      </c>
      <c r="BN839" s="571">
        <f t="shared" ref="BN839:BO839" si="5920">BN137</f>
        <v>-1443.8056476927691</v>
      </c>
      <c r="BO839" s="571">
        <f t="shared" si="5920"/>
        <v>-1844.5213086181363</v>
      </c>
      <c r="BP839" s="571">
        <f t="shared" ref="BP839:BQ839" si="5921">BP137</f>
        <v>-1970.8274217668363</v>
      </c>
      <c r="BQ839" s="571">
        <f t="shared" si="5921"/>
        <v>-2346.438877767172</v>
      </c>
      <c r="BR839" s="116"/>
      <c r="BS839" s="571">
        <f t="shared" ref="BS839:CB839" si="5922">BS137</f>
        <v>1690</v>
      </c>
      <c r="BT839" s="571">
        <f t="shared" si="5922"/>
        <v>1600</v>
      </c>
      <c r="BU839" s="571">
        <f t="shared" si="5922"/>
        <v>1350</v>
      </c>
      <c r="BV839" s="571">
        <f t="shared" si="5922"/>
        <v>1443.3</v>
      </c>
      <c r="BW839" s="571">
        <f t="shared" si="5922"/>
        <v>1406</v>
      </c>
      <c r="BX839" s="571">
        <f t="shared" si="5922"/>
        <v>1202</v>
      </c>
      <c r="BY839" s="571">
        <f t="shared" si="5922"/>
        <v>474</v>
      </c>
      <c r="BZ839" s="571">
        <f t="shared" si="5922"/>
        <v>96</v>
      </c>
      <c r="CA839" s="571">
        <f t="shared" si="5922"/>
        <v>450</v>
      </c>
      <c r="CB839" s="571">
        <f t="shared" si="5922"/>
        <v>0</v>
      </c>
      <c r="CC839" s="116">
        <f t="shared" ref="CC839:DC839" si="5923">CC137</f>
        <v>400.2</v>
      </c>
      <c r="CD839" s="116">
        <f t="shared" si="5923"/>
        <v>417</v>
      </c>
      <c r="CE839" s="116">
        <f t="shared" si="5923"/>
        <v>75</v>
      </c>
      <c r="CF839" s="116">
        <f t="shared" si="5923"/>
        <v>194</v>
      </c>
      <c r="CG839" s="116">
        <f t="shared" si="5923"/>
        <v>0</v>
      </c>
      <c r="CH839" s="116">
        <f t="shared" si="5923"/>
        <v>559</v>
      </c>
      <c r="CI839" s="116">
        <f t="shared" si="5923"/>
        <v>495</v>
      </c>
      <c r="CJ839" s="116">
        <f t="shared" si="5923"/>
        <v>758</v>
      </c>
      <c r="CK839" s="116">
        <f t="shared" si="5923"/>
        <v>446</v>
      </c>
      <c r="CL839" s="116">
        <f t="shared" si="5923"/>
        <v>510</v>
      </c>
      <c r="CM839" s="176">
        <f t="shared" si="5923"/>
        <v>390</v>
      </c>
      <c r="CN839" s="176">
        <f t="shared" si="5923"/>
        <v>742</v>
      </c>
      <c r="CO839" s="176">
        <f t="shared" si="5923"/>
        <v>533</v>
      </c>
      <c r="CP839" s="176">
        <f t="shared" si="5923"/>
        <v>569</v>
      </c>
      <c r="CQ839" s="176">
        <f t="shared" si="5923"/>
        <v>532</v>
      </c>
      <c r="CR839" s="176">
        <f t="shared" si="5923"/>
        <v>1067</v>
      </c>
      <c r="CS839" s="176">
        <f t="shared" si="5923"/>
        <v>1464</v>
      </c>
      <c r="CT839" s="176">
        <f t="shared" si="5923"/>
        <v>1190</v>
      </c>
      <c r="CU839" s="176">
        <f t="shared" si="5923"/>
        <v>2007</v>
      </c>
      <c r="CV839" s="176">
        <f t="shared" si="5923"/>
        <v>3709</v>
      </c>
      <c r="CW839" s="176">
        <f t="shared" si="5923"/>
        <v>1635</v>
      </c>
      <c r="CX839" s="176">
        <f t="shared" si="5923"/>
        <v>1928</v>
      </c>
      <c r="CY839" s="176">
        <f t="shared" si="5923"/>
        <v>1861</v>
      </c>
      <c r="CZ839" s="117">
        <f t="shared" si="5923"/>
        <v>2008</v>
      </c>
      <c r="DA839" s="116">
        <f t="shared" si="5923"/>
        <v>1553.065329499072</v>
      </c>
      <c r="DB839" s="116">
        <f t="shared" si="5923"/>
        <v>1152.8659070353006</v>
      </c>
      <c r="DC839" s="116">
        <f t="shared" si="5923"/>
        <v>745.49633472566575</v>
      </c>
      <c r="DD839" s="116">
        <f t="shared" ref="DD839:DI839" si="5924">DD137</f>
        <v>336.37474454948551</v>
      </c>
      <c r="DE839" s="116">
        <f t="shared" si="5924"/>
        <v>-153.52908990729634</v>
      </c>
      <c r="DF839" s="116">
        <f t="shared" si="5924"/>
        <v>-703.62064752345964</v>
      </c>
      <c r="DG839" s="571">
        <f t="shared" si="5924"/>
        <v>-1292.3908075320178</v>
      </c>
      <c r="DH839" s="571">
        <f t="shared" si="5924"/>
        <v>-1844.5213086181363</v>
      </c>
      <c r="DI839" s="571">
        <f t="shared" si="5924"/>
        <v>-2346.438877767172</v>
      </c>
    </row>
    <row r="840" spans="1:113" outlineLevel="1">
      <c r="A840" s="1" t="s">
        <v>1012</v>
      </c>
      <c r="B840" s="19" t="s">
        <v>654</v>
      </c>
      <c r="C840" s="232" t="e">
        <f>C738/C730</f>
        <v>#VALUE!</v>
      </c>
      <c r="D840" s="232">
        <f>D738/D730</f>
        <v>0.62382978723404248</v>
      </c>
      <c r="E840" s="232">
        <f>E738/E730</f>
        <v>0.81037151702786381</v>
      </c>
      <c r="F840" s="232">
        <f t="shared" ref="F840:L840" si="5925">F738/F730</f>
        <v>1.760942760942761</v>
      </c>
      <c r="G840" s="232">
        <f t="shared" si="5925"/>
        <v>0.92894152479644709</v>
      </c>
      <c r="H840" s="232">
        <f t="shared" si="5925"/>
        <v>0.68942547876769356</v>
      </c>
      <c r="I840" s="232">
        <f t="shared" si="5925"/>
        <v>0.51328068916008618</v>
      </c>
      <c r="J840" s="232">
        <f t="shared" si="5925"/>
        <v>0.47129186602870815</v>
      </c>
      <c r="K840" s="232">
        <f t="shared" si="5925"/>
        <v>0.80639431616341029</v>
      </c>
      <c r="L840" s="232">
        <f t="shared" si="5925"/>
        <v>0.46142649199417762</v>
      </c>
      <c r="M840" s="42">
        <f t="shared" ref="M840:AB840" si="5926">M738/M730</f>
        <v>0.97791164658634533</v>
      </c>
      <c r="N840" s="42">
        <f t="shared" si="5926"/>
        <v>0.47619047619047622</v>
      </c>
      <c r="O840" s="42">
        <f t="shared" si="5926"/>
        <v>0.64473684210526305</v>
      </c>
      <c r="P840" s="42">
        <f t="shared" si="5926"/>
        <v>0.26949152542372884</v>
      </c>
      <c r="Q840" s="42">
        <f t="shared" si="5926"/>
        <v>0.7006451612903225</v>
      </c>
      <c r="R840" s="42">
        <f t="shared" si="5926"/>
        <v>-1.59468085106383</v>
      </c>
      <c r="S840" s="42">
        <f t="shared" si="5926"/>
        <v>0.20202446225221427</v>
      </c>
      <c r="T840" s="45">
        <f t="shared" si="5926"/>
        <v>0.39534087016101405</v>
      </c>
      <c r="U840" s="42">
        <f t="shared" si="5926"/>
        <v>0.59330143540669866</v>
      </c>
      <c r="V840" s="42">
        <f t="shared" si="5926"/>
        <v>0.6157561122849381</v>
      </c>
      <c r="W840" s="42">
        <f t="shared" si="5926"/>
        <v>0.69482758620689655</v>
      </c>
      <c r="X840" s="42">
        <f t="shared" si="5926"/>
        <v>0.37457817772778407</v>
      </c>
      <c r="Y840" s="45">
        <f>Y738/Y730</f>
        <v>0.74139402560455203</v>
      </c>
      <c r="Z840" s="45">
        <f>Z738/Z730</f>
        <v>0.45844504021447724</v>
      </c>
      <c r="AA840" s="45">
        <f t="shared" si="5926"/>
        <v>0</v>
      </c>
      <c r="AB840" s="45">
        <f t="shared" si="5926"/>
        <v>0.7594817432273262</v>
      </c>
      <c r="AC840" s="45">
        <f t="shared" ref="AC840:AK840" si="5927">AC738/AC730</f>
        <v>0.51093394077448739</v>
      </c>
      <c r="AD840" s="45">
        <f t="shared" si="5927"/>
        <v>0.76842791911285058</v>
      </c>
      <c r="AE840" s="45">
        <f t="shared" si="5927"/>
        <v>0.58827463218903253</v>
      </c>
      <c r="AF840" s="45">
        <f t="shared" si="5927"/>
        <v>-0.43257956448911222</v>
      </c>
      <c r="AG840" s="45">
        <f t="shared" si="5927"/>
        <v>0.61247023165187264</v>
      </c>
      <c r="AH840" s="45">
        <f t="shared" si="5927"/>
        <v>0.66735708367854185</v>
      </c>
      <c r="AI840" s="45">
        <f t="shared" si="5927"/>
        <v>0.59498653407913815</v>
      </c>
      <c r="AJ840" s="45">
        <f t="shared" si="5927"/>
        <v>0.52348847324923875</v>
      </c>
      <c r="AK840" s="45">
        <f t="shared" si="5927"/>
        <v>0.68844104702339581</v>
      </c>
      <c r="AL840" s="45">
        <f t="shared" ref="AL840:AQ840" si="5928">AL738/AL730</f>
        <v>0.73505407756890384</v>
      </c>
      <c r="AM840" s="45">
        <f t="shared" si="5928"/>
        <v>0.95485747635358553</v>
      </c>
      <c r="AN840" s="45">
        <f t="shared" si="5928"/>
        <v>0.94499653339496192</v>
      </c>
      <c r="AO840" s="45">
        <f t="shared" si="5928"/>
        <v>1.2215320910973084</v>
      </c>
      <c r="AP840" s="45">
        <f t="shared" si="5928"/>
        <v>0.38029989658738372</v>
      </c>
      <c r="AQ840" s="45">
        <f t="shared" si="5928"/>
        <v>0.55611285266457677</v>
      </c>
      <c r="AR840" s="45">
        <f t="shared" ref="AR840" si="5929">AR738/AR730</f>
        <v>2.0120101137800255</v>
      </c>
      <c r="AS840" s="45">
        <f t="shared" ref="AS840:AT840" si="5930">AS738/AS730</f>
        <v>0.71293050113425449</v>
      </c>
      <c r="AT840" s="45">
        <f t="shared" si="5930"/>
        <v>0.94633204633204626</v>
      </c>
      <c r="AU840" s="45">
        <f t="shared" ref="AU840:AV840" si="5931">AU738/AU730</f>
        <v>0.9705641864268193</v>
      </c>
      <c r="AV840" s="45">
        <f t="shared" si="5931"/>
        <v>0.83223749750946396</v>
      </c>
      <c r="AW840" s="45">
        <f t="shared" ref="AW840:AX840" si="5932">AW738/AW730</f>
        <v>0.77392567988374494</v>
      </c>
      <c r="AX840" s="45">
        <f t="shared" si="5932"/>
        <v>0.81878409976617295</v>
      </c>
      <c r="AY840" s="45">
        <f t="shared" ref="AY840:BE840" si="5933">AY738/AY730</f>
        <v>0.73535156250000022</v>
      </c>
      <c r="AZ840" s="43">
        <f t="shared" si="5933"/>
        <v>0.79908172635445351</v>
      </c>
      <c r="BA840" s="42">
        <f t="shared" si="5933"/>
        <v>0.69849118829191126</v>
      </c>
      <c r="BB840" s="42">
        <f t="shared" si="5933"/>
        <v>0.98654123681791261</v>
      </c>
      <c r="BC840" s="42">
        <f t="shared" si="5933"/>
        <v>0.91277238396050908</v>
      </c>
      <c r="BD840" s="42">
        <f t="shared" si="5933"/>
        <v>0.98849607048668808</v>
      </c>
      <c r="BE840" s="42">
        <f t="shared" si="5933"/>
        <v>0.88847386491890279</v>
      </c>
      <c r="BF840" s="42">
        <f t="shared" ref="BF840:BM840" si="5934">BF738/BF730</f>
        <v>0.95128001913882865</v>
      </c>
      <c r="BG840" s="42">
        <f t="shared" si="5934"/>
        <v>0.67963433046362953</v>
      </c>
      <c r="BH840" s="42">
        <f t="shared" si="5934"/>
        <v>0.75146518126860007</v>
      </c>
      <c r="BI840" s="42">
        <f t="shared" si="5934"/>
        <v>0.69820924831661513</v>
      </c>
      <c r="BJ840" s="42">
        <f t="shared" si="5934"/>
        <v>0.77950399693270112</v>
      </c>
      <c r="BK840" s="42">
        <f t="shared" si="5934"/>
        <v>0.71625238313622031</v>
      </c>
      <c r="BL840" s="232">
        <f t="shared" si="5934"/>
        <v>0.79169079149182398</v>
      </c>
      <c r="BM840" s="232">
        <f t="shared" si="5934"/>
        <v>0.71682555048284069</v>
      </c>
      <c r="BN840" s="232">
        <f t="shared" ref="BN840:BO840" si="5935">BN738/BN730</f>
        <v>0.78100090032690095</v>
      </c>
      <c r="BO840" s="232">
        <f t="shared" si="5935"/>
        <v>0.70910602888981511</v>
      </c>
      <c r="BP840" s="232">
        <f t="shared" ref="BP840:BQ840" si="5936">BP738/BP730</f>
        <v>0.76864868291823285</v>
      </c>
      <c r="BQ840" s="232">
        <f t="shared" si="5936"/>
        <v>0.69896274634314837</v>
      </c>
      <c r="BR840" s="42"/>
      <c r="BS840" s="232">
        <f t="shared" ref="BS840:CB840" si="5937">BS738/BS730</f>
        <v>0</v>
      </c>
      <c r="BT840" s="232">
        <f t="shared" si="5937"/>
        <v>0.52797927461139893</v>
      </c>
      <c r="BU840" s="232">
        <f t="shared" si="5937"/>
        <v>0.70865102639296174</v>
      </c>
      <c r="BV840" s="232">
        <f t="shared" si="5937"/>
        <v>0.48170128585558847</v>
      </c>
      <c r="BW840" s="232">
        <f t="shared" si="5937"/>
        <v>0.70062555853440567</v>
      </c>
      <c r="BX840" s="232">
        <f t="shared" si="5937"/>
        <v>0.78863090472377906</v>
      </c>
      <c r="BY840" s="232">
        <f t="shared" si="5937"/>
        <v>0.76715497301464919</v>
      </c>
      <c r="BZ840" s="232">
        <f t="shared" si="5937"/>
        <v>-0.36555479918311778</v>
      </c>
      <c r="CA840" s="232">
        <f t="shared" si="5937"/>
        <v>-4.5476758045292014</v>
      </c>
      <c r="CB840" s="232">
        <f t="shared" si="5937"/>
        <v>0.80071016422547714</v>
      </c>
      <c r="CC840" s="42">
        <f t="shared" ref="CC840:CO840" si="5938">CC738/CC730</f>
        <v>0.7215241183623835</v>
      </c>
      <c r="CD840" s="42">
        <f t="shared" si="5938"/>
        <v>1.3182355257975582</v>
      </c>
      <c r="CE840" s="42">
        <f t="shared" si="5938"/>
        <v>0.5948342328450269</v>
      </c>
      <c r="CF840" s="42">
        <f t="shared" si="5938"/>
        <v>0.63969056828324899</v>
      </c>
      <c r="CG840" s="42">
        <f t="shared" si="5938"/>
        <v>0.71527263755243031</v>
      </c>
      <c r="CH840" s="42">
        <f t="shared" si="5938"/>
        <v>0.55925760286225401</v>
      </c>
      <c r="CI840" s="42">
        <f t="shared" si="5938"/>
        <v>0.48345784418356463</v>
      </c>
      <c r="CJ840" s="42">
        <f t="shared" si="5938"/>
        <v>-0.59256645495177607</v>
      </c>
      <c r="CK840" s="42">
        <f t="shared" si="5938"/>
        <v>0.49785265939874462</v>
      </c>
      <c r="CL840" s="42">
        <f t="shared" si="5938"/>
        <v>0.65626380097158843</v>
      </c>
      <c r="CM840" s="45">
        <f t="shared" si="5938"/>
        <v>0.55692264177626927</v>
      </c>
      <c r="CN840" s="45">
        <f t="shared" si="5938"/>
        <v>0.22150259067357511</v>
      </c>
      <c r="CO840" s="45">
        <f t="shared" si="5938"/>
        <v>0.63312101910828034</v>
      </c>
      <c r="CP840" s="45">
        <f t="shared" ref="CP840:CX840" si="5939">CP738/CP730</f>
        <v>0.679471656576775</v>
      </c>
      <c r="CQ840" s="45">
        <f t="shared" si="5939"/>
        <v>8.1213411389036719E-2</v>
      </c>
      <c r="CR840" s="45">
        <f t="shared" si="5939"/>
        <v>0.63117555670636971</v>
      </c>
      <c r="CS840" s="45">
        <f t="shared" si="5939"/>
        <v>0.60336511497476153</v>
      </c>
      <c r="CT840" s="45">
        <f t="shared" si="5939"/>
        <v>0.83420508453959374</v>
      </c>
      <c r="CU840" s="45">
        <f t="shared" si="5939"/>
        <v>1.0559169550173009</v>
      </c>
      <c r="CV840" s="45">
        <f t="shared" si="5939"/>
        <v>0.47752224661966952</v>
      </c>
      <c r="CW840" s="45">
        <f t="shared" si="5939"/>
        <v>1.3554976550286608</v>
      </c>
      <c r="CX840" s="45">
        <f t="shared" si="5939"/>
        <v>0.95810166799046859</v>
      </c>
      <c r="CY840" s="45">
        <f t="shared" ref="CY840:DD840" si="5940">CY738/CY730</f>
        <v>0.80368035786905245</v>
      </c>
      <c r="CZ840" s="43">
        <f t="shared" si="5940"/>
        <v>0.77711666016387049</v>
      </c>
      <c r="DA840" s="42">
        <f t="shared" si="5940"/>
        <v>0.74796559083041358</v>
      </c>
      <c r="DB840" s="42">
        <f t="shared" si="5940"/>
        <v>0.9496945500639532</v>
      </c>
      <c r="DC840" s="42">
        <f t="shared" si="5940"/>
        <v>0.93777362354460403</v>
      </c>
      <c r="DD840" s="42">
        <f t="shared" si="5940"/>
        <v>0.81421787514827604</v>
      </c>
      <c r="DE840" s="42">
        <f>DE738/DE730</f>
        <v>0.72479325503409309</v>
      </c>
      <c r="DF840" s="42">
        <f>DF738/DF730</f>
        <v>0.74814949285136656</v>
      </c>
      <c r="DG840" s="232">
        <f>DG738/DG730</f>
        <v>0.75427211583543685</v>
      </c>
      <c r="DH840" s="232">
        <f>DH738/DH730</f>
        <v>0.74508705446903967</v>
      </c>
      <c r="DI840" s="232">
        <f>DI738/DI730</f>
        <v>0.73383730422049109</v>
      </c>
    </row>
    <row r="841" spans="1:113" outlineLevel="1">
      <c r="A841" s="1" t="s">
        <v>1013</v>
      </c>
      <c r="B841" s="19" t="s">
        <v>545</v>
      </c>
      <c r="C841" s="232" t="e">
        <f t="shared" ref="C841:L841" si="5941">C838*(1-C785)</f>
        <v>#DIV/0!</v>
      </c>
      <c r="D841" s="232">
        <f t="shared" si="5941"/>
        <v>0.58525897563075624</v>
      </c>
      <c r="E841" s="232">
        <f t="shared" si="5941"/>
        <v>0.63104180357279149</v>
      </c>
      <c r="F841" s="232">
        <f t="shared" si="5941"/>
        <v>0.59991206086431736</v>
      </c>
      <c r="G841" s="232">
        <f t="shared" si="5941"/>
        <v>0.63648882477063562</v>
      </c>
      <c r="H841" s="232">
        <f t="shared" si="5941"/>
        <v>0.691162764746308</v>
      </c>
      <c r="I841" s="232">
        <f t="shared" si="5941"/>
        <v>0.76246469270187667</v>
      </c>
      <c r="J841" s="232">
        <f t="shared" si="5941"/>
        <v>0.4501156509068745</v>
      </c>
      <c r="K841" s="232">
        <f t="shared" si="5941"/>
        <v>0.57670096097404699</v>
      </c>
      <c r="L841" s="232">
        <f t="shared" si="5941"/>
        <v>0.3760893806671457</v>
      </c>
      <c r="M841" s="42">
        <f t="shared" ref="M841:AG841" si="5942">M838*(1-M785)</f>
        <v>0.60090417456428513</v>
      </c>
      <c r="N841" s="42">
        <f t="shared" si="5942"/>
        <v>0.39771652340499136</v>
      </c>
      <c r="O841" s="42">
        <f t="shared" si="5942"/>
        <v>0.60418705352050472</v>
      </c>
      <c r="P841" s="42">
        <f t="shared" si="5942"/>
        <v>0.44038680628251575</v>
      </c>
      <c r="Q841" s="42">
        <f t="shared" si="5942"/>
        <v>0.62083017878353619</v>
      </c>
      <c r="R841" s="42">
        <f t="shared" si="5942"/>
        <v>0.68165893825282531</v>
      </c>
      <c r="S841" s="42">
        <f t="shared" si="5942"/>
        <v>0.55707217528481745</v>
      </c>
      <c r="T841" s="45">
        <f t="shared" si="5942"/>
        <v>0.46501522237387577</v>
      </c>
      <c r="U841" s="42">
        <f t="shared" si="5942"/>
        <v>0.62018429300567635</v>
      </c>
      <c r="V841" s="42">
        <f t="shared" si="5942"/>
        <v>0.45776774032803036</v>
      </c>
      <c r="W841" s="42">
        <f t="shared" si="5942"/>
        <v>0.61897218734860526</v>
      </c>
      <c r="X841" s="42">
        <f t="shared" si="5942"/>
        <v>0.45134649145193462</v>
      </c>
      <c r="Y841" s="45">
        <f t="shared" si="5942"/>
        <v>0.68089119023654843</v>
      </c>
      <c r="Z841" s="45">
        <f t="shared" si="5942"/>
        <v>0.54162650307862281</v>
      </c>
      <c r="AA841" s="45">
        <f t="shared" si="5942"/>
        <v>0.61700221046970016</v>
      </c>
      <c r="AB841" s="45">
        <f t="shared" si="5942"/>
        <v>0.53389143575976605</v>
      </c>
      <c r="AC841" s="45">
        <f>AC838*(1-AC785)</f>
        <v>0.61838863057867721</v>
      </c>
      <c r="AD841" s="45">
        <f>AD838*(1-AD785)</f>
        <v>0.54110707878599951</v>
      </c>
      <c r="AE841" s="45">
        <f>AE838*(1-AE785)</f>
        <v>0.63231936959448498</v>
      </c>
      <c r="AF841" s="45">
        <f>AF838*(1-AF785)</f>
        <v>0.55468128421264951</v>
      </c>
      <c r="AG841" s="45">
        <f t="shared" si="5942"/>
        <v>0.67206709396358111</v>
      </c>
      <c r="AH841" s="45">
        <f t="shared" ref="AH841:AM841" si="5943">AH838*(1-AH785)</f>
        <v>0.57816838035880846</v>
      </c>
      <c r="AI841" s="45">
        <f t="shared" si="5943"/>
        <v>0.6735629391654715</v>
      </c>
      <c r="AJ841" s="45">
        <f t="shared" si="5943"/>
        <v>0.63525672177860959</v>
      </c>
      <c r="AK841" s="45">
        <f t="shared" si="5943"/>
        <v>0.80076166498106938</v>
      </c>
      <c r="AL841" s="45">
        <f t="shared" si="5943"/>
        <v>0.66573996000474356</v>
      </c>
      <c r="AM841" s="45">
        <f t="shared" si="5943"/>
        <v>0.970244303843252</v>
      </c>
      <c r="AN841" s="45">
        <f t="shared" ref="AN841:AS841" si="5944">AN838*(1-AN785)</f>
        <v>0.70775677678289017</v>
      </c>
      <c r="AO841" s="45">
        <f t="shared" si="5944"/>
        <v>0.54506950424137468</v>
      </c>
      <c r="AP841" s="45">
        <f t="shared" si="5944"/>
        <v>0.60887263599026942</v>
      </c>
      <c r="AQ841" s="45">
        <f t="shared" si="5944"/>
        <v>0.64039690112213299</v>
      </c>
      <c r="AR841" s="45">
        <f t="shared" si="5944"/>
        <v>0.55672491104055011</v>
      </c>
      <c r="AS841" s="45">
        <f t="shared" si="5944"/>
        <v>0.63225307238988693</v>
      </c>
      <c r="AT841" s="45">
        <f t="shared" ref="AT841:AU841" si="5945">AT838*(1-AT785)</f>
        <v>0.58179271551624256</v>
      </c>
      <c r="AU841" s="45">
        <f t="shared" si="5945"/>
        <v>0.70400532648808312</v>
      </c>
      <c r="AV841" s="45">
        <f t="shared" ref="AV841:AW841" si="5946">AV838*(1-AV785)</f>
        <v>0.60985576643817707</v>
      </c>
      <c r="AW841" s="45">
        <f t="shared" si="5946"/>
        <v>0.74365371121875512</v>
      </c>
      <c r="AX841" s="45">
        <f t="shared" ref="AX841" si="5947">AX838*(1-AX785)</f>
        <v>0.6244309940759557</v>
      </c>
      <c r="AY841" s="45">
        <f t="shared" ref="AY841:BE841" si="5948">AY838*(1-AY785)</f>
        <v>0.72653787630175315</v>
      </c>
      <c r="AZ841" s="43">
        <f t="shared" si="5948"/>
        <v>0.61201968592387701</v>
      </c>
      <c r="BA841" s="42">
        <f t="shared" si="5948"/>
        <v>0.66012355349926977</v>
      </c>
      <c r="BB841" s="42">
        <f t="shared" si="5948"/>
        <v>0.58364415226167621</v>
      </c>
      <c r="BC841" s="42">
        <f t="shared" si="5948"/>
        <v>0.65353212557506557</v>
      </c>
      <c r="BD841" s="42">
        <f t="shared" si="5948"/>
        <v>0.58687497130262423</v>
      </c>
      <c r="BE841" s="42">
        <f t="shared" si="5948"/>
        <v>0.64477096125771882</v>
      </c>
      <c r="BF841" s="42">
        <f t="shared" ref="BF841:BM841" si="5949">BF838*(1-BF785)</f>
        <v>0.57592880584132811</v>
      </c>
      <c r="BG841" s="42">
        <f t="shared" si="5949"/>
        <v>0.63772723244938023</v>
      </c>
      <c r="BH841" s="42">
        <f t="shared" si="5949"/>
        <v>0.58094810681171127</v>
      </c>
      <c r="BI841" s="42">
        <f t="shared" si="5949"/>
        <v>0.65302440506542792</v>
      </c>
      <c r="BJ841" s="42">
        <f t="shared" si="5949"/>
        <v>0.58738415165171276</v>
      </c>
      <c r="BK841" s="42">
        <f t="shared" si="5949"/>
        <v>0.67497812137919178</v>
      </c>
      <c r="BL841" s="232">
        <f t="shared" si="5949"/>
        <v>0.60183828195135847</v>
      </c>
      <c r="BM841" s="232">
        <f t="shared" si="5949"/>
        <v>0.67744969737920169</v>
      </c>
      <c r="BN841" s="232">
        <f t="shared" ref="BN841:BO841" si="5950">BN838*(1-BN785)</f>
        <v>0.5961229357771517</v>
      </c>
      <c r="BO841" s="232">
        <f t="shared" si="5950"/>
        <v>0.67000399435035318</v>
      </c>
      <c r="BP841" s="232">
        <f t="shared" ref="BP841:BQ841" si="5951">BP838*(1-BP785)</f>
        <v>0.58861670966911672</v>
      </c>
      <c r="BQ841" s="232">
        <f t="shared" si="5951"/>
        <v>0.66039318719412177</v>
      </c>
      <c r="BR841" s="42"/>
      <c r="BS841" s="232">
        <f t="shared" ref="BS841:CB841" si="5952">BS838*(1-BS785)</f>
        <v>0.71693183746796851</v>
      </c>
      <c r="BT841" s="232">
        <f t="shared" si="5952"/>
        <v>0.55863578550845272</v>
      </c>
      <c r="BU841" s="232">
        <f t="shared" si="5952"/>
        <v>0.69359261411000661</v>
      </c>
      <c r="BV841" s="232">
        <f t="shared" si="5952"/>
        <v>0.62560597640574422</v>
      </c>
      <c r="BW841" s="232">
        <f t="shared" si="5952"/>
        <v>0.64898125909512261</v>
      </c>
      <c r="BX841" s="232">
        <f t="shared" si="5952"/>
        <v>0.60371085787695866</v>
      </c>
      <c r="BY841" s="232">
        <f t="shared" si="5952"/>
        <v>0.6049451138607469</v>
      </c>
      <c r="BZ841" s="232">
        <f t="shared" si="5952"/>
        <v>0.56312817675342508</v>
      </c>
      <c r="CA841" s="232">
        <f t="shared" si="5952"/>
        <v>0.40846167418531615</v>
      </c>
      <c r="CB841" s="232">
        <f t="shared" si="5952"/>
        <v>0.60241715740774648</v>
      </c>
      <c r="CC841" s="42">
        <f t="shared" ref="CC841:CR841" si="5953">CC838*(1-CC785)</f>
        <v>0.60973745089306308</v>
      </c>
      <c r="CD841" s="42">
        <f t="shared" si="5953"/>
        <v>0.6197373116889201</v>
      </c>
      <c r="CE841" s="42">
        <f t="shared" si="5953"/>
        <v>0.73077885090323536</v>
      </c>
      <c r="CF841" s="42">
        <f t="shared" si="5953"/>
        <v>0.52828832159050576</v>
      </c>
      <c r="CG841" s="42">
        <f t="shared" si="5953"/>
        <v>0.46919967672113599</v>
      </c>
      <c r="CH841" s="42">
        <f t="shared" si="5953"/>
        <v>0.50057440951792054</v>
      </c>
      <c r="CI841" s="42">
        <f t="shared" si="5953"/>
        <v>0.53070371039340092</v>
      </c>
      <c r="CJ841" s="42">
        <f t="shared" si="5953"/>
        <v>0.61062877916481084</v>
      </c>
      <c r="CK841" s="42">
        <f t="shared" si="5953"/>
        <v>0.54411315521503834</v>
      </c>
      <c r="CL841" s="42">
        <f t="shared" si="5953"/>
        <v>0.53946975090368643</v>
      </c>
      <c r="CM841" s="45">
        <f t="shared" si="5953"/>
        <v>0.56272677358238044</v>
      </c>
      <c r="CN841" s="45">
        <f t="shared" si="5953"/>
        <v>0.57772504980297357</v>
      </c>
      <c r="CO841" s="45">
        <f t="shared" si="5953"/>
        <v>0.57326182163050132</v>
      </c>
      <c r="CP841" s="45">
        <f t="shared" si="5953"/>
        <v>0.58628647685134261</v>
      </c>
      <c r="CQ841" s="45">
        <f t="shared" si="5953"/>
        <v>0.61017405767126442</v>
      </c>
      <c r="CR841" s="45">
        <f t="shared" si="5953"/>
        <v>0.6259725193554101</v>
      </c>
      <c r="CS841" s="45">
        <f t="shared" ref="CS841:DC841" si="5954">CS838*(1-CS785)</f>
        <v>0.71396124034745334</v>
      </c>
      <c r="CT841" s="45">
        <f t="shared" si="5954"/>
        <v>0.80256527269700018</v>
      </c>
      <c r="CU841" s="45">
        <f t="shared" si="5954"/>
        <v>0.64885354136397511</v>
      </c>
      <c r="CV841" s="45">
        <f t="shared" si="5954"/>
        <v>0.6273806642431623</v>
      </c>
      <c r="CW841" s="45">
        <f t="shared" si="5954"/>
        <v>0.5961094849703279</v>
      </c>
      <c r="CX841" s="45">
        <f t="shared" si="5954"/>
        <v>0.64109168702324393</v>
      </c>
      <c r="CY841" s="45">
        <f t="shared" si="5954"/>
        <v>0.67488449218254776</v>
      </c>
      <c r="CZ841" s="43">
        <f t="shared" si="5954"/>
        <v>0.67536388196740782</v>
      </c>
      <c r="DA841" s="42">
        <f t="shared" si="5954"/>
        <v>0.63555023133259547</v>
      </c>
      <c r="DB841" s="42">
        <f t="shared" si="5954"/>
        <v>0.61866955490318787</v>
      </c>
      <c r="DC841" s="42">
        <f t="shared" si="5954"/>
        <v>0.61646002148092682</v>
      </c>
      <c r="DD841" s="42">
        <f t="shared" ref="DD841:DI841" si="5955">DD838*(1-DD785)</f>
        <v>0.60723726908366737</v>
      </c>
      <c r="DE841" s="42">
        <f t="shared" si="5955"/>
        <v>0.61706063981951997</v>
      </c>
      <c r="DF841" s="42">
        <f t="shared" si="5955"/>
        <v>0.6307526757234877</v>
      </c>
      <c r="DG841" s="232">
        <f t="shared" si="5955"/>
        <v>0.63961251846459988</v>
      </c>
      <c r="DH841" s="232">
        <f t="shared" si="5955"/>
        <v>0.63303057120228468</v>
      </c>
      <c r="DI841" s="232">
        <f t="shared" si="5955"/>
        <v>0.62447307581656075</v>
      </c>
    </row>
    <row r="842" spans="1:113" outlineLevel="2">
      <c r="A842" s="1" t="s">
        <v>1014</v>
      </c>
      <c r="B842" s="19" t="s">
        <v>801</v>
      </c>
      <c r="CY842" s="22"/>
    </row>
    <row r="843" spans="1:113" outlineLevel="2">
      <c r="A843" s="1" t="s">
        <v>186</v>
      </c>
      <c r="B843" s="19" t="s">
        <v>801</v>
      </c>
      <c r="CY843" s="22"/>
    </row>
    <row r="844" spans="1:113" outlineLevel="2">
      <c r="A844" s="1" t="s">
        <v>187</v>
      </c>
      <c r="B844" s="19" t="s">
        <v>801</v>
      </c>
      <c r="CY844" s="22"/>
    </row>
    <row r="845" spans="1:113" outlineLevel="2">
      <c r="A845" s="1" t="s">
        <v>188</v>
      </c>
      <c r="B845" s="19" t="s">
        <v>801</v>
      </c>
      <c r="CY845" s="22"/>
    </row>
    <row r="846" spans="1:113" outlineLevel="2">
      <c r="A846" s="1" t="s">
        <v>189</v>
      </c>
      <c r="B846" s="19" t="s">
        <v>801</v>
      </c>
      <c r="CY846" s="22"/>
    </row>
    <row r="847" spans="1:113" outlineLevel="2">
      <c r="A847" s="1" t="s">
        <v>190</v>
      </c>
      <c r="B847" s="19" t="s">
        <v>801</v>
      </c>
      <c r="CY847" s="22"/>
    </row>
    <row r="848" spans="1:113" outlineLevel="2">
      <c r="A848" s="1" t="s">
        <v>7</v>
      </c>
      <c r="B848" s="19" t="s">
        <v>801</v>
      </c>
      <c r="CY848" s="22"/>
    </row>
    <row r="849" spans="1:106" outlineLevel="2">
      <c r="A849" s="1" t="s">
        <v>8</v>
      </c>
      <c r="B849" s="19" t="s">
        <v>801</v>
      </c>
      <c r="CY849" s="22"/>
    </row>
    <row r="850" spans="1:106" outlineLevel="2">
      <c r="A850" s="1" t="s">
        <v>9</v>
      </c>
      <c r="B850" s="19" t="s">
        <v>801</v>
      </c>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c r="AA850" s="19"/>
      <c r="AB850" s="19"/>
      <c r="AC850" s="19"/>
      <c r="AD850" s="19"/>
      <c r="AE850" s="19"/>
      <c r="AF850" s="19"/>
      <c r="AG850" s="19"/>
      <c r="AH850" s="19"/>
      <c r="AI850" s="19"/>
      <c r="AJ850" s="19"/>
      <c r="AK850" s="19"/>
      <c r="AL850" s="19"/>
      <c r="AM850" s="19"/>
      <c r="AN850" s="19"/>
      <c r="AO850" s="19"/>
      <c r="AP850" s="19"/>
      <c r="AQ850" s="19"/>
      <c r="AR850" s="19"/>
      <c r="AS850" s="19"/>
      <c r="AT850" s="19"/>
      <c r="AU850" s="19"/>
      <c r="AV850" s="19"/>
      <c r="AW850" s="19"/>
      <c r="AX850" s="19"/>
      <c r="AY850" s="19"/>
      <c r="AZ850" s="390"/>
      <c r="BA850" s="19"/>
      <c r="BB850" s="19"/>
      <c r="BC850" s="19"/>
      <c r="BD850" s="19"/>
      <c r="BE850" s="19"/>
      <c r="BF850" s="19"/>
      <c r="BG850" s="19"/>
      <c r="BH850" s="19"/>
      <c r="BI850" s="19"/>
      <c r="BJ850" s="19"/>
      <c r="BK850" s="19"/>
      <c r="BL850" s="19"/>
      <c r="BM850" s="19"/>
      <c r="BN850" s="19"/>
      <c r="BO850" s="19"/>
      <c r="BP850" s="19"/>
      <c r="BQ850" s="19"/>
      <c r="BR850" s="19"/>
      <c r="BS850" s="19"/>
      <c r="BT850" s="19"/>
      <c r="BU850" s="19"/>
      <c r="BV850" s="19"/>
      <c r="BW850" s="19"/>
      <c r="BX850" s="19"/>
      <c r="BY850" s="19"/>
      <c r="BZ850" s="19"/>
      <c r="CA850" s="19"/>
      <c r="CB850" s="19"/>
      <c r="CC850" s="19"/>
      <c r="CD850" s="19"/>
      <c r="CE850" s="19"/>
      <c r="CF850" s="19"/>
      <c r="CG850" s="19"/>
      <c r="CH850" s="19"/>
      <c r="CI850" s="19"/>
      <c r="CJ850" s="19"/>
      <c r="CK850" s="19"/>
      <c r="CL850" s="19"/>
      <c r="CM850" s="19"/>
      <c r="CN850" s="19"/>
      <c r="CO850" s="19"/>
      <c r="CP850" s="19"/>
      <c r="CQ850" s="19"/>
      <c r="CR850" s="19"/>
      <c r="CS850" s="19"/>
      <c r="CT850" s="19"/>
      <c r="CU850" s="19"/>
      <c r="CV850" s="19"/>
      <c r="CW850" s="19"/>
      <c r="CX850" s="19"/>
      <c r="CY850" s="390"/>
      <c r="CZ850" s="19"/>
      <c r="DA850" s="19"/>
      <c r="DB850" s="19"/>
    </row>
    <row r="851" spans="1:106" outlineLevel="2">
      <c r="A851" s="1" t="s">
        <v>10</v>
      </c>
      <c r="B851" s="19" t="s">
        <v>801</v>
      </c>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c r="AA851" s="19"/>
      <c r="AB851" s="19"/>
      <c r="AC851" s="19"/>
      <c r="AD851" s="19"/>
      <c r="AE851" s="19"/>
      <c r="AF851" s="19"/>
      <c r="AG851" s="19"/>
      <c r="AH851" s="19"/>
      <c r="AI851" s="19"/>
      <c r="AJ851" s="19"/>
      <c r="AK851" s="19"/>
      <c r="AL851" s="19"/>
      <c r="AM851" s="19"/>
      <c r="AN851" s="19"/>
      <c r="AO851" s="19"/>
      <c r="AP851" s="19"/>
      <c r="AQ851" s="19"/>
      <c r="AR851" s="19"/>
      <c r="AS851" s="19"/>
      <c r="AT851" s="19"/>
      <c r="AU851" s="19"/>
      <c r="AV851" s="19"/>
      <c r="AW851" s="19"/>
      <c r="AX851" s="19"/>
      <c r="AY851" s="19"/>
      <c r="AZ851" s="390"/>
      <c r="BA851" s="19"/>
      <c r="BB851" s="19"/>
      <c r="BC851" s="19"/>
      <c r="BD851" s="19"/>
      <c r="BE851" s="19"/>
      <c r="BF851" s="19"/>
      <c r="BG851" s="19"/>
      <c r="BH851" s="19"/>
      <c r="BI851" s="19"/>
      <c r="BJ851" s="19"/>
      <c r="BK851" s="19"/>
      <c r="BL851" s="19"/>
      <c r="BM851" s="19"/>
      <c r="BN851" s="19"/>
      <c r="BO851" s="19"/>
      <c r="BP851" s="19"/>
      <c r="BQ851" s="19"/>
      <c r="BR851" s="19"/>
      <c r="BS851" s="19"/>
      <c r="BT851" s="19"/>
      <c r="BU851" s="19"/>
      <c r="BV851" s="19"/>
      <c r="BW851" s="19"/>
      <c r="BX851" s="19"/>
      <c r="BY851" s="19"/>
      <c r="BZ851" s="19"/>
      <c r="CA851" s="19"/>
      <c r="CB851" s="19"/>
      <c r="CC851" s="19"/>
      <c r="CD851" s="19"/>
      <c r="CE851" s="19"/>
      <c r="CF851" s="19"/>
      <c r="CG851" s="19"/>
      <c r="CH851" s="19"/>
      <c r="CI851" s="19"/>
      <c r="CJ851" s="19"/>
      <c r="CK851" s="19"/>
      <c r="CL851" s="19"/>
      <c r="CM851" s="19"/>
      <c r="CN851" s="19"/>
      <c r="CO851" s="19"/>
      <c r="CP851" s="19"/>
      <c r="CQ851" s="19"/>
      <c r="CR851" s="19"/>
      <c r="CS851" s="19"/>
      <c r="CT851" s="19"/>
      <c r="CU851" s="19"/>
      <c r="CV851" s="19"/>
      <c r="CW851" s="19"/>
      <c r="CX851" s="19"/>
      <c r="CY851" s="390"/>
      <c r="CZ851" s="19"/>
      <c r="DA851" s="19"/>
      <c r="DB851" s="19"/>
    </row>
    <row r="852" spans="1:106" outlineLevel="1">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AA852" s="19"/>
      <c r="AB852" s="19"/>
      <c r="AC852" s="19"/>
      <c r="AD852" s="19"/>
      <c r="AE852" s="19"/>
      <c r="AF852" s="19"/>
      <c r="AG852" s="641"/>
      <c r="AH852" s="641"/>
      <c r="AI852" s="19"/>
      <c r="AJ852" s="19"/>
      <c r="AK852" s="19"/>
      <c r="AL852" s="19"/>
      <c r="AM852" s="19"/>
      <c r="AN852" s="19"/>
      <c r="AO852" s="19"/>
      <c r="AP852" s="19"/>
      <c r="AQ852" s="19"/>
      <c r="AR852" s="19"/>
      <c r="AS852" s="19"/>
      <c r="AT852" s="19"/>
      <c r="AU852" s="19"/>
      <c r="AV852" s="19"/>
      <c r="AW852" s="19"/>
      <c r="AX852" s="19"/>
      <c r="AY852" s="19"/>
      <c r="AZ852" s="390"/>
      <c r="BA852" s="19"/>
      <c r="BB852" s="19"/>
      <c r="BC852" s="19"/>
      <c r="BD852" s="19"/>
      <c r="BE852" s="19"/>
      <c r="BF852" s="19"/>
      <c r="BG852" s="19"/>
      <c r="BH852" s="19"/>
      <c r="BI852" s="19"/>
      <c r="BJ852" s="19"/>
      <c r="BK852" s="19"/>
      <c r="BL852" s="19"/>
      <c r="BM852" s="19"/>
      <c r="BN852" s="19"/>
      <c r="BO852" s="19"/>
      <c r="BP852" s="19"/>
      <c r="BQ852" s="19"/>
      <c r="BR852" s="19"/>
      <c r="BS852" s="19"/>
      <c r="BT852" s="19"/>
      <c r="BU852" s="19"/>
      <c r="BV852" s="19"/>
      <c r="BW852" s="19"/>
      <c r="BX852" s="19"/>
      <c r="BY852" s="19"/>
      <c r="BZ852" s="19"/>
      <c r="CA852" s="19"/>
      <c r="CB852" s="19"/>
      <c r="CC852" s="19"/>
      <c r="CD852" s="19"/>
      <c r="CE852" s="19"/>
      <c r="CF852" s="19"/>
      <c r="CG852" s="19"/>
      <c r="CH852" s="19"/>
      <c r="CI852" s="19"/>
      <c r="CJ852" s="19"/>
      <c r="CK852" s="19"/>
      <c r="CL852" s="19"/>
      <c r="CN852" s="19"/>
      <c r="CO852" s="19"/>
      <c r="CP852" s="19"/>
      <c r="CQ852" s="19"/>
      <c r="CR852" s="19"/>
      <c r="CS852" s="19"/>
      <c r="CT852" s="19"/>
      <c r="CU852" s="19"/>
      <c r="CV852" s="19"/>
      <c r="CW852" s="19"/>
      <c r="CX852" s="19"/>
      <c r="CY852" s="19"/>
      <c r="CZ852" s="19"/>
      <c r="DA852" s="19"/>
      <c r="DB852" s="19"/>
    </row>
    <row r="853" spans="1:106">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AA853" s="19"/>
      <c r="AB853" s="19"/>
      <c r="AC853" s="19"/>
      <c r="AD853" s="19"/>
      <c r="AE853" s="19"/>
      <c r="AF853" s="19"/>
      <c r="AG853" s="641"/>
      <c r="AH853" s="641"/>
      <c r="AI853" s="19"/>
      <c r="AJ853" s="19"/>
      <c r="AK853" s="19"/>
      <c r="AL853" s="19"/>
      <c r="AM853" s="19"/>
      <c r="AN853" s="19"/>
      <c r="AO853" s="19"/>
      <c r="AP853" s="19"/>
      <c r="AQ853" s="19"/>
      <c r="AR853" s="19"/>
      <c r="AS853" s="19"/>
      <c r="AT853" s="19"/>
      <c r="AU853" s="19"/>
      <c r="AV853" s="19"/>
      <c r="AW853" s="19"/>
      <c r="AX853" s="19"/>
      <c r="AY853" s="19"/>
      <c r="AZ853" s="390"/>
      <c r="BA853" s="19"/>
      <c r="BB853" s="19"/>
      <c r="BC853" s="19"/>
      <c r="BD853" s="19"/>
      <c r="BE853" s="19"/>
      <c r="BF853" s="19"/>
      <c r="BG853" s="19"/>
      <c r="BH853" s="19"/>
      <c r="BI853" s="19"/>
      <c r="BJ853" s="19"/>
      <c r="BK853" s="19"/>
      <c r="BL853" s="19"/>
      <c r="BM853" s="19"/>
      <c r="BN853" s="19"/>
      <c r="BO853" s="19"/>
      <c r="BP853" s="19"/>
      <c r="BQ853" s="19"/>
      <c r="BR853" s="19"/>
      <c r="BS853" s="19"/>
      <c r="BT853" s="19"/>
      <c r="BU853" s="19"/>
      <c r="BV853" s="19"/>
      <c r="BW853" s="19"/>
      <c r="BX853" s="19"/>
      <c r="BY853" s="19"/>
      <c r="BZ853" s="19"/>
      <c r="CA853" s="19"/>
      <c r="CB853" s="19"/>
      <c r="CC853" s="19"/>
      <c r="CD853" s="19"/>
      <c r="CE853" s="19"/>
      <c r="CF853" s="19"/>
      <c r="CG853" s="19"/>
      <c r="CH853" s="19"/>
      <c r="CI853" s="19"/>
      <c r="CJ853" s="19"/>
      <c r="CK853" s="19"/>
      <c r="CL853" s="19"/>
      <c r="CN853" s="19"/>
      <c r="CO853" s="19"/>
      <c r="CP853" s="19"/>
      <c r="CQ853" s="19"/>
      <c r="CR853" s="19"/>
      <c r="CS853" s="19"/>
      <c r="CT853" s="19"/>
      <c r="CU853" s="19"/>
      <c r="CV853" s="19"/>
      <c r="CW853" s="19"/>
      <c r="CX853" s="19"/>
      <c r="CY853" s="19"/>
      <c r="CZ853" s="19"/>
      <c r="DA853" s="19"/>
      <c r="DB853" s="19"/>
    </row>
  </sheetData>
  <phoneticPr fontId="13" type="noConversion"/>
  <pageMargins left="0.75" right="0.75" top="1" bottom="1" header="0.5" footer="0.5"/>
  <pageSetup paperSize="9" scale="41" fitToWidth="2" fitToHeight="11" orientation="landscape" r:id="rId1"/>
  <headerFooter alignWithMargins="0"/>
  <rowBreaks count="10" manualBreakCount="10">
    <brk id="90" min="1" max="98" man="1"/>
    <brk id="153" min="1" max="98" man="1"/>
    <brk id="211" min="1" max="98" man="1"/>
    <brk id="268" min="1" max="98" man="1"/>
    <brk id="326" min="1" max="98" man="1"/>
    <brk id="392" min="1" max="98" man="1"/>
    <brk id="530" min="1" max="98" man="1"/>
    <brk id="617" min="1" max="98" man="1"/>
    <brk id="656" min="1" max="98" man="1"/>
    <brk id="726" min="1" max="98" man="1"/>
  </rowBreaks>
  <colBreaks count="1" manualBreakCount="1">
    <brk id="93" max="852" man="1"/>
  </colBreaks>
  <customProperties>
    <customPr name="Qube.Worksheet.Visibility" r:id="rId2"/>
    <customPr name="QXL_SHEET_ID" r:id="rId3"/>
    <customPr name="SHEET_UNIQUE_ID" r:id="rId4"/>
  </customProperties>
  <legacy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U84"/>
  <sheetViews>
    <sheetView workbookViewId="0"/>
  </sheetViews>
  <sheetFormatPr defaultColWidth="9" defaultRowHeight="12" outlineLevelRow="1" outlineLevelCol="1"/>
  <cols>
    <col min="1" max="1" width="3.625" style="653" customWidth="1"/>
    <col min="2" max="4" width="3.625" style="653" hidden="1" customWidth="1" outlineLevel="1"/>
    <col min="5" max="5" width="32.125" style="653" customWidth="1" collapsed="1"/>
    <col min="6" max="6" width="9.625" style="653" customWidth="1" outlineLevel="1"/>
    <col min="7" max="10" width="9.625" style="653" customWidth="1"/>
    <col min="11" max="11" width="1.5" style="653" customWidth="1"/>
    <col min="12" max="12" width="32.125" style="653" customWidth="1"/>
    <col min="13" max="13" width="9.625" style="653" hidden="1" customWidth="1" outlineLevel="1"/>
    <col min="14" max="14" width="9.625" style="653" customWidth="1" collapsed="1"/>
    <col min="15" max="17" width="9.625" style="653" customWidth="1"/>
    <col min="18" max="19" width="3.5" style="202" hidden="1" customWidth="1" outlineLevel="1"/>
    <col min="20" max="20" width="3.5" style="653" hidden="1" customWidth="1" outlineLevel="1"/>
    <col min="21" max="21" width="3.5" style="653" customWidth="1" collapsed="1"/>
    <col min="22" max="16384" width="9" style="653"/>
  </cols>
  <sheetData>
    <row r="1" spans="4:19" outlineLevel="1">
      <c r="F1" s="654" t="e">
        <f>DATE(MID(F2,3,2)+2000,6,30)</f>
        <v>#REF!</v>
      </c>
      <c r="G1" s="654" t="e">
        <f>EOMONTH(F1,12)</f>
        <v>#REF!</v>
      </c>
      <c r="H1" s="654" t="e">
        <f>EOMONTH(G1,12)</f>
        <v>#REF!</v>
      </c>
      <c r="I1" s="654" t="e">
        <f>EOMONTH(H1,12)</f>
        <v>#REF!</v>
      </c>
      <c r="J1" s="654" t="e">
        <f>EOMONTH(I1,12)</f>
        <v>#REF!</v>
      </c>
    </row>
    <row r="2" spans="4:19" outlineLevel="1">
      <c r="F2" s="655" t="e">
        <f>"FY"&amp;MID(G2,3,2)-1&amp;"A"</f>
        <v>#REF!</v>
      </c>
      <c r="G2" s="655" t="e">
        <f>"FY"&amp;MID(H2,3,2)-1&amp;"A"</f>
        <v>#REF!</v>
      </c>
      <c r="H2" s="655" t="e">
        <f>Summary!#REF!</f>
        <v>#REF!</v>
      </c>
      <c r="I2" s="655" t="e">
        <f>"FY"&amp;MID(H2,3,2)+1&amp;"E"</f>
        <v>#REF!</v>
      </c>
      <c r="J2" s="655" t="e">
        <f>"FY"&amp;MID(I2,3,2)+1&amp;"E"</f>
        <v>#REF!</v>
      </c>
    </row>
    <row r="4" spans="4:19">
      <c r="E4" s="656"/>
    </row>
    <row r="5" spans="4:19">
      <c r="E5" s="701" t="s">
        <v>2099</v>
      </c>
      <c r="F5" s="702"/>
      <c r="G5" s="703"/>
      <c r="H5" s="703"/>
      <c r="I5" s="703"/>
      <c r="J5" s="703"/>
      <c r="L5" s="701" t="s">
        <v>2110</v>
      </c>
      <c r="M5" s="702" t="e">
        <f>TEXT(F$1,"mm/yy")</f>
        <v>#REF!</v>
      </c>
      <c r="N5" s="703" t="e">
        <f>TEXT(G$1,"mm/yy")</f>
        <v>#REF!</v>
      </c>
      <c r="O5" s="703" t="e">
        <f>TEXT(H$1,"mm/yy")&amp;"E"</f>
        <v>#REF!</v>
      </c>
      <c r="P5" s="703" t="e">
        <f>TEXT(I$1,"mm/yy")&amp;"E"</f>
        <v>#REF!</v>
      </c>
      <c r="Q5" s="703" t="e">
        <f>TEXT(J$1,"mm/yy")&amp;"E"</f>
        <v>#REF!</v>
      </c>
    </row>
    <row r="6" spans="4:19">
      <c r="E6" s="653" t="s">
        <v>298</v>
      </c>
      <c r="G6" s="657" t="str">
        <f>Summary!C2</f>
        <v>CBA</v>
      </c>
      <c r="H6" s="653" t="s">
        <v>2111</v>
      </c>
      <c r="J6" s="658" t="e">
        <f>IF(INDEX(#REF!,MATCH("Australia/NZ Investment List",#REF!,0))="","Neutral",IF(INDEX(#REF!,MATCH("Australia/NZ Conviction List",#REF!,0))="",INDEX(#REF!,MATCH("Australia/NZ Investment List",#REF!,0)),"CL-"&amp;INDEX(#REF!,MATCH("Australia/NZ Conviction List",#REF!,0))))&amp;"  "</f>
        <v>#REF!</v>
      </c>
      <c r="L6" s="656" t="s">
        <v>470</v>
      </c>
      <c r="M6" s="659" t="e">
        <f>VLOOKUP($R6,Model!$1:$1048576,MATCH(FinSum!F$2,Model!$1:$1,0),FALSE)</f>
        <v>#REF!</v>
      </c>
      <c r="N6" s="659" t="e">
        <f>VLOOKUP($R6,Model!$1:$1048576,MATCH(FinSum!G$2,Model!$1:$1,0),FALSE)</f>
        <v>#REF!</v>
      </c>
      <c r="O6" s="659" t="e">
        <f>VLOOKUP($R6,Model!$1:$1048576,MATCH(FinSum!H$2,Model!$1:$1,0),FALSE)</f>
        <v>#REF!</v>
      </c>
      <c r="P6" s="659" t="e">
        <f>VLOOKUP($R6,Model!$1:$1048576,MATCH(FinSum!I$2,Model!$1:$1,0),FALSE)</f>
        <v>#REF!</v>
      </c>
      <c r="Q6" s="659" t="e">
        <f>VLOOKUP($R6,Model!$1:$1048576,MATCH(FinSum!J$2,Model!$1:$1,0),FALSE)</f>
        <v>#REF!</v>
      </c>
      <c r="R6" s="202" t="s">
        <v>1059</v>
      </c>
    </row>
    <row r="7" spans="4:19">
      <c r="E7" s="653" t="s">
        <v>300</v>
      </c>
      <c r="G7" s="657" t="str">
        <f>$G$6&amp;" AU"</f>
        <v>CBA AU</v>
      </c>
      <c r="H7" s="653" t="s">
        <v>2112</v>
      </c>
      <c r="J7" s="660" t="str">
        <f>Summary!G3&amp;"  "</f>
        <v xml:space="preserve">FY34E  </v>
      </c>
      <c r="L7" s="653" t="s">
        <v>1094</v>
      </c>
      <c r="M7" s="661" t="e">
        <f>VLOOKUP($R7,Model!$1:$1048576,MATCH(FinSum!F$2,Model!$1:$1,0),FALSE)</f>
        <v>#REF!</v>
      </c>
      <c r="N7" s="661" t="e">
        <f>VLOOKUP($R7,Model!$1:$1048576,MATCH(FinSum!G$2,Model!$1:$1,0),FALSE)</f>
        <v>#REF!</v>
      </c>
      <c r="O7" s="661" t="e">
        <f>VLOOKUP($R7,Model!$1:$1048576,MATCH(FinSum!H$2,Model!$1:$1,0),FALSE)</f>
        <v>#REF!</v>
      </c>
      <c r="P7" s="661" t="e">
        <f>VLOOKUP($R7,Model!$1:$1048576,MATCH(FinSum!I$2,Model!$1:$1,0),FALSE)</f>
        <v>#REF!</v>
      </c>
      <c r="Q7" s="661" t="e">
        <f>VLOOKUP($R7,Model!$1:$1048576,MATCH(FinSum!J$2,Model!$1:$1,0),FALSE)</f>
        <v>#REF!</v>
      </c>
      <c r="R7" s="202" t="s">
        <v>924</v>
      </c>
    </row>
    <row r="8" spans="4:19">
      <c r="E8" s="653" t="s">
        <v>206</v>
      </c>
      <c r="G8" s="657" t="str">
        <f>$G$6&amp;".AX"</f>
        <v>CBA.AX</v>
      </c>
      <c r="H8" s="653" t="s">
        <v>2113</v>
      </c>
      <c r="J8" s="658">
        <f>Summary!G2</f>
        <v>46265</v>
      </c>
      <c r="L8" s="662" t="s">
        <v>482</v>
      </c>
      <c r="M8" s="663" t="e">
        <f>VLOOKUP($R8,Model!$1:$1048576,MATCH(FinSum!F$2,Model!$1:$1,0),FALSE)</f>
        <v>#REF!</v>
      </c>
      <c r="N8" s="663" t="e">
        <f>VLOOKUP($R8,Model!$1:$1048576,MATCH(FinSum!G$2,Model!$1:$1,0),FALSE)</f>
        <v>#REF!</v>
      </c>
      <c r="O8" s="663" t="e">
        <f>VLOOKUP($R8,Model!$1:$1048576,MATCH(FinSum!H$2,Model!$1:$1,0),FALSE)</f>
        <v>#REF!</v>
      </c>
      <c r="P8" s="663" t="e">
        <f>VLOOKUP($R8,Model!$1:$1048576,MATCH(FinSum!I$2,Model!$1:$1,0),FALSE)</f>
        <v>#REF!</v>
      </c>
      <c r="Q8" s="663" t="e">
        <f>VLOOKUP($R8,Model!$1:$1048576,MATCH(FinSum!J$2,Model!$1:$1,0),FALSE)</f>
        <v>#REF!</v>
      </c>
      <c r="R8" s="202" t="s">
        <v>241</v>
      </c>
    </row>
    <row r="9" spans="4:19">
      <c r="E9" s="653" t="s">
        <v>2114</v>
      </c>
      <c r="G9" s="664">
        <f>Summary!C5</f>
        <v>169.56</v>
      </c>
      <c r="H9" s="653" t="s">
        <v>856</v>
      </c>
      <c r="J9" s="665">
        <f ca="1">Summary!G9</f>
        <v>137.85257124487669</v>
      </c>
      <c r="L9" s="653" t="s">
        <v>533</v>
      </c>
      <c r="M9" s="666" t="e">
        <f>VLOOKUP($R9,Model!$1:$1048576,MATCH(FinSum!F$2,Model!$1:$1,0),FALSE)</f>
        <v>#REF!</v>
      </c>
      <c r="N9" s="666" t="e">
        <f>VLOOKUP($R9,Model!$1:$1048576,MATCH(FinSum!G$2,Model!$1:$1,0),FALSE)</f>
        <v>#REF!</v>
      </c>
      <c r="O9" s="666" t="e">
        <f>VLOOKUP($R9,Model!$1:$1048576,MATCH(FinSum!H$2,Model!$1:$1,0),FALSE)</f>
        <v>#REF!</v>
      </c>
      <c r="P9" s="666" t="e">
        <f>VLOOKUP($R9,Model!$1:$1048576,MATCH(FinSum!I$2,Model!$1:$1,0),FALSE)</f>
        <v>#REF!</v>
      </c>
      <c r="Q9" s="666" t="e">
        <f>VLOOKUP($R9,Model!$1:$1048576,MATCH(FinSum!J$2,Model!$1:$1,0),FALSE)</f>
        <v>#REF!</v>
      </c>
      <c r="R9" s="202" t="s">
        <v>994</v>
      </c>
    </row>
    <row r="10" spans="4:19">
      <c r="E10" s="653" t="s">
        <v>2115</v>
      </c>
      <c r="G10" s="667">
        <f>Summary!C6</f>
        <v>283752.21672000003</v>
      </c>
      <c r="H10" s="653" t="s">
        <v>2116</v>
      </c>
      <c r="J10" s="665">
        <f>Summary!G10</f>
        <v>137.85257124487669</v>
      </c>
      <c r="L10" s="653" t="s">
        <v>534</v>
      </c>
      <c r="M10" s="666" t="e">
        <f>VLOOKUP($R10,Model!$1:$1048576,MATCH(FinSum!F$2,Model!$1:$1,0),FALSE)</f>
        <v>#REF!</v>
      </c>
      <c r="N10" s="666" t="e">
        <f>VLOOKUP($R10,Model!$1:$1048576,MATCH(FinSum!G$2,Model!$1:$1,0),FALSE)</f>
        <v>#REF!</v>
      </c>
      <c r="O10" s="666" t="e">
        <f>VLOOKUP($R10,Model!$1:$1048576,MATCH(FinSum!H$2,Model!$1:$1,0),FALSE)</f>
        <v>#REF!</v>
      </c>
      <c r="P10" s="666" t="e">
        <f>VLOOKUP($R10,Model!$1:$1048576,MATCH(FinSum!I$2,Model!$1:$1,0),FALSE)</f>
        <v>#REF!</v>
      </c>
      <c r="Q10" s="666" t="e">
        <f>VLOOKUP($R10,Model!$1:$1048576,MATCH(FinSum!J$2,Model!$1:$1,0),FALSE)</f>
        <v>#REF!</v>
      </c>
      <c r="R10" s="202" t="s">
        <v>995</v>
      </c>
    </row>
    <row r="11" spans="4:19">
      <c r="E11" s="653" t="s">
        <v>2117</v>
      </c>
      <c r="G11" s="667">
        <f>G10/G9</f>
        <v>1673.4620000000002</v>
      </c>
      <c r="H11" s="653" t="s">
        <v>2118</v>
      </c>
      <c r="J11" s="668">
        <f>J10/G9-1</f>
        <v>-0.1869982823491585</v>
      </c>
      <c r="L11" s="653" t="s">
        <v>535</v>
      </c>
      <c r="M11" s="666" t="e">
        <f>VLOOKUP($R11,Model!$1:$1048576,MATCH(FinSum!F$2,Model!$1:$1,0),FALSE)</f>
        <v>#REF!</v>
      </c>
      <c r="N11" s="666" t="e">
        <f>VLOOKUP($R11,Model!$1:$1048576,MATCH(FinSum!G$2,Model!$1:$1,0),FALSE)</f>
        <v>#REF!</v>
      </c>
      <c r="O11" s="666" t="e">
        <f>VLOOKUP($R11,Model!$1:$1048576,MATCH(FinSum!H$2,Model!$1:$1,0),FALSE)</f>
        <v>#REF!</v>
      </c>
      <c r="P11" s="666" t="e">
        <f>VLOOKUP($R11,Model!$1:$1048576,MATCH(FinSum!I$2,Model!$1:$1,0),FALSE)</f>
        <v>#REF!</v>
      </c>
      <c r="Q11" s="666" t="e">
        <f>VLOOKUP($R11,Model!$1:$1048576,MATCH(FinSum!J$2,Model!$1:$1,0),FALSE)</f>
        <v>#REF!</v>
      </c>
      <c r="R11" s="202" t="s">
        <v>996</v>
      </c>
    </row>
    <row r="12" spans="4:19">
      <c r="E12" s="653" t="s">
        <v>2119</v>
      </c>
      <c r="G12" s="657" t="s">
        <v>2200</v>
      </c>
      <c r="H12" s="653" t="s">
        <v>2120</v>
      </c>
      <c r="J12" s="669">
        <f ca="1">$J$10/Summary!$E$122</f>
        <v>19.870509963913292</v>
      </c>
      <c r="L12" s="653" t="s">
        <v>432</v>
      </c>
      <c r="M12" s="666" t="e">
        <f>VLOOKUP($R12,Model!$1:$1048576,MATCH(FinSum!F$2,Model!$1:$1,0),FALSE)</f>
        <v>#REF!</v>
      </c>
      <c r="N12" s="666" t="e">
        <f>VLOOKUP($R12,Model!$1:$1048576,MATCH(FinSum!G$2,Model!$1:$1,0),FALSE)</f>
        <v>#REF!</v>
      </c>
      <c r="O12" s="666" t="e">
        <f>VLOOKUP($R12,Model!$1:$1048576,MATCH(FinSum!H$2,Model!$1:$1,0),FALSE)</f>
        <v>#REF!</v>
      </c>
      <c r="P12" s="666" t="e">
        <f>VLOOKUP($R12,Model!$1:$1048576,MATCH(FinSum!I$2,Model!$1:$1,0),FALSE)</f>
        <v>#REF!</v>
      </c>
      <c r="Q12" s="666" t="e">
        <f>VLOOKUP($R12,Model!$1:$1048576,MATCH(FinSum!J$2,Model!$1:$1,0),FALSE)</f>
        <v>#REF!</v>
      </c>
      <c r="R12" s="202" t="s">
        <v>997</v>
      </c>
    </row>
    <row r="13" spans="4:19">
      <c r="J13" s="655"/>
      <c r="L13" s="653" t="s">
        <v>780</v>
      </c>
      <c r="M13" s="666" t="e">
        <f>VLOOKUP($R13,Model!$1:$1048576,MATCH(FinSum!F$2,Model!$1:$1,0),FALSE)+VLOOKUP($S13,Model!$1:$1048576,MATCH(FinSum!F$2,Model!$1:$1,0),FALSE)</f>
        <v>#REF!</v>
      </c>
      <c r="N13" s="666" t="e">
        <f>VLOOKUP($R13,Model!$1:$1048576,MATCH(FinSum!G$2,Model!$1:$1,0),FALSE)+VLOOKUP($S13,Model!$1:$1048576,MATCH(FinSum!G$2,Model!$1:$1,0),FALSE)</f>
        <v>#REF!</v>
      </c>
      <c r="O13" s="666" t="e">
        <f>VLOOKUP($R13,Model!$1:$1048576,MATCH(FinSum!H$2,Model!$1:$1,0),FALSE)+VLOOKUP($S13,Model!$1:$1048576,MATCH(FinSum!H$2,Model!$1:$1,0),FALSE)</f>
        <v>#REF!</v>
      </c>
      <c r="P13" s="666" t="e">
        <f>VLOOKUP($R13,Model!$1:$1048576,MATCH(FinSum!I$2,Model!$1:$1,0),FALSE)+VLOOKUP($S13,Model!$1:$1048576,MATCH(FinSum!I$2,Model!$1:$1,0),FALSE)</f>
        <v>#REF!</v>
      </c>
      <c r="Q13" s="666" t="e">
        <f>VLOOKUP($R13,Model!$1:$1048576,MATCH(FinSum!J$2,Model!$1:$1,0),FALSE)+VLOOKUP($S13,Model!$1:$1048576,MATCH(FinSum!J$2,Model!$1:$1,0),FALSE)</f>
        <v>#REF!</v>
      </c>
      <c r="R13" s="202" t="s">
        <v>998</v>
      </c>
      <c r="S13" s="202" t="s">
        <v>804</v>
      </c>
    </row>
    <row r="14" spans="4:19">
      <c r="E14" s="701" t="s">
        <v>2121</v>
      </c>
      <c r="F14" s="702" t="e">
        <f>TEXT(F$1,"mm/yy")</f>
        <v>#REF!</v>
      </c>
      <c r="G14" s="703" t="e">
        <f>TEXT(G$1,"mm/yy")</f>
        <v>#REF!</v>
      </c>
      <c r="H14" s="703" t="e">
        <f>TEXT(H$1,"mm/yy")&amp;RIGHT(H$2,1)</f>
        <v>#REF!</v>
      </c>
      <c r="I14" s="703" t="e">
        <f>TEXT(I$1,"mm/yy")&amp;RIGHT(I$2,1)</f>
        <v>#REF!</v>
      </c>
      <c r="J14" s="703" t="e">
        <f>TEXT(J$1,"mm/yy")&amp;RIGHT(J$2,1)</f>
        <v>#REF!</v>
      </c>
      <c r="L14" s="653" t="s">
        <v>655</v>
      </c>
      <c r="M14" s="666" t="e">
        <f>VLOOKUP($R14,Model!$1:$1048576,MATCH(FinSum!F$2,Model!$1:$1,0),FALSE)-SUM(M9:M13)</f>
        <v>#REF!</v>
      </c>
      <c r="N14" s="666" t="e">
        <f>VLOOKUP($R14,Model!$1:$1048576,MATCH(FinSum!G$2,Model!$1:$1,0),FALSE)-SUM(N9:N13)</f>
        <v>#REF!</v>
      </c>
      <c r="O14" s="666" t="e">
        <f>VLOOKUP($R14,Model!$1:$1048576,MATCH(FinSum!H$2,Model!$1:$1,0),FALSE)-SUM(O9:O13)</f>
        <v>#REF!</v>
      </c>
      <c r="P14" s="666" t="e">
        <f>VLOOKUP($R14,Model!$1:$1048576,MATCH(FinSum!I$2,Model!$1:$1,0),FALSE)-SUM(P9:P13)</f>
        <v>#REF!</v>
      </c>
      <c r="Q14" s="666" t="e">
        <f>VLOOKUP($R14,Model!$1:$1048576,MATCH(FinSum!J$2,Model!$1:$1,0),FALSE)-SUM(Q9:Q13)</f>
        <v>#REF!</v>
      </c>
      <c r="R14" s="202" t="s">
        <v>993</v>
      </c>
    </row>
    <row r="15" spans="4:19">
      <c r="E15" s="653" t="s">
        <v>2122</v>
      </c>
      <c r="F15" s="666" t="e">
        <f>M17</f>
        <v>#REF!</v>
      </c>
      <c r="G15" s="666" t="e">
        <f>N17</f>
        <v>#REF!</v>
      </c>
      <c r="H15" s="666" t="e">
        <f>O17</f>
        <v>#REF!</v>
      </c>
      <c r="I15" s="666" t="e">
        <f>P17</f>
        <v>#REF!</v>
      </c>
      <c r="J15" s="666" t="e">
        <f>Q17</f>
        <v>#REF!</v>
      </c>
      <c r="L15" s="662" t="s">
        <v>2123</v>
      </c>
      <c r="M15" s="663" t="e">
        <f>VLOOKUP($R15,Model!$1:$1048576,MATCH(FinSum!F$2,Model!$1:$1,0),FALSE)</f>
        <v>#REF!</v>
      </c>
      <c r="N15" s="663" t="e">
        <f>VLOOKUP($R15,Model!$1:$1048576,MATCH(FinSum!G$2,Model!$1:$1,0),FALSE)</f>
        <v>#REF!</v>
      </c>
      <c r="O15" s="663" t="e">
        <f>VLOOKUP($R15,Model!$1:$1048576,MATCH(FinSum!H$2,Model!$1:$1,0),FALSE)</f>
        <v>#REF!</v>
      </c>
      <c r="P15" s="663" t="e">
        <f>VLOOKUP($R15,Model!$1:$1048576,MATCH(FinSum!I$2,Model!$1:$1,0),FALSE)</f>
        <v>#REF!</v>
      </c>
      <c r="Q15" s="663" t="e">
        <f>VLOOKUP($R15,Model!$1:$1048576,MATCH(FinSum!J$2,Model!$1:$1,0),FALSE)</f>
        <v>#REF!</v>
      </c>
      <c r="R15" s="202" t="s">
        <v>810</v>
      </c>
    </row>
    <row r="16" spans="4:19">
      <c r="D16" s="202" t="s">
        <v>951</v>
      </c>
      <c r="E16" s="656" t="s">
        <v>2124</v>
      </c>
      <c r="F16" s="670" t="e">
        <f>VLOOKUP($D16,Model!$1:$1048576,MATCH(FinSum!F$2,Model!$1:$1,0),FALSE)*100</f>
        <v>#REF!</v>
      </c>
      <c r="G16" s="670" t="e">
        <f>VLOOKUP($D16,Model!$1:$1048576,MATCH(FinSum!G$2,Model!$1:$1,0),FALSE)*100</f>
        <v>#REF!</v>
      </c>
      <c r="H16" s="670" t="e">
        <f>VLOOKUP($D16,Model!$1:$1048576,MATCH(FinSum!H$2,Model!$1:$1,0),FALSE)*100</f>
        <v>#REF!</v>
      </c>
      <c r="I16" s="670" t="e">
        <f>VLOOKUP($D16,Model!$1:$1048576,MATCH(FinSum!I$2,Model!$1:$1,0),FALSE)*100</f>
        <v>#REF!</v>
      </c>
      <c r="J16" s="670" t="e">
        <f>VLOOKUP($D16,Model!$1:$1048576,MATCH(FinSum!J$2,Model!$1:$1,0),FALSE)*100</f>
        <v>#REF!</v>
      </c>
      <c r="L16" s="653" t="s">
        <v>2125</v>
      </c>
      <c r="M16" s="666" t="e">
        <f>VLOOKUP($R16,Model!$1:$1048576,MATCH(FinSum!F$2,Model!$1:$1,0),FALSE)</f>
        <v>#REF!</v>
      </c>
      <c r="N16" s="666" t="e">
        <f>VLOOKUP($R16,Model!$1:$1048576,MATCH(FinSum!G$2,Model!$1:$1,0),FALSE)</f>
        <v>#REF!</v>
      </c>
      <c r="O16" s="666" t="e">
        <f>VLOOKUP($R16,Model!$1:$1048576,MATCH(FinSum!H$2,Model!$1:$1,0),FALSE)</f>
        <v>#REF!</v>
      </c>
      <c r="P16" s="666" t="e">
        <f>VLOOKUP($R16,Model!$1:$1048576,MATCH(FinSum!I$2,Model!$1:$1,0),FALSE)</f>
        <v>#REF!</v>
      </c>
      <c r="Q16" s="666" t="e">
        <f>VLOOKUP($R16,Model!$1:$1048576,MATCH(FinSum!J$2,Model!$1:$1,0),FALSE)</f>
        <v>#REF!</v>
      </c>
      <c r="R16" s="202" t="s">
        <v>668</v>
      </c>
    </row>
    <row r="17" spans="1:19">
      <c r="E17" s="671" t="s">
        <v>2126</v>
      </c>
      <c r="F17" s="672"/>
      <c r="G17" s="672" t="e">
        <f>G16/F16-1</f>
        <v>#REF!</v>
      </c>
      <c r="H17" s="672" t="e">
        <f>H16/G16-1</f>
        <v>#REF!</v>
      </c>
      <c r="I17" s="672" t="e">
        <f>I16/H16-1</f>
        <v>#REF!</v>
      </c>
      <c r="J17" s="672" t="e">
        <f>J16/I16-1</f>
        <v>#REF!</v>
      </c>
      <c r="L17" s="662" t="s">
        <v>2127</v>
      </c>
      <c r="M17" s="663" t="e">
        <f>M15+M16</f>
        <v>#REF!</v>
      </c>
      <c r="N17" s="663" t="e">
        <f>N15+N16</f>
        <v>#REF!</v>
      </c>
      <c r="O17" s="663" t="e">
        <f>O15+O16</f>
        <v>#REF!</v>
      </c>
      <c r="P17" s="663" t="e">
        <f>P15+P16</f>
        <v>#REF!</v>
      </c>
      <c r="Q17" s="663" t="e">
        <f>Q15+Q16</f>
        <v>#REF!</v>
      </c>
      <c r="R17" s="202" t="s">
        <v>100</v>
      </c>
    </row>
    <row r="18" spans="1:19">
      <c r="A18" s="656"/>
      <c r="B18" s="656"/>
      <c r="C18" s="656"/>
      <c r="D18" s="656"/>
      <c r="E18" s="656" t="s">
        <v>2128</v>
      </c>
      <c r="F18" s="659" t="e">
        <f>M24</f>
        <v>#REF!</v>
      </c>
      <c r="G18" s="659" t="e">
        <f>N24</f>
        <v>#REF!</v>
      </c>
      <c r="H18" s="659" t="e">
        <f>O24</f>
        <v>#REF!</v>
      </c>
      <c r="I18" s="659" t="e">
        <f>P24</f>
        <v>#REF!</v>
      </c>
      <c r="J18" s="659" t="e">
        <f>Q24</f>
        <v>#REF!</v>
      </c>
      <c r="L18" s="653" t="s">
        <v>2129</v>
      </c>
      <c r="M18" s="666" t="e">
        <f>VLOOKUP($R18,Model!$1:$1048576,MATCH(FinSum!F$2,Model!$1:$1,0),FALSE)</f>
        <v>#REF!</v>
      </c>
      <c r="N18" s="666" t="e">
        <f>VLOOKUP($R18,Model!$1:$1048576,MATCH(FinSum!G$2,Model!$1:$1,0),FALSE)</f>
        <v>#REF!</v>
      </c>
      <c r="O18" s="666" t="e">
        <f>VLOOKUP($R18,Model!$1:$1048576,MATCH(FinSum!H$2,Model!$1:$1,0),FALSE)</f>
        <v>#REF!</v>
      </c>
      <c r="P18" s="666" t="e">
        <f>VLOOKUP($R18,Model!$1:$1048576,MATCH(FinSum!I$2,Model!$1:$1,0),FALSE)</f>
        <v>#REF!</v>
      </c>
      <c r="Q18" s="666" t="e">
        <f>VLOOKUP($R18,Model!$1:$1048576,MATCH(FinSum!J$2,Model!$1:$1,0),FALSE)</f>
        <v>#REF!</v>
      </c>
      <c r="R18" s="202" t="s">
        <v>683</v>
      </c>
    </row>
    <row r="19" spans="1:19">
      <c r="E19" s="671" t="s">
        <v>2126</v>
      </c>
      <c r="F19" s="672"/>
      <c r="G19" s="672" t="e">
        <f>G18/F18-1</f>
        <v>#REF!</v>
      </c>
      <c r="H19" s="672" t="e">
        <f>H18/G18-1</f>
        <v>#REF!</v>
      </c>
      <c r="I19" s="672" t="e">
        <f>I18/H18-1</f>
        <v>#REF!</v>
      </c>
      <c r="J19" s="672" t="e">
        <f>J18/I18-1</f>
        <v>#REF!</v>
      </c>
      <c r="L19" s="653" t="s">
        <v>479</v>
      </c>
      <c r="M19" s="666" t="e">
        <f>VLOOKUP($R19,Model!$1:$1048576,MATCH(FinSum!F$2,Model!$1:$1,0),FALSE)</f>
        <v>#REF!</v>
      </c>
      <c r="N19" s="666" t="e">
        <f>VLOOKUP($R19,Model!$1:$1048576,MATCH(FinSum!G$2,Model!$1:$1,0),FALSE)</f>
        <v>#REF!</v>
      </c>
      <c r="O19" s="666" t="e">
        <f>VLOOKUP($R19,Model!$1:$1048576,MATCH(FinSum!H$2,Model!$1:$1,0),FALSE)</f>
        <v>#REF!</v>
      </c>
      <c r="P19" s="666" t="e">
        <f>VLOOKUP($R19,Model!$1:$1048576,MATCH(FinSum!I$2,Model!$1:$1,0),FALSE)</f>
        <v>#REF!</v>
      </c>
      <c r="Q19" s="666" t="e">
        <f>VLOOKUP($R19,Model!$1:$1048576,MATCH(FinSum!J$2,Model!$1:$1,0),FALSE)</f>
        <v>#REF!</v>
      </c>
      <c r="R19" s="202" t="s">
        <v>684</v>
      </c>
    </row>
    <row r="20" spans="1:19">
      <c r="D20" s="202" t="s">
        <v>949</v>
      </c>
      <c r="E20" s="656" t="s">
        <v>2130</v>
      </c>
      <c r="F20" s="670" t="e">
        <f>VLOOKUP($D20,Model!$1:$1048576,MATCH(FinSum!F$2,Model!$1:$1,0),FALSE)*100</f>
        <v>#REF!</v>
      </c>
      <c r="G20" s="670" t="e">
        <f>VLOOKUP($D20,Model!$1:$1048576,MATCH(FinSum!G$2,Model!$1:$1,0),FALSE)*100</f>
        <v>#REF!</v>
      </c>
      <c r="H20" s="670" t="e">
        <f>VLOOKUP($D20,Model!$1:$1048576,MATCH(FinSum!H$2,Model!$1:$1,0),FALSE)*100</f>
        <v>#REF!</v>
      </c>
      <c r="I20" s="670" t="e">
        <f>VLOOKUP($D20,Model!$1:$1048576,MATCH(FinSum!I$2,Model!$1:$1,0),FALSE)*100</f>
        <v>#REF!</v>
      </c>
      <c r="J20" s="670" t="e">
        <f>VLOOKUP($D20,Model!$1:$1048576,MATCH(FinSum!J$2,Model!$1:$1,0),FALSE)*100</f>
        <v>#REF!</v>
      </c>
      <c r="L20" s="662" t="s">
        <v>1317</v>
      </c>
      <c r="M20" s="663" t="e">
        <f>M17+M18+M19</f>
        <v>#REF!</v>
      </c>
      <c r="N20" s="663" t="e">
        <f>N17+N18+N19</f>
        <v>#REF!</v>
      </c>
      <c r="O20" s="663" t="e">
        <f>O17+O18+O19</f>
        <v>#REF!</v>
      </c>
      <c r="P20" s="663" t="e">
        <f>P17+P18+P19</f>
        <v>#REF!</v>
      </c>
      <c r="Q20" s="663" t="e">
        <f>Q17+Q18+Q19</f>
        <v>#REF!</v>
      </c>
      <c r="R20" s="202" t="s">
        <v>288</v>
      </c>
    </row>
    <row r="21" spans="1:19">
      <c r="E21" s="671" t="s">
        <v>2126</v>
      </c>
      <c r="F21" s="672"/>
      <c r="G21" s="672" t="e">
        <f>G20/F20-1</f>
        <v>#REF!</v>
      </c>
      <c r="H21" s="672" t="e">
        <f>H20/G20-1</f>
        <v>#REF!</v>
      </c>
      <c r="I21" s="672" t="e">
        <f>I20/H20-1</f>
        <v>#REF!</v>
      </c>
      <c r="J21" s="672" t="e">
        <f>J20/I20-1</f>
        <v>#REF!</v>
      </c>
      <c r="L21" s="653" t="s">
        <v>77</v>
      </c>
      <c r="M21" s="666" t="e">
        <f>VLOOKUP($R21,Model!$1:$1048576,MATCH(FinSum!F$2,Model!$1:$1,0),FALSE)</f>
        <v>#REF!</v>
      </c>
      <c r="N21" s="666" t="e">
        <f>VLOOKUP($R21,Model!$1:$1048576,MATCH(FinSum!G$2,Model!$1:$1,0),FALSE)</f>
        <v>#REF!</v>
      </c>
      <c r="O21" s="666" t="e">
        <f>VLOOKUP($R21,Model!$1:$1048576,MATCH(FinSum!H$2,Model!$1:$1,0),FALSE)</f>
        <v>#REF!</v>
      </c>
      <c r="P21" s="666" t="e">
        <f>VLOOKUP($R21,Model!$1:$1048576,MATCH(FinSum!I$2,Model!$1:$1,0),FALSE)</f>
        <v>#REF!</v>
      </c>
      <c r="Q21" s="666" t="e">
        <f>VLOOKUP($R21,Model!$1:$1048576,MATCH(FinSum!J$2,Model!$1:$1,0),FALSE)</f>
        <v>#REF!</v>
      </c>
      <c r="R21" s="202" t="s">
        <v>688</v>
      </c>
    </row>
    <row r="22" spans="1:19">
      <c r="D22" s="202" t="s">
        <v>109</v>
      </c>
      <c r="E22" s="656" t="s">
        <v>2131</v>
      </c>
      <c r="F22" s="670" t="e">
        <f>VLOOKUP($D22,Model!$1:$1048576,MATCH(FinSum!F$2,Model!$1:$1,0),FALSE)*100</f>
        <v>#REF!</v>
      </c>
      <c r="G22" s="670" t="e">
        <f>VLOOKUP($D22,Model!$1:$1048576,MATCH(FinSum!G$2,Model!$1:$1,0),FALSE)*100</f>
        <v>#REF!</v>
      </c>
      <c r="H22" s="670" t="e">
        <f>VLOOKUP($D22,Model!$1:$1048576,MATCH(FinSum!H$2,Model!$1:$1,0),FALSE)*100</f>
        <v>#REF!</v>
      </c>
      <c r="I22" s="670" t="e">
        <f>VLOOKUP($D22,Model!$1:$1048576,MATCH(FinSum!I$2,Model!$1:$1,0),FALSE)*100</f>
        <v>#REF!</v>
      </c>
      <c r="J22" s="670" t="e">
        <f>VLOOKUP($D22,Model!$1:$1048576,MATCH(FinSum!J$2,Model!$1:$1,0),FALSE)*100</f>
        <v>#REF!</v>
      </c>
      <c r="L22" s="653" t="s">
        <v>2132</v>
      </c>
      <c r="M22" s="666" t="e">
        <f>VLOOKUP($R22,Model!$1:$1048576,MATCH(FinSum!F$2,Model!$1:$1,0),FALSE)</f>
        <v>#REF!</v>
      </c>
      <c r="N22" s="666" t="e">
        <f>VLOOKUP($R22,Model!$1:$1048576,MATCH(FinSum!G$2,Model!$1:$1,0),FALSE)</f>
        <v>#REF!</v>
      </c>
      <c r="O22" s="666" t="e">
        <f>VLOOKUP($R22,Model!$1:$1048576,MATCH(FinSum!H$2,Model!$1:$1,0),FALSE)</f>
        <v>#REF!</v>
      </c>
      <c r="P22" s="666" t="e">
        <f>VLOOKUP($R22,Model!$1:$1048576,MATCH(FinSum!I$2,Model!$1:$1,0),FALSE)</f>
        <v>#REF!</v>
      </c>
      <c r="Q22" s="666" t="e">
        <f>VLOOKUP($R22,Model!$1:$1048576,MATCH(FinSum!J$2,Model!$1:$1,0),FALSE)</f>
        <v>#REF!</v>
      </c>
      <c r="R22" s="202" t="s">
        <v>689</v>
      </c>
    </row>
    <row r="23" spans="1:19">
      <c r="E23" s="671" t="s">
        <v>2126</v>
      </c>
      <c r="F23" s="672"/>
      <c r="G23" s="672" t="e">
        <f>G22/F22-1</f>
        <v>#REF!</v>
      </c>
      <c r="H23" s="672" t="e">
        <f>H22/G22-1</f>
        <v>#REF!</v>
      </c>
      <c r="I23" s="672" t="e">
        <f>I22/H22-1</f>
        <v>#REF!</v>
      </c>
      <c r="J23" s="672" t="e">
        <f>J22/I22-1</f>
        <v>#REF!</v>
      </c>
      <c r="L23" s="653" t="s">
        <v>2133</v>
      </c>
      <c r="M23" s="666" t="e">
        <f>VLOOKUP($R23,Model!$1:$1048576,MATCH(FinSum!F$2,Model!$1:$1,0),FALSE)</f>
        <v>#REF!</v>
      </c>
      <c r="N23" s="666" t="e">
        <f>VLOOKUP($R23,Model!$1:$1048576,MATCH(FinSum!G$2,Model!$1:$1,0),FALSE)</f>
        <v>#REF!</v>
      </c>
      <c r="O23" s="666" t="e">
        <f>VLOOKUP($R23,Model!$1:$1048576,MATCH(FinSum!H$2,Model!$1:$1,0),FALSE)</f>
        <v>#REF!</v>
      </c>
      <c r="P23" s="666" t="e">
        <f>VLOOKUP($R23,Model!$1:$1048576,MATCH(FinSum!I$2,Model!$1:$1,0),FALSE)</f>
        <v>#REF!</v>
      </c>
      <c r="Q23" s="666" t="e">
        <f>VLOOKUP($R23,Model!$1:$1048576,MATCH(FinSum!J$2,Model!$1:$1,0),FALSE)</f>
        <v>#REF!</v>
      </c>
      <c r="R23" s="202" t="s">
        <v>690</v>
      </c>
    </row>
    <row r="24" spans="1:19">
      <c r="E24" s="656" t="s">
        <v>2621</v>
      </c>
      <c r="F24" s="659" t="e">
        <f>M28</f>
        <v>#REF!</v>
      </c>
      <c r="G24" s="659" t="e">
        <f>N28</f>
        <v>#REF!</v>
      </c>
      <c r="H24" s="659" t="e">
        <f>O28</f>
        <v>#REF!</v>
      </c>
      <c r="I24" s="659" t="e">
        <f>P28</f>
        <v>#REF!</v>
      </c>
      <c r="J24" s="659" t="e">
        <f>Q28</f>
        <v>#REF!</v>
      </c>
      <c r="L24" s="662" t="s">
        <v>2134</v>
      </c>
      <c r="M24" s="663" t="e">
        <f>M20+M21+M22+M23</f>
        <v>#REF!</v>
      </c>
      <c r="N24" s="663" t="e">
        <f>N20+N21+N22+N23</f>
        <v>#REF!</v>
      </c>
      <c r="O24" s="663" t="e">
        <f>O20+O21+O22+O23</f>
        <v>#REF!</v>
      </c>
      <c r="P24" s="663" t="e">
        <f>P20+P21+P22+P23</f>
        <v>#REF!</v>
      </c>
      <c r="Q24" s="663" t="e">
        <f>Q20+Q21+Q22+Q23</f>
        <v>#REF!</v>
      </c>
    </row>
    <row r="25" spans="1:19">
      <c r="E25" s="671" t="s">
        <v>2126</v>
      </c>
      <c r="F25" s="672"/>
      <c r="G25" s="672" t="e">
        <f>G24/F24-1</f>
        <v>#REF!</v>
      </c>
      <c r="H25" s="672" t="e">
        <f>H24/G24-1</f>
        <v>#REF!</v>
      </c>
      <c r="I25" s="672" t="e">
        <f>I24/H24-1</f>
        <v>#REF!</v>
      </c>
      <c r="J25" s="672" t="e">
        <f>J24/I24-1</f>
        <v>#REF!</v>
      </c>
      <c r="L25" s="653" t="s">
        <v>2133</v>
      </c>
      <c r="M25" s="666" t="e">
        <f>VLOOKUP($R25,Model!$1:$1048576,MATCH(FinSum!F$2,Model!$1:$1,0),FALSE)</f>
        <v>#REF!</v>
      </c>
      <c r="N25" s="666" t="e">
        <f>VLOOKUP($R25,Model!$1:$1048576,MATCH(FinSum!G$2,Model!$1:$1,0),FALSE)</f>
        <v>#REF!</v>
      </c>
      <c r="O25" s="666" t="e">
        <f>VLOOKUP($R25,Model!$1:$1048576,MATCH(FinSum!H$2,Model!$1:$1,0),FALSE)</f>
        <v>#REF!</v>
      </c>
      <c r="P25" s="666" t="e">
        <f>VLOOKUP($R25,Model!$1:$1048576,MATCH(FinSum!I$2,Model!$1:$1,0),FALSE)</f>
        <v>#REF!</v>
      </c>
      <c r="Q25" s="666" t="e">
        <f>VLOOKUP($R25,Model!$1:$1048576,MATCH(FinSum!J$2,Model!$1:$1,0),FALSE)</f>
        <v>#REF!</v>
      </c>
      <c r="R25" s="202" t="s">
        <v>958</v>
      </c>
    </row>
    <row r="26" spans="1:19">
      <c r="D26" s="202" t="s">
        <v>947</v>
      </c>
      <c r="E26" s="656" t="s">
        <v>2135</v>
      </c>
      <c r="F26" s="670" t="e">
        <f>VLOOKUP($D26,Model!$1:$1048576,MATCH(FinSum!F$2,Model!$1:$1,0),FALSE)*100</f>
        <v>#REF!</v>
      </c>
      <c r="G26" s="670" t="e">
        <f>VLOOKUP($D26,Model!$1:$1048576,MATCH(FinSum!G$2,Model!$1:$1,0),FALSE)*100</f>
        <v>#REF!</v>
      </c>
      <c r="H26" s="670" t="e">
        <f>VLOOKUP($D26,Model!$1:$1048576,MATCH(FinSum!H$2,Model!$1:$1,0),FALSE)*100</f>
        <v>#REF!</v>
      </c>
      <c r="I26" s="670" t="e">
        <f>VLOOKUP($D26,Model!$1:$1048576,MATCH(FinSum!I$2,Model!$1:$1,0),FALSE)*100</f>
        <v>#REF!</v>
      </c>
      <c r="J26" s="670" t="e">
        <f>VLOOKUP($D26,Model!$1:$1048576,MATCH(FinSum!J$2,Model!$1:$1,0),FALSE)*100</f>
        <v>#REF!</v>
      </c>
      <c r="L26" s="653" t="s">
        <v>2136</v>
      </c>
      <c r="M26" s="666" t="e">
        <f>VLOOKUP($R26,Model!$1:$1048576,MATCH(FinSum!F$2,Model!$1:$1,0),FALSE)</f>
        <v>#REF!</v>
      </c>
      <c r="N26" s="666" t="e">
        <f>VLOOKUP($R26,Model!$1:$1048576,MATCH(FinSum!G$2,Model!$1:$1,0),FALSE)</f>
        <v>#REF!</v>
      </c>
      <c r="O26" s="666" t="e">
        <f>VLOOKUP($R26,Model!$1:$1048576,MATCH(FinSum!H$2,Model!$1:$1,0),FALSE)</f>
        <v>#REF!</v>
      </c>
      <c r="P26" s="666" t="e">
        <f>VLOOKUP($R26,Model!$1:$1048576,MATCH(FinSum!I$2,Model!$1:$1,0),FALSE)</f>
        <v>#REF!</v>
      </c>
      <c r="Q26" s="666" t="e">
        <f>VLOOKUP($R26,Model!$1:$1048576,MATCH(FinSum!J$2,Model!$1:$1,0),FALSE)</f>
        <v>#REF!</v>
      </c>
      <c r="R26" s="202" t="s">
        <v>832</v>
      </c>
    </row>
    <row r="27" spans="1:19">
      <c r="E27" s="671" t="s">
        <v>2126</v>
      </c>
      <c r="F27" s="672"/>
      <c r="G27" s="672" t="e">
        <f>G26/F26-1</f>
        <v>#REF!</v>
      </c>
      <c r="H27" s="672" t="e">
        <f>H26/G26-1</f>
        <v>#REF!</v>
      </c>
      <c r="I27" s="672" t="e">
        <f>I26/H26-1</f>
        <v>#REF!</v>
      </c>
      <c r="J27" s="672" t="e">
        <f>J26/I26-1</f>
        <v>#REF!</v>
      </c>
      <c r="L27" s="673" t="s">
        <v>280</v>
      </c>
      <c r="M27" s="674" t="e">
        <f>VLOOKUP($R27,Model!$1:$1048576,MATCH(FinSum!F$2,Model!$1:$1,0),FALSE)</f>
        <v>#REF!</v>
      </c>
      <c r="N27" s="674" t="e">
        <f>VLOOKUP($R27,Model!$1:$1048576,MATCH(FinSum!G$2,Model!$1:$1,0),FALSE)</f>
        <v>#REF!</v>
      </c>
      <c r="O27" s="674" t="e">
        <f>VLOOKUP($R27,Model!$1:$1048576,MATCH(FinSum!H$2,Model!$1:$1,0),FALSE)</f>
        <v>#REF!</v>
      </c>
      <c r="P27" s="674" t="e">
        <f>VLOOKUP($R27,Model!$1:$1048576,MATCH(FinSum!I$2,Model!$1:$1,0),FALSE)</f>
        <v>#REF!</v>
      </c>
      <c r="Q27" s="674" t="e">
        <f>VLOOKUP($R27,Model!$1:$1048576,MATCH(FinSum!J$2,Model!$1:$1,0),FALSE)</f>
        <v>#REF!</v>
      </c>
      <c r="R27" s="202" t="s">
        <v>831</v>
      </c>
    </row>
    <row r="28" spans="1:19">
      <c r="D28" s="202" t="s">
        <v>766</v>
      </c>
      <c r="E28" s="656" t="s">
        <v>2137</v>
      </c>
      <c r="F28" s="670" t="e">
        <f>VLOOKUP($D28,Model!$1:$1048576,MATCH(FinSum!F$2,Model!$1:$1,0),FALSE)*100</f>
        <v>#REF!</v>
      </c>
      <c r="G28" s="670" t="e">
        <f>VLOOKUP($D28,Model!$1:$1048576,MATCH(FinSum!G$2,Model!$1:$1,0),FALSE)*100</f>
        <v>#REF!</v>
      </c>
      <c r="H28" s="670" t="e">
        <f>VLOOKUP($D28,Model!$1:$1048576,MATCH(FinSum!H$2,Model!$1:$1,0),FALSE)*100</f>
        <v>#REF!</v>
      </c>
      <c r="I28" s="670" t="e">
        <f>VLOOKUP($D28,Model!$1:$1048576,MATCH(FinSum!I$2,Model!$1:$1,0),FALSE)*100</f>
        <v>#REF!</v>
      </c>
      <c r="J28" s="670" t="e">
        <f>VLOOKUP($D28,Model!$1:$1048576,MATCH(FinSum!J$2,Model!$1:$1,0),FALSE)*100</f>
        <v>#REF!</v>
      </c>
      <c r="L28" s="662" t="s">
        <v>2138</v>
      </c>
      <c r="M28" s="663" t="e">
        <f>+M24+M25+M26+M27</f>
        <v>#REF!</v>
      </c>
      <c r="N28" s="663" t="e">
        <f>+N24+N25+N26+N27</f>
        <v>#REF!</v>
      </c>
      <c r="O28" s="663" t="e">
        <f>+O24+O25+O26+O27</f>
        <v>#REF!</v>
      </c>
      <c r="P28" s="663" t="e">
        <f>+P24+P25+P26+P27</f>
        <v>#REF!</v>
      </c>
      <c r="Q28" s="663" t="e">
        <f>+Q24+Q25+Q26+Q27</f>
        <v>#REF!</v>
      </c>
    </row>
    <row r="29" spans="1:19">
      <c r="E29" s="671" t="s">
        <v>2126</v>
      </c>
      <c r="F29" s="672"/>
      <c r="G29" s="672" t="e">
        <f>G28/F28-1</f>
        <v>#REF!</v>
      </c>
      <c r="H29" s="672" t="e">
        <f>H28/G28-1</f>
        <v>#REF!</v>
      </c>
      <c r="I29" s="672" t="e">
        <f>I28/H28-1</f>
        <v>#REF!</v>
      </c>
      <c r="J29" s="672" t="e">
        <f>J28/I28-1</f>
        <v>#REF!</v>
      </c>
    </row>
    <row r="30" spans="1:19">
      <c r="D30" s="202" t="s">
        <v>904</v>
      </c>
      <c r="E30" s="653" t="s">
        <v>2139</v>
      </c>
      <c r="F30" s="675" t="e">
        <f>VLOOKUP($D30,Model!$1:$1048576,MATCH(FinSum!F$2,Model!$1:$1,0),FALSE)</f>
        <v>#REF!</v>
      </c>
      <c r="G30" s="675" t="e">
        <f>VLOOKUP($D30,Model!$1:$1048576,MATCH(FinSum!G$2,Model!$1:$1,0),FALSE)</f>
        <v>#REF!</v>
      </c>
      <c r="H30" s="675" t="e">
        <f>VLOOKUP($D30,Model!$1:$1048576,MATCH(FinSum!H$2,Model!$1:$1,0),FALSE)</f>
        <v>#REF!</v>
      </c>
      <c r="I30" s="675" t="e">
        <f>VLOOKUP($D30,Model!$1:$1048576,MATCH(FinSum!I$2,Model!$1:$1,0),FALSE)</f>
        <v>#REF!</v>
      </c>
      <c r="J30" s="675" t="e">
        <f>VLOOKUP($D30,Model!$1:$1048576,MATCH(FinSum!J$2,Model!$1:$1,0),FALSE)</f>
        <v>#REF!</v>
      </c>
    </row>
    <row r="31" spans="1:19">
      <c r="D31" s="202" t="s">
        <v>767</v>
      </c>
      <c r="E31" s="653" t="s">
        <v>2140</v>
      </c>
      <c r="F31" s="672" t="e">
        <f>VLOOKUP($D31,Model!$1:$1048576,MATCH(FinSum!F$2,Model!$1:$1,0),FALSE)</f>
        <v>#REF!</v>
      </c>
      <c r="G31" s="675" t="e">
        <f>VLOOKUP($D31,Model!$1:$1048576,MATCH(FinSum!G$2,Model!$1:$1,0),FALSE)</f>
        <v>#REF!</v>
      </c>
      <c r="H31" s="675" t="e">
        <f>VLOOKUP($D31,Model!$1:$1048576,MATCH(FinSum!H$2,Model!$1:$1,0),FALSE)</f>
        <v>#REF!</v>
      </c>
      <c r="I31" s="675" t="e">
        <f>VLOOKUP($D31,Model!$1:$1048576,MATCH(FinSum!I$2,Model!$1:$1,0),FALSE)</f>
        <v>#REF!</v>
      </c>
      <c r="J31" s="675" t="e">
        <f>VLOOKUP($D31,Model!$1:$1048576,MATCH(FinSum!J$2,Model!$1:$1,0),FALSE)</f>
        <v>#REF!</v>
      </c>
      <c r="R31" s="653"/>
      <c r="S31" s="653"/>
    </row>
    <row r="32" spans="1:19">
      <c r="D32" s="1" t="s">
        <v>768</v>
      </c>
      <c r="E32" s="653" t="s">
        <v>2215</v>
      </c>
      <c r="F32" s="666" t="e">
        <f>VLOOKUP($D32,Model!$1:$1048576,MATCH(FinSum!F$2,Model!$1:$1,0),FALSE)</f>
        <v>#REF!</v>
      </c>
      <c r="G32" s="666" t="e">
        <f>VLOOKUP($D32,Model!$1:$1048576,MATCH(FinSum!G$2,Model!$1:$1,0),FALSE)</f>
        <v>#REF!</v>
      </c>
      <c r="H32" s="666" t="e">
        <f>VLOOKUP($D32,Model!$1:$1048576,MATCH(FinSum!H$2,Model!$1:$1,0),FALSE)</f>
        <v>#REF!</v>
      </c>
      <c r="I32" s="666" t="e">
        <f>VLOOKUP($D32,Model!$1:$1048576,MATCH(FinSum!I$2,Model!$1:$1,0),FALSE)</f>
        <v>#REF!</v>
      </c>
      <c r="J32" s="666" t="e">
        <f>VLOOKUP($D32,Model!$1:$1048576,MATCH(FinSum!J$2,Model!$1:$1,0),FALSE)</f>
        <v>#REF!</v>
      </c>
      <c r="L32" s="701" t="s">
        <v>2141</v>
      </c>
      <c r="M32" s="702" t="e">
        <f>M$5</f>
        <v>#REF!</v>
      </c>
      <c r="N32" s="703" t="e">
        <f>N$5</f>
        <v>#REF!</v>
      </c>
      <c r="O32" s="703" t="e">
        <f>O$5</f>
        <v>#REF!</v>
      </c>
      <c r="P32" s="703" t="e">
        <f>P$5</f>
        <v>#REF!</v>
      </c>
      <c r="Q32" s="703" t="e">
        <f>Q$5</f>
        <v>#REF!</v>
      </c>
    </row>
    <row r="33" spans="4:18">
      <c r="D33" s="202" t="s">
        <v>963</v>
      </c>
      <c r="E33" s="656" t="s">
        <v>2142</v>
      </c>
      <c r="F33" s="676" t="e">
        <f>VLOOKUP($D33,Model!$1:$1048576,MATCH(FinSum!F$2,Model!$1:$1,0),FALSE)</f>
        <v>#REF!</v>
      </c>
      <c r="G33" s="676" t="e">
        <f>VLOOKUP($D33,Model!$1:$1048576,MATCH(FinSum!G$2,Model!$1:$1,0),FALSE)</f>
        <v>#REF!</v>
      </c>
      <c r="H33" s="676" t="e">
        <f>VLOOKUP($D33,Model!$1:$1048576,MATCH(FinSum!H$2,Model!$1:$1,0),FALSE)</f>
        <v>#REF!</v>
      </c>
      <c r="I33" s="676" t="e">
        <f>VLOOKUP($D33,Model!$1:$1048576,MATCH(FinSum!I$2,Model!$1:$1,0),FALSE)</f>
        <v>#REF!</v>
      </c>
      <c r="J33" s="676" t="e">
        <f>VLOOKUP($D33,Model!$1:$1048576,MATCH(FinSum!J$2,Model!$1:$1,0),FALSE)</f>
        <v>#REF!</v>
      </c>
      <c r="L33" s="656" t="s">
        <v>644</v>
      </c>
    </row>
    <row r="34" spans="4:18">
      <c r="D34" s="202" t="s">
        <v>962</v>
      </c>
      <c r="E34" s="656" t="s">
        <v>2143</v>
      </c>
      <c r="F34" s="676" t="e">
        <f>VLOOKUP($D34,Model!$1:$1048576,MATCH(FinSum!F$2,Model!$1:$1,0),FALSE)</f>
        <v>#REF!</v>
      </c>
      <c r="G34" s="676" t="e">
        <f>VLOOKUP($D34,Model!$1:$1048576,MATCH(FinSum!G$2,Model!$1:$1,0),FALSE)</f>
        <v>#REF!</v>
      </c>
      <c r="H34" s="676" t="e">
        <f>VLOOKUP($D34,Model!$1:$1048576,MATCH(FinSum!H$2,Model!$1:$1,0),FALSE)</f>
        <v>#REF!</v>
      </c>
      <c r="I34" s="676" t="e">
        <f>VLOOKUP($D34,Model!$1:$1048576,MATCH(FinSum!I$2,Model!$1:$1,0),FALSE)</f>
        <v>#REF!</v>
      </c>
      <c r="J34" s="676" t="e">
        <f>VLOOKUP($D34,Model!$1:$1048576,MATCH(FinSum!J$2,Model!$1:$1,0),FALSE)</f>
        <v>#REF!</v>
      </c>
      <c r="L34" s="653" t="s">
        <v>2144</v>
      </c>
      <c r="M34" s="677" t="e">
        <f>VLOOKUP($R34,Model!$1:$1048576,MATCH(FinSum!F$2,Model!$1:$1,0),FALSE)/1000</f>
        <v>#REF!</v>
      </c>
      <c r="N34" s="677" t="e">
        <f>VLOOKUP($R34,Model!$1:$1048576,MATCH(FinSum!G$2,Model!$1:$1,0),FALSE)/1000</f>
        <v>#REF!</v>
      </c>
      <c r="O34" s="677" t="e">
        <f>VLOOKUP($R34,Model!$1:$1048576,MATCH(FinSum!H$2,Model!$1:$1,0),FALSE)/1000</f>
        <v>#REF!</v>
      </c>
      <c r="P34" s="677" t="e">
        <f>VLOOKUP($R34,Model!$1:$1048576,MATCH(FinSum!I$2,Model!$1:$1,0),FALSE)/1000</f>
        <v>#REF!</v>
      </c>
      <c r="Q34" s="677" t="e">
        <f>VLOOKUP($R34,Model!$1:$1048576,MATCH(FinSum!J$2,Model!$1:$1,0),FALSE)/1000</f>
        <v>#REF!</v>
      </c>
      <c r="R34" s="202" t="s">
        <v>886</v>
      </c>
    </row>
    <row r="35" spans="4:18">
      <c r="D35" s="202" t="s">
        <v>1008</v>
      </c>
      <c r="E35" s="653" t="s">
        <v>2145</v>
      </c>
      <c r="F35" s="666" t="e">
        <f>VLOOKUP($D35,Model!$1:$1048576,MATCH(FinSum!F$2,Model!$1:$1,0),FALSE)</f>
        <v>#REF!</v>
      </c>
      <c r="G35" s="666" t="e">
        <f>VLOOKUP($D35,Model!$1:$1048576,MATCH(FinSum!G$2,Model!$1:$1,0),FALSE)</f>
        <v>#REF!</v>
      </c>
      <c r="H35" s="666" t="e">
        <f>VLOOKUP($D35,Model!$1:$1048576,MATCH(FinSum!H$2,Model!$1:$1,0),FALSE)</f>
        <v>#REF!</v>
      </c>
      <c r="I35" s="666" t="e">
        <f>VLOOKUP($D35,Model!$1:$1048576,MATCH(FinSum!I$2,Model!$1:$1,0),FALSE)</f>
        <v>#REF!</v>
      </c>
      <c r="J35" s="666" t="e">
        <f>VLOOKUP($D35,Model!$1:$1048576,MATCH(FinSum!J$2,Model!$1:$1,0),FALSE)</f>
        <v>#REF!</v>
      </c>
      <c r="L35" s="653" t="s">
        <v>2146</v>
      </c>
      <c r="M35" s="677" t="e">
        <f>M37-M34-M36</f>
        <v>#REF!</v>
      </c>
      <c r="N35" s="677" t="e">
        <f>N37-N34-N36</f>
        <v>#REF!</v>
      </c>
      <c r="O35" s="677" t="e">
        <f>O37-O34-O36</f>
        <v>#REF!</v>
      </c>
      <c r="P35" s="677" t="e">
        <f>P37-P34-P36</f>
        <v>#REF!</v>
      </c>
      <c r="Q35" s="677" t="e">
        <f>Q37-Q34-Q36</f>
        <v>#REF!</v>
      </c>
    </row>
    <row r="36" spans="4:18">
      <c r="D36" s="202" t="s">
        <v>1016</v>
      </c>
      <c r="E36" s="653" t="s">
        <v>2147</v>
      </c>
      <c r="F36" s="666" t="e">
        <f>VLOOKUP($D36,Model!$1:$1048576,MATCH(FinSum!F$2,Model!$1:$1,0),FALSE)</f>
        <v>#REF!</v>
      </c>
      <c r="G36" s="666" t="e">
        <f>VLOOKUP($D36,Model!$1:$1048576,MATCH(FinSum!G$2,Model!$1:$1,0),FALSE)</f>
        <v>#REF!</v>
      </c>
      <c r="H36" s="666" t="e">
        <f>VLOOKUP($D36,Model!$1:$1048576,MATCH(FinSum!H$2,Model!$1:$1,0),FALSE)</f>
        <v>#REF!</v>
      </c>
      <c r="I36" s="666" t="e">
        <f>VLOOKUP($D36,Model!$1:$1048576,MATCH(FinSum!I$2,Model!$1:$1,0),FALSE)</f>
        <v>#REF!</v>
      </c>
      <c r="J36" s="666" t="e">
        <f>VLOOKUP($D36,Model!$1:$1048576,MATCH(FinSum!J$2,Model!$1:$1,0),FALSE)</f>
        <v>#REF!</v>
      </c>
      <c r="L36" s="653" t="s">
        <v>2148</v>
      </c>
      <c r="M36" s="677" t="e">
        <f>VLOOKUP($R36,Model!$1:$1048576,MATCH(FinSum!F$2,Model!$1:$1,0),FALSE)/1000</f>
        <v>#REF!</v>
      </c>
      <c r="N36" s="677" t="e">
        <f>VLOOKUP($R36,Model!$1:$1048576,MATCH(FinSum!G$2,Model!$1:$1,0),FALSE)/1000</f>
        <v>#REF!</v>
      </c>
      <c r="O36" s="677" t="e">
        <f>VLOOKUP($R36,Model!$1:$1048576,MATCH(FinSum!H$2,Model!$1:$1,0),FALSE)/1000</f>
        <v>#REF!</v>
      </c>
      <c r="P36" s="677" t="e">
        <f>VLOOKUP($R36,Model!$1:$1048576,MATCH(FinSum!I$2,Model!$1:$1,0),FALSE)/1000</f>
        <v>#REF!</v>
      </c>
      <c r="Q36" s="677" t="e">
        <f>VLOOKUP($R36,Model!$1:$1048576,MATCH(FinSum!J$2,Model!$1:$1,0),FALSE)/1000</f>
        <v>#REF!</v>
      </c>
      <c r="R36" s="202" t="s">
        <v>735</v>
      </c>
    </row>
    <row r="37" spans="4:18">
      <c r="L37" s="656" t="s">
        <v>2149</v>
      </c>
      <c r="M37" s="678" t="e">
        <f>M46-M40-M43</f>
        <v>#REF!</v>
      </c>
      <c r="N37" s="678" t="e">
        <f>N46-N40-N43</f>
        <v>#REF!</v>
      </c>
      <c r="O37" s="678" t="e">
        <f>O46-O40-O43</f>
        <v>#REF!</v>
      </c>
      <c r="P37" s="678" t="e">
        <f>P46-P40-P43</f>
        <v>#REF!</v>
      </c>
      <c r="Q37" s="678" t="e">
        <f>Q46-Q40-Q43</f>
        <v>#REF!</v>
      </c>
    </row>
    <row r="38" spans="4:18">
      <c r="E38" s="701" t="s">
        <v>2150</v>
      </c>
      <c r="F38" s="702" t="e">
        <f>TEXT(F$1,"mm/yy")</f>
        <v>#REF!</v>
      </c>
      <c r="G38" s="703" t="e">
        <f>TEXT(G$1,"mm/yy")</f>
        <v>#REF!</v>
      </c>
      <c r="H38" s="703" t="e">
        <f>TEXT(H$1,"mm/yy")&amp;RIGHT(H$2,1)</f>
        <v>#REF!</v>
      </c>
      <c r="I38" s="703" t="e">
        <f>TEXT(I$1,"mm/yy")&amp;RIGHT(I$2,1)</f>
        <v>#REF!</v>
      </c>
      <c r="J38" s="703" t="e">
        <f>TEXT(J$1,"mm/yy")&amp;RIGHT(J$2,1)</f>
        <v>#REF!</v>
      </c>
      <c r="L38" s="671" t="s">
        <v>2126</v>
      </c>
      <c r="N38" s="679" t="e">
        <f>N37/M37-1</f>
        <v>#REF!</v>
      </c>
      <c r="O38" s="679" t="e">
        <f>O37/N37-1</f>
        <v>#REF!</v>
      </c>
      <c r="P38" s="679" t="e">
        <f>P37/O37-1</f>
        <v>#REF!</v>
      </c>
      <c r="Q38" s="679" t="e">
        <f>Q37/P37-1</f>
        <v>#REF!</v>
      </c>
    </row>
    <row r="39" spans="4:18">
      <c r="E39" s="653" t="s">
        <v>858</v>
      </c>
      <c r="F39" s="680" t="e">
        <f>$G$9/F22*100</f>
        <v>#REF!</v>
      </c>
      <c r="G39" s="680" t="e">
        <f>$G$9/G22*100</f>
        <v>#REF!</v>
      </c>
      <c r="H39" s="680" t="e">
        <f>$G$9/H22*100</f>
        <v>#REF!</v>
      </c>
      <c r="I39" s="680" t="e">
        <f>$G$9/I22*100</f>
        <v>#REF!</v>
      </c>
      <c r="J39" s="680" t="e">
        <f>$G$9/J22*100</f>
        <v>#REF!</v>
      </c>
      <c r="L39" s="653" t="s">
        <v>2151</v>
      </c>
      <c r="M39" s="677" t="e">
        <f>VLOOKUP($R39,Model!$1:$1048576,MATCH(FinSum!F$2,Model!$1:$1,0),FALSE)/1000</f>
        <v>#REF!</v>
      </c>
      <c r="N39" s="677" t="e">
        <f>VLOOKUP($R39,Model!$1:$1048576,MATCH(FinSum!G$2,Model!$1:$1,0),FALSE)/1000</f>
        <v>#REF!</v>
      </c>
      <c r="O39" s="677" t="e">
        <f>VLOOKUP($R39,Model!$1:$1048576,MATCH(FinSum!H$2,Model!$1:$1,0),FALSE)/1000</f>
        <v>#REF!</v>
      </c>
      <c r="P39" s="677" t="e">
        <f>VLOOKUP($R39,Model!$1:$1048576,MATCH(FinSum!I$2,Model!$1:$1,0),FALSE)/1000</f>
        <v>#REF!</v>
      </c>
      <c r="Q39" s="677" t="e">
        <f>VLOOKUP($R39,Model!$1:$1048576,MATCH(FinSum!J$2,Model!$1:$1,0),FALSE)/1000</f>
        <v>#REF!</v>
      </c>
      <c r="R39" s="202" t="s">
        <v>612</v>
      </c>
    </row>
    <row r="40" spans="4:18">
      <c r="E40" s="653" t="s">
        <v>2152</v>
      </c>
      <c r="F40" s="680" t="e">
        <f>$G$9/F16*100</f>
        <v>#REF!</v>
      </c>
      <c r="G40" s="680" t="e">
        <f>$G$9/G16*100</f>
        <v>#REF!</v>
      </c>
      <c r="H40" s="680" t="e">
        <f>$G$9/H16*100</f>
        <v>#REF!</v>
      </c>
      <c r="I40" s="680" t="e">
        <f>$G$9/I16*100</f>
        <v>#REF!</v>
      </c>
      <c r="J40" s="680" t="e">
        <f>$G$9/J16*100</f>
        <v>#REF!</v>
      </c>
      <c r="L40" s="662" t="s">
        <v>2153</v>
      </c>
      <c r="M40" s="681" t="e">
        <f>VLOOKUP($R40,Model!$1:$1048576,MATCH(FinSum!F$2,Model!$1:$1,0),FALSE)/1000</f>
        <v>#REF!</v>
      </c>
      <c r="N40" s="681" t="e">
        <f>VLOOKUP($R40,Model!$1:$1048576,MATCH(FinSum!G$2,Model!$1:$1,0),FALSE)/1000</f>
        <v>#REF!</v>
      </c>
      <c r="O40" s="681" t="e">
        <f>VLOOKUP($R40,Model!$1:$1048576,MATCH(FinSum!H$2,Model!$1:$1,0),FALSE)/1000</f>
        <v>#REF!</v>
      </c>
      <c r="P40" s="681" t="e">
        <f>VLOOKUP($R40,Model!$1:$1048576,MATCH(FinSum!I$2,Model!$1:$1,0),FALSE)/1000</f>
        <v>#REF!</v>
      </c>
      <c r="Q40" s="681" t="e">
        <f>VLOOKUP($R40,Model!$1:$1048576,MATCH(FinSum!J$2,Model!$1:$1,0),FALSE)/1000</f>
        <v>#REF!</v>
      </c>
      <c r="R40" s="202" t="s">
        <v>602</v>
      </c>
    </row>
    <row r="41" spans="4:18">
      <c r="E41" s="653" t="s">
        <v>585</v>
      </c>
      <c r="F41" s="680" t="e">
        <f>$G$9/F33</f>
        <v>#REF!</v>
      </c>
      <c r="G41" s="680" t="e">
        <f t="shared" ref="G41:J42" si="0">$G$9/G33</f>
        <v>#REF!</v>
      </c>
      <c r="H41" s="680" t="e">
        <f t="shared" si="0"/>
        <v>#REF!</v>
      </c>
      <c r="I41" s="680" t="e">
        <f t="shared" si="0"/>
        <v>#REF!</v>
      </c>
      <c r="J41" s="680" t="e">
        <f t="shared" si="0"/>
        <v>#REF!</v>
      </c>
      <c r="L41" s="671" t="s">
        <v>2126</v>
      </c>
      <c r="N41" s="679" t="e">
        <f>N40/M40-1</f>
        <v>#REF!</v>
      </c>
      <c r="O41" s="679" t="e">
        <f>O40/N40-1</f>
        <v>#REF!</v>
      </c>
      <c r="P41" s="679" t="e">
        <f>P40/O40-1</f>
        <v>#REF!</v>
      </c>
      <c r="Q41" s="679" t="e">
        <f>Q40/P40-1</f>
        <v>#REF!</v>
      </c>
    </row>
    <row r="42" spans="4:18">
      <c r="E42" s="653" t="s">
        <v>584</v>
      </c>
      <c r="F42" s="680" t="e">
        <f>$G$9/F34</f>
        <v>#REF!</v>
      </c>
      <c r="G42" s="680" t="e">
        <f t="shared" si="0"/>
        <v>#REF!</v>
      </c>
      <c r="H42" s="680" t="e">
        <f t="shared" si="0"/>
        <v>#REF!</v>
      </c>
      <c r="I42" s="680" t="e">
        <f t="shared" si="0"/>
        <v>#REF!</v>
      </c>
      <c r="J42" s="680" t="e">
        <f t="shared" si="0"/>
        <v>#REF!</v>
      </c>
      <c r="L42" s="653" t="s">
        <v>2154</v>
      </c>
      <c r="M42" s="677" t="e">
        <f>VLOOKUP($R42,Model!$1:$1048576,MATCH(FinSum!F$2,Model!$1:$1,0),FALSE)/1000</f>
        <v>#REF!</v>
      </c>
      <c r="N42" s="677" t="e">
        <f>VLOOKUP($R42,Model!$1:$1048576,MATCH(FinSum!G$2,Model!$1:$1,0),FALSE)/1000</f>
        <v>#REF!</v>
      </c>
      <c r="O42" s="677" t="e">
        <f>VLOOKUP($R42,Model!$1:$1048576,MATCH(FinSum!H$2,Model!$1:$1,0),FALSE)/1000</f>
        <v>#REF!</v>
      </c>
      <c r="P42" s="677" t="e">
        <f>VLOOKUP($R42,Model!$1:$1048576,MATCH(FinSum!I$2,Model!$1:$1,0),FALSE)/1000</f>
        <v>#REF!</v>
      </c>
      <c r="Q42" s="677" t="e">
        <f>VLOOKUP($R42,Model!$1:$1048576,MATCH(FinSum!J$2,Model!$1:$1,0),FALSE)/1000</f>
        <v>#REF!</v>
      </c>
      <c r="R42" s="202" t="s">
        <v>250</v>
      </c>
    </row>
    <row r="43" spans="4:18">
      <c r="E43" s="653" t="s">
        <v>2155</v>
      </c>
      <c r="F43" s="672" t="e">
        <f>F28/$G$9/100</f>
        <v>#REF!</v>
      </c>
      <c r="G43" s="672" t="e">
        <f>G28/$G$9/100</f>
        <v>#REF!</v>
      </c>
      <c r="H43" s="672" t="e">
        <f>H28/$G$9/100</f>
        <v>#REF!</v>
      </c>
      <c r="I43" s="672" t="e">
        <f>I28/$G$9/100</f>
        <v>#REF!</v>
      </c>
      <c r="J43" s="672" t="e">
        <f>J28/$G$9/100</f>
        <v>#REF!</v>
      </c>
      <c r="L43" s="662" t="s">
        <v>2156</v>
      </c>
      <c r="M43" s="681" t="e">
        <f>VLOOKUP($R43,Model!$1:$1048576,MATCH(FinSum!F$2,Model!$1:$1,0),FALSE)/1000</f>
        <v>#REF!</v>
      </c>
      <c r="N43" s="681" t="e">
        <f>VLOOKUP($R43,Model!$1:$1048576,MATCH(FinSum!G$2,Model!$1:$1,0),FALSE)/1000</f>
        <v>#REF!</v>
      </c>
      <c r="O43" s="681" t="e">
        <f>VLOOKUP($R43,Model!$1:$1048576,MATCH(FinSum!H$2,Model!$1:$1,0),FALSE)/1000</f>
        <v>#REF!</v>
      </c>
      <c r="P43" s="681" t="e">
        <f>VLOOKUP($R43,Model!$1:$1048576,MATCH(FinSum!I$2,Model!$1:$1,0),FALSE)/1000</f>
        <v>#REF!</v>
      </c>
      <c r="Q43" s="681" t="e">
        <f>VLOOKUP($R43,Model!$1:$1048576,MATCH(FinSum!J$2,Model!$1:$1,0),FALSE)/1000</f>
        <v>#REF!</v>
      </c>
      <c r="R43" s="202" t="s">
        <v>597</v>
      </c>
    </row>
    <row r="44" spans="4:18">
      <c r="D44" s="202" t="s">
        <v>1000</v>
      </c>
      <c r="E44" s="653" t="s">
        <v>2157</v>
      </c>
      <c r="F44" s="672" t="e">
        <f>VLOOKUP($D44,Model!$1:$1048576,MATCH(FinSum!F$2,Model!$1:$1,0),FALSE)</f>
        <v>#REF!</v>
      </c>
      <c r="G44" s="672" t="e">
        <f>VLOOKUP($D44,Model!$1:$1048576,MATCH(FinSum!G$2,Model!$1:$1,0),FALSE)</f>
        <v>#REF!</v>
      </c>
      <c r="H44" s="672" t="e">
        <f>VLOOKUP($D44,Model!$1:$1048576,MATCH(FinSum!H$2,Model!$1:$1,0),FALSE)</f>
        <v>#REF!</v>
      </c>
      <c r="I44" s="672" t="e">
        <f>VLOOKUP($D44,Model!$1:$1048576,MATCH(FinSum!I$2,Model!$1:$1,0),FALSE)</f>
        <v>#REF!</v>
      </c>
      <c r="J44" s="672" t="e">
        <f>VLOOKUP($D44,Model!$1:$1048576,MATCH(FinSum!J$2,Model!$1:$1,0),FALSE)</f>
        <v>#REF!</v>
      </c>
      <c r="L44" s="671" t="s">
        <v>2126</v>
      </c>
      <c r="N44" s="679" t="e">
        <f>N43/M43-1</f>
        <v>#REF!</v>
      </c>
      <c r="O44" s="679" t="e">
        <f>O43/N43-1</f>
        <v>#REF!</v>
      </c>
      <c r="P44" s="679" t="e">
        <f>P43/O43-1</f>
        <v>#REF!</v>
      </c>
      <c r="Q44" s="679" t="e">
        <f>Q43/P43-1</f>
        <v>#REF!</v>
      </c>
    </row>
    <row r="45" spans="4:18">
      <c r="D45" s="202" t="s">
        <v>1001</v>
      </c>
      <c r="E45" s="653" t="s">
        <v>2158</v>
      </c>
      <c r="F45" s="672" t="e">
        <f>VLOOKUP($D45,Model!$1:$1048576,MATCH(FinSum!F$2,Model!$1:$1,0),FALSE)</f>
        <v>#REF!</v>
      </c>
      <c r="G45" s="672" t="e">
        <f>VLOOKUP($D45,Model!$1:$1048576,MATCH(FinSum!G$2,Model!$1:$1,0),FALSE)</f>
        <v>#REF!</v>
      </c>
      <c r="H45" s="672" t="e">
        <f>VLOOKUP($D45,Model!$1:$1048576,MATCH(FinSum!H$2,Model!$1:$1,0),FALSE)</f>
        <v>#REF!</v>
      </c>
      <c r="I45" s="672" t="e">
        <f>VLOOKUP($D45,Model!$1:$1048576,MATCH(FinSum!I$2,Model!$1:$1,0),FALSE)</f>
        <v>#REF!</v>
      </c>
      <c r="J45" s="672" t="e">
        <f>VLOOKUP($D45,Model!$1:$1048576,MATCH(FinSum!J$2,Model!$1:$1,0),FALSE)</f>
        <v>#REF!</v>
      </c>
      <c r="L45" s="653" t="s">
        <v>2159</v>
      </c>
      <c r="M45" s="677" t="e">
        <f>M48-M39-M42</f>
        <v>#REF!</v>
      </c>
      <c r="N45" s="677" t="e">
        <f>N48-N39-N42</f>
        <v>#REF!</v>
      </c>
      <c r="O45" s="677" t="e">
        <f>O48-O39-O42</f>
        <v>#REF!</v>
      </c>
      <c r="P45" s="677" t="e">
        <f>P48-P39-P42</f>
        <v>#REF!</v>
      </c>
      <c r="Q45" s="677" t="e">
        <f>Q48-Q39-Q42</f>
        <v>#REF!</v>
      </c>
    </row>
    <row r="46" spans="4:18">
      <c r="L46" s="662" t="s">
        <v>587</v>
      </c>
      <c r="M46" s="681" t="e">
        <f>VLOOKUP($R46,Model!$1:$1048576,MATCH(FinSum!F$2,Model!$1:$1,0),FALSE)/1000</f>
        <v>#REF!</v>
      </c>
      <c r="N46" s="681" t="e">
        <f>VLOOKUP($R46,Model!$1:$1048576,MATCH(FinSum!G$2,Model!$1:$1,0),FALSE)/1000</f>
        <v>#REF!</v>
      </c>
      <c r="O46" s="681" t="e">
        <f>VLOOKUP($R46,Model!$1:$1048576,MATCH(FinSum!H$2,Model!$1:$1,0),FALSE)/1000</f>
        <v>#REF!</v>
      </c>
      <c r="P46" s="681" t="e">
        <f>VLOOKUP($R46,Model!$1:$1048576,MATCH(FinSum!I$2,Model!$1:$1,0),FALSE)/1000</f>
        <v>#REF!</v>
      </c>
      <c r="Q46" s="681" t="e">
        <f>VLOOKUP($R46,Model!$1:$1048576,MATCH(FinSum!J$2,Model!$1:$1,0),FALSE)/1000</f>
        <v>#REF!</v>
      </c>
      <c r="R46" s="202" t="s">
        <v>609</v>
      </c>
    </row>
    <row r="47" spans="4:18">
      <c r="E47" s="701" t="s">
        <v>1103</v>
      </c>
      <c r="F47" s="702" t="e">
        <f>TEXT(F$1,"mm/yy")</f>
        <v>#REF!</v>
      </c>
      <c r="G47" s="703" t="e">
        <f>TEXT(G$1,"mm/yy")</f>
        <v>#REF!</v>
      </c>
      <c r="H47" s="703" t="e">
        <f>TEXT(H$1,"mm/yy")&amp;RIGHT(H$2,1)</f>
        <v>#REF!</v>
      </c>
      <c r="I47" s="703" t="e">
        <f>TEXT(I$1,"mm/yy")&amp;RIGHT(I$2,1)</f>
        <v>#REF!</v>
      </c>
      <c r="J47" s="703" t="e">
        <f>TEXT(J$1,"mm/yy")&amp;RIGHT(J$2,1)</f>
        <v>#REF!</v>
      </c>
      <c r="L47" s="671" t="s">
        <v>2126</v>
      </c>
      <c r="N47" s="679" t="e">
        <f>N46/M46-1</f>
        <v>#REF!</v>
      </c>
      <c r="O47" s="679" t="e">
        <f>O46/N46-1</f>
        <v>#REF!</v>
      </c>
      <c r="P47" s="679" t="e">
        <f>P46/O46-1</f>
        <v>#REF!</v>
      </c>
      <c r="Q47" s="679" t="e">
        <f>Q46/P46-1</f>
        <v>#REF!</v>
      </c>
    </row>
    <row r="48" spans="4:18">
      <c r="E48" s="656" t="s">
        <v>2160</v>
      </c>
      <c r="L48" s="653" t="s">
        <v>1847</v>
      </c>
      <c r="M48" s="677" t="e">
        <f>VLOOKUP($R48,Model!$1:$1048576,MATCH(FinSum!F$2,Model!$1:$1,0),FALSE)/1000</f>
        <v>#REF!</v>
      </c>
      <c r="N48" s="677" t="e">
        <f>VLOOKUP($R48,Model!$1:$1048576,MATCH(FinSum!G$2,Model!$1:$1,0),FALSE)/1000</f>
        <v>#REF!</v>
      </c>
      <c r="O48" s="677" t="e">
        <f>VLOOKUP($R48,Model!$1:$1048576,MATCH(FinSum!H$2,Model!$1:$1,0),FALSE)/1000</f>
        <v>#REF!</v>
      </c>
      <c r="P48" s="677" t="e">
        <f>VLOOKUP($R48,Model!$1:$1048576,MATCH(FinSum!I$2,Model!$1:$1,0),FALSE)/1000</f>
        <v>#REF!</v>
      </c>
      <c r="Q48" s="677" t="e">
        <f>VLOOKUP($R48,Model!$1:$1048576,MATCH(FinSum!J$2,Model!$1:$1,0),FALSE)/1000</f>
        <v>#REF!</v>
      </c>
      <c r="R48" s="202" t="s">
        <v>1054</v>
      </c>
    </row>
    <row r="49" spans="4:19">
      <c r="D49" s="202" t="s">
        <v>924</v>
      </c>
      <c r="E49" s="653" t="s">
        <v>528</v>
      </c>
      <c r="F49" s="683" t="e">
        <f>VLOOKUP($D49,Model!$1:$1048576,MATCH(FinSum!F$2,Model!$1:$1,0),FALSE)</f>
        <v>#REF!</v>
      </c>
      <c r="G49" s="683" t="e">
        <f>VLOOKUP($D49,Model!$1:$1048576,MATCH(FinSum!G$2,Model!$1:$1,0),FALSE)</f>
        <v>#REF!</v>
      </c>
      <c r="H49" s="683" t="e">
        <f>VLOOKUP($D49,Model!$1:$1048576,MATCH(FinSum!H$2,Model!$1:$1,0),FALSE)</f>
        <v>#REF!</v>
      </c>
      <c r="I49" s="683" t="e">
        <f>VLOOKUP($D49,Model!$1:$1048576,MATCH(FinSum!I$2,Model!$1:$1,0),FALSE)</f>
        <v>#REF!</v>
      </c>
      <c r="J49" s="683" t="e">
        <f>VLOOKUP($D49,Model!$1:$1048576,MATCH(FinSum!J$2,Model!$1:$1,0),FALSE)</f>
        <v>#REF!</v>
      </c>
      <c r="L49" s="682" t="s">
        <v>2126</v>
      </c>
      <c r="M49" s="673"/>
      <c r="N49" s="679" t="e">
        <f>N48/M48-1</f>
        <v>#REF!</v>
      </c>
      <c r="O49" s="679" t="e">
        <f>O48/N48-1</f>
        <v>#REF!</v>
      </c>
      <c r="P49" s="679" t="e">
        <f>P48/O48-1</f>
        <v>#REF!</v>
      </c>
      <c r="Q49" s="679" t="e">
        <f>Q48/P48-1</f>
        <v>#REF!</v>
      </c>
    </row>
    <row r="50" spans="4:19">
      <c r="E50" s="653" t="s">
        <v>2161</v>
      </c>
      <c r="F50" s="672" t="e">
        <f>SUM(M9:M14)/M15</f>
        <v>#REF!</v>
      </c>
      <c r="G50" s="672" t="e">
        <f>SUM(N9:N14)/N15</f>
        <v>#REF!</v>
      </c>
      <c r="H50" s="672" t="e">
        <f>SUM(O9:O14)/O15</f>
        <v>#REF!</v>
      </c>
      <c r="I50" s="672" t="e">
        <f>SUM(P9:P14)/P15</f>
        <v>#REF!</v>
      </c>
      <c r="J50" s="672" t="e">
        <f>SUM(Q9:Q14)/Q15</f>
        <v>#REF!</v>
      </c>
      <c r="L50" s="662" t="s">
        <v>720</v>
      </c>
      <c r="M50" s="681" t="e">
        <f>VLOOKUP($R50,Model!$1:$1048576,MATCH(FinSum!F$2,Model!$1:$1,0),FALSE)/1000</f>
        <v>#REF!</v>
      </c>
      <c r="N50" s="681" t="e">
        <f>VLOOKUP($R50,Model!$1:$1048576,MATCH(FinSum!G$2,Model!$1:$1,0),FALSE)/1000</f>
        <v>#REF!</v>
      </c>
      <c r="O50" s="681" t="e">
        <f>VLOOKUP($R50,Model!$1:$1048576,MATCH(FinSum!H$2,Model!$1:$1,0),FALSE)/1000</f>
        <v>#REF!</v>
      </c>
      <c r="P50" s="681" t="e">
        <f>VLOOKUP($R50,Model!$1:$1048576,MATCH(FinSum!I$2,Model!$1:$1,0),FALSE)/1000</f>
        <v>#REF!</v>
      </c>
      <c r="Q50" s="681" t="e">
        <f>VLOOKUP($R50,Model!$1:$1048576,MATCH(FinSum!J$2,Model!$1:$1,0),FALSE)/1000</f>
        <v>#REF!</v>
      </c>
      <c r="R50" s="202" t="s">
        <v>892</v>
      </c>
    </row>
    <row r="51" spans="4:19">
      <c r="E51" s="653" t="s">
        <v>2162</v>
      </c>
      <c r="F51" s="672" t="e">
        <f>-M16/M15</f>
        <v>#REF!</v>
      </c>
      <c r="G51" s="672" t="e">
        <f>-N16/N15</f>
        <v>#REF!</v>
      </c>
      <c r="H51" s="672" t="e">
        <f>-O16/O15</f>
        <v>#REF!</v>
      </c>
      <c r="I51" s="672" t="e">
        <f>-P16/P15</f>
        <v>#REF!</v>
      </c>
      <c r="J51" s="672" t="e">
        <f>-Q16/Q15</f>
        <v>#REF!</v>
      </c>
      <c r="L51" s="671" t="s">
        <v>2126</v>
      </c>
      <c r="N51" s="679" t="e">
        <f>N50/M50-1</f>
        <v>#REF!</v>
      </c>
      <c r="O51" s="679" t="e">
        <f>O50/N50-1</f>
        <v>#REF!</v>
      </c>
      <c r="P51" s="679" t="e">
        <f>P50/O50-1</f>
        <v>#REF!</v>
      </c>
      <c r="Q51" s="679" t="e">
        <f>Q50/P50-1</f>
        <v>#REF!</v>
      </c>
    </row>
    <row r="52" spans="4:19">
      <c r="D52" s="202" t="s">
        <v>1053</v>
      </c>
      <c r="E52" s="653" t="s">
        <v>2163</v>
      </c>
      <c r="F52" s="684" t="e">
        <f>-M16/VLOOKUP($D52,Model!$1:$1048576,MATCH(FinSum!F$2,Model!$1:$1,0),FALSE)*10000</f>
        <v>#REF!</v>
      </c>
      <c r="G52" s="684" t="e">
        <f>-N16/VLOOKUP($D52,Model!$1:$1048576,MATCH(FinSum!G$2,Model!$1:$1,0),FALSE)*10000</f>
        <v>#REF!</v>
      </c>
      <c r="H52" s="684" t="e">
        <f>-O16/VLOOKUP($D52,Model!$1:$1048576,MATCH(FinSum!H$2,Model!$1:$1,0),FALSE)*10000</f>
        <v>#REF!</v>
      </c>
      <c r="I52" s="684" t="e">
        <f>-P16/VLOOKUP($D52,Model!$1:$1048576,MATCH(FinSum!I$2,Model!$1:$1,0),FALSE)*10000</f>
        <v>#REF!</v>
      </c>
      <c r="J52" s="684" t="e">
        <f>-Q16/VLOOKUP($D52,Model!$1:$1048576,MATCH(FinSum!J$2,Model!$1:$1,0),FALSE)*10000</f>
        <v>#REF!</v>
      </c>
      <c r="L52" s="656" t="s">
        <v>2164</v>
      </c>
      <c r="M52" s="678" t="e">
        <f>VLOOKUP($R52,Model!$1:$1048576,MATCH(FinSum!F$2,Model!$1:$1,0),FALSE)/1000</f>
        <v>#REF!</v>
      </c>
      <c r="N52" s="678" t="e">
        <f>VLOOKUP($R52,Model!$1:$1048576,MATCH(FinSum!G$2,Model!$1:$1,0),FALSE)/1000</f>
        <v>#REF!</v>
      </c>
      <c r="O52" s="678" t="e">
        <f>VLOOKUP($R52,Model!$1:$1048576,MATCH(FinSum!H$2,Model!$1:$1,0),FALSE)/1000</f>
        <v>#REF!</v>
      </c>
      <c r="P52" s="678" t="e">
        <f>VLOOKUP($R52,Model!$1:$1048576,MATCH(FinSum!I$2,Model!$1:$1,0),FALSE)/1000</f>
        <v>#REF!</v>
      </c>
      <c r="Q52" s="678" t="e">
        <f>VLOOKUP($R52,Model!$1:$1048576,MATCH(FinSum!J$2,Model!$1:$1,0),FALSE)/1000</f>
        <v>#REF!</v>
      </c>
      <c r="R52" s="202" t="s">
        <v>979</v>
      </c>
    </row>
    <row r="53" spans="4:19">
      <c r="E53" s="653" t="s">
        <v>2165</v>
      </c>
      <c r="F53" s="672"/>
      <c r="G53" s="672" t="e">
        <f>(N15/M15-1)-(N16/M16-1)</f>
        <v>#REF!</v>
      </c>
      <c r="H53" s="672" t="e">
        <f>(O15/N15-1)-(O16/N16-1)</f>
        <v>#REF!</v>
      </c>
      <c r="I53" s="672" t="e">
        <f>(P15/O15-1)-(P16/O16-1)</f>
        <v>#REF!</v>
      </c>
      <c r="J53" s="672" t="e">
        <f>(Q15/P15-1)-(Q16/P16-1)</f>
        <v>#REF!</v>
      </c>
      <c r="L53" s="685" t="s">
        <v>2166</v>
      </c>
      <c r="M53" s="686" t="e">
        <f>VLOOKUP($R53,Model!$1:$1048576,MATCH(FinSum!F$2,Model!$1:$1,0),FALSE)/1000</f>
        <v>#REF!</v>
      </c>
      <c r="N53" s="686" t="e">
        <f>VLOOKUP($R53,Model!$1:$1048576,MATCH(FinSum!G$2,Model!$1:$1,0),FALSE)/1000</f>
        <v>#REF!</v>
      </c>
      <c r="O53" s="686" t="e">
        <f>VLOOKUP($R53,Model!$1:$1048576,MATCH(FinSum!H$2,Model!$1:$1,0),FALSE)/1000</f>
        <v>#REF!</v>
      </c>
      <c r="P53" s="686" t="e">
        <f>VLOOKUP($R53,Model!$1:$1048576,MATCH(FinSum!I$2,Model!$1:$1,0),FALSE)/1000</f>
        <v>#REF!</v>
      </c>
      <c r="Q53" s="686" t="e">
        <f>VLOOKUP($R53,Model!$1:$1048576,MATCH(FinSum!J$2,Model!$1:$1,0),FALSE)/1000</f>
        <v>#REF!</v>
      </c>
      <c r="R53" s="202" t="s">
        <v>1005</v>
      </c>
    </row>
    <row r="54" spans="4:19">
      <c r="E54" s="653" t="s">
        <v>2216</v>
      </c>
      <c r="F54" s="672" t="e">
        <f>-M21/M20</f>
        <v>#REF!</v>
      </c>
      <c r="G54" s="672" t="e">
        <f>-N21/N20</f>
        <v>#REF!</v>
      </c>
      <c r="H54" s="672" t="e">
        <f>-O21/O20</f>
        <v>#REF!</v>
      </c>
      <c r="I54" s="672" t="e">
        <f>-P21/P20</f>
        <v>#REF!</v>
      </c>
      <c r="J54" s="672" t="e">
        <f>-Q21/Q20</f>
        <v>#REF!</v>
      </c>
      <c r="L54" s="656" t="s">
        <v>725</v>
      </c>
    </row>
    <row r="55" spans="4:19">
      <c r="D55" s="202" t="s">
        <v>2106</v>
      </c>
      <c r="E55" s="653" t="s">
        <v>2108</v>
      </c>
      <c r="F55" s="675" t="e">
        <f>M46/M48</f>
        <v>#REF!</v>
      </c>
      <c r="G55" s="675" t="e">
        <f>VLOOKUP($D55,Model!$1:$1048576,MATCH(FinSum!G$2,Model!$1:$1,0),FALSE)</f>
        <v>#REF!</v>
      </c>
      <c r="H55" s="675" t="e">
        <f>VLOOKUP($D55,Model!$1:$1048576,MATCH(FinSum!H$2,Model!$1:$1,0),FALSE)</f>
        <v>#REF!</v>
      </c>
      <c r="I55" s="675" t="e">
        <f>VLOOKUP($D55,Model!$1:$1048576,MATCH(FinSum!I$2,Model!$1:$1,0),FALSE)</f>
        <v>#REF!</v>
      </c>
      <c r="J55" s="675" t="e">
        <f>VLOOKUP($D55,Model!$1:$1048576,MATCH(FinSum!J$2,Model!$1:$1,0),FALSE)</f>
        <v>#REF!</v>
      </c>
      <c r="L55" s="656" t="s">
        <v>581</v>
      </c>
      <c r="M55" s="678" t="e">
        <f>VLOOKUP($R55,Model!$1:$1048576,MATCH(FinSum!F$2,Model!$1:$1,0),FALSE)/1000</f>
        <v>#REF!</v>
      </c>
      <c r="N55" s="678" t="e">
        <f>VLOOKUP($R55,Model!$1:$1048576,MATCH(FinSum!G$2,Model!$1:$1,0),FALSE)/1000</f>
        <v>#REF!</v>
      </c>
      <c r="O55" s="678" t="e">
        <f>VLOOKUP($R55,Model!$1:$1048576,MATCH(FinSum!H$2,Model!$1:$1,0),FALSE)/1000</f>
        <v>#REF!</v>
      </c>
      <c r="P55" s="678" t="e">
        <f>VLOOKUP($R55,Model!$1:$1048576,MATCH(FinSum!I$2,Model!$1:$1,0),FALSE)/1000</f>
        <v>#REF!</v>
      </c>
      <c r="Q55" s="678" t="e">
        <f>VLOOKUP($R55,Model!$1:$1048576,MATCH(FinSum!J$2,Model!$1:$1,0),FALSE)/1000</f>
        <v>#REF!</v>
      </c>
      <c r="R55" s="202" t="s">
        <v>335</v>
      </c>
    </row>
    <row r="56" spans="4:19">
      <c r="E56" s="656" t="s">
        <v>721</v>
      </c>
      <c r="L56" s="671" t="s">
        <v>2126</v>
      </c>
      <c r="N56" s="679" t="e">
        <f>N55/M55-1</f>
        <v>#REF!</v>
      </c>
      <c r="O56" s="679" t="e">
        <f>O55/N55-1</f>
        <v>#REF!</v>
      </c>
      <c r="P56" s="679" t="e">
        <f>P55/O55-1</f>
        <v>#REF!</v>
      </c>
      <c r="Q56" s="679" t="e">
        <f>Q55/P55-1</f>
        <v>#REF!</v>
      </c>
    </row>
    <row r="57" spans="4:19">
      <c r="D57" s="202" t="s">
        <v>999</v>
      </c>
      <c r="E57" s="653" t="s">
        <v>2167</v>
      </c>
      <c r="F57" s="672" t="e">
        <f>VLOOKUP($D57,Model!$1:$1048576,MATCH(FinSum!F$2,Model!$1:$1,0),FALSE)</f>
        <v>#REF!</v>
      </c>
      <c r="G57" s="672" t="e">
        <f>VLOOKUP($D57,Model!$1:$1048576,MATCH(FinSum!G$2,Model!$1:$1,0),FALSE)</f>
        <v>#REF!</v>
      </c>
      <c r="H57" s="672" t="e">
        <f>VLOOKUP($D57,Model!$1:$1048576,MATCH(FinSum!H$2,Model!$1:$1,0),FALSE)</f>
        <v>#REF!</v>
      </c>
      <c r="I57" s="672" t="e">
        <f>VLOOKUP($D57,Model!$1:$1048576,MATCH(FinSum!I$2,Model!$1:$1,0),FALSE)</f>
        <v>#REF!</v>
      </c>
      <c r="J57" s="672" t="e">
        <f>VLOOKUP($D57,Model!$1:$1048576,MATCH(FinSum!J$2,Model!$1:$1,0),FALSE)</f>
        <v>#REF!</v>
      </c>
      <c r="L57" s="656" t="s">
        <v>470</v>
      </c>
      <c r="M57" s="678" t="e">
        <f>VLOOKUP($R57,Model!$1:$1048576,MATCH(FinSum!F$2,Model!$1:$1,0),FALSE)/1000</f>
        <v>#REF!</v>
      </c>
      <c r="N57" s="678" t="e">
        <f>VLOOKUP($R57,Model!$1:$1048576,MATCH(FinSum!G$2,Model!$1:$1,0),FALSE)/1000</f>
        <v>#REF!</v>
      </c>
      <c r="O57" s="678" t="e">
        <f>VLOOKUP($R57,Model!$1:$1048576,MATCH(FinSum!H$2,Model!$1:$1,0),FALSE)/1000</f>
        <v>#REF!</v>
      </c>
      <c r="P57" s="678" t="e">
        <f>VLOOKUP($R57,Model!$1:$1048576,MATCH(FinSum!I$2,Model!$1:$1,0),FALSE)/1000</f>
        <v>#REF!</v>
      </c>
      <c r="Q57" s="678" t="e">
        <f>VLOOKUP($R57,Model!$1:$1048576,MATCH(FinSum!J$2,Model!$1:$1,0),FALSE)/1000</f>
        <v>#REF!</v>
      </c>
      <c r="R57" s="202" t="s">
        <v>920</v>
      </c>
    </row>
    <row r="58" spans="4:19">
      <c r="D58" s="202" t="s">
        <v>1000</v>
      </c>
      <c r="E58" s="653" t="s">
        <v>2168</v>
      </c>
      <c r="F58" s="672" t="e">
        <f>VLOOKUP($D58,Model!$1:$1048576,MATCH(FinSum!F$2,Model!$1:$1,0),FALSE)</f>
        <v>#REF!</v>
      </c>
      <c r="G58" s="672" t="e">
        <f>VLOOKUP($D58,Model!$1:$1048576,MATCH(FinSum!G$2,Model!$1:$1,0),FALSE)</f>
        <v>#REF!</v>
      </c>
      <c r="H58" s="672" t="e">
        <f>VLOOKUP($D58,Model!$1:$1048576,MATCH(FinSum!H$2,Model!$1:$1,0),FALSE)</f>
        <v>#REF!</v>
      </c>
      <c r="I58" s="672" t="e">
        <f>VLOOKUP($D58,Model!$1:$1048576,MATCH(FinSum!I$2,Model!$1:$1,0),FALSE)</f>
        <v>#REF!</v>
      </c>
      <c r="J58" s="672" t="e">
        <f>VLOOKUP($D58,Model!$1:$1048576,MATCH(FinSum!J$2,Model!$1:$1,0),FALSE)</f>
        <v>#REF!</v>
      </c>
      <c r="L58" s="671" t="s">
        <v>2126</v>
      </c>
      <c r="N58" s="679" t="e">
        <f>N57/M57-1</f>
        <v>#REF!</v>
      </c>
      <c r="O58" s="679" t="e">
        <f>O57/N57-1</f>
        <v>#REF!</v>
      </c>
      <c r="P58" s="679" t="e">
        <f>P57/O57-1</f>
        <v>#REF!</v>
      </c>
      <c r="Q58" s="679" t="e">
        <f>Q57/P57-1</f>
        <v>#REF!</v>
      </c>
    </row>
    <row r="59" spans="4:19">
      <c r="D59" s="202" t="s">
        <v>888</v>
      </c>
      <c r="E59" s="653" t="s">
        <v>2169</v>
      </c>
      <c r="F59" s="672" t="e">
        <f>VLOOKUP($D59,Model!$1:$1048576,MATCH(FinSum!F$2,Model!$1:$1,0),FALSE)</f>
        <v>#REF!</v>
      </c>
      <c r="G59" s="800" t="e">
        <f>VLOOKUP($D59,Model!$1:$1048576,MATCH(FinSum!G$2,Model!$1:$1,0),FALSE)</f>
        <v>#REF!</v>
      </c>
      <c r="H59" s="800" t="e">
        <f>VLOOKUP($D59,Model!$1:$1048576,MATCH(FinSum!H$2,Model!$1:$1,0),FALSE)</f>
        <v>#REF!</v>
      </c>
      <c r="I59" s="800" t="e">
        <f>VLOOKUP($D59,Model!$1:$1048576,MATCH(FinSum!I$2,Model!$1:$1,0),FALSE)</f>
        <v>#REF!</v>
      </c>
      <c r="J59" s="800" t="e">
        <f>VLOOKUP($D59,Model!$1:$1048576,MATCH(FinSum!J$2,Model!$1:$1,0),FALSE)</f>
        <v>#REF!</v>
      </c>
      <c r="L59" s="656" t="s">
        <v>2170</v>
      </c>
      <c r="M59" s="678" t="e">
        <f>VLOOKUP($R59,Model!$1:$1048576,MATCH(FinSum!F$2,Model!$1:$1,0),FALSE)/1000</f>
        <v>#REF!</v>
      </c>
      <c r="N59" s="678" t="e">
        <f>VLOOKUP($R59,Model!$1:$1048576,MATCH(FinSum!G$2,Model!$1:$1,0),FALSE)/1000</f>
        <v>#REF!</v>
      </c>
      <c r="O59" s="678" t="e">
        <f>VLOOKUP($R59,Model!$1:$1048576,MATCH(FinSum!H$2,Model!$1:$1,0),FALSE)/1000</f>
        <v>#REF!</v>
      </c>
      <c r="P59" s="678" t="e">
        <f>VLOOKUP($R59,Model!$1:$1048576,MATCH(FinSum!I$2,Model!$1:$1,0),FALSE)/1000</f>
        <v>#REF!</v>
      </c>
      <c r="Q59" s="678" t="e">
        <f>VLOOKUP($R59,Model!$1:$1048576,MATCH(FinSum!J$2,Model!$1:$1,0),FALSE)/1000</f>
        <v>#REF!</v>
      </c>
      <c r="R59" s="202" t="s">
        <v>944</v>
      </c>
    </row>
    <row r="60" spans="4:19">
      <c r="E60" s="653" t="s">
        <v>2171</v>
      </c>
      <c r="F60" s="680" t="e">
        <f>F58/F59</f>
        <v>#REF!</v>
      </c>
      <c r="G60" s="680" t="e">
        <f>G58/G59</f>
        <v>#REF!</v>
      </c>
      <c r="H60" s="680" t="e">
        <f>H58/H59</f>
        <v>#REF!</v>
      </c>
      <c r="I60" s="680" t="e">
        <f>I58/I59</f>
        <v>#REF!</v>
      </c>
      <c r="J60" s="680" t="e">
        <f>J58/J59</f>
        <v>#REF!</v>
      </c>
      <c r="L60" s="671" t="s">
        <v>2126</v>
      </c>
      <c r="N60" s="679" t="e">
        <f>N59/M59-1</f>
        <v>#REF!</v>
      </c>
      <c r="O60" s="679" t="e">
        <f>O59/N59-1</f>
        <v>#REF!</v>
      </c>
      <c r="P60" s="679" t="e">
        <f>P59/O59-1</f>
        <v>#REF!</v>
      </c>
      <c r="Q60" s="679" t="e">
        <f>Q59/P59-1</f>
        <v>#REF!</v>
      </c>
    </row>
    <row r="61" spans="4:19">
      <c r="D61" s="202" t="s">
        <v>887</v>
      </c>
      <c r="E61" s="653" t="s">
        <v>2172</v>
      </c>
      <c r="F61" s="672" t="e">
        <f>VLOOKUP($D61,Model!$1:$1048576,MATCH(FinSum!F$2,Model!$1:$1,0),FALSE)</f>
        <v>#REF!</v>
      </c>
      <c r="G61" s="800" t="e">
        <f>VLOOKUP($D61,Model!$1:$1048576,MATCH(FinSum!G$2,Model!$1:$1,0),FALSE)</f>
        <v>#REF!</v>
      </c>
      <c r="H61" s="800" t="e">
        <f>VLOOKUP($D61,Model!$1:$1048576,MATCH(FinSum!H$2,Model!$1:$1,0),FALSE)</f>
        <v>#REF!</v>
      </c>
      <c r="I61" s="800" t="e">
        <f>VLOOKUP($D61,Model!$1:$1048576,MATCH(FinSum!I$2,Model!$1:$1,0),FALSE)</f>
        <v>#REF!</v>
      </c>
      <c r="J61" s="800" t="e">
        <f>VLOOKUP($D61,Model!$1:$1048576,MATCH(FinSum!J$2,Model!$1:$1,0),FALSE)</f>
        <v>#REF!</v>
      </c>
    </row>
    <row r="62" spans="4:19">
      <c r="D62" s="202" t="s">
        <v>1001</v>
      </c>
      <c r="E62" s="653" t="s">
        <v>2173</v>
      </c>
      <c r="F62" s="672" t="e">
        <f>VLOOKUP($D62,Model!$1:$1048576,MATCH(FinSum!F$2,Model!$1:$1,0),FALSE)</f>
        <v>#REF!</v>
      </c>
      <c r="G62" s="672" t="e">
        <f>VLOOKUP($D62,Model!$1:$1048576,MATCH(FinSum!G$2,Model!$1:$1,0),FALSE)</f>
        <v>#REF!</v>
      </c>
      <c r="H62" s="672" t="e">
        <f>VLOOKUP($D62,Model!$1:$1048576,MATCH(FinSum!H$2,Model!$1:$1,0),FALSE)</f>
        <v>#REF!</v>
      </c>
      <c r="I62" s="672" t="e">
        <f>VLOOKUP($D62,Model!$1:$1048576,MATCH(FinSum!I$2,Model!$1:$1,0),FALSE)</f>
        <v>#REF!</v>
      </c>
      <c r="J62" s="672" t="e">
        <f>VLOOKUP($D62,Model!$1:$1048576,MATCH(FinSum!J$2,Model!$1:$1,0),FALSE)</f>
        <v>#REF!</v>
      </c>
      <c r="R62" s="653"/>
      <c r="S62" s="653"/>
    </row>
    <row r="63" spans="4:19">
      <c r="D63" s="202" t="s">
        <v>889</v>
      </c>
      <c r="E63" s="653" t="s">
        <v>2174</v>
      </c>
      <c r="F63" s="672" t="e">
        <f>VLOOKUP($D63,Model!$1:$1048576,MATCH(FinSum!F$2,Model!$1:$1,0),FALSE)</f>
        <v>#REF!</v>
      </c>
      <c r="G63" s="672" t="e">
        <f>VLOOKUP($D63,Model!$1:$1048576,MATCH(FinSum!G$2,Model!$1:$1,0),FALSE)</f>
        <v>#REF!</v>
      </c>
      <c r="H63" s="672" t="e">
        <f>VLOOKUP($D63,Model!$1:$1048576,MATCH(FinSum!H$2,Model!$1:$1,0),FALSE)</f>
        <v>#REF!</v>
      </c>
      <c r="I63" s="672" t="e">
        <f>VLOOKUP($D63,Model!$1:$1048576,MATCH(FinSum!I$2,Model!$1:$1,0),FALSE)</f>
        <v>#REF!</v>
      </c>
      <c r="J63" s="672" t="e">
        <f>VLOOKUP($D63,Model!$1:$1048576,MATCH(FinSum!J$2,Model!$1:$1,0),FALSE)</f>
        <v>#REF!</v>
      </c>
      <c r="R63" s="653"/>
      <c r="S63" s="653"/>
    </row>
    <row r="64" spans="4:19">
      <c r="E64" s="656" t="s">
        <v>570</v>
      </c>
      <c r="R64" s="653"/>
      <c r="S64" s="653"/>
    </row>
    <row r="65" spans="4:17">
      <c r="D65" s="202" t="s">
        <v>815</v>
      </c>
      <c r="E65" s="653" t="s">
        <v>2176</v>
      </c>
      <c r="F65" s="683" t="e">
        <f>VLOOKUP($D65,Model!$1:$1048576,MATCH(FinSum!F$2,Model!$1:$1,0),FALSE)</f>
        <v>#REF!</v>
      </c>
      <c r="G65" s="683" t="e">
        <f>VLOOKUP($D65,Model!$1:$1048576,MATCH(FinSum!G$2,Model!$1:$1,0),FALSE)</f>
        <v>#REF!</v>
      </c>
      <c r="H65" s="683" t="e">
        <f>VLOOKUP($D65,Model!$1:$1048576,MATCH(FinSum!H$2,Model!$1:$1,0),FALSE)</f>
        <v>#REF!</v>
      </c>
      <c r="I65" s="683" t="e">
        <f>VLOOKUP($D65,Model!$1:$1048576,MATCH(FinSum!I$2,Model!$1:$1,0),FALSE)</f>
        <v>#REF!</v>
      </c>
      <c r="J65" s="683" t="e">
        <f>VLOOKUP($D65,Model!$1:$1048576,MATCH(FinSum!J$2,Model!$1:$1,0),FALSE)</f>
        <v>#REF!</v>
      </c>
      <c r="L65" s="701" t="s">
        <v>2175</v>
      </c>
      <c r="M65" s="702"/>
      <c r="N65" s="703"/>
      <c r="O65" s="703"/>
      <c r="P65" s="703"/>
      <c r="Q65" s="703"/>
    </row>
    <row r="66" spans="4:17">
      <c r="D66" s="202" t="s">
        <v>816</v>
      </c>
      <c r="E66" s="653" t="s">
        <v>2177</v>
      </c>
      <c r="F66" s="683" t="e">
        <f>VLOOKUP($D66,Model!$1:$1048576,MATCH(FinSum!F$2,Model!$1:$1,0),FALSE)</f>
        <v>#REF!</v>
      </c>
      <c r="G66" s="683" t="e">
        <f>VLOOKUP($D66,Model!$1:$1048576,MATCH(FinSum!G$2,Model!$1:$1,0),FALSE)</f>
        <v>#REF!</v>
      </c>
      <c r="H66" s="683" t="e">
        <f>VLOOKUP($D66,Model!$1:$1048576,MATCH(FinSum!H$2,Model!$1:$1,0),FALSE)</f>
        <v>#REF!</v>
      </c>
      <c r="I66" s="683" t="e">
        <f>VLOOKUP($D66,Model!$1:$1048576,MATCH(FinSum!I$2,Model!$1:$1,0),FALSE)</f>
        <v>#REF!</v>
      </c>
      <c r="J66" s="683" t="e">
        <f>VLOOKUP($D66,Model!$1:$1048576,MATCH(FinSum!J$2,Model!$1:$1,0),FALSE)</f>
        <v>#REF!</v>
      </c>
    </row>
    <row r="67" spans="4:17">
      <c r="D67" s="202" t="s">
        <v>817</v>
      </c>
      <c r="E67" s="653" t="s">
        <v>2178</v>
      </c>
      <c r="F67" s="683" t="e">
        <f>VLOOKUP($D67,Model!$1:$1048576,MATCH(FinSum!F$2,Model!$1:$1,0),FALSE)</f>
        <v>#REF!</v>
      </c>
      <c r="G67" s="683" t="e">
        <f>VLOOKUP($D67,Model!$1:$1048576,MATCH(FinSum!G$2,Model!$1:$1,0),FALSE)</f>
        <v>#REF!</v>
      </c>
      <c r="H67" s="683" t="e">
        <f>VLOOKUP($D67,Model!$1:$1048576,MATCH(FinSum!H$2,Model!$1:$1,0),FALSE)</f>
        <v>#REF!</v>
      </c>
      <c r="I67" s="683" t="e">
        <f>VLOOKUP($D67,Model!$1:$1048576,MATCH(FinSum!I$2,Model!$1:$1,0),FALSE)</f>
        <v>#REF!</v>
      </c>
      <c r="J67" s="683" t="e">
        <f>VLOOKUP($D67,Model!$1:$1048576,MATCH(FinSum!J$2,Model!$1:$1,0),FALSE)</f>
        <v>#REF!</v>
      </c>
      <c r="L67" s="656" t="s">
        <v>2513</v>
      </c>
      <c r="N67" s="687" t="s">
        <v>2576</v>
      </c>
      <c r="O67" s="688"/>
    </row>
    <row r="68" spans="4:17">
      <c r="D68" s="202" t="s">
        <v>818</v>
      </c>
      <c r="E68" s="653" t="s">
        <v>2183</v>
      </c>
      <c r="F68" s="683" t="e">
        <f>VLOOKUP($D68,Model!$1:$1048576,MATCH(FinSum!F$2,Model!$1:$1,0),FALSE)</f>
        <v>#REF!</v>
      </c>
      <c r="G68" s="683" t="e">
        <f>VLOOKUP($D68,Model!$1:$1048576,MATCH(FinSum!G$2,Model!$1:$1,0),FALSE)</f>
        <v>#REF!</v>
      </c>
      <c r="H68" s="683" t="e">
        <f>VLOOKUP($D68,Model!$1:$1048576,MATCH(FinSum!H$2,Model!$1:$1,0),FALSE)</f>
        <v>#REF!</v>
      </c>
      <c r="I68" s="683" t="e">
        <f>VLOOKUP($D68,Model!$1:$1048576,MATCH(FinSum!I$2,Model!$1:$1,0),FALSE)</f>
        <v>#REF!</v>
      </c>
      <c r="J68" s="683" t="e">
        <f>VLOOKUP($D68,Model!$1:$1048576,MATCH(FinSum!J$2,Model!$1:$1,0),FALSE)</f>
        <v>#REF!</v>
      </c>
      <c r="N68" s="689"/>
    </row>
    <row r="69" spans="4:17">
      <c r="D69" s="202" t="s">
        <v>819</v>
      </c>
      <c r="E69" s="653" t="s">
        <v>2184</v>
      </c>
      <c r="F69" s="683" t="e">
        <f>VLOOKUP($D69,Model!$1:$1048576,MATCH(FinSum!F$2,Model!$1:$1,0),FALSE)</f>
        <v>#REF!</v>
      </c>
      <c r="G69" s="683" t="e">
        <f>VLOOKUP($D69,Model!$1:$1048576,MATCH(FinSum!G$2,Model!$1:$1,0),FALSE)</f>
        <v>#REF!</v>
      </c>
      <c r="H69" s="683" t="e">
        <f>VLOOKUP($D69,Model!$1:$1048576,MATCH(FinSum!H$2,Model!$1:$1,0),FALSE)</f>
        <v>#REF!</v>
      </c>
      <c r="I69" s="683" t="e">
        <f>VLOOKUP($D69,Model!$1:$1048576,MATCH(FinSum!I$2,Model!$1:$1,0),FALSE)</f>
        <v>#REF!</v>
      </c>
      <c r="J69" s="683" t="e">
        <f>VLOOKUP($D69,Model!$1:$1048576,MATCH(FinSum!J$2,Model!$1:$1,0),FALSE)</f>
        <v>#REF!</v>
      </c>
      <c r="L69" s="656" t="s">
        <v>2179</v>
      </c>
      <c r="N69" s="688" t="s">
        <v>2180</v>
      </c>
      <c r="O69" s="690" t="s">
        <v>2181</v>
      </c>
      <c r="P69" s="656" t="s">
        <v>2182</v>
      </c>
    </row>
    <row r="70" spans="4:17">
      <c r="D70" s="202" t="s">
        <v>820</v>
      </c>
      <c r="E70" s="653" t="s">
        <v>2185</v>
      </c>
      <c r="F70" s="683" t="e">
        <f>VLOOKUP($D70,Model!$1:$1048576,MATCH(FinSum!F$2,Model!$1:$1,0),FALSE)</f>
        <v>#REF!</v>
      </c>
      <c r="G70" s="683" t="e">
        <f>VLOOKUP($D70,Model!$1:$1048576,MATCH(FinSum!G$2,Model!$1:$1,0),FALSE)</f>
        <v>#REF!</v>
      </c>
      <c r="H70" s="683" t="e">
        <f>VLOOKUP($D70,Model!$1:$1048576,MATCH(FinSum!H$2,Model!$1:$1,0),FALSE)</f>
        <v>#REF!</v>
      </c>
      <c r="I70" s="683" t="e">
        <f>VLOOKUP($D70,Model!$1:$1048576,MATCH(FinSum!I$2,Model!$1:$1,0),FALSE)</f>
        <v>#REF!</v>
      </c>
      <c r="J70" s="683" t="e">
        <f>VLOOKUP($D70,Model!$1:$1048576,MATCH(FinSum!J$2,Model!$1:$1,0),FALSE)</f>
        <v>#REF!</v>
      </c>
      <c r="L70" s="653" t="s">
        <v>729</v>
      </c>
      <c r="N70" s="691">
        <f ca="1">Summary!C148</f>
        <v>155.12298250953299</v>
      </c>
      <c r="O70" s="692">
        <f>Summary!D148</f>
        <v>0</v>
      </c>
      <c r="P70" s="653" t="str">
        <f>Summary!K125</f>
        <v>Sustainable ROTE = 15.6%</v>
      </c>
    </row>
    <row r="71" spans="4:17">
      <c r="D71" s="202" t="s">
        <v>821</v>
      </c>
      <c r="E71" s="653" t="s">
        <v>2186</v>
      </c>
      <c r="F71" s="683" t="e">
        <f>VLOOKUP($D71,Model!$1:$1048576,MATCH(FinSum!F$2,Model!$1:$1,0),FALSE)</f>
        <v>#REF!</v>
      </c>
      <c r="G71" s="683" t="e">
        <f>VLOOKUP($D71,Model!$1:$1048576,MATCH(FinSum!G$2,Model!$1:$1,0),FALSE)</f>
        <v>#REF!</v>
      </c>
      <c r="H71" s="683" t="e">
        <f>VLOOKUP($D71,Model!$1:$1048576,MATCH(FinSum!H$2,Model!$1:$1,0),FALSE)</f>
        <v>#REF!</v>
      </c>
      <c r="I71" s="683" t="e">
        <f>VLOOKUP($D71,Model!$1:$1048576,MATCH(FinSum!I$2,Model!$1:$1,0),FALSE)</f>
        <v>#REF!</v>
      </c>
      <c r="J71" s="683" t="e">
        <f>VLOOKUP($D71,Model!$1:$1048576,MATCH(FinSum!J$2,Model!$1:$1,0),FALSE)</f>
        <v>#REF!</v>
      </c>
      <c r="L71" s="653" t="s">
        <v>724</v>
      </c>
      <c r="N71" s="691">
        <f ca="1">Summary!C149</f>
        <v>114.53365251135534</v>
      </c>
      <c r="O71" s="692">
        <f>Summary!D149</f>
        <v>0.5</v>
      </c>
      <c r="P71" s="653" t="str">
        <f>TEXT($N$82,"0.0%")&amp;" cost of equity"</f>
        <v>8.9% cost of equity</v>
      </c>
    </row>
    <row r="72" spans="4:17">
      <c r="D72" s="202" t="s">
        <v>822</v>
      </c>
      <c r="E72" s="653" t="s">
        <v>2187</v>
      </c>
      <c r="F72" s="672" t="e">
        <f>VLOOKUP($D72,Model!$1:$1048576,MATCH(FinSum!F$2,Model!$1:$1,0),FALSE)</f>
        <v>#REF!</v>
      </c>
      <c r="G72" s="672" t="e">
        <f>VLOOKUP($D72,Model!$1:$1048576,MATCH(FinSum!G$2,Model!$1:$1,0),FALSE)</f>
        <v>#REF!</v>
      </c>
      <c r="H72" s="672" t="e">
        <f>VLOOKUP($D72,Model!$1:$1048576,MATCH(FinSum!H$2,Model!$1:$1,0),FALSE)</f>
        <v>#REF!</v>
      </c>
      <c r="I72" s="672" t="e">
        <f>VLOOKUP($D72,Model!$1:$1048576,MATCH(FinSum!I$2,Model!$1:$1,0),FALSE)</f>
        <v>#REF!</v>
      </c>
      <c r="J72" s="672" t="e">
        <f>VLOOKUP($D72,Model!$1:$1048576,MATCH(FinSum!J$2,Model!$1:$1,0),FALSE)</f>
        <v>#REF!</v>
      </c>
      <c r="L72" s="653" t="s">
        <v>2496</v>
      </c>
      <c r="N72" s="691">
        <f ca="1">Summary!C150</f>
        <v>106.6996986272908</v>
      </c>
      <c r="O72" s="692">
        <f>Summary!D150</f>
        <v>0</v>
      </c>
      <c r="P72" s="653" t="str">
        <f>TEXT($N$82,"0.0%")&amp;" cost of equity"</f>
        <v>8.9% cost of equity</v>
      </c>
    </row>
    <row r="73" spans="4:17">
      <c r="D73" s="202" t="s">
        <v>823</v>
      </c>
      <c r="E73" s="653" t="s">
        <v>2189</v>
      </c>
      <c r="F73" s="683" t="e">
        <f>VLOOKUP($D73,Model!$1:$1048576,MATCH(FinSum!F$2,Model!$1:$1,0),FALSE)</f>
        <v>#REF!</v>
      </c>
      <c r="G73" s="683" t="e">
        <f>VLOOKUP($D73,Model!$1:$1048576,MATCH(FinSum!G$2,Model!$1:$1,0),FALSE)</f>
        <v>#REF!</v>
      </c>
      <c r="H73" s="683" t="e">
        <f>VLOOKUP($D73,Model!$1:$1048576,MATCH(FinSum!H$2,Model!$1:$1,0),FALSE)</f>
        <v>#REF!</v>
      </c>
      <c r="I73" s="683" t="e">
        <f>VLOOKUP($D73,Model!$1:$1048576,MATCH(FinSum!I$2,Model!$1:$1,0),FALSE)</f>
        <v>#REF!</v>
      </c>
      <c r="J73" s="683" t="e">
        <f>VLOOKUP($D73,Model!$1:$1048576,MATCH(FinSum!J$2,Model!$1:$1,0),FALSE)</f>
        <v>#REF!</v>
      </c>
      <c r="L73" s="653" t="s">
        <v>858</v>
      </c>
      <c r="N73" s="691">
        <f ca="1">Summary!C151</f>
        <v>161.17148997839806</v>
      </c>
      <c r="O73" s="692">
        <f>Summary!D151</f>
        <v>0.5</v>
      </c>
      <c r="P73" s="653" t="str">
        <f>Summary!K122</f>
        <v>Based on 20y premium/discount to sector avg, applied to 6mo sector PE (updated 30/01/2026)</v>
      </c>
    </row>
    <row r="74" spans="4:17">
      <c r="D74" s="202" t="s">
        <v>824</v>
      </c>
      <c r="E74" s="653" t="s">
        <v>2190</v>
      </c>
      <c r="F74" s="683" t="e">
        <f>VLOOKUP($D74,Model!$1:$1048576,MATCH(FinSum!F$2,Model!$1:$1,0),FALSE)</f>
        <v>#REF!</v>
      </c>
      <c r="G74" s="683" t="e">
        <f>VLOOKUP($D74,Model!$1:$1048576,MATCH(FinSum!G$2,Model!$1:$1,0),FALSE)</f>
        <v>#REF!</v>
      </c>
      <c r="H74" s="683" t="e">
        <f>VLOOKUP($D74,Model!$1:$1048576,MATCH(FinSum!H$2,Model!$1:$1,0),FALSE)</f>
        <v>#REF!</v>
      </c>
      <c r="I74" s="683" t="e">
        <f>VLOOKUP($D74,Model!$1:$1048576,MATCH(FinSum!I$2,Model!$1:$1,0),FALSE)</f>
        <v>#REF!</v>
      </c>
      <c r="J74" s="683" t="e">
        <f>VLOOKUP($D74,Model!$1:$1048576,MATCH(FinSum!J$2,Model!$1:$1,0),FALSE)</f>
        <v>#REF!</v>
      </c>
      <c r="L74" s="653" t="s">
        <v>728</v>
      </c>
      <c r="N74" s="691">
        <f ca="1">Summary!C152</f>
        <v>57.682987534634847</v>
      </c>
      <c r="O74" s="692">
        <f>Summary!D152</f>
        <v>0</v>
      </c>
      <c r="P74" s="653" t="str">
        <f>Summary!K123</f>
        <v>GFC lows</v>
      </c>
    </row>
    <row r="75" spans="4:17">
      <c r="D75" s="202" t="s">
        <v>825</v>
      </c>
      <c r="E75" s="653" t="s">
        <v>2192</v>
      </c>
      <c r="F75" s="683" t="e">
        <f>VLOOKUP($D75,Model!$1:$1048576,MATCH(FinSum!F$2,Model!$1:$1,0),FALSE)</f>
        <v>#REF!</v>
      </c>
      <c r="G75" s="683" t="e">
        <f>VLOOKUP($D75,Model!$1:$1048576,MATCH(FinSum!G$2,Model!$1:$1,0),FALSE)</f>
        <v>#REF!</v>
      </c>
      <c r="H75" s="683" t="e">
        <f>VLOOKUP($D75,Model!$1:$1048576,MATCH(FinSum!H$2,Model!$1:$1,0),FALSE)</f>
        <v>#REF!</v>
      </c>
      <c r="I75" s="683" t="e">
        <f>VLOOKUP($D75,Model!$1:$1048576,MATCH(FinSum!I$2,Model!$1:$1,0),FALSE)</f>
        <v>#REF!</v>
      </c>
      <c r="J75" s="683" t="e">
        <f>VLOOKUP($D75,Model!$1:$1048576,MATCH(FinSum!J$2,Model!$1:$1,0),FALSE)</f>
        <v>#REF!</v>
      </c>
      <c r="L75" s="656" t="s">
        <v>856</v>
      </c>
      <c r="M75" s="656"/>
      <c r="N75" s="693">
        <f ca="1">Summary!C153</f>
        <v>137.85257124487669</v>
      </c>
      <c r="O75" s="694">
        <f>Summary!D153</f>
        <v>1</v>
      </c>
      <c r="P75" s="656" t="s">
        <v>2188</v>
      </c>
      <c r="Q75" s="656"/>
    </row>
    <row r="76" spans="4:17">
      <c r="D76" s="202" t="s">
        <v>826</v>
      </c>
      <c r="E76" s="653" t="s">
        <v>2193</v>
      </c>
      <c r="F76" s="683" t="e">
        <f>VLOOKUP($D76,Model!$1:$1048576,MATCH(FinSum!F$2,Model!$1:$1,0),FALSE)</f>
        <v>#REF!</v>
      </c>
      <c r="G76" s="683" t="e">
        <f>VLOOKUP($D76,Model!$1:$1048576,MATCH(FinSum!G$2,Model!$1:$1,0),FALSE)</f>
        <v>#REF!</v>
      </c>
      <c r="H76" s="683" t="e">
        <f>VLOOKUP($D76,Model!$1:$1048576,MATCH(FinSum!H$2,Model!$1:$1,0),FALSE)</f>
        <v>#REF!</v>
      </c>
      <c r="I76" s="683" t="e">
        <f>VLOOKUP($D76,Model!$1:$1048576,MATCH(FinSum!I$2,Model!$1:$1,0),FALSE)</f>
        <v>#REF!</v>
      </c>
      <c r="J76" s="683" t="e">
        <f>VLOOKUP($D76,Model!$1:$1048576,MATCH(FinSum!J$2,Model!$1:$1,0),FALSE)</f>
        <v>#REF!</v>
      </c>
      <c r="N76" s="689"/>
    </row>
    <row r="77" spans="4:17">
      <c r="D77" s="202" t="s">
        <v>827</v>
      </c>
      <c r="E77" s="653" t="s">
        <v>2194</v>
      </c>
      <c r="F77" s="683" t="e">
        <f>VLOOKUP($D77,Model!$1:$1048576,MATCH(FinSum!F$2,Model!$1:$1,0),FALSE)</f>
        <v>#REF!</v>
      </c>
      <c r="G77" s="683" t="e">
        <f>VLOOKUP($D77,Model!$1:$1048576,MATCH(FinSum!G$2,Model!$1:$1,0),FALSE)</f>
        <v>#REF!</v>
      </c>
      <c r="H77" s="683" t="e">
        <f>VLOOKUP($D77,Model!$1:$1048576,MATCH(FinSum!H$2,Model!$1:$1,0),FALSE)</f>
        <v>#REF!</v>
      </c>
      <c r="I77" s="683" t="e">
        <f>VLOOKUP($D77,Model!$1:$1048576,MATCH(FinSum!I$2,Model!$1:$1,0),FALSE)</f>
        <v>#REF!</v>
      </c>
      <c r="J77" s="683" t="e">
        <f>VLOOKUP($D77,Model!$1:$1048576,MATCH(FinSum!J$2,Model!$1:$1,0),FALSE)</f>
        <v>#REF!</v>
      </c>
      <c r="L77" s="656" t="s">
        <v>2191</v>
      </c>
      <c r="N77" s="689"/>
    </row>
    <row r="78" spans="4:17">
      <c r="D78" s="202" t="s">
        <v>828</v>
      </c>
      <c r="E78" s="653" t="s">
        <v>2196</v>
      </c>
      <c r="F78" s="683" t="e">
        <f>VLOOKUP($D78,Model!$1:$1048576,MATCH(FinSum!F$2,Model!$1:$1,0),FALSE)</f>
        <v>#REF!</v>
      </c>
      <c r="G78" s="683" t="e">
        <f>VLOOKUP($D78,Model!$1:$1048576,MATCH(FinSum!G$2,Model!$1:$1,0),FALSE)</f>
        <v>#REF!</v>
      </c>
      <c r="H78" s="683" t="e">
        <f>VLOOKUP($D78,Model!$1:$1048576,MATCH(FinSum!H$2,Model!$1:$1,0),FALSE)</f>
        <v>#REF!</v>
      </c>
      <c r="I78" s="683" t="e">
        <f>VLOOKUP($D78,Model!$1:$1048576,MATCH(FinSum!I$2,Model!$1:$1,0),FALSE)</f>
        <v>#REF!</v>
      </c>
      <c r="J78" s="683" t="e">
        <f>VLOOKUP($D78,Model!$1:$1048576,MATCH(FinSum!J$2,Model!$1:$1,0),FALSE)</f>
        <v>#REF!</v>
      </c>
      <c r="L78" s="653" t="s">
        <v>207</v>
      </c>
      <c r="N78" s="695">
        <f>Summary!G4</f>
        <v>2.5000000000000001E-2</v>
      </c>
      <c r="O78" s="653" t="s">
        <v>659</v>
      </c>
      <c r="Q78" s="696">
        <f ca="1">SUMPRODUCT(Summary!$C$132:$G$132,Summary!$C$143:$G$143)</f>
        <v>157177.97220250184</v>
      </c>
    </row>
    <row r="79" spans="4:17">
      <c r="E79" s="656" t="s">
        <v>620</v>
      </c>
      <c r="F79" s="683"/>
      <c r="G79" s="683"/>
      <c r="H79" s="683"/>
      <c r="I79" s="683"/>
      <c r="J79" s="683"/>
      <c r="L79" s="653" t="s">
        <v>131</v>
      </c>
      <c r="N79" s="695">
        <f>Summary!G5</f>
        <v>3.5000000000000003E-2</v>
      </c>
      <c r="O79" s="653" t="s">
        <v>661</v>
      </c>
      <c r="Q79" s="697">
        <f ca="1">SUMPRODUCT(Summary!$C$137:$G$137,Summary!$C$143:$G$143)</f>
        <v>34336.465129040291</v>
      </c>
    </row>
    <row r="80" spans="4:17">
      <c r="D80" s="202" t="s">
        <v>954</v>
      </c>
      <c r="E80" s="653" t="s">
        <v>2199</v>
      </c>
      <c r="F80" s="683" t="e">
        <f>VLOOKUP($D80,Model!$1:$1048576,MATCH(FinSum!F$2,Model!$1:$1,0),FALSE)</f>
        <v>#REF!</v>
      </c>
      <c r="G80" s="683" t="e">
        <f>VLOOKUP($D80,Model!$1:$1048576,MATCH(FinSum!G$2,Model!$1:$1,0),FALSE)</f>
        <v>#REF!</v>
      </c>
      <c r="H80" s="683" t="e">
        <f>VLOOKUP($D80,Model!$1:$1048576,MATCH(FinSum!H$2,Model!$1:$1,0),FALSE)</f>
        <v>#REF!</v>
      </c>
      <c r="I80" s="683" t="e">
        <f>VLOOKUP($D80,Model!$1:$1048576,MATCH(FinSum!I$2,Model!$1:$1,0),FALSE)</f>
        <v>#REF!</v>
      </c>
      <c r="J80" s="683" t="e">
        <f>VLOOKUP($D80,Model!$1:$1048576,MATCH(FinSum!J$2,Model!$1:$1,0),FALSE)</f>
        <v>#REF!</v>
      </c>
      <c r="L80" s="653" t="s">
        <v>2195</v>
      </c>
      <c r="N80" s="695">
        <f>Summary!G6</f>
        <v>0.06</v>
      </c>
      <c r="O80" s="653" t="s">
        <v>547</v>
      </c>
      <c r="Q80" s="696">
        <f ca="1">SUMPRODUCT(Summary!$C$140:$G$140,Summary!$C$143:$G$143)</f>
        <v>191514.43733154214</v>
      </c>
    </row>
    <row r="81" spans="4:17">
      <c r="D81" s="202" t="s">
        <v>955</v>
      </c>
      <c r="E81" s="653" t="s">
        <v>544</v>
      </c>
      <c r="F81" s="683" t="e">
        <f>VLOOKUP($D81,Model!$1:$1048576,MATCH(FinSum!F$2,Model!$1:$1,0),FALSE)</f>
        <v>#REF!</v>
      </c>
      <c r="G81" s="683" t="e">
        <f>VLOOKUP($D81,Model!$1:$1048576,MATCH(FinSum!G$2,Model!$1:$1,0),FALSE)</f>
        <v>#REF!</v>
      </c>
      <c r="H81" s="683" t="e">
        <f>VLOOKUP($D81,Model!$1:$1048576,MATCH(FinSum!H$2,Model!$1:$1,0),FALSE)</f>
        <v>#REF!</v>
      </c>
      <c r="I81" s="683" t="e">
        <f>VLOOKUP($D81,Model!$1:$1048576,MATCH(FinSum!I$2,Model!$1:$1,0),FALSE)</f>
        <v>#REF!</v>
      </c>
      <c r="J81" s="683" t="e">
        <f>VLOOKUP($D81,Model!$1:$1048576,MATCH(FinSum!J$2,Model!$1:$1,0),FALSE)</f>
        <v>#REF!</v>
      </c>
      <c r="L81" s="653" t="s">
        <v>2197</v>
      </c>
      <c r="N81" s="698">
        <f>Summary!G7</f>
        <v>0.9</v>
      </c>
      <c r="O81" s="653" t="s">
        <v>2198</v>
      </c>
      <c r="Q81" s="697">
        <f ca="1">SUMPRODUCT(Summary!$C$128:$G$128,Summary!$C$143:$G$143)</f>
        <v>1672.123722</v>
      </c>
    </row>
    <row r="82" spans="4:17">
      <c r="D82" s="202" t="s">
        <v>956</v>
      </c>
      <c r="E82" s="653" t="s">
        <v>652</v>
      </c>
      <c r="F82" s="683" t="e">
        <f>VLOOKUP($D82,Model!$1:$1048576,MATCH(FinSum!F$2,Model!$1:$1,0),FALSE)</f>
        <v>#REF!</v>
      </c>
      <c r="G82" s="683" t="e">
        <f>VLOOKUP($D82,Model!$1:$1048576,MATCH(FinSum!G$2,Model!$1:$1,0),FALSE)</f>
        <v>#REF!</v>
      </c>
      <c r="H82" s="683" t="e">
        <f>VLOOKUP($D82,Model!$1:$1048576,MATCH(FinSum!H$2,Model!$1:$1,0),FALSE)</f>
        <v>#REF!</v>
      </c>
      <c r="I82" s="683" t="e">
        <f>VLOOKUP($D82,Model!$1:$1048576,MATCH(FinSum!I$2,Model!$1:$1,0),FALSE)</f>
        <v>#REF!</v>
      </c>
      <c r="J82" s="683" t="e">
        <f>VLOOKUP($D82,Model!$1:$1048576,MATCH(FinSum!J$2,Model!$1:$1,0),FALSE)</f>
        <v>#REF!</v>
      </c>
      <c r="L82" s="653" t="s">
        <v>235</v>
      </c>
      <c r="N82" s="695">
        <f>Summary!G8</f>
        <v>8.8999999999999996E-2</v>
      </c>
      <c r="O82" s="653" t="s">
        <v>548</v>
      </c>
      <c r="Q82" s="699">
        <f ca="1">SUMPRODUCT(Summary!$C$141:$G$141,Summary!$C$143:$G$143)</f>
        <v>114.53365251135534</v>
      </c>
    </row>
    <row r="83" spans="4:17">
      <c r="D83" s="1"/>
    </row>
    <row r="84" spans="4:17">
      <c r="E84" s="700" t="s">
        <v>2498</v>
      </c>
    </row>
  </sheetData>
  <printOptions horizontalCentered="1" verticalCentered="1"/>
  <pageMargins left="0.7" right="0.7" top="0.75" bottom="0.75" header="0.3" footer="0.3"/>
  <pageSetup paperSize="9" scale="20" orientation="portrait" horizontalDpi="300" verticalDpi="300" r:id="rId1"/>
  <customProperties>
    <customPr name="Qube.Worksheet.Visibility" r:id="rId2"/>
    <customPr name="QXL_SHEET_ID" r:id="rId3"/>
    <customPr name="SHEET_UNIQUE_ID" r:id="rId4"/>
  </customProperties>
  <ignoredErrors>
    <ignoredError sqref="G28:Y54 G75:W80 G60:M74 N60:W74 N56:AA59 X60:AA74 G18:M27 N18:Y27 N17:Z17 Z18:Z27"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AE59"/>
  <sheetViews>
    <sheetView workbookViewId="0"/>
  </sheetViews>
  <sheetFormatPr defaultColWidth="9" defaultRowHeight="12.75" outlineLevelCol="1"/>
  <cols>
    <col min="1" max="2" width="9" style="401" customWidth="1" outlineLevel="1"/>
    <col min="3" max="3" width="34.25" style="403" customWidth="1"/>
    <col min="4" max="12" width="9.25" style="403" hidden="1" customWidth="1" outlineLevel="1"/>
    <col min="13" max="13" width="9" style="403" hidden="1" customWidth="1" outlineLevel="1"/>
    <col min="14" max="14" width="9.375" style="403" hidden="1" customWidth="1" outlineLevel="1"/>
    <col min="15" max="15" width="9" style="403" hidden="1" customWidth="1" outlineLevel="1"/>
    <col min="16" max="16" width="7.875" style="403" customWidth="1" collapsed="1"/>
    <col min="17" max="19" width="9" style="404" customWidth="1"/>
    <col min="20" max="22" width="7.875" style="404" customWidth="1"/>
    <col min="23" max="27" width="7.875" style="404" hidden="1" customWidth="1" outlineLevel="1"/>
    <col min="28" max="28" width="11.625" style="405" customWidth="1" collapsed="1"/>
    <col min="29" max="30" width="13.75" style="401" customWidth="1"/>
    <col min="31" max="31" width="46.25" style="401" customWidth="1"/>
    <col min="32" max="16384" width="9" style="401"/>
  </cols>
  <sheetData>
    <row r="1" spans="1:31">
      <c r="C1" s="402" t="s">
        <v>2445</v>
      </c>
    </row>
    <row r="2" spans="1:31">
      <c r="C2" s="403" t="s">
        <v>1134</v>
      </c>
      <c r="P2" s="406" t="s">
        <v>2098</v>
      </c>
      <c r="R2" s="407" t="s">
        <v>237</v>
      </c>
      <c r="S2" s="408">
        <f ca="1">Summary!$C$10</f>
        <v>46203</v>
      </c>
    </row>
    <row r="3" spans="1:31">
      <c r="C3" s="403" t="s">
        <v>2446</v>
      </c>
      <c r="O3" s="401"/>
      <c r="P3" s="409">
        <v>2012</v>
      </c>
      <c r="Q3" s="401"/>
      <c r="R3" s="407" t="s">
        <v>2113</v>
      </c>
      <c r="S3" s="408">
        <f>Summary!$G$2</f>
        <v>46265</v>
      </c>
    </row>
    <row r="4" spans="1:31" s="410" customFormat="1" ht="25.5">
      <c r="C4" s="411" t="s">
        <v>2447</v>
      </c>
      <c r="D4" s="411">
        <f t="shared" ref="D4:S4" si="0">+E4-1</f>
        <v>2013</v>
      </c>
      <c r="E4" s="411">
        <f t="shared" si="0"/>
        <v>2014</v>
      </c>
      <c r="F4" s="411">
        <f t="shared" si="0"/>
        <v>2015</v>
      </c>
      <c r="G4" s="411">
        <f t="shared" si="0"/>
        <v>2016</v>
      </c>
      <c r="H4" s="411">
        <f t="shared" si="0"/>
        <v>2017</v>
      </c>
      <c r="I4" s="411">
        <f t="shared" si="0"/>
        <v>2018</v>
      </c>
      <c r="J4" s="411">
        <f t="shared" si="0"/>
        <v>2019</v>
      </c>
      <c r="K4" s="411">
        <f t="shared" si="0"/>
        <v>2020</v>
      </c>
      <c r="L4" s="411">
        <f t="shared" si="0"/>
        <v>2021</v>
      </c>
      <c r="M4" s="411">
        <f t="shared" si="0"/>
        <v>2022</v>
      </c>
      <c r="N4" s="411">
        <f t="shared" si="0"/>
        <v>2023</v>
      </c>
      <c r="O4" s="411">
        <f t="shared" si="0"/>
        <v>2024</v>
      </c>
      <c r="P4" s="412">
        <f t="shared" si="0"/>
        <v>2025</v>
      </c>
      <c r="Q4" s="412">
        <f t="shared" si="0"/>
        <v>2026</v>
      </c>
      <c r="R4" s="412">
        <f t="shared" si="0"/>
        <v>2027</v>
      </c>
      <c r="S4" s="412">
        <f t="shared" si="0"/>
        <v>2028</v>
      </c>
      <c r="T4" s="412">
        <f>+U4-1</f>
        <v>2029</v>
      </c>
      <c r="U4" s="412">
        <f>MID(Summary!$G$3,3,2)+2000-4</f>
        <v>2030</v>
      </c>
      <c r="V4" s="412">
        <f t="shared" ref="V4:AA4" si="1">+U4+1</f>
        <v>2031</v>
      </c>
      <c r="W4" s="412">
        <f t="shared" si="1"/>
        <v>2032</v>
      </c>
      <c r="X4" s="412">
        <f t="shared" si="1"/>
        <v>2033</v>
      </c>
      <c r="Y4" s="412">
        <f t="shared" si="1"/>
        <v>2034</v>
      </c>
      <c r="Z4" s="412">
        <f t="shared" si="1"/>
        <v>2035</v>
      </c>
      <c r="AA4" s="412">
        <f t="shared" si="1"/>
        <v>2036</v>
      </c>
      <c r="AB4" s="413" t="s">
        <v>2448</v>
      </c>
      <c r="AC4" s="414" t="str">
        <f>"CAGR FY"&amp;D4&amp;"-FY"&amp;P4&amp;"/Avg"</f>
        <v>CAGR FY2013-FY2025/Avg</v>
      </c>
      <c r="AD4" s="414" t="str">
        <f>"CAGR FY"&amp;Q4&amp;"-FY"&amp;AA4&amp;"/Avg"</f>
        <v>CAGR FY2026-FY2036/Avg</v>
      </c>
    </row>
    <row r="5" spans="1:31">
      <c r="C5" s="415"/>
      <c r="D5" s="402"/>
      <c r="E5" s="402"/>
      <c r="F5" s="402"/>
      <c r="G5" s="402"/>
      <c r="H5" s="402"/>
      <c r="I5" s="402"/>
      <c r="J5" s="402"/>
      <c r="K5" s="402"/>
      <c r="L5" s="416"/>
      <c r="M5" s="416"/>
      <c r="N5" s="416"/>
      <c r="O5" s="416"/>
      <c r="P5" s="416"/>
      <c r="Q5" s="417"/>
      <c r="R5" s="417"/>
      <c r="S5" s="417"/>
      <c r="T5" s="417"/>
      <c r="U5" s="417"/>
      <c r="V5" s="417"/>
      <c r="W5" s="417"/>
      <c r="X5" s="417"/>
      <c r="Y5" s="417"/>
      <c r="Z5" s="417"/>
      <c r="AA5" s="417"/>
      <c r="AB5" s="418"/>
    </row>
    <row r="6" spans="1:31">
      <c r="C6" s="419" t="s">
        <v>2447</v>
      </c>
      <c r="D6" s="419"/>
      <c r="E6" s="419"/>
      <c r="F6" s="419"/>
      <c r="G6" s="419"/>
      <c r="H6" s="419"/>
      <c r="I6" s="419"/>
      <c r="J6" s="419"/>
      <c r="K6" s="419"/>
      <c r="L6" s="419"/>
      <c r="M6" s="419"/>
      <c r="N6" s="419"/>
      <c r="O6" s="419"/>
      <c r="P6" s="420">
        <f ca="1">MAX(0,(EOMONTH((DATE(P4,MONTH($S$2),15)),0)-$S$3)/365)</f>
        <v>0</v>
      </c>
      <c r="Q6" s="420">
        <f ca="1">MAX(0,(EOMONTH((DATE(Q4,MONTH($S$2),15)),0)-$S$3)/365)</f>
        <v>0</v>
      </c>
      <c r="R6" s="420">
        <f ca="1">MAX(0,(EOMONTH((DATE(R4,MONTH($S$2),15)),0)-$S$3)/365)</f>
        <v>0.83013698630136989</v>
      </c>
      <c r="S6" s="420">
        <f t="shared" ref="S6:AA6" ca="1" si="2">MAX(0,(EOMONTH((DATE(S4,MONTH($S$2),15)),0)-$S$3)/365)</f>
        <v>1.832876712328767</v>
      </c>
      <c r="T6" s="420">
        <f t="shared" ca="1" si="2"/>
        <v>2.8328767123287673</v>
      </c>
      <c r="U6" s="420">
        <f t="shared" ca="1" si="2"/>
        <v>3.8328767123287673</v>
      </c>
      <c r="V6" s="420">
        <f t="shared" ca="1" si="2"/>
        <v>4.8328767123287673</v>
      </c>
      <c r="W6" s="420">
        <f t="shared" ca="1" si="2"/>
        <v>5.8356164383561646</v>
      </c>
      <c r="X6" s="420">
        <f t="shared" ca="1" si="2"/>
        <v>6.8356164383561646</v>
      </c>
      <c r="Y6" s="420">
        <f t="shared" ca="1" si="2"/>
        <v>7.8356164383561646</v>
      </c>
      <c r="Z6" s="420">
        <f t="shared" ca="1" si="2"/>
        <v>8.8356164383561637</v>
      </c>
      <c r="AA6" s="420">
        <f t="shared" ca="1" si="2"/>
        <v>9.838356164383562</v>
      </c>
      <c r="AB6" s="421">
        <f ca="1">AA6</f>
        <v>9.838356164383562</v>
      </c>
      <c r="AC6" s="422"/>
      <c r="AD6" s="422"/>
    </row>
    <row r="7" spans="1:31">
      <c r="A7" s="401" t="s">
        <v>1125</v>
      </c>
      <c r="C7" s="423" t="s">
        <v>2449</v>
      </c>
      <c r="D7" s="424"/>
      <c r="E7" s="424"/>
      <c r="F7" s="425"/>
      <c r="G7" s="425"/>
      <c r="H7" s="425"/>
      <c r="I7" s="425"/>
      <c r="J7" s="425"/>
      <c r="K7" s="425"/>
      <c r="L7" s="425"/>
      <c r="M7" s="425"/>
      <c r="N7" s="426"/>
      <c r="O7" s="426"/>
      <c r="P7" s="426">
        <f>VLOOKUP($A7,Summary!$A$2:$G$7,7,FALSE)*100</f>
        <v>3.5000000000000004</v>
      </c>
      <c r="Q7" s="424">
        <f t="shared" ref="Q7:AA9" si="3">+P7</f>
        <v>3.5000000000000004</v>
      </c>
      <c r="R7" s="424">
        <f t="shared" si="3"/>
        <v>3.5000000000000004</v>
      </c>
      <c r="S7" s="424">
        <f t="shared" si="3"/>
        <v>3.5000000000000004</v>
      </c>
      <c r="T7" s="424">
        <f t="shared" si="3"/>
        <v>3.5000000000000004</v>
      </c>
      <c r="U7" s="424">
        <f t="shared" si="3"/>
        <v>3.5000000000000004</v>
      </c>
      <c r="V7" s="424">
        <f t="shared" si="3"/>
        <v>3.5000000000000004</v>
      </c>
      <c r="W7" s="424">
        <f t="shared" si="3"/>
        <v>3.5000000000000004</v>
      </c>
      <c r="X7" s="424">
        <f t="shared" si="3"/>
        <v>3.5000000000000004</v>
      </c>
      <c r="Y7" s="424">
        <f t="shared" si="3"/>
        <v>3.5000000000000004</v>
      </c>
      <c r="Z7" s="424">
        <f t="shared" si="3"/>
        <v>3.5000000000000004</v>
      </c>
      <c r="AA7" s="424">
        <f t="shared" si="3"/>
        <v>3.5000000000000004</v>
      </c>
      <c r="AB7" s="427"/>
      <c r="AC7" s="428"/>
      <c r="AD7" s="428"/>
    </row>
    <row r="8" spans="1:31">
      <c r="A8" s="401" t="s">
        <v>1127</v>
      </c>
      <c r="C8" s="423" t="s">
        <v>2450</v>
      </c>
      <c r="D8" s="424"/>
      <c r="E8" s="424"/>
      <c r="F8" s="425"/>
      <c r="G8" s="425"/>
      <c r="H8" s="425"/>
      <c r="I8" s="425"/>
      <c r="J8" s="425"/>
      <c r="K8" s="425"/>
      <c r="L8" s="425"/>
      <c r="M8" s="425"/>
      <c r="N8" s="426"/>
      <c r="O8" s="426"/>
      <c r="P8" s="426">
        <f>VLOOKUP($A8,Summary!$A$2:$G$7,7,FALSE)</f>
        <v>0.9</v>
      </c>
      <c r="Q8" s="424">
        <f t="shared" si="3"/>
        <v>0.9</v>
      </c>
      <c r="R8" s="424">
        <f t="shared" si="3"/>
        <v>0.9</v>
      </c>
      <c r="S8" s="424">
        <f t="shared" si="3"/>
        <v>0.9</v>
      </c>
      <c r="T8" s="424">
        <f t="shared" si="3"/>
        <v>0.9</v>
      </c>
      <c r="U8" s="424">
        <f t="shared" si="3"/>
        <v>0.9</v>
      </c>
      <c r="V8" s="424">
        <f t="shared" si="3"/>
        <v>0.9</v>
      </c>
      <c r="W8" s="424">
        <f t="shared" si="3"/>
        <v>0.9</v>
      </c>
      <c r="X8" s="424">
        <f t="shared" si="3"/>
        <v>0.9</v>
      </c>
      <c r="Y8" s="424">
        <f t="shared" si="3"/>
        <v>0.9</v>
      </c>
      <c r="Z8" s="424">
        <f t="shared" si="3"/>
        <v>0.9</v>
      </c>
      <c r="AA8" s="424">
        <f t="shared" si="3"/>
        <v>0.9</v>
      </c>
      <c r="AB8" s="427"/>
      <c r="AC8" s="428"/>
      <c r="AD8" s="428"/>
      <c r="AE8" s="401" t="s">
        <v>2451</v>
      </c>
    </row>
    <row r="9" spans="1:31">
      <c r="A9" s="401" t="s">
        <v>1126</v>
      </c>
      <c r="C9" s="423" t="s">
        <v>2452</v>
      </c>
      <c r="D9" s="424"/>
      <c r="E9" s="424"/>
      <c r="F9" s="425"/>
      <c r="G9" s="425"/>
      <c r="H9" s="425"/>
      <c r="I9" s="425"/>
      <c r="J9" s="425"/>
      <c r="K9" s="425"/>
      <c r="L9" s="425"/>
      <c r="M9" s="425"/>
      <c r="N9" s="426"/>
      <c r="O9" s="426"/>
      <c r="P9" s="426">
        <f>VLOOKUP($A9,Summary!$A$2:$G$7,7,FALSE)*100</f>
        <v>6</v>
      </c>
      <c r="Q9" s="424">
        <f t="shared" si="3"/>
        <v>6</v>
      </c>
      <c r="R9" s="424">
        <f t="shared" si="3"/>
        <v>6</v>
      </c>
      <c r="S9" s="424">
        <f t="shared" si="3"/>
        <v>6</v>
      </c>
      <c r="T9" s="424">
        <f t="shared" si="3"/>
        <v>6</v>
      </c>
      <c r="U9" s="424">
        <f t="shared" si="3"/>
        <v>6</v>
      </c>
      <c r="V9" s="424">
        <f t="shared" si="3"/>
        <v>6</v>
      </c>
      <c r="W9" s="424">
        <f t="shared" si="3"/>
        <v>6</v>
      </c>
      <c r="X9" s="424">
        <f t="shared" si="3"/>
        <v>6</v>
      </c>
      <c r="Y9" s="424">
        <f t="shared" si="3"/>
        <v>6</v>
      </c>
      <c r="Z9" s="424">
        <f t="shared" si="3"/>
        <v>6</v>
      </c>
      <c r="AA9" s="424">
        <f t="shared" si="3"/>
        <v>6</v>
      </c>
      <c r="AB9" s="427"/>
      <c r="AC9" s="428"/>
      <c r="AD9" s="428"/>
    </row>
    <row r="10" spans="1:31">
      <c r="C10" s="419" t="s">
        <v>2453</v>
      </c>
      <c r="D10" s="429"/>
      <c r="E10" s="429"/>
      <c r="F10" s="430"/>
      <c r="G10" s="430"/>
      <c r="H10" s="430"/>
      <c r="I10" s="430"/>
      <c r="J10" s="430"/>
      <c r="K10" s="430"/>
      <c r="L10" s="430"/>
      <c r="M10" s="430"/>
      <c r="N10" s="431"/>
      <c r="O10" s="431"/>
      <c r="P10" s="431">
        <f t="shared" ref="P10:AA10" si="4">+P7+P9*P8</f>
        <v>8.9</v>
      </c>
      <c r="Q10" s="431">
        <f t="shared" si="4"/>
        <v>8.9</v>
      </c>
      <c r="R10" s="431">
        <f t="shared" si="4"/>
        <v>8.9</v>
      </c>
      <c r="S10" s="431">
        <f t="shared" si="4"/>
        <v>8.9</v>
      </c>
      <c r="T10" s="431">
        <f t="shared" si="4"/>
        <v>8.9</v>
      </c>
      <c r="U10" s="431">
        <f t="shared" si="4"/>
        <v>8.9</v>
      </c>
      <c r="V10" s="431">
        <f t="shared" si="4"/>
        <v>8.9</v>
      </c>
      <c r="W10" s="431">
        <f t="shared" si="4"/>
        <v>8.9</v>
      </c>
      <c r="X10" s="431">
        <f t="shared" si="4"/>
        <v>8.9</v>
      </c>
      <c r="Y10" s="431">
        <f t="shared" si="4"/>
        <v>8.9</v>
      </c>
      <c r="Z10" s="431">
        <f t="shared" si="4"/>
        <v>8.9</v>
      </c>
      <c r="AA10" s="431">
        <f t="shared" si="4"/>
        <v>8.9</v>
      </c>
      <c r="AB10" s="432">
        <f>AA10</f>
        <v>8.9</v>
      </c>
      <c r="AC10" s="428"/>
      <c r="AD10" s="428"/>
    </row>
    <row r="11" spans="1:31">
      <c r="C11" s="419"/>
      <c r="D11" s="419"/>
      <c r="E11" s="419"/>
      <c r="F11" s="419"/>
      <c r="G11" s="419"/>
      <c r="H11" s="419"/>
      <c r="I11" s="419"/>
      <c r="J11" s="419"/>
      <c r="K11" s="419"/>
      <c r="L11" s="419"/>
      <c r="M11" s="419"/>
      <c r="N11" s="419"/>
      <c r="O11" s="433"/>
      <c r="P11" s="433"/>
      <c r="Q11" s="434"/>
      <c r="R11" s="434"/>
      <c r="S11" s="434"/>
      <c r="T11" s="434"/>
      <c r="U11" s="434"/>
      <c r="V11" s="434"/>
      <c r="W11" s="434"/>
      <c r="X11" s="434"/>
      <c r="Y11" s="434"/>
      <c r="Z11" s="434"/>
      <c r="AA11" s="434"/>
      <c r="AB11" s="435"/>
      <c r="AC11" s="435"/>
      <c r="AD11" s="435"/>
    </row>
    <row r="12" spans="1:31">
      <c r="C12" s="419"/>
      <c r="D12" s="419"/>
      <c r="E12" s="419"/>
      <c r="F12" s="419"/>
      <c r="G12" s="419"/>
      <c r="H12" s="419"/>
      <c r="I12" s="419"/>
      <c r="J12" s="419"/>
      <c r="K12" s="419"/>
      <c r="L12" s="419"/>
      <c r="M12" s="419"/>
      <c r="N12" s="419"/>
      <c r="O12" s="433"/>
      <c r="P12" s="433"/>
      <c r="Q12" s="434"/>
      <c r="R12" s="434"/>
      <c r="S12" s="434"/>
      <c r="T12" s="434"/>
      <c r="U12" s="434"/>
      <c r="V12" s="434"/>
      <c r="W12" s="434"/>
      <c r="X12" s="434"/>
      <c r="Y12" s="434"/>
      <c r="Z12" s="434"/>
      <c r="AA12" s="434"/>
      <c r="AB12" s="435"/>
      <c r="AC12" s="435"/>
      <c r="AD12" s="435"/>
    </row>
    <row r="13" spans="1:31">
      <c r="A13" s="401" t="s">
        <v>757</v>
      </c>
      <c r="C13" s="436" t="s">
        <v>2454</v>
      </c>
      <c r="D13" s="437">
        <f>VLOOKUP($A13,Model!$1:$1048576,MATCH("fy"&amp;RIGHT(D$4,2)&amp;"a",Model!$1:$1,0),FALSE)/1000</f>
        <v>753.85699999999997</v>
      </c>
      <c r="E13" s="437">
        <f>VLOOKUP($A13,Model!$1:$1048576,MATCH("fy"&amp;RIGHT(E$4,2)&amp;"a",Model!$1:$1,0),FALSE)/1000</f>
        <v>791.45100000000002</v>
      </c>
      <c r="F13" s="437">
        <f>VLOOKUP($A13,Model!$1:$1048576,MATCH("fy"&amp;RIGHT(F$4,2)&amp;"a",Model!$1:$1,0),FALSE)/1000</f>
        <v>873.44600000000003</v>
      </c>
      <c r="G13" s="437">
        <f>VLOOKUP($A13,Model!$1:$1048576,MATCH("fy"&amp;RIGHT(G$4,2)&amp;"a",Model!$1:$1,0),FALSE)/1000</f>
        <v>933.00099999999998</v>
      </c>
      <c r="H13" s="437">
        <f>VLOOKUP($A13,Model!$1:$1048576,MATCH("fy"&amp;RIGHT(H$4,2)&amp;"a",Model!$1:$1,0),FALSE)/1000</f>
        <v>976.31799999999998</v>
      </c>
      <c r="I13" s="437">
        <f>VLOOKUP($A13,Model!$1:$1048576,MATCH("fy"&amp;RIGHT(I$4,2)&amp;"a",Model!$1:$1,0),FALSE)/1000</f>
        <v>975.16499999999996</v>
      </c>
      <c r="J13" s="437">
        <f>VLOOKUP($A13,Model!$1:$1048576,MATCH("fy"&amp;RIGHT(J$4,2)&amp;"a",Model!$1:$1,0),FALSE)/1000</f>
        <v>976.50199999999995</v>
      </c>
      <c r="K13" s="437">
        <f>VLOOKUP($A13,Model!$1:$1048576,MATCH("fy"&amp;RIGHT(K$4,2)&amp;"a",Model!$1:$1,0),FALSE)/1000</f>
        <v>1015.471</v>
      </c>
      <c r="L13" s="437">
        <f>VLOOKUP($A13,Model!$1:$1048576,MATCH("fy"&amp;RIGHT(L$4,2)&amp;"a",Model!$1:$1,0),FALSE)/1000</f>
        <v>1091.9749999999999</v>
      </c>
      <c r="M13" s="437">
        <f>VLOOKUP($A13,Model!$1:$1048576,MATCH("fy"&amp;RIGHT(M$4,2)&amp;"a",Model!$1:$1,0),FALSE)/1000</f>
        <v>1215.26</v>
      </c>
      <c r="N13" s="437">
        <f>VLOOKUP($A13,Model!$1:$1048576,MATCH("fy"&amp;RIGHT(N$4,2)&amp;"a",Model!$1:$1,0),FALSE)/1000</f>
        <v>1252.423</v>
      </c>
      <c r="O13" s="437">
        <f>VLOOKUP($A13,Model!$1:$1048576,MATCH("fy"&amp;RIGHT(O$4,2)&amp;"a",Model!$1:$1,0),FALSE)/1000</f>
        <v>1254.076</v>
      </c>
      <c r="P13" s="437">
        <f>VLOOKUP($A13,Model!$1:$1048576,MATCH("fy"&amp;RIGHT(P$4,2)&amp;"a",Model!$1:$1,0),FALSE)/1000</f>
        <v>1353.799</v>
      </c>
      <c r="Q13" s="437">
        <f>VLOOKUP($A13,Model!$1:$1048576,MATCH("fy"&amp;RIGHT(Q$4,2)&amp;"e",Model!$1:$1,0),FALSE)/1000</f>
        <v>1465.9209840762294</v>
      </c>
      <c r="R13" s="437">
        <f>VLOOKUP($A13,Model!$1:$1048576,MATCH("fy"&amp;RIGHT(R$4,2)&amp;"E",Model!$1:$1,0),FALSE)/1000</f>
        <v>1542.2539608506304</v>
      </c>
      <c r="S13" s="437">
        <f>VLOOKUP($A13,Model!$1:$1048576,MATCH("fy"&amp;RIGHT(S$4,2)&amp;"E",Model!$1:$1,0),FALSE)/1000</f>
        <v>1617.0776013371346</v>
      </c>
      <c r="T13" s="437">
        <f>VLOOKUP($A13,Model!$1:$1048576,MATCH("fy"&amp;RIGHT(T$4,2)&amp;"E",Model!$1:$1,0),FALSE)/1000</f>
        <v>1690.6827682752946</v>
      </c>
      <c r="U13" s="437">
        <f>VLOOKUP($A13,Model!$1:$1048576,MATCH("fy"&amp;RIGHT(U$4,2)&amp;"E",Model!$1:$1,0),FALSE)/1000</f>
        <v>1758.4753589734478</v>
      </c>
      <c r="V13" s="438">
        <f t="shared" ref="V13:AA13" si="5">+U13*(1+V14/100)</f>
        <v>1824.561441037853</v>
      </c>
      <c r="W13" s="438">
        <f t="shared" si="5"/>
        <v>1888.5400033759968</v>
      </c>
      <c r="X13" s="438">
        <f t="shared" si="5"/>
        <v>1950.0098646618758</v>
      </c>
      <c r="Y13" s="438">
        <f t="shared" si="5"/>
        <v>2008.5737044694135</v>
      </c>
      <c r="Z13" s="438">
        <f t="shared" si="5"/>
        <v>2063.8422074695127</v>
      </c>
      <c r="AA13" s="438">
        <f t="shared" si="5"/>
        <v>2115.4382626562501</v>
      </c>
      <c r="AB13" s="439"/>
      <c r="AC13" s="440">
        <f>RATE(12,,-D13,P13)*100</f>
        <v>4.9998716247243076</v>
      </c>
      <c r="AD13" s="440">
        <f>RATE(10,,-Q13,AA13)*100</f>
        <v>3.7358761581116005</v>
      </c>
      <c r="AE13" s="401" t="s">
        <v>2455</v>
      </c>
    </row>
    <row r="14" spans="1:31">
      <c r="A14" s="401" t="str">
        <f>A13</f>
        <v>AD_PEAssetsTotal</v>
      </c>
      <c r="C14" s="441" t="s">
        <v>2456</v>
      </c>
      <c r="D14" s="433"/>
      <c r="E14" s="442">
        <f t="shared" ref="E14:L14" si="6">+(E13-D13)/D13*100</f>
        <v>4.9868874335583611</v>
      </c>
      <c r="F14" s="442">
        <f t="shared" si="6"/>
        <v>10.360085463281997</v>
      </c>
      <c r="G14" s="442">
        <f t="shared" si="6"/>
        <v>6.8183951841327275</v>
      </c>
      <c r="H14" s="442">
        <f t="shared" si="6"/>
        <v>4.6427602971486639</v>
      </c>
      <c r="I14" s="442">
        <f t="shared" si="6"/>
        <v>-0.11809676765152542</v>
      </c>
      <c r="J14" s="442">
        <f t="shared" si="6"/>
        <v>0.1371050027431244</v>
      </c>
      <c r="K14" s="442">
        <f t="shared" si="6"/>
        <v>3.99067283016318</v>
      </c>
      <c r="L14" s="442">
        <f t="shared" si="6"/>
        <v>7.5338439010075033</v>
      </c>
      <c r="M14" s="442">
        <f t="shared" ref="M14:U14" si="7">+(M13-L13)/L13*100</f>
        <v>11.290093637674865</v>
      </c>
      <c r="N14" s="442">
        <f t="shared" si="7"/>
        <v>3.0580287345917756</v>
      </c>
      <c r="O14" s="442">
        <f t="shared" si="7"/>
        <v>0.13198416190057352</v>
      </c>
      <c r="P14" s="442">
        <f t="shared" si="7"/>
        <v>7.9519104105333289</v>
      </c>
      <c r="Q14" s="442">
        <f t="shared" si="7"/>
        <v>8.2820259193742505</v>
      </c>
      <c r="R14" s="442">
        <f t="shared" si="7"/>
        <v>5.2071685720839378</v>
      </c>
      <c r="S14" s="442">
        <f t="shared" si="7"/>
        <v>4.8515771322924834</v>
      </c>
      <c r="T14" s="442">
        <f t="shared" si="7"/>
        <v>4.5517399336492623</v>
      </c>
      <c r="U14" s="442">
        <f t="shared" si="7"/>
        <v>4.0097759301888418</v>
      </c>
      <c r="V14" s="443">
        <f>U14+($AA14-$U14)/6</f>
        <v>3.7581466084907014</v>
      </c>
      <c r="W14" s="443">
        <f>V14+($AA14-$U14)/6</f>
        <v>3.5065172867925609</v>
      </c>
      <c r="X14" s="443">
        <f>W14+($AA14-$U14)/6</f>
        <v>3.2548879650944205</v>
      </c>
      <c r="Y14" s="443">
        <f>X14+($AA14-$U14)/6</f>
        <v>3.00325864339628</v>
      </c>
      <c r="Z14" s="443">
        <f>Y14+($AA14-$U14)/6</f>
        <v>2.7516293216981396</v>
      </c>
      <c r="AA14" s="443">
        <f>AB19</f>
        <v>2.5</v>
      </c>
      <c r="AB14" s="444"/>
      <c r="AC14" s="440"/>
      <c r="AD14" s="440"/>
      <c r="AE14" s="401" t="s">
        <v>2457</v>
      </c>
    </row>
    <row r="15" spans="1:31">
      <c r="C15" s="441"/>
      <c r="D15" s="433"/>
      <c r="E15" s="442"/>
      <c r="F15" s="442"/>
      <c r="G15" s="442"/>
      <c r="H15" s="442"/>
      <c r="I15" s="442"/>
      <c r="J15" s="442"/>
      <c r="K15" s="442"/>
      <c r="L15" s="442"/>
      <c r="M15" s="442"/>
      <c r="N15" s="442"/>
      <c r="O15" s="442"/>
      <c r="P15" s="442"/>
      <c r="Q15" s="442"/>
      <c r="R15" s="442"/>
      <c r="S15" s="442"/>
      <c r="T15" s="442"/>
      <c r="U15" s="442"/>
      <c r="V15" s="443"/>
      <c r="W15" s="443"/>
      <c r="X15" s="443"/>
      <c r="Y15" s="443"/>
      <c r="Z15" s="443"/>
      <c r="AA15" s="443"/>
      <c r="AB15" s="444"/>
      <c r="AC15" s="440"/>
      <c r="AD15" s="440"/>
    </row>
    <row r="16" spans="1:31">
      <c r="A16" s="401" t="s">
        <v>888</v>
      </c>
      <c r="C16" s="436" t="s">
        <v>2458</v>
      </c>
      <c r="D16" s="445">
        <f>VLOOKUP($A16,Model!$1:$1048576,MATCH("fy"&amp;RIGHT(D$4,2)&amp;"a",Model!$1:$1,0),FALSE)*100</f>
        <v>1.0602356689647594</v>
      </c>
      <c r="E16" s="445">
        <f>VLOOKUP($A16,Model!$1:$1048576,MATCH("fy"&amp;RIGHT(E$4,2)&amp;"a",Model!$1:$1,0),FALSE)*100</f>
        <v>1.1061380091309228</v>
      </c>
      <c r="F16" s="445">
        <f>VLOOKUP($A16,Model!$1:$1048576,MATCH("fy"&amp;RIGHT(F$4,2)&amp;"a",Model!$1:$1,0),FALSE)*100</f>
        <v>1.0772131186416563</v>
      </c>
      <c r="G16" s="445">
        <f>VLOOKUP($A16,Model!$1:$1048576,MATCH("fy"&amp;RIGHT(G$4,2)&amp;"a",Model!$1:$1,0),FALSE)*100</f>
        <v>1.0252968395320412</v>
      </c>
      <c r="H16" s="445">
        <f>VLOOKUP($A16,Model!$1:$1048576,MATCH("fy"&amp;RIGHT(H$4,2)&amp;"a",Model!$1:$1,0),FALSE)*100</f>
        <v>0.99291538674337132</v>
      </c>
      <c r="I16" s="445">
        <f>VLOOKUP($A16,Model!$1:$1048576,MATCH("fy"&amp;RIGHT(I$4,2)&amp;"a",Model!$1:$1,0),FALSE)*100</f>
        <v>0.91315361159167341</v>
      </c>
      <c r="J16" s="445">
        <f>VLOOKUP($A16,Model!$1:$1048576,MATCH("fy"&amp;RIGHT(J$4,2)&amp;"a",Model!$1:$1,0),FALSE)*100</f>
        <v>0.8427075709397609</v>
      </c>
      <c r="K16" s="445">
        <f>VLOOKUP($A16,Model!$1:$1048576,MATCH("fy"&amp;RIGHT(K$4,2)&amp;"a",Model!$1:$1,0),FALSE)*100</f>
        <v>0.72266115343721649</v>
      </c>
      <c r="L16" s="445">
        <f>VLOOKUP($A16,Model!$1:$1048576,MATCH("fy"&amp;RIGHT(L$4,2)&amp;"a",Model!$1:$1,0),FALSE)*100</f>
        <v>0.83175610792355115</v>
      </c>
      <c r="M16" s="445">
        <f>VLOOKUP($A16,Model!$1:$1048576,MATCH("fy"&amp;RIGHT(M$4,2)&amp;"a",Model!$1:$1,0),FALSE)*100</f>
        <v>0.8352346273739335</v>
      </c>
      <c r="N16" s="445">
        <f>VLOOKUP($A16,Model!$1:$1048576,MATCH("fy"&amp;RIGHT(N$4,2)&amp;"a",Model!$1:$1,0),FALSE)*100</f>
        <v>0.81640460986526719</v>
      </c>
      <c r="O16" s="445">
        <f>VLOOKUP($A16,Model!$1:$1048576,MATCH("fy"&amp;RIGHT(O$4,2)&amp;"a",Model!$1:$1,0),FALSE)*100</f>
        <v>0.77648136160538073</v>
      </c>
      <c r="P16" s="445">
        <f>VLOOKUP($A16,Model!$1:$1048576,MATCH("fy"&amp;RIGHT(P$4,2)&amp;"a",Model!$1:$1,0),FALSE)*100</f>
        <v>0.79325714930377711</v>
      </c>
      <c r="Q16" s="445">
        <f>VLOOKUP($A16,Model!$1:$1048576,MATCH("fy"&amp;RIGHT(Q$4,2)&amp;"e",Model!$1:$1,0),FALSE)*100</f>
        <v>0.78977796922258947</v>
      </c>
      <c r="R16" s="445">
        <f>VLOOKUP($A16,Model!$1:$1048576,MATCH("fy"&amp;RIGHT(R$4,2)&amp;"E",Model!$1:$1,0),FALSE)*100</f>
        <v>0.77699071224040472</v>
      </c>
      <c r="S16" s="445">
        <f>VLOOKUP($A16,Model!$1:$1048576,MATCH("fy"&amp;RIGHT(S$4,2)&amp;"E",Model!$1:$1,0),FALSE)*100</f>
        <v>0.75746422533014057</v>
      </c>
      <c r="T16" s="445">
        <f>VLOOKUP($A16,Model!$1:$1048576,MATCH("fy"&amp;RIGHT(T$4,2)&amp;"E",Model!$1:$1,0),FALSE)*100</f>
        <v>0.76636613360210759</v>
      </c>
      <c r="U16" s="445">
        <f>VLOOKUP($A16,Model!$1:$1048576,MATCH("fy"&amp;RIGHT(U$4,2)&amp;"E",Model!$1:$1,0),FALSE)*100</f>
        <v>0.76442778886761009</v>
      </c>
      <c r="V16" s="446">
        <f t="shared" ref="V16:AA16" si="8">U16</f>
        <v>0.76442778886761009</v>
      </c>
      <c r="W16" s="446">
        <f t="shared" si="8"/>
        <v>0.76442778886761009</v>
      </c>
      <c r="X16" s="446">
        <f t="shared" si="8"/>
        <v>0.76442778886761009</v>
      </c>
      <c r="Y16" s="446">
        <f t="shared" si="8"/>
        <v>0.76442778886761009</v>
      </c>
      <c r="Z16" s="446">
        <f t="shared" si="8"/>
        <v>0.76442778886761009</v>
      </c>
      <c r="AA16" s="446">
        <f t="shared" si="8"/>
        <v>0.76442778886761009</v>
      </c>
      <c r="AB16" s="439"/>
      <c r="AC16" s="440">
        <f t="array" ref="AC16">AVERAGE(IF(ISNUMBER(D16:P16),IF(ISNUMBER(D16:P16),D16:P16)))</f>
        <v>0.90718886269640864</v>
      </c>
      <c r="AD16" s="440">
        <f>AVERAGE(Q16:AA16)</f>
        <v>0.76741759658804654</v>
      </c>
      <c r="AE16" s="401" t="s">
        <v>2459</v>
      </c>
    </row>
    <row r="17" spans="1:31">
      <c r="C17" s="441"/>
      <c r="D17" s="433"/>
      <c r="E17" s="442"/>
      <c r="F17" s="442"/>
      <c r="G17" s="442"/>
      <c r="H17" s="442"/>
      <c r="I17" s="442"/>
      <c r="J17" s="442"/>
      <c r="K17" s="442"/>
      <c r="L17" s="442"/>
      <c r="M17" s="442"/>
      <c r="N17" s="442"/>
      <c r="O17" s="442"/>
      <c r="P17" s="442"/>
      <c r="Q17" s="442"/>
      <c r="R17" s="442"/>
      <c r="S17" s="442"/>
      <c r="T17" s="436"/>
      <c r="U17" s="436"/>
      <c r="V17" s="436"/>
      <c r="W17" s="436"/>
      <c r="X17" s="436"/>
      <c r="Y17" s="436"/>
      <c r="Z17" s="436"/>
      <c r="AA17" s="436"/>
      <c r="AB17" s="444"/>
      <c r="AC17" s="440"/>
      <c r="AD17" s="440"/>
    </row>
    <row r="18" spans="1:31" ht="25.5">
      <c r="A18" s="401" t="s">
        <v>980</v>
      </c>
      <c r="C18" s="419" t="s">
        <v>2460</v>
      </c>
      <c r="D18" s="447">
        <f>VLOOKUP($A18,Model!$1:$1048576,MATCH("fy"&amp;RIGHT(D$4,2)&amp;"a",Model!$1:$1,0),FALSE)/1000</f>
        <v>7.72</v>
      </c>
      <c r="E18" s="447">
        <f>VLOOKUP($A18,Model!$1:$1048576,MATCH("fy"&amp;RIGHT(E$4,2)&amp;"a",Model!$1:$1,0),FALSE)/1000</f>
        <v>8.6349999999999998</v>
      </c>
      <c r="F18" s="447">
        <f>VLOOKUP($A18,Model!$1:$1048576,MATCH("fy"&amp;RIGHT(F$4,2)&amp;"a",Model!$1:$1,0),FALSE)/1000</f>
        <v>9.0850000000000009</v>
      </c>
      <c r="G18" s="447">
        <f>VLOOKUP($A18,Model!$1:$1048576,MATCH("fy"&amp;RIGHT(G$4,2)&amp;"a",Model!$1:$1,0),FALSE)/1000</f>
        <v>9.3949999999999996</v>
      </c>
      <c r="H18" s="447">
        <f>VLOOKUP($A18,Model!$1:$1048576,MATCH("fy"&amp;RIGHT(H$4,2)&amp;"a",Model!$1:$1,0),FALSE)/1000</f>
        <v>9.6549999999999994</v>
      </c>
      <c r="I18" s="447">
        <f>VLOOKUP($A18,Model!$1:$1048576,MATCH("fy"&amp;RIGHT(I$4,2)&amp;"a",Model!$1:$1,0),FALSE)/1000</f>
        <v>8.9149999999999991</v>
      </c>
      <c r="J18" s="447">
        <f>VLOOKUP($A18,Model!$1:$1048576,MATCH("fy"&amp;RIGHT(J$4,2)&amp;"a",Model!$1:$1,0),FALSE)/1000</f>
        <v>8.2210000000000001</v>
      </c>
      <c r="K18" s="447">
        <f>VLOOKUP($A18,Model!$1:$1048576,MATCH("fy"&amp;RIGHT(K$4,2)&amp;"a",Model!$1:$1,0),FALSE)/1000</f>
        <v>7.2249999999999996</v>
      </c>
      <c r="L18" s="447">
        <f>VLOOKUP($A18,Model!$1:$1048576,MATCH("fy"&amp;RIGHT(L$4,2)&amp;"a",Model!$1:$1,0),FALSE)/1000</f>
        <v>8.6530000000000005</v>
      </c>
      <c r="M18" s="447">
        <f>VLOOKUP($A18,Model!$1:$1048576,MATCH("fy"&amp;RIGHT(M$4,2)&amp;"a",Model!$1:$1,0),FALSE)/1000</f>
        <v>9.5950000000000006</v>
      </c>
      <c r="N18" s="447">
        <f>VLOOKUP($A18,Model!$1:$1048576,MATCH("fy"&amp;RIGHT(N$4,2)&amp;"a",Model!$1:$1,0),FALSE)/1000</f>
        <v>10.071999999999999</v>
      </c>
      <c r="O18" s="447">
        <f>VLOOKUP($A18,Model!$1:$1048576,MATCH("fy"&amp;RIGHT(O$4,2)&amp;"a",Model!$1:$1,0),FALSE)/1000</f>
        <v>9.8360000000000003</v>
      </c>
      <c r="P18" s="447">
        <f>VLOOKUP($A18,Model!$1:$1048576,MATCH("fy"&amp;RIGHT(P$4,2)&amp;"a",Model!$1:$1,0),FALSE)/1000</f>
        <v>10.252000000000001</v>
      </c>
      <c r="Q18" s="447">
        <f>VLOOKUP($A18,Model!$1:$1048576,MATCH("fy"&amp;RIGHT(Q$4,2)&amp;"e",Model!$1:$1,0),FALSE)/1000</f>
        <v>11.070684063830734</v>
      </c>
      <c r="R18" s="447">
        <f>VLOOKUP($A18,Model!$1:$1048576,MATCH("fy"&amp;RIGHT(R$4,2)&amp;"E",Model!$1:$1,0),FALSE)/1000</f>
        <v>11.505491581048682</v>
      </c>
      <c r="S18" s="447">
        <f>VLOOKUP($A18,Model!$1:$1048576,MATCH("fy"&amp;RIGHT(S$4,2)&amp;"E",Model!$1:$1,0),FALSE)/1000</f>
        <v>11.752710388234094</v>
      </c>
      <c r="T18" s="447">
        <f>VLOOKUP($A18,Model!$1:$1048576,MATCH("fy"&amp;RIGHT(T$4,2)&amp;"E",Model!$1:$1,0),FALSE)/1000</f>
        <v>12.423410290359334</v>
      </c>
      <c r="U18" s="447">
        <f>VLOOKUP($A18,Model!$1:$1048576,MATCH("fy"&amp;RIGHT(U$4,2)&amp;"E",Model!$1:$1,0),FALSE)/1000</f>
        <v>12.886002328650459</v>
      </c>
      <c r="V18" s="448">
        <f t="shared" ref="V18:AA18" si="9">+V16/100*((V13+U13)/2)</f>
        <v>13.69486449231958</v>
      </c>
      <c r="W18" s="448">
        <f t="shared" si="9"/>
        <v>14.191989634972044</v>
      </c>
      <c r="X18" s="448">
        <f t="shared" si="9"/>
        <v>14.671470940411236</v>
      </c>
      <c r="Y18" s="448">
        <f t="shared" si="9"/>
        <v>15.130256423993419</v>
      </c>
      <c r="Z18" s="448">
        <f t="shared" si="9"/>
        <v>15.565339454563727</v>
      </c>
      <c r="AA18" s="448">
        <f t="shared" si="9"/>
        <v>15.973790644179115</v>
      </c>
      <c r="AB18" s="432">
        <f>AA18*(1+AB19/100)</f>
        <v>16.373135410283592</v>
      </c>
      <c r="AC18" s="440">
        <f>RATE(12,,-D18,P18)*100</f>
        <v>2.3919800478998181</v>
      </c>
      <c r="AD18" s="440">
        <f>RATE(10,,-Q18,AA18)*100</f>
        <v>3.7345322766205999</v>
      </c>
      <c r="AE18" s="449" t="s">
        <v>2461</v>
      </c>
    </row>
    <row r="19" spans="1:31">
      <c r="C19" s="450" t="s">
        <v>2456</v>
      </c>
      <c r="D19" s="433"/>
      <c r="E19" s="442">
        <f t="shared" ref="E19:L19" si="10">+(E18-D18)/D18*100</f>
        <v>11.852331606217618</v>
      </c>
      <c r="F19" s="442">
        <f t="shared" si="10"/>
        <v>5.211349160393759</v>
      </c>
      <c r="G19" s="442">
        <f t="shared" si="10"/>
        <v>3.4122179416620657</v>
      </c>
      <c r="H19" s="442">
        <f t="shared" si="10"/>
        <v>2.7674294837679594</v>
      </c>
      <c r="I19" s="442">
        <f t="shared" si="10"/>
        <v>-7.6644225789746283</v>
      </c>
      <c r="J19" s="442">
        <f t="shared" si="10"/>
        <v>-7.7846326416152456</v>
      </c>
      <c r="K19" s="442">
        <f t="shared" si="10"/>
        <v>-12.115314438632776</v>
      </c>
      <c r="L19" s="442">
        <f t="shared" si="10"/>
        <v>19.764705882352953</v>
      </c>
      <c r="M19" s="442">
        <f>+(M18-L18)/L18*100</f>
        <v>10.886397781116377</v>
      </c>
      <c r="N19" s="442">
        <f>+(N18-M18)/M18*100</f>
        <v>4.9713392391870608</v>
      </c>
      <c r="O19" s="442">
        <f>+(O18-N18)/N18*100</f>
        <v>-2.3431294678316013</v>
      </c>
      <c r="P19" s="442">
        <f>+(P18-O18)/O18*100</f>
        <v>4.229361529076864</v>
      </c>
      <c r="Q19" s="442">
        <f t="shared" ref="Q19:AA19" si="11">+(Q18-P18)/P18*100</f>
        <v>7.9856034318253393</v>
      </c>
      <c r="R19" s="442">
        <f t="shared" si="11"/>
        <v>3.9275578158581599</v>
      </c>
      <c r="S19" s="442">
        <f t="shared" si="11"/>
        <v>2.1487026907448219</v>
      </c>
      <c r="T19" s="442">
        <f t="shared" si="11"/>
        <v>5.7067678856163448</v>
      </c>
      <c r="U19" s="442">
        <f t="shared" si="11"/>
        <v>3.7235511625185627</v>
      </c>
      <c r="V19" s="442">
        <f t="shared" si="11"/>
        <v>6.2770605113947084</v>
      </c>
      <c r="W19" s="442">
        <f t="shared" si="11"/>
        <v>3.6300114026777313</v>
      </c>
      <c r="X19" s="442">
        <f t="shared" si="11"/>
        <v>3.3785347775173773</v>
      </c>
      <c r="Y19" s="442">
        <f t="shared" si="11"/>
        <v>3.1270585304333727</v>
      </c>
      <c r="Z19" s="442">
        <f t="shared" si="11"/>
        <v>2.875582662831524</v>
      </c>
      <c r="AA19" s="442">
        <f t="shared" si="11"/>
        <v>2.6241071761247752</v>
      </c>
      <c r="AB19" s="446">
        <f>Summary!$G$4*100</f>
        <v>2.5</v>
      </c>
      <c r="AC19" s="451"/>
      <c r="AD19" s="440"/>
    </row>
    <row r="20" spans="1:31">
      <c r="A20" s="401" t="s">
        <v>766</v>
      </c>
      <c r="B20" s="401" t="s">
        <v>1008</v>
      </c>
      <c r="C20" s="433" t="s">
        <v>2462</v>
      </c>
      <c r="D20" s="447">
        <f>(VLOOKUP($A20,Model!$1:$1048576,MATCH("fy"&amp;RIGHT(D$4,2)&amp;"a",Model!$1:$1,0),FALSE) *
VLOOKUP($B20,Model!$1:$1048576,MATCH("fy"&amp;RIGHT(D$4,2)&amp;"a",Model!$1:$1,0),FALSE)) / 1000</f>
        <v>5.86768</v>
      </c>
      <c r="E20" s="447">
        <f>(VLOOKUP($A20,Model!$1:$1048576,MATCH("fy"&amp;RIGHT(E$4,2)&amp;"a",Model!$1:$1,0),FALSE) *
VLOOKUP($B20,Model!$1:$1048576,MATCH("fy"&amp;RIGHT(E$4,2)&amp;"a",Model!$1:$1,0),FALSE)) / 1000</f>
        <v>6.50021</v>
      </c>
      <c r="F20" s="447">
        <f>(VLOOKUP($A20,Model!$1:$1048576,MATCH("1h"&amp;RIGHT(F$4,2)&amp;"a",Model!$1:$1,0),FALSE) *
VLOOKUP($B20,Model!$1:$1048576,MATCH("1h"&amp;RIGHT(F$4,2)&amp;"a",Model!$1:$1,0),FALSE) +
VLOOKUP($A20,Model!$1:$1048576,MATCH("2h"&amp;RIGHT(F$4,2)&amp;"a",Model!$1:$1,0),FALSE) *
VLOOKUP($B20,Model!$1:$1048576,MATCH("2h"&amp;RIGHT(F$4,2)&amp;"a",Model!$1:$1,0),FALSE)) / 1000</f>
        <v>6.8243720041199998</v>
      </c>
      <c r="G20" s="447">
        <f>(VLOOKUP($A20,Model!$1:$1048576,MATCH("1h"&amp;RIGHT(G$4,2)&amp;"a",Model!$1:$1,0),FALSE) *
VLOOKUP($B20,Model!$1:$1048576,MATCH("1h"&amp;RIGHT(G$4,2)&amp;"a",Model!$1:$1,0),FALSE) +
VLOOKUP($A20,Model!$1:$1048576,MATCH("2h"&amp;RIGHT(G$4,2)&amp;"a",Model!$1:$1,0),FALSE) *
VLOOKUP($B20,Model!$1:$1048576,MATCH("2h"&amp;RIGHT(G$4,2)&amp;"a",Model!$1:$1,0),FALSE)) / 1000</f>
        <v>7.1891400000000001</v>
      </c>
      <c r="H20" s="447">
        <f>(VLOOKUP($A20,Model!$1:$1048576,MATCH("1h"&amp;RIGHT(H$4,2)&amp;"a",Model!$1:$1,0),FALSE) *
VLOOKUP($B20,Model!$1:$1048576,MATCH("1h"&amp;RIGHT(H$4,2)&amp;"a",Model!$1:$1,0),FALSE) +
VLOOKUP($A20,Model!$1:$1048576,MATCH("2h"&amp;RIGHT(H$4,2)&amp;"a",Model!$1:$1,0),FALSE) *
VLOOKUP($B20,Model!$1:$1048576,MATCH("2h"&amp;RIGHT(H$4,2)&amp;"a",Model!$1:$1,0),FALSE)) / 1000</f>
        <v>7.4077699999999993</v>
      </c>
      <c r="I20" s="447">
        <f>(VLOOKUP($A20,Model!$1:$1048576,MATCH("1h"&amp;RIGHT(I$4,2)&amp;"a",Model!$1:$1,0),FALSE) *
VLOOKUP($B20,Model!$1:$1048576,MATCH("1h"&amp;RIGHT(I$4,2)&amp;"a",Model!$1:$1,0),FALSE) +
VLOOKUP($A20,Model!$1:$1048576,MATCH("2h"&amp;RIGHT(I$4,2)&amp;"a",Model!$1:$1,0),FALSE) *
VLOOKUP($B20,Model!$1:$1048576,MATCH("2h"&amp;RIGHT(I$4,2)&amp;"a",Model!$1:$1,0),FALSE)) / 1000</f>
        <v>7.5716000000000001</v>
      </c>
      <c r="J20" s="447">
        <f>(VLOOKUP($A20,Model!$1:$1048576,MATCH("1h"&amp;RIGHT(J$4,2)&amp;"a",Model!$1:$1,0),FALSE) *
VLOOKUP($B20,Model!$1:$1048576,MATCH("1h"&amp;RIGHT(J$4,2)&amp;"a",Model!$1:$1,0),FALSE) +
VLOOKUP($A20,Model!$1:$1048576,MATCH("2h"&amp;RIGHT(J$4,2)&amp;"a",Model!$1:$1,0),FALSE) *
VLOOKUP($B20,Model!$1:$1048576,MATCH("2h"&amp;RIGHT(J$4,2)&amp;"a",Model!$1:$1,0),FALSE)) / 1000</f>
        <v>7.6297322751700003</v>
      </c>
      <c r="K20" s="447">
        <f>(VLOOKUP($A20,Model!$1:$1048576,MATCH("1h"&amp;RIGHT(K$4,2)&amp;"a",Model!$1:$1,0),FALSE) *
VLOOKUP($B20,Model!$1:$1048576,MATCH("1h"&amp;RIGHT(K$4,2)&amp;"a",Model!$1:$1,0),FALSE) +
VLOOKUP($A20,Model!$1:$1048576,MATCH("2h"&amp;RIGHT(K$4,2)&amp;"a",Model!$1:$1,0),FALSE) *
VLOOKUP($B20,Model!$1:$1048576,MATCH("2h"&amp;RIGHT(K$4,2)&amp;"a",Model!$1:$1,0),FALSE)) / 1000</f>
        <v>5.2753137308599998</v>
      </c>
      <c r="L20" s="447">
        <f>(VLOOKUP($A20,Model!$1:$1048576,MATCH("1h"&amp;RIGHT(L$4,2)&amp;"a",Model!$1:$1,0),FALSE) *
VLOOKUP($B20,Model!$1:$1048576,MATCH("1h"&amp;RIGHT(L$4,2)&amp;"a",Model!$1:$1,0),FALSE) +
VLOOKUP($A20,Model!$1:$1048576,MATCH("2h"&amp;RIGHT(L$4,2)&amp;"a",Model!$1:$1,0),FALSE) *
VLOOKUP($B20,Model!$1:$1048576,MATCH("2h"&amp;RIGHT(L$4,2)&amp;"a",Model!$1:$1,0),FALSE)) / 1000</f>
        <v>6.2093374350000001</v>
      </c>
      <c r="M20" s="447">
        <f>(VLOOKUP($A20,Model!$1:$1048576,MATCH("1h"&amp;RIGHT(M$4,2)&amp;"a",Model!$1:$1,0),FALSE) *
VLOOKUP($B20,Model!$1:$1048576,MATCH("1h"&amp;RIGHT(M$4,2)&amp;"a",Model!$1:$1,0),FALSE) +
VLOOKUP($A20,Model!$1:$1048576,MATCH("2h"&amp;RIGHT(M$4,2)&amp;"a",Model!$1:$1,0),FALSE) *
VLOOKUP($B20,Model!$1:$1048576,MATCH("2h"&amp;RIGHT(M$4,2)&amp;"a",Model!$1:$1,0),FALSE)) / 1000</f>
        <v>6.5594159578500006</v>
      </c>
      <c r="N20" s="447">
        <f>(VLOOKUP($A20,Model!$1:$1048576,MATCH("1h"&amp;RIGHT(N$4,2)&amp;"a",Model!$1:$1,0),FALSE) *
VLOOKUP($B20,Model!$1:$1048576,MATCH("1h"&amp;RIGHT(N$4,2)&amp;"a",Model!$1:$1,0),FALSE) +
VLOOKUP($A20,Model!$1:$1048576,MATCH("2h"&amp;RIGHT(N$4,2)&amp;"a",Model!$1:$1,0),FALSE) *
VLOOKUP($B20,Model!$1:$1048576,MATCH("2h"&amp;RIGHT(N$4,2)&amp;"a",Model!$1:$1,0),FALSE)) / 1000</f>
        <v>7.5645162933000005</v>
      </c>
      <c r="O20" s="447">
        <f>(VLOOKUP($A20,Model!$1:$1048576,MATCH("1h"&amp;RIGHT(O$4,2)&amp;"a",Model!$1:$1,0),FALSE) *
VLOOKUP($B20,Model!$1:$1048576,MATCH("1h"&amp;RIGHT(O$4,2)&amp;"a",Model!$1:$1,0),FALSE) +
VLOOKUP($A20,Model!$1:$1048576,MATCH("2h"&amp;RIGHT(O$4,2)&amp;"a",Model!$1:$1,0),FALSE) *
VLOOKUP($B20,Model!$1:$1048576,MATCH("2h"&amp;RIGHT(O$4,2)&amp;"a",Model!$1:$1,0),FALSE)) / 1000</f>
        <v>7.7775996832000001</v>
      </c>
      <c r="P20" s="447">
        <f>(VLOOKUP($A20,Model!$1:$1048576,MATCH("1h"&amp;RIGHT(P$4,2)&amp;"a",Model!$1:$1,0),FALSE) *
VLOOKUP($B20,Model!$1:$1048576,MATCH("1h"&amp;RIGHT(P$4,2)&amp;"a",Model!$1:$1,0),FALSE) +
VLOOKUP($A20,Model!$1:$1048576,MATCH("2h"&amp;RIGHT(P$4,2)&amp;"a",Model!$1:$1,0),FALSE) *
VLOOKUP($B20,Model!$1:$1048576,MATCH("2h"&amp;RIGHT(P$4,2)&amp;"a",Model!$1:$1,0),FALSE)) / 1000</f>
        <v>8.1087867963499995</v>
      </c>
      <c r="Q20" s="447" t="e">
        <f>(VLOOKUP($A20,Model!$1:$1048576,MATCH("1h"&amp;RIGHT(Q$4,2)&amp;"e",Model!$1:$1,0),FALSE) *
VLOOKUP($B20,Model!$1:$1048576,MATCH("1h"&amp;RIGHT(Q$4,2)&amp;"e",Model!$1:$1,0),FALSE) +
VLOOKUP($A20,Model!$1:$1048576,MATCH("2h"&amp;RIGHT(Q$4,2)&amp;"E",Model!$1:$1,0),FALSE) *
VLOOKUP($B20,Model!$1:$1048576,MATCH("2h"&amp;RIGHT(Q$4,2)&amp;"E",Model!$1:$1,0),FALSE)) / 1000</f>
        <v>#N/A</v>
      </c>
      <c r="R20" s="447">
        <f>(VLOOKUP($A20,Model!$1:$1048576,MATCH("1h"&amp;RIGHT(R$4,2)&amp;"E",Model!$1:$1,0),FALSE) *
VLOOKUP($B20,Model!$1:$1048576,MATCH("1h"&amp;RIGHT(R$4,2)&amp;"E",Model!$1:$1,0),FALSE) +
VLOOKUP($A20,Model!$1:$1048576,MATCH("2h"&amp;RIGHT(R$4,2)&amp;"E",Model!$1:$1,0),FALSE) *
VLOOKUP($B20,Model!$1:$1048576,MATCH("2h"&amp;RIGHT(R$4,2)&amp;"E",Model!$1:$1,0),FALSE)) / 1000</f>
        <v>8.4717066871638966</v>
      </c>
      <c r="S20" s="447">
        <f>(VLOOKUP($A20,Model!$1:$1048576,MATCH("1h"&amp;RIGHT(S$4,2)&amp;"E",Model!$1:$1,0),FALSE) *
VLOOKUP($B20,Model!$1:$1048576,MATCH("1h"&amp;RIGHT(S$4,2)&amp;"E",Model!$1:$1,0),FALSE) +
VLOOKUP($A20,Model!$1:$1048576,MATCH("2h"&amp;RIGHT(S$4,2)&amp;"E",Model!$1:$1,0),FALSE) *
VLOOKUP($B20,Model!$1:$1048576,MATCH("2h"&amp;RIGHT(S$4,2)&amp;"E",Model!$1:$1,0),FALSE)) / 1000</f>
        <v>8.6504042695727534</v>
      </c>
      <c r="T20" s="447">
        <f>(VLOOKUP($A20,Model!$1:$1048576,MATCH("1h"&amp;RIGHT(T$4,2)&amp;"E",Model!$1:$1,0),FALSE) *
VLOOKUP($B20,Model!$1:$1048576,MATCH("1h"&amp;RIGHT(T$4,2)&amp;"E",Model!$1:$1,0),FALSE) +
VLOOKUP($A20,Model!$1:$1048576,MATCH("2h"&amp;RIGHT(T$4,2)&amp;"E",Model!$1:$1,0),FALSE) *
VLOOKUP($B20,Model!$1:$1048576,MATCH("2h"&amp;RIGHT(T$4,2)&amp;"E",Model!$1:$1,0),FALSE)) / 1000</f>
        <v>9.093906320260535</v>
      </c>
      <c r="U20" s="447">
        <f>(VLOOKUP($A20,Model!$1:$1048576,MATCH("1h"&amp;RIGHT(U$4,2)&amp;"E",Model!$1:$1,0),FALSE) *
VLOOKUP($B20,Model!$1:$1048576,MATCH("1h"&amp;RIGHT(U$4,2)&amp;"E",Model!$1:$1,0),FALSE) +
VLOOKUP($A20,Model!$1:$1048576,MATCH("2h"&amp;RIGHT(U$4,2)&amp;"E",Model!$1:$1,0),FALSE) *
VLOOKUP($B20,Model!$1:$1048576,MATCH("2h"&amp;RIGHT(U$4,2)&amp;"E",Model!$1:$1,0),FALSE)) / 1000</f>
        <v>9.5854688240584043</v>
      </c>
      <c r="V20" s="442">
        <f t="shared" ref="V20:AA20" si="12">+V18*V21/100</f>
        <v>10.187154502445425</v>
      </c>
      <c r="W20" s="442">
        <f t="shared" si="12"/>
        <v>10.556949372492593</v>
      </c>
      <c r="X20" s="442">
        <f t="shared" si="12"/>
        <v>10.913619578487157</v>
      </c>
      <c r="Y20" s="442">
        <f t="shared" si="12"/>
        <v>11.254894850495287</v>
      </c>
      <c r="Z20" s="442">
        <f t="shared" si="12"/>
        <v>11.578538655536047</v>
      </c>
      <c r="AA20" s="442">
        <f t="shared" si="12"/>
        <v>11.882371919286349</v>
      </c>
      <c r="AB20" s="439">
        <f>AA21/100*AB18</f>
        <v>12.179431217268506</v>
      </c>
      <c r="AC20" s="451"/>
      <c r="AD20" s="440"/>
    </row>
    <row r="21" spans="1:31" s="403" customFormat="1">
      <c r="C21" s="450" t="s">
        <v>2463</v>
      </c>
      <c r="D21" s="442">
        <f>+D20/D18*100</f>
        <v>76.006217616580315</v>
      </c>
      <c r="E21" s="442">
        <f t="shared" ref="E21:L21" si="13">+E20/E18*100</f>
        <v>75.277475390851194</v>
      </c>
      <c r="F21" s="442">
        <f t="shared" si="13"/>
        <v>75.116918042047317</v>
      </c>
      <c r="G21" s="442">
        <f t="shared" si="13"/>
        <v>76.520915380521558</v>
      </c>
      <c r="H21" s="442">
        <f t="shared" si="13"/>
        <v>76.724702226825485</v>
      </c>
      <c r="I21" s="442">
        <f t="shared" si="13"/>
        <v>84.93101514301739</v>
      </c>
      <c r="J21" s="442">
        <f t="shared" si="13"/>
        <v>92.807836944045746</v>
      </c>
      <c r="K21" s="442">
        <f t="shared" si="13"/>
        <v>73.014722918477503</v>
      </c>
      <c r="L21" s="442">
        <f t="shared" si="13"/>
        <v>71.759360164104933</v>
      </c>
      <c r="M21" s="442">
        <f>+M20/M18*100</f>
        <v>68.362855214695145</v>
      </c>
      <c r="N21" s="442">
        <f t="shared" ref="N21:U21" si="14">+N20/N18*100</f>
        <v>75.10441117255759</v>
      </c>
      <c r="O21" s="442">
        <f t="shared" si="14"/>
        <v>79.072790597803987</v>
      </c>
      <c r="P21" s="442">
        <f t="shared" si="14"/>
        <v>79.094681977662887</v>
      </c>
      <c r="Q21" s="442" t="e">
        <f>+Q20/Q18*100</f>
        <v>#N/A</v>
      </c>
      <c r="R21" s="442">
        <f t="shared" si="14"/>
        <v>73.631853341391377</v>
      </c>
      <c r="S21" s="442">
        <f t="shared" si="14"/>
        <v>73.603483654569331</v>
      </c>
      <c r="T21" s="442">
        <f t="shared" si="14"/>
        <v>73.199758421546136</v>
      </c>
      <c r="U21" s="442">
        <f t="shared" si="14"/>
        <v>74.386676174551667</v>
      </c>
      <c r="V21" s="443">
        <f t="shared" ref="V21:AA21" si="15">+U21</f>
        <v>74.386676174551667</v>
      </c>
      <c r="W21" s="443">
        <f t="shared" si="15"/>
        <v>74.386676174551667</v>
      </c>
      <c r="X21" s="443">
        <f t="shared" si="15"/>
        <v>74.386676174551667</v>
      </c>
      <c r="Y21" s="443">
        <f t="shared" si="15"/>
        <v>74.386676174551667</v>
      </c>
      <c r="Z21" s="443">
        <f t="shared" si="15"/>
        <v>74.386676174551667</v>
      </c>
      <c r="AA21" s="443">
        <f t="shared" si="15"/>
        <v>74.386676174551667</v>
      </c>
      <c r="AB21" s="439"/>
      <c r="AC21" s="440">
        <f t="array" ref="AC21">AVERAGE(IF(ISNUMBER(D21:P21),IF(ISNUMBER(D21:P21),D21:P21)))</f>
        <v>77.214915599168549</v>
      </c>
      <c r="AD21" s="440" t="e">
        <f>AVERAGE(Q21:AA21)</f>
        <v>#N/A</v>
      </c>
    </row>
    <row r="22" spans="1:31">
      <c r="C22" s="433" t="s">
        <v>2464</v>
      </c>
      <c r="D22" s="452">
        <f t="shared" ref="D22:O22" si="16">D20/(1-30%)*30%*100%</f>
        <v>2.5147200000000001</v>
      </c>
      <c r="E22" s="452">
        <f t="shared" si="16"/>
        <v>2.7858042857142857</v>
      </c>
      <c r="F22" s="452">
        <f t="shared" si="16"/>
        <v>2.9247308589085717</v>
      </c>
      <c r="G22" s="452">
        <f t="shared" si="16"/>
        <v>3.0810600000000004</v>
      </c>
      <c r="H22" s="452">
        <f t="shared" si="16"/>
        <v>3.1747585714285713</v>
      </c>
      <c r="I22" s="452">
        <f t="shared" si="16"/>
        <v>3.2449714285714286</v>
      </c>
      <c r="J22" s="452">
        <f t="shared" si="16"/>
        <v>3.2698852607871434</v>
      </c>
      <c r="K22" s="452">
        <f t="shared" si="16"/>
        <v>2.2608487417971426</v>
      </c>
      <c r="L22" s="452">
        <f t="shared" si="16"/>
        <v>2.6611446150000004</v>
      </c>
      <c r="M22" s="452">
        <f t="shared" si="16"/>
        <v>2.8111782676500003</v>
      </c>
      <c r="N22" s="452">
        <f t="shared" si="16"/>
        <v>3.241935554271429</v>
      </c>
      <c r="O22" s="452">
        <f t="shared" si="16"/>
        <v>3.3332570070857144</v>
      </c>
      <c r="P22" s="452">
        <f>P20/(1-30%)*30%*100%</f>
        <v>3.4751943412928568</v>
      </c>
      <c r="Q22" s="452" t="e">
        <f>Q20/(1-30%)*30%*100%</f>
        <v>#N/A</v>
      </c>
      <c r="R22" s="452">
        <f t="shared" ref="R22:AA22" si="17">R20/(1-30%)*30%*100%</f>
        <v>3.6307314373559558</v>
      </c>
      <c r="S22" s="452">
        <f t="shared" si="17"/>
        <v>3.7073161155311802</v>
      </c>
      <c r="T22" s="452">
        <f t="shared" si="17"/>
        <v>3.8973884229688007</v>
      </c>
      <c r="U22" s="452">
        <f t="shared" si="17"/>
        <v>4.1080580674536025</v>
      </c>
      <c r="V22" s="452">
        <f t="shared" si="17"/>
        <v>4.3659233581908969</v>
      </c>
      <c r="W22" s="452">
        <f t="shared" si="17"/>
        <v>4.5244068739253969</v>
      </c>
      <c r="X22" s="452">
        <f t="shared" si="17"/>
        <v>4.6772655336373532</v>
      </c>
      <c r="Y22" s="452">
        <f t="shared" si="17"/>
        <v>4.8235263644979796</v>
      </c>
      <c r="Z22" s="452">
        <f t="shared" si="17"/>
        <v>4.9622308523725911</v>
      </c>
      <c r="AA22" s="452">
        <f t="shared" si="17"/>
        <v>5.0924451082655784</v>
      </c>
      <c r="AB22" s="439">
        <f>AB20/(1-30%)*30%*100%</f>
        <v>5.2197562359722172</v>
      </c>
      <c r="AC22" s="451"/>
      <c r="AD22" s="440"/>
    </row>
    <row r="23" spans="1:31" ht="25.5">
      <c r="A23" s="401" t="s">
        <v>1005</v>
      </c>
      <c r="C23" s="436" t="s">
        <v>2465</v>
      </c>
      <c r="D23" s="453">
        <f>VLOOKUP($A23,Model!$1:$1048576,MATCH("fy"&amp;RIGHT(D$4,2)&amp;"a",Model!$1:$1,0),FALSE)/1000</f>
        <v>44.061</v>
      </c>
      <c r="E23" s="453">
        <f>VLOOKUP($A23,Model!$1:$1048576,MATCH("fy"&amp;RIGHT(E$4,2)&amp;"a",Model!$1:$1,0),FALSE)/1000</f>
        <v>47.872</v>
      </c>
      <c r="F23" s="453">
        <f>VLOOKUP($A23,Model!$1:$1048576,MATCH("fy"&amp;RIGHT(F$4,2)&amp;"a",Model!$1:$1,0),FALSE)/1000</f>
        <v>51.491999999999997</v>
      </c>
      <c r="G23" s="453">
        <f>VLOOKUP($A23,Model!$1:$1048576,MATCH("fy"&amp;RIGHT(G$4,2)&amp;"a",Model!$1:$1,0),FALSE)/1000</f>
        <v>60.014000000000003</v>
      </c>
      <c r="H23" s="453">
        <f>VLOOKUP($A23,Model!$1:$1048576,MATCH("fy"&amp;RIGHT(H$4,2)&amp;"a",Model!$1:$1,0),FALSE)/1000</f>
        <v>63.113999999999997</v>
      </c>
      <c r="I23" s="453">
        <f>VLOOKUP($A23,Model!$1:$1048576,MATCH("fy"&amp;RIGHT(I$4,2)&amp;"a",Model!$1:$1,0),FALSE)/1000</f>
        <v>67.305999999999997</v>
      </c>
      <c r="J23" s="453">
        <f>VLOOKUP($A23,Model!$1:$1048576,MATCH("fy"&amp;RIGHT(J$4,2)&amp;"a",Model!$1:$1,0),FALSE)/1000</f>
        <v>69.593999999999994</v>
      </c>
      <c r="K23" s="453">
        <f>VLOOKUP($A23,Model!$1:$1048576,MATCH("fy"&amp;RIGHT(K$4,2)&amp;"a",Model!$1:$1,0),FALSE)/1000</f>
        <v>71.933000000000007</v>
      </c>
      <c r="L23" s="453">
        <f>VLOOKUP($A23,Model!$1:$1048576,MATCH("fy"&amp;RIGHT(L$4,2)&amp;"a",Model!$1:$1,0),FALSE)/1000</f>
        <v>78.712999999999994</v>
      </c>
      <c r="M23" s="453">
        <f>VLOOKUP($A23,Model!$1:$1048576,MATCH("fy"&amp;RIGHT(M$4,2)&amp;"a",Model!$1:$1,0),FALSE)/1000</f>
        <v>72.832999999999998</v>
      </c>
      <c r="N23" s="453">
        <f>VLOOKUP($A23,Model!$1:$1048576,MATCH("fy"&amp;RIGHT(N$4,2)&amp;"a",Model!$1:$1,0),FALSE)/1000</f>
        <v>72.537999999999997</v>
      </c>
      <c r="O23" s="453">
        <f>VLOOKUP($A23,Model!$1:$1048576,MATCH("fy"&amp;RIGHT(O$4,2)&amp;"a",Model!$1:$1,0),FALSE)/1000</f>
        <v>73.082999999999998</v>
      </c>
      <c r="P23" s="453">
        <f>VLOOKUP($A23,Model!$1:$1048576,MATCH("fy"&amp;RIGHT(P$4,2)&amp;"a",Model!$1:$1,0),FALSE)/1000</f>
        <v>78.775999999999996</v>
      </c>
      <c r="Q23" s="453">
        <f>VLOOKUP($A23,Model!$1:$1048576,MATCH("fy"&amp;RIGHT(Q$4,2)&amp;"e",Model!$1:$1,0),FALSE)/1000</f>
        <v>79.480078282640122</v>
      </c>
      <c r="R23" s="453">
        <f>VLOOKUP($A23,Model!$1:$1048576,MATCH("fy"&amp;RIGHT(R$4,2)&amp;"E",Model!$1:$1,0),FALSE)/1000</f>
        <v>79.731280911012945</v>
      </c>
      <c r="S23" s="453">
        <f>VLOOKUP($A23,Model!$1:$1048576,MATCH("fy"&amp;RIGHT(S$4,2)&amp;"E",Model!$1:$1,0),FALSE)/1000</f>
        <v>80.251911455016156</v>
      </c>
      <c r="T23" s="453">
        <f>VLOOKUP($A23,Model!$1:$1048576,MATCH("fy"&amp;RIGHT(T$4,2)&amp;"E",Model!$1:$1,0),FALSE)/1000</f>
        <v>82.306897204458679</v>
      </c>
      <c r="U23" s="453">
        <f>VLOOKUP($A23,Model!$1:$1048576,MATCH("fy"&amp;RIGHT(U$4,2)&amp;"E",Model!$1:$1,0),FALSE)/1000</f>
        <v>85.624373735476169</v>
      </c>
      <c r="V23" s="454">
        <f t="shared" ref="V23:AA23" si="18">+U23+V18-V20</f>
        <v>89.132083725350327</v>
      </c>
      <c r="W23" s="454">
        <f t="shared" si="18"/>
        <v>92.767123987829777</v>
      </c>
      <c r="X23" s="454">
        <f t="shared" si="18"/>
        <v>96.524975349753859</v>
      </c>
      <c r="Y23" s="454">
        <f t="shared" si="18"/>
        <v>100.40033692325198</v>
      </c>
      <c r="Z23" s="454">
        <f t="shared" si="18"/>
        <v>104.38713772227966</v>
      </c>
      <c r="AA23" s="454">
        <f t="shared" si="18"/>
        <v>108.47855644717242</v>
      </c>
      <c r="AB23" s="421">
        <f>+AB18/(AB30/100)</f>
        <v>183.96781359869203</v>
      </c>
      <c r="AC23" s="451"/>
      <c r="AD23" s="440"/>
      <c r="AE23" s="449" t="s">
        <v>2466</v>
      </c>
    </row>
    <row r="24" spans="1:31">
      <c r="C24" s="436"/>
      <c r="D24" s="453"/>
      <c r="E24" s="453"/>
      <c r="F24" s="453"/>
      <c r="G24" s="453"/>
      <c r="H24" s="453"/>
      <c r="I24" s="453"/>
      <c r="J24" s="453"/>
      <c r="K24" s="453"/>
      <c r="L24" s="453"/>
      <c r="M24" s="453"/>
      <c r="N24" s="453"/>
      <c r="O24" s="453"/>
      <c r="P24" s="453"/>
      <c r="Q24" s="453"/>
      <c r="R24" s="453"/>
      <c r="S24" s="453"/>
      <c r="T24" s="453"/>
      <c r="U24" s="453"/>
      <c r="V24" s="453"/>
      <c r="W24" s="453"/>
      <c r="X24" s="453"/>
      <c r="Y24" s="453"/>
      <c r="Z24" s="453"/>
      <c r="AA24" s="453"/>
      <c r="AB24" s="439"/>
      <c r="AC24" s="451"/>
      <c r="AD24" s="451"/>
    </row>
    <row r="25" spans="1:31">
      <c r="C25" s="447" t="s">
        <v>2467</v>
      </c>
      <c r="D25" s="453"/>
      <c r="E25" s="447">
        <f t="shared" ref="E25:AA25" si="19">+(E23+D23)/2*E$10/100</f>
        <v>0</v>
      </c>
      <c r="F25" s="447">
        <f t="shared" si="19"/>
        <v>0</v>
      </c>
      <c r="G25" s="447">
        <f t="shared" si="19"/>
        <v>0</v>
      </c>
      <c r="H25" s="447">
        <f t="shared" si="19"/>
        <v>0</v>
      </c>
      <c r="I25" s="447">
        <f t="shared" si="19"/>
        <v>0</v>
      </c>
      <c r="J25" s="447">
        <f t="shared" si="19"/>
        <v>0</v>
      </c>
      <c r="K25" s="447">
        <f t="shared" si="19"/>
        <v>0</v>
      </c>
      <c r="L25" s="447">
        <f t="shared" si="19"/>
        <v>0</v>
      </c>
      <c r="M25" s="447">
        <f t="shared" si="19"/>
        <v>0</v>
      </c>
      <c r="N25" s="447">
        <f t="shared" si="19"/>
        <v>0</v>
      </c>
      <c r="O25" s="447">
        <f t="shared" si="19"/>
        <v>0</v>
      </c>
      <c r="P25" s="447">
        <f t="shared" si="19"/>
        <v>6.7577254999999994</v>
      </c>
      <c r="Q25" s="447">
        <f t="shared" si="19"/>
        <v>7.0423954835774847</v>
      </c>
      <c r="R25" s="447">
        <f t="shared" si="19"/>
        <v>7.084905484117562</v>
      </c>
      <c r="S25" s="447">
        <f t="shared" si="19"/>
        <v>7.1192520602882947</v>
      </c>
      <c r="T25" s="447">
        <f t="shared" si="19"/>
        <v>7.2338669853466309</v>
      </c>
      <c r="U25" s="447">
        <f t="shared" si="19"/>
        <v>7.4729415568271005</v>
      </c>
      <c r="V25" s="447">
        <f t="shared" si="19"/>
        <v>7.7766623570067797</v>
      </c>
      <c r="W25" s="447">
        <f t="shared" si="19"/>
        <v>8.0945147432365143</v>
      </c>
      <c r="X25" s="447">
        <f t="shared" si="19"/>
        <v>8.4234984205224723</v>
      </c>
      <c r="Y25" s="447">
        <f t="shared" si="19"/>
        <v>8.7631763961487597</v>
      </c>
      <c r="Z25" s="447">
        <f t="shared" si="19"/>
        <v>9.1130426217261586</v>
      </c>
      <c r="AA25" s="447">
        <f t="shared" si="19"/>
        <v>9.4725233905406174</v>
      </c>
      <c r="AB25" s="432">
        <f>+(AB23+AA23)/2*AB$10/100</f>
        <v>13.01386346704097</v>
      </c>
      <c r="AC25" s="451"/>
      <c r="AD25" s="451"/>
      <c r="AE25" s="401" t="s">
        <v>2468</v>
      </c>
    </row>
    <row r="26" spans="1:31" ht="25.5">
      <c r="C26" s="433" t="s">
        <v>2469</v>
      </c>
      <c r="D26" s="453"/>
      <c r="E26" s="447">
        <f>+E18-E25</f>
        <v>8.6349999999999998</v>
      </c>
      <c r="F26" s="447">
        <f t="shared" ref="F26:AA26" si="20">+F18-F25</f>
        <v>9.0850000000000009</v>
      </c>
      <c r="G26" s="447">
        <f t="shared" si="20"/>
        <v>9.3949999999999996</v>
      </c>
      <c r="H26" s="447">
        <f t="shared" si="20"/>
        <v>9.6549999999999994</v>
      </c>
      <c r="I26" s="447">
        <f t="shared" si="20"/>
        <v>8.9149999999999991</v>
      </c>
      <c r="J26" s="447">
        <f t="shared" si="20"/>
        <v>8.2210000000000001</v>
      </c>
      <c r="K26" s="447">
        <f t="shared" si="20"/>
        <v>7.2249999999999996</v>
      </c>
      <c r="L26" s="447">
        <f t="shared" si="20"/>
        <v>8.6530000000000005</v>
      </c>
      <c r="M26" s="447">
        <f t="shared" si="20"/>
        <v>9.5950000000000006</v>
      </c>
      <c r="N26" s="447">
        <f t="shared" si="20"/>
        <v>10.071999999999999</v>
      </c>
      <c r="O26" s="447">
        <f t="shared" si="20"/>
        <v>9.8360000000000003</v>
      </c>
      <c r="P26" s="447">
        <f t="shared" si="20"/>
        <v>3.4942745000000013</v>
      </c>
      <c r="Q26" s="447">
        <f t="shared" si="20"/>
        <v>4.0282885802532498</v>
      </c>
      <c r="R26" s="447">
        <f t="shared" si="20"/>
        <v>4.4205860969311201</v>
      </c>
      <c r="S26" s="447">
        <f t="shared" si="20"/>
        <v>4.6334583279457995</v>
      </c>
      <c r="T26" s="447">
        <f t="shared" si="20"/>
        <v>5.1895433050127027</v>
      </c>
      <c r="U26" s="447">
        <f t="shared" si="20"/>
        <v>5.4130607718233588</v>
      </c>
      <c r="V26" s="447">
        <f t="shared" si="20"/>
        <v>5.9182021353128</v>
      </c>
      <c r="W26" s="447">
        <f t="shared" si="20"/>
        <v>6.0974748917355299</v>
      </c>
      <c r="X26" s="447">
        <f t="shared" si="20"/>
        <v>6.2479725198887639</v>
      </c>
      <c r="Y26" s="447">
        <f t="shared" si="20"/>
        <v>6.3670800278446595</v>
      </c>
      <c r="Z26" s="447">
        <f t="shared" si="20"/>
        <v>6.4522968328375683</v>
      </c>
      <c r="AA26" s="447">
        <f t="shared" si="20"/>
        <v>6.5012672536384972</v>
      </c>
      <c r="AB26" s="432">
        <f>+(AB18-AB25)/(AB10-AB19)*100</f>
        <v>52.488624113165962</v>
      </c>
      <c r="AC26" s="451"/>
      <c r="AD26" s="451"/>
      <c r="AE26" s="449" t="s">
        <v>2470</v>
      </c>
    </row>
    <row r="27" spans="1:31">
      <c r="C27" s="450" t="s">
        <v>2456</v>
      </c>
      <c r="D27" s="433"/>
      <c r="E27" s="433"/>
      <c r="F27" s="442">
        <f t="shared" ref="F27:AA27" si="21">+(F26-E26)/E26*100</f>
        <v>5.211349160393759</v>
      </c>
      <c r="G27" s="442">
        <f t="shared" si="21"/>
        <v>3.4122179416620657</v>
      </c>
      <c r="H27" s="442">
        <f t="shared" si="21"/>
        <v>2.7674294837679594</v>
      </c>
      <c r="I27" s="442">
        <f t="shared" si="21"/>
        <v>-7.6644225789746283</v>
      </c>
      <c r="J27" s="442">
        <f t="shared" si="21"/>
        <v>-7.7846326416152456</v>
      </c>
      <c r="K27" s="442">
        <f t="shared" si="21"/>
        <v>-12.115314438632776</v>
      </c>
      <c r="L27" s="442">
        <f t="shared" si="21"/>
        <v>19.764705882352953</v>
      </c>
      <c r="M27" s="442">
        <f t="shared" si="21"/>
        <v>10.886397781116377</v>
      </c>
      <c r="N27" s="442">
        <f t="shared" si="21"/>
        <v>4.9713392391870608</v>
      </c>
      <c r="O27" s="442">
        <f t="shared" si="21"/>
        <v>-2.3431294678316013</v>
      </c>
      <c r="P27" s="442">
        <f t="shared" si="21"/>
        <v>-64.474639080927204</v>
      </c>
      <c r="Q27" s="442">
        <f t="shared" si="21"/>
        <v>15.282545210836993</v>
      </c>
      <c r="R27" s="442">
        <f t="shared" si="21"/>
        <v>9.7385653699419787</v>
      </c>
      <c r="S27" s="442">
        <f t="shared" si="21"/>
        <v>4.8154752864662109</v>
      </c>
      <c r="T27" s="442">
        <f t="shared" si="21"/>
        <v>12.001510269618379</v>
      </c>
      <c r="U27" s="442">
        <f t="shared" si="21"/>
        <v>4.3070739306627477</v>
      </c>
      <c r="V27" s="442">
        <f t="shared" si="21"/>
        <v>9.3318989899181801</v>
      </c>
      <c r="W27" s="442">
        <f t="shared" si="21"/>
        <v>3.0291759612778861</v>
      </c>
      <c r="X27" s="442">
        <f t="shared" si="21"/>
        <v>2.4681959470996313</v>
      </c>
      <c r="Y27" s="442">
        <f t="shared" si="21"/>
        <v>1.9063385374495243</v>
      </c>
      <c r="Z27" s="442">
        <f t="shared" si="21"/>
        <v>1.3383969515105301</v>
      </c>
      <c r="AA27" s="442">
        <f t="shared" si="21"/>
        <v>0.75896106564261878</v>
      </c>
      <c r="AB27" s="455"/>
      <c r="AC27" s="451"/>
      <c r="AD27" s="451"/>
    </row>
    <row r="28" spans="1:31">
      <c r="C28" s="456" t="s">
        <v>2471</v>
      </c>
      <c r="D28" s="457"/>
      <c r="E28" s="448"/>
      <c r="F28" s="448"/>
      <c r="G28" s="448"/>
      <c r="H28" s="448"/>
      <c r="I28" s="448"/>
      <c r="J28" s="448"/>
      <c r="K28" s="448"/>
      <c r="L28" s="448"/>
      <c r="M28" s="448"/>
      <c r="N28" s="448"/>
      <c r="O28" s="448"/>
      <c r="P28" s="448">
        <f t="shared" ref="P28:AA28" ca="1" si="22">P26/(1+P$10/100)^P$6</f>
        <v>3.4942745000000013</v>
      </c>
      <c r="Q28" s="448">
        <f t="shared" ca="1" si="22"/>
        <v>4.0282885802532498</v>
      </c>
      <c r="R28" s="448">
        <f t="shared" ca="1" si="22"/>
        <v>4.1185243779080087</v>
      </c>
      <c r="S28" s="448">
        <f t="shared" ca="1" si="22"/>
        <v>3.9631245656920058</v>
      </c>
      <c r="T28" s="448">
        <f t="shared" ca="1" si="22"/>
        <v>4.0759957460434348</v>
      </c>
      <c r="U28" s="448">
        <f t="shared" ca="1" si="22"/>
        <v>3.9040880589864049</v>
      </c>
      <c r="V28" s="448">
        <f t="shared" ca="1" si="22"/>
        <v>3.9195717292272483</v>
      </c>
      <c r="W28" s="448">
        <f t="shared" ca="1" si="22"/>
        <v>3.7074006083805005</v>
      </c>
      <c r="X28" s="448">
        <f t="shared" ca="1" si="22"/>
        <v>3.4884357391545411</v>
      </c>
      <c r="Y28" s="448">
        <f t="shared" ca="1" si="22"/>
        <v>3.2644050817302168</v>
      </c>
      <c r="Z28" s="448">
        <f t="shared" ca="1" si="22"/>
        <v>3.0377371715601922</v>
      </c>
      <c r="AA28" s="448">
        <f t="shared" ca="1" si="22"/>
        <v>2.8099885502387405</v>
      </c>
      <c r="AB28" s="432">
        <f ca="1">AB26/(1+AB10/100)^AB6</f>
        <v>22.686720453344822</v>
      </c>
      <c r="AC28" s="451"/>
      <c r="AD28" s="451"/>
    </row>
    <row r="29" spans="1:31">
      <c r="C29" s="436"/>
      <c r="D29" s="453"/>
      <c r="E29" s="453"/>
      <c r="F29" s="453"/>
      <c r="G29" s="453"/>
      <c r="H29" s="453"/>
      <c r="I29" s="453"/>
      <c r="J29" s="453"/>
      <c r="K29" s="453"/>
      <c r="L29" s="453"/>
      <c r="M29" s="453"/>
      <c r="N29" s="453"/>
      <c r="O29" s="453"/>
      <c r="P29" s="453"/>
      <c r="Q29" s="453"/>
      <c r="R29" s="453"/>
      <c r="S29" s="453"/>
      <c r="T29" s="453"/>
      <c r="U29" s="453"/>
      <c r="V29" s="453"/>
      <c r="W29" s="453"/>
      <c r="X29" s="453"/>
      <c r="Y29" s="453"/>
      <c r="Z29" s="453"/>
      <c r="AA29" s="453"/>
      <c r="AB29" s="439"/>
      <c r="AC29" s="440"/>
      <c r="AD29" s="440"/>
    </row>
    <row r="30" spans="1:31">
      <c r="C30" s="458" t="s">
        <v>2472</v>
      </c>
      <c r="D30" s="453"/>
      <c r="E30" s="447">
        <f>+E18/(E23+D23)*200</f>
        <v>18.785419816605572</v>
      </c>
      <c r="F30" s="447">
        <f t="shared" ref="F30:AA30" si="23">+F18/(F23+E23)*200</f>
        <v>18.286300873555817</v>
      </c>
      <c r="G30" s="447">
        <f t="shared" si="23"/>
        <v>16.851111150969452</v>
      </c>
      <c r="H30" s="447">
        <f t="shared" si="23"/>
        <v>15.682866610356703</v>
      </c>
      <c r="I30" s="447">
        <f t="shared" si="23"/>
        <v>13.671216071154731</v>
      </c>
      <c r="J30" s="447">
        <f t="shared" si="23"/>
        <v>12.010226442658878</v>
      </c>
      <c r="K30" s="447">
        <f t="shared" si="23"/>
        <v>10.210065923816657</v>
      </c>
      <c r="L30" s="447">
        <f t="shared" si="23"/>
        <v>11.487858954104324</v>
      </c>
      <c r="M30" s="447">
        <f t="shared" si="23"/>
        <v>12.662821849471447</v>
      </c>
      <c r="N30" s="447">
        <f t="shared" si="23"/>
        <v>13.856959090877824</v>
      </c>
      <c r="O30" s="447">
        <f t="shared" si="23"/>
        <v>13.509040591672909</v>
      </c>
      <c r="P30" s="447">
        <f t="shared" si="23"/>
        <v>13.501998564457823</v>
      </c>
      <c r="Q30" s="436">
        <f t="shared" si="23"/>
        <v>13.990848482999635</v>
      </c>
      <c r="R30" s="436">
        <f t="shared" si="23"/>
        <v>14.453103898264247</v>
      </c>
      <c r="S30" s="436">
        <f t="shared" si="23"/>
        <v>14.692431391598696</v>
      </c>
      <c r="T30" s="436">
        <f t="shared" si="23"/>
        <v>15.284819558912568</v>
      </c>
      <c r="U30" s="436">
        <f t="shared" si="23"/>
        <v>15.346757344865788</v>
      </c>
      <c r="V30" s="436">
        <f t="shared" si="23"/>
        <v>15.67308549429646</v>
      </c>
      <c r="W30" s="436">
        <f t="shared" si="23"/>
        <v>15.604234689521101</v>
      </c>
      <c r="X30" s="436">
        <f t="shared" si="23"/>
        <v>15.501408660745133</v>
      </c>
      <c r="Y30" s="436">
        <f t="shared" si="23"/>
        <v>15.366492249627829</v>
      </c>
      <c r="Z30" s="436">
        <f t="shared" si="23"/>
        <v>15.20145651632836</v>
      </c>
      <c r="AA30" s="436">
        <f t="shared" si="23"/>
        <v>15.008327862791413</v>
      </c>
      <c r="AB30" s="459">
        <f>+AB10</f>
        <v>8.9</v>
      </c>
      <c r="AC30" s="440">
        <f>AVERAGE(D30:P30)</f>
        <v>14.209657161641848</v>
      </c>
      <c r="AD30" s="440">
        <f>AVERAGE(Q30:AA30)</f>
        <v>15.102087831813749</v>
      </c>
    </row>
    <row r="31" spans="1:31">
      <c r="C31" s="436"/>
      <c r="D31" s="453"/>
      <c r="E31" s="453"/>
      <c r="F31" s="453"/>
      <c r="G31" s="453"/>
      <c r="H31" s="453"/>
      <c r="I31" s="453"/>
      <c r="J31" s="453"/>
      <c r="K31" s="453"/>
      <c r="L31" s="453"/>
      <c r="M31" s="453"/>
      <c r="N31" s="453"/>
      <c r="O31" s="453"/>
      <c r="P31" s="453"/>
      <c r="Q31" s="453"/>
      <c r="R31" s="453"/>
      <c r="S31" s="453"/>
      <c r="T31" s="453"/>
      <c r="U31" s="453"/>
      <c r="V31" s="453"/>
      <c r="W31" s="453"/>
      <c r="X31" s="453"/>
      <c r="Y31" s="453"/>
      <c r="Z31" s="453"/>
      <c r="AA31" s="453"/>
      <c r="AB31" s="439"/>
      <c r="AC31" s="440"/>
      <c r="AD31" s="440"/>
    </row>
    <row r="32" spans="1:31">
      <c r="A32" s="401" t="s">
        <v>892</v>
      </c>
      <c r="C32" s="447" t="s">
        <v>2473</v>
      </c>
      <c r="D32" s="437">
        <f>VLOOKUP($A32,Model!$1:$1048576,MATCH("fy"&amp;RIGHT(D$4,2)&amp;"a",Model!$1:$1,0),FALSE)/1000</f>
        <v>329.15800000000002</v>
      </c>
      <c r="E32" s="437">
        <f>VLOOKUP($A32,Model!$1:$1048576,MATCH("fy"&amp;RIGHT(E$4,2)&amp;"a",Model!$1:$1,0),FALSE)/1000</f>
        <v>337.71499999999997</v>
      </c>
      <c r="F32" s="437">
        <f>VLOOKUP($A32,Model!$1:$1048576,MATCH("fy"&amp;RIGHT(F$4,2)&amp;"a",Model!$1:$1,0),FALSE)/1000</f>
        <v>368.721</v>
      </c>
      <c r="G32" s="437">
        <f>VLOOKUP($A32,Model!$1:$1048576,MATCH("fy"&amp;RIGHT(G$4,2)&amp;"a",Model!$1:$1,0),FALSE)/1000</f>
        <v>394.66699999999997</v>
      </c>
      <c r="H32" s="437">
        <f>VLOOKUP($A32,Model!$1:$1048576,MATCH("fy"&amp;RIGHT(H$4,2)&amp;"a",Model!$1:$1,0),FALSE)/1000</f>
        <v>437.06299999999999</v>
      </c>
      <c r="I32" s="437">
        <f>VLOOKUP($A32,Model!$1:$1048576,MATCH("fy"&amp;RIGHT(I$4,2)&amp;"a",Model!$1:$1,0),FALSE)/1000</f>
        <v>458.61200000000002</v>
      </c>
      <c r="J32" s="437">
        <f>VLOOKUP($A32,Model!$1:$1048576,MATCH("fy"&amp;RIGHT(J$4,2)&amp;"a",Model!$1:$1,0),FALSE)/1000</f>
        <v>452.762</v>
      </c>
      <c r="K32" s="437">
        <f>VLOOKUP($A32,Model!$1:$1048576,MATCH("fy"&amp;RIGHT(K$4,2)&amp;"a",Model!$1:$1,0),FALSE)/1000</f>
        <v>454.94799999999998</v>
      </c>
      <c r="L32" s="437">
        <f>VLOOKUP($A32,Model!$1:$1048576,MATCH("fy"&amp;RIGHT(L$4,2)&amp;"a",Model!$1:$1,0),FALSE)/1000</f>
        <v>450.68</v>
      </c>
      <c r="M32" s="437">
        <f>VLOOKUP($A32,Model!$1:$1048576,MATCH("fy"&amp;RIGHT(M$4,2)&amp;"a",Model!$1:$1,0),FALSE)/1000</f>
        <v>497.892</v>
      </c>
      <c r="N32" s="437">
        <f>VLOOKUP($A32,Model!$1:$1048576,MATCH("fy"&amp;RIGHT(N$4,2)&amp;"a",Model!$1:$1,0),FALSE)/1000</f>
        <v>467.99200000000002</v>
      </c>
      <c r="O32" s="437">
        <f>VLOOKUP($A32,Model!$1:$1048576,MATCH("fy"&amp;RIGHT(O$4,2)&amp;"a",Model!$1:$1,0),FALSE)/1000</f>
        <v>467.55099999999999</v>
      </c>
      <c r="P32" s="437">
        <f>VLOOKUP($A32,Model!$1:$1048576,MATCH("fy"&amp;RIGHT(P$4,2)&amp;"a",Model!$1:$1,0),FALSE)/1000</f>
        <v>496.14499999999998</v>
      </c>
      <c r="Q32" s="437">
        <f>VLOOKUP($A32,Model!$1:$1048576,MATCH("fy"&amp;RIGHT(Q$4,2)&amp;"e",Model!$1:$1,0),FALSE)/1000</f>
        <v>518.23412151094635</v>
      </c>
      <c r="R32" s="437">
        <f>VLOOKUP($A32,Model!$1:$1048576,MATCH("fy"&amp;RIGHT(R$4,2)&amp;"E",Model!$1:$1,0),FALSE)/1000</f>
        <v>527.56519719904941</v>
      </c>
      <c r="S32" s="437">
        <f>VLOOKUP($A32,Model!$1:$1048576,MATCH("fy"&amp;RIGHT(S$4,2)&amp;"E",Model!$1:$1,0),FALSE)/1000</f>
        <v>539.7462234778427</v>
      </c>
      <c r="T32" s="437">
        <f>VLOOKUP($A32,Model!$1:$1048576,MATCH("fy"&amp;RIGHT(T$4,2)&amp;"E",Model!$1:$1,0),FALSE)/1000</f>
        <v>555.33182043711838</v>
      </c>
      <c r="U32" s="437">
        <f>VLOOKUP($A32,Model!$1:$1048576,MATCH("fy"&amp;RIGHT(U$4,2)&amp;"E",Model!$1:$1,0),FALSE)/1000</f>
        <v>570.87610491962153</v>
      </c>
      <c r="V32" s="438">
        <f t="shared" ref="V32:AA32" si="24">+V33/100*V13</f>
        <v>592.33046589534206</v>
      </c>
      <c r="W32" s="438">
        <f t="shared" si="24"/>
        <v>613.10063607690108</v>
      </c>
      <c r="X32" s="438">
        <f t="shared" si="24"/>
        <v>633.05637489448543</v>
      </c>
      <c r="Y32" s="438">
        <f t="shared" si="24"/>
        <v>652.06869519107522</v>
      </c>
      <c r="Z32" s="438">
        <f t="shared" si="24"/>
        <v>670.01120860556739</v>
      </c>
      <c r="AA32" s="438">
        <f t="shared" si="24"/>
        <v>686.7614888207064</v>
      </c>
      <c r="AB32" s="439"/>
      <c r="AC32" s="440"/>
      <c r="AD32" s="440"/>
    </row>
    <row r="33" spans="1:31">
      <c r="C33" s="447" t="s">
        <v>2474</v>
      </c>
      <c r="D33" s="437">
        <f t="shared" ref="D33:U33" si="25">100*(D32/D13)</f>
        <v>43.663188111273101</v>
      </c>
      <c r="E33" s="437">
        <f t="shared" si="25"/>
        <v>42.670361146805043</v>
      </c>
      <c r="F33" s="437">
        <f t="shared" si="25"/>
        <v>42.214515837269843</v>
      </c>
      <c r="G33" s="437">
        <f t="shared" si="25"/>
        <v>42.300812110597953</v>
      </c>
      <c r="H33" s="437">
        <f t="shared" si="25"/>
        <v>44.76645928887924</v>
      </c>
      <c r="I33" s="437">
        <f t="shared" si="25"/>
        <v>47.029169422610536</v>
      </c>
      <c r="J33" s="437">
        <f t="shared" si="25"/>
        <v>46.36570124792371</v>
      </c>
      <c r="K33" s="437">
        <f t="shared" si="25"/>
        <v>44.801673312187148</v>
      </c>
      <c r="L33" s="437">
        <f t="shared" si="25"/>
        <v>41.27200714302068</v>
      </c>
      <c r="M33" s="437">
        <f t="shared" si="25"/>
        <v>40.9699981896878</v>
      </c>
      <c r="N33" s="437">
        <f t="shared" si="25"/>
        <v>37.366927946867797</v>
      </c>
      <c r="O33" s="437">
        <f t="shared" si="25"/>
        <v>37.282509194020136</v>
      </c>
      <c r="P33" s="437">
        <f t="shared" si="25"/>
        <v>36.648350309019285</v>
      </c>
      <c r="Q33" s="437">
        <f t="shared" si="25"/>
        <v>35.352118370658218</v>
      </c>
      <c r="R33" s="437">
        <f t="shared" si="25"/>
        <v>34.207413992185224</v>
      </c>
      <c r="S33" s="437">
        <f t="shared" si="25"/>
        <v>33.377880135841067</v>
      </c>
      <c r="T33" s="437">
        <f t="shared" si="25"/>
        <v>32.846600844203635</v>
      </c>
      <c r="U33" s="437">
        <f t="shared" si="25"/>
        <v>32.464265251512202</v>
      </c>
      <c r="V33" s="443">
        <f t="shared" ref="V33:AA33" si="26">+U33</f>
        <v>32.464265251512202</v>
      </c>
      <c r="W33" s="443">
        <f t="shared" si="26"/>
        <v>32.464265251512202</v>
      </c>
      <c r="X33" s="443">
        <f t="shared" si="26"/>
        <v>32.464265251512202</v>
      </c>
      <c r="Y33" s="443">
        <f t="shared" si="26"/>
        <v>32.464265251512202</v>
      </c>
      <c r="Z33" s="443">
        <f t="shared" si="26"/>
        <v>32.464265251512202</v>
      </c>
      <c r="AA33" s="443">
        <f t="shared" si="26"/>
        <v>32.464265251512202</v>
      </c>
      <c r="AB33" s="439"/>
      <c r="AC33" s="440"/>
      <c r="AD33" s="440"/>
    </row>
    <row r="34" spans="1:31">
      <c r="C34" s="447" t="s">
        <v>2475</v>
      </c>
      <c r="D34" s="447">
        <f>+D13/D23</f>
        <v>17.109393794966071</v>
      </c>
      <c r="E34" s="447">
        <f t="shared" ref="E34:AA34" si="27">+E13/E23</f>
        <v>16.53264956550802</v>
      </c>
      <c r="F34" s="447">
        <f t="shared" si="27"/>
        <v>16.962751495377923</v>
      </c>
      <c r="G34" s="447">
        <f t="shared" si="27"/>
        <v>15.546389175858964</v>
      </c>
      <c r="H34" s="447">
        <f t="shared" si="27"/>
        <v>15.469119371296385</v>
      </c>
      <c r="I34" s="447">
        <f t="shared" si="27"/>
        <v>14.488529997325648</v>
      </c>
      <c r="J34" s="447">
        <f t="shared" si="27"/>
        <v>14.031410753800616</v>
      </c>
      <c r="K34" s="447">
        <f t="shared" si="27"/>
        <v>14.116900449028956</v>
      </c>
      <c r="L34" s="447">
        <f t="shared" si="27"/>
        <v>13.872867251915185</v>
      </c>
      <c r="M34" s="447">
        <f t="shared" si="27"/>
        <v>16.685568355003912</v>
      </c>
      <c r="N34" s="447">
        <f t="shared" si="27"/>
        <v>17.265750365325761</v>
      </c>
      <c r="O34" s="447">
        <f t="shared" si="27"/>
        <v>17.159613042704869</v>
      </c>
      <c r="P34" s="447">
        <f t="shared" si="27"/>
        <v>17.185424494769983</v>
      </c>
      <c r="Q34" s="447">
        <f t="shared" si="27"/>
        <v>18.443879469560272</v>
      </c>
      <c r="R34" s="447">
        <f t="shared" si="27"/>
        <v>19.343147924237165</v>
      </c>
      <c r="S34" s="447">
        <f t="shared" si="27"/>
        <v>20.150019756770032</v>
      </c>
      <c r="T34" s="447">
        <f t="shared" si="27"/>
        <v>20.541204026625707</v>
      </c>
      <c r="U34" s="447">
        <f t="shared" si="27"/>
        <v>20.537088708012011</v>
      </c>
      <c r="V34" s="460">
        <f t="shared" si="27"/>
        <v>20.47031063090612</v>
      </c>
      <c r="W34" s="460">
        <f t="shared" si="27"/>
        <v>20.357858713219962</v>
      </c>
      <c r="X34" s="460">
        <f t="shared" si="27"/>
        <v>20.202127559174233</v>
      </c>
      <c r="Y34" s="460">
        <f t="shared" si="27"/>
        <v>20.005647052806278</v>
      </c>
      <c r="Z34" s="460">
        <f t="shared" si="27"/>
        <v>19.771039349314592</v>
      </c>
      <c r="AA34" s="460">
        <f t="shared" si="27"/>
        <v>19.500980949045349</v>
      </c>
      <c r="AB34" s="439"/>
      <c r="AC34" s="440">
        <f>AVERAGE(D34:P34)</f>
        <v>15.878951393298641</v>
      </c>
      <c r="AD34" s="440">
        <f>AVERAGE(Q34:AA34)</f>
        <v>19.938482194515611</v>
      </c>
      <c r="AE34" s="401" t="s">
        <v>2476</v>
      </c>
    </row>
    <row r="35" spans="1:31">
      <c r="C35" s="447"/>
      <c r="D35" s="445"/>
      <c r="E35" s="445"/>
      <c r="F35" s="445"/>
      <c r="G35" s="445"/>
      <c r="H35" s="445"/>
      <c r="I35" s="445"/>
      <c r="J35" s="445"/>
      <c r="K35" s="445"/>
      <c r="L35" s="445"/>
      <c r="M35" s="445"/>
      <c r="N35" s="445"/>
      <c r="O35" s="445"/>
      <c r="P35" s="445"/>
      <c r="Q35" s="445"/>
      <c r="R35" s="445"/>
      <c r="S35" s="445"/>
      <c r="T35" s="445"/>
      <c r="U35" s="445"/>
      <c r="V35" s="445"/>
      <c r="W35" s="445"/>
      <c r="X35" s="445"/>
      <c r="Y35" s="445"/>
      <c r="Z35" s="445"/>
      <c r="AA35" s="445"/>
      <c r="AB35" s="439"/>
      <c r="AC35" s="440"/>
      <c r="AD35" s="440"/>
    </row>
    <row r="36" spans="1:31">
      <c r="A36" s="401" t="s">
        <v>955</v>
      </c>
      <c r="C36" s="447" t="s">
        <v>2477</v>
      </c>
      <c r="D36" s="447">
        <f>VLOOKUP($A36,Model!$1:$1048576,MATCH("fy"&amp;RIGHT(D$4,2)&amp;"a",Model!$1:$1,0),FALSE)*100</f>
        <v>10.253434520807636</v>
      </c>
      <c r="E36" s="447">
        <f>VLOOKUP($A36,Model!$1:$1048576,MATCH("fy"&amp;RIGHT(E$4,2)&amp;"a",Model!$1:$1,0),FALSE)*100</f>
        <v>11.136017055801489</v>
      </c>
      <c r="F36" s="447">
        <f>VLOOKUP($A36,Model!$1:$1048576,MATCH("fy"&amp;RIGHT(F$4,2)&amp;"a",Model!$1:$1,0),FALSE)*100</f>
        <v>11.159386094092824</v>
      </c>
      <c r="G36" s="447">
        <f>VLOOKUP($A36,Model!$1:$1048576,MATCH("fy"&amp;RIGHT(G$4,2)&amp;"a",Model!$1:$1,0),FALSE)*100</f>
        <v>12.35294564784996</v>
      </c>
      <c r="H36" s="447">
        <f>VLOOKUP($A36,Model!$1:$1048576,MATCH("fy"&amp;RIGHT(H$4,2)&amp;"a",Model!$1:$1,0),FALSE)*100</f>
        <v>12.099857457620526</v>
      </c>
      <c r="I36" s="447">
        <f>VLOOKUP($A36,Model!$1:$1048576,MATCH("fy"&amp;RIGHT(I$4,2)&amp;"a",Model!$1:$1,0),FALSE)*100</f>
        <v>12.290345651661971</v>
      </c>
      <c r="J36" s="447">
        <f>VLOOKUP($A36,Model!$1:$1048576,MATCH("fy"&amp;RIGHT(J$4,2)&amp;"a",Model!$1:$1,0),FALSE)*100</f>
        <v>12.667803393394323</v>
      </c>
      <c r="K36" s="447">
        <f>VLOOKUP($A36,Model!$1:$1048576,MATCH("fy"&amp;RIGHT(K$4,2)&amp;"a",Model!$1:$1,0),FALSE)*100</f>
        <v>13.938735855526346</v>
      </c>
      <c r="L36" s="447">
        <f>VLOOKUP($A36,Model!$1:$1048576,MATCH("fy"&amp;RIGHT(L$4,2)&amp;"a",Model!$1:$1,0),FALSE)*100</f>
        <v>15.719357415461079</v>
      </c>
      <c r="M36" s="447">
        <f>VLOOKUP($A36,Model!$1:$1048576,MATCH("fy"&amp;RIGHT(M$4,2)&amp;"a",Model!$1:$1,0),FALSE)*100</f>
        <v>13.568806086460516</v>
      </c>
      <c r="N36" s="447">
        <f>VLOOKUP($A36,Model!$1:$1048576,MATCH("fy"&amp;RIGHT(N$4,2)&amp;"a",Model!$1:$1,0),FALSE)*100</f>
        <v>14.481230448383734</v>
      </c>
      <c r="O36" s="447">
        <f>VLOOKUP($A36,Model!$1:$1048576,MATCH("fy"&amp;RIGHT(O$4,2)&amp;"a",Model!$1:$1,0),FALSE)*100</f>
        <v>14.322073955568484</v>
      </c>
      <c r="P36" s="461">
        <f>VLOOKUP($A36,Model!$1:$1048576,MATCH("fy"&amp;RIGHT(P$4,2)&amp;"a",Model!$1:$1,0),FALSE)*100</f>
        <v>13.881828900825363</v>
      </c>
      <c r="Q36" s="447">
        <f>VLOOKUP($A36,Model!$1:$1048576,MATCH("fy"&amp;RIGHT(Q$4,2)&amp;"e",Model!$1:$1,0),FALSE)*100</f>
        <v>13.871622700615601</v>
      </c>
      <c r="R36" s="447">
        <f>VLOOKUP($A36,Model!$1:$1048576,MATCH("fy"&amp;RIGHT(R$4,2)&amp;"E",Model!$1:$1,0),FALSE)*100</f>
        <v>13.62243331544809</v>
      </c>
      <c r="S36" s="447">
        <f>VLOOKUP($A36,Model!$1:$1048576,MATCH("fy"&amp;RIGHT(S$4,2)&amp;"E",Model!$1:$1,0),FALSE)*100</f>
        <v>13.378255977490882</v>
      </c>
      <c r="T36" s="447">
        <f>VLOOKUP($A36,Model!$1:$1048576,MATCH("fy"&amp;RIGHT(T$4,2)&amp;"E",Model!$1:$1,0),FALSE)*100</f>
        <v>13.341059616760752</v>
      </c>
      <c r="U36" s="447">
        <f>VLOOKUP($A36,Model!$1:$1048576,MATCH("fy"&amp;RIGHT(U$4,2)&amp;"E",Model!$1:$1,0),FALSE)*100</f>
        <v>13.528045076060074</v>
      </c>
      <c r="V36" s="460">
        <f t="shared" ref="V36:AA36" si="28">+V38*V37/100</f>
        <v>13.572176152205893</v>
      </c>
      <c r="W36" s="460">
        <f t="shared" si="28"/>
        <v>13.647145590641912</v>
      </c>
      <c r="X36" s="460">
        <f t="shared" si="28"/>
        <v>13.752346675331411</v>
      </c>
      <c r="Y36" s="460">
        <f t="shared" si="28"/>
        <v>13.887411941222808</v>
      </c>
      <c r="Z36" s="460">
        <f t="shared" si="28"/>
        <v>14.052203167693474</v>
      </c>
      <c r="AA36" s="460">
        <f t="shared" si="28"/>
        <v>14.246804429939795</v>
      </c>
      <c r="AB36" s="439"/>
      <c r="AC36" s="440"/>
      <c r="AD36" s="440"/>
      <c r="AE36" s="401" t="s">
        <v>2476</v>
      </c>
    </row>
    <row r="37" spans="1:31">
      <c r="C37" s="462" t="s">
        <v>2478</v>
      </c>
      <c r="D37" s="445">
        <f t="shared" ref="D37:AA37" si="29">+D23/D32*100</f>
        <v>13.385972693964602</v>
      </c>
      <c r="E37" s="445">
        <f t="shared" si="29"/>
        <v>14.175266126763692</v>
      </c>
      <c r="F37" s="445">
        <f t="shared" si="29"/>
        <v>13.965030470192911</v>
      </c>
      <c r="G37" s="445">
        <f t="shared" si="29"/>
        <v>15.206237156894295</v>
      </c>
      <c r="H37" s="445">
        <f t="shared" si="29"/>
        <v>14.44048112057072</v>
      </c>
      <c r="I37" s="445">
        <f t="shared" si="29"/>
        <v>14.676022432906247</v>
      </c>
      <c r="J37" s="445">
        <f t="shared" si="29"/>
        <v>15.370989614852833</v>
      </c>
      <c r="K37" s="445">
        <f t="shared" si="29"/>
        <v>15.811257550313446</v>
      </c>
      <c r="L37" s="445">
        <f t="shared" si="29"/>
        <v>17.465385639478122</v>
      </c>
      <c r="M37" s="445">
        <f t="shared" si="29"/>
        <v>14.628272798116859</v>
      </c>
      <c r="N37" s="445">
        <f t="shared" si="29"/>
        <v>15.499837604061605</v>
      </c>
      <c r="O37" s="445">
        <f t="shared" si="29"/>
        <v>15.631022070319602</v>
      </c>
      <c r="P37" s="445">
        <f t="shared" si="29"/>
        <v>15.877616422618388</v>
      </c>
      <c r="Q37" s="445">
        <f t="shared" si="29"/>
        <v>15.336712690957249</v>
      </c>
      <c r="R37" s="445">
        <f t="shared" si="29"/>
        <v>15.113066846395947</v>
      </c>
      <c r="S37" s="445">
        <f t="shared" si="29"/>
        <v>14.86845261054626</v>
      </c>
      <c r="T37" s="445">
        <f t="shared" si="29"/>
        <v>14.821210342254915</v>
      </c>
      <c r="U37" s="445">
        <f t="shared" si="29"/>
        <v>14.998766456958634</v>
      </c>
      <c r="V37" s="445">
        <f t="shared" si="29"/>
        <v>15.047695308162476</v>
      </c>
      <c r="W37" s="445">
        <f t="shared" si="29"/>
        <v>15.1308151597145</v>
      </c>
      <c r="X37" s="445">
        <f t="shared" si="29"/>
        <v>15.247453335548853</v>
      </c>
      <c r="Y37" s="445">
        <f t="shared" si="29"/>
        <v>15.397202421108675</v>
      </c>
      <c r="Z37" s="445">
        <f t="shared" si="29"/>
        <v>15.579909168912412</v>
      </c>
      <c r="AA37" s="445">
        <f t="shared" si="29"/>
        <v>15.795666794515476</v>
      </c>
      <c r="AB37" s="439"/>
      <c r="AC37" s="422"/>
      <c r="AD37" s="422"/>
    </row>
    <row r="38" spans="1:31">
      <c r="C38" s="462" t="s">
        <v>2479</v>
      </c>
      <c r="D38" s="445">
        <f t="shared" ref="D38:M38" si="30">+D36/D37*100</f>
        <v>76.598352284333075</v>
      </c>
      <c r="E38" s="445">
        <f t="shared" si="30"/>
        <v>78.559491978609614</v>
      </c>
      <c r="F38" s="445">
        <f t="shared" si="30"/>
        <v>79.909500504932808</v>
      </c>
      <c r="G38" s="445">
        <f t="shared" si="30"/>
        <v>81.236044922851335</v>
      </c>
      <c r="H38" s="445">
        <f t="shared" si="30"/>
        <v>83.791234908261231</v>
      </c>
      <c r="I38" s="445">
        <f t="shared" si="30"/>
        <v>83.744391287552361</v>
      </c>
      <c r="J38" s="445">
        <f t="shared" si="30"/>
        <v>82.413713825904551</v>
      </c>
      <c r="K38" s="445">
        <f t="shared" si="30"/>
        <v>88.15703501869794</v>
      </c>
      <c r="L38" s="445">
        <f t="shared" si="30"/>
        <v>90.002922007800478</v>
      </c>
      <c r="M38" s="445">
        <f t="shared" si="30"/>
        <v>92.75740392404542</v>
      </c>
      <c r="N38" s="445">
        <f>+N36/N37*100</f>
        <v>93.428272078083225</v>
      </c>
      <c r="O38" s="445">
        <f t="shared" ref="O38:U38" si="31">+O36/O37*100</f>
        <v>91.625959525471046</v>
      </c>
      <c r="P38" s="445">
        <f t="shared" si="31"/>
        <v>87.430181781253168</v>
      </c>
      <c r="Q38" s="445">
        <f t="shared" si="31"/>
        <v>90.44717065603318</v>
      </c>
      <c r="R38" s="445">
        <f t="shared" si="31"/>
        <v>90.13678993087143</v>
      </c>
      <c r="S38" s="445">
        <f t="shared" si="31"/>
        <v>89.977459846773996</v>
      </c>
      <c r="T38" s="445">
        <f t="shared" si="31"/>
        <v>90.013293845008818</v>
      </c>
      <c r="U38" s="445">
        <f t="shared" si="31"/>
        <v>90.194384417418377</v>
      </c>
      <c r="V38" s="443">
        <f t="shared" ref="V38:AA38" si="32">+U38</f>
        <v>90.194384417418377</v>
      </c>
      <c r="W38" s="443">
        <f t="shared" si="32"/>
        <v>90.194384417418377</v>
      </c>
      <c r="X38" s="443">
        <f t="shared" si="32"/>
        <v>90.194384417418377</v>
      </c>
      <c r="Y38" s="443">
        <f t="shared" si="32"/>
        <v>90.194384417418377</v>
      </c>
      <c r="Z38" s="443">
        <f t="shared" si="32"/>
        <v>90.194384417418377</v>
      </c>
      <c r="AA38" s="443">
        <f t="shared" si="32"/>
        <v>90.194384417418377</v>
      </c>
      <c r="AB38" s="439"/>
      <c r="AC38" s="422"/>
      <c r="AD38" s="422"/>
    </row>
    <row r="39" spans="1:31">
      <c r="C39" s="447"/>
      <c r="D39" s="445"/>
      <c r="E39" s="445"/>
      <c r="F39" s="445"/>
      <c r="G39" s="445"/>
      <c r="H39" s="445"/>
      <c r="I39" s="445"/>
      <c r="J39" s="445"/>
      <c r="K39" s="445"/>
      <c r="L39" s="445"/>
      <c r="M39" s="445"/>
      <c r="N39" s="445"/>
      <c r="O39" s="445"/>
      <c r="P39" s="445"/>
      <c r="Q39" s="445"/>
      <c r="R39" s="445"/>
      <c r="S39" s="445"/>
      <c r="T39" s="445"/>
      <c r="U39" s="445"/>
      <c r="V39" s="445"/>
      <c r="W39" s="445"/>
      <c r="X39" s="445"/>
      <c r="Y39" s="445"/>
      <c r="Z39" s="445"/>
      <c r="AA39" s="445"/>
      <c r="AB39" s="439"/>
      <c r="AC39" s="451" t="s">
        <v>2480</v>
      </c>
      <c r="AD39" s="422"/>
    </row>
    <row r="40" spans="1:31">
      <c r="C40" s="419" t="s">
        <v>2481</v>
      </c>
      <c r="D40" s="419"/>
      <c r="E40" s="419"/>
      <c r="F40" s="419"/>
      <c r="G40" s="419"/>
      <c r="H40" s="419"/>
      <c r="I40" s="419"/>
      <c r="J40" s="419"/>
      <c r="K40" s="419"/>
      <c r="L40" s="429"/>
      <c r="M40" s="429"/>
      <c r="N40" s="429"/>
      <c r="O40" s="429"/>
      <c r="P40" s="429"/>
      <c r="Q40" s="436"/>
      <c r="R40" s="436"/>
      <c r="S40" s="436"/>
      <c r="T40" s="436"/>
      <c r="U40" s="436"/>
      <c r="V40" s="436"/>
      <c r="W40" s="436"/>
      <c r="X40" s="436"/>
      <c r="Y40" s="436"/>
      <c r="Z40" s="436"/>
      <c r="AA40" s="436"/>
      <c r="AB40" s="463">
        <f ca="1">SUMPRODUCT(P58:AA58,P23:AA23)</f>
        <v>79.819716784240882</v>
      </c>
      <c r="AC40" s="464">
        <f ca="1">AB40/AB$43*100</f>
        <v>45.184811483254819</v>
      </c>
      <c r="AD40" s="465"/>
    </row>
    <row r="41" spans="1:31">
      <c r="C41" s="419" t="s">
        <v>2482</v>
      </c>
      <c r="D41" s="419"/>
      <c r="E41" s="419"/>
      <c r="F41" s="419"/>
      <c r="G41" s="419"/>
      <c r="H41" s="419"/>
      <c r="I41" s="419"/>
      <c r="J41" s="419"/>
      <c r="K41" s="419"/>
      <c r="L41" s="429"/>
      <c r="M41" s="429"/>
      <c r="N41" s="429"/>
      <c r="O41" s="429"/>
      <c r="P41" s="429"/>
      <c r="Q41" s="436"/>
      <c r="R41" s="436"/>
      <c r="S41" s="436"/>
      <c r="T41" s="436"/>
      <c r="U41" s="436"/>
      <c r="V41" s="436"/>
      <c r="W41" s="436"/>
      <c r="X41" s="436"/>
      <c r="Y41" s="436"/>
      <c r="Z41" s="436"/>
      <c r="AA41" s="436"/>
      <c r="AB41" s="463">
        <f ca="1">SUMIF(P$6:AA$6,"&gt;"&amp;0,(P28:AA28))+SUMIF(P$6:AA$6,"&gt;"&amp;0,P54:AA54)</f>
        <v>52.994356705359863</v>
      </c>
      <c r="AC41" s="464">
        <f ca="1">AB41/AB$43*100</f>
        <v>29.99935496990901</v>
      </c>
      <c r="AD41" s="422"/>
      <c r="AE41" s="401" t="s">
        <v>2483</v>
      </c>
    </row>
    <row r="42" spans="1:31">
      <c r="C42" s="419" t="s">
        <v>2484</v>
      </c>
      <c r="D42" s="419"/>
      <c r="E42" s="419"/>
      <c r="F42" s="419"/>
      <c r="G42" s="419"/>
      <c r="H42" s="419"/>
      <c r="I42" s="419"/>
      <c r="J42" s="419"/>
      <c r="K42" s="419"/>
      <c r="L42" s="429"/>
      <c r="M42" s="429"/>
      <c r="N42" s="429"/>
      <c r="O42" s="429"/>
      <c r="P42" s="429"/>
      <c r="Q42" s="436"/>
      <c r="R42" s="436"/>
      <c r="S42" s="436"/>
      <c r="T42" s="436"/>
      <c r="U42" s="436"/>
      <c r="V42" s="436"/>
      <c r="W42" s="436"/>
      <c r="X42" s="436"/>
      <c r="Y42" s="436"/>
      <c r="Z42" s="436"/>
      <c r="AA42" s="436"/>
      <c r="AB42" s="421">
        <f ca="1">+AB28+AB54</f>
        <v>43.837580382677849</v>
      </c>
      <c r="AC42" s="464">
        <f ca="1">AB42/AB$43*100</f>
        <v>24.815833546836181</v>
      </c>
      <c r="AD42" s="422"/>
    </row>
    <row r="43" spans="1:31">
      <c r="C43" s="456" t="s">
        <v>2485</v>
      </c>
      <c r="D43" s="457"/>
      <c r="E43" s="448"/>
      <c r="F43" s="448"/>
      <c r="G43" s="448"/>
      <c r="H43" s="448"/>
      <c r="I43" s="448"/>
      <c r="J43" s="448"/>
      <c r="K43" s="448"/>
      <c r="L43" s="448"/>
      <c r="M43" s="448"/>
      <c r="N43" s="448"/>
      <c r="O43" s="448"/>
      <c r="P43" s="448"/>
      <c r="Q43" s="448"/>
      <c r="R43" s="448"/>
      <c r="S43" s="448"/>
      <c r="T43" s="448"/>
      <c r="U43" s="448"/>
      <c r="V43" s="448"/>
      <c r="W43" s="448"/>
      <c r="X43" s="448"/>
      <c r="Y43" s="448"/>
      <c r="Z43" s="448"/>
      <c r="AA43" s="448"/>
      <c r="AB43" s="421">
        <f ca="1">+AB41+AB40+AB42</f>
        <v>176.65165387227859</v>
      </c>
      <c r="AC43" s="466"/>
      <c r="AD43" s="422"/>
    </row>
    <row r="44" spans="1:31">
      <c r="C44" s="456" t="s">
        <v>2486</v>
      </c>
      <c r="D44" s="457"/>
      <c r="E44" s="448"/>
      <c r="F44" s="448"/>
      <c r="G44" s="448"/>
      <c r="H44" s="448"/>
      <c r="I44" s="448"/>
      <c r="J44" s="448"/>
      <c r="K44" s="448"/>
      <c r="L44" s="448"/>
      <c r="M44" s="448"/>
      <c r="N44" s="448"/>
      <c r="O44" s="448"/>
      <c r="P44" s="448"/>
      <c r="Q44" s="448"/>
      <c r="R44" s="448"/>
      <c r="S44" s="448"/>
      <c r="T44" s="448"/>
      <c r="U44" s="448"/>
      <c r="V44" s="448"/>
      <c r="W44" s="448"/>
      <c r="X44" s="448"/>
      <c r="Y44" s="448"/>
      <c r="Z44" s="448"/>
      <c r="AA44" s="448"/>
      <c r="AB44" s="421">
        <f ca="1">AB43*1000/AB50</f>
        <v>106.6996986272908</v>
      </c>
      <c r="AC44" s="422"/>
      <c r="AD44" s="422"/>
    </row>
    <row r="45" spans="1:31">
      <c r="C45" s="433" t="s">
        <v>2487</v>
      </c>
      <c r="D45" s="433"/>
      <c r="E45" s="433"/>
      <c r="F45" s="433"/>
      <c r="G45" s="433"/>
      <c r="H45" s="433"/>
      <c r="I45" s="433"/>
      <c r="J45" s="433"/>
      <c r="K45" s="433"/>
      <c r="L45" s="442"/>
      <c r="M45" s="442"/>
      <c r="N45" s="442"/>
      <c r="O45" s="442"/>
      <c r="P45" s="442"/>
      <c r="Q45" s="447"/>
      <c r="R45" s="447"/>
      <c r="S45" s="447"/>
      <c r="T45" s="447"/>
      <c r="U45" s="447"/>
      <c r="V45" s="447"/>
      <c r="W45" s="447"/>
      <c r="X45" s="447"/>
      <c r="Y45" s="447"/>
      <c r="Z45" s="447"/>
      <c r="AA45" s="447"/>
      <c r="AB45" s="467">
        <f>Summary!C5</f>
        <v>169.56</v>
      </c>
      <c r="AC45" s="428"/>
      <c r="AD45" s="428"/>
    </row>
    <row r="46" spans="1:31">
      <c r="C46" s="433" t="s">
        <v>2488</v>
      </c>
      <c r="D46" s="433"/>
      <c r="E46" s="433"/>
      <c r="F46" s="433"/>
      <c r="G46" s="433"/>
      <c r="H46" s="433"/>
      <c r="I46" s="433"/>
      <c r="J46" s="433"/>
      <c r="K46" s="433"/>
      <c r="L46" s="442"/>
      <c r="M46" s="442"/>
      <c r="N46" s="442"/>
      <c r="O46" s="442"/>
      <c r="P46" s="442"/>
      <c r="Q46" s="447"/>
      <c r="R46" s="447"/>
      <c r="S46" s="447"/>
      <c r="T46" s="447"/>
      <c r="U46" s="447"/>
      <c r="V46" s="447"/>
      <c r="W46" s="447"/>
      <c r="X46" s="447"/>
      <c r="Y46" s="447"/>
      <c r="Z46" s="447"/>
      <c r="AA46" s="447"/>
      <c r="AB46" s="468">
        <f ca="1">+(AB44-AB45)/AB45*100</f>
        <v>-37.072600479304789</v>
      </c>
      <c r="AC46" s="428"/>
      <c r="AD46" s="428"/>
    </row>
    <row r="47" spans="1:31">
      <c r="C47" s="433"/>
      <c r="D47" s="433"/>
      <c r="E47" s="433"/>
      <c r="F47" s="433"/>
      <c r="G47" s="433"/>
      <c r="H47" s="433"/>
      <c r="I47" s="433"/>
      <c r="J47" s="433"/>
      <c r="K47" s="433"/>
      <c r="L47" s="442"/>
      <c r="M47" s="442"/>
      <c r="N47" s="442"/>
      <c r="O47" s="442"/>
      <c r="P47" s="442"/>
      <c r="Q47" s="447"/>
      <c r="R47" s="447"/>
      <c r="S47" s="447"/>
      <c r="T47" s="447"/>
      <c r="U47" s="447"/>
      <c r="V47" s="447"/>
      <c r="W47" s="447"/>
      <c r="X47" s="447"/>
      <c r="Y47" s="447"/>
      <c r="Z47" s="447"/>
      <c r="AA47" s="447"/>
      <c r="AB47" s="439"/>
      <c r="AC47" s="428"/>
      <c r="AD47" s="428"/>
    </row>
    <row r="48" spans="1:31">
      <c r="C48" s="456" t="s">
        <v>2489</v>
      </c>
      <c r="D48" s="457"/>
      <c r="E48" s="448"/>
      <c r="F48" s="448"/>
      <c r="G48" s="448"/>
      <c r="H48" s="448"/>
      <c r="I48" s="448"/>
      <c r="J48" s="448"/>
      <c r="K48" s="448"/>
      <c r="L48" s="448"/>
      <c r="M48" s="448"/>
      <c r="N48" s="448"/>
      <c r="O48" s="448"/>
      <c r="P48" s="448"/>
      <c r="Q48" s="448"/>
      <c r="R48" s="448"/>
      <c r="S48" s="448"/>
      <c r="T48" s="448"/>
      <c r="U48" s="448"/>
      <c r="V48" s="448"/>
      <c r="W48" s="448"/>
      <c r="X48" s="448"/>
      <c r="Y48" s="448"/>
      <c r="Z48" s="448"/>
      <c r="AA48" s="448"/>
      <c r="AB48" s="469">
        <f ca="1">+AB43/AB40</f>
        <v>2.2131330577103179</v>
      </c>
      <c r="AC48" s="422"/>
      <c r="AD48" s="422"/>
    </row>
    <row r="49" spans="1:30">
      <c r="C49" s="433"/>
      <c r="D49" s="433"/>
      <c r="E49" s="433"/>
      <c r="F49" s="433"/>
      <c r="G49" s="433"/>
      <c r="H49" s="433"/>
      <c r="I49" s="433"/>
      <c r="J49" s="433"/>
      <c r="K49" s="433"/>
      <c r="L49" s="433"/>
      <c r="M49" s="433"/>
      <c r="N49" s="433"/>
      <c r="O49" s="433"/>
      <c r="P49" s="433"/>
      <c r="Q49" s="458"/>
      <c r="R49" s="458"/>
      <c r="S49" s="458"/>
      <c r="T49" s="458"/>
      <c r="U49" s="458"/>
      <c r="V49" s="458"/>
      <c r="W49" s="458"/>
      <c r="X49" s="458"/>
      <c r="Y49" s="458"/>
      <c r="Z49" s="458"/>
      <c r="AA49" s="458"/>
      <c r="AB49" s="470"/>
      <c r="AC49" s="428"/>
      <c r="AD49" s="428"/>
    </row>
    <row r="50" spans="1:30">
      <c r="C50" s="471" t="s">
        <v>2490</v>
      </c>
      <c r="D50" s="472"/>
      <c r="E50" s="472"/>
      <c r="F50" s="472"/>
      <c r="G50" s="472"/>
      <c r="H50" s="472"/>
      <c r="I50" s="472"/>
      <c r="J50" s="472"/>
      <c r="K50" s="472"/>
      <c r="L50" s="473"/>
      <c r="M50" s="473"/>
      <c r="N50" s="473"/>
      <c r="O50" s="473"/>
      <c r="P50" s="473"/>
      <c r="Q50" s="474"/>
      <c r="R50" s="474"/>
      <c r="S50" s="474"/>
      <c r="T50" s="474"/>
      <c r="U50" s="474"/>
      <c r="V50" s="474"/>
      <c r="W50" s="474"/>
      <c r="X50" s="474"/>
      <c r="Y50" s="474"/>
      <c r="Z50" s="474"/>
      <c r="AA50" s="474"/>
      <c r="AB50" s="463">
        <f ca="1">SUMPRODUCT(P59:U59,P58:U58)</f>
        <v>1655.5965587994269</v>
      </c>
      <c r="AC50" s="439"/>
      <c r="AD50" s="439"/>
    </row>
    <row r="51" spans="1:30">
      <c r="AB51" s="421"/>
      <c r="AC51" s="465"/>
      <c r="AD51" s="465"/>
    </row>
    <row r="52" spans="1:30">
      <c r="C52" s="447" t="s">
        <v>2491</v>
      </c>
      <c r="D52" s="437"/>
      <c r="E52" s="437"/>
      <c r="F52" s="437"/>
      <c r="G52" s="437"/>
      <c r="H52" s="437"/>
      <c r="I52" s="437"/>
      <c r="J52" s="437"/>
      <c r="K52" s="437"/>
      <c r="L52" s="437"/>
      <c r="M52" s="437"/>
      <c r="N52" s="437"/>
      <c r="O52" s="437"/>
      <c r="P52" s="475">
        <f ca="1">P22/(1+P$10/100)^P$6</f>
        <v>3.4751943412928568</v>
      </c>
      <c r="Q52" s="475" t="e">
        <f ca="1">Q22/(1+Q$10/100)^Q$6</f>
        <v>#N/A</v>
      </c>
      <c r="R52" s="475">
        <f t="shared" ref="R52:AA52" ca="1" si="33">R22/(1+R$10/100)^R$6</f>
        <v>3.3826410359405528</v>
      </c>
      <c r="S52" s="475">
        <f t="shared" ca="1" si="33"/>
        <v>3.1709696149919382</v>
      </c>
      <c r="T52" s="475">
        <f t="shared" ca="1" si="33"/>
        <v>3.0611053225734435</v>
      </c>
      <c r="U52" s="475">
        <f t="shared" ca="1" si="33"/>
        <v>2.9628746328236755</v>
      </c>
      <c r="V52" s="475">
        <f t="shared" ca="1" si="33"/>
        <v>2.8915115393964936</v>
      </c>
      <c r="W52" s="475">
        <f t="shared" ca="1" si="33"/>
        <v>2.7509401998009042</v>
      </c>
      <c r="X52" s="475">
        <f t="shared" ca="1" si="33"/>
        <v>2.6114615896784974</v>
      </c>
      <c r="Y52" s="475">
        <f t="shared" ca="1" si="33"/>
        <v>2.4730243545340032</v>
      </c>
      <c r="Z52" s="475">
        <f t="shared" ca="1" si="33"/>
        <v>2.3362150726543476</v>
      </c>
      <c r="AA52" s="475">
        <f t="shared" ca="1" si="33"/>
        <v>2.2010650983370956</v>
      </c>
      <c r="AB52" s="432">
        <f ca="1">AB22/(1+AB$10/100)^AB$6/((AB10-AB19)/100)</f>
        <v>35.251433215555046</v>
      </c>
      <c r="AC52" s="465"/>
      <c r="AD52" s="465"/>
    </row>
    <row r="53" spans="1:30">
      <c r="A53" s="401" t="s">
        <v>765</v>
      </c>
      <c r="C53" s="447" t="s">
        <v>2492</v>
      </c>
      <c r="D53" s="447"/>
      <c r="E53" s="447"/>
      <c r="F53" s="447"/>
      <c r="G53" s="447"/>
      <c r="H53" s="447"/>
      <c r="I53" s="447"/>
      <c r="J53" s="447"/>
      <c r="K53" s="447"/>
      <c r="L53" s="447"/>
      <c r="M53" s="447"/>
      <c r="N53" s="447"/>
      <c r="O53" s="447"/>
      <c r="P53" s="461">
        <f>VLOOKUP($A53,Model!$1:$1048576,MATCH("fy"&amp;RIGHT(P$4,2)&amp;"a",Model!$1:$1,0),FALSE)*100</f>
        <v>60</v>
      </c>
      <c r="Q53" s="461">
        <f>VLOOKUP($A53,Model!$1:$1048576,MATCH("fy"&amp;RIGHT(Q$4,2)&amp;"e",Model!$1:$1,0),FALSE)*100</f>
        <v>60</v>
      </c>
      <c r="R53" s="461">
        <f>VLOOKUP($A53,Model!$1:$1048576,MATCH("fy"&amp;RIGHT(R$4,2)&amp;"e",Model!$1:$1,0),FALSE)*100</f>
        <v>60</v>
      </c>
      <c r="S53" s="461">
        <f>VLOOKUP($A53,Model!$1:$1048576,MATCH("fy"&amp;RIGHT(S$4,2)&amp;"e",Model!$1:$1,0),FALSE)*100</f>
        <v>60</v>
      </c>
      <c r="T53" s="461">
        <f>VLOOKUP($A53,Model!$1:$1048576,MATCH("fy"&amp;RIGHT(T$4,2)&amp;"e",Model!$1:$1,0),FALSE)*100</f>
        <v>60</v>
      </c>
      <c r="U53" s="461">
        <f>VLOOKUP($A53,Model!$1:$1048576,MATCH("fy"&amp;RIGHT(U$4,2)&amp;"e",Model!$1:$1,0),FALSE)*100</f>
        <v>60</v>
      </c>
      <c r="V53" s="476">
        <f t="shared" ref="V53:AB53" si="34">U53</f>
        <v>60</v>
      </c>
      <c r="W53" s="476">
        <f t="shared" si="34"/>
        <v>60</v>
      </c>
      <c r="X53" s="476">
        <f t="shared" si="34"/>
        <v>60</v>
      </c>
      <c r="Y53" s="476">
        <f t="shared" si="34"/>
        <v>60</v>
      </c>
      <c r="Z53" s="476">
        <f t="shared" si="34"/>
        <v>60</v>
      </c>
      <c r="AA53" s="476">
        <f t="shared" si="34"/>
        <v>60</v>
      </c>
      <c r="AB53" s="421">
        <f t="shared" si="34"/>
        <v>60</v>
      </c>
      <c r="AC53" s="465"/>
      <c r="AD53" s="465"/>
    </row>
    <row r="54" spans="1:30">
      <c r="C54" s="447" t="s">
        <v>2493</v>
      </c>
      <c r="D54" s="447"/>
      <c r="E54" s="447"/>
      <c r="F54" s="447"/>
      <c r="G54" s="447"/>
      <c r="H54" s="447"/>
      <c r="I54" s="447"/>
      <c r="J54" s="447"/>
      <c r="K54" s="447"/>
      <c r="L54" s="447"/>
      <c r="M54" s="447"/>
      <c r="N54" s="447"/>
      <c r="O54" s="447"/>
      <c r="P54" s="461">
        <f t="shared" ref="P54:Y54" ca="1" si="35">P52*P53/100</f>
        <v>2.0851166047757141</v>
      </c>
      <c r="Q54" s="461" t="e">
        <f t="shared" ca="1" si="35"/>
        <v>#N/A</v>
      </c>
      <c r="R54" s="461">
        <f t="shared" ca="1" si="35"/>
        <v>2.0295846215643318</v>
      </c>
      <c r="S54" s="461">
        <f t="shared" ca="1" si="35"/>
        <v>1.902581768995163</v>
      </c>
      <c r="T54" s="461">
        <f t="shared" ca="1" si="35"/>
        <v>1.836663193544066</v>
      </c>
      <c r="U54" s="461">
        <f t="shared" ca="1" si="35"/>
        <v>1.7777247796942053</v>
      </c>
      <c r="V54" s="461">
        <f t="shared" ca="1" si="35"/>
        <v>1.734906923637896</v>
      </c>
      <c r="W54" s="461">
        <f t="shared" ca="1" si="35"/>
        <v>1.6505641198805427</v>
      </c>
      <c r="X54" s="461">
        <f t="shared" ca="1" si="35"/>
        <v>1.5668769538070983</v>
      </c>
      <c r="Y54" s="461">
        <f t="shared" ca="1" si="35"/>
        <v>1.4838146127204019</v>
      </c>
      <c r="Z54" s="461">
        <f ca="1">Z52*Z53/100</f>
        <v>1.4017290435926086</v>
      </c>
      <c r="AA54" s="461">
        <f ca="1">AA52*AA53/100</f>
        <v>1.3206390590022574</v>
      </c>
      <c r="AB54" s="421">
        <f ca="1">AB52*AB53/100</f>
        <v>21.150859929333027</v>
      </c>
      <c r="AC54" s="465"/>
      <c r="AD54" s="465"/>
    </row>
    <row r="57" spans="1:30">
      <c r="C57" s="477" t="s">
        <v>2494</v>
      </c>
      <c r="D57" s="477"/>
      <c r="E57" s="477"/>
      <c r="F57" s="477"/>
      <c r="G57" s="477"/>
      <c r="H57" s="477"/>
      <c r="I57" s="477"/>
      <c r="J57" s="477"/>
      <c r="K57" s="477"/>
      <c r="L57" s="477"/>
      <c r="M57" s="477"/>
      <c r="N57" s="477"/>
      <c r="O57" s="477"/>
      <c r="P57" s="477">
        <f ca="1">IF((IF(MONTH($S$3)&lt;=MONTH($S$2),YEAR($S$3),YEAR($S$3)+1))=P$4,IF(MONTH($S$3)&lt;=MONTH($S$2),YEAR($S$3),YEAR($S$3)+1),IF((IF(MONTH($S$3)&lt;=MONTH($S$2),YEAR($S$3),YEAR($S$3)+1))+1=P$4,O57+1,0))</f>
        <v>0</v>
      </c>
      <c r="Q57" s="478">
        <f ca="1">IF((IF(MONTH($S$3)&lt;=MONTH($S$2),YEAR($S$3),YEAR($S$3)+1))=Q$4,IF(MONTH($S$3)&lt;=MONTH($S$2),YEAR($S$3),YEAR($S$3)+1),IF((IF(MONTH($S$3)&lt;=MONTH($S$2),YEAR($S$3),YEAR($S$3)+1))+1=Q$4,P57+1,0))</f>
        <v>0</v>
      </c>
      <c r="R57" s="477">
        <f ca="1">IF((IF(MONTH($S$3)&lt;=MONTH($S$2),YEAR($S$3),YEAR($S$3)+1))=R$4,IF(MONTH($S$3)&lt;=MONTH($S$2),YEAR($S$3),YEAR($S$3)+1),IF((IF(MONTH($S$3)&lt;=MONTH($S$2),YEAR($S$3),YEAR($S$3)+1))+1=R$4,Q57+1,0))</f>
        <v>2027</v>
      </c>
      <c r="S57" s="477">
        <f ca="1">IF((IF(MONTH($S$3)&lt;=MONTH($S$2),YEAR($S$3),YEAR($S$3)+1))=S$4,IF(MONTH($S$3)&lt;=MONTH($S$2),YEAR($S$3),YEAR($S$3)+1),IF((IF(MONTH($S$3)&lt;=MONTH($S$2),YEAR($S$3),YEAR($S$3)+1))+1=S$4,R57+1,0))</f>
        <v>2028</v>
      </c>
      <c r="T57" s="477">
        <f t="shared" ref="T57:AA57" ca="1" si="36">IF((IF(MONTH($S$3)&lt;=MONTH($S$2),YEAR($S$3),YEAR($S$3)+1))=T$4,IF(MONTH($S$3)&lt;=MONTH($S$2),YEAR($S$3),YEAR($S$3)+1),IF((IF(MONTH($S$3)&lt;=MONTH($S$2),YEAR($S$3),YEAR($S$3)+1))+1=T$4,S57+1,0))</f>
        <v>0</v>
      </c>
      <c r="U57" s="477">
        <f t="shared" ca="1" si="36"/>
        <v>0</v>
      </c>
      <c r="V57" s="477">
        <f t="shared" ca="1" si="36"/>
        <v>0</v>
      </c>
      <c r="W57" s="477">
        <f t="shared" ca="1" si="36"/>
        <v>0</v>
      </c>
      <c r="X57" s="477">
        <f t="shared" ca="1" si="36"/>
        <v>0</v>
      </c>
      <c r="Y57" s="477">
        <f t="shared" ca="1" si="36"/>
        <v>0</v>
      </c>
      <c r="Z57" s="477">
        <f t="shared" ca="1" si="36"/>
        <v>0</v>
      </c>
      <c r="AA57" s="477">
        <f t="shared" ca="1" si="36"/>
        <v>0</v>
      </c>
    </row>
    <row r="58" spans="1:30">
      <c r="C58" s="477" t="s">
        <v>2495</v>
      </c>
      <c r="D58" s="477"/>
      <c r="E58" s="477"/>
      <c r="F58" s="477"/>
      <c r="G58" s="477"/>
      <c r="H58" s="477"/>
      <c r="I58" s="477"/>
      <c r="J58" s="477"/>
      <c r="K58" s="477"/>
      <c r="L58" s="477"/>
      <c r="M58" s="477"/>
      <c r="N58" s="477"/>
      <c r="O58" s="477"/>
      <c r="P58" s="479">
        <f ca="1">IF(AND(N57=0,O57=0,P57&gt;0),(EOMONTH(DATE(P57,MONTH($S$2),15),0)-$S$3)/(EOMONTH(DATE(P57,MONTH($S$2),15),0)-EOMONTH(DATE(P57-1,MONTH($S$2),15),0)),IF(AND(N57=0,O57&gt;0,P57&gt;0),1-O58,0))</f>
        <v>0</v>
      </c>
      <c r="Q58" s="479">
        <f ca="1">IF(AND(O57=0,P57=0,Q57&gt;0),(EOMONTH(DATE(Q57,MONTH($S$2),15),0)-$S$3)/(EOMONTH(DATE(Q57,MONTH($S$2),15),0)-EOMONTH(DATE(Q57-1,MONTH($S$2),15),0)),IF(AND(O57=0,P57&gt;0,Q57&gt;0),1-P58,0))</f>
        <v>0</v>
      </c>
      <c r="R58" s="479">
        <f ca="1">IF(AND(P57=0,Q57=0,R57&gt;0),(EOMONTH(DATE(R57,MONTH($S$2),15),0)-$S$3)/(EOMONTH(DATE(R57,MONTH($S$2),15),0)-EOMONTH(DATE(R57-1,MONTH($S$2),15),0)),IF(AND(P57=0,Q57&gt;0,R57&gt;0),1-Q58,0))</f>
        <v>0.83013698630136989</v>
      </c>
      <c r="S58" s="479">
        <f ca="1">IF(AND(Q57=0,R57=0,S57&gt;0),(EOMONTH(DATE(S57,MONTH($S$2),15),0)-$S$3)/(EOMONTH(DATE(S57,MONTH($S$2),15),0)-EOMONTH(DATE(S57-1,MONTH($S$2),15),0)),IF(AND(Q57=0,R57&gt;0,S57&gt;0),1-R58,0))</f>
        <v>0.16986301369863011</v>
      </c>
      <c r="T58" s="479">
        <f t="shared" ref="T58:AA58" ca="1" si="37">IF(AND(R57=0,S57=0,T57&gt;0),(EOMONTH(DATE(T57,MONTH($S$2),15),0)-$S$3)/(EOMONTH(DATE(T57,MONTH($S$2),15),0)-EOMONTH(DATE(T57-1,MONTH($S$2),15),0)),IF(AND(R57=0,S57&gt;0,T57&gt;0),1-S58,0))</f>
        <v>0</v>
      </c>
      <c r="U58" s="479">
        <f t="shared" ca="1" si="37"/>
        <v>0</v>
      </c>
      <c r="V58" s="479">
        <f t="shared" ca="1" si="37"/>
        <v>0</v>
      </c>
      <c r="W58" s="479">
        <f t="shared" ca="1" si="37"/>
        <v>0</v>
      </c>
      <c r="X58" s="479">
        <f t="shared" ca="1" si="37"/>
        <v>0</v>
      </c>
      <c r="Y58" s="479">
        <f t="shared" ca="1" si="37"/>
        <v>0</v>
      </c>
      <c r="Z58" s="479">
        <f t="shared" ca="1" si="37"/>
        <v>0</v>
      </c>
      <c r="AA58" s="479">
        <f t="shared" ca="1" si="37"/>
        <v>0</v>
      </c>
    </row>
    <row r="59" spans="1:30">
      <c r="A59" s="401" t="s">
        <v>754</v>
      </c>
      <c r="C59" s="477" t="s">
        <v>2198</v>
      </c>
      <c r="D59" s="480">
        <f>VLOOKUP($A59,Model!$1:$1048576,MATCH("fy"&amp;RIGHT(D$4,2)&amp;"a",Model!$1:$1,0),FALSE)</f>
        <v>1620.7520611301024</v>
      </c>
      <c r="E59" s="480">
        <f>VLOOKUP($A59,Model!$1:$1048576,MATCH("fy"&amp;RIGHT(E$4,2)&amp;"a",Model!$1:$1,0),FALSE)</f>
        <v>1629.8009249949728</v>
      </c>
      <c r="F59" s="480">
        <f>VLOOKUP($A59,Model!$1:$1048576,MATCH("fy"&amp;RIGHT(F$4,2)&amp;"a",Model!$1:$1,0),FALSE)</f>
        <v>1636.8389302232054</v>
      </c>
      <c r="G59" s="480">
        <f>VLOOKUP($A59,Model!$1:$1048576,MATCH("fy"&amp;RIGHT(G$4,2)&amp;"a",Model!$1:$1,0),FALSE)</f>
        <v>1715</v>
      </c>
      <c r="H59" s="480">
        <f>VLOOKUP($A59,Model!$1:$1048576,MATCH("fy"&amp;RIGHT(H$4,2)&amp;"a",Model!$1:$1,0),FALSE)</f>
        <v>1723</v>
      </c>
      <c r="I59" s="480">
        <f>VLOOKUP($A59,Model!$1:$1048576,MATCH("fy"&amp;RIGHT(I$4,2)&amp;"a",Model!$1:$1,0),FALSE)</f>
        <v>1730</v>
      </c>
      <c r="J59" s="480">
        <f>VLOOKUP($A59,Model!$1:$1048576,MATCH("fy"&amp;RIGHT(J$4,2)&amp;"a",Model!$1:$1,0),FALSE)</f>
        <v>1770.239507</v>
      </c>
      <c r="K59" s="480">
        <f>VLOOKUP($A59,Model!$1:$1048576,MATCH("fy"&amp;RIGHT(K$4,2)&amp;"a",Model!$1:$1,0),FALSE)</f>
        <v>1770.239507</v>
      </c>
      <c r="L59" s="480">
        <f>VLOOKUP($A59,Model!$1:$1048576,MATCH("fy"&amp;RIGHT(L$4,2)&amp;"a",Model!$1:$1,0),FALSE)</f>
        <v>1774.0964100000001</v>
      </c>
      <c r="M59" s="480">
        <f>VLOOKUP($A59,Model!$1:$1048576,MATCH("fy"&amp;RIGHT(M$4,2)&amp;"a",Model!$1:$1,0),FALSE)</f>
        <v>1701.5384059999999</v>
      </c>
      <c r="N59" s="480">
        <f>VLOOKUP($A59,Model!$1:$1048576,MATCH("fy"&amp;RIGHT(N$4,2)&amp;"a",Model!$1:$1,0),FALSE)</f>
        <v>1674.519391</v>
      </c>
      <c r="O59" s="480">
        <f>VLOOKUP($A59,Model!$1:$1048576,MATCH("fy"&amp;RIGHT(O$4,2)&amp;"a",Model!$1:$1,0),FALSE)</f>
        <v>1672.0700300000001</v>
      </c>
      <c r="P59" s="480">
        <f>VLOOKUP($A59,Model!$1:$1048576,MATCH("fy"&amp;RIGHT(P$4,2)&amp;"a",Model!$1:$1,0),FALSE)</f>
        <v>1671.842146</v>
      </c>
      <c r="Q59" s="480">
        <f>VLOOKUP($A59,Model!$1:$1048576,MATCH("fy"&amp;RIGHT(Q$4,2)&amp;"e",Model!$1:$1,0),FALSE)</f>
        <v>1672.123722</v>
      </c>
      <c r="R59" s="480">
        <f>VLOOKUP($A59,Model!$1:$1048576,MATCH("fy"&amp;RIGHT(R$4,2)&amp;"e",Model!$1:$1,0),FALSE)</f>
        <v>1657.8266296797287</v>
      </c>
      <c r="S59" s="480">
        <f>VLOOKUP($A59,Model!$1:$1048576,MATCH("fy"&amp;RIGHT(S$4,2)&amp;"e",Model!$1:$1,0),FALSE)</f>
        <v>1644.6979865940805</v>
      </c>
      <c r="T59" s="480">
        <f>VLOOKUP($A59,Model!$1:$1048576,MATCH("fy"&amp;RIGHT(T$4,2)&amp;"e",Model!$1:$1,0),FALSE)</f>
        <v>1638.5416793262229</v>
      </c>
      <c r="U59" s="480">
        <f>VLOOKUP($A59,Model!$1:$1048576,MATCH("fy"&amp;RIGHT(U$4,2)&amp;"e",Model!$1:$1,0),FALSE)</f>
        <v>1638.5416793262229</v>
      </c>
      <c r="V59" s="480">
        <f>VLOOKUP($A59,Model!$1:$1048576,MATCH("fy"&amp;RIGHT(V$4,2)&amp;"e",Model!$1:$1,0),FALSE)</f>
        <v>1638.5416793262229</v>
      </c>
      <c r="W59" s="480">
        <f>VLOOKUP($A59,Model!$1:$1048576,MATCH("fy"&amp;RIGHT(W$4,2)&amp;"e",Model!$1:$1,0),FALSE)</f>
        <v>1638.5416793262229</v>
      </c>
      <c r="X59" s="480">
        <f>VLOOKUP($A59,Model!$1:$1048576,MATCH("fy"&amp;RIGHT(X$4,2)&amp;"e",Model!$1:$1,0),FALSE)</f>
        <v>1638.5416793262229</v>
      </c>
      <c r="Y59" s="480">
        <f>VLOOKUP($A59,Model!$1:$1048576,MATCH("fy"&amp;RIGHT(Y$4,2)&amp;"e",Model!$1:$1,0),FALSE)</f>
        <v>1638.5416793262229</v>
      </c>
      <c r="Z59" s="480" t="e">
        <f>VLOOKUP($A59,Model!$1:$1048576,MATCH("fy"&amp;RIGHT(Z$4,2)&amp;"e",Model!$1:$1,0),FALSE)</f>
        <v>#N/A</v>
      </c>
      <c r="AA59" s="480" t="e">
        <f>VLOOKUP($A59,Model!$1:$1048576,MATCH("fy"&amp;RIGHT(AA$4,2)&amp;"e",Model!$1:$1,0),FALSE)</f>
        <v>#N/A</v>
      </c>
      <c r="AB59" s="404"/>
    </row>
  </sheetData>
  <pageMargins left="0.7" right="0.7" top="0.75" bottom="0.75" header="0.3" footer="0.3"/>
  <pageSetup paperSize="9" scale="26" orientation="landscape" r:id="rId1"/>
  <customProperties>
    <customPr name="Qube.Worksheet.Visibility" r:id="rId2"/>
    <customPr name="SHEET_UNIQUE_ID"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dimension ref="A1:DO853"/>
  <sheetViews>
    <sheetView workbookViewId="0"/>
  </sheetViews>
  <sheetFormatPr defaultColWidth="10.75" defaultRowHeight="12" outlineLevelRow="3" outlineLevelCol="1"/>
  <cols>
    <col min="1" max="1" width="4" style="1" customWidth="1"/>
    <col min="2" max="2" width="27.375" style="19" customWidth="1"/>
    <col min="3" max="19" width="10.75" style="21" hidden="1" customWidth="1" outlineLevel="1"/>
    <col min="20" max="20" width="10.75" style="21" hidden="1" customWidth="1" outlineLevel="1" collapsed="1"/>
    <col min="21" max="27" width="10.75" style="21" hidden="1" customWidth="1" outlineLevel="1"/>
    <col min="28" max="28" width="10.75" style="21" hidden="1" customWidth="1" outlineLevel="1" collapsed="1"/>
    <col min="29" max="41" width="10.75" style="21" hidden="1" customWidth="1" outlineLevel="1"/>
    <col min="42" max="42" width="10.75" style="21" customWidth="1" collapsed="1"/>
    <col min="43" max="59" width="10.75" style="21" customWidth="1"/>
    <col min="60" max="69" width="10.75" style="21" customWidth="1" outlineLevel="1"/>
    <col min="70" max="70" width="4" style="21" customWidth="1"/>
    <col min="71" max="91" width="10.75" style="21" hidden="1" customWidth="1" outlineLevel="1"/>
    <col min="92" max="92" width="10.75" style="21" hidden="1" customWidth="1" outlineLevel="1" collapsed="1"/>
    <col min="93" max="98" width="10.75" style="21" hidden="1" customWidth="1" outlineLevel="1"/>
    <col min="99" max="99" width="10.75" style="21" customWidth="1" collapsed="1"/>
    <col min="100" max="106" width="10.75" style="21" customWidth="1"/>
    <col min="107" max="108" width="10.75" style="19" customWidth="1"/>
    <col min="109" max="113" width="10.75" style="19" hidden="1" customWidth="1" outlineLevel="1"/>
    <col min="114" max="114" width="10.75" style="19" collapsed="1"/>
    <col min="115" max="16384" width="10.75" style="19"/>
  </cols>
  <sheetData>
    <row r="1" spans="1:113" s="5" customFormat="1">
      <c r="A1" s="137"/>
      <c r="B1" s="2" t="s">
        <v>643</v>
      </c>
      <c r="C1" s="3" t="s">
        <v>132</v>
      </c>
      <c r="D1" s="3" t="s">
        <v>624</v>
      </c>
      <c r="E1" s="3" t="s">
        <v>625</v>
      </c>
      <c r="F1" s="3" t="s">
        <v>626</v>
      </c>
      <c r="G1" s="3" t="s">
        <v>627</v>
      </c>
      <c r="H1" s="3" t="s">
        <v>628</v>
      </c>
      <c r="I1" s="3" t="s">
        <v>629</v>
      </c>
      <c r="J1" s="3" t="s">
        <v>630</v>
      </c>
      <c r="K1" s="3" t="s">
        <v>631</v>
      </c>
      <c r="L1" s="3" t="s">
        <v>513</v>
      </c>
      <c r="M1" s="3" t="s">
        <v>514</v>
      </c>
      <c r="N1" s="3" t="s">
        <v>515</v>
      </c>
      <c r="O1" s="3" t="s">
        <v>516</v>
      </c>
      <c r="P1" s="3" t="s">
        <v>517</v>
      </c>
      <c r="Q1" s="3" t="s">
        <v>518</v>
      </c>
      <c r="R1" s="3" t="s">
        <v>519</v>
      </c>
      <c r="S1" s="3" t="s">
        <v>520</v>
      </c>
      <c r="T1" s="3" t="s">
        <v>521</v>
      </c>
      <c r="U1" s="3" t="s">
        <v>522</v>
      </c>
      <c r="V1" s="3" t="s">
        <v>523</v>
      </c>
      <c r="W1" s="3" t="s">
        <v>509</v>
      </c>
      <c r="X1" s="3" t="s">
        <v>510</v>
      </c>
      <c r="Y1" s="3" t="s">
        <v>511</v>
      </c>
      <c r="Z1" s="3" t="s">
        <v>1113</v>
      </c>
      <c r="AA1" s="3" t="s">
        <v>2443</v>
      </c>
      <c r="AB1" s="3" t="s">
        <v>2499</v>
      </c>
      <c r="AC1" s="3" t="s">
        <v>2506</v>
      </c>
      <c r="AD1" s="3" t="s">
        <v>2512</v>
      </c>
      <c r="AE1" s="3" t="s">
        <v>2518</v>
      </c>
      <c r="AF1" s="3" t="s">
        <v>2522</v>
      </c>
      <c r="AG1" s="3" t="s">
        <v>2533</v>
      </c>
      <c r="AH1" s="3" t="s">
        <v>2546</v>
      </c>
      <c r="AI1" s="3" t="s">
        <v>2552</v>
      </c>
      <c r="AJ1" s="3" t="s">
        <v>2577</v>
      </c>
      <c r="AK1" s="3" t="s">
        <v>2606</v>
      </c>
      <c r="AL1" s="3" t="s">
        <v>2610</v>
      </c>
      <c r="AM1" s="3" t="s">
        <v>2618</v>
      </c>
      <c r="AN1" s="3" t="s">
        <v>2619</v>
      </c>
      <c r="AO1" s="3" t="s">
        <v>2623</v>
      </c>
      <c r="AP1" s="3" t="s">
        <v>2627</v>
      </c>
      <c r="AQ1" s="3" t="s">
        <v>2629</v>
      </c>
      <c r="AR1" s="3" t="s">
        <v>2633</v>
      </c>
      <c r="AS1" s="3" t="s">
        <v>2650</v>
      </c>
      <c r="AT1" s="3" t="s">
        <v>2652</v>
      </c>
      <c r="AU1" s="3" t="s">
        <v>2654</v>
      </c>
      <c r="AV1" s="3" t="s">
        <v>2658</v>
      </c>
      <c r="AW1" s="4" t="s">
        <v>2659</v>
      </c>
      <c r="AX1" s="3" t="s">
        <v>2519</v>
      </c>
      <c r="AY1" s="3" t="s">
        <v>2520</v>
      </c>
      <c r="AZ1" s="3" t="s">
        <v>2535</v>
      </c>
      <c r="BA1" s="3" t="s">
        <v>2536</v>
      </c>
      <c r="BB1" s="3" t="s">
        <v>2553</v>
      </c>
      <c r="BC1" s="3" t="s">
        <v>2554</v>
      </c>
      <c r="BD1" s="3" t="s">
        <v>2607</v>
      </c>
      <c r="BE1" s="3" t="s">
        <v>2608</v>
      </c>
      <c r="BF1" s="3" t="s">
        <v>2611</v>
      </c>
      <c r="BG1" s="3" t="s">
        <v>2612</v>
      </c>
      <c r="BH1" s="3" t="s">
        <v>2624</v>
      </c>
      <c r="BI1" s="3" t="s">
        <v>2625</v>
      </c>
      <c r="BJ1" s="3" t="s">
        <v>2630</v>
      </c>
      <c r="BK1" s="3" t="s">
        <v>2631</v>
      </c>
      <c r="BL1" s="3" t="s">
        <v>2647</v>
      </c>
      <c r="BM1" s="3" t="s">
        <v>2648</v>
      </c>
      <c r="BN1" s="3" t="s">
        <v>2655</v>
      </c>
      <c r="BO1" s="3" t="s">
        <v>2656</v>
      </c>
      <c r="BP1" s="3" t="s">
        <v>2660</v>
      </c>
      <c r="BQ1" s="3" t="s">
        <v>2661</v>
      </c>
      <c r="BR1" s="3"/>
      <c r="BS1" s="3" t="s">
        <v>208</v>
      </c>
      <c r="BT1" s="3" t="s">
        <v>776</v>
      </c>
      <c r="BU1" s="3" t="s">
        <v>777</v>
      </c>
      <c r="BV1" s="3" t="s">
        <v>912</v>
      </c>
      <c r="BW1" s="3" t="s">
        <v>913</v>
      </c>
      <c r="BX1" s="3" t="s">
        <v>914</v>
      </c>
      <c r="BY1" s="3" t="s">
        <v>915</v>
      </c>
      <c r="BZ1" s="3" t="s">
        <v>916</v>
      </c>
      <c r="CA1" s="3" t="s">
        <v>209</v>
      </c>
      <c r="CB1" s="3" t="s">
        <v>917</v>
      </c>
      <c r="CC1" s="3" t="s">
        <v>918</v>
      </c>
      <c r="CD1" s="3" t="s">
        <v>785</v>
      </c>
      <c r="CE1" s="3" t="s">
        <v>786</v>
      </c>
      <c r="CF1" s="3" t="s">
        <v>787</v>
      </c>
      <c r="CG1" s="3" t="s">
        <v>788</v>
      </c>
      <c r="CH1" s="3" t="s">
        <v>789</v>
      </c>
      <c r="CI1" s="3" t="s">
        <v>790</v>
      </c>
      <c r="CJ1" s="3" t="s">
        <v>791</v>
      </c>
      <c r="CK1" s="3" t="s">
        <v>792</v>
      </c>
      <c r="CL1" s="3" t="s">
        <v>793</v>
      </c>
      <c r="CM1" s="3" t="s">
        <v>794</v>
      </c>
      <c r="CN1" s="3" t="s">
        <v>2444</v>
      </c>
      <c r="CO1" s="3" t="s">
        <v>2507</v>
      </c>
      <c r="CP1" s="3" t="s">
        <v>2514</v>
      </c>
      <c r="CQ1" s="3" t="s">
        <v>2534</v>
      </c>
      <c r="CR1" s="3" t="s">
        <v>2555</v>
      </c>
      <c r="CS1" s="3" t="s">
        <v>2605</v>
      </c>
      <c r="CT1" s="3" t="s">
        <v>2617</v>
      </c>
      <c r="CU1" s="3" t="s">
        <v>2622</v>
      </c>
      <c r="CV1" s="3" t="s">
        <v>2628</v>
      </c>
      <c r="CW1" s="3" t="s">
        <v>2651</v>
      </c>
      <c r="CX1" s="3" t="s">
        <v>2657</v>
      </c>
      <c r="CY1" s="4" t="s">
        <v>2662</v>
      </c>
      <c r="CZ1" s="3" t="s">
        <v>2521</v>
      </c>
      <c r="DA1" s="3" t="s">
        <v>2537</v>
      </c>
      <c r="DB1" s="3" t="s">
        <v>2556</v>
      </c>
      <c r="DC1" s="3" t="s">
        <v>2609</v>
      </c>
      <c r="DD1" s="3" t="s">
        <v>2616</v>
      </c>
      <c r="DE1" s="3" t="s">
        <v>2626</v>
      </c>
      <c r="DF1" s="3" t="s">
        <v>2632</v>
      </c>
      <c r="DG1" s="3" t="s">
        <v>2649</v>
      </c>
      <c r="DH1" s="3" t="s">
        <v>2653</v>
      </c>
      <c r="DI1" s="3" t="s">
        <v>2663</v>
      </c>
    </row>
    <row r="2" spans="1:113" s="9" customFormat="1" hidden="1">
      <c r="A2" s="1"/>
      <c r="B2" s="6" t="s">
        <v>795</v>
      </c>
      <c r="C2" s="7" t="s">
        <v>796</v>
      </c>
      <c r="D2" s="7" t="s">
        <v>796</v>
      </c>
      <c r="E2" s="7" t="s">
        <v>796</v>
      </c>
      <c r="F2" s="7" t="s">
        <v>796</v>
      </c>
      <c r="G2" s="7" t="s">
        <v>796</v>
      </c>
      <c r="H2" s="7" t="s">
        <v>796</v>
      </c>
      <c r="I2" s="7" t="s">
        <v>796</v>
      </c>
      <c r="J2" s="7" t="s">
        <v>796</v>
      </c>
      <c r="K2" s="7" t="s">
        <v>796</v>
      </c>
      <c r="L2" s="7" t="s">
        <v>796</v>
      </c>
      <c r="M2" s="7" t="s">
        <v>796</v>
      </c>
      <c r="N2" s="7" t="s">
        <v>796</v>
      </c>
      <c r="O2" s="7" t="s">
        <v>796</v>
      </c>
      <c r="P2" s="7" t="s">
        <v>796</v>
      </c>
      <c r="Q2" s="7" t="s">
        <v>796</v>
      </c>
      <c r="R2" s="7" t="s">
        <v>796</v>
      </c>
      <c r="S2" s="7" t="s">
        <v>796</v>
      </c>
      <c r="T2" s="7" t="s">
        <v>796</v>
      </c>
      <c r="U2" s="7" t="s">
        <v>796</v>
      </c>
      <c r="V2" s="7" t="s">
        <v>796</v>
      </c>
      <c r="W2" s="7" t="s">
        <v>796</v>
      </c>
      <c r="X2" s="7" t="s">
        <v>796</v>
      </c>
      <c r="Y2" s="7" t="s">
        <v>796</v>
      </c>
      <c r="Z2" s="7" t="s">
        <v>796</v>
      </c>
      <c r="AA2" s="7" t="s">
        <v>796</v>
      </c>
      <c r="AB2" s="7" t="s">
        <v>796</v>
      </c>
      <c r="AC2" s="7" t="s">
        <v>796</v>
      </c>
      <c r="AD2" s="7" t="s">
        <v>796</v>
      </c>
      <c r="AE2" s="7" t="s">
        <v>796</v>
      </c>
      <c r="AF2" s="7" t="s">
        <v>796</v>
      </c>
      <c r="AG2" s="7" t="s">
        <v>796</v>
      </c>
      <c r="AH2" s="7" t="s">
        <v>796</v>
      </c>
      <c r="AI2" s="7" t="s">
        <v>796</v>
      </c>
      <c r="AJ2" s="7" t="s">
        <v>796</v>
      </c>
      <c r="AK2" s="7" t="s">
        <v>796</v>
      </c>
      <c r="AL2" s="7" t="s">
        <v>796</v>
      </c>
      <c r="AM2" s="7" t="s">
        <v>796</v>
      </c>
      <c r="AN2" s="7" t="s">
        <v>796</v>
      </c>
      <c r="AO2" s="7" t="s">
        <v>796</v>
      </c>
      <c r="AP2" s="7" t="s">
        <v>796</v>
      </c>
      <c r="AQ2" s="7" t="s">
        <v>796</v>
      </c>
      <c r="AR2" s="7" t="s">
        <v>796</v>
      </c>
      <c r="AS2" s="7" t="s">
        <v>796</v>
      </c>
      <c r="AT2" s="7" t="s">
        <v>796</v>
      </c>
      <c r="AU2" s="7" t="s">
        <v>796</v>
      </c>
      <c r="AV2" s="7" t="s">
        <v>796</v>
      </c>
      <c r="AW2" s="7" t="s">
        <v>796</v>
      </c>
      <c r="AX2" s="7" t="s">
        <v>2261</v>
      </c>
      <c r="AY2" s="7" t="s">
        <v>2261</v>
      </c>
      <c r="AZ2" s="7" t="s">
        <v>2261</v>
      </c>
      <c r="BA2" s="7" t="s">
        <v>2261</v>
      </c>
      <c r="BB2" s="7" t="s">
        <v>2261</v>
      </c>
      <c r="BC2" s="7" t="s">
        <v>2261</v>
      </c>
      <c r="BD2" s="7" t="s">
        <v>2261</v>
      </c>
      <c r="BE2" s="7" t="s">
        <v>2261</v>
      </c>
      <c r="BF2" s="7" t="s">
        <v>2261</v>
      </c>
      <c r="BG2" s="7" t="s">
        <v>2261</v>
      </c>
      <c r="BH2" s="7" t="s">
        <v>2261</v>
      </c>
      <c r="BI2" s="7" t="s">
        <v>2261</v>
      </c>
      <c r="BJ2" s="7" t="s">
        <v>2261</v>
      </c>
      <c r="BK2" s="7" t="s">
        <v>2261</v>
      </c>
      <c r="BL2" s="7" t="s">
        <v>2261</v>
      </c>
      <c r="BM2" s="7" t="s">
        <v>2261</v>
      </c>
      <c r="BN2" s="7" t="s">
        <v>2261</v>
      </c>
      <c r="BO2" s="7" t="s">
        <v>2261</v>
      </c>
      <c r="BP2" s="7" t="s">
        <v>2261</v>
      </c>
      <c r="BQ2" s="7" t="s">
        <v>2261</v>
      </c>
      <c r="BR2" s="7"/>
      <c r="BS2" s="7" t="s">
        <v>796</v>
      </c>
      <c r="BT2" s="7" t="s">
        <v>796</v>
      </c>
      <c r="BU2" s="7" t="s">
        <v>796</v>
      </c>
      <c r="BV2" s="7" t="s">
        <v>796</v>
      </c>
      <c r="BW2" s="7" t="s">
        <v>796</v>
      </c>
      <c r="BX2" s="7" t="s">
        <v>796</v>
      </c>
      <c r="BY2" s="7" t="s">
        <v>796</v>
      </c>
      <c r="BZ2" s="7" t="s">
        <v>796</v>
      </c>
      <c r="CA2" s="7" t="s">
        <v>796</v>
      </c>
      <c r="CB2" s="7" t="s">
        <v>796</v>
      </c>
      <c r="CC2" s="7" t="s">
        <v>796</v>
      </c>
      <c r="CD2" s="7" t="s">
        <v>796</v>
      </c>
      <c r="CE2" s="7" t="s">
        <v>796</v>
      </c>
      <c r="CF2" s="7" t="s">
        <v>796</v>
      </c>
      <c r="CG2" s="7" t="s">
        <v>796</v>
      </c>
      <c r="CH2" s="7" t="s">
        <v>796</v>
      </c>
      <c r="CI2" s="7" t="s">
        <v>796</v>
      </c>
      <c r="CJ2" s="7" t="s">
        <v>796</v>
      </c>
      <c r="CK2" s="7" t="s">
        <v>796</v>
      </c>
      <c r="CL2" s="7" t="s">
        <v>796</v>
      </c>
      <c r="CM2" s="7" t="s">
        <v>796</v>
      </c>
      <c r="CN2" s="7" t="s">
        <v>796</v>
      </c>
      <c r="CO2" s="7" t="s">
        <v>796</v>
      </c>
      <c r="CP2" s="7" t="s">
        <v>796</v>
      </c>
      <c r="CQ2" s="7" t="s">
        <v>796</v>
      </c>
      <c r="CR2" s="7" t="s">
        <v>796</v>
      </c>
      <c r="CS2" s="7" t="s">
        <v>796</v>
      </c>
      <c r="CT2" s="7" t="s">
        <v>796</v>
      </c>
      <c r="CU2" s="7" t="s">
        <v>796</v>
      </c>
      <c r="CV2" s="7" t="s">
        <v>796</v>
      </c>
      <c r="CW2" s="7" t="s">
        <v>796</v>
      </c>
      <c r="CX2" s="7" t="s">
        <v>796</v>
      </c>
      <c r="CY2" s="8" t="s">
        <v>796</v>
      </c>
      <c r="CZ2" s="7" t="s">
        <v>2261</v>
      </c>
      <c r="DA2" s="7" t="s">
        <v>2261</v>
      </c>
      <c r="DB2" s="7" t="s">
        <v>2261</v>
      </c>
      <c r="DC2" s="7" t="s">
        <v>2261</v>
      </c>
      <c r="DD2" s="7" t="s">
        <v>2261</v>
      </c>
      <c r="DE2" s="7" t="s">
        <v>2261</v>
      </c>
      <c r="DF2" s="7" t="s">
        <v>2261</v>
      </c>
      <c r="DG2" s="7" t="s">
        <v>2261</v>
      </c>
      <c r="DH2" s="7" t="s">
        <v>2261</v>
      </c>
      <c r="DI2" s="7" t="s">
        <v>2261</v>
      </c>
    </row>
    <row r="3" spans="1:113" s="5" customFormat="1">
      <c r="A3" s="1"/>
      <c r="B3" s="6" t="s">
        <v>644</v>
      </c>
      <c r="C3" s="7">
        <v>37072</v>
      </c>
      <c r="D3" s="7">
        <v>37256</v>
      </c>
      <c r="E3" s="7">
        <v>37437</v>
      </c>
      <c r="F3" s="7">
        <v>37621</v>
      </c>
      <c r="G3" s="7">
        <v>37802</v>
      </c>
      <c r="H3" s="7">
        <v>37986</v>
      </c>
      <c r="I3" s="7">
        <v>38168</v>
      </c>
      <c r="J3" s="7">
        <v>38352</v>
      </c>
      <c r="K3" s="7">
        <v>38533</v>
      </c>
      <c r="L3" s="7">
        <v>38717</v>
      </c>
      <c r="M3" s="7">
        <v>38898</v>
      </c>
      <c r="N3" s="7">
        <v>39082</v>
      </c>
      <c r="O3" s="7">
        <v>39263</v>
      </c>
      <c r="P3" s="7">
        <v>39447</v>
      </c>
      <c r="Q3" s="7">
        <v>39629</v>
      </c>
      <c r="R3" s="7">
        <v>39813</v>
      </c>
      <c r="S3" s="7">
        <v>39994</v>
      </c>
      <c r="T3" s="7">
        <v>40178</v>
      </c>
      <c r="U3" s="7">
        <v>40359</v>
      </c>
      <c r="V3" s="7">
        <v>40543</v>
      </c>
      <c r="W3" s="7">
        <v>40724</v>
      </c>
      <c r="X3" s="7">
        <v>40908</v>
      </c>
      <c r="Y3" s="7">
        <v>41090</v>
      </c>
      <c r="Z3" s="7">
        <v>41274</v>
      </c>
      <c r="AA3" s="7">
        <v>41455</v>
      </c>
      <c r="AB3" s="7">
        <v>41639</v>
      </c>
      <c r="AC3" s="7">
        <v>41820</v>
      </c>
      <c r="AD3" s="7">
        <v>42004</v>
      </c>
      <c r="AE3" s="7">
        <v>42185</v>
      </c>
      <c r="AF3" s="7">
        <v>42369</v>
      </c>
      <c r="AG3" s="7">
        <v>42551</v>
      </c>
      <c r="AH3" s="7">
        <v>42735</v>
      </c>
      <c r="AI3" s="7">
        <v>42916</v>
      </c>
      <c r="AJ3" s="7">
        <v>43100</v>
      </c>
      <c r="AK3" s="7">
        <v>43281</v>
      </c>
      <c r="AL3" s="7">
        <v>43465</v>
      </c>
      <c r="AM3" s="7">
        <v>43646</v>
      </c>
      <c r="AN3" s="7">
        <v>43830</v>
      </c>
      <c r="AO3" s="7">
        <v>44012</v>
      </c>
      <c r="AP3" s="7">
        <v>44196</v>
      </c>
      <c r="AQ3" s="7">
        <v>44377</v>
      </c>
      <c r="AR3" s="7">
        <v>44561</v>
      </c>
      <c r="AS3" s="7">
        <v>44742</v>
      </c>
      <c r="AT3" s="7">
        <v>44926</v>
      </c>
      <c r="AU3" s="7">
        <v>45107</v>
      </c>
      <c r="AV3" s="7">
        <v>45291</v>
      </c>
      <c r="AW3" s="8">
        <v>45473</v>
      </c>
      <c r="AX3" s="7">
        <v>45657</v>
      </c>
      <c r="AY3" s="7">
        <v>45838</v>
      </c>
      <c r="AZ3" s="7">
        <v>46022</v>
      </c>
      <c r="BA3" s="7">
        <v>46203</v>
      </c>
      <c r="BB3" s="7">
        <v>46387</v>
      </c>
      <c r="BC3" s="7">
        <v>46568</v>
      </c>
      <c r="BD3" s="7">
        <v>46752</v>
      </c>
      <c r="BE3" s="7">
        <v>46934</v>
      </c>
      <c r="BF3" s="7">
        <v>47118</v>
      </c>
      <c r="BG3" s="7">
        <v>47299</v>
      </c>
      <c r="BH3" s="7">
        <v>47483</v>
      </c>
      <c r="BI3" s="7">
        <v>47664</v>
      </c>
      <c r="BJ3" s="7">
        <v>47848</v>
      </c>
      <c r="BK3" s="7">
        <v>48029</v>
      </c>
      <c r="BL3" s="7">
        <v>48213</v>
      </c>
      <c r="BM3" s="7">
        <v>48395</v>
      </c>
      <c r="BN3" s="7">
        <v>48579</v>
      </c>
      <c r="BO3" s="7">
        <v>48760</v>
      </c>
      <c r="BP3" s="7">
        <v>48944</v>
      </c>
      <c r="BQ3" s="7">
        <v>49125</v>
      </c>
      <c r="BR3" s="10"/>
      <c r="BS3" s="7">
        <v>33785</v>
      </c>
      <c r="BT3" s="7">
        <v>34150</v>
      </c>
      <c r="BU3" s="7">
        <v>34515</v>
      </c>
      <c r="BV3" s="7">
        <v>34880</v>
      </c>
      <c r="BW3" s="7">
        <v>35246</v>
      </c>
      <c r="BX3" s="7">
        <v>35611</v>
      </c>
      <c r="BY3" s="7">
        <v>35976</v>
      </c>
      <c r="BZ3" s="7">
        <v>36341</v>
      </c>
      <c r="CA3" s="7">
        <v>36707</v>
      </c>
      <c r="CB3" s="7">
        <v>37072</v>
      </c>
      <c r="CC3" s="7">
        <v>37437</v>
      </c>
      <c r="CD3" s="7">
        <v>37802</v>
      </c>
      <c r="CE3" s="7">
        <v>38168</v>
      </c>
      <c r="CF3" s="7">
        <v>38533</v>
      </c>
      <c r="CG3" s="7">
        <v>38898</v>
      </c>
      <c r="CH3" s="7">
        <v>39263</v>
      </c>
      <c r="CI3" s="7">
        <v>39629</v>
      </c>
      <c r="CJ3" s="7">
        <v>39994</v>
      </c>
      <c r="CK3" s="7">
        <v>40359</v>
      </c>
      <c r="CL3" s="7">
        <v>40724</v>
      </c>
      <c r="CM3" s="7">
        <v>41090</v>
      </c>
      <c r="CN3" s="7">
        <v>41455</v>
      </c>
      <c r="CO3" s="7">
        <v>41820</v>
      </c>
      <c r="CP3" s="7">
        <v>42185</v>
      </c>
      <c r="CQ3" s="7">
        <v>42551</v>
      </c>
      <c r="CR3" s="7">
        <v>42916</v>
      </c>
      <c r="CS3" s="7">
        <v>43281</v>
      </c>
      <c r="CT3" s="7">
        <v>43646</v>
      </c>
      <c r="CU3" s="7">
        <v>44012</v>
      </c>
      <c r="CV3" s="7">
        <v>44377</v>
      </c>
      <c r="CW3" s="7">
        <v>44742</v>
      </c>
      <c r="CX3" s="7">
        <v>45107</v>
      </c>
      <c r="CY3" s="8">
        <v>45473</v>
      </c>
      <c r="CZ3" s="7">
        <v>45838</v>
      </c>
      <c r="DA3" s="7">
        <v>46203</v>
      </c>
      <c r="DB3" s="7">
        <v>46568</v>
      </c>
      <c r="DC3" s="7">
        <v>46934</v>
      </c>
      <c r="DD3" s="7">
        <v>47299</v>
      </c>
      <c r="DE3" s="7">
        <v>47664</v>
      </c>
      <c r="DF3" s="7">
        <v>48029</v>
      </c>
      <c r="DG3" s="7">
        <v>48395</v>
      </c>
      <c r="DH3" s="7">
        <v>48760</v>
      </c>
      <c r="DI3" s="7">
        <v>49125</v>
      </c>
    </row>
    <row r="4" spans="1:113" s="5" customFormat="1">
      <c r="A4" s="1"/>
      <c r="B4" s="6" t="s">
        <v>537</v>
      </c>
      <c r="C4" s="11"/>
      <c r="D4" s="11" t="s">
        <v>797</v>
      </c>
      <c r="E4" s="11" t="s">
        <v>797</v>
      </c>
      <c r="F4" s="11" t="s">
        <v>797</v>
      </c>
      <c r="G4" s="11" t="s">
        <v>797</v>
      </c>
      <c r="H4" s="11" t="s">
        <v>797</v>
      </c>
      <c r="I4" s="11" t="s">
        <v>797</v>
      </c>
      <c r="J4" s="11" t="s">
        <v>797</v>
      </c>
      <c r="K4" s="11" t="s">
        <v>797</v>
      </c>
      <c r="L4" s="11" t="s">
        <v>797</v>
      </c>
      <c r="M4" s="11" t="s">
        <v>797</v>
      </c>
      <c r="N4" s="11" t="s">
        <v>797</v>
      </c>
      <c r="O4" s="11" t="s">
        <v>797</v>
      </c>
      <c r="P4" s="11" t="s">
        <v>797</v>
      </c>
      <c r="Q4" s="11" t="s">
        <v>797</v>
      </c>
      <c r="R4" s="11" t="s">
        <v>797</v>
      </c>
      <c r="S4" s="11" t="s">
        <v>797</v>
      </c>
      <c r="T4" s="11" t="s">
        <v>797</v>
      </c>
      <c r="U4" s="11" t="s">
        <v>797</v>
      </c>
      <c r="V4" s="11" t="s">
        <v>797</v>
      </c>
      <c r="W4" s="11" t="s">
        <v>797</v>
      </c>
      <c r="X4" s="11" t="s">
        <v>797</v>
      </c>
      <c r="Y4" s="11" t="s">
        <v>797</v>
      </c>
      <c r="Z4" s="11" t="s">
        <v>797</v>
      </c>
      <c r="AA4" s="11" t="s">
        <v>797</v>
      </c>
      <c r="AB4" s="11" t="s">
        <v>797</v>
      </c>
      <c r="AC4" s="11" t="s">
        <v>797</v>
      </c>
      <c r="AD4" s="11" t="s">
        <v>797</v>
      </c>
      <c r="AE4" s="11" t="s">
        <v>797</v>
      </c>
      <c r="AF4" s="11" t="s">
        <v>797</v>
      </c>
      <c r="AG4" s="11" t="s">
        <v>797</v>
      </c>
      <c r="AH4" s="11" t="s">
        <v>797</v>
      </c>
      <c r="AI4" s="11" t="s">
        <v>797</v>
      </c>
      <c r="AJ4" s="11" t="s">
        <v>797</v>
      </c>
      <c r="AK4" s="11" t="s">
        <v>797</v>
      </c>
      <c r="AL4" s="11" t="s">
        <v>797</v>
      </c>
      <c r="AM4" s="11" t="s">
        <v>797</v>
      </c>
      <c r="AN4" s="11" t="s">
        <v>797</v>
      </c>
      <c r="AO4" s="11" t="s">
        <v>797</v>
      </c>
      <c r="AP4" s="11" t="s">
        <v>797</v>
      </c>
      <c r="AQ4" s="11" t="s">
        <v>797</v>
      </c>
      <c r="AR4" s="11" t="s">
        <v>797</v>
      </c>
      <c r="AS4" s="11" t="s">
        <v>797</v>
      </c>
      <c r="AT4" s="11" t="s">
        <v>797</v>
      </c>
      <c r="AU4" s="11" t="s">
        <v>797</v>
      </c>
      <c r="AV4" s="11" t="s">
        <v>797</v>
      </c>
      <c r="AW4" s="12" t="s">
        <v>797</v>
      </c>
      <c r="AX4" s="11" t="s">
        <v>797</v>
      </c>
      <c r="AY4" s="11" t="s">
        <v>797</v>
      </c>
      <c r="AZ4" s="11" t="s">
        <v>797</v>
      </c>
      <c r="BA4" s="11" t="s">
        <v>797</v>
      </c>
      <c r="BB4" s="11" t="s">
        <v>797</v>
      </c>
      <c r="BC4" s="11" t="s">
        <v>797</v>
      </c>
      <c r="BD4" s="11" t="s">
        <v>797</v>
      </c>
      <c r="BE4" s="11" t="s">
        <v>797</v>
      </c>
      <c r="BF4" s="11" t="s">
        <v>797</v>
      </c>
      <c r="BG4" s="11" t="s">
        <v>797</v>
      </c>
      <c r="BH4" s="11" t="s">
        <v>797</v>
      </c>
      <c r="BI4" s="11" t="s">
        <v>797</v>
      </c>
      <c r="BJ4" s="11" t="s">
        <v>797</v>
      </c>
      <c r="BK4" s="11" t="s">
        <v>797</v>
      </c>
      <c r="BL4" s="11" t="s">
        <v>797</v>
      </c>
      <c r="BM4" s="11" t="s">
        <v>797</v>
      </c>
      <c r="BN4" s="11" t="s">
        <v>797</v>
      </c>
      <c r="BO4" s="11" t="s">
        <v>797</v>
      </c>
      <c r="BP4" s="11" t="s">
        <v>797</v>
      </c>
      <c r="BQ4" s="11" t="s">
        <v>797</v>
      </c>
      <c r="BR4" s="13"/>
      <c r="BS4" s="11"/>
      <c r="BT4" s="11" t="s">
        <v>797</v>
      </c>
      <c r="BU4" s="11" t="s">
        <v>797</v>
      </c>
      <c r="BV4" s="11" t="s">
        <v>797</v>
      </c>
      <c r="BW4" s="11" t="s">
        <v>797</v>
      </c>
      <c r="BX4" s="11" t="s">
        <v>797</v>
      </c>
      <c r="BY4" s="11" t="s">
        <v>797</v>
      </c>
      <c r="BZ4" s="11" t="s">
        <v>797</v>
      </c>
      <c r="CA4" s="11" t="s">
        <v>797</v>
      </c>
      <c r="CB4" s="11" t="s">
        <v>797</v>
      </c>
      <c r="CC4" s="11" t="s">
        <v>797</v>
      </c>
      <c r="CD4" s="11" t="s">
        <v>797</v>
      </c>
      <c r="CE4" s="11" t="s">
        <v>797</v>
      </c>
      <c r="CF4" s="11" t="s">
        <v>797</v>
      </c>
      <c r="CG4" s="11" t="s">
        <v>797</v>
      </c>
      <c r="CH4" s="11" t="s">
        <v>797</v>
      </c>
      <c r="CI4" s="11" t="s">
        <v>797</v>
      </c>
      <c r="CJ4" s="11" t="s">
        <v>797</v>
      </c>
      <c r="CK4" s="11" t="s">
        <v>797</v>
      </c>
      <c r="CL4" s="11" t="s">
        <v>797</v>
      </c>
      <c r="CM4" s="11" t="s">
        <v>797</v>
      </c>
      <c r="CN4" s="11" t="s">
        <v>797</v>
      </c>
      <c r="CO4" s="11" t="s">
        <v>797</v>
      </c>
      <c r="CP4" s="11" t="s">
        <v>797</v>
      </c>
      <c r="CQ4" s="11" t="s">
        <v>797</v>
      </c>
      <c r="CR4" s="11" t="s">
        <v>797</v>
      </c>
      <c r="CS4" s="11" t="s">
        <v>797</v>
      </c>
      <c r="CT4" s="11" t="s">
        <v>797</v>
      </c>
      <c r="CU4" s="11" t="s">
        <v>797</v>
      </c>
      <c r="CV4" s="11" t="s">
        <v>797</v>
      </c>
      <c r="CW4" s="11" t="s">
        <v>797</v>
      </c>
      <c r="CX4" s="11" t="s">
        <v>797</v>
      </c>
      <c r="CY4" s="12" t="s">
        <v>797</v>
      </c>
      <c r="CZ4" s="11" t="s">
        <v>797</v>
      </c>
      <c r="DA4" s="11" t="s">
        <v>797</v>
      </c>
      <c r="DB4" s="11" t="s">
        <v>797</v>
      </c>
      <c r="DC4" s="11" t="s">
        <v>797</v>
      </c>
      <c r="DD4" s="11" t="s">
        <v>797</v>
      </c>
      <c r="DE4" s="11" t="s">
        <v>797</v>
      </c>
      <c r="DF4" s="11" t="s">
        <v>797</v>
      </c>
      <c r="DG4" s="11" t="s">
        <v>797</v>
      </c>
      <c r="DH4" s="11" t="s">
        <v>797</v>
      </c>
      <c r="DI4" s="11" t="s">
        <v>797</v>
      </c>
    </row>
    <row r="5" spans="1:113" s="18" customFormat="1">
      <c r="A5" s="1" t="s">
        <v>1015</v>
      </c>
      <c r="B5" s="6" t="s">
        <v>538</v>
      </c>
      <c r="C5" s="14">
        <v>2.0165745856353592</v>
      </c>
      <c r="D5" s="14">
        <v>1.9836956521739131</v>
      </c>
      <c r="E5" s="14">
        <v>2.0165745856353592</v>
      </c>
      <c r="F5" s="14">
        <v>1.9836956521739131</v>
      </c>
      <c r="G5" s="14">
        <v>2.0165745856353592</v>
      </c>
      <c r="H5" s="14">
        <v>1.9891304347826086</v>
      </c>
      <c r="I5" s="14">
        <v>2.0109890109890109</v>
      </c>
      <c r="J5" s="14">
        <v>1.9836956521739131</v>
      </c>
      <c r="K5" s="14">
        <v>2.0165745856353592</v>
      </c>
      <c r="L5" s="14">
        <v>1.9836956521739131</v>
      </c>
      <c r="M5" s="14">
        <v>2.0165745856353592</v>
      </c>
      <c r="N5" s="14">
        <v>1.9836956521739131</v>
      </c>
      <c r="O5" s="14">
        <v>2.0165745856353592</v>
      </c>
      <c r="P5" s="14">
        <v>1.9891304347826086</v>
      </c>
      <c r="Q5" s="14">
        <v>2.0109890109890109</v>
      </c>
      <c r="R5" s="14">
        <v>1.9836956521739131</v>
      </c>
      <c r="S5" s="14">
        <v>2.0165745856353592</v>
      </c>
      <c r="T5" s="14">
        <v>1.9836956521739131</v>
      </c>
      <c r="U5" s="14">
        <v>2.0165745856353592</v>
      </c>
      <c r="V5" s="14">
        <v>1.9836956521739131</v>
      </c>
      <c r="W5" s="14">
        <v>2.0165745856353592</v>
      </c>
      <c r="X5" s="14">
        <v>1.9891304347826086</v>
      </c>
      <c r="Y5" s="14">
        <v>2.0109890109890109</v>
      </c>
      <c r="Z5" s="14">
        <v>1.9836956521739131</v>
      </c>
      <c r="AA5" s="14">
        <v>2.0165745856353592</v>
      </c>
      <c r="AB5" s="14">
        <v>1.9836956521739131</v>
      </c>
      <c r="AC5" s="14">
        <v>2.0165745856353592</v>
      </c>
      <c r="AD5" s="14">
        <v>1.9836956521739131</v>
      </c>
      <c r="AE5" s="14">
        <v>2.0165745856353592</v>
      </c>
      <c r="AF5" s="14">
        <v>1.9891304347826086</v>
      </c>
      <c r="AG5" s="14">
        <v>2.0109890109890109</v>
      </c>
      <c r="AH5" s="14">
        <v>1.9836956521739131</v>
      </c>
      <c r="AI5" s="14">
        <v>2.0165745856353592</v>
      </c>
      <c r="AJ5" s="14">
        <v>1.9836956521739131</v>
      </c>
      <c r="AK5" s="14">
        <v>2.0165745856353592</v>
      </c>
      <c r="AL5" s="14">
        <v>1.9836956521739131</v>
      </c>
      <c r="AM5" s="14">
        <v>2.0165745856353592</v>
      </c>
      <c r="AN5" s="14">
        <v>1.9891304347826086</v>
      </c>
      <c r="AO5" s="14">
        <v>2.0109890109890109</v>
      </c>
      <c r="AP5" s="14">
        <v>1.9836956521739131</v>
      </c>
      <c r="AQ5" s="14">
        <v>2.0165745856353592</v>
      </c>
      <c r="AR5" s="14">
        <v>1.9836956521739131</v>
      </c>
      <c r="AS5" s="14">
        <v>2.0165745856353592</v>
      </c>
      <c r="AT5" s="14">
        <v>1.9836956521739131</v>
      </c>
      <c r="AU5" s="14">
        <v>2.0165745856353592</v>
      </c>
      <c r="AV5" s="14">
        <v>1.9891304347826086</v>
      </c>
      <c r="AW5" s="15">
        <v>2.0109890109890109</v>
      </c>
      <c r="AX5" s="14">
        <v>1.9836956521739131</v>
      </c>
      <c r="AY5" s="14">
        <v>2.0165745856353592</v>
      </c>
      <c r="AZ5" s="14">
        <v>1.9836956521739131</v>
      </c>
      <c r="BA5" s="14">
        <v>2.0165745856353592</v>
      </c>
      <c r="BB5" s="14">
        <v>1.9836956521739131</v>
      </c>
      <c r="BC5" s="14">
        <v>2.0165745856353592</v>
      </c>
      <c r="BD5" s="14">
        <v>1.9891304347826086</v>
      </c>
      <c r="BE5" s="14">
        <v>2.0109890109890109</v>
      </c>
      <c r="BF5" s="14">
        <v>1.9836956521739131</v>
      </c>
      <c r="BG5" s="14">
        <v>2.0165745856353592</v>
      </c>
      <c r="BH5" s="14">
        <v>1.9836956521739131</v>
      </c>
      <c r="BI5" s="14">
        <v>2.0165745856353592</v>
      </c>
      <c r="BJ5" s="14">
        <v>1.9836956521739131</v>
      </c>
      <c r="BK5" s="14">
        <v>2.0165745856353592</v>
      </c>
      <c r="BL5" s="14">
        <v>1.9891304347826086</v>
      </c>
      <c r="BM5" s="14">
        <v>2.0109890109890109</v>
      </c>
      <c r="BN5" s="14">
        <v>1.9836956521739131</v>
      </c>
      <c r="BO5" s="14">
        <v>2.0165745856353592</v>
      </c>
      <c r="BP5" s="14">
        <v>1.9836956521739131</v>
      </c>
      <c r="BQ5" s="14">
        <v>2.0165745856353592</v>
      </c>
      <c r="BR5" s="16"/>
      <c r="BS5" s="14">
        <v>1</v>
      </c>
      <c r="BT5" s="14">
        <v>1</v>
      </c>
      <c r="BU5" s="14">
        <v>1</v>
      </c>
      <c r="BV5" s="14">
        <v>1</v>
      </c>
      <c r="BW5" s="14">
        <v>1</v>
      </c>
      <c r="BX5" s="14">
        <v>1</v>
      </c>
      <c r="BY5" s="14">
        <v>1</v>
      </c>
      <c r="BZ5" s="14">
        <v>1</v>
      </c>
      <c r="CA5" s="14">
        <v>1</v>
      </c>
      <c r="CB5" s="14">
        <v>1</v>
      </c>
      <c r="CC5" s="14">
        <v>1</v>
      </c>
      <c r="CD5" s="14">
        <v>1</v>
      </c>
      <c r="CE5" s="14">
        <v>1</v>
      </c>
      <c r="CF5" s="14">
        <v>1</v>
      </c>
      <c r="CG5" s="14">
        <v>1</v>
      </c>
      <c r="CH5" s="14">
        <v>1</v>
      </c>
      <c r="CI5" s="14">
        <v>1</v>
      </c>
      <c r="CJ5" s="14">
        <v>1</v>
      </c>
      <c r="CK5" s="14">
        <v>1</v>
      </c>
      <c r="CL5" s="14">
        <v>1</v>
      </c>
      <c r="CM5" s="14">
        <v>1</v>
      </c>
      <c r="CN5" s="14">
        <v>1</v>
      </c>
      <c r="CO5" s="14">
        <v>1</v>
      </c>
      <c r="CP5" s="14">
        <v>1</v>
      </c>
      <c r="CQ5" s="14">
        <v>1</v>
      </c>
      <c r="CR5" s="14">
        <v>1</v>
      </c>
      <c r="CS5" s="14">
        <v>1</v>
      </c>
      <c r="CT5" s="14">
        <v>1</v>
      </c>
      <c r="CU5" s="14">
        <v>1</v>
      </c>
      <c r="CV5" s="14">
        <v>1</v>
      </c>
      <c r="CW5" s="14">
        <v>1</v>
      </c>
      <c r="CX5" s="14">
        <v>1</v>
      </c>
      <c r="CY5" s="15">
        <v>1</v>
      </c>
      <c r="CZ5" s="14">
        <v>1</v>
      </c>
      <c r="DA5" s="14">
        <v>1</v>
      </c>
      <c r="DB5" s="14">
        <v>1</v>
      </c>
      <c r="DC5" s="14">
        <v>1</v>
      </c>
      <c r="DD5" s="14">
        <v>1</v>
      </c>
      <c r="DE5" s="14">
        <v>1</v>
      </c>
      <c r="DF5" s="14">
        <v>1</v>
      </c>
      <c r="DG5" s="14">
        <v>1</v>
      </c>
      <c r="DH5" s="14">
        <v>1</v>
      </c>
      <c r="DI5" s="14">
        <v>1</v>
      </c>
    </row>
    <row r="6" spans="1:113" s="18" customFormat="1">
      <c r="A6" s="1"/>
      <c r="B6" s="19"/>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20"/>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20"/>
      <c r="CZ6" s="17"/>
      <c r="DA6" s="17"/>
      <c r="DB6" s="17"/>
      <c r="DC6" s="17"/>
      <c r="DD6" s="17"/>
      <c r="DE6" s="17"/>
      <c r="DF6" s="17"/>
      <c r="DG6" s="17"/>
      <c r="DH6" s="17"/>
      <c r="DI6" s="17"/>
    </row>
    <row r="7" spans="1:113" s="5" customFormat="1" ht="12" hidden="1" customHeight="1" outlineLevel="3">
      <c r="A7" s="1"/>
      <c r="B7" s="2" t="s">
        <v>539</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4"/>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4"/>
      <c r="CZ7" s="3"/>
      <c r="DA7" s="3"/>
      <c r="DB7" s="3"/>
      <c r="DC7" s="3"/>
      <c r="DD7" s="3"/>
      <c r="DE7" s="3"/>
      <c r="DF7" s="3"/>
      <c r="DG7" s="3"/>
      <c r="DH7" s="3"/>
      <c r="DI7" s="3"/>
    </row>
    <row r="8" spans="1:113" ht="12" hidden="1" customHeight="1" outlineLevel="3">
      <c r="AW8" s="22"/>
      <c r="CY8" s="22"/>
      <c r="DC8" s="21"/>
      <c r="DD8" s="21"/>
      <c r="DE8" s="21"/>
      <c r="DF8" s="21"/>
      <c r="DG8" s="21"/>
      <c r="DH8" s="21"/>
      <c r="DI8" s="21"/>
    </row>
    <row r="9" spans="1:113" s="24" customFormat="1" ht="12" hidden="1" customHeight="1" outlineLevel="3">
      <c r="A9" s="1"/>
      <c r="B9" s="19" t="s">
        <v>540</v>
      </c>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2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3"/>
      <c r="CM9" s="13"/>
      <c r="CN9" s="13"/>
      <c r="CO9" s="13"/>
      <c r="CP9" s="13"/>
      <c r="CQ9" s="13"/>
      <c r="CR9" s="13"/>
      <c r="CS9" s="13"/>
      <c r="CT9" s="13"/>
      <c r="CU9" s="13"/>
      <c r="CV9" s="13"/>
      <c r="CW9" s="13"/>
      <c r="CX9" s="13"/>
      <c r="CY9" s="23"/>
      <c r="CZ9" s="13"/>
      <c r="DA9" s="13"/>
      <c r="DB9" s="13"/>
      <c r="DC9" s="13"/>
      <c r="DD9" s="13"/>
      <c r="DE9" s="13"/>
      <c r="DF9" s="13"/>
      <c r="DG9" s="13"/>
      <c r="DH9" s="13"/>
      <c r="DI9" s="13"/>
    </row>
    <row r="10" spans="1:113" s="28" customFormat="1" ht="12" hidden="1" customHeight="1" outlineLevel="3">
      <c r="A10" s="1"/>
      <c r="B10" s="25" t="s">
        <v>304</v>
      </c>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7"/>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7"/>
      <c r="CZ10" s="26"/>
      <c r="DA10" s="26"/>
      <c r="DB10" s="26"/>
      <c r="DC10" s="26"/>
      <c r="DD10" s="26"/>
      <c r="DE10" s="26"/>
      <c r="DF10" s="26"/>
      <c r="DG10" s="26"/>
      <c r="DH10" s="26"/>
      <c r="DI10" s="26"/>
    </row>
    <row r="11" spans="1:113" s="29" customFormat="1" ht="12" hidden="1" customHeight="1" outlineLevel="3">
      <c r="A11" s="1"/>
      <c r="B11" s="29" t="s">
        <v>305</v>
      </c>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1"/>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1"/>
      <c r="CZ11" s="30"/>
      <c r="DA11" s="30"/>
      <c r="DB11" s="30"/>
      <c r="DC11" s="30"/>
      <c r="DD11" s="30"/>
      <c r="DE11" s="30"/>
      <c r="DF11" s="30"/>
      <c r="DG11" s="30"/>
      <c r="DH11" s="30"/>
      <c r="DI11" s="30"/>
    </row>
    <row r="12" spans="1:113" s="35" customFormat="1" ht="12" hidden="1" customHeight="1" outlineLevel="3">
      <c r="A12" s="1"/>
      <c r="B12" s="32" t="s">
        <v>306</v>
      </c>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4"/>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c r="CV12" s="33"/>
      <c r="CW12" s="33"/>
      <c r="CX12" s="33"/>
      <c r="CY12" s="34"/>
      <c r="CZ12" s="33"/>
      <c r="DA12" s="33"/>
      <c r="DB12" s="33"/>
      <c r="DC12" s="33"/>
      <c r="DD12" s="33"/>
      <c r="DE12" s="33"/>
      <c r="DF12" s="33"/>
      <c r="DG12" s="33"/>
      <c r="DH12" s="33"/>
      <c r="DI12" s="33"/>
    </row>
    <row r="13" spans="1:113" ht="12" hidden="1" customHeight="1" outlineLevel="3">
      <c r="AW13" s="22"/>
      <c r="CY13" s="22"/>
      <c r="DC13" s="21"/>
      <c r="DD13" s="21"/>
      <c r="DE13" s="21"/>
      <c r="DF13" s="21"/>
      <c r="DG13" s="21"/>
      <c r="DH13" s="21"/>
      <c r="DI13" s="21"/>
    </row>
    <row r="14" spans="1:113" s="36" customFormat="1" collapsed="1">
      <c r="A14" s="1" t="s">
        <v>983</v>
      </c>
      <c r="B14" s="2" t="s">
        <v>133</v>
      </c>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4"/>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4"/>
      <c r="CZ14" s="3"/>
      <c r="DA14" s="3"/>
      <c r="DB14" s="3"/>
      <c r="DC14" s="3"/>
      <c r="DD14" s="3"/>
      <c r="DE14" s="3"/>
      <c r="DF14" s="3"/>
      <c r="DG14" s="3"/>
      <c r="DH14" s="3"/>
      <c r="DI14" s="3"/>
    </row>
    <row r="15" spans="1:113" outlineLevel="1">
      <c r="AW15" s="22"/>
      <c r="CY15" s="22"/>
    </row>
    <row r="16" spans="1:113" outlineLevel="1">
      <c r="B16" s="24" t="s">
        <v>210</v>
      </c>
      <c r="AW16" s="22"/>
      <c r="CY16" s="22"/>
    </row>
    <row r="17" spans="1:113" outlineLevel="1">
      <c r="A17" s="1" t="s">
        <v>798</v>
      </c>
      <c r="B17" s="19" t="s">
        <v>211</v>
      </c>
      <c r="C17" s="37">
        <v>0.36120000000000002</v>
      </c>
      <c r="D17" s="37">
        <v>0.35189999999999999</v>
      </c>
      <c r="E17" s="37">
        <v>0.36749999999999999</v>
      </c>
      <c r="F17" s="37">
        <v>0.35239999999999999</v>
      </c>
      <c r="G17" s="37">
        <v>0.40689999999999998</v>
      </c>
      <c r="H17" s="37">
        <v>0.42149999999999999</v>
      </c>
      <c r="I17" s="37">
        <v>0.38390000000000002</v>
      </c>
      <c r="J17" s="37">
        <v>0.40489999999999998</v>
      </c>
      <c r="K17" s="37">
        <v>0.4254</v>
      </c>
      <c r="L17" s="37">
        <v>0.42509999999999998</v>
      </c>
      <c r="M17" s="37">
        <v>0.40529999999999999</v>
      </c>
      <c r="N17" s="37">
        <v>0.4027</v>
      </c>
      <c r="O17" s="37">
        <v>0.42409999999999998</v>
      </c>
      <c r="P17" s="37">
        <v>0.44119999999999998</v>
      </c>
      <c r="Q17" s="37">
        <v>0.48409999999999997</v>
      </c>
      <c r="R17" s="37">
        <v>0.47949999999999998</v>
      </c>
      <c r="S17" s="37">
        <v>0.48620000000000002</v>
      </c>
      <c r="T17" s="37">
        <v>0.55789999999999995</v>
      </c>
      <c r="U17" s="37">
        <v>0.56859999999999999</v>
      </c>
      <c r="V17" s="37">
        <v>0.65869999999999995</v>
      </c>
      <c r="W17" s="37">
        <v>0.66769999999999996</v>
      </c>
      <c r="X17" s="37">
        <v>0.65910000000000002</v>
      </c>
      <c r="Y17" s="37">
        <v>0.65090000000000003</v>
      </c>
      <c r="Z17" s="37">
        <v>0.64300000000000002</v>
      </c>
      <c r="AA17" s="488">
        <v>0.60760000000000003</v>
      </c>
      <c r="AB17" s="488">
        <v>0.54239999999999999</v>
      </c>
      <c r="AC17" s="488">
        <v>0.55249999999999999</v>
      </c>
      <c r="AD17" s="488">
        <v>0.5262</v>
      </c>
      <c r="AE17" s="488">
        <v>0.48930000000000001</v>
      </c>
      <c r="AF17" s="488">
        <v>0.4929</v>
      </c>
      <c r="AG17" s="488">
        <v>0.5534</v>
      </c>
      <c r="AH17" s="488">
        <v>0.58989999999999998</v>
      </c>
      <c r="AI17" s="488">
        <v>0.59030000000000005</v>
      </c>
      <c r="AJ17" s="488">
        <v>0.57969999999999999</v>
      </c>
      <c r="AK17" s="488">
        <v>0.5635</v>
      </c>
      <c r="AL17" s="488">
        <v>0.55630000000000002</v>
      </c>
      <c r="AM17" s="488">
        <v>0.55330000000000001</v>
      </c>
      <c r="AN17" s="488">
        <v>0.53410000000000002</v>
      </c>
      <c r="AO17" s="488">
        <v>0.55840000000000001</v>
      </c>
      <c r="AP17" s="488">
        <v>0.56569999999999998</v>
      </c>
      <c r="AQ17" s="488">
        <v>0.54310000000000003</v>
      </c>
      <c r="AR17" s="488">
        <v>0.53759999999999997</v>
      </c>
      <c r="AS17" s="488">
        <v>0.56659999999999999</v>
      </c>
      <c r="AT17" s="488">
        <v>0.5625</v>
      </c>
      <c r="AU17" s="488">
        <v>0.52529999999999999</v>
      </c>
      <c r="AV17" s="488">
        <v>0.53620000000000001</v>
      </c>
      <c r="AW17" s="780">
        <v>0.52449999999999997</v>
      </c>
      <c r="AX17" s="38">
        <v>0.49253731343283563</v>
      </c>
      <c r="AY17" s="38">
        <v>0.51604938271604928</v>
      </c>
      <c r="AZ17" s="38">
        <v>0.55555555555555547</v>
      </c>
      <c r="BA17" s="38">
        <v>0.57407407407407396</v>
      </c>
      <c r="BB17" s="38">
        <v>0.59259259259259256</v>
      </c>
      <c r="BC17" s="38">
        <v>0.60358986968281281</v>
      </c>
      <c r="BD17" s="38">
        <v>0.6147890818858559</v>
      </c>
      <c r="BE17" s="38">
        <v>0.62619584272476814</v>
      </c>
      <c r="BF17" s="38">
        <v>0.63781597573306337</v>
      </c>
      <c r="BG17" s="38">
        <v>0.64965552436846086</v>
      </c>
      <c r="BH17" s="38">
        <v>0.66172076249355949</v>
      </c>
      <c r="BI17" s="38">
        <v>0.67401820546163793</v>
      </c>
      <c r="BJ17" s="38">
        <v>0.6865546218487395</v>
      </c>
      <c r="BK17" s="38">
        <v>0.6865546218487395</v>
      </c>
      <c r="BL17" s="38">
        <v>0.6865546218487395</v>
      </c>
      <c r="BM17" s="38">
        <v>0.6865546218487395</v>
      </c>
      <c r="BN17" s="38">
        <v>0.6865546218487395</v>
      </c>
      <c r="BO17" s="38">
        <v>0.6865546218487395</v>
      </c>
      <c r="BP17" s="38">
        <v>0.6865546218487395</v>
      </c>
      <c r="BQ17" s="38">
        <v>0.6865546218487395</v>
      </c>
      <c r="BR17" s="39"/>
      <c r="BS17" s="37">
        <v>0.39250000000000002</v>
      </c>
      <c r="BT17" s="37">
        <v>0.44679999999999997</v>
      </c>
      <c r="BU17" s="37">
        <v>0.47120000000000001</v>
      </c>
      <c r="BV17" s="37">
        <v>0.44469999999999998</v>
      </c>
      <c r="BW17" s="37">
        <v>0.50729999999999997</v>
      </c>
      <c r="BX17" s="37">
        <v>0.45269999999999999</v>
      </c>
      <c r="BY17" s="37">
        <v>0.37</v>
      </c>
      <c r="BZ17" s="37">
        <v>0.42259999999999998</v>
      </c>
      <c r="CA17" s="37">
        <v>0.39340000000000003</v>
      </c>
      <c r="CB17" s="37">
        <v>0.36120000000000002</v>
      </c>
      <c r="CC17" s="39">
        <v>0.36749999999999999</v>
      </c>
      <c r="CD17" s="39">
        <v>0.40689999999999998</v>
      </c>
      <c r="CE17" s="39">
        <v>0.38390000000000002</v>
      </c>
      <c r="CF17" s="39">
        <v>0.4254</v>
      </c>
      <c r="CG17" s="39">
        <v>0.40529999999999999</v>
      </c>
      <c r="CH17" s="39">
        <v>0.42409999999999998</v>
      </c>
      <c r="CI17" s="39">
        <v>0.48409999999999997</v>
      </c>
      <c r="CJ17" s="39">
        <v>0.48620000000000002</v>
      </c>
      <c r="CK17" s="39">
        <v>0.56859999999999999</v>
      </c>
      <c r="CL17" s="39">
        <v>0.66769999999999996</v>
      </c>
      <c r="CM17" s="39">
        <v>0.65090000000000003</v>
      </c>
      <c r="CN17" s="39">
        <v>0.60760000000000003</v>
      </c>
      <c r="CO17" s="39">
        <v>0.55249999999999999</v>
      </c>
      <c r="CP17" s="39">
        <v>0.48930000000000001</v>
      </c>
      <c r="CQ17" s="39">
        <v>0.5534</v>
      </c>
      <c r="CR17" s="39">
        <v>0.59030000000000005</v>
      </c>
      <c r="CS17" s="39">
        <v>0.5635</v>
      </c>
      <c r="CT17" s="39">
        <v>0.55330000000000001</v>
      </c>
      <c r="CU17" s="39">
        <v>0.55840000000000001</v>
      </c>
      <c r="CV17" s="39">
        <v>0.54310000000000003</v>
      </c>
      <c r="CW17" s="39">
        <v>0.56659999999999999</v>
      </c>
      <c r="CX17" s="39">
        <v>0.52529999999999999</v>
      </c>
      <c r="CY17" s="40">
        <v>0.52449999999999997</v>
      </c>
      <c r="CZ17" s="39">
        <v>0.51604938271604928</v>
      </c>
      <c r="DA17" s="39">
        <v>0.57407407407407396</v>
      </c>
      <c r="DB17" s="39">
        <v>0.60358986968281281</v>
      </c>
      <c r="DC17" s="39">
        <v>0.62619584272476814</v>
      </c>
      <c r="DD17" s="39">
        <v>0.64965552436846086</v>
      </c>
      <c r="DE17" s="39">
        <v>0.67401820546163793</v>
      </c>
      <c r="DF17" s="39">
        <v>0.6865546218487395</v>
      </c>
      <c r="DG17" s="39">
        <v>0.6865546218487395</v>
      </c>
      <c r="DH17" s="39">
        <v>0.6865546218487395</v>
      </c>
      <c r="DI17" s="39">
        <v>0.6865546218487395</v>
      </c>
    </row>
    <row r="18" spans="1:113" outlineLevel="1">
      <c r="A18" s="1" t="s">
        <v>799</v>
      </c>
      <c r="B18" s="19" t="s">
        <v>212</v>
      </c>
      <c r="C18" s="37">
        <v>0.51139999999999997</v>
      </c>
      <c r="D18" s="37">
        <v>0.51049999999999995</v>
      </c>
      <c r="E18" s="37">
        <v>0.56359999999999999</v>
      </c>
      <c r="F18" s="37">
        <v>0.56530000000000002</v>
      </c>
      <c r="G18" s="37">
        <v>0.67359999999999998</v>
      </c>
      <c r="H18" s="37">
        <v>0.74890000000000001</v>
      </c>
      <c r="I18" s="37">
        <v>0.69889999999999997</v>
      </c>
      <c r="J18" s="37">
        <v>0.77949999999999997</v>
      </c>
      <c r="K18" s="37">
        <v>0.76219999999999999</v>
      </c>
      <c r="L18" s="37">
        <v>0.73409999999999997</v>
      </c>
      <c r="M18" s="37">
        <v>0.74280000000000002</v>
      </c>
      <c r="N18" s="37">
        <v>0.7913</v>
      </c>
      <c r="O18" s="37">
        <v>0.84970000000000001</v>
      </c>
      <c r="P18" s="37">
        <v>0.88149999999999995</v>
      </c>
      <c r="Q18" s="37">
        <v>0.96560000000000001</v>
      </c>
      <c r="R18" s="37">
        <v>0.69230000000000003</v>
      </c>
      <c r="S18" s="37">
        <v>0.81289999999999996</v>
      </c>
      <c r="T18" s="37">
        <v>0.89700000000000002</v>
      </c>
      <c r="U18" s="37">
        <v>0.85589999999999999</v>
      </c>
      <c r="V18" s="37">
        <v>1.0169999999999999</v>
      </c>
      <c r="W18" s="37">
        <v>1.0740000000000001</v>
      </c>
      <c r="X18" s="37">
        <v>1.0159</v>
      </c>
      <c r="Y18" s="37">
        <v>1.0181</v>
      </c>
      <c r="Z18" s="37">
        <v>1.0386</v>
      </c>
      <c r="AA18" s="488">
        <v>0.92679999999999996</v>
      </c>
      <c r="AB18" s="488">
        <v>0.89390000000000003</v>
      </c>
      <c r="AC18" s="488">
        <v>0.9405</v>
      </c>
      <c r="AD18" s="488">
        <v>0.81879999999999997</v>
      </c>
      <c r="AE18" s="488">
        <v>0.7681</v>
      </c>
      <c r="AF18" s="488">
        <v>0.73080000000000001</v>
      </c>
      <c r="AG18" s="488">
        <v>0.74309999999999998</v>
      </c>
      <c r="AH18" s="488">
        <v>0.72360000000000002</v>
      </c>
      <c r="AI18" s="488">
        <v>0.76839999999999997</v>
      </c>
      <c r="AJ18" s="488">
        <v>0.77990000000000004</v>
      </c>
      <c r="AK18" s="488">
        <v>0.73870000000000002</v>
      </c>
      <c r="AL18" s="488">
        <v>0.70569999999999999</v>
      </c>
      <c r="AM18" s="488">
        <v>0.70130000000000003</v>
      </c>
      <c r="AN18" s="488">
        <v>0.70040000000000002</v>
      </c>
      <c r="AO18" s="488">
        <v>0.68540000000000001</v>
      </c>
      <c r="AP18" s="488">
        <v>0.77049999999999996</v>
      </c>
      <c r="AQ18" s="488">
        <v>0.75209999999999999</v>
      </c>
      <c r="AR18" s="488">
        <v>0.72599999999999998</v>
      </c>
      <c r="AS18" s="488">
        <v>0.68789999999999996</v>
      </c>
      <c r="AT18" s="488">
        <v>0.67789999999999995</v>
      </c>
      <c r="AU18" s="488">
        <v>0.66269999999999996</v>
      </c>
      <c r="AV18" s="488">
        <v>0.68389999999999995</v>
      </c>
      <c r="AW18" s="780">
        <v>0.66279999999999994</v>
      </c>
      <c r="AX18" s="38">
        <v>0.65999999999999992</v>
      </c>
      <c r="AY18" s="38">
        <v>0.69666666666666655</v>
      </c>
      <c r="AZ18" s="38">
        <v>0.75</v>
      </c>
      <c r="BA18" s="38">
        <v>0.77499999999999991</v>
      </c>
      <c r="BB18" s="38">
        <v>0.8</v>
      </c>
      <c r="BC18" s="38">
        <v>0.80749999999999988</v>
      </c>
      <c r="BD18" s="38">
        <v>0.81499999999999972</v>
      </c>
      <c r="BE18" s="38">
        <v>0.82249999999999956</v>
      </c>
      <c r="BF18" s="38">
        <v>0.8299999999999994</v>
      </c>
      <c r="BG18" s="38">
        <v>0.83749999999999925</v>
      </c>
      <c r="BH18" s="38">
        <v>0.84499999999999909</v>
      </c>
      <c r="BI18" s="38">
        <v>0.85249999999999893</v>
      </c>
      <c r="BJ18" s="38">
        <v>0.86</v>
      </c>
      <c r="BK18" s="38">
        <v>0.86</v>
      </c>
      <c r="BL18" s="38">
        <v>0.86</v>
      </c>
      <c r="BM18" s="38">
        <v>0.86</v>
      </c>
      <c r="BN18" s="38">
        <v>0.86</v>
      </c>
      <c r="BO18" s="38">
        <v>0.86</v>
      </c>
      <c r="BP18" s="38">
        <v>0.86</v>
      </c>
      <c r="BQ18" s="38">
        <v>0.86</v>
      </c>
      <c r="BR18" s="39"/>
      <c r="BS18" s="37">
        <v>0.74780000000000002</v>
      </c>
      <c r="BT18" s="37">
        <v>0.66649999999999998</v>
      </c>
      <c r="BU18" s="37">
        <v>0.72770000000000001</v>
      </c>
      <c r="BV18" s="37">
        <v>0.70909999999999995</v>
      </c>
      <c r="BW18" s="37">
        <v>0.7873</v>
      </c>
      <c r="BX18" s="37">
        <v>0.74550000000000005</v>
      </c>
      <c r="BY18" s="37">
        <v>0.62</v>
      </c>
      <c r="BZ18" s="37">
        <v>0.66669999999999996</v>
      </c>
      <c r="CA18" s="37">
        <v>0.59670000000000001</v>
      </c>
      <c r="CB18" s="37">
        <v>0.51139999999999997</v>
      </c>
      <c r="CC18" s="39">
        <v>0.56359999999999999</v>
      </c>
      <c r="CD18" s="39">
        <v>0.67359999999999998</v>
      </c>
      <c r="CE18" s="39">
        <v>0.69889999999999997</v>
      </c>
      <c r="CF18" s="39">
        <v>0.76219999999999999</v>
      </c>
      <c r="CG18" s="39">
        <v>0.74280000000000002</v>
      </c>
      <c r="CH18" s="39">
        <v>0.84970000000000001</v>
      </c>
      <c r="CI18" s="39">
        <v>0.96560000000000001</v>
      </c>
      <c r="CJ18" s="39">
        <v>0.81289999999999996</v>
      </c>
      <c r="CK18" s="39">
        <v>0.85589999999999999</v>
      </c>
      <c r="CL18" s="39">
        <v>1.0740000000000001</v>
      </c>
      <c r="CM18" s="39">
        <v>1.0181</v>
      </c>
      <c r="CN18" s="39">
        <v>0.92679999999999996</v>
      </c>
      <c r="CO18" s="39">
        <v>0.9405</v>
      </c>
      <c r="CP18" s="39">
        <v>0.7681</v>
      </c>
      <c r="CQ18" s="39">
        <v>0.74309999999999998</v>
      </c>
      <c r="CR18" s="39">
        <v>0.76839999999999997</v>
      </c>
      <c r="CS18" s="39">
        <v>0.73870000000000002</v>
      </c>
      <c r="CT18" s="39">
        <v>0.70130000000000003</v>
      </c>
      <c r="CU18" s="39">
        <v>0.68540000000000001</v>
      </c>
      <c r="CV18" s="39">
        <v>0.75209999999999999</v>
      </c>
      <c r="CW18" s="39">
        <v>0.68789999999999996</v>
      </c>
      <c r="CX18" s="39">
        <v>0.66269999999999996</v>
      </c>
      <c r="CY18" s="40">
        <v>0.66279999999999994</v>
      </c>
      <c r="CZ18" s="39">
        <v>0.69666666666666655</v>
      </c>
      <c r="DA18" s="39">
        <v>0.77499999999999991</v>
      </c>
      <c r="DB18" s="39">
        <v>0.80749999999999988</v>
      </c>
      <c r="DC18" s="39">
        <v>0.82249999999999956</v>
      </c>
      <c r="DD18" s="39">
        <v>0.83749999999999925</v>
      </c>
      <c r="DE18" s="39">
        <v>0.85249999999999893</v>
      </c>
      <c r="DF18" s="39">
        <v>0.86</v>
      </c>
      <c r="DG18" s="39">
        <v>0.86</v>
      </c>
      <c r="DH18" s="39">
        <v>0.86</v>
      </c>
      <c r="DI18" s="39">
        <v>0.86</v>
      </c>
    </row>
    <row r="19" spans="1:113" outlineLevel="1">
      <c r="A19" s="1" t="s">
        <v>1119</v>
      </c>
      <c r="B19" s="19" t="s">
        <v>213</v>
      </c>
      <c r="C19" s="37">
        <v>1.2589999999999999</v>
      </c>
      <c r="D19" s="37">
        <v>1.2292000000000001</v>
      </c>
      <c r="E19" s="37">
        <v>1.1569</v>
      </c>
      <c r="F19" s="37">
        <v>1.0740000000000001</v>
      </c>
      <c r="G19" s="37">
        <v>1.1473</v>
      </c>
      <c r="H19" s="37">
        <v>1.1445000000000001</v>
      </c>
      <c r="I19" s="37">
        <v>1.0985</v>
      </c>
      <c r="J19" s="37">
        <v>1.0851</v>
      </c>
      <c r="K19" s="37">
        <v>1.0936999999999999</v>
      </c>
      <c r="L19" s="37">
        <v>1.071</v>
      </c>
      <c r="M19" s="37">
        <v>1.214</v>
      </c>
      <c r="N19" s="37">
        <v>1.121</v>
      </c>
      <c r="O19" s="37">
        <v>1.1020000000000001</v>
      </c>
      <c r="P19" s="37">
        <v>1.1339999999999999</v>
      </c>
      <c r="Q19" s="37">
        <v>1.2630999999999999</v>
      </c>
      <c r="R19" s="37">
        <v>1.1908000000000001</v>
      </c>
      <c r="S19" s="37">
        <v>1.2430000000000001</v>
      </c>
      <c r="T19" s="37">
        <v>1.2343</v>
      </c>
      <c r="U19" s="37">
        <v>1.2318</v>
      </c>
      <c r="V19" s="37">
        <v>1.3165</v>
      </c>
      <c r="W19" s="37">
        <v>1.2944</v>
      </c>
      <c r="X19" s="37">
        <v>1.3147</v>
      </c>
      <c r="Y19" s="37">
        <v>1.2756000000000001</v>
      </c>
      <c r="Z19" s="37">
        <v>1.2609999999999999</v>
      </c>
      <c r="AA19" s="488">
        <v>1.1859999999999999</v>
      </c>
      <c r="AB19" s="488">
        <v>1.0867</v>
      </c>
      <c r="AC19" s="488">
        <v>1.0762</v>
      </c>
      <c r="AD19" s="488">
        <v>1.0449999999999999</v>
      </c>
      <c r="AE19" s="488">
        <v>1.1283000000000001</v>
      </c>
      <c r="AF19" s="488">
        <v>1.0660000000000001</v>
      </c>
      <c r="AG19" s="488">
        <v>1.0469999999999999</v>
      </c>
      <c r="AH19" s="488">
        <v>1.0392999999999999</v>
      </c>
      <c r="AI19" s="488">
        <v>1.0492999999999999</v>
      </c>
      <c r="AJ19" s="488">
        <v>1.0983000000000001</v>
      </c>
      <c r="AK19" s="488">
        <v>1.0909</v>
      </c>
      <c r="AL19" s="488">
        <v>1.0515000000000001</v>
      </c>
      <c r="AM19" s="488">
        <v>1.046</v>
      </c>
      <c r="AN19" s="488">
        <v>1.0408999999999999</v>
      </c>
      <c r="AO19" s="488">
        <v>1.0705</v>
      </c>
      <c r="AP19" s="488">
        <v>1.0667</v>
      </c>
      <c r="AQ19" s="488">
        <v>1.0740000000000001</v>
      </c>
      <c r="AR19" s="488">
        <v>1.0628</v>
      </c>
      <c r="AS19" s="488">
        <v>1.1073</v>
      </c>
      <c r="AT19" s="488">
        <v>1.0713999999999999</v>
      </c>
      <c r="AU19" s="488">
        <v>1.0887</v>
      </c>
      <c r="AV19" s="488">
        <v>1.0764</v>
      </c>
      <c r="AW19" s="780">
        <v>1.0929</v>
      </c>
      <c r="AX19" s="38">
        <v>1.0819672131147542</v>
      </c>
      <c r="AY19" s="38">
        <v>1.0942408376963351</v>
      </c>
      <c r="AZ19" s="38">
        <v>1.1194029850746268</v>
      </c>
      <c r="BA19" s="38">
        <v>1.1567164179104477</v>
      </c>
      <c r="BB19" s="38">
        <v>1.1940298507462686</v>
      </c>
      <c r="BC19" s="38">
        <v>1.2120075046904311</v>
      </c>
      <c r="BD19" s="38">
        <v>1.2301886792452823</v>
      </c>
      <c r="BE19" s="38">
        <v>1.2485768500948755</v>
      </c>
      <c r="BF19" s="38">
        <v>1.2671755725190823</v>
      </c>
      <c r="BG19" s="38">
        <v>1.2859884836852187</v>
      </c>
      <c r="BH19" s="38">
        <v>1.3050193050193026</v>
      </c>
      <c r="BI19" s="38">
        <v>1.3242718446601913</v>
      </c>
      <c r="BJ19" s="38">
        <v>1.34375</v>
      </c>
      <c r="BK19" s="38">
        <v>1.34375</v>
      </c>
      <c r="BL19" s="38">
        <v>1.34375</v>
      </c>
      <c r="BM19" s="38">
        <v>1.34375</v>
      </c>
      <c r="BN19" s="38">
        <v>1.34375</v>
      </c>
      <c r="BO19" s="38">
        <v>1.34375</v>
      </c>
      <c r="BP19" s="38">
        <v>1.34375</v>
      </c>
      <c r="BQ19" s="38">
        <v>1.34375</v>
      </c>
      <c r="BR19" s="39"/>
      <c r="BS19" s="37" t="s">
        <v>215</v>
      </c>
      <c r="BT19" s="37" t="s">
        <v>215</v>
      </c>
      <c r="BU19" s="37" t="s">
        <v>215</v>
      </c>
      <c r="BV19" s="37">
        <v>1.0593999999999999</v>
      </c>
      <c r="BW19" s="37">
        <v>1.149</v>
      </c>
      <c r="BX19" s="37">
        <v>1.1087</v>
      </c>
      <c r="BY19" s="37">
        <v>1.2</v>
      </c>
      <c r="BZ19" s="37">
        <v>1.2486999999999999</v>
      </c>
      <c r="CA19" s="37">
        <v>1.2715000000000001</v>
      </c>
      <c r="CB19" s="37">
        <v>1.2589999999999999</v>
      </c>
      <c r="CC19" s="39">
        <v>1.1569</v>
      </c>
      <c r="CD19" s="39">
        <v>1.1473</v>
      </c>
      <c r="CE19" s="39">
        <v>1.0985</v>
      </c>
      <c r="CF19" s="39">
        <v>1.0936999999999999</v>
      </c>
      <c r="CG19" s="39">
        <v>1.214</v>
      </c>
      <c r="CH19" s="39">
        <v>1.1020000000000001</v>
      </c>
      <c r="CI19" s="39">
        <v>1.2630999999999999</v>
      </c>
      <c r="CJ19" s="39">
        <v>1.2430000000000001</v>
      </c>
      <c r="CK19" s="39">
        <v>1.2318</v>
      </c>
      <c r="CL19" s="39">
        <v>1.2944</v>
      </c>
      <c r="CM19" s="39">
        <v>1.2756000000000001</v>
      </c>
      <c r="CN19" s="39">
        <v>1.1859999999999999</v>
      </c>
      <c r="CO19" s="39">
        <v>1.0762</v>
      </c>
      <c r="CP19" s="39">
        <v>1.1283000000000001</v>
      </c>
      <c r="CQ19" s="39">
        <v>1.0469999999999999</v>
      </c>
      <c r="CR19" s="39">
        <v>1.0492999999999999</v>
      </c>
      <c r="CS19" s="39">
        <v>1.0909</v>
      </c>
      <c r="CT19" s="39">
        <v>1.046</v>
      </c>
      <c r="CU19" s="39">
        <v>1.0705</v>
      </c>
      <c r="CV19" s="39">
        <v>1.0740000000000001</v>
      </c>
      <c r="CW19" s="39">
        <v>1.1073</v>
      </c>
      <c r="CX19" s="39">
        <v>1.0887</v>
      </c>
      <c r="CY19" s="40">
        <v>1.0929</v>
      </c>
      <c r="CZ19" s="39">
        <v>1.0942408376963351</v>
      </c>
      <c r="DA19" s="39">
        <v>1.1567164179104477</v>
      </c>
      <c r="DB19" s="39">
        <v>1.2120075046904311</v>
      </c>
      <c r="DC19" s="39">
        <v>1.2485768500948755</v>
      </c>
      <c r="DD19" s="39">
        <v>1.2859884836852187</v>
      </c>
      <c r="DE19" s="39">
        <v>1.3242718446601913</v>
      </c>
      <c r="DF19" s="39">
        <v>1.34375</v>
      </c>
      <c r="DG19" s="39">
        <v>1.34375</v>
      </c>
      <c r="DH19" s="39">
        <v>1.34375</v>
      </c>
      <c r="DI19" s="39">
        <v>1.34375</v>
      </c>
    </row>
    <row r="20" spans="1:113" outlineLevel="1">
      <c r="A20" s="1" t="s">
        <v>1120</v>
      </c>
      <c r="B20" s="19" t="s">
        <v>214</v>
      </c>
      <c r="C20" s="37">
        <v>0.60189999999999999</v>
      </c>
      <c r="D20" s="37">
        <v>0.57669999999999999</v>
      </c>
      <c r="E20" s="37">
        <v>0.56830000000000003</v>
      </c>
      <c r="F20" s="37">
        <v>0.53849999999999998</v>
      </c>
      <c r="G20" s="37">
        <v>0.5857</v>
      </c>
      <c r="H20" s="37">
        <v>0.59689999999999999</v>
      </c>
      <c r="I20" s="37">
        <v>0.57289999999999996</v>
      </c>
      <c r="J20" s="37">
        <v>0.57169999999999999</v>
      </c>
      <c r="K20" s="37">
        <v>0.62960000000000005</v>
      </c>
      <c r="L20" s="37">
        <v>0.61870000000000003</v>
      </c>
      <c r="M20" s="37">
        <v>0.58479999999999999</v>
      </c>
      <c r="N20" s="37">
        <v>0.60070000000000001</v>
      </c>
      <c r="O20" s="37">
        <v>0.63190000000000002</v>
      </c>
      <c r="P20" s="37">
        <v>0.59799999999999998</v>
      </c>
      <c r="Q20" s="37">
        <v>0.61129999999999995</v>
      </c>
      <c r="R20" s="37">
        <v>0.49159999999999998</v>
      </c>
      <c r="S20" s="37">
        <v>0.57550000000000001</v>
      </c>
      <c r="T20" s="37">
        <v>0.62439999999999996</v>
      </c>
      <c r="U20" s="37">
        <v>0.6996</v>
      </c>
      <c r="V20" s="37">
        <v>0.76480000000000004</v>
      </c>
      <c r="W20" s="37">
        <v>0.74099999999999999</v>
      </c>
      <c r="X20" s="37">
        <v>0.78549999999999998</v>
      </c>
      <c r="Y20" s="37">
        <v>0.80789999999999995</v>
      </c>
      <c r="Z20" s="37">
        <v>0.78680000000000005</v>
      </c>
      <c r="AA20" s="488">
        <v>0.70979999999999999</v>
      </c>
      <c r="AB20" s="488">
        <v>0.64800000000000002</v>
      </c>
      <c r="AC20" s="488">
        <v>0.68920000000000003</v>
      </c>
      <c r="AD20" s="488">
        <v>0.67379999999999995</v>
      </c>
      <c r="AE20" s="488">
        <v>0.68799999999999994</v>
      </c>
      <c r="AF20" s="488">
        <v>0.66879999999999995</v>
      </c>
      <c r="AG20" s="488">
        <v>0.66890000000000005</v>
      </c>
      <c r="AH20" s="488">
        <v>0.68830000000000002</v>
      </c>
      <c r="AI20" s="488">
        <v>0.67200000000000004</v>
      </c>
      <c r="AJ20" s="488">
        <v>0.6532</v>
      </c>
      <c r="AK20" s="488">
        <v>0.63500000000000001</v>
      </c>
      <c r="AL20" s="488">
        <v>0.61750000000000005</v>
      </c>
      <c r="AM20" s="488">
        <v>0.61699999999999999</v>
      </c>
      <c r="AN20" s="488">
        <v>0.62529999999999997</v>
      </c>
      <c r="AO20" s="488">
        <v>0.61140000000000005</v>
      </c>
      <c r="AP20" s="488">
        <v>0.627</v>
      </c>
      <c r="AQ20" s="488">
        <v>0.63190000000000002</v>
      </c>
      <c r="AR20" s="488">
        <v>0.6411</v>
      </c>
      <c r="AS20" s="488">
        <v>0.65759999999999996</v>
      </c>
      <c r="AT20" s="488">
        <v>0.63639999999999997</v>
      </c>
      <c r="AU20" s="488">
        <v>0.61019999999999996</v>
      </c>
      <c r="AV20" s="488">
        <v>0.61829999999999996</v>
      </c>
      <c r="AW20" s="780">
        <v>0.61980000000000002</v>
      </c>
      <c r="AX20" s="38">
        <v>0.61971830985915488</v>
      </c>
      <c r="AY20" s="38">
        <v>0.63141993957703935</v>
      </c>
      <c r="AZ20" s="38">
        <v>0.65217391304347827</v>
      </c>
      <c r="BA20" s="38">
        <v>0.67391304347826086</v>
      </c>
      <c r="BB20" s="38">
        <v>0.69565217391304357</v>
      </c>
      <c r="BC20" s="38">
        <v>0.69913419913419939</v>
      </c>
      <c r="BD20" s="38">
        <v>0.70258620689655216</v>
      </c>
      <c r="BE20" s="38">
        <v>0.70600858369098785</v>
      </c>
      <c r="BF20" s="38">
        <v>0.70940170940171032</v>
      </c>
      <c r="BG20" s="38">
        <v>0.71276595744680959</v>
      </c>
      <c r="BH20" s="38">
        <v>0.71610169491525555</v>
      </c>
      <c r="BI20" s="38">
        <v>0.71940928270042348</v>
      </c>
      <c r="BJ20" s="38">
        <v>0.72268907563025209</v>
      </c>
      <c r="BK20" s="38">
        <v>0.72268907563025209</v>
      </c>
      <c r="BL20" s="38">
        <v>0.72268907563025209</v>
      </c>
      <c r="BM20" s="38">
        <v>0.72268907563025209</v>
      </c>
      <c r="BN20" s="38">
        <v>0.72268907563025209</v>
      </c>
      <c r="BO20" s="38">
        <v>0.72268907563025209</v>
      </c>
      <c r="BP20" s="38">
        <v>0.72268907563025209</v>
      </c>
      <c r="BQ20" s="38">
        <v>0.72268907563025209</v>
      </c>
      <c r="BR20" s="39"/>
      <c r="BS20" s="37" t="s">
        <v>215</v>
      </c>
      <c r="BT20" s="37" t="s">
        <v>215</v>
      </c>
      <c r="BU20" s="37" t="s">
        <v>215</v>
      </c>
      <c r="BV20" s="37" t="s">
        <v>215</v>
      </c>
      <c r="BW20" s="37" t="s">
        <v>215</v>
      </c>
      <c r="BX20" s="37">
        <v>0.66979999999999995</v>
      </c>
      <c r="BY20" s="37">
        <v>0.57199999999999995</v>
      </c>
      <c r="BZ20" s="37">
        <v>0.64419999999999999</v>
      </c>
      <c r="CA20" s="37">
        <v>0.62580000000000002</v>
      </c>
      <c r="CB20" s="37">
        <v>0.60189999999999999</v>
      </c>
      <c r="CC20" s="39">
        <v>0.56830000000000003</v>
      </c>
      <c r="CD20" s="39">
        <v>0.5857</v>
      </c>
      <c r="CE20" s="39">
        <v>0.57289999999999996</v>
      </c>
      <c r="CF20" s="39">
        <v>0.62960000000000005</v>
      </c>
      <c r="CG20" s="39">
        <v>0.58479999999999999</v>
      </c>
      <c r="CH20" s="39">
        <v>0.63190000000000002</v>
      </c>
      <c r="CI20" s="39">
        <v>0.61129999999999995</v>
      </c>
      <c r="CJ20" s="39">
        <v>0.57550000000000001</v>
      </c>
      <c r="CK20" s="39">
        <v>0.6996</v>
      </c>
      <c r="CL20" s="39">
        <v>0.74099999999999999</v>
      </c>
      <c r="CM20" s="39">
        <v>0.80789999999999995</v>
      </c>
      <c r="CN20" s="39">
        <v>0.70979999999999999</v>
      </c>
      <c r="CO20" s="39">
        <v>0.68920000000000003</v>
      </c>
      <c r="CP20" s="39">
        <v>0.68799999999999994</v>
      </c>
      <c r="CQ20" s="39">
        <v>0.66890000000000005</v>
      </c>
      <c r="CR20" s="39">
        <v>0.67200000000000004</v>
      </c>
      <c r="CS20" s="39">
        <v>0.63500000000000001</v>
      </c>
      <c r="CT20" s="39">
        <v>0.61699999999999999</v>
      </c>
      <c r="CU20" s="39">
        <v>0.61140000000000005</v>
      </c>
      <c r="CV20" s="39">
        <v>0.63190000000000002</v>
      </c>
      <c r="CW20" s="39">
        <v>0.65759999999999996</v>
      </c>
      <c r="CX20" s="39">
        <v>0.61019999999999996</v>
      </c>
      <c r="CY20" s="40">
        <v>0.61980000000000002</v>
      </c>
      <c r="CZ20" s="39">
        <v>0.63141993957703935</v>
      </c>
      <c r="DA20" s="39">
        <v>0.67391304347826086</v>
      </c>
      <c r="DB20" s="39">
        <v>0.69913419913419939</v>
      </c>
      <c r="DC20" s="39">
        <v>0.70600858369098785</v>
      </c>
      <c r="DD20" s="39">
        <v>0.71276595744680959</v>
      </c>
      <c r="DE20" s="39">
        <v>0.71940928270042348</v>
      </c>
      <c r="DF20" s="39">
        <v>0.72268907563025209</v>
      </c>
      <c r="DG20" s="39">
        <v>0.72268907563025209</v>
      </c>
      <c r="DH20" s="39">
        <v>0.72268907563025209</v>
      </c>
      <c r="DI20" s="39">
        <v>0.72268907563025209</v>
      </c>
    </row>
    <row r="21" spans="1:113" outlineLevel="1">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40"/>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c r="CE21" s="39"/>
      <c r="CF21" s="39"/>
      <c r="CG21" s="39"/>
      <c r="CH21" s="39"/>
      <c r="CI21" s="39"/>
      <c r="CJ21" s="39"/>
      <c r="CK21" s="39"/>
      <c r="CL21" s="39"/>
      <c r="CM21" s="39"/>
      <c r="CN21" s="39"/>
      <c r="CO21" s="39"/>
      <c r="CP21" s="39"/>
      <c r="CQ21" s="39"/>
      <c r="CR21" s="39"/>
      <c r="CS21" s="39"/>
      <c r="CT21" s="39"/>
      <c r="CU21" s="39"/>
      <c r="CV21" s="39"/>
      <c r="CW21" s="39"/>
      <c r="CX21" s="39"/>
      <c r="CY21" s="40"/>
      <c r="CZ21" s="39"/>
      <c r="DA21" s="39"/>
      <c r="DB21" s="39"/>
    </row>
    <row r="22" spans="1:113" outlineLevel="1">
      <c r="B22" s="24" t="s">
        <v>216</v>
      </c>
      <c r="C22" s="39"/>
      <c r="D22" s="39"/>
      <c r="E22" s="39"/>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40"/>
      <c r="AX22" s="39"/>
      <c r="AY22" s="39"/>
      <c r="AZ22" s="39"/>
      <c r="BA22" s="39"/>
      <c r="BB22" s="39"/>
      <c r="BC22" s="39"/>
      <c r="BD22" s="39"/>
      <c r="BE22" s="39"/>
      <c r="BF22" s="39"/>
      <c r="BG22" s="39"/>
      <c r="BH22" s="39"/>
      <c r="BI22" s="39"/>
      <c r="BJ22" s="39"/>
      <c r="BK22" s="39"/>
      <c r="BL22" s="39"/>
      <c r="BM22" s="39"/>
      <c r="BN22" s="39"/>
      <c r="BO22" s="39"/>
      <c r="BP22" s="39"/>
      <c r="BQ22" s="39"/>
      <c r="BR22" s="39"/>
      <c r="BS22" s="39"/>
      <c r="BT22" s="39"/>
      <c r="BU22" s="39"/>
      <c r="BV22" s="39"/>
      <c r="BW22" s="39"/>
      <c r="BX22" s="39"/>
      <c r="BY22" s="39"/>
      <c r="BZ22" s="39"/>
      <c r="CA22" s="39"/>
      <c r="CB22" s="39"/>
      <c r="CC22" s="39"/>
      <c r="CD22" s="39"/>
      <c r="CE22" s="39"/>
      <c r="CF22" s="39"/>
      <c r="CG22" s="39"/>
      <c r="CH22" s="39"/>
      <c r="CI22" s="39"/>
      <c r="CJ22" s="39"/>
      <c r="CK22" s="39"/>
      <c r="CL22" s="39"/>
      <c r="CM22" s="39"/>
      <c r="CN22" s="39"/>
      <c r="CO22" s="39"/>
      <c r="CP22" s="39"/>
      <c r="CQ22" s="39"/>
      <c r="CR22" s="39"/>
      <c r="CS22" s="39"/>
      <c r="CT22" s="39"/>
      <c r="CU22" s="39"/>
      <c r="CV22" s="39"/>
      <c r="CW22" s="39"/>
      <c r="CX22" s="39"/>
      <c r="CY22" s="40"/>
      <c r="CZ22" s="39"/>
      <c r="DA22" s="39"/>
      <c r="DB22" s="39"/>
    </row>
    <row r="23" spans="1:113" outlineLevel="1">
      <c r="A23" s="1" t="s">
        <v>568</v>
      </c>
      <c r="B23" s="19" t="s">
        <v>211</v>
      </c>
      <c r="C23" s="39">
        <v>0.36120000000000002</v>
      </c>
      <c r="D23" s="39">
        <v>0.35658821917808226</v>
      </c>
      <c r="E23" s="39">
        <v>0.35976410958904109</v>
      </c>
      <c r="F23" s="39">
        <v>0.36001205479452059</v>
      </c>
      <c r="G23" s="39">
        <v>0.3798739726027397</v>
      </c>
      <c r="H23" s="39">
        <v>0.41414998575776202</v>
      </c>
      <c r="I23" s="39">
        <v>0.40259726775956289</v>
      </c>
      <c r="J23" s="39">
        <v>0.39432825960201534</v>
      </c>
      <c r="K23" s="39">
        <v>0.41523424657534247</v>
      </c>
      <c r="L23" s="39">
        <v>0.42525123287671229</v>
      </c>
      <c r="M23" s="39">
        <v>0.4151186301369863</v>
      </c>
      <c r="N23" s="39">
        <v>0.40401068493150682</v>
      </c>
      <c r="O23" s="39">
        <v>0.41348794520547943</v>
      </c>
      <c r="P23" s="39">
        <v>0.43259142167518699</v>
      </c>
      <c r="Q23" s="39">
        <v>0.46276721311475411</v>
      </c>
      <c r="R23" s="39">
        <v>0.48181571456336802</v>
      </c>
      <c r="S23" s="39">
        <v>0.48287753424657537</v>
      </c>
      <c r="T23" s="39">
        <v>0.5217553424657535</v>
      </c>
      <c r="U23" s="39">
        <v>0.56329397260273972</v>
      </c>
      <c r="V23" s="39">
        <v>0.61327972602739722</v>
      </c>
      <c r="W23" s="39">
        <v>0.66323698630136985</v>
      </c>
      <c r="X23" s="39">
        <v>0.66342946044405793</v>
      </c>
      <c r="Y23" s="39">
        <v>0.6549775956284154</v>
      </c>
      <c r="Z23" s="39">
        <v>0.64697698805448001</v>
      </c>
      <c r="AA23" s="39">
        <v>0.62515452054794518</v>
      </c>
      <c r="AB23" s="39">
        <v>0.57526794520547953</v>
      </c>
      <c r="AC23" s="39">
        <v>0.54749150684931502</v>
      </c>
      <c r="AD23" s="39">
        <v>0.53945808219178082</v>
      </c>
      <c r="AE23" s="39">
        <v>0.50759835616438354</v>
      </c>
      <c r="AF23" s="39">
        <v>0.49108766772109202</v>
      </c>
      <c r="AG23" s="39">
        <v>0.52331530054644815</v>
      </c>
      <c r="AH23" s="39">
        <v>0.57152530835588378</v>
      </c>
      <c r="AI23" s="39">
        <v>0.59010164383561658</v>
      </c>
      <c r="AJ23" s="39">
        <v>0.58504356164383564</v>
      </c>
      <c r="AK23" s="39">
        <v>0.57153342465753421</v>
      </c>
      <c r="AL23" s="39">
        <v>0.55992958904109602</v>
      </c>
      <c r="AM23" s="39">
        <v>0.55478767123287676</v>
      </c>
      <c r="AN23" s="39">
        <v>0.54376577215417599</v>
      </c>
      <c r="AO23" s="39">
        <v>0.54631639344262295</v>
      </c>
      <c r="AP23" s="39">
        <v>0.56202506167117672</v>
      </c>
      <c r="AQ23" s="39">
        <v>0.55430712328767129</v>
      </c>
      <c r="AR23" s="488">
        <v>0.53680000000000005</v>
      </c>
      <c r="AS23" s="488">
        <v>0.55430000000000001</v>
      </c>
      <c r="AT23" s="488">
        <v>0.57040000000000002</v>
      </c>
      <c r="AU23" s="488">
        <v>0.54859999999999998</v>
      </c>
      <c r="AV23" s="488">
        <v>0.52070000000000005</v>
      </c>
      <c r="AW23" s="780">
        <v>0.52070000000000005</v>
      </c>
      <c r="AX23" s="39">
        <v>0.50862784794760763</v>
      </c>
      <c r="AY23" s="39">
        <v>0.5043899730167023</v>
      </c>
      <c r="AZ23" s="39">
        <v>0.53564011500084552</v>
      </c>
      <c r="BA23" s="39">
        <v>0.56489091831557581</v>
      </c>
      <c r="BB23" s="39">
        <v>0.58325722983257211</v>
      </c>
      <c r="BC23" s="39">
        <v>0.59813642542711454</v>
      </c>
      <c r="BD23" s="39">
        <v>0.60915111139310163</v>
      </c>
      <c r="BE23" s="39">
        <v>0.62052362831853314</v>
      </c>
      <c r="BF23" s="39">
        <v>0.63196621242098006</v>
      </c>
      <c r="BG23" s="39">
        <v>0.64378440573008566</v>
      </c>
      <c r="BH23" s="39">
        <v>0.65563856026063305</v>
      </c>
      <c r="BI23" s="39">
        <v>0.66792002141445384</v>
      </c>
      <c r="BJ23" s="39">
        <v>0.68023489413578975</v>
      </c>
      <c r="BK23" s="39">
        <v>0.6865546218487395</v>
      </c>
      <c r="BL23" s="39">
        <v>0.6865546218487395</v>
      </c>
      <c r="BM23" s="39">
        <v>0.68655462184873961</v>
      </c>
      <c r="BN23" s="39">
        <v>0.6865546218487395</v>
      </c>
      <c r="BO23" s="39">
        <v>0.6865546218487395</v>
      </c>
      <c r="BP23" s="39">
        <v>0.6865546218487395</v>
      </c>
      <c r="BQ23" s="39">
        <v>0.6865546218487395</v>
      </c>
      <c r="BR23" s="39"/>
      <c r="BS23" s="37">
        <v>0.39195000000000002</v>
      </c>
      <c r="BT23" s="37">
        <v>0.44440000000000002</v>
      </c>
      <c r="BU23" s="37">
        <v>0.47220000000000001</v>
      </c>
      <c r="BV23" s="37">
        <v>0.4471</v>
      </c>
      <c r="BW23" s="37">
        <v>0.50970000000000004</v>
      </c>
      <c r="BX23" s="37">
        <v>0.44819999999999999</v>
      </c>
      <c r="BY23" s="37">
        <v>0.36749999999999999</v>
      </c>
      <c r="BZ23" s="37">
        <v>0.41899999999999998</v>
      </c>
      <c r="CA23" s="37">
        <v>0.39429999999999998</v>
      </c>
      <c r="CB23" s="37">
        <v>0.36120000000000002</v>
      </c>
      <c r="CC23" s="39">
        <v>0.35818921598799025</v>
      </c>
      <c r="CD23" s="39">
        <v>0.37002463801838997</v>
      </c>
      <c r="CE23" s="39">
        <v>0.40834206195538869</v>
      </c>
      <c r="CF23" s="39">
        <v>0.40486716810363776</v>
      </c>
      <c r="CG23" s="39">
        <v>0.42014329067367234</v>
      </c>
      <c r="CH23" s="39">
        <v>0.40878826271345464</v>
      </c>
      <c r="CI23" s="39">
        <v>0.44776176491256503</v>
      </c>
      <c r="CJ23" s="39">
        <v>0.48235098804750542</v>
      </c>
      <c r="CK23" s="39">
        <v>0.54269536423343967</v>
      </c>
      <c r="CL23" s="39">
        <v>0.63846365997372856</v>
      </c>
      <c r="CM23" s="39">
        <v>0.65918043550941807</v>
      </c>
      <c r="CN23" s="39">
        <v>0.63597607292789804</v>
      </c>
      <c r="CO23" s="39">
        <v>0.56126557628072804</v>
      </c>
      <c r="CP23" s="39">
        <v>0.52339728879714764</v>
      </c>
      <c r="CQ23" s="39">
        <v>0.50728953777536934</v>
      </c>
      <c r="CR23" s="39">
        <v>0.58088981720046151</v>
      </c>
      <c r="CS23" s="39">
        <v>0.57823297203978219</v>
      </c>
      <c r="CT23" s="39">
        <v>0.55733749896791163</v>
      </c>
      <c r="CU23" s="39">
        <v>0.54504805170902371</v>
      </c>
      <c r="CV23" s="39">
        <v>0.55813437492442319</v>
      </c>
      <c r="CW23" s="39">
        <v>0.54562191780821923</v>
      </c>
      <c r="CX23" s="39">
        <v>0.55941041095890398</v>
      </c>
      <c r="CY23" s="40">
        <v>0.52070000000000005</v>
      </c>
      <c r="CZ23" s="39">
        <v>0.50649149455778131</v>
      </c>
      <c r="DA23" s="39">
        <v>0.55038572543895614</v>
      </c>
      <c r="DB23" s="39">
        <v>0.59075797500899896</v>
      </c>
      <c r="DC23" s="39">
        <v>0.61486844230643323</v>
      </c>
      <c r="DD23" s="39">
        <v>0.63792387699324149</v>
      </c>
      <c r="DE23" s="39">
        <v>0.66182976259570991</v>
      </c>
      <c r="DF23" s="39">
        <v>0.6834207294760164</v>
      </c>
      <c r="DG23" s="39">
        <v>0.68655462184873961</v>
      </c>
      <c r="DH23" s="39">
        <v>0.6865546218487395</v>
      </c>
      <c r="DI23" s="39">
        <v>0.6865546218487395</v>
      </c>
    </row>
    <row r="24" spans="1:113" outlineLevel="1">
      <c r="A24" s="1" t="s">
        <v>702</v>
      </c>
      <c r="B24" s="19" t="s">
        <v>212</v>
      </c>
      <c r="C24" s="39">
        <v>0.51139999999999997</v>
      </c>
      <c r="D24" s="39">
        <v>0.51095369863013695</v>
      </c>
      <c r="E24" s="39">
        <v>0.5372682191780821</v>
      </c>
      <c r="F24" s="39">
        <v>0.56444301369863015</v>
      </c>
      <c r="G24" s="39">
        <v>0.61989506849315068</v>
      </c>
      <c r="H24" s="39">
        <v>0.71099204983284114</v>
      </c>
      <c r="I24" s="39">
        <v>0.7237633879781421</v>
      </c>
      <c r="J24" s="39">
        <v>0.73892465352011605</v>
      </c>
      <c r="K24" s="39">
        <v>0.77077890410958905</v>
      </c>
      <c r="L24" s="39">
        <v>0.74826547945205479</v>
      </c>
      <c r="M24" s="39">
        <v>0.73848575342465761</v>
      </c>
      <c r="N24" s="39">
        <v>0.76685068493150688</v>
      </c>
      <c r="O24" s="39">
        <v>0.82074000000000003</v>
      </c>
      <c r="P24" s="39">
        <v>0.86549106486964611</v>
      </c>
      <c r="Q24" s="39">
        <v>0.92377978142076511</v>
      </c>
      <c r="R24" s="39">
        <v>0.82988365003662889</v>
      </c>
      <c r="S24" s="39">
        <v>0.7530956164383561</v>
      </c>
      <c r="T24" s="39">
        <v>0.85460438356164381</v>
      </c>
      <c r="U24" s="39">
        <v>0.87628109589041103</v>
      </c>
      <c r="V24" s="39">
        <v>0.93578794520547937</v>
      </c>
      <c r="W24" s="39">
        <v>1.0457342465753423</v>
      </c>
      <c r="X24" s="39">
        <v>1.0451490292790429</v>
      </c>
      <c r="Y24" s="39">
        <v>1.0170060109289618</v>
      </c>
      <c r="Z24" s="39">
        <v>1.0282799677067291</v>
      </c>
      <c r="AA24" s="39">
        <v>0.98224054794520543</v>
      </c>
      <c r="AB24" s="39">
        <v>0.910485205479452</v>
      </c>
      <c r="AC24" s="39">
        <v>0.91739150684931503</v>
      </c>
      <c r="AD24" s="39">
        <v>0.8801501369863014</v>
      </c>
      <c r="AE24" s="39">
        <v>0.79324164383561635</v>
      </c>
      <c r="AF24" s="39">
        <v>0.74957777611201903</v>
      </c>
      <c r="AG24" s="39">
        <v>0.73698360655737716</v>
      </c>
      <c r="AH24" s="39">
        <v>0.73341661608384301</v>
      </c>
      <c r="AI24" s="39">
        <v>0.74618410958904113</v>
      </c>
      <c r="AJ24" s="39">
        <v>0.77410273972602739</v>
      </c>
      <c r="AK24" s="39">
        <v>0.75913068493150693</v>
      </c>
      <c r="AL24" s="39">
        <v>0.7223356164383562</v>
      </c>
      <c r="AM24" s="39">
        <v>0.70348191780821923</v>
      </c>
      <c r="AN24" s="39">
        <v>0.70085308306972705</v>
      </c>
      <c r="AO24" s="39">
        <v>0.69285901639344261</v>
      </c>
      <c r="AP24" s="39">
        <v>0.72765928057769069</v>
      </c>
      <c r="AQ24" s="39">
        <v>0.76122438356164379</v>
      </c>
      <c r="AR24" s="488">
        <v>0.73180000000000001</v>
      </c>
      <c r="AS24" s="488">
        <v>0.71960000000000002</v>
      </c>
      <c r="AT24" s="488">
        <v>0.67049999999999998</v>
      </c>
      <c r="AU24" s="488">
        <v>0.67630000000000001</v>
      </c>
      <c r="AV24" s="488">
        <v>0.65290000000000004</v>
      </c>
      <c r="AW24" s="780">
        <v>0.65880000000000005</v>
      </c>
      <c r="AX24" s="39">
        <v>0.66140956538639795</v>
      </c>
      <c r="AY24" s="39">
        <v>0.67848401826484017</v>
      </c>
      <c r="AZ24" s="39">
        <v>0.72311415525114142</v>
      </c>
      <c r="BA24" s="39">
        <v>0.76260273972602732</v>
      </c>
      <c r="BB24" s="39">
        <v>0.78739726027397261</v>
      </c>
      <c r="BC24" s="39">
        <v>0.8037808219178082</v>
      </c>
      <c r="BD24" s="39">
        <v>0.81122430775227483</v>
      </c>
      <c r="BE24" s="39">
        <v>0.81877049180327843</v>
      </c>
      <c r="BF24" s="39">
        <v>0.82622437842929064</v>
      </c>
      <c r="BG24" s="39">
        <v>0.83378082191780756</v>
      </c>
      <c r="BH24" s="39">
        <v>0.84121917808219104</v>
      </c>
      <c r="BI24" s="39">
        <v>0.84878082191780724</v>
      </c>
      <c r="BJ24" s="39">
        <v>0.85621917808219128</v>
      </c>
      <c r="BK24" s="39">
        <v>0.8600000000000001</v>
      </c>
      <c r="BL24" s="39">
        <v>0.86</v>
      </c>
      <c r="BM24" s="39">
        <v>0.86</v>
      </c>
      <c r="BN24" s="39">
        <v>0.8600000000000001</v>
      </c>
      <c r="BO24" s="39">
        <v>0.8600000000000001</v>
      </c>
      <c r="BP24" s="39">
        <v>0.8600000000000001</v>
      </c>
      <c r="BQ24" s="39">
        <v>0.8600000000000001</v>
      </c>
      <c r="BR24" s="39"/>
      <c r="BS24" s="37">
        <v>0.74775000000000003</v>
      </c>
      <c r="BT24" s="37">
        <v>0.67149999999999999</v>
      </c>
      <c r="BU24" s="37">
        <v>0.7298</v>
      </c>
      <c r="BV24" s="37">
        <v>0.71120000000000005</v>
      </c>
      <c r="BW24" s="37">
        <v>0.78910000000000002</v>
      </c>
      <c r="BX24" s="37">
        <v>0.74570000000000003</v>
      </c>
      <c r="BY24" s="37">
        <v>0.61280000000000001</v>
      </c>
      <c r="BZ24" s="37">
        <v>0.65990000000000004</v>
      </c>
      <c r="CA24" s="37">
        <v>0.59819999999999995</v>
      </c>
      <c r="CB24" s="37">
        <v>0.50800000000000001</v>
      </c>
      <c r="CC24" s="39">
        <v>0.52421910076937506</v>
      </c>
      <c r="CD24" s="39">
        <v>0.59239692625258011</v>
      </c>
      <c r="CE24" s="39">
        <v>0.71741261327200889</v>
      </c>
      <c r="CF24" s="39">
        <v>0.75498268669398749</v>
      </c>
      <c r="CG24" s="39">
        <v>0.74333542578344913</v>
      </c>
      <c r="CH24" s="39">
        <v>0.79401680540439101</v>
      </c>
      <c r="CI24" s="39">
        <v>0.89479468193359668</v>
      </c>
      <c r="CJ24" s="39">
        <v>0.79117406597612971</v>
      </c>
      <c r="CK24" s="39">
        <v>0.86553182210546076</v>
      </c>
      <c r="CL24" s="39">
        <v>0.99121293000562949</v>
      </c>
      <c r="CM24" s="39">
        <v>1.0310006266112428</v>
      </c>
      <c r="CN24" s="39">
        <v>1.0050710547310571</v>
      </c>
      <c r="CO24" s="39">
        <v>0.91396673822480767</v>
      </c>
      <c r="CP24" s="39">
        <v>0.8363387322199286</v>
      </c>
      <c r="CQ24" s="39">
        <v>0.74324628103536849</v>
      </c>
      <c r="CR24" s="39">
        <v>0.73985283198783325</v>
      </c>
      <c r="CS24" s="39">
        <v>0.76655518333646089</v>
      </c>
      <c r="CT24" s="39">
        <v>0.71283128617001323</v>
      </c>
      <c r="CU24" s="39">
        <v>0.69683420801935458</v>
      </c>
      <c r="CV24" s="39">
        <v>0.74457977084905325</v>
      </c>
      <c r="CW24" s="39">
        <v>0.7256498630136986</v>
      </c>
      <c r="CX24" s="39">
        <v>0.67342383561643837</v>
      </c>
      <c r="CY24" s="40">
        <v>0.65586612021857926</v>
      </c>
      <c r="CZ24" s="39">
        <v>0.67001696081005091</v>
      </c>
      <c r="DA24" s="39">
        <v>0.74302072934259067</v>
      </c>
      <c r="DB24" s="39">
        <v>0.79565637080127605</v>
      </c>
      <c r="DC24" s="39">
        <v>0.81501801776698712</v>
      </c>
      <c r="DD24" s="39">
        <v>0.83003365405089913</v>
      </c>
      <c r="DE24" s="39">
        <v>0.84503107524863863</v>
      </c>
      <c r="DF24" s="39">
        <v>0.85812512666541541</v>
      </c>
      <c r="DG24" s="39">
        <v>0.86</v>
      </c>
      <c r="DH24" s="39">
        <v>0.8600000000000001</v>
      </c>
      <c r="DI24" s="39">
        <v>0.8600000000000001</v>
      </c>
    </row>
    <row r="25" spans="1:113" outlineLevel="1">
      <c r="A25" s="1" t="s">
        <v>2511</v>
      </c>
      <c r="B25" s="19" t="s">
        <v>213</v>
      </c>
      <c r="C25" s="39">
        <v>1.2589999999999999</v>
      </c>
      <c r="D25" s="39">
        <v>1.2442224657534247</v>
      </c>
      <c r="E25" s="39">
        <v>1.1927528767123288</v>
      </c>
      <c r="F25" s="39">
        <v>1.1157906849315069</v>
      </c>
      <c r="G25" s="39">
        <v>1.1109512328767126</v>
      </c>
      <c r="H25" s="39">
        <v>1.1459095917724842</v>
      </c>
      <c r="I25" s="39">
        <v>1.1213743169398909</v>
      </c>
      <c r="J25" s="39">
        <v>1.0918457772063332</v>
      </c>
      <c r="K25" s="39">
        <v>1.0894353424657535</v>
      </c>
      <c r="L25" s="39">
        <v>1.0824432876712329</v>
      </c>
      <c r="M25" s="39">
        <v>1.1430876712328766</v>
      </c>
      <c r="N25" s="39">
        <v>1.1678821917808218</v>
      </c>
      <c r="O25" s="39">
        <v>1.111421917808219</v>
      </c>
      <c r="P25" s="39">
        <v>1.11789037974304</v>
      </c>
      <c r="Q25" s="39">
        <v>1.1989027322404371</v>
      </c>
      <c r="R25" s="39">
        <v>1.227196991941633</v>
      </c>
      <c r="S25" s="39">
        <v>1.2171145205479452</v>
      </c>
      <c r="T25" s="39">
        <v>1.2386857534246576</v>
      </c>
      <c r="U25" s="39">
        <v>1.2330397260273973</v>
      </c>
      <c r="V25" s="39">
        <v>1.2738019178082192</v>
      </c>
      <c r="W25" s="39">
        <v>1.3053591780821918</v>
      </c>
      <c r="X25" s="39">
        <v>1.304480459649491</v>
      </c>
      <c r="Y25" s="39">
        <v>1.2950431693989071</v>
      </c>
      <c r="Z25" s="39">
        <v>1.2683498766576464</v>
      </c>
      <c r="AA25" s="39">
        <v>1.2231917808219177</v>
      </c>
      <c r="AB25" s="39">
        <v>1.1367580821917809</v>
      </c>
      <c r="AC25" s="39">
        <v>1.0814068493150686</v>
      </c>
      <c r="AD25" s="39">
        <v>1.0607282191780822</v>
      </c>
      <c r="AE25" s="39">
        <v>1.0869923287671233</v>
      </c>
      <c r="AF25" s="39">
        <v>1.0973634169377691</v>
      </c>
      <c r="AG25" s="39">
        <v>1.0564480874316942</v>
      </c>
      <c r="AH25" s="39">
        <v>1.0431763048125942</v>
      </c>
      <c r="AI25" s="39">
        <v>1.0443410958904109</v>
      </c>
      <c r="AJ25" s="39">
        <v>1.0735986301369864</v>
      </c>
      <c r="AK25" s="39">
        <v>1.0945695890410958</v>
      </c>
      <c r="AL25" s="39">
        <v>1.0713619178082192</v>
      </c>
      <c r="AM25" s="39">
        <v>1.048727397260274</v>
      </c>
      <c r="AN25" s="39">
        <v>1.043467470728453</v>
      </c>
      <c r="AO25" s="39">
        <v>1.0557808743169401</v>
      </c>
      <c r="AP25" s="39">
        <v>1.0686129815958259</v>
      </c>
      <c r="AQ25" s="39">
        <v>1.0703800000000001</v>
      </c>
      <c r="AR25" s="488">
        <v>1.0488999999999999</v>
      </c>
      <c r="AS25" s="488">
        <v>1.0849</v>
      </c>
      <c r="AT25" s="488">
        <v>1.1019000000000001</v>
      </c>
      <c r="AU25" s="488">
        <v>1.083</v>
      </c>
      <c r="AV25" s="488">
        <v>1.0804</v>
      </c>
      <c r="AW25" s="780">
        <v>1.0812999999999999</v>
      </c>
      <c r="AX25" s="39">
        <v>1.087470955247007</v>
      </c>
      <c r="AY25" s="39">
        <v>1.0881544649586197</v>
      </c>
      <c r="AZ25" s="39">
        <v>1.1067185053003648</v>
      </c>
      <c r="BA25" s="39">
        <v>1.1382130443672049</v>
      </c>
      <c r="BB25" s="39">
        <v>1.1752197914536904</v>
      </c>
      <c r="BC25" s="39">
        <v>1.2030925584879835</v>
      </c>
      <c r="BD25" s="39">
        <v>1.2210358099357774</v>
      </c>
      <c r="BE25" s="39">
        <v>1.2394330055740395</v>
      </c>
      <c r="BF25" s="39">
        <v>1.2578126741760876</v>
      </c>
      <c r="BG25" s="39">
        <v>1.2766593414357099</v>
      </c>
      <c r="BH25" s="39">
        <v>1.2954256854974628</v>
      </c>
      <c r="BI25" s="39">
        <v>1.3147246948656683</v>
      </c>
      <c r="BJ25" s="39">
        <v>1.3339308751163703</v>
      </c>
      <c r="BK25" s="39">
        <v>1.34375</v>
      </c>
      <c r="BL25" s="39">
        <v>1.34375</v>
      </c>
      <c r="BM25" s="39">
        <v>1.3437500000000002</v>
      </c>
      <c r="BN25" s="39">
        <v>1.34375</v>
      </c>
      <c r="BO25" s="39">
        <v>1.34375</v>
      </c>
      <c r="BP25" s="39">
        <v>1.34375</v>
      </c>
      <c r="BQ25" s="39">
        <v>1.34375</v>
      </c>
      <c r="BR25" s="39"/>
      <c r="BS25" s="37">
        <v>1.36435</v>
      </c>
      <c r="BT25" s="37">
        <v>1.2452000000000001</v>
      </c>
      <c r="BU25" s="37">
        <v>1.2276</v>
      </c>
      <c r="BV25" s="37">
        <v>1.0645</v>
      </c>
      <c r="BW25" s="37">
        <v>1.1548</v>
      </c>
      <c r="BX25" s="37">
        <v>1.0992</v>
      </c>
      <c r="BY25" s="37">
        <v>1.1930000000000001</v>
      </c>
      <c r="BZ25" s="37">
        <v>1.248</v>
      </c>
      <c r="CA25" s="37">
        <v>1.278</v>
      </c>
      <c r="CB25" s="37">
        <v>1.256</v>
      </c>
      <c r="CC25" s="39">
        <v>1.2182761523738037</v>
      </c>
      <c r="CD25" s="39">
        <v>1.1133510707449805</v>
      </c>
      <c r="CE25" s="39">
        <v>1.1335749180861532</v>
      </c>
      <c r="CF25" s="39">
        <v>1.0906306539398491</v>
      </c>
      <c r="CG25" s="39">
        <v>1.1130147029461437</v>
      </c>
      <c r="CH25" s="39">
        <v>1.1394200262713454</v>
      </c>
      <c r="CI25" s="39">
        <v>1.1586179012171414</v>
      </c>
      <c r="CJ25" s="39">
        <v>1.2221143214308423</v>
      </c>
      <c r="CK25" s="39">
        <v>1.2358395368737101</v>
      </c>
      <c r="CL25" s="39">
        <v>1.2897102353161944</v>
      </c>
      <c r="CM25" s="39">
        <v>1.2997360295781593</v>
      </c>
      <c r="CN25" s="39">
        <v>1.2455852475240188</v>
      </c>
      <c r="CO25" s="39">
        <v>1.1088549949333835</v>
      </c>
      <c r="CP25" s="39">
        <v>1.0739682086695439</v>
      </c>
      <c r="CQ25" s="39">
        <v>1.0767939616669555</v>
      </c>
      <c r="CR25" s="39">
        <v>1.043763487164151</v>
      </c>
      <c r="CS25" s="39">
        <v>1.0841702916119349</v>
      </c>
      <c r="CT25" s="39">
        <v>1.0599516389566523</v>
      </c>
      <c r="CU25" s="39">
        <v>1.0496578157018999</v>
      </c>
      <c r="CV25" s="39">
        <v>1.0695037525173823</v>
      </c>
      <c r="CW25" s="39">
        <v>1.0670479452054795</v>
      </c>
      <c r="CX25" s="39">
        <v>1.0923723287671232</v>
      </c>
      <c r="CY25" s="40">
        <v>1.0808524590163935</v>
      </c>
      <c r="CZ25" s="39">
        <v>1.0878155190468335</v>
      </c>
      <c r="DA25" s="39">
        <v>1.1225952044463883</v>
      </c>
      <c r="DB25" s="39">
        <v>1.1892707205887862</v>
      </c>
      <c r="DC25" s="39">
        <v>1.2302846733167616</v>
      </c>
      <c r="DD25" s="39">
        <v>1.2673134598631299</v>
      </c>
      <c r="DE25" s="39">
        <v>1.3051545011789691</v>
      </c>
      <c r="DF25" s="39">
        <v>1.3388807901262001</v>
      </c>
      <c r="DG25" s="39">
        <v>1.3437500000000002</v>
      </c>
      <c r="DH25" s="39">
        <v>1.34375</v>
      </c>
      <c r="DI25" s="39">
        <v>1.34375</v>
      </c>
    </row>
    <row r="26" spans="1:113" outlineLevel="1">
      <c r="A26" s="1" t="s">
        <v>568</v>
      </c>
      <c r="B26" s="19" t="s">
        <v>214</v>
      </c>
      <c r="C26" s="39">
        <v>0.60189999999999999</v>
      </c>
      <c r="D26" s="39">
        <v>0.58940356164383556</v>
      </c>
      <c r="E26" s="39">
        <v>0.57246547945205495</v>
      </c>
      <c r="F26" s="39">
        <v>0.55352246575342479</v>
      </c>
      <c r="G26" s="39">
        <v>0.56229397260273983</v>
      </c>
      <c r="H26" s="39">
        <v>0.59126163291006406</v>
      </c>
      <c r="I26" s="39">
        <v>0.58483442622950821</v>
      </c>
      <c r="J26" s="39">
        <v>0.57230409945131333</v>
      </c>
      <c r="K26" s="39">
        <v>0.6008879452054795</v>
      </c>
      <c r="L26" s="39">
        <v>0.62419479452054805</v>
      </c>
      <c r="M26" s="39">
        <v>0.60161068493150682</v>
      </c>
      <c r="N26" s="39">
        <v>0.5926846575342466</v>
      </c>
      <c r="O26" s="39">
        <v>0.6164282191780821</v>
      </c>
      <c r="P26" s="39">
        <v>0.61506612895971702</v>
      </c>
      <c r="Q26" s="39">
        <v>0.60468633879781419</v>
      </c>
      <c r="R26" s="39">
        <v>0.55185892026851258</v>
      </c>
      <c r="S26" s="39">
        <v>0.53389479452054789</v>
      </c>
      <c r="T26" s="39">
        <v>0.59974904109589033</v>
      </c>
      <c r="U26" s="39">
        <v>0.66230904109589039</v>
      </c>
      <c r="V26" s="39">
        <v>0.73193205479452061</v>
      </c>
      <c r="W26" s="39">
        <v>0.75280219178082197</v>
      </c>
      <c r="X26" s="39">
        <v>0.7630975593301651</v>
      </c>
      <c r="Y26" s="39">
        <v>0.79676120218579238</v>
      </c>
      <c r="Z26" s="39">
        <v>0.7974220820189275</v>
      </c>
      <c r="AA26" s="39">
        <v>0.74798356164383573</v>
      </c>
      <c r="AB26" s="39">
        <v>0.6791539726027398</v>
      </c>
      <c r="AC26" s="39">
        <v>0.66876931506849313</v>
      </c>
      <c r="AD26" s="39">
        <v>0.68156328767123286</v>
      </c>
      <c r="AE26" s="39">
        <v>0.68095835616438349</v>
      </c>
      <c r="AF26" s="39">
        <v>0.67846577215417592</v>
      </c>
      <c r="AG26" s="39">
        <v>0.66885027322404378</v>
      </c>
      <c r="AH26" s="39">
        <v>0.6785337255370999</v>
      </c>
      <c r="AI26" s="39">
        <v>0.68008301369863022</v>
      </c>
      <c r="AJ26" s="39">
        <v>0.66267726027397267</v>
      </c>
      <c r="AK26" s="39">
        <v>0.64402520547945197</v>
      </c>
      <c r="AL26" s="39">
        <v>0.62632191780821911</v>
      </c>
      <c r="AM26" s="39">
        <v>0.61724794520547943</v>
      </c>
      <c r="AN26" s="39">
        <v>0.62112156724585099</v>
      </c>
      <c r="AO26" s="39">
        <v>0.61831202185792355</v>
      </c>
      <c r="AP26" s="39">
        <v>0.61914670713292563</v>
      </c>
      <c r="AQ26" s="39">
        <v>0.62947013698630139</v>
      </c>
      <c r="AR26" s="488">
        <v>0.63009999999999999</v>
      </c>
      <c r="AS26" s="488">
        <v>0.65839999999999999</v>
      </c>
      <c r="AT26" s="488">
        <v>0.6613</v>
      </c>
      <c r="AU26" s="488">
        <v>0.62580000000000002</v>
      </c>
      <c r="AV26" s="488">
        <v>0.60329999999999995</v>
      </c>
      <c r="AW26" s="780">
        <v>0.60909999999999997</v>
      </c>
      <c r="AX26" s="39">
        <v>0.61975943400020683</v>
      </c>
      <c r="AY26" s="39">
        <v>0.62561721360734868</v>
      </c>
      <c r="AZ26" s="39">
        <v>0.64171163600834191</v>
      </c>
      <c r="BA26" s="39">
        <v>0.66313281715306738</v>
      </c>
      <c r="BB26" s="39">
        <v>0.68469326980345457</v>
      </c>
      <c r="BC26" s="39">
        <v>0.69740749621631115</v>
      </c>
      <c r="BD26" s="39">
        <v>0.70084837770356534</v>
      </c>
      <c r="BE26" s="39">
        <v>0.70430674605003907</v>
      </c>
      <c r="BF26" s="39">
        <v>0.70769355491830632</v>
      </c>
      <c r="BG26" s="39">
        <v>0.71109765910115763</v>
      </c>
      <c r="BH26" s="39">
        <v>0.7144201176708882</v>
      </c>
      <c r="BI26" s="39">
        <v>0.71776908163435393</v>
      </c>
      <c r="BJ26" s="39">
        <v>0.72103570056425625</v>
      </c>
      <c r="BK26" s="39">
        <v>0.7226890756302522</v>
      </c>
      <c r="BL26" s="39">
        <v>0.7226890756302522</v>
      </c>
      <c r="BM26" s="39">
        <v>0.72268907563025209</v>
      </c>
      <c r="BN26" s="39">
        <v>0.72268907563025198</v>
      </c>
      <c r="BO26" s="39">
        <v>0.7226890756302522</v>
      </c>
      <c r="BP26" s="39">
        <v>0.7226890756302522</v>
      </c>
      <c r="BQ26" s="39">
        <v>0.7226890756302522</v>
      </c>
      <c r="BR26" s="39"/>
      <c r="BS26" s="37" t="s">
        <v>215</v>
      </c>
      <c r="BT26" s="37" t="s">
        <v>215</v>
      </c>
      <c r="BU26" s="37" t="s">
        <v>215</v>
      </c>
      <c r="BV26" s="37" t="s">
        <v>215</v>
      </c>
      <c r="BW26" s="37" t="s">
        <v>215</v>
      </c>
      <c r="BX26" s="37" t="s">
        <v>215</v>
      </c>
      <c r="BY26" s="37">
        <v>0.62090000000000001</v>
      </c>
      <c r="BZ26" s="37">
        <v>0.60809999999999997</v>
      </c>
      <c r="CA26" s="37">
        <v>0.63500000000000001</v>
      </c>
      <c r="CB26" s="37">
        <v>0.61385000000000001</v>
      </c>
      <c r="CC26" s="39">
        <v>0.58086491199099277</v>
      </c>
      <c r="CD26" s="39">
        <v>0.55794426646650408</v>
      </c>
      <c r="CE26" s="39">
        <v>0.58803046889579558</v>
      </c>
      <c r="CF26" s="39">
        <v>0.58671349018766006</v>
      </c>
      <c r="CG26" s="39">
        <v>0.6128099283167574</v>
      </c>
      <c r="CH26" s="39">
        <v>0.60465401463689239</v>
      </c>
      <c r="CI26" s="39">
        <v>0.60984787379635597</v>
      </c>
      <c r="CJ26" s="39">
        <v>0.54280303222022352</v>
      </c>
      <c r="CK26" s="39">
        <v>0.63128613698630132</v>
      </c>
      <c r="CL26" s="39">
        <v>0.74245289097391631</v>
      </c>
      <c r="CM26" s="39">
        <v>0.78002135792425098</v>
      </c>
      <c r="CN26" s="39">
        <v>0.77249964982984021</v>
      </c>
      <c r="CO26" s="39">
        <v>0.67391896716081823</v>
      </c>
      <c r="CP26" s="39">
        <v>0.68125833589791707</v>
      </c>
      <c r="CQ26" s="39">
        <v>0.67363175083410953</v>
      </c>
      <c r="CR26" s="39">
        <v>0.67931473655551522</v>
      </c>
      <c r="CS26" s="39">
        <v>0.65327458059673471</v>
      </c>
      <c r="CT26" s="39">
        <v>0.6217476412084818</v>
      </c>
      <c r="CU26" s="39">
        <v>0.61970911819836827</v>
      </c>
      <c r="CV26" s="39">
        <v>0.6243508471138054</v>
      </c>
      <c r="CW26" s="39">
        <v>0.64436630136986306</v>
      </c>
      <c r="CX26" s="39">
        <v>0.64340410958904115</v>
      </c>
      <c r="CY26" s="40">
        <v>0.60621584699453546</v>
      </c>
      <c r="CZ26" s="39">
        <v>0.62271239687065649</v>
      </c>
      <c r="DA26" s="39">
        <v>0.65251025883198432</v>
      </c>
      <c r="DB26" s="39">
        <v>0.69110263325541521</v>
      </c>
      <c r="DC26" s="39">
        <v>0.70258701097064513</v>
      </c>
      <c r="DD26" s="39">
        <v>0.7094095964789765</v>
      </c>
      <c r="DE26" s="39">
        <v>0.71610836251822441</v>
      </c>
      <c r="DF26" s="39">
        <v>0.72186918278930634</v>
      </c>
      <c r="DG26" s="39">
        <v>0.7226890756302522</v>
      </c>
      <c r="DH26" s="39">
        <v>0.7226890756302522</v>
      </c>
      <c r="DI26" s="39">
        <v>0.7226890756302522</v>
      </c>
    </row>
    <row r="27" spans="1:113" outlineLevel="1">
      <c r="C27" s="39"/>
      <c r="D27" s="39"/>
      <c r="E27" s="39"/>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40"/>
      <c r="AX27" s="39"/>
      <c r="AY27" s="39"/>
      <c r="AZ27" s="39"/>
      <c r="BA27" s="39"/>
      <c r="BB27" s="39"/>
      <c r="BC27" s="39"/>
      <c r="BD27" s="39"/>
      <c r="BE27" s="39"/>
      <c r="BF27" s="39"/>
      <c r="BG27" s="39"/>
      <c r="BH27" s="39"/>
      <c r="BI27" s="39"/>
      <c r="BJ27" s="39"/>
      <c r="BK27" s="39"/>
      <c r="BL27" s="39"/>
      <c r="BM27" s="39"/>
      <c r="BN27" s="39"/>
      <c r="BO27" s="39"/>
      <c r="BP27" s="39"/>
      <c r="BQ27" s="39"/>
      <c r="BR27" s="39"/>
      <c r="BS27" s="39"/>
      <c r="BT27" s="39"/>
      <c r="BU27" s="39"/>
      <c r="BV27" s="39"/>
      <c r="BW27" s="39"/>
      <c r="BX27" s="39"/>
      <c r="BY27" s="39"/>
      <c r="BZ27" s="39"/>
      <c r="CA27" s="39"/>
      <c r="CB27" s="39"/>
      <c r="CC27" s="39"/>
      <c r="CD27" s="39"/>
      <c r="CE27" s="39"/>
      <c r="CF27" s="39"/>
      <c r="CG27" s="39"/>
      <c r="CH27" s="39"/>
      <c r="CI27" s="39"/>
      <c r="CJ27" s="39"/>
      <c r="CK27" s="39"/>
      <c r="CL27" s="39"/>
      <c r="CM27" s="39"/>
      <c r="CN27" s="39"/>
      <c r="CO27" s="39"/>
      <c r="CP27" s="39"/>
      <c r="CQ27" s="39"/>
      <c r="CR27" s="39"/>
      <c r="CS27" s="39"/>
      <c r="CT27" s="39"/>
      <c r="CU27" s="39"/>
      <c r="CV27" s="39"/>
      <c r="CW27" s="39"/>
      <c r="CX27" s="39"/>
      <c r="CY27" s="40"/>
      <c r="CZ27" s="39"/>
      <c r="DA27" s="39"/>
      <c r="DB27" s="39"/>
    </row>
    <row r="28" spans="1:113" outlineLevel="1">
      <c r="B28" s="24" t="s">
        <v>217</v>
      </c>
      <c r="AW28" s="22"/>
      <c r="CY28" s="22"/>
    </row>
    <row r="29" spans="1:113" outlineLevel="1">
      <c r="A29" s="1" t="s">
        <v>703</v>
      </c>
      <c r="B29" s="19" t="s">
        <v>218</v>
      </c>
      <c r="C29" s="551">
        <v>6.7757432095233217E-2</v>
      </c>
      <c r="D29" s="551">
        <v>8.6976584411438296E-2</v>
      </c>
      <c r="E29" s="551">
        <v>8.5587160147527985E-2</v>
      </c>
      <c r="F29" s="551">
        <v>9.0871167389212429E-2</v>
      </c>
      <c r="G29" s="551">
        <v>9.1859913994783535E-2</v>
      </c>
      <c r="H29" s="551">
        <v>0.10761386491764835</v>
      </c>
      <c r="I29" s="551">
        <v>9.0078426050231433E-2</v>
      </c>
      <c r="J29" s="551">
        <v>8.0360872426679109E-2</v>
      </c>
      <c r="K29" s="551">
        <v>6.1372755371351451E-2</v>
      </c>
      <c r="L29" s="551">
        <v>6.217854681728241E-2</v>
      </c>
      <c r="M29" s="183">
        <v>7.0282932719548663E-2</v>
      </c>
      <c r="N29" s="183">
        <v>6.202138461252571E-2</v>
      </c>
      <c r="O29" s="183">
        <v>6.3761873710644679E-2</v>
      </c>
      <c r="P29" s="183">
        <v>5.1291138968445171E-2</v>
      </c>
      <c r="Q29" s="183">
        <v>4.2497743037699376E-2</v>
      </c>
      <c r="R29" s="183">
        <v>2.9647744651782881E-2</v>
      </c>
      <c r="S29" s="183">
        <v>3.4552978121440203E-2</v>
      </c>
      <c r="T29" s="183">
        <v>4.0866284190129498E-2</v>
      </c>
      <c r="U29" s="183">
        <v>3.7805581267959631E-2</v>
      </c>
      <c r="V29" s="183">
        <v>3.278207133535882E-2</v>
      </c>
      <c r="W29" s="183">
        <v>2.6926647804556447E-2</v>
      </c>
      <c r="X29" s="183">
        <v>2.6324060471828004E-2</v>
      </c>
      <c r="Y29" s="183">
        <v>2.3312157954647583E-2</v>
      </c>
      <c r="Z29" s="183">
        <v>2.1482462612643527E-2</v>
      </c>
      <c r="AA29" s="183">
        <v>2.420355452704448E-2</v>
      </c>
      <c r="AB29" s="44">
        <v>2.9393781272304187E-2</v>
      </c>
      <c r="AC29" s="44">
        <v>3.3927188484669912E-2</v>
      </c>
      <c r="AD29" s="44">
        <v>3.5142050002669789E-2</v>
      </c>
      <c r="AE29" s="44">
        <v>3.64659138615957E-2</v>
      </c>
      <c r="AF29" s="44">
        <v>3.615371001206702E-2</v>
      </c>
      <c r="AG29" s="44">
        <v>2.9934945891726406E-2</v>
      </c>
      <c r="AH29" s="44">
        <v>3.2346700851968668E-2</v>
      </c>
      <c r="AI29" s="44">
        <v>3.3021917665273293E-2</v>
      </c>
      <c r="AJ29" s="44">
        <v>2.9418746326298262E-2</v>
      </c>
      <c r="AK29" s="44">
        <v>2.6030696392685071E-2</v>
      </c>
      <c r="AL29" s="44">
        <v>2.0219741529808433E-2</v>
      </c>
      <c r="AM29" s="44">
        <v>1.4000634241071452E-2</v>
      </c>
      <c r="AN29" s="44">
        <v>1.5959386461770197E-2</v>
      </c>
      <c r="AO29" s="44">
        <v>1.5454963347603989E-2</v>
      </c>
      <c r="AP29" s="44">
        <v>1.9562583489765917E-2</v>
      </c>
      <c r="AQ29" s="44">
        <v>3.301646216430254E-2</v>
      </c>
      <c r="AR29" s="44">
        <v>3.9600839510476105E-2</v>
      </c>
      <c r="AS29" s="44">
        <v>3.7712686537877183E-2</v>
      </c>
      <c r="AT29" s="44">
        <v>2.602208162219477E-2</v>
      </c>
      <c r="AU29" s="44">
        <v>1.9979368569738476E-2</v>
      </c>
      <c r="AV29" s="44">
        <v>2.1370780741748252E-2</v>
      </c>
      <c r="AW29" s="498">
        <v>2.5272055611194943E-2</v>
      </c>
      <c r="AX29" s="41">
        <v>2.3101999999999956E-2</v>
      </c>
      <c r="AY29" s="41">
        <v>2.313199999999993E-2</v>
      </c>
      <c r="AZ29" s="41">
        <v>2.9189999999999827E-2</v>
      </c>
      <c r="BA29" s="41">
        <v>1.8080999999999792E-2</v>
      </c>
      <c r="BB29" s="41">
        <v>1.8080999999999792E-2</v>
      </c>
      <c r="BC29" s="41">
        <v>1.8080999999999792E-2</v>
      </c>
      <c r="BD29" s="41">
        <v>1.8080999999999792E-2</v>
      </c>
      <c r="BE29" s="41">
        <v>1.8080999999999792E-2</v>
      </c>
      <c r="BF29" s="41">
        <v>1.8080999999999792E-2</v>
      </c>
      <c r="BG29" s="41">
        <v>1.8080999999999792E-2</v>
      </c>
      <c r="BH29" s="41">
        <v>1.8080999999999792E-2</v>
      </c>
      <c r="BI29" s="41">
        <v>1.8080999999999792E-2</v>
      </c>
      <c r="BJ29" s="41">
        <v>1.8080999999999792E-2</v>
      </c>
      <c r="BK29" s="41">
        <v>1.8080999999999792E-2</v>
      </c>
      <c r="BL29" s="41">
        <v>1.8080999999999792E-2</v>
      </c>
      <c r="BM29" s="41">
        <v>1.8080999999999792E-2</v>
      </c>
      <c r="BN29" s="41">
        <v>1.8080999999999792E-2</v>
      </c>
      <c r="BO29" s="41">
        <v>1.8080999999999792E-2</v>
      </c>
      <c r="BP29" s="41">
        <v>1.8080999999999792E-2</v>
      </c>
      <c r="BQ29" s="41">
        <v>1.8080999999999792E-2</v>
      </c>
      <c r="BR29" s="511"/>
      <c r="BS29" s="552">
        <v>5.6932453106602221E-2</v>
      </c>
      <c r="BT29" s="552">
        <v>8.1877872273125943E-2</v>
      </c>
      <c r="BU29" s="552">
        <v>0.10978413347849569</v>
      </c>
      <c r="BV29" s="552">
        <v>5.8657047126936757E-2</v>
      </c>
      <c r="BW29" s="552">
        <v>5.5067527854615772E-2</v>
      </c>
      <c r="BX29" s="552">
        <v>6.0560231692898148E-2</v>
      </c>
      <c r="BY29" s="552">
        <v>5.9903069871621417E-2</v>
      </c>
      <c r="BZ29" s="552">
        <v>5.9679262260390997E-2</v>
      </c>
      <c r="CA29" s="552">
        <v>8.3595813203572789E-2</v>
      </c>
      <c r="CB29" s="552">
        <v>6.7757432095233217E-2</v>
      </c>
      <c r="CC29" s="42">
        <v>0.18000782341807309</v>
      </c>
      <c r="CD29" s="42">
        <v>0.19107849900497453</v>
      </c>
      <c r="CE29" s="42">
        <v>0.20738597854084384</v>
      </c>
      <c r="CF29" s="42">
        <v>0.14666559596290152</v>
      </c>
      <c r="CG29" s="42">
        <v>0.1368315701593894</v>
      </c>
      <c r="CH29" s="42">
        <v>0.12973785801619364</v>
      </c>
      <c r="CI29" s="42">
        <v>9.5968639650136467E-2</v>
      </c>
      <c r="CJ29" s="42">
        <v>6.5225140645526203E-2</v>
      </c>
      <c r="CK29" s="42">
        <v>8.021683908615862E-2</v>
      </c>
      <c r="CL29" s="42">
        <v>6.0591430429066229E-2</v>
      </c>
      <c r="CM29" s="45">
        <v>5.0249889082202515E-2</v>
      </c>
      <c r="CN29" s="45">
        <v>4.6205969094908372E-2</v>
      </c>
      <c r="CO29" s="45">
        <v>6.4318218114476799E-2</v>
      </c>
      <c r="CP29" s="45">
        <v>7.2889450832582803E-2</v>
      </c>
      <c r="CQ29" s="45">
        <v>6.7170915256789865E-2</v>
      </c>
      <c r="CR29" s="45">
        <v>6.6436768609518859E-2</v>
      </c>
      <c r="CS29" s="45">
        <v>5.6215233172856705E-2</v>
      </c>
      <c r="CT29" s="45">
        <v>3.4503464976487708E-2</v>
      </c>
      <c r="CU29" s="45">
        <v>3.1661001542191203E-2</v>
      </c>
      <c r="CV29" s="45">
        <v>5.3224932951694282E-2</v>
      </c>
      <c r="CW29" s="45">
        <v>7.8806980095448731E-2</v>
      </c>
      <c r="CX29" s="45">
        <v>4.6521354951614802E-2</v>
      </c>
      <c r="CY29" s="43">
        <v>4.7182919912303278E-2</v>
      </c>
      <c r="CZ29" s="42">
        <v>4.6768395463999912E-2</v>
      </c>
      <c r="DA29" s="42">
        <v>4.7798784389999627E-2</v>
      </c>
      <c r="DB29" s="42">
        <v>3.648892256099967E-2</v>
      </c>
      <c r="DC29" s="42">
        <v>3.648892256099967E-2</v>
      </c>
      <c r="DD29" s="42">
        <v>3.648892256099967E-2</v>
      </c>
      <c r="DE29" s="42">
        <v>3.648892256099967E-2</v>
      </c>
      <c r="DF29" s="42">
        <v>3.648892256099967E-2</v>
      </c>
      <c r="DG29" s="232">
        <v>3.648892256099967E-2</v>
      </c>
      <c r="DH29" s="232">
        <v>3.648892256099967E-2</v>
      </c>
      <c r="DI29" s="232">
        <v>3.648892256099967E-2</v>
      </c>
    </row>
    <row r="30" spans="1:113" outlineLevel="1">
      <c r="A30" s="1" t="s">
        <v>704</v>
      </c>
      <c r="B30" s="19" t="s">
        <v>219</v>
      </c>
      <c r="C30" s="551">
        <v>2.8848707276659225E-2</v>
      </c>
      <c r="D30" s="551">
        <v>-6.7573482509354355E-3</v>
      </c>
      <c r="E30" s="551">
        <v>2.4647756348343153E-2</v>
      </c>
      <c r="F30" s="551">
        <v>2.604671155193472E-2</v>
      </c>
      <c r="G30" s="551">
        <v>3.7409650741295097E-2</v>
      </c>
      <c r="H30" s="551">
        <v>5.0337151067620489E-2</v>
      </c>
      <c r="I30" s="551">
        <v>3.3849784455241672E-2</v>
      </c>
      <c r="J30" s="551">
        <v>4.485124932588036E-2</v>
      </c>
      <c r="K30" s="551">
        <v>6.7485229363830834E-2</v>
      </c>
      <c r="L30" s="551">
        <v>7.9700609485275908E-2</v>
      </c>
      <c r="M30" s="183">
        <v>8.1740383097796757E-2</v>
      </c>
      <c r="N30" s="183">
        <v>7.3066355064486999E-2</v>
      </c>
      <c r="O30" s="183">
        <v>0.11203624599402273</v>
      </c>
      <c r="P30" s="183">
        <v>0.11578577972608395</v>
      </c>
      <c r="Q30" s="183">
        <v>4.6778826140088103E-2</v>
      </c>
      <c r="R30" s="183">
        <v>4.0711930827377563E-2</v>
      </c>
      <c r="S30" s="183">
        <v>-2.7878010615965731E-2</v>
      </c>
      <c r="T30" s="183">
        <v>-3.8872998852844898E-2</v>
      </c>
      <c r="U30" s="183">
        <v>-2.6337333560888521E-3</v>
      </c>
      <c r="V30" s="183">
        <v>-1.894839527518366E-2</v>
      </c>
      <c r="W30" s="183">
        <v>-7.0141687741721581E-3</v>
      </c>
      <c r="X30" s="183">
        <v>1.6823654780978803E-2</v>
      </c>
      <c r="Y30" s="183">
        <v>2.7100004996306826E-2</v>
      </c>
      <c r="Z30" s="183">
        <v>5.1512100466302169E-3</v>
      </c>
      <c r="AA30" s="183">
        <v>7.39240506376726E-3</v>
      </c>
      <c r="AB30" s="44">
        <v>8.5914568104694666E-3</v>
      </c>
      <c r="AC30" s="44">
        <v>2.578363964570185E-2</v>
      </c>
      <c r="AD30" s="44">
        <v>2.0307829065673966E-2</v>
      </c>
      <c r="AE30" s="44">
        <v>2.4168475066797424E-2</v>
      </c>
      <c r="AF30" s="44">
        <v>3.9404463567980885E-2</v>
      </c>
      <c r="AG30" s="44">
        <v>2.613759174718977E-2</v>
      </c>
      <c r="AH30" s="44">
        <v>2.8708721024538697E-2</v>
      </c>
      <c r="AI30" s="44">
        <v>1.2522744238424588E-2</v>
      </c>
      <c r="AJ30" s="44">
        <v>1.8246289621810741E-2</v>
      </c>
      <c r="AK30" s="44">
        <v>1.2821991935823673E-2</v>
      </c>
      <c r="AL30" s="44">
        <v>3.4509009422098114E-2</v>
      </c>
      <c r="AM30" s="44">
        <v>5.6147379984112789E-3</v>
      </c>
      <c r="AN30" s="44">
        <v>1.304339365425089E-2</v>
      </c>
      <c r="AO30" s="44">
        <v>1.7422902892012537E-2</v>
      </c>
      <c r="AP30" s="44">
        <v>-1.4374125489689416E-2</v>
      </c>
      <c r="AQ30" s="44">
        <v>2.2391836727059911E-2</v>
      </c>
      <c r="AR30" s="44">
        <v>5.2685437167809379E-2</v>
      </c>
      <c r="AS30" s="44">
        <v>6.2724302284956845E-2</v>
      </c>
      <c r="AT30" s="44">
        <v>5.0445001051820038E-2</v>
      </c>
      <c r="AU30" s="44">
        <v>2.9129106110899805E-2</v>
      </c>
      <c r="AV30" s="44">
        <v>3.4348916406252039E-2</v>
      </c>
      <c r="AW30" s="498">
        <v>4.115889180063137E-2</v>
      </c>
      <c r="AX30" s="41">
        <v>2.2120999999999835E-2</v>
      </c>
      <c r="AY30" s="41">
        <v>2.2120999999999835E-2</v>
      </c>
      <c r="AZ30" s="41">
        <v>2.2120999999999835E-2</v>
      </c>
      <c r="BA30" s="41">
        <v>2.2120999999999835E-2</v>
      </c>
      <c r="BB30" s="41">
        <v>2.2120999999999835E-2</v>
      </c>
      <c r="BC30" s="41">
        <v>2.2120999999999835E-2</v>
      </c>
      <c r="BD30" s="41">
        <v>2.2120999999999835E-2</v>
      </c>
      <c r="BE30" s="41">
        <v>2.2120999999999835E-2</v>
      </c>
      <c r="BF30" s="41">
        <v>2.2120999999999835E-2</v>
      </c>
      <c r="BG30" s="41">
        <v>2.2120999999999835E-2</v>
      </c>
      <c r="BH30" s="41">
        <v>2.2120999999999835E-2</v>
      </c>
      <c r="BI30" s="41">
        <v>2.2120999999999835E-2</v>
      </c>
      <c r="BJ30" s="41">
        <v>2.2120999999999835E-2</v>
      </c>
      <c r="BK30" s="41">
        <v>2.2120999999999835E-2</v>
      </c>
      <c r="BL30" s="41">
        <v>2.2120999999999835E-2</v>
      </c>
      <c r="BM30" s="41">
        <v>2.2120999999999835E-2</v>
      </c>
      <c r="BN30" s="41">
        <v>2.2120999999999835E-2</v>
      </c>
      <c r="BO30" s="41">
        <v>2.2120999999999835E-2</v>
      </c>
      <c r="BP30" s="41">
        <v>2.2120999999999835E-2</v>
      </c>
      <c r="BQ30" s="41">
        <v>2.2120999999999835E-2</v>
      </c>
      <c r="BR30" s="511"/>
      <c r="BS30" s="552">
        <v>-2.9934016173740807E-2</v>
      </c>
      <c r="BT30" s="552">
        <v>-6.9496516280844745E-3</v>
      </c>
      <c r="BU30" s="552">
        <v>4.292641271185893E-3</v>
      </c>
      <c r="BV30" s="552">
        <v>3.603037535437692E-2</v>
      </c>
      <c r="BW30" s="552">
        <v>6.654933778967731E-2</v>
      </c>
      <c r="BX30" s="552">
        <v>4.6698229270895952E-2</v>
      </c>
      <c r="BY30" s="552">
        <v>3.5178018940196898E-2</v>
      </c>
      <c r="BZ30" s="552">
        <v>3.6070790351982573E-2</v>
      </c>
      <c r="CA30" s="552">
        <v>5.0298376484425811E-2</v>
      </c>
      <c r="CB30" s="552">
        <v>2.8848707276659225E-2</v>
      </c>
      <c r="CC30" s="42">
        <v>1.772385462415782E-2</v>
      </c>
      <c r="CD30" s="42">
        <v>6.4430760675346921E-2</v>
      </c>
      <c r="CE30" s="42">
        <v>8.5890837236592077E-2</v>
      </c>
      <c r="CF30" s="42">
        <v>0.11536327553772252</v>
      </c>
      <c r="CG30" s="42">
        <v>0.16795575093552695</v>
      </c>
      <c r="CH30" s="42">
        <v>0.19328868118840115</v>
      </c>
      <c r="CI30" s="42">
        <v>0.16798092872547299</v>
      </c>
      <c r="CJ30" s="42">
        <v>1.16989525716098E-2</v>
      </c>
      <c r="CK30" s="42">
        <v>-4.1404351095203795E-2</v>
      </c>
      <c r="CL30" s="42">
        <v>-2.5829656806895973E-2</v>
      </c>
      <c r="CM30" s="45">
        <v>4.4379580905906213E-2</v>
      </c>
      <c r="CN30" s="45">
        <v>1.2581694941630639E-2</v>
      </c>
      <c r="CO30" s="45">
        <v>3.4596615482604065E-2</v>
      </c>
      <c r="CP30" s="45">
        <v>4.4967113392905933E-2</v>
      </c>
      <c r="CQ30" s="45">
        <v>6.6571993096927518E-2</v>
      </c>
      <c r="CR30" s="45">
        <v>4.1590977233765924E-2</v>
      </c>
      <c r="CS30" s="45">
        <v>3.1302235336023942E-2</v>
      </c>
      <c r="CT30" s="45">
        <v>4.0317506466999165E-2</v>
      </c>
      <c r="CU30" s="45">
        <v>3.0693550327283825E-2</v>
      </c>
      <c r="CV30" s="45">
        <v>7.6958481663111922E-3</v>
      </c>
      <c r="CW30" s="45">
        <v>0.11871439673969508</v>
      </c>
      <c r="CX30" s="45">
        <v>8.104352495112277E-2</v>
      </c>
      <c r="CY30" s="43">
        <v>7.6921571540717215E-2</v>
      </c>
      <c r="CZ30" s="42">
        <v>4.4731338640999763E-2</v>
      </c>
      <c r="DA30" s="42">
        <v>4.4731338640999763E-2</v>
      </c>
      <c r="DB30" s="42">
        <v>4.4731338640999763E-2</v>
      </c>
      <c r="DC30" s="42">
        <v>4.4731338640999763E-2</v>
      </c>
      <c r="DD30" s="42">
        <v>4.4731338640999763E-2</v>
      </c>
      <c r="DE30" s="42">
        <v>4.4731338640999763E-2</v>
      </c>
      <c r="DF30" s="42">
        <v>4.4731338640999763E-2</v>
      </c>
      <c r="DG30" s="232">
        <v>4.4731338640999763E-2</v>
      </c>
      <c r="DH30" s="232">
        <v>4.4731338640999763E-2</v>
      </c>
      <c r="DI30" s="232">
        <v>4.4731338640999763E-2</v>
      </c>
    </row>
    <row r="31" spans="1:113" outlineLevel="1">
      <c r="A31" s="1" t="s">
        <v>842</v>
      </c>
      <c r="B31" s="19" t="s">
        <v>220</v>
      </c>
      <c r="C31" s="551">
        <v>4.6695950713138146E-2</v>
      </c>
      <c r="D31" s="551">
        <v>3.6784674925972816E-2</v>
      </c>
      <c r="E31" s="551">
        <v>5.4100759568874057E-2</v>
      </c>
      <c r="F31" s="551">
        <v>4.1117964537583651E-2</v>
      </c>
      <c r="G31" s="551">
        <v>7.9213828245416229E-2</v>
      </c>
      <c r="H31" s="551">
        <v>6.2284786709504214E-2</v>
      </c>
      <c r="I31" s="551">
        <v>5.1705284123634954E-2</v>
      </c>
      <c r="J31" s="551">
        <v>7.6671753676993415E-2</v>
      </c>
      <c r="K31" s="551">
        <v>5.3811404842640798E-2</v>
      </c>
      <c r="L31" s="551">
        <v>4.3064796261836014E-2</v>
      </c>
      <c r="M31" s="183">
        <v>5.2000803740172685E-2</v>
      </c>
      <c r="N31" s="183">
        <v>5.9305626758576979E-2</v>
      </c>
      <c r="O31" s="183">
        <v>9.6110843027653381E-2</v>
      </c>
      <c r="P31" s="183">
        <v>3.7006191122750609E-2</v>
      </c>
      <c r="Q31" s="183">
        <v>-3.7742020953445143E-3</v>
      </c>
      <c r="R31" s="183">
        <v>-4.6825358230539911E-2</v>
      </c>
      <c r="S31" s="183">
        <v>-2.5049335792521998E-2</v>
      </c>
      <c r="T31" s="183">
        <v>2.3266351380115236E-2</v>
      </c>
      <c r="U31" s="183">
        <v>6.2604516434301427E-3</v>
      </c>
      <c r="V31" s="183">
        <v>6.3312680672082955E-3</v>
      </c>
      <c r="W31" s="183">
        <v>1.9998561092360312E-4</v>
      </c>
      <c r="X31" s="183">
        <v>-9.5284706254600282E-3</v>
      </c>
      <c r="Y31" s="183">
        <v>-2.2565634646147803E-3</v>
      </c>
      <c r="Z31" s="183">
        <v>-1.0542466174988663E-3</v>
      </c>
      <c r="AA31" s="183">
        <v>3.7274362309642761E-3</v>
      </c>
      <c r="AB31" s="44">
        <v>2.9928916809913719E-3</v>
      </c>
      <c r="AC31" s="44">
        <v>4.1655559092690364E-3</v>
      </c>
      <c r="AD31" s="44">
        <v>6.6627628712376818E-3</v>
      </c>
      <c r="AE31" s="44">
        <v>2.2993850816535044E-3</v>
      </c>
      <c r="AF31" s="44">
        <v>-2.4627898605361631E-3</v>
      </c>
      <c r="AG31" s="44">
        <v>-3.8556148581142535E-3</v>
      </c>
      <c r="AH31" s="44">
        <v>-4.9726292882306122E-3</v>
      </c>
      <c r="AI31" s="44">
        <v>-4.562470678783348E-3</v>
      </c>
      <c r="AJ31" s="44">
        <v>-7.6027671048416456E-3</v>
      </c>
      <c r="AK31" s="44">
        <v>-5.5490101329459529E-3</v>
      </c>
      <c r="AL31" s="44">
        <v>-1.6127339570107146E-2</v>
      </c>
      <c r="AM31" s="44">
        <v>-1.9172046466307102E-2</v>
      </c>
      <c r="AN31" s="44">
        <v>-3.0688888812297921E-2</v>
      </c>
      <c r="AO31" s="44">
        <v>-8.0435714504830558E-2</v>
      </c>
      <c r="AP31" s="44">
        <v>-4.7445077897241728E-2</v>
      </c>
      <c r="AQ31" s="44">
        <v>-1.3772662231135269E-2</v>
      </c>
      <c r="AR31" s="44">
        <v>-2.3413057354847222E-2</v>
      </c>
      <c r="AS31" s="44">
        <v>-3.7847208285164413E-3</v>
      </c>
      <c r="AT31" s="44">
        <v>-9.3885642349911258E-4</v>
      </c>
      <c r="AU31" s="44">
        <v>3.7049484512785558E-3</v>
      </c>
      <c r="AV31" s="44">
        <v>1.3674072293558437E-2</v>
      </c>
      <c r="AW31" s="498">
        <v>1.4219956107528908E-2</v>
      </c>
      <c r="AX31" s="41">
        <v>1.0024999999999729E-2</v>
      </c>
      <c r="AY31" s="41">
        <v>1.0024999999999729E-2</v>
      </c>
      <c r="AZ31" s="41">
        <v>1.0024999999999729E-2</v>
      </c>
      <c r="BA31" s="41">
        <v>1.0024999999999729E-2</v>
      </c>
      <c r="BB31" s="41">
        <v>1.0024999999999729E-2</v>
      </c>
      <c r="BC31" s="41">
        <v>1.0024999999999729E-2</v>
      </c>
      <c r="BD31" s="41">
        <v>1.0024999999999729E-2</v>
      </c>
      <c r="BE31" s="41">
        <v>1.0024999999999729E-2</v>
      </c>
      <c r="BF31" s="41">
        <v>1.0024999999999729E-2</v>
      </c>
      <c r="BG31" s="41">
        <v>1.0024999999999729E-2</v>
      </c>
      <c r="BH31" s="41">
        <v>1.0024999999999729E-2</v>
      </c>
      <c r="BI31" s="41">
        <v>1.0024999999999729E-2</v>
      </c>
      <c r="BJ31" s="41">
        <v>1.0024999999999729E-2</v>
      </c>
      <c r="BK31" s="41">
        <v>1.0024999999999729E-2</v>
      </c>
      <c r="BL31" s="41">
        <v>1.0024999999999729E-2</v>
      </c>
      <c r="BM31" s="41">
        <v>1.0024999999999729E-2</v>
      </c>
      <c r="BN31" s="41">
        <v>1.0024999999999729E-2</v>
      </c>
      <c r="BO31" s="41">
        <v>1.0024999999999729E-2</v>
      </c>
      <c r="BP31" s="41">
        <v>1.0024999999999729E-2</v>
      </c>
      <c r="BQ31" s="41">
        <v>1.0024999999999729E-2</v>
      </c>
      <c r="BR31" s="511"/>
      <c r="BS31" s="552">
        <v>-1.9704963909994877E-2</v>
      </c>
      <c r="BT31" s="552">
        <v>-6.9601219734476416E-3</v>
      </c>
      <c r="BU31" s="552">
        <v>2.5624390445004419E-2</v>
      </c>
      <c r="BV31" s="552">
        <v>5.9376573165016877E-2</v>
      </c>
      <c r="BW31" s="552">
        <v>6.0162479889846132E-2</v>
      </c>
      <c r="BX31" s="552">
        <v>3.3709447215493293E-2</v>
      </c>
      <c r="BY31" s="552">
        <v>4.8438750078389603E-2</v>
      </c>
      <c r="BZ31" s="552">
        <v>8.3200149704405715E-2</v>
      </c>
      <c r="CA31" s="552">
        <v>8.0512325883337788E-2</v>
      </c>
      <c r="CB31" s="552">
        <v>4.6695950713138146E-2</v>
      </c>
      <c r="CC31" s="42">
        <v>9.2875513348836147E-2</v>
      </c>
      <c r="CD31" s="42">
        <v>0.12358890416368107</v>
      </c>
      <c r="CE31" s="42">
        <v>0.11721052342653415</v>
      </c>
      <c r="CF31" s="42">
        <v>0.13460897329674215</v>
      </c>
      <c r="CG31" s="42">
        <v>9.7305004020530994E-2</v>
      </c>
      <c r="CH31" s="42">
        <v>0.16111638357028046</v>
      </c>
      <c r="CI31" s="42">
        <v>3.3092320183329971E-2</v>
      </c>
      <c r="CJ31" s="42">
        <v>-7.0701749901139976E-2</v>
      </c>
      <c r="CK31" s="42">
        <v>2.9672460891279728E-2</v>
      </c>
      <c r="CL31" s="42">
        <v>6.5325198406442908E-3</v>
      </c>
      <c r="CM31" s="45">
        <v>-1.1763532491387729E-2</v>
      </c>
      <c r="CN31" s="45">
        <v>2.6692599764268632E-3</v>
      </c>
      <c r="CO31" s="45">
        <v>7.1709146478879937E-3</v>
      </c>
      <c r="CP31" s="45">
        <v>8.9774682104399872E-3</v>
      </c>
      <c r="CQ31" s="45">
        <v>-6.3089091494716865E-3</v>
      </c>
      <c r="CR31" s="45">
        <v>-9.5124124916899921E-3</v>
      </c>
      <c r="CS31" s="45">
        <v>-1.3109589406084421E-2</v>
      </c>
      <c r="CT31" s="45">
        <v>-3.4990191932798287E-2</v>
      </c>
      <c r="CU31" s="45">
        <v>-0.108656120618152</v>
      </c>
      <c r="CV31" s="45">
        <v>-6.056429509596839E-2</v>
      </c>
      <c r="CW31" s="45">
        <v>-2.7109166297533571E-2</v>
      </c>
      <c r="CX31" s="45">
        <v>2.7626136131271295E-3</v>
      </c>
      <c r="CY31" s="43">
        <v>2.8088473108912826E-2</v>
      </c>
      <c r="CZ31" s="42">
        <v>2.0150500624999346E-2</v>
      </c>
      <c r="DA31" s="42">
        <v>2.0150500624999346E-2</v>
      </c>
      <c r="DB31" s="42">
        <v>2.0150500624999346E-2</v>
      </c>
      <c r="DC31" s="42">
        <v>2.0150500624999346E-2</v>
      </c>
      <c r="DD31" s="42">
        <v>2.0150500624999346E-2</v>
      </c>
      <c r="DE31" s="42">
        <v>2.0150500624999346E-2</v>
      </c>
      <c r="DF31" s="42">
        <v>2.0150500624999346E-2</v>
      </c>
      <c r="DG31" s="232">
        <v>2.0150500624999346E-2</v>
      </c>
      <c r="DH31" s="232">
        <v>2.0150500624999346E-2</v>
      </c>
      <c r="DI31" s="232">
        <v>2.0150500624999346E-2</v>
      </c>
    </row>
    <row r="32" spans="1:113" outlineLevel="1">
      <c r="A32" s="1" t="s">
        <v>843</v>
      </c>
      <c r="B32" s="19" t="s">
        <v>221</v>
      </c>
      <c r="C32" s="551">
        <v>3.6253213768740356E-2</v>
      </c>
      <c r="D32" s="551">
        <v>3.4732183873902978E-2</v>
      </c>
      <c r="E32" s="551">
        <v>4.5713232252869718E-2</v>
      </c>
      <c r="F32" s="551">
        <v>4.8847495243785621E-2</v>
      </c>
      <c r="G32" s="551">
        <v>7.088583170284446E-2</v>
      </c>
      <c r="H32" s="551">
        <v>8.6159386260891355E-2</v>
      </c>
      <c r="I32" s="551">
        <v>7.9560152168328901E-2</v>
      </c>
      <c r="J32" s="551">
        <v>7.5205136463744049E-2</v>
      </c>
      <c r="K32" s="551">
        <v>7.8782009304269929E-2</v>
      </c>
      <c r="L32" s="551">
        <v>7.6466863840616961E-2</v>
      </c>
      <c r="M32" s="183">
        <v>6.4331556205785567E-2</v>
      </c>
      <c r="N32" s="183">
        <v>6.5701518049165131E-2</v>
      </c>
      <c r="O32" s="183">
        <v>7.3440403698248335E-2</v>
      </c>
      <c r="P32" s="183">
        <v>5.1097870538947987E-2</v>
      </c>
      <c r="Q32" s="183">
        <v>3.2879571121567919E-2</v>
      </c>
      <c r="R32" s="183">
        <v>1.1039280138254837E-2</v>
      </c>
      <c r="S32" s="183">
        <v>1.9053497510005846E-2</v>
      </c>
      <c r="T32" s="183">
        <v>1.5889661290948043E-2</v>
      </c>
      <c r="U32" s="183">
        <v>1.283679952221628E-2</v>
      </c>
      <c r="V32" s="183">
        <v>4.8576515347127369E-3</v>
      </c>
      <c r="W32" s="183">
        <v>9.54892090473769E-3</v>
      </c>
      <c r="X32" s="183">
        <v>2.2493853265190822E-3</v>
      </c>
      <c r="Y32" s="183">
        <v>1.6157029421018487E-2</v>
      </c>
      <c r="Z32" s="183">
        <v>2.0068196188298026E-2</v>
      </c>
      <c r="AA32" s="183">
        <v>3.0903335378405838E-2</v>
      </c>
      <c r="AB32" s="44">
        <v>2.6821823208806661E-2</v>
      </c>
      <c r="AC32" s="44">
        <v>2.5567302477871756E-2</v>
      </c>
      <c r="AD32" s="44">
        <v>1.9902008232472124E-2</v>
      </c>
      <c r="AE32" s="44">
        <v>3.3030255812164233E-2</v>
      </c>
      <c r="AF32" s="44">
        <v>3.9589437518197768E-2</v>
      </c>
      <c r="AG32" s="44">
        <v>4.6181190518283177E-2</v>
      </c>
      <c r="AH32" s="44">
        <v>4.2649122754550017E-2</v>
      </c>
      <c r="AI32" s="44">
        <v>3.12856404407722E-2</v>
      </c>
      <c r="AJ32" s="44">
        <v>2.6984800733129255E-2</v>
      </c>
      <c r="AK32" s="44">
        <v>3.0703416674021655E-2</v>
      </c>
      <c r="AL32" s="44">
        <v>2.9057210033953007E-2</v>
      </c>
      <c r="AM32" s="44">
        <v>3.3181408659850753E-2</v>
      </c>
      <c r="AN32" s="44">
        <v>3.5241144683099801E-2</v>
      </c>
      <c r="AO32" s="44">
        <v>2.5992154698353032E-2</v>
      </c>
      <c r="AP32" s="44">
        <v>5.562717491595337E-2</v>
      </c>
      <c r="AQ32" s="44">
        <v>6.0200313323740762E-2</v>
      </c>
      <c r="AR32" s="44">
        <v>4.2185603577249209E-2</v>
      </c>
      <c r="AS32" s="44">
        <v>2.5849783689566808E-2</v>
      </c>
      <c r="AT32" s="44">
        <v>1.8868725618259807E-2</v>
      </c>
      <c r="AU32" s="44">
        <v>1.2555521291722993E-2</v>
      </c>
      <c r="AV32" s="44">
        <v>1.6240569887267409E-2</v>
      </c>
      <c r="AW32" s="498">
        <v>1.5507578205110173E-2</v>
      </c>
      <c r="AX32" s="41">
        <v>2.0100000000000007E-2</v>
      </c>
      <c r="AY32" s="41">
        <v>2.0100000000000007E-2</v>
      </c>
      <c r="AZ32" s="41">
        <v>2.0100000000000007E-2</v>
      </c>
      <c r="BA32" s="41">
        <v>2.0100000000000007E-2</v>
      </c>
      <c r="BB32" s="41">
        <v>2.0100000000000007E-2</v>
      </c>
      <c r="BC32" s="41">
        <v>2.0100000000000007E-2</v>
      </c>
      <c r="BD32" s="41">
        <v>2.0100000000000007E-2</v>
      </c>
      <c r="BE32" s="41">
        <v>2.0100000000000007E-2</v>
      </c>
      <c r="BF32" s="41">
        <v>2.0100000000000007E-2</v>
      </c>
      <c r="BG32" s="41">
        <v>2.0100000000000007E-2</v>
      </c>
      <c r="BH32" s="41">
        <v>2.0100000000000007E-2</v>
      </c>
      <c r="BI32" s="41">
        <v>2.0100000000000007E-2</v>
      </c>
      <c r="BJ32" s="41">
        <v>2.0100000000000007E-2</v>
      </c>
      <c r="BK32" s="41">
        <v>2.0100000000000007E-2</v>
      </c>
      <c r="BL32" s="41">
        <v>2.0100000000000007E-2</v>
      </c>
      <c r="BM32" s="41">
        <v>2.0100000000000007E-2</v>
      </c>
      <c r="BN32" s="41">
        <v>2.0100000000000007E-2</v>
      </c>
      <c r="BO32" s="41">
        <v>2.0100000000000007E-2</v>
      </c>
      <c r="BP32" s="41">
        <v>2.0100000000000007E-2</v>
      </c>
      <c r="BQ32" s="41">
        <v>2.0100000000000007E-2</v>
      </c>
      <c r="BR32" s="511"/>
      <c r="BS32" s="552">
        <v>0</v>
      </c>
      <c r="BT32" s="552">
        <v>0</v>
      </c>
      <c r="BU32" s="552">
        <v>0</v>
      </c>
      <c r="BV32" s="552">
        <v>0</v>
      </c>
      <c r="BW32" s="552">
        <v>0</v>
      </c>
      <c r="BX32" s="552">
        <v>0</v>
      </c>
      <c r="BY32" s="552">
        <v>0</v>
      </c>
      <c r="BZ32" s="552">
        <v>5.6033930391728548E-2</v>
      </c>
      <c r="CA32" s="552">
        <v>3.2335920068792268E-2</v>
      </c>
      <c r="CB32" s="552">
        <v>3.6253213768740356E-2</v>
      </c>
      <c r="CC32" s="42">
        <v>8.2033136514849891E-2</v>
      </c>
      <c r="CD32" s="42">
        <v>0.12319592227358656</v>
      </c>
      <c r="CE32" s="42">
        <v>0.17257439231086669</v>
      </c>
      <c r="CF32" s="42">
        <v>0.15991195752862963</v>
      </c>
      <c r="CG32" s="42">
        <v>0.14571765239544532</v>
      </c>
      <c r="CH32" s="42">
        <v>0.1439670677565319</v>
      </c>
      <c r="CI32" s="42">
        <v>8.5657517729061938E-2</v>
      </c>
      <c r="CJ32" s="42">
        <v>3.03031145448871E-2</v>
      </c>
      <c r="CK32" s="42">
        <v>2.8930433209632067E-2</v>
      </c>
      <c r="CL32" s="42">
        <v>1.4452957769738095E-2</v>
      </c>
      <c r="CM32" s="45">
        <v>1.8442758132437342E-2</v>
      </c>
      <c r="CN32" s="45">
        <v>5.1591705763950557E-2</v>
      </c>
      <c r="CO32" s="45">
        <v>5.3074887353665945E-2</v>
      </c>
      <c r="CP32" s="45">
        <v>5.3589632467730741E-2</v>
      </c>
      <c r="CQ32" s="45">
        <v>8.759891539302056E-2</v>
      </c>
      <c r="CR32" s="45">
        <v>7.5269068314935517E-2</v>
      </c>
      <c r="CS32" s="45">
        <v>5.8516742987925641E-2</v>
      </c>
      <c r="CT32" s="45">
        <v>6.3202777854455494E-2</v>
      </c>
      <c r="CU32" s="45">
        <v>6.2149292665802935E-2</v>
      </c>
      <c r="CV32" s="45">
        <v>0.11917626159894912</v>
      </c>
      <c r="CW32" s="45">
        <v>6.9125875994101804E-2</v>
      </c>
      <c r="CX32" s="45">
        <v>3.1661153596230562E-2</v>
      </c>
      <c r="CY32" s="43">
        <v>3.2000000000000028E-2</v>
      </c>
      <c r="CZ32" s="42">
        <v>4.0604010000000024E-2</v>
      </c>
      <c r="DA32" s="42">
        <v>4.0604010000000024E-2</v>
      </c>
      <c r="DB32" s="42">
        <v>4.0604010000000024E-2</v>
      </c>
      <c r="DC32" s="42">
        <v>4.0604010000000024E-2</v>
      </c>
      <c r="DD32" s="42">
        <v>4.0604010000000024E-2</v>
      </c>
      <c r="DE32" s="42">
        <v>4.0604010000000024E-2</v>
      </c>
      <c r="DF32" s="42">
        <v>4.0604010000000024E-2</v>
      </c>
      <c r="DG32" s="232">
        <v>4.0604010000000024E-2</v>
      </c>
      <c r="DH32" s="232">
        <v>4.0604010000000024E-2</v>
      </c>
      <c r="DI32" s="232">
        <v>4.0604010000000024E-2</v>
      </c>
    </row>
    <row r="33" spans="1:113" outlineLevel="1">
      <c r="A33" s="1" t="s">
        <v>844</v>
      </c>
      <c r="B33" s="19" t="s">
        <v>317</v>
      </c>
      <c r="C33" s="551">
        <v>5.5803667077607422E-3</v>
      </c>
      <c r="D33" s="551">
        <v>5.424546791860263E-2</v>
      </c>
      <c r="E33" s="551">
        <v>2.8187585867460285E-2</v>
      </c>
      <c r="F33" s="551">
        <v>4.5229266125974332E-2</v>
      </c>
      <c r="G33" s="551">
        <v>4.7824285407722655E-3</v>
      </c>
      <c r="H33" s="551">
        <v>2.6977448111301872E-2</v>
      </c>
      <c r="I33" s="551">
        <v>4.4284408863562996E-2</v>
      </c>
      <c r="J33" s="551">
        <v>6.0932209092807943E-2</v>
      </c>
      <c r="K33" s="551">
        <v>8.2209145975094669E-2</v>
      </c>
      <c r="L33" s="551">
        <v>5.8648991622143098E-2</v>
      </c>
      <c r="M33" s="183">
        <v>5.8133484326342133E-2</v>
      </c>
      <c r="N33" s="183">
        <v>8.440055735900899E-2</v>
      </c>
      <c r="O33" s="183">
        <v>7.4860980669670063E-2</v>
      </c>
      <c r="P33" s="183">
        <v>7.8878893350396106E-2</v>
      </c>
      <c r="Q33" s="183">
        <v>7.0074068661836852E-2</v>
      </c>
      <c r="R33" s="183">
        <v>6.5681391897284946E-2</v>
      </c>
      <c r="S33" s="183">
        <v>-2.1688022648650329E-2</v>
      </c>
      <c r="T33" s="183">
        <v>-1.3501559605736402E-2</v>
      </c>
      <c r="U33" s="183">
        <v>-1.1592591995913892E-2</v>
      </c>
      <c r="V33" s="183">
        <v>1.7150504620810247E-2</v>
      </c>
      <c r="W33" s="183">
        <v>-3.5347179068171419E-3</v>
      </c>
      <c r="X33" s="183">
        <v>5.0310503177659616E-2</v>
      </c>
      <c r="Y33" s="183">
        <v>1.411406579550234E-2</v>
      </c>
      <c r="Z33" s="183">
        <v>3.281662238760541E-2</v>
      </c>
      <c r="AA33" s="183">
        <v>5.2717554837284908E-3</v>
      </c>
      <c r="AB33" s="44">
        <v>2.4910140815163739E-2</v>
      </c>
      <c r="AC33" s="44">
        <v>7.8882341202435313E-4</v>
      </c>
      <c r="AD33" s="44">
        <v>3.2057578938026854E-2</v>
      </c>
      <c r="AE33" s="44">
        <v>4.2717703588154743E-2</v>
      </c>
      <c r="AF33" s="44">
        <v>3.1454193698389643E-2</v>
      </c>
      <c r="AG33" s="44">
        <v>2.1169987836859194E-2</v>
      </c>
      <c r="AH33" s="44">
        <v>2.3713850091723554E-2</v>
      </c>
      <c r="AI33" s="44">
        <v>1.742378148115642E-2</v>
      </c>
      <c r="AJ33" s="44">
        <v>1.8748843644714741E-2</v>
      </c>
      <c r="AK33" s="44">
        <v>3.1015367842350594E-2</v>
      </c>
      <c r="AL33" s="44">
        <v>1.4075229637550368E-2</v>
      </c>
      <c r="AM33" s="44">
        <v>2.5481063615860888E-2</v>
      </c>
      <c r="AN33" s="44">
        <v>1.1903170713716493E-2</v>
      </c>
      <c r="AO33" s="44">
        <v>2.8148017672069425E-3</v>
      </c>
      <c r="AP33" s="44">
        <v>-2.4231880853818222E-2</v>
      </c>
      <c r="AQ33" s="44">
        <v>-1.4041650374762682E-2</v>
      </c>
      <c r="AR33" s="44">
        <v>8.7141545418776278E-3</v>
      </c>
      <c r="AS33" s="44">
        <v>2.6950049409617982E-2</v>
      </c>
      <c r="AT33" s="44">
        <v>1.1372408277737556E-2</v>
      </c>
      <c r="AU33" s="44">
        <v>4.5414864807065136E-3</v>
      </c>
      <c r="AV33" s="44">
        <v>1.0151414430131345E-2</v>
      </c>
      <c r="AW33" s="498">
        <v>3.4073620407231164E-3</v>
      </c>
      <c r="AX33" s="41">
        <v>-9.9749999999999561E-3</v>
      </c>
      <c r="AY33" s="41">
        <v>4.9999999999998934E-3</v>
      </c>
      <c r="AZ33" s="41">
        <v>1.5050000000000008E-2</v>
      </c>
      <c r="BA33" s="41">
        <v>2.0100000000000007E-2</v>
      </c>
      <c r="BB33" s="41">
        <v>2.0100000000000007E-2</v>
      </c>
      <c r="BC33" s="41">
        <v>2.0100000000000007E-2</v>
      </c>
      <c r="BD33" s="41">
        <v>2.0100000000000007E-2</v>
      </c>
      <c r="BE33" s="41">
        <v>2.0100000000000007E-2</v>
      </c>
      <c r="BF33" s="41">
        <v>2.0100000000000007E-2</v>
      </c>
      <c r="BG33" s="41">
        <v>2.0100000000000007E-2</v>
      </c>
      <c r="BH33" s="41">
        <v>2.0100000000000007E-2</v>
      </c>
      <c r="BI33" s="41">
        <v>2.0100000000000007E-2</v>
      </c>
      <c r="BJ33" s="41">
        <v>2.0100000000000007E-2</v>
      </c>
      <c r="BK33" s="41">
        <v>2.0100000000000007E-2</v>
      </c>
      <c r="BL33" s="41">
        <v>2.0100000000000007E-2</v>
      </c>
      <c r="BM33" s="41">
        <v>2.0100000000000007E-2</v>
      </c>
      <c r="BN33" s="41">
        <v>2.0100000000000007E-2</v>
      </c>
      <c r="BO33" s="41">
        <v>2.0100000000000007E-2</v>
      </c>
      <c r="BP33" s="41">
        <v>2.0100000000000007E-2</v>
      </c>
      <c r="BQ33" s="41">
        <v>2.0100000000000007E-2</v>
      </c>
      <c r="BR33" s="511"/>
      <c r="BS33" s="552">
        <v>0</v>
      </c>
      <c r="BT33" s="552">
        <v>0</v>
      </c>
      <c r="BU33" s="552">
        <v>0</v>
      </c>
      <c r="BV33" s="552">
        <v>0</v>
      </c>
      <c r="BW33" s="552">
        <v>0</v>
      </c>
      <c r="BX33" s="552">
        <v>0</v>
      </c>
      <c r="BY33" s="552">
        <v>0</v>
      </c>
      <c r="BZ33" s="552">
        <v>3.208722595007063E-2</v>
      </c>
      <c r="CA33" s="552">
        <v>3.2721002715943914E-2</v>
      </c>
      <c r="CB33" s="552">
        <v>5.5803667077607422E-3</v>
      </c>
      <c r="CC33" s="42">
        <v>8.3962102570939168E-2</v>
      </c>
      <c r="CD33" s="42">
        <v>5.0228000399945572E-2</v>
      </c>
      <c r="CE33" s="42">
        <v>7.2456537317121317E-2</v>
      </c>
      <c r="CF33" s="42">
        <v>0.14815053993979821</v>
      </c>
      <c r="CG33" s="42">
        <v>0.12019194618370688</v>
      </c>
      <c r="CH33" s="42">
        <v>0.16557984652164115</v>
      </c>
      <c r="CI33" s="42">
        <v>0.15448032700083836</v>
      </c>
      <c r="CJ33" s="42">
        <v>4.2568869733571324E-2</v>
      </c>
      <c r="CK33" s="42">
        <v>-2.493763352983247E-2</v>
      </c>
      <c r="CL33" s="42">
        <v>1.3555164518199048E-2</v>
      </c>
      <c r="CM33" s="45">
        <v>6.513465472521629E-2</v>
      </c>
      <c r="CN33" s="45">
        <v>3.82613790803632E-2</v>
      </c>
      <c r="CO33" s="45">
        <v>2.5718613929459844E-2</v>
      </c>
      <c r="CP33" s="45">
        <v>7.6144708681010087E-2</v>
      </c>
      <c r="CQ33" s="45">
        <v>5.3290066433262062E-2</v>
      </c>
      <c r="CR33" s="45">
        <v>4.1550816514954958E-2</v>
      </c>
      <c r="CS33" s="45">
        <v>5.034571376932484E-2</v>
      </c>
      <c r="CT33" s="45">
        <v>3.9914945075213426E-2</v>
      </c>
      <c r="CU33" s="45">
        <v>1.4751477546883773E-2</v>
      </c>
      <c r="CV33" s="45">
        <v>-3.7933275629708718E-2</v>
      </c>
      <c r="CW33" s="45">
        <v>3.5899050846962322E-2</v>
      </c>
      <c r="CX33" s="45">
        <v>1.596554239689052E-2</v>
      </c>
      <c r="CY33" s="43">
        <v>1.3593366015043351E-2</v>
      </c>
      <c r="CZ33" s="42">
        <v>-5.0248750000000397E-3</v>
      </c>
      <c r="DA33" s="42">
        <v>3.5452505000000079E-2</v>
      </c>
      <c r="DB33" s="42">
        <v>4.0604010000000024E-2</v>
      </c>
      <c r="DC33" s="42">
        <v>4.0604010000000024E-2</v>
      </c>
      <c r="DD33" s="42">
        <v>4.0604010000000024E-2</v>
      </c>
      <c r="DE33" s="42">
        <v>4.0604010000000024E-2</v>
      </c>
      <c r="DF33" s="42">
        <v>4.0604010000000024E-2</v>
      </c>
      <c r="DG33" s="232">
        <v>4.0604010000000024E-2</v>
      </c>
      <c r="DH33" s="232">
        <v>4.0604010000000024E-2</v>
      </c>
      <c r="DI33" s="232">
        <v>4.0604010000000024E-2</v>
      </c>
    </row>
    <row r="34" spans="1:113" outlineLevel="1">
      <c r="A34" s="1" t="s">
        <v>845</v>
      </c>
      <c r="B34" s="19" t="s">
        <v>318</v>
      </c>
      <c r="C34" s="552"/>
      <c r="D34" s="552"/>
      <c r="E34" s="552"/>
      <c r="F34" s="552"/>
      <c r="G34" s="552"/>
      <c r="H34" s="552"/>
      <c r="I34" s="552"/>
      <c r="J34" s="552"/>
      <c r="K34" s="552"/>
      <c r="L34" s="552"/>
      <c r="M34" s="41"/>
      <c r="N34" s="41"/>
      <c r="O34" s="41"/>
      <c r="P34" s="41"/>
      <c r="Q34" s="41"/>
      <c r="R34" s="41"/>
      <c r="S34" s="41"/>
      <c r="T34" s="44"/>
      <c r="U34" s="41"/>
      <c r="V34" s="41"/>
      <c r="W34" s="41"/>
      <c r="X34" s="41"/>
      <c r="Y34" s="44"/>
      <c r="Z34" s="44"/>
      <c r="AA34" s="183"/>
      <c r="AB34" s="183"/>
      <c r="AC34" s="183">
        <v>2.9747245481270834E-2</v>
      </c>
      <c r="AD34" s="183">
        <v>2.7522029117570956E-2</v>
      </c>
      <c r="AE34" s="183">
        <v>3.4748084836879967E-2</v>
      </c>
      <c r="AF34" s="183">
        <v>3.7871573765132394E-2</v>
      </c>
      <c r="AG34" s="183">
        <v>3.8058068205004791E-2</v>
      </c>
      <c r="AH34" s="183">
        <v>3.7497911803259343E-2</v>
      </c>
      <c r="AI34" s="183">
        <v>3.2153779053022746E-2</v>
      </c>
      <c r="AJ34" s="183">
        <v>2.8201773529713758E-2</v>
      </c>
      <c r="AK34" s="183">
        <v>2.8367056533353363E-2</v>
      </c>
      <c r="AL34" s="183">
        <v>2.463847578188072E-2</v>
      </c>
      <c r="AM34" s="183">
        <v>2.3591021450461103E-2</v>
      </c>
      <c r="AN34" s="183">
        <v>2.5600265572434999E-2</v>
      </c>
      <c r="AO34" s="183">
        <v>2.072355902297851E-2</v>
      </c>
      <c r="AP34" s="183">
        <v>3.7594879202859643E-2</v>
      </c>
      <c r="AQ34" s="183">
        <v>4.6608387744021651E-2</v>
      </c>
      <c r="AR34" s="183">
        <v>4.0893221543862657E-2</v>
      </c>
      <c r="AS34" s="183">
        <v>3.1781235113721995E-2</v>
      </c>
      <c r="AT34" s="183">
        <v>2.2445403620227289E-2</v>
      </c>
      <c r="AU34" s="183">
        <v>1.6267444930730734E-2</v>
      </c>
      <c r="AV34" s="183">
        <v>1.880567531450783E-2</v>
      </c>
      <c r="AW34" s="182">
        <v>2.0389816908152558E-2</v>
      </c>
      <c r="AX34" s="184">
        <v>2.1600999999999981E-2</v>
      </c>
      <c r="AY34" s="184">
        <v>2.1615999999999969E-2</v>
      </c>
      <c r="AZ34" s="184">
        <v>2.4644999999999917E-2</v>
      </c>
      <c r="BA34" s="184">
        <v>1.9090499999999899E-2</v>
      </c>
      <c r="BB34" s="184">
        <v>1.9090499999999899E-2</v>
      </c>
      <c r="BC34" s="184">
        <v>1.9090499999999899E-2</v>
      </c>
      <c r="BD34" s="184">
        <v>1.9090499999999899E-2</v>
      </c>
      <c r="BE34" s="184">
        <v>1.9090499999999899E-2</v>
      </c>
      <c r="BF34" s="184">
        <v>1.9090499999999899E-2</v>
      </c>
      <c r="BG34" s="184">
        <v>1.9090499999999899E-2</v>
      </c>
      <c r="BH34" s="184">
        <v>1.9090499999999899E-2</v>
      </c>
      <c r="BI34" s="184">
        <v>1.9090499999999899E-2</v>
      </c>
      <c r="BJ34" s="184">
        <v>1.9090499999999899E-2</v>
      </c>
      <c r="BK34" s="184">
        <v>1.9090499999999899E-2</v>
      </c>
      <c r="BL34" s="184">
        <v>1.9090499999999899E-2</v>
      </c>
      <c r="BM34" s="184">
        <v>1.9090499999999899E-2</v>
      </c>
      <c r="BN34" s="184">
        <v>1.9090499999999899E-2</v>
      </c>
      <c r="BO34" s="184">
        <v>1.9090499999999899E-2</v>
      </c>
      <c r="BP34" s="184">
        <v>1.9090499999999899E-2</v>
      </c>
      <c r="BQ34" s="184">
        <v>1.9090499999999899E-2</v>
      </c>
      <c r="BR34" s="511"/>
      <c r="BS34" s="232"/>
      <c r="BT34" s="232"/>
      <c r="BU34" s="232"/>
      <c r="BV34" s="232"/>
      <c r="BW34" s="232"/>
      <c r="BX34" s="232"/>
      <c r="BY34" s="232"/>
      <c r="BZ34" s="232"/>
      <c r="CA34" s="232"/>
      <c r="CB34" s="232"/>
      <c r="CC34" s="42">
        <v>0</v>
      </c>
      <c r="CD34" s="42">
        <v>0</v>
      </c>
      <c r="CE34" s="42">
        <v>0</v>
      </c>
      <c r="CF34" s="42">
        <v>0</v>
      </c>
      <c r="CG34" s="42">
        <v>0</v>
      </c>
      <c r="CH34" s="42">
        <v>0</v>
      </c>
      <c r="CI34" s="42">
        <v>0</v>
      </c>
      <c r="CJ34" s="42">
        <v>0</v>
      </c>
      <c r="CK34" s="42">
        <v>0</v>
      </c>
      <c r="CL34" s="42">
        <v>0</v>
      </c>
      <c r="CM34" s="45">
        <v>0</v>
      </c>
      <c r="CN34" s="45">
        <v>0</v>
      </c>
      <c r="CO34" s="45">
        <v>2.9747245481270834E-2</v>
      </c>
      <c r="CP34" s="45">
        <v>6.3226451757111279E-2</v>
      </c>
      <c r="CQ34" s="45">
        <v>7.7370960907521269E-2</v>
      </c>
      <c r="CR34" s="45">
        <v>7.0857390427353506E-2</v>
      </c>
      <c r="CS34" s="45">
        <v>5.736883136712545E-2</v>
      </c>
      <c r="CT34" s="45">
        <v>4.8810744043018772E-2</v>
      </c>
      <c r="CU34" s="45">
        <v>4.6854353210007638E-2</v>
      </c>
      <c r="CV34" s="45">
        <v>8.5955503653958099E-2</v>
      </c>
      <c r="CW34" s="45">
        <v>7.3974093746027592E-2</v>
      </c>
      <c r="CX34" s="45">
        <v>3.9077977918298146E-2</v>
      </c>
      <c r="CY34" s="43">
        <v>3.9578936499157225E-2</v>
      </c>
      <c r="CZ34" s="42">
        <v>4.3683927215999896E-2</v>
      </c>
      <c r="DA34" s="42">
        <v>4.4205985372499867E-2</v>
      </c>
      <c r="DB34" s="42">
        <v>3.8545447190249771E-2</v>
      </c>
      <c r="DC34" s="42">
        <v>3.8545447190249771E-2</v>
      </c>
      <c r="DD34" s="42">
        <v>3.8545447190249771E-2</v>
      </c>
      <c r="DE34" s="42">
        <v>3.8545447190249771E-2</v>
      </c>
      <c r="DF34" s="42">
        <v>3.8545447190249771E-2</v>
      </c>
      <c r="DG34" s="232">
        <v>3.8545447190249771E-2</v>
      </c>
      <c r="DH34" s="232">
        <v>3.8545447190249771E-2</v>
      </c>
      <c r="DI34" s="232">
        <v>3.8545447190249771E-2</v>
      </c>
    </row>
    <row r="35" spans="1:113" outlineLevel="1">
      <c r="A35" s="1" t="s">
        <v>846</v>
      </c>
      <c r="B35" s="19" t="s">
        <v>319</v>
      </c>
      <c r="C35" s="552"/>
      <c r="D35" s="552"/>
      <c r="E35" s="552"/>
      <c r="F35" s="552"/>
      <c r="G35" s="552"/>
      <c r="H35" s="552"/>
      <c r="I35" s="552"/>
      <c r="J35" s="552"/>
      <c r="K35" s="552"/>
      <c r="L35" s="552"/>
      <c r="M35" s="41"/>
      <c r="N35" s="41"/>
      <c r="O35" s="41"/>
      <c r="P35" s="41"/>
      <c r="Q35" s="41"/>
      <c r="R35" s="41"/>
      <c r="S35" s="41"/>
      <c r="T35" s="44"/>
      <c r="U35" s="41"/>
      <c r="V35" s="41"/>
      <c r="W35" s="41"/>
      <c r="X35" s="41"/>
      <c r="Y35" s="44"/>
      <c r="Z35" s="44"/>
      <c r="AA35" s="183"/>
      <c r="AB35" s="183"/>
      <c r="AC35" s="183">
        <v>1.3286231528863102E-2</v>
      </c>
      <c r="AD35" s="183">
        <v>2.618270400185041E-2</v>
      </c>
      <c r="AE35" s="183">
        <v>3.3443089327476083E-2</v>
      </c>
      <c r="AF35" s="183">
        <v>3.5429328633185264E-2</v>
      </c>
      <c r="AG35" s="183">
        <v>2.3653789792024482E-2</v>
      </c>
      <c r="AH35" s="183">
        <v>2.6211285558131125E-2</v>
      </c>
      <c r="AI35" s="183">
        <v>1.4973262859790504E-2</v>
      </c>
      <c r="AJ35" s="183">
        <v>1.8497566633262741E-2</v>
      </c>
      <c r="AK35" s="183">
        <v>2.1918679889087134E-2</v>
      </c>
      <c r="AL35" s="183">
        <v>2.4292119529824241E-2</v>
      </c>
      <c r="AM35" s="183">
        <v>1.5547900807136084E-2</v>
      </c>
      <c r="AN35" s="183">
        <v>1.2473282183983692E-2</v>
      </c>
      <c r="AO35" s="183">
        <v>1.011885232960974E-2</v>
      </c>
      <c r="AP35" s="183">
        <v>-1.9303003171753819E-2</v>
      </c>
      <c r="AQ35" s="183">
        <v>4.1750931761486143E-3</v>
      </c>
      <c r="AR35" s="183">
        <v>3.0699795854843503E-2</v>
      </c>
      <c r="AS35" s="183">
        <v>4.4837175847287414E-2</v>
      </c>
      <c r="AT35" s="183">
        <v>3.0908704664778797E-2</v>
      </c>
      <c r="AU35" s="183">
        <v>1.6835296295803159E-2</v>
      </c>
      <c r="AV35" s="183">
        <v>2.2250165418191692E-2</v>
      </c>
      <c r="AW35" s="182">
        <v>2.2283126920677243E-2</v>
      </c>
      <c r="AX35" s="184">
        <v>6.0729999999999396E-3</v>
      </c>
      <c r="AY35" s="184">
        <v>1.3560499999999864E-2</v>
      </c>
      <c r="AZ35" s="184">
        <v>1.8585499999999922E-2</v>
      </c>
      <c r="BA35" s="184">
        <v>2.1110499999999921E-2</v>
      </c>
      <c r="BB35" s="184">
        <v>2.1110499999999921E-2</v>
      </c>
      <c r="BC35" s="184">
        <v>2.1110499999999921E-2</v>
      </c>
      <c r="BD35" s="184">
        <v>2.1110499999999921E-2</v>
      </c>
      <c r="BE35" s="184">
        <v>2.1110499999999921E-2</v>
      </c>
      <c r="BF35" s="184">
        <v>2.1110499999999921E-2</v>
      </c>
      <c r="BG35" s="184">
        <v>2.1110499999999921E-2</v>
      </c>
      <c r="BH35" s="184">
        <v>2.1110499999999921E-2</v>
      </c>
      <c r="BI35" s="184">
        <v>2.1110499999999921E-2</v>
      </c>
      <c r="BJ35" s="184">
        <v>2.1110499999999921E-2</v>
      </c>
      <c r="BK35" s="184">
        <v>2.1110499999999921E-2</v>
      </c>
      <c r="BL35" s="184">
        <v>2.1110499999999921E-2</v>
      </c>
      <c r="BM35" s="184">
        <v>2.1110499999999921E-2</v>
      </c>
      <c r="BN35" s="184">
        <v>2.1110499999999921E-2</v>
      </c>
      <c r="BO35" s="184">
        <v>2.1110499999999921E-2</v>
      </c>
      <c r="BP35" s="184">
        <v>2.1110499999999921E-2</v>
      </c>
      <c r="BQ35" s="184">
        <v>2.1110499999999921E-2</v>
      </c>
      <c r="BR35" s="511"/>
      <c r="BS35" s="232"/>
      <c r="BT35" s="232"/>
      <c r="BU35" s="232"/>
      <c r="BV35" s="232"/>
      <c r="BW35" s="232"/>
      <c r="BX35" s="232"/>
      <c r="BY35" s="232"/>
      <c r="BZ35" s="232"/>
      <c r="CA35" s="232"/>
      <c r="CB35" s="232"/>
      <c r="CC35" s="42">
        <v>0</v>
      </c>
      <c r="CD35" s="42">
        <v>0</v>
      </c>
      <c r="CE35" s="42">
        <v>0</v>
      </c>
      <c r="CF35" s="42">
        <v>0</v>
      </c>
      <c r="CG35" s="42">
        <v>0</v>
      </c>
      <c r="CH35" s="42">
        <v>0</v>
      </c>
      <c r="CI35" s="42">
        <v>0</v>
      </c>
      <c r="CJ35" s="42">
        <v>0</v>
      </c>
      <c r="CK35" s="42">
        <v>0</v>
      </c>
      <c r="CL35" s="42">
        <v>0</v>
      </c>
      <c r="CM35" s="45">
        <v>0</v>
      </c>
      <c r="CN35" s="45">
        <v>0</v>
      </c>
      <c r="CO35" s="45">
        <v>1.3286231528863102E-2</v>
      </c>
      <c r="CP35" s="45">
        <v>6.0501423838095425E-2</v>
      </c>
      <c r="CQ35" s="45">
        <v>5.9921156317171764E-2</v>
      </c>
      <c r="CR35" s="45">
        <v>4.1577016886476637E-2</v>
      </c>
      <c r="CS35" s="45">
        <v>4.0821688764111519E-2</v>
      </c>
      <c r="CT35" s="45">
        <v>4.0217711801805223E-2</v>
      </c>
      <c r="CU35" s="45">
        <v>2.2718349814078831E-2</v>
      </c>
      <c r="CV35" s="45">
        <v>-1.5208501832426724E-2</v>
      </c>
      <c r="CW35" s="45">
        <v>7.6913463847350538E-2</v>
      </c>
      <c r="CX35" s="45">
        <v>4.8264358161732801E-2</v>
      </c>
      <c r="CY35" s="43">
        <v>4.5029095598888569E-2</v>
      </c>
      <c r="CZ35" s="42">
        <v>1.9715852916499799E-2</v>
      </c>
      <c r="DA35" s="42">
        <v>4.0088349197749729E-2</v>
      </c>
      <c r="DB35" s="42">
        <v>4.2666653210249539E-2</v>
      </c>
      <c r="DC35" s="42">
        <v>4.2666653210249539E-2</v>
      </c>
      <c r="DD35" s="42">
        <v>4.2666653210249539E-2</v>
      </c>
      <c r="DE35" s="42">
        <v>4.2666653210249539E-2</v>
      </c>
      <c r="DF35" s="42">
        <v>4.2666653210249539E-2</v>
      </c>
      <c r="DG35" s="232">
        <v>4.2666653210249539E-2</v>
      </c>
      <c r="DH35" s="232">
        <v>4.2666653210249539E-2</v>
      </c>
      <c r="DI35" s="232">
        <v>4.2666653210249539E-2</v>
      </c>
    </row>
    <row r="36" spans="1:113" outlineLevel="1">
      <c r="C36" s="232"/>
      <c r="D36" s="232"/>
      <c r="E36" s="232"/>
      <c r="F36" s="232"/>
      <c r="G36" s="232"/>
      <c r="H36" s="232"/>
      <c r="I36" s="232"/>
      <c r="J36" s="232"/>
      <c r="K36" s="232"/>
      <c r="L36" s="232"/>
      <c r="M36" s="42"/>
      <c r="N36" s="42"/>
      <c r="O36" s="42"/>
      <c r="P36" s="42"/>
      <c r="Q36" s="42"/>
      <c r="R36" s="42"/>
      <c r="S36" s="42"/>
      <c r="T36" s="45"/>
      <c r="U36" s="42"/>
      <c r="V36" s="42"/>
      <c r="W36" s="42"/>
      <c r="X36" s="42"/>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3"/>
      <c r="AX36" s="232"/>
      <c r="AY36" s="232"/>
      <c r="AZ36" s="232"/>
      <c r="BA36" s="232"/>
      <c r="BB36" s="232"/>
      <c r="BC36" s="232"/>
      <c r="BD36" s="232"/>
      <c r="BE36" s="232"/>
      <c r="BF36" s="232"/>
      <c r="BG36" s="232"/>
      <c r="BH36" s="232"/>
      <c r="BI36" s="232"/>
      <c r="BJ36" s="232"/>
      <c r="BK36" s="232"/>
      <c r="BL36" s="232"/>
      <c r="BM36" s="232"/>
      <c r="BN36" s="232"/>
      <c r="BO36" s="232"/>
      <c r="BP36" s="232"/>
      <c r="BQ36" s="232"/>
      <c r="BR36" s="232"/>
      <c r="BS36" s="232"/>
      <c r="BT36" s="232"/>
      <c r="BU36" s="232"/>
      <c r="BV36" s="232"/>
      <c r="BW36" s="232"/>
      <c r="BX36" s="232"/>
      <c r="BY36" s="232"/>
      <c r="BZ36" s="232"/>
      <c r="CA36" s="232"/>
      <c r="CB36" s="232"/>
      <c r="CC36" s="42"/>
      <c r="CD36" s="42"/>
      <c r="CE36" s="42"/>
      <c r="CF36" s="42"/>
      <c r="CG36" s="42"/>
      <c r="CH36" s="42"/>
      <c r="CI36" s="42"/>
      <c r="CJ36" s="42"/>
      <c r="CK36" s="42"/>
      <c r="CL36" s="42"/>
      <c r="CM36" s="45"/>
      <c r="CN36" s="45"/>
      <c r="CO36" s="45"/>
      <c r="CP36" s="45"/>
      <c r="CQ36" s="45"/>
      <c r="CR36" s="45"/>
      <c r="CS36" s="45"/>
      <c r="CT36" s="45"/>
      <c r="CU36" s="45"/>
      <c r="CV36" s="45"/>
      <c r="CW36" s="45"/>
      <c r="CX36" s="45"/>
      <c r="CY36" s="43"/>
      <c r="CZ36" s="42"/>
      <c r="DA36" s="42"/>
      <c r="DB36" s="42"/>
      <c r="DC36" s="42"/>
      <c r="DD36" s="42"/>
      <c r="DE36" s="42"/>
      <c r="DF36" s="42"/>
      <c r="DG36" s="232"/>
      <c r="DH36" s="232"/>
      <c r="DI36" s="232"/>
    </row>
    <row r="37" spans="1:113" outlineLevel="1">
      <c r="B37" s="24" t="s">
        <v>323</v>
      </c>
      <c r="C37" s="232"/>
      <c r="D37" s="232"/>
      <c r="E37" s="232"/>
      <c r="F37" s="232"/>
      <c r="G37" s="232"/>
      <c r="H37" s="232"/>
      <c r="I37" s="232"/>
      <c r="J37" s="232"/>
      <c r="K37" s="232"/>
      <c r="L37" s="232"/>
      <c r="M37" s="42"/>
      <c r="N37" s="42"/>
      <c r="O37" s="42"/>
      <c r="P37" s="42"/>
      <c r="Q37" s="42"/>
      <c r="R37" s="42"/>
      <c r="S37" s="42"/>
      <c r="T37" s="45"/>
      <c r="U37" s="42"/>
      <c r="V37" s="42"/>
      <c r="W37" s="42"/>
      <c r="X37" s="42"/>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3"/>
      <c r="AX37" s="232"/>
      <c r="AY37" s="232"/>
      <c r="AZ37" s="232"/>
      <c r="BA37" s="232"/>
      <c r="BB37" s="232"/>
      <c r="BC37" s="232"/>
      <c r="BD37" s="232"/>
      <c r="BE37" s="232"/>
      <c r="BF37" s="232"/>
      <c r="BG37" s="232"/>
      <c r="BH37" s="232"/>
      <c r="BI37" s="232"/>
      <c r="BJ37" s="232"/>
      <c r="BK37" s="232"/>
      <c r="BL37" s="232"/>
      <c r="BM37" s="232"/>
      <c r="BN37" s="232"/>
      <c r="BO37" s="232"/>
      <c r="BP37" s="232"/>
      <c r="BQ37" s="232"/>
      <c r="BR37" s="232"/>
      <c r="BS37" s="232"/>
      <c r="BT37" s="232"/>
      <c r="BU37" s="232"/>
      <c r="BV37" s="232"/>
      <c r="BW37" s="232"/>
      <c r="BX37" s="232"/>
      <c r="BY37" s="232"/>
      <c r="BZ37" s="232"/>
      <c r="CA37" s="232"/>
      <c r="CB37" s="232"/>
      <c r="CC37" s="42"/>
      <c r="CD37" s="42"/>
      <c r="CE37" s="42"/>
      <c r="CF37" s="42"/>
      <c r="CG37" s="42"/>
      <c r="CH37" s="42"/>
      <c r="CI37" s="42"/>
      <c r="CJ37" s="42"/>
      <c r="CK37" s="42"/>
      <c r="CL37" s="42"/>
      <c r="CM37" s="45"/>
      <c r="CN37" s="45"/>
      <c r="CO37" s="45"/>
      <c r="CP37" s="45"/>
      <c r="CQ37" s="45"/>
      <c r="CR37" s="45"/>
      <c r="CS37" s="45"/>
      <c r="CT37" s="45"/>
      <c r="CU37" s="45"/>
      <c r="CV37" s="45"/>
      <c r="CW37" s="45"/>
      <c r="CX37" s="45"/>
      <c r="CY37" s="43"/>
      <c r="CZ37" s="42"/>
      <c r="DA37" s="42"/>
      <c r="DB37" s="42"/>
      <c r="DC37" s="42"/>
      <c r="DD37" s="42"/>
      <c r="DE37" s="42"/>
      <c r="DF37" s="42"/>
      <c r="DG37" s="232"/>
      <c r="DH37" s="232"/>
      <c r="DI37" s="232"/>
    </row>
    <row r="38" spans="1:113" outlineLevel="1">
      <c r="A38" s="1" t="s">
        <v>847</v>
      </c>
      <c r="B38" s="19" t="s">
        <v>324</v>
      </c>
      <c r="C38" s="551">
        <v>0.1065106330525154</v>
      </c>
      <c r="D38" s="551">
        <v>-2.6518586313712955E-3</v>
      </c>
      <c r="E38" s="551">
        <v>-4.4371621552780634E-2</v>
      </c>
      <c r="F38" s="551">
        <v>-4.5391553808074366E-2</v>
      </c>
      <c r="G38" s="551">
        <v>2.9585346060128082E-2</v>
      </c>
      <c r="H38" s="551">
        <v>0.11318990196287813</v>
      </c>
      <c r="I38" s="551">
        <v>9.2425178675543673E-2</v>
      </c>
      <c r="J38" s="551">
        <v>0.17164590966351725</v>
      </c>
      <c r="K38" s="551">
        <v>7.8435198525297789E-2</v>
      </c>
      <c r="L38" s="551">
        <v>0.13895832906203398</v>
      </c>
      <c r="M38" s="183">
        <v>8.8107046104405118E-2</v>
      </c>
      <c r="N38" s="183">
        <v>0.14163045890614878</v>
      </c>
      <c r="O38" s="183">
        <v>0.12698208108755127</v>
      </c>
      <c r="P38" s="183">
        <v>2.9962812020279062E-2</v>
      </c>
      <c r="Q38" s="183">
        <v>-0.15923773448352629</v>
      </c>
      <c r="R38" s="183">
        <v>-0.26786618072403068</v>
      </c>
      <c r="S38" s="183">
        <v>9.0815213766841207E-2</v>
      </c>
      <c r="T38" s="183">
        <v>0.25624124723923147</v>
      </c>
      <c r="U38" s="183">
        <v>-9.9332040732958551E-2</v>
      </c>
      <c r="V38" s="183">
        <v>0.12768916021645249</v>
      </c>
      <c r="W38" s="183">
        <v>-9.208256279714222E-3</v>
      </c>
      <c r="X38" s="183">
        <v>-9.7119756578138428E-2</v>
      </c>
      <c r="Y38" s="183">
        <v>3.320706136747531E-2</v>
      </c>
      <c r="Z38" s="183">
        <v>0.16392686884588456</v>
      </c>
      <c r="AA38" s="183">
        <v>5.4632090475184469E-2</v>
      </c>
      <c r="AB38" s="44">
        <v>0.13971873260055134</v>
      </c>
      <c r="AC38" s="44">
        <v>3.0382401636474876E-2</v>
      </c>
      <c r="AD38" s="44">
        <v>2.4961474178222254E-2</v>
      </c>
      <c r="AE38" s="44">
        <v>3.1036209654727864E-2</v>
      </c>
      <c r="AF38" s="44">
        <v>-5.2645678175951005E-3</v>
      </c>
      <c r="AG38" s="44">
        <v>1.0879399417170754E-2</v>
      </c>
      <c r="AH38" s="44">
        <v>0.10594036725621603</v>
      </c>
      <c r="AI38" s="44">
        <v>3.1612141062304699E-2</v>
      </c>
      <c r="AJ38" s="44">
        <v>8.3702623449514846E-2</v>
      </c>
      <c r="AK38" s="44">
        <v>4.285768068222473E-2</v>
      </c>
      <c r="AL38" s="44">
        <v>-6.8326358354338756E-2</v>
      </c>
      <c r="AM38" s="44">
        <v>0.19727535526063966</v>
      </c>
      <c r="AN38" s="44">
        <v>3.0632914236491837E-2</v>
      </c>
      <c r="AO38" s="44">
        <v>-0.10424692104178235</v>
      </c>
      <c r="AP38" s="44">
        <v>0.13201339659805078</v>
      </c>
      <c r="AQ38" s="44">
        <v>0.12895116438882104</v>
      </c>
      <c r="AR38" s="44">
        <v>3.8410009244964849E-2</v>
      </c>
      <c r="AS38" s="44">
        <v>-9.9272091270705007E-2</v>
      </c>
      <c r="AT38" s="44">
        <v>9.8227906271230334E-2</v>
      </c>
      <c r="AU38" s="44">
        <v>4.5119990913830899E-2</v>
      </c>
      <c r="AV38" s="44">
        <v>7.5653975241849913E-2</v>
      </c>
      <c r="AW38" s="498">
        <v>4.2190024012100258E-2</v>
      </c>
      <c r="AX38" s="41">
        <v>5.062499999999992E-2</v>
      </c>
      <c r="AY38" s="41">
        <v>5.062499999999992E-2</v>
      </c>
      <c r="AZ38" s="41">
        <v>5.062499999999992E-2</v>
      </c>
      <c r="BA38" s="41">
        <v>5.062499999999992E-2</v>
      </c>
      <c r="BB38" s="41">
        <v>5.062499999999992E-2</v>
      </c>
      <c r="BC38" s="41">
        <v>5.062499999999992E-2</v>
      </c>
      <c r="BD38" s="41">
        <v>5.062499999999992E-2</v>
      </c>
      <c r="BE38" s="41">
        <v>5.062499999999992E-2</v>
      </c>
      <c r="BF38" s="41">
        <v>5.062499999999992E-2</v>
      </c>
      <c r="BG38" s="41">
        <v>5.062499999999992E-2</v>
      </c>
      <c r="BH38" s="41">
        <v>5.062499999999992E-2</v>
      </c>
      <c r="BI38" s="41">
        <v>5.062499999999992E-2</v>
      </c>
      <c r="BJ38" s="41">
        <v>5.062499999999992E-2</v>
      </c>
      <c r="BK38" s="41">
        <v>5.062499999999992E-2</v>
      </c>
      <c r="BL38" s="41">
        <v>5.062499999999992E-2</v>
      </c>
      <c r="BM38" s="41">
        <v>5.062499999999992E-2</v>
      </c>
      <c r="BN38" s="41">
        <v>5.062499999999992E-2</v>
      </c>
      <c r="BO38" s="41">
        <v>5.062499999999992E-2</v>
      </c>
      <c r="BP38" s="41">
        <v>5.062499999999992E-2</v>
      </c>
      <c r="BQ38" s="41">
        <v>5.062499999999992E-2</v>
      </c>
      <c r="BR38" s="511"/>
      <c r="BS38" s="552">
        <v>0</v>
      </c>
      <c r="BT38" s="552">
        <v>0.12934728631980197</v>
      </c>
      <c r="BU38" s="552">
        <v>-7.051038892187389E-2</v>
      </c>
      <c r="BV38" s="552">
        <v>8.9513621051370507E-2</v>
      </c>
      <c r="BW38" s="552">
        <v>2.8421507948987124E-2</v>
      </c>
      <c r="BX38" s="552">
        <v>0.14752001095781653</v>
      </c>
      <c r="BY38" s="552">
        <v>3.9065284674339118E-2</v>
      </c>
      <c r="BZ38" s="552">
        <v>8.646876091720547E-2</v>
      </c>
      <c r="CA38" s="552">
        <v>7.9055583597559709E-2</v>
      </c>
      <c r="CB38" s="552">
        <v>0.1065106330525154</v>
      </c>
      <c r="CC38" s="42">
        <v>-4.6905812916549272E-2</v>
      </c>
      <c r="CD38" s="42">
        <v>-1.7149132575565051E-2</v>
      </c>
      <c r="CE38" s="42">
        <v>0.21607667755160809</v>
      </c>
      <c r="CF38" s="42">
        <v>0.26354418918932843</v>
      </c>
      <c r="CG38" s="42">
        <v>0.23930858307169878</v>
      </c>
      <c r="CH38" s="42">
        <v>0.2865970704109877</v>
      </c>
      <c r="CI38" s="42">
        <v>-0.13404613276811228</v>
      </c>
      <c r="CJ38" s="42">
        <v>-0.20137729142054961</v>
      </c>
      <c r="CK38" s="42">
        <v>0.1314562404980415</v>
      </c>
      <c r="CL38" s="42">
        <v>0.11730510942532368</v>
      </c>
      <c r="CM38" s="45">
        <v>-6.713775692734758E-2</v>
      </c>
      <c r="CN38" s="45">
        <v>0.22751462685117119</v>
      </c>
      <c r="CO38" s="45">
        <v>0.17434612488703549</v>
      </c>
      <c r="CP38" s="45">
        <v>5.6772393378836439E-2</v>
      </c>
      <c r="CQ38" s="45">
        <v>5.557556263529273E-3</v>
      </c>
      <c r="CR38" s="45">
        <v>0.1409015101524167</v>
      </c>
      <c r="CS38" s="45">
        <v>0.13014760443980333</v>
      </c>
      <c r="CT38" s="45">
        <v>0.11546989028828292</v>
      </c>
      <c r="CU38" s="45">
        <v>-7.680739379698176E-2</v>
      </c>
      <c r="CV38" s="45">
        <v>0.27798784219311368</v>
      </c>
      <c r="CW38" s="45">
        <v>-6.4675123969214932E-2</v>
      </c>
      <c r="CX38" s="45">
        <v>0.14777993942350376</v>
      </c>
      <c r="CY38" s="43">
        <v>0.12103584228601472</v>
      </c>
      <c r="CZ38" s="42">
        <v>0.10381289062499977</v>
      </c>
      <c r="DA38" s="42">
        <v>0.10381289062499977</v>
      </c>
      <c r="DB38" s="42">
        <v>0.10381289062499977</v>
      </c>
      <c r="DC38" s="42">
        <v>0.10381289062499977</v>
      </c>
      <c r="DD38" s="42">
        <v>0.10381289062499977</v>
      </c>
      <c r="DE38" s="42">
        <v>0.10381289062499977</v>
      </c>
      <c r="DF38" s="42">
        <v>0.10381289062499977</v>
      </c>
      <c r="DG38" s="232">
        <v>0.10381289062499977</v>
      </c>
      <c r="DH38" s="232">
        <v>0.10381289062499977</v>
      </c>
      <c r="DI38" s="232">
        <v>0.10381289062499977</v>
      </c>
    </row>
    <row r="39" spans="1:113" outlineLevel="1">
      <c r="A39" s="1" t="s">
        <v>848</v>
      </c>
      <c r="B39" s="19" t="s">
        <v>325</v>
      </c>
      <c r="C39" s="551">
        <v>1.4918428343217549E-2</v>
      </c>
      <c r="D39" s="551">
        <v>3.9313914643012593E-2</v>
      </c>
      <c r="E39" s="551">
        <v>2.1745670367618208E-2</v>
      </c>
      <c r="F39" s="551">
        <v>6.4960447137943245E-2</v>
      </c>
      <c r="G39" s="551">
        <v>3.1203098102437155E-2</v>
      </c>
      <c r="H39" s="551">
        <v>-7.0146633443379791E-4</v>
      </c>
      <c r="I39" s="551">
        <v>2.3993393102677008E-2</v>
      </c>
      <c r="J39" s="551">
        <v>4.4531142962471515E-2</v>
      </c>
      <c r="K39" s="551">
        <v>3.1937366170763593E-2</v>
      </c>
      <c r="L39" s="551">
        <v>2.5127107539093085E-2</v>
      </c>
      <c r="M39" s="183">
        <v>8.7842565125615391E-3</v>
      </c>
      <c r="N39" s="183">
        <v>2.2584332189249601E-2</v>
      </c>
      <c r="O39" s="183">
        <v>1.6913346942976082E-2</v>
      </c>
      <c r="P39" s="183">
        <v>1.7420373036630465E-2</v>
      </c>
      <c r="Q39" s="183">
        <v>2.6326558069215356E-2</v>
      </c>
      <c r="R39" s="183">
        <v>0.12000819981087506</v>
      </c>
      <c r="S39" s="183">
        <v>-1.0526664923191542E-2</v>
      </c>
      <c r="T39" s="183">
        <v>2.8165872381425539E-2</v>
      </c>
      <c r="U39" s="183">
        <v>4.901080211194575E-2</v>
      </c>
      <c r="V39" s="183">
        <v>1.0810312982610482E-2</v>
      </c>
      <c r="W39" s="183">
        <v>4.4179947711294743E-2</v>
      </c>
      <c r="X39" s="183">
        <v>6.6616327734368763E-2</v>
      </c>
      <c r="Y39" s="183">
        <v>5.3892935774072948E-2</v>
      </c>
      <c r="Z39" s="183">
        <v>2.1962181228794675E-2</v>
      </c>
      <c r="AA39" s="183">
        <v>5.6885967101847346E-3</v>
      </c>
      <c r="AB39" s="44">
        <v>1.4088194051556702E-2</v>
      </c>
      <c r="AC39" s="44">
        <v>4.6119319908889622E-2</v>
      </c>
      <c r="AD39" s="44">
        <v>4.9686738095085392E-2</v>
      </c>
      <c r="AE39" s="44">
        <v>6.2777177143666929E-3</v>
      </c>
      <c r="AF39" s="44">
        <v>1.94633294828781E-2</v>
      </c>
      <c r="AG39" s="44">
        <v>4.9749360051795755E-2</v>
      </c>
      <c r="AH39" s="44">
        <v>-1.9587204172035855E-2</v>
      </c>
      <c r="AI39" s="44">
        <v>2.2524376973244165E-2</v>
      </c>
      <c r="AJ39" s="44">
        <v>1.3720963853375068E-2</v>
      </c>
      <c r="AK39" s="44">
        <v>1.6900462405507133E-2</v>
      </c>
      <c r="AL39" s="44">
        <v>2.7977880153603252E-2</v>
      </c>
      <c r="AM39" s="44">
        <v>6.5899891716175274E-2</v>
      </c>
      <c r="AN39" s="44">
        <v>6.2918508017597574E-3</v>
      </c>
      <c r="AO39" s="44">
        <v>3.528679012902658E-2</v>
      </c>
      <c r="AP39" s="44">
        <v>9.193089689715217E-3</v>
      </c>
      <c r="AQ39" s="44">
        <v>-1.7431704668777415E-2</v>
      </c>
      <c r="AR39" s="44">
        <v>-1.1515614398047158E-2</v>
      </c>
      <c r="AS39" s="44">
        <v>-9.4632212575510355E-2</v>
      </c>
      <c r="AT39" s="44">
        <v>-2.6852435963321541E-3</v>
      </c>
      <c r="AU39" s="44">
        <v>1.513116203206244E-2</v>
      </c>
      <c r="AV39" s="44">
        <v>3.4926840945133319E-2</v>
      </c>
      <c r="AW39" s="498">
        <v>1.7883906472513367E-3</v>
      </c>
      <c r="AX39" s="41">
        <v>3.2002015625000269E-2</v>
      </c>
      <c r="AY39" s="41">
        <v>3.1367166992187556E-2</v>
      </c>
      <c r="AZ39" s="41">
        <v>2.9400359375000074E-2</v>
      </c>
      <c r="BA39" s="41">
        <v>2.7245559570312494E-2</v>
      </c>
      <c r="BB39" s="41">
        <v>2.6422265625000163E-2</v>
      </c>
      <c r="BC39" s="41">
        <v>2.6422265625000163E-2</v>
      </c>
      <c r="BD39" s="41">
        <v>2.6422265625000163E-2</v>
      </c>
      <c r="BE39" s="41">
        <v>2.6422265625000163E-2</v>
      </c>
      <c r="BF39" s="41">
        <v>2.6422265625000163E-2</v>
      </c>
      <c r="BG39" s="41">
        <v>2.6422265625000163E-2</v>
      </c>
      <c r="BH39" s="41">
        <v>2.6422265625000163E-2</v>
      </c>
      <c r="BI39" s="41">
        <v>2.6422265625000163E-2</v>
      </c>
      <c r="BJ39" s="41">
        <v>2.6422265625000163E-2</v>
      </c>
      <c r="BK39" s="41">
        <v>2.6422265625000163E-2</v>
      </c>
      <c r="BL39" s="41">
        <v>2.6422265625000163E-2</v>
      </c>
      <c r="BM39" s="41">
        <v>2.6422265625000163E-2</v>
      </c>
      <c r="BN39" s="41">
        <v>2.6422265625000163E-2</v>
      </c>
      <c r="BO39" s="41">
        <v>2.6422265625000163E-2</v>
      </c>
      <c r="BP39" s="41">
        <v>2.6422265625000163E-2</v>
      </c>
      <c r="BQ39" s="41">
        <v>2.6422265625000163E-2</v>
      </c>
      <c r="BR39" s="511"/>
      <c r="BS39" s="552">
        <v>6.6942362367536923E-2</v>
      </c>
      <c r="BT39" s="552">
        <v>0.10096038778632919</v>
      </c>
      <c r="BU39" s="552">
        <v>-6.4235403833410976E-2</v>
      </c>
      <c r="BV39" s="552">
        <v>9.8410802014563536E-2</v>
      </c>
      <c r="BW39" s="552">
        <v>1.3133615543254207E-2</v>
      </c>
      <c r="BX39" s="552">
        <v>5.7417216230894574E-2</v>
      </c>
      <c r="BY39" s="552">
        <v>4.4742327195550491E-2</v>
      </c>
      <c r="BZ39" s="552">
        <v>-1.4929078349884217E-2</v>
      </c>
      <c r="CA39" s="552">
        <v>5.8757744835809866E-2</v>
      </c>
      <c r="CB39" s="552">
        <v>1.4918428343217549E-2</v>
      </c>
      <c r="CC39" s="42">
        <v>6.1914492439318458E-2</v>
      </c>
      <c r="CD39" s="42">
        <v>9.8190512445203826E-2</v>
      </c>
      <c r="CE39" s="42">
        <v>2.3275096210732871E-2</v>
      </c>
      <c r="CF39" s="42">
        <v>7.789071655203017E-2</v>
      </c>
      <c r="CG39" s="42">
        <v>3.4132087009696832E-2</v>
      </c>
      <c r="CH39" s="42">
        <v>3.9879655778017886E-2</v>
      </c>
      <c r="CI39" s="42">
        <v>4.4205549568182123E-2</v>
      </c>
      <c r="CJ39" s="42">
        <v>0.108218248780239</v>
      </c>
      <c r="CK39" s="42">
        <v>7.8557106490967588E-2</v>
      </c>
      <c r="CL39" s="42">
        <v>5.5467859756219706E-2</v>
      </c>
      <c r="CM39" s="45">
        <v>0.12409941298053462</v>
      </c>
      <c r="CN39" s="45">
        <v>2.7775711930865921E-2</v>
      </c>
      <c r="CO39" s="45">
        <v>6.0857251888848607E-2</v>
      </c>
      <c r="CP39" s="45">
        <v>5.6276375125360767E-2</v>
      </c>
      <c r="CQ39" s="45">
        <v>7.0180977720924353E-2</v>
      </c>
      <c r="CR39" s="45">
        <v>2.4959832305855301E-3</v>
      </c>
      <c r="CS39" s="45">
        <v>3.0853316892653471E-2</v>
      </c>
      <c r="CT39" s="45">
        <v>9.5721511142349058E-2</v>
      </c>
      <c r="CU39" s="45">
        <v>4.1800660149551083E-2</v>
      </c>
      <c r="CV39" s="45">
        <v>-8.3988662035269224E-3</v>
      </c>
      <c r="CW39" s="45">
        <v>-0.10505807890390395</v>
      </c>
      <c r="CX39" s="45">
        <v>1.2405287579778657E-2</v>
      </c>
      <c r="CY39" s="43">
        <v>3.6777694428068886E-2</v>
      </c>
      <c r="CZ39" s="42">
        <v>6.4372995185383752E-2</v>
      </c>
      <c r="DA39" s="42">
        <v>5.7446948188052627E-2</v>
      </c>
      <c r="DB39" s="42">
        <v>5.3542667370758412E-2</v>
      </c>
      <c r="DC39" s="42">
        <v>5.3542667370758412E-2</v>
      </c>
      <c r="DD39" s="42">
        <v>5.3542667370758412E-2</v>
      </c>
      <c r="DE39" s="42">
        <v>5.3542667370758412E-2</v>
      </c>
      <c r="DF39" s="42">
        <v>5.3542667370758412E-2</v>
      </c>
      <c r="DG39" s="232">
        <v>5.3542667370758412E-2</v>
      </c>
      <c r="DH39" s="232">
        <v>5.3542667370758412E-2</v>
      </c>
      <c r="DI39" s="232">
        <v>5.3542667370758412E-2</v>
      </c>
    </row>
    <row r="40" spans="1:113" outlineLevel="1">
      <c r="A40" s="1" t="s">
        <v>849</v>
      </c>
      <c r="B40" s="19" t="s">
        <v>326</v>
      </c>
      <c r="C40" s="551">
        <v>5.4166666666666669E-2</v>
      </c>
      <c r="D40" s="551">
        <v>4.6666666666666669E-2</v>
      </c>
      <c r="E40" s="551">
        <v>4.3749999999999997E-2</v>
      </c>
      <c r="F40" s="551">
        <v>4.7500000000000001E-2</v>
      </c>
      <c r="G40" s="551">
        <v>4.7500000000000001E-2</v>
      </c>
      <c r="H40" s="551">
        <v>4.8750000000000002E-2</v>
      </c>
      <c r="I40" s="551">
        <v>5.2499999999999998E-2</v>
      </c>
      <c r="J40" s="551">
        <v>5.2499999999999998E-2</v>
      </c>
      <c r="K40" s="551">
        <v>5.4166666666666669E-2</v>
      </c>
      <c r="L40" s="551">
        <v>5.5E-2</v>
      </c>
      <c r="M40" s="183">
        <v>5.5833333333333332E-2</v>
      </c>
      <c r="N40" s="183">
        <v>6.0416666666666667E-2</v>
      </c>
      <c r="O40" s="183">
        <v>6.25E-2</v>
      </c>
      <c r="P40" s="183">
        <v>6.5416666666666665E-2</v>
      </c>
      <c r="Q40" s="183">
        <v>7.1249999999999994E-2</v>
      </c>
      <c r="R40" s="183">
        <v>6.1666666666666668E-2</v>
      </c>
      <c r="S40" s="183">
        <v>3.2916666666666664E-2</v>
      </c>
      <c r="T40" s="183">
        <v>3.2500000000000001E-2</v>
      </c>
      <c r="U40" s="183">
        <v>4.1250000000000002E-2</v>
      </c>
      <c r="V40" s="183">
        <v>4.583333333333333E-2</v>
      </c>
      <c r="W40" s="183">
        <v>4.7500000000000001E-2</v>
      </c>
      <c r="X40" s="183">
        <v>4.6249999999999999E-2</v>
      </c>
      <c r="Y40" s="183">
        <v>4.041666666666667E-2</v>
      </c>
      <c r="Z40" s="183">
        <v>3.3333333333333333E-2</v>
      </c>
      <c r="AA40" s="183">
        <v>2.9166666666666664E-2</v>
      </c>
      <c r="AB40" s="44">
        <v>2.5416666666666664E-2</v>
      </c>
      <c r="AC40" s="44">
        <v>2.5000000000000001E-2</v>
      </c>
      <c r="AD40" s="44">
        <v>2.5000000000000001E-2</v>
      </c>
      <c r="AE40" s="44">
        <v>2.2083333333333333E-2</v>
      </c>
      <c r="AF40" s="44">
        <v>0.02</v>
      </c>
      <c r="AG40" s="44">
        <v>1.9166666666666669E-2</v>
      </c>
      <c r="AH40" s="44">
        <v>1.5416666666666667E-2</v>
      </c>
      <c r="AI40" s="44">
        <v>1.4999999999999999E-2</v>
      </c>
      <c r="AJ40" s="44">
        <v>1.4999999999999999E-2</v>
      </c>
      <c r="AK40" s="44">
        <v>1.4999999999999999E-2</v>
      </c>
      <c r="AL40" s="44">
        <v>1.4999999999999999E-2</v>
      </c>
      <c r="AM40" s="44">
        <v>1.4583333333333332E-2</v>
      </c>
      <c r="AN40" s="44">
        <v>8.7500000000000008E-3</v>
      </c>
      <c r="AO40" s="44">
        <v>4.1666666666666666E-3</v>
      </c>
      <c r="AP40" s="44">
        <v>2.0000000000000005E-3</v>
      </c>
      <c r="AQ40" s="44">
        <v>1E-3</v>
      </c>
      <c r="AR40" s="44">
        <v>1E-3</v>
      </c>
      <c r="AS40" s="44">
        <v>2.6666666666666666E-3</v>
      </c>
      <c r="AT40" s="44">
        <v>2.35E-2</v>
      </c>
      <c r="AU40" s="44">
        <v>3.6000000000000004E-2</v>
      </c>
      <c r="AV40" s="44">
        <v>4.1833333333333333E-2</v>
      </c>
      <c r="AW40" s="498">
        <v>4.3500000000000004E-2</v>
      </c>
      <c r="AX40" s="41">
        <v>4.3499999999999997E-2</v>
      </c>
      <c r="AY40" s="41">
        <v>3.9750000000000001E-2</v>
      </c>
      <c r="AZ40" s="41">
        <v>3.4250000000000003E-2</v>
      </c>
      <c r="BA40" s="41">
        <v>3.2500000000000001E-2</v>
      </c>
      <c r="BB40" s="41">
        <v>3.2500000000000001E-2</v>
      </c>
      <c r="BC40" s="41">
        <v>3.2500000000000001E-2</v>
      </c>
      <c r="BD40" s="41">
        <v>3.2500000000000001E-2</v>
      </c>
      <c r="BE40" s="41">
        <v>3.2500000000000001E-2</v>
      </c>
      <c r="BF40" s="41">
        <v>3.2500000000000001E-2</v>
      </c>
      <c r="BG40" s="41">
        <v>3.2500000000000001E-2</v>
      </c>
      <c r="BH40" s="41">
        <v>3.2500000000000001E-2</v>
      </c>
      <c r="BI40" s="41">
        <v>3.2500000000000001E-2</v>
      </c>
      <c r="BJ40" s="41">
        <v>3.2500000000000001E-2</v>
      </c>
      <c r="BK40" s="41">
        <v>3.2500000000000001E-2</v>
      </c>
      <c r="BL40" s="41">
        <v>3.2500000000000001E-2</v>
      </c>
      <c r="BM40" s="41">
        <v>3.2500000000000001E-2</v>
      </c>
      <c r="BN40" s="41">
        <v>3.2500000000000001E-2</v>
      </c>
      <c r="BO40" s="41">
        <v>3.2500000000000001E-2</v>
      </c>
      <c r="BP40" s="41">
        <v>3.2500000000000001E-2</v>
      </c>
      <c r="BQ40" s="41">
        <v>3.2500000000000001E-2</v>
      </c>
      <c r="BR40" s="511"/>
      <c r="BS40" s="552">
        <v>7.1583333333333346E-2</v>
      </c>
      <c r="BT40" s="552">
        <v>5.3583333333333337E-2</v>
      </c>
      <c r="BU40" s="552">
        <v>4.675E-2</v>
      </c>
      <c r="BV40" s="552">
        <v>7.4366666666666664E-2</v>
      </c>
      <c r="BW40" s="552">
        <v>7.3166666666666658E-2</v>
      </c>
      <c r="BX40" s="552">
        <v>5.8633333333333336E-2</v>
      </c>
      <c r="BY40" s="552">
        <v>4.9766666666666674E-2</v>
      </c>
      <c r="BZ40" s="552">
        <v>4.7399999999999991E-2</v>
      </c>
      <c r="CA40" s="552">
        <v>5.6250000000000001E-2</v>
      </c>
      <c r="CB40" s="552">
        <v>5.4166666666666669E-2</v>
      </c>
      <c r="CC40" s="42">
        <v>9.2458333333333309E-2</v>
      </c>
      <c r="CD40" s="42">
        <v>9.7256250000000266E-2</v>
      </c>
      <c r="CE40" s="42">
        <v>0.10380937499999998</v>
      </c>
      <c r="CF40" s="42">
        <v>0.10951041666666672</v>
      </c>
      <c r="CG40" s="42">
        <v>0.1139041666666667</v>
      </c>
      <c r="CH40" s="42">
        <v>0.12669270833333313</v>
      </c>
      <c r="CI40" s="42">
        <v>0.14132760416666668</v>
      </c>
      <c r="CJ40" s="42">
        <v>9.6613194444444606E-2</v>
      </c>
      <c r="CK40" s="42">
        <v>7.5090625000000077E-2</v>
      </c>
      <c r="CL40" s="42">
        <v>9.5510416666666931E-2</v>
      </c>
      <c r="CM40" s="45">
        <v>8.8535937500000106E-2</v>
      </c>
      <c r="CN40" s="45">
        <v>6.3472222222222152E-2</v>
      </c>
      <c r="CO40" s="45">
        <v>5.105208333333322E-2</v>
      </c>
      <c r="CP40" s="45">
        <v>4.7635416666666375E-2</v>
      </c>
      <c r="CQ40" s="45">
        <v>3.9550000000000196E-2</v>
      </c>
      <c r="CR40" s="45">
        <v>3.0647916666666442E-2</v>
      </c>
      <c r="CS40" s="45">
        <v>3.0224999999999724E-2</v>
      </c>
      <c r="CT40" s="45">
        <v>2.9802083333333229E-2</v>
      </c>
      <c r="CU40" s="45">
        <v>1.2953125000000121E-2</v>
      </c>
      <c r="CV40" s="45">
        <v>3.0019999999999492E-3</v>
      </c>
      <c r="CW40" s="45">
        <v>3.6693333333330802E-3</v>
      </c>
      <c r="CX40" s="45">
        <v>6.0346000000000011E-2</v>
      </c>
      <c r="CY40" s="43">
        <v>8.7153083333333381E-2</v>
      </c>
      <c r="CZ40" s="42">
        <v>8.4979125000000044E-2</v>
      </c>
      <c r="DA40" s="42">
        <v>6.7863125000000135E-2</v>
      </c>
      <c r="DB40" s="42">
        <v>6.6056249999999928E-2</v>
      </c>
      <c r="DC40" s="42">
        <v>6.6056249999999928E-2</v>
      </c>
      <c r="DD40" s="42">
        <v>6.6056249999999928E-2</v>
      </c>
      <c r="DE40" s="42">
        <v>6.6056249999999928E-2</v>
      </c>
      <c r="DF40" s="42">
        <v>6.6056249999999928E-2</v>
      </c>
      <c r="DG40" s="232">
        <v>6.6056249999999928E-2</v>
      </c>
      <c r="DH40" s="232">
        <v>6.6056249999999928E-2</v>
      </c>
      <c r="DI40" s="232">
        <v>6.6056249999999928E-2</v>
      </c>
    </row>
    <row r="41" spans="1:113" outlineLevel="1">
      <c r="C41" s="232"/>
      <c r="D41" s="232"/>
      <c r="E41" s="232"/>
      <c r="F41" s="232"/>
      <c r="G41" s="232"/>
      <c r="H41" s="232"/>
      <c r="I41" s="232"/>
      <c r="J41" s="232"/>
      <c r="K41" s="232"/>
      <c r="L41" s="232"/>
      <c r="M41" s="42"/>
      <c r="N41" s="42"/>
      <c r="O41" s="42"/>
      <c r="P41" s="42"/>
      <c r="Q41" s="42"/>
      <c r="R41" s="42"/>
      <c r="S41" s="42"/>
      <c r="T41" s="45"/>
      <c r="U41" s="42"/>
      <c r="V41" s="42"/>
      <c r="W41" s="42"/>
      <c r="X41" s="42"/>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3"/>
      <c r="AX41" s="42"/>
      <c r="AY41" s="42"/>
      <c r="AZ41" s="42"/>
      <c r="BA41" s="42"/>
      <c r="BB41" s="42"/>
      <c r="BC41" s="42"/>
      <c r="BD41" s="42"/>
      <c r="BE41" s="42"/>
      <c r="BF41" s="42"/>
      <c r="BG41" s="42"/>
      <c r="BH41" s="42"/>
      <c r="BI41" s="42"/>
      <c r="BJ41" s="42"/>
      <c r="BK41" s="42"/>
      <c r="BL41" s="232"/>
      <c r="BM41" s="232"/>
      <c r="BN41" s="232"/>
      <c r="BO41" s="232"/>
      <c r="BP41" s="232"/>
      <c r="BQ41" s="232"/>
      <c r="BR41" s="42"/>
      <c r="BS41" s="232"/>
      <c r="BT41" s="232"/>
      <c r="BU41" s="232"/>
      <c r="BV41" s="232"/>
      <c r="BW41" s="232"/>
      <c r="BX41" s="232"/>
      <c r="BY41" s="232"/>
      <c r="BZ41" s="232"/>
      <c r="CA41" s="232"/>
      <c r="CB41" s="232"/>
      <c r="CC41" s="42"/>
      <c r="CD41" s="42"/>
      <c r="CE41" s="42"/>
      <c r="CF41" s="42"/>
      <c r="CG41" s="42"/>
      <c r="CH41" s="42"/>
      <c r="CI41" s="42"/>
      <c r="CJ41" s="42"/>
      <c r="CK41" s="42"/>
      <c r="CL41" s="42"/>
      <c r="CM41" s="45"/>
      <c r="CN41" s="45"/>
      <c r="CO41" s="45"/>
      <c r="CP41" s="45"/>
      <c r="CQ41" s="45"/>
      <c r="CR41" s="45"/>
      <c r="CS41" s="45"/>
      <c r="CT41" s="45"/>
      <c r="CU41" s="45"/>
      <c r="CV41" s="45"/>
      <c r="CW41" s="45"/>
      <c r="CX41" s="45"/>
      <c r="CY41" s="43"/>
      <c r="CZ41" s="42"/>
      <c r="DA41" s="42"/>
      <c r="DB41" s="42"/>
    </row>
    <row r="42" spans="1:113" outlineLevel="1">
      <c r="B42" s="24" t="s">
        <v>389</v>
      </c>
      <c r="C42" s="232"/>
      <c r="D42" s="232"/>
      <c r="E42" s="232"/>
      <c r="F42" s="232"/>
      <c r="G42" s="232"/>
      <c r="H42" s="232"/>
      <c r="I42" s="232"/>
      <c r="J42" s="232"/>
      <c r="K42" s="232"/>
      <c r="L42" s="232"/>
      <c r="M42" s="42"/>
      <c r="N42" s="42"/>
      <c r="O42" s="42"/>
      <c r="P42" s="42"/>
      <c r="Q42" s="42"/>
      <c r="R42" s="42"/>
      <c r="S42" s="42"/>
      <c r="T42" s="45"/>
      <c r="U42" s="42"/>
      <c r="V42" s="42"/>
      <c r="W42" s="42"/>
      <c r="X42" s="42"/>
      <c r="Y42" s="45"/>
      <c r="Z42" s="45"/>
      <c r="AA42" s="45"/>
      <c r="AB42" s="45"/>
      <c r="AC42" s="45"/>
      <c r="AD42" s="45"/>
      <c r="AE42" s="45"/>
      <c r="AF42" s="45"/>
      <c r="AG42" s="45"/>
      <c r="AH42" s="45"/>
      <c r="AI42" s="45"/>
      <c r="AJ42" s="45"/>
      <c r="AK42" s="45"/>
      <c r="AL42" s="45"/>
      <c r="AM42" s="45"/>
      <c r="AN42" s="771"/>
      <c r="AO42" s="771"/>
      <c r="AP42" s="771"/>
      <c r="AQ42" s="771"/>
      <c r="AR42" s="771"/>
      <c r="AS42" s="771"/>
      <c r="AT42" s="771"/>
      <c r="AU42" s="771"/>
      <c r="AV42" s="771"/>
      <c r="AW42" s="769"/>
      <c r="AX42" s="42"/>
      <c r="AY42" s="42"/>
      <c r="AZ42" s="42"/>
      <c r="BA42" s="42"/>
      <c r="BB42" s="42"/>
      <c r="BC42" s="42"/>
      <c r="BD42" s="42"/>
      <c r="BE42" s="42"/>
      <c r="BF42" s="42"/>
      <c r="BG42" s="42"/>
      <c r="BH42" s="42"/>
      <c r="BI42" s="42"/>
      <c r="BJ42" s="42"/>
      <c r="BK42" s="42"/>
      <c r="BL42" s="232"/>
      <c r="BM42" s="232"/>
      <c r="BN42" s="232"/>
      <c r="BO42" s="232"/>
      <c r="BP42" s="232"/>
      <c r="BQ42" s="232"/>
      <c r="BR42" s="42"/>
      <c r="BS42" s="232"/>
      <c r="BT42" s="232"/>
      <c r="BU42" s="232"/>
      <c r="BV42" s="232"/>
      <c r="BW42" s="232"/>
      <c r="BX42" s="232"/>
      <c r="BY42" s="232"/>
      <c r="BZ42" s="232"/>
      <c r="CA42" s="232"/>
      <c r="CB42" s="232"/>
      <c r="CC42" s="42"/>
      <c r="CD42" s="42"/>
      <c r="CE42" s="42"/>
      <c r="CF42" s="42"/>
      <c r="CG42" s="42"/>
      <c r="CH42" s="42"/>
      <c r="CI42" s="42"/>
      <c r="CJ42" s="42"/>
      <c r="CK42" s="42"/>
      <c r="CL42" s="42"/>
      <c r="CM42" s="45"/>
      <c r="CN42" s="45"/>
      <c r="CO42" s="45"/>
      <c r="CP42" s="45"/>
      <c r="CQ42" s="45"/>
      <c r="CR42" s="45"/>
      <c r="CS42" s="45"/>
      <c r="CT42" s="45"/>
      <c r="CU42" s="45"/>
      <c r="CV42" s="45"/>
      <c r="CW42" s="45"/>
      <c r="CX42" s="45"/>
      <c r="CY42" s="43"/>
      <c r="CZ42" s="42"/>
      <c r="DA42" s="42"/>
      <c r="DB42" s="42"/>
    </row>
    <row r="43" spans="1:113" outlineLevel="1">
      <c r="A43" s="1" t="s">
        <v>383</v>
      </c>
      <c r="B43" s="19" t="s">
        <v>218</v>
      </c>
      <c r="C43" s="232" t="e">
        <v>#VALUE!</v>
      </c>
      <c r="D43" s="232">
        <v>-7.362739056597567E-3</v>
      </c>
      <c r="E43" s="232">
        <v>-1.8862012293881847E-2</v>
      </c>
      <c r="F43" s="232">
        <v>-7.0581318691445155E-3</v>
      </c>
      <c r="G43" s="232">
        <v>-1.9912977766765913E-2</v>
      </c>
      <c r="H43" s="232">
        <v>8.1158820912108354E-3</v>
      </c>
      <c r="I43" s="232">
        <v>6.0941230346539296E-2</v>
      </c>
      <c r="J43" s="232">
        <v>1.567866638821247E-3</v>
      </c>
      <c r="K43" s="232">
        <v>6.0777803546723241E-3</v>
      </c>
      <c r="L43" s="232">
        <v>-1.5401088056419265E-2</v>
      </c>
      <c r="M43" s="42">
        <v>-5.2487390288360469E-3</v>
      </c>
      <c r="N43" s="42">
        <v>-2.0594647796584598E-2</v>
      </c>
      <c r="O43" s="42">
        <v>2.2458739678909323E-2</v>
      </c>
      <c r="P43" s="42">
        <v>6.2653646723240808E-3</v>
      </c>
      <c r="Q43" s="42">
        <v>3.6321895789788616E-2</v>
      </c>
      <c r="R43" s="42">
        <v>0.22309398202080422</v>
      </c>
      <c r="S43" s="42">
        <v>8.2174185904694719E-2</v>
      </c>
      <c r="T43" s="45">
        <v>2.8536095888186619E-2</v>
      </c>
      <c r="U43" s="42">
        <v>6.8461835977846608E-3</v>
      </c>
      <c r="V43" s="42">
        <v>-1.0967188060216682E-2</v>
      </c>
      <c r="W43" s="42">
        <v>-1.0081785921602915E-3</v>
      </c>
      <c r="X43" s="42">
        <v>7.0212456506208998E-3</v>
      </c>
      <c r="Y43" s="45">
        <v>-2.9116043336756547E-3</v>
      </c>
      <c r="Z43" s="45">
        <v>-6.9029099088611101E-3</v>
      </c>
      <c r="AA43" s="45">
        <v>7.5308011101760108E-3</v>
      </c>
      <c r="AB43" s="45">
        <v>1.5597337251960219E-3</v>
      </c>
      <c r="AC43" s="45">
        <v>-2.6156059717941105E-4</v>
      </c>
      <c r="AD43" s="45">
        <v>-7.8668999546434026E-3</v>
      </c>
      <c r="AE43" s="45">
        <v>-9.808486124218696E-4</v>
      </c>
      <c r="AF43" s="45">
        <v>-9.4791444100168487E-3</v>
      </c>
      <c r="AG43" s="45">
        <v>1.0881536269968572E-2</v>
      </c>
      <c r="AH43" s="45">
        <v>1.1395197550865266E-3</v>
      </c>
      <c r="AI43" s="45">
        <v>-2.2512690027012283E-3</v>
      </c>
      <c r="AJ43" s="45">
        <v>-1.1607455678314782E-2</v>
      </c>
      <c r="AK43" s="45">
        <v>-9.3307304052945295E-3</v>
      </c>
      <c r="AL43" s="45">
        <v>-3.3465540792416704E-3</v>
      </c>
      <c r="AM43" s="45">
        <v>4.2527651223036589E-3</v>
      </c>
      <c r="AN43" s="45">
        <v>6.1648387089223711E-3</v>
      </c>
      <c r="AO43" s="45">
        <v>1.4886896905934588E-3</v>
      </c>
      <c r="AP43" s="45">
        <v>6.1890195526697056E-3</v>
      </c>
      <c r="AQ43" s="45">
        <v>2.9293942890744606E-3</v>
      </c>
      <c r="AR43" s="45">
        <v>5.8703479940036551E-3</v>
      </c>
      <c r="AS43" s="45">
        <v>-6.5670288454982018E-3</v>
      </c>
      <c r="AT43" s="45">
        <v>-9.9418399794037882E-4</v>
      </c>
      <c r="AU43" s="45">
        <v>3.5118055857625841E-3</v>
      </c>
      <c r="AV43" s="45">
        <v>-2.4560081681924029E-2</v>
      </c>
      <c r="AW43" s="43">
        <v>-5.6094755486846282E-4</v>
      </c>
      <c r="AX43" s="511">
        <v>0</v>
      </c>
      <c r="AY43" s="511">
        <v>0</v>
      </c>
      <c r="AZ43" s="511">
        <v>0</v>
      </c>
      <c r="BA43" s="511">
        <v>0</v>
      </c>
      <c r="BB43" s="511">
        <v>0</v>
      </c>
      <c r="BC43" s="511">
        <v>0</v>
      </c>
      <c r="BD43" s="511">
        <v>0</v>
      </c>
      <c r="BE43" s="511">
        <v>0</v>
      </c>
      <c r="BF43" s="511">
        <v>0</v>
      </c>
      <c r="BG43" s="511">
        <v>0</v>
      </c>
      <c r="BH43" s="511">
        <v>0</v>
      </c>
      <c r="BI43" s="511">
        <v>0</v>
      </c>
      <c r="BJ43" s="511">
        <v>0</v>
      </c>
      <c r="BK43" s="511">
        <v>0</v>
      </c>
      <c r="BL43" s="511">
        <v>0</v>
      </c>
      <c r="BM43" s="511">
        <v>0</v>
      </c>
      <c r="BN43" s="511">
        <v>0</v>
      </c>
      <c r="BO43" s="511">
        <v>0</v>
      </c>
      <c r="BP43" s="511">
        <v>0</v>
      </c>
      <c r="BQ43" s="511">
        <v>0</v>
      </c>
      <c r="BR43" s="42"/>
      <c r="BS43" s="232" t="e">
        <v>#DIV/0!</v>
      </c>
      <c r="BT43" s="232">
        <v>-8.5860736825835865E-3</v>
      </c>
      <c r="BU43" s="232">
        <v>4.0963825336189474E-2</v>
      </c>
      <c r="BV43" s="232">
        <v>4.1010108813606116E-2</v>
      </c>
      <c r="BW43" s="232">
        <v>0.16079199989391779</v>
      </c>
      <c r="BX43" s="232">
        <v>9.6009641826599657E-2</v>
      </c>
      <c r="BY43" s="232">
        <v>4.0016716224635207E-2</v>
      </c>
      <c r="BZ43" s="232">
        <v>4.6259430400717116E-2</v>
      </c>
      <c r="CA43" s="232">
        <v>0.31152452969125077</v>
      </c>
      <c r="CB43" s="232">
        <v>-3.6325754636236107E-2</v>
      </c>
      <c r="CC43" s="42">
        <v>-2.8356584607087232E-2</v>
      </c>
      <c r="CD43" s="42">
        <v>-2.9288436135250118E-2</v>
      </c>
      <c r="CE43" s="42">
        <v>7.6840891492949259E-2</v>
      </c>
      <c r="CF43" s="42">
        <v>8.2398161699481776E-3</v>
      </c>
      <c r="CG43" s="42">
        <v>-2.1977783394400596E-2</v>
      </c>
      <c r="CH43" s="42">
        <v>1.4813308482994891E-3</v>
      </c>
      <c r="CI43" s="42">
        <v>4.4944085647259158E-2</v>
      </c>
      <c r="CJ43" s="42">
        <v>0.33374557503875524</v>
      </c>
      <c r="CK43" s="42">
        <v>3.6936244614281799E-2</v>
      </c>
      <c r="CL43" s="42">
        <v>-1.2292669560989289E-2</v>
      </c>
      <c r="CM43" s="45">
        <v>4.1762333667769713E-3</v>
      </c>
      <c r="CN43" s="45">
        <v>5.7061195662799769E-4</v>
      </c>
      <c r="CO43" s="45">
        <v>1.3429942882294821E-3</v>
      </c>
      <c r="CP43" s="45">
        <v>-9.1613750562473673E-3</v>
      </c>
      <c r="CQ43" s="45">
        <v>1.40889443802239E-3</v>
      </c>
      <c r="CR43" s="45">
        <v>-1.1495066105544627E-3</v>
      </c>
      <c r="CS43" s="45">
        <v>-2.1406528589469787E-2</v>
      </c>
      <c r="CT43" s="45">
        <v>9.3111486652253106E-4</v>
      </c>
      <c r="CU43" s="45">
        <v>7.7817418617298628E-3</v>
      </c>
      <c r="CV43" s="45">
        <v>9.3981899705259941E-3</v>
      </c>
      <c r="CW43" s="45">
        <v>-7.7390485770956197E-4</v>
      </c>
      <c r="CX43" s="45">
        <v>2.5856515299782501E-3</v>
      </c>
      <c r="CY43" s="43">
        <v>-2.5739923956309418E-2</v>
      </c>
      <c r="CZ43" s="42">
        <v>-2.2204460492503131E-16</v>
      </c>
      <c r="DA43" s="42">
        <v>0</v>
      </c>
      <c r="DB43" s="42">
        <v>0</v>
      </c>
      <c r="DC43" s="42">
        <v>0</v>
      </c>
      <c r="DD43" s="42">
        <v>0</v>
      </c>
      <c r="DE43" s="42">
        <v>0</v>
      </c>
      <c r="DF43" s="42">
        <v>-2.2204460492503131E-16</v>
      </c>
      <c r="DG43" s="232">
        <v>0</v>
      </c>
      <c r="DH43" s="232">
        <v>0</v>
      </c>
      <c r="DI43" s="232">
        <v>-2.2204460492503131E-16</v>
      </c>
    </row>
    <row r="44" spans="1:113" outlineLevel="1">
      <c r="A44" s="1" t="s">
        <v>308</v>
      </c>
      <c r="B44" s="19" t="s">
        <v>219</v>
      </c>
      <c r="C44" s="232" t="e">
        <v>#DIV/0!</v>
      </c>
      <c r="D44" s="232">
        <v>-0.11304877324750828</v>
      </c>
      <c r="E44" s="232">
        <v>-4.6405898138909496E-2</v>
      </c>
      <c r="F44" s="232">
        <v>-6.7741742185018494E-2</v>
      </c>
      <c r="G44" s="232">
        <v>-4.4563924278093969E-2</v>
      </c>
      <c r="H44" s="232">
        <v>1.5179649750061808E-2</v>
      </c>
      <c r="I44" s="232">
        <v>-0.19517259795196817</v>
      </c>
      <c r="J44" s="232">
        <v>0.238747057891322</v>
      </c>
      <c r="K44" s="232">
        <v>-4.9768756102108735E-3</v>
      </c>
      <c r="L44" s="232">
        <v>2.9535163545773013E-2</v>
      </c>
      <c r="M44" s="42">
        <v>-1.3035830662565986E-2</v>
      </c>
      <c r="N44" s="42">
        <v>6.3273592313337623E-3</v>
      </c>
      <c r="O44" s="42">
        <v>0.19843401453358656</v>
      </c>
      <c r="P44" s="42">
        <v>7.1815810711286288E-2</v>
      </c>
      <c r="Q44" s="42">
        <v>8.9264653888332379E-3</v>
      </c>
      <c r="R44" s="42">
        <v>0.28903785226478074</v>
      </c>
      <c r="S44" s="42">
        <v>1.0081133506664508E-2</v>
      </c>
      <c r="T44" s="45">
        <v>3.7284788262229029E-2</v>
      </c>
      <c r="U44" s="42">
        <v>2.1703673564021919E-4</v>
      </c>
      <c r="V44" s="42">
        <v>-5.836756632575435E-3</v>
      </c>
      <c r="W44" s="42">
        <v>4.2391860686818994E-3</v>
      </c>
      <c r="X44" s="42">
        <v>4.5999548767827747E-5</v>
      </c>
      <c r="Y44" s="45">
        <v>-4.7192925655925588E-3</v>
      </c>
      <c r="Z44" s="45">
        <v>1.7261500176697364E-3</v>
      </c>
      <c r="AA44" s="45">
        <v>1.8814584973058102E-2</v>
      </c>
      <c r="AB44" s="45">
        <v>1.8604750690869754E-2</v>
      </c>
      <c r="AC44" s="45">
        <v>-7.6661186598114828E-3</v>
      </c>
      <c r="AD44" s="45">
        <v>1.5731494214634267E-2</v>
      </c>
      <c r="AE44" s="45">
        <v>1.7877756824131508E-2</v>
      </c>
      <c r="AF44" s="45">
        <v>2.8750617514856858E-2</v>
      </c>
      <c r="AG44" s="45">
        <v>1.1637522192727845E-2</v>
      </c>
      <c r="AH44" s="45">
        <v>-3.2496488762842612E-2</v>
      </c>
      <c r="AI44" s="45">
        <v>1.1891186062982673E-2</v>
      </c>
      <c r="AJ44" s="45">
        <v>-2.8634049531262584E-2</v>
      </c>
      <c r="AK44" s="45">
        <v>-2.969350485652289E-2</v>
      </c>
      <c r="AL44" s="45">
        <v>-3.8560102803934293E-2</v>
      </c>
      <c r="AM44" s="45">
        <v>-3.5498936728332819E-2</v>
      </c>
      <c r="AN44" s="45">
        <v>-9.4678394433482804E-3</v>
      </c>
      <c r="AO44" s="45">
        <v>2.0927605037535102E-2</v>
      </c>
      <c r="AP44" s="45">
        <v>1.4139511751881995E-2</v>
      </c>
      <c r="AQ44" s="45">
        <v>-1.0499995574366761E-2</v>
      </c>
      <c r="AR44" s="45">
        <v>-2.4450279468365865E-2</v>
      </c>
      <c r="AS44" s="45">
        <v>4.5835043641177853E-2</v>
      </c>
      <c r="AT44" s="45">
        <v>5.0577125385118382E-3</v>
      </c>
      <c r="AU44" s="45">
        <v>5.1431151743084325E-3</v>
      </c>
      <c r="AV44" s="45">
        <v>-4.6817058811448042E-2</v>
      </c>
      <c r="AW44" s="43">
        <v>-1.136426945867508E-2</v>
      </c>
      <c r="AX44" s="511">
        <v>0</v>
      </c>
      <c r="AY44" s="511">
        <v>0</v>
      </c>
      <c r="AZ44" s="511">
        <v>0</v>
      </c>
      <c r="BA44" s="511">
        <v>0</v>
      </c>
      <c r="BB44" s="511">
        <v>0</v>
      </c>
      <c r="BC44" s="511">
        <v>0</v>
      </c>
      <c r="BD44" s="511">
        <v>0</v>
      </c>
      <c r="BE44" s="511">
        <v>0</v>
      </c>
      <c r="BF44" s="511">
        <v>0</v>
      </c>
      <c r="BG44" s="511">
        <v>0</v>
      </c>
      <c r="BH44" s="511">
        <v>0</v>
      </c>
      <c r="BI44" s="511">
        <v>0</v>
      </c>
      <c r="BJ44" s="511">
        <v>0</v>
      </c>
      <c r="BK44" s="511">
        <v>0</v>
      </c>
      <c r="BL44" s="511">
        <v>0</v>
      </c>
      <c r="BM44" s="511">
        <v>0</v>
      </c>
      <c r="BN44" s="511">
        <v>0</v>
      </c>
      <c r="BO44" s="511">
        <v>0</v>
      </c>
      <c r="BP44" s="511">
        <v>0</v>
      </c>
      <c r="BQ44" s="511">
        <v>0</v>
      </c>
      <c r="BR44" s="42"/>
      <c r="BS44" s="232" t="e">
        <v>#DIV/0!</v>
      </c>
      <c r="BT44" s="232">
        <v>-4.5555956215959759E-2</v>
      </c>
      <c r="BU44" s="232">
        <v>-0.11441121673847066</v>
      </c>
      <c r="BV44" s="232">
        <v>-0.11000964068139618</v>
      </c>
      <c r="BW44" s="232">
        <v>8.1787121880576352E-2</v>
      </c>
      <c r="BX44" s="232">
        <v>0.12387306419942168</v>
      </c>
      <c r="BY44" s="232">
        <v>3.4411786795912613E-2</v>
      </c>
      <c r="BZ44" s="232">
        <v>0.1334341193506885</v>
      </c>
      <c r="CA44" s="232">
        <v>0.34949025047150872</v>
      </c>
      <c r="CB44" s="232">
        <v>-2.6982135686298259E-2</v>
      </c>
      <c r="CC44" s="42">
        <v>-0.15668135933422689</v>
      </c>
      <c r="CD44" s="42">
        <v>-0.11298176719095521</v>
      </c>
      <c r="CE44" s="42">
        <v>-0.19226620455484944</v>
      </c>
      <c r="CF44" s="42">
        <v>0.24847064874456048</v>
      </c>
      <c r="CG44" s="42">
        <v>1.7489569426767604E-2</v>
      </c>
      <c r="CH44" s="42">
        <v>0.2212246807967071</v>
      </c>
      <c r="CI44" s="42">
        <v>8.5776354527421494E-2</v>
      </c>
      <c r="CJ44" s="42">
        <v>0.29438543704473763</v>
      </c>
      <c r="CK44" s="42">
        <v>3.7403282107306257E-2</v>
      </c>
      <c r="CL44" s="42">
        <v>-1.6616994384562878E-3</v>
      </c>
      <c r="CM44" s="45">
        <v>-4.751659263085628E-3</v>
      </c>
      <c r="CN44" s="45">
        <v>2.0682890066179294E-2</v>
      </c>
      <c r="CO44" s="45">
        <v>1.1209840864767617E-2</v>
      </c>
      <c r="CP44" s="45">
        <v>3.4633759522167296E-2</v>
      </c>
      <c r="CQ44" s="45">
        <v>4.1932767879316435E-2</v>
      </c>
      <c r="CR44" s="45">
        <v>-2.1057288968223453E-2</v>
      </c>
      <c r="CS44" s="45">
        <v>-5.8386250940645534E-2</v>
      </c>
      <c r="CT44" s="45">
        <v>-7.4131734899060664E-2</v>
      </c>
      <c r="CU44" s="45">
        <v>1.1369636133284233E-2</v>
      </c>
      <c r="CV44" s="45">
        <v>3.9585892592721716E-3</v>
      </c>
      <c r="CW44" s="45">
        <v>2.1145297137855845E-2</v>
      </c>
      <c r="CX44" s="45">
        <v>1.0633611206514626E-2</v>
      </c>
      <c r="CY44" s="43">
        <v>-5.9966575198225458E-2</v>
      </c>
      <c r="CZ44" s="42">
        <v>0</v>
      </c>
      <c r="DA44" s="42">
        <v>-2.2204460492503131E-16</v>
      </c>
      <c r="DB44" s="42">
        <v>-2.2204460492503131E-16</v>
      </c>
      <c r="DC44" s="42">
        <v>0</v>
      </c>
      <c r="DD44" s="42">
        <v>-2.2204460492503131E-16</v>
      </c>
      <c r="DE44" s="42">
        <v>0</v>
      </c>
      <c r="DF44" s="42">
        <v>-2.2204460492503131E-16</v>
      </c>
      <c r="DG44" s="232">
        <v>0</v>
      </c>
      <c r="DH44" s="232">
        <v>-2.2204460492503131E-16</v>
      </c>
      <c r="DI44" s="232">
        <v>0</v>
      </c>
    </row>
    <row r="45" spans="1:113" outlineLevel="1">
      <c r="A45" s="1" t="s">
        <v>309</v>
      </c>
      <c r="B45" s="19" t="s">
        <v>220</v>
      </c>
      <c r="C45" s="232" t="e">
        <v>#VALUE!</v>
      </c>
      <c r="D45" s="232">
        <v>0.45373840527359777</v>
      </c>
      <c r="E45" s="232">
        <v>-2.0380261971125746E-2</v>
      </c>
      <c r="F45" s="232">
        <v>1.9270436632940369E-2</v>
      </c>
      <c r="G45" s="232">
        <v>-6.9596835437254256E-2</v>
      </c>
      <c r="H45" s="232">
        <v>-4.5139089699647528E-2</v>
      </c>
      <c r="I45" s="232">
        <v>-5.2883460128858584E-3</v>
      </c>
      <c r="J45" s="232">
        <v>4.3717351381372449E-2</v>
      </c>
      <c r="K45" s="232">
        <v>6.2705566771201759E-3</v>
      </c>
      <c r="L45" s="232">
        <v>-2.8191254131053611E-2</v>
      </c>
      <c r="M45" s="42">
        <v>3.2639909023724378E-2</v>
      </c>
      <c r="N45" s="42">
        <v>-4.6032458061959769E-3</v>
      </c>
      <c r="O45" s="42">
        <v>6.7166303060561816E-3</v>
      </c>
      <c r="P45" s="42">
        <v>-1.0305501627179137E-3</v>
      </c>
      <c r="Q45" s="42">
        <v>-2.1764229044746397E-2</v>
      </c>
      <c r="R45" s="42">
        <v>-6.502567961988108E-3</v>
      </c>
      <c r="S45" s="42">
        <v>2.5691906073646575E-2</v>
      </c>
      <c r="T45" s="45">
        <v>4.4213714976175211E-2</v>
      </c>
      <c r="U45" s="42">
        <v>-4.5058897825920319E-3</v>
      </c>
      <c r="V45" s="42">
        <v>-1.3270144516350779E-3</v>
      </c>
      <c r="W45" s="42">
        <v>1.414050136811329E-2</v>
      </c>
      <c r="X45" s="42">
        <v>6.8776434692084942E-3</v>
      </c>
      <c r="Y45" s="45">
        <v>8.9996849884617092E-3</v>
      </c>
      <c r="Z45" s="45">
        <v>1.9143617889621711E-2</v>
      </c>
      <c r="AA45" s="45">
        <v>2.0907600265386073E-2</v>
      </c>
      <c r="AB45" s="45">
        <v>2.034684680145693E-2</v>
      </c>
      <c r="AC45" s="45">
        <v>1.5069616978296896E-2</v>
      </c>
      <c r="AD45" s="45">
        <v>1.8634923042040175E-2</v>
      </c>
      <c r="AE45" s="45">
        <v>-8.3034169862902241E-3</v>
      </c>
      <c r="AF45" s="45">
        <v>2.0936402135127152E-2</v>
      </c>
      <c r="AG45" s="45">
        <v>-2.6378916353921866E-3</v>
      </c>
      <c r="AH45" s="45">
        <v>2.7068340812589353E-3</v>
      </c>
      <c r="AI45" s="45">
        <v>-7.7093434534553085E-3</v>
      </c>
      <c r="AJ45" s="45">
        <v>6.2763312380158531E-3</v>
      </c>
      <c r="AK45" s="45">
        <v>-6.0948558076393544E-3</v>
      </c>
      <c r="AL45" s="45">
        <v>-1.572179141000396E-2</v>
      </c>
      <c r="AM45" s="45">
        <v>-1.2706915269685148E-2</v>
      </c>
      <c r="AN45" s="45">
        <v>-1.0555615106646821E-2</v>
      </c>
      <c r="AO45" s="45">
        <v>-5.6895425518099452E-2</v>
      </c>
      <c r="AP45" s="45">
        <v>-5.1516710449173164E-4</v>
      </c>
      <c r="AQ45" s="45">
        <v>-9.7767429643005332E-3</v>
      </c>
      <c r="AR45" s="45">
        <v>3.646771924712966E-3</v>
      </c>
      <c r="AS45" s="45">
        <v>-3.4441948341341622E-3</v>
      </c>
      <c r="AT45" s="45">
        <v>2.6232673490438341E-2</v>
      </c>
      <c r="AU45" s="45">
        <v>3.1477801806676364E-3</v>
      </c>
      <c r="AV45" s="45">
        <v>1.1632201682434617E-2</v>
      </c>
      <c r="AW45" s="43">
        <v>-5.4953768188875873E-2</v>
      </c>
      <c r="AX45" s="511">
        <v>0</v>
      </c>
      <c r="AY45" s="511">
        <v>0</v>
      </c>
      <c r="AZ45" s="511">
        <v>0</v>
      </c>
      <c r="BA45" s="511">
        <v>0</v>
      </c>
      <c r="BB45" s="511">
        <v>0</v>
      </c>
      <c r="BC45" s="511">
        <v>0</v>
      </c>
      <c r="BD45" s="511">
        <v>0</v>
      </c>
      <c r="BE45" s="511">
        <v>0</v>
      </c>
      <c r="BF45" s="511">
        <v>0</v>
      </c>
      <c r="BG45" s="511">
        <v>0</v>
      </c>
      <c r="BH45" s="511">
        <v>0</v>
      </c>
      <c r="BI45" s="511">
        <v>0</v>
      </c>
      <c r="BJ45" s="511">
        <v>0</v>
      </c>
      <c r="BK45" s="511">
        <v>0</v>
      </c>
      <c r="BL45" s="511">
        <v>0</v>
      </c>
      <c r="BM45" s="511">
        <v>0</v>
      </c>
      <c r="BN45" s="511">
        <v>0</v>
      </c>
      <c r="BO45" s="511">
        <v>0</v>
      </c>
      <c r="BP45" s="511">
        <v>0</v>
      </c>
      <c r="BQ45" s="511">
        <v>0</v>
      </c>
      <c r="BR45" s="42"/>
      <c r="BS45" s="232" t="e">
        <v>#DIV/0!</v>
      </c>
      <c r="BT45" s="232">
        <v>3.8535939499760863E-3</v>
      </c>
      <c r="BU45" s="232">
        <v>-2.5927355171254218E-2</v>
      </c>
      <c r="BV45" s="232">
        <v>0.19166969346701479</v>
      </c>
      <c r="BW45" s="232">
        <v>-0.30413525645000306</v>
      </c>
      <c r="BX45" s="232">
        <v>1.3437333376511651E-2</v>
      </c>
      <c r="BY45" s="232">
        <v>0.16968743380620888</v>
      </c>
      <c r="BZ45" s="232">
        <v>0.13019697948219711</v>
      </c>
      <c r="CA45" s="232">
        <v>-0.38423866657734407</v>
      </c>
      <c r="CB45" s="232">
        <v>-1.0450729135904613E-2</v>
      </c>
      <c r="CC45" s="42">
        <v>0.44790874679599235</v>
      </c>
      <c r="CD45" s="42">
        <v>-5.3002755365241683E-2</v>
      </c>
      <c r="CE45" s="42">
        <v>-5.2852037548956066E-2</v>
      </c>
      <c r="CF45" s="42">
        <v>5.309530685889996E-2</v>
      </c>
      <c r="CG45" s="42">
        <v>3.4681580814215351E-3</v>
      </c>
      <c r="CH45" s="42">
        <v>2.0383783344815054E-3</v>
      </c>
      <c r="CI45" s="42">
        <v>-2.3573871792766488E-2</v>
      </c>
      <c r="CJ45" s="42">
        <v>1.7982127049211094E-2</v>
      </c>
      <c r="CK45" s="42">
        <v>3.9680565276644542E-2</v>
      </c>
      <c r="CL45" s="42">
        <v>1.2883984187779918E-2</v>
      </c>
      <c r="CM45" s="45">
        <v>1.5837952009329803E-2</v>
      </c>
      <c r="CN45" s="45">
        <v>4.0500780113531087E-2</v>
      </c>
      <c r="CO45" s="45">
        <v>3.585294062698674E-2</v>
      </c>
      <c r="CP45" s="45">
        <v>1.0164297684864376E-2</v>
      </c>
      <c r="CQ45" s="45">
        <v>1.8169056409292672E-2</v>
      </c>
      <c r="CR45" s="45">
        <v>-4.9973914298786504E-3</v>
      </c>
      <c r="CS45" s="45">
        <v>1.5473244008534781E-4</v>
      </c>
      <c r="CT45" s="45">
        <v>-2.7722583555465419E-2</v>
      </c>
      <c r="CU45" s="45">
        <v>-6.42553685808539E-2</v>
      </c>
      <c r="CV45" s="45">
        <v>-9.8159198583827045E-3</v>
      </c>
      <c r="CW45" s="45">
        <v>2.5685401508701577E-4</v>
      </c>
      <c r="CX45" s="45">
        <v>2.9557263750183971E-2</v>
      </c>
      <c r="CY45" s="43">
        <v>-4.4546832222883914E-2</v>
      </c>
      <c r="CZ45" s="42">
        <v>0</v>
      </c>
      <c r="DA45" s="42">
        <v>0</v>
      </c>
      <c r="DB45" s="42">
        <v>0</v>
      </c>
      <c r="DC45" s="42">
        <v>2.2204460492503131E-16</v>
      </c>
      <c r="DD45" s="42">
        <v>2.2204460492503131E-16</v>
      </c>
      <c r="DE45" s="42">
        <v>0</v>
      </c>
      <c r="DF45" s="42">
        <v>0</v>
      </c>
      <c r="DG45" s="232">
        <v>0</v>
      </c>
      <c r="DH45" s="232">
        <v>2.2204460492503131E-16</v>
      </c>
      <c r="DI45" s="232">
        <v>2.2204460492503131E-16</v>
      </c>
    </row>
    <row r="46" spans="1:113" outlineLevel="1">
      <c r="A46" s="1" t="s">
        <v>310</v>
      </c>
      <c r="B46" s="19" t="s">
        <v>221</v>
      </c>
      <c r="C46" s="232" t="e">
        <v>#VALUE!</v>
      </c>
      <c r="D46" s="232">
        <v>6.5626787776331019E-2</v>
      </c>
      <c r="E46" s="232">
        <v>3.8404672095246895E-2</v>
      </c>
      <c r="F46" s="232">
        <v>2.8715975562489948E-3</v>
      </c>
      <c r="G46" s="232">
        <v>6.7695547519363908E-2</v>
      </c>
      <c r="H46" s="232">
        <v>6.074530084972031E-2</v>
      </c>
      <c r="I46" s="232">
        <v>4.3624794438163361E-2</v>
      </c>
      <c r="J46" s="232">
        <v>2.7753566820059472E-2</v>
      </c>
      <c r="K46" s="232">
        <v>2.5972478529067589E-2</v>
      </c>
      <c r="L46" s="232">
        <v>2.4635280588740871E-2</v>
      </c>
      <c r="M46" s="42">
        <v>1.7631778616344018E-2</v>
      </c>
      <c r="N46" s="42">
        <v>6.8472206641414513E-3</v>
      </c>
      <c r="O46" s="42">
        <v>2.5205405696297589E-2</v>
      </c>
      <c r="P46" s="42">
        <v>3.7873504560237858E-2</v>
      </c>
      <c r="Q46" s="42">
        <v>1.5515566070821274E-2</v>
      </c>
      <c r="R46" s="42">
        <v>2.0281202445204816E-2</v>
      </c>
      <c r="S46" s="42">
        <v>-2.4358340352170771E-3</v>
      </c>
      <c r="T46" s="45">
        <v>-3.0812939813006257E-2</v>
      </c>
      <c r="U46" s="42">
        <v>-7.882937687168079E-3</v>
      </c>
      <c r="V46" s="42">
        <v>-1.2028362928934722E-2</v>
      </c>
      <c r="W46" s="42">
        <v>-1.1289669574072403E-2</v>
      </c>
      <c r="X46" s="42">
        <v>-3.8766273465514756E-3</v>
      </c>
      <c r="Y46" s="45">
        <v>-1.545975066040417E-2</v>
      </c>
      <c r="Z46" s="45">
        <v>1.3926137937865679E-2</v>
      </c>
      <c r="AA46" s="45">
        <v>1.1264286814342661E-2</v>
      </c>
      <c r="AB46" s="45">
        <v>-1.018425119798283E-2</v>
      </c>
      <c r="AC46" s="45">
        <v>-1.0938577506500291E-2</v>
      </c>
      <c r="AD46" s="45">
        <v>-5.39012595345989E-3</v>
      </c>
      <c r="AE46" s="45">
        <v>3.7541245393197809E-3</v>
      </c>
      <c r="AF46" s="45">
        <v>4.4186613026331312E-3</v>
      </c>
      <c r="AG46" s="45">
        <v>3.3627412838566073E-4</v>
      </c>
      <c r="AH46" s="45">
        <v>8.8723375004082783E-3</v>
      </c>
      <c r="AI46" s="45">
        <v>-1.3790955167080732E-2</v>
      </c>
      <c r="AJ46" s="45">
        <v>1.4531437488092269E-3</v>
      </c>
      <c r="AK46" s="45">
        <v>-5.2618430960518214E-3</v>
      </c>
      <c r="AL46" s="45">
        <v>-2.7484905417152206E-3</v>
      </c>
      <c r="AM46" s="45">
        <v>3.9505106304438264E-4</v>
      </c>
      <c r="AN46" s="45">
        <v>-5.974811646801248E-3</v>
      </c>
      <c r="AO46" s="45">
        <v>-1.0830611068399776E-3</v>
      </c>
      <c r="AP46" s="45">
        <v>1.2603001473902031E-2</v>
      </c>
      <c r="AQ46" s="45">
        <v>-1.0097549104303827E-2</v>
      </c>
      <c r="AR46" s="45">
        <v>-9.7283336891824668E-3</v>
      </c>
      <c r="AS46" s="45">
        <v>5.3085659484219949E-3</v>
      </c>
      <c r="AT46" s="45">
        <v>3.6621568405870164E-4</v>
      </c>
      <c r="AU46" s="45">
        <v>-3.7019841538177278E-3</v>
      </c>
      <c r="AV46" s="45">
        <v>-2.256980369567152E-2</v>
      </c>
      <c r="AW46" s="43">
        <v>-2.0046216539013617E-3</v>
      </c>
      <c r="AX46" s="511">
        <v>0</v>
      </c>
      <c r="AY46" s="511">
        <v>0</v>
      </c>
      <c r="AZ46" s="511">
        <v>0</v>
      </c>
      <c r="BA46" s="511">
        <v>0</v>
      </c>
      <c r="BB46" s="511">
        <v>0</v>
      </c>
      <c r="BC46" s="511">
        <v>0</v>
      </c>
      <c r="BD46" s="511">
        <v>0</v>
      </c>
      <c r="BE46" s="511">
        <v>0</v>
      </c>
      <c r="BF46" s="511">
        <v>0</v>
      </c>
      <c r="BG46" s="511">
        <v>0</v>
      </c>
      <c r="BH46" s="511">
        <v>0</v>
      </c>
      <c r="BI46" s="511">
        <v>0</v>
      </c>
      <c r="BJ46" s="511">
        <v>0</v>
      </c>
      <c r="BK46" s="511">
        <v>0</v>
      </c>
      <c r="BL46" s="511">
        <v>0</v>
      </c>
      <c r="BM46" s="511">
        <v>0</v>
      </c>
      <c r="BN46" s="511">
        <v>0</v>
      </c>
      <c r="BO46" s="511">
        <v>0</v>
      </c>
      <c r="BP46" s="511">
        <v>0</v>
      </c>
      <c r="BQ46" s="511">
        <v>0</v>
      </c>
      <c r="BR46" s="42"/>
      <c r="BS46" s="232" t="e">
        <v>#VALUE!</v>
      </c>
      <c r="BT46" s="232" t="e">
        <v>#VALUE!</v>
      </c>
      <c r="BU46" s="232" t="e">
        <v>#VALUE!</v>
      </c>
      <c r="BV46" s="232" t="e">
        <v>#VALUE!</v>
      </c>
      <c r="BW46" s="232">
        <v>0.28043167867505159</v>
      </c>
      <c r="BX46" s="232">
        <v>0.18691455456117456</v>
      </c>
      <c r="BY46" s="232">
        <v>0.1348108598064619</v>
      </c>
      <c r="BZ46" s="232">
        <v>0.13019457537372126</v>
      </c>
      <c r="CA46" s="232">
        <v>2.298371164500157E-3</v>
      </c>
      <c r="CB46" s="232">
        <v>6.007356053838997E-2</v>
      </c>
      <c r="CC46" s="42">
        <v>0.11088572586125056</v>
      </c>
      <c r="CD46" s="42">
        <v>7.427185296100669E-2</v>
      </c>
      <c r="CE46" s="42">
        <v>0.11561168744420147</v>
      </c>
      <c r="CF46" s="42">
        <v>5.8586619818990826E-2</v>
      </c>
      <c r="CG46" s="42">
        <v>4.563449577114076E-2</v>
      </c>
      <c r="CH46" s="42">
        <v>3.438410940224812E-2</v>
      </c>
      <c r="CI46" s="42">
        <v>5.6014776466633887E-2</v>
      </c>
      <c r="CJ46" s="42">
        <v>1.8155504752801255E-2</v>
      </c>
      <c r="CK46" s="42">
        <v>-3.8973777756566186E-2</v>
      </c>
      <c r="CL46" s="42">
        <v>-2.3351935426977111E-2</v>
      </c>
      <c r="CM46" s="45">
        <v>-1.9373856033154335E-2</v>
      </c>
      <c r="CN46" s="45">
        <v>2.600371079308772E-2</v>
      </c>
      <c r="CO46" s="45">
        <v>-2.1565203906332986E-2</v>
      </c>
      <c r="CP46" s="45">
        <v>-1.7595592398671478E-3</v>
      </c>
      <c r="CQ46" s="45">
        <v>4.9737932555442566E-3</v>
      </c>
      <c r="CR46" s="45">
        <v>-5.3515710542841877E-3</v>
      </c>
      <c r="CS46" s="45">
        <v>-3.9137188710740567E-3</v>
      </c>
      <c r="CT46" s="45">
        <v>-2.4342449789305221E-3</v>
      </c>
      <c r="CU46" s="45">
        <v>-7.2448682093098071E-3</v>
      </c>
      <c r="CV46" s="45">
        <v>2.5751994506546527E-3</v>
      </c>
      <c r="CW46" s="45">
        <v>-4.4989415045790793E-3</v>
      </c>
      <c r="CX46" s="45">
        <v>-3.4023778888414569E-3</v>
      </c>
      <c r="CY46" s="43">
        <v>-2.4911740626312628E-2</v>
      </c>
      <c r="CZ46" s="42">
        <v>2.2204460492503131E-16</v>
      </c>
      <c r="DA46" s="42">
        <v>2.2204460492503131E-16</v>
      </c>
      <c r="DB46" s="42">
        <v>-2.2204460492503131E-16</v>
      </c>
      <c r="DC46" s="42">
        <v>-2.2204460492503131E-16</v>
      </c>
      <c r="DD46" s="42">
        <v>-2.2204460492503131E-16</v>
      </c>
      <c r="DE46" s="42">
        <v>0</v>
      </c>
      <c r="DF46" s="42">
        <v>0</v>
      </c>
      <c r="DG46" s="232">
        <v>0</v>
      </c>
      <c r="DH46" s="232">
        <v>0</v>
      </c>
      <c r="DI46" s="232">
        <v>0</v>
      </c>
    </row>
    <row r="47" spans="1:113" outlineLevel="1">
      <c r="A47" s="1" t="s">
        <v>311</v>
      </c>
      <c r="B47" s="19" t="s">
        <v>317</v>
      </c>
      <c r="C47" s="232" t="e">
        <v>#VALUE!</v>
      </c>
      <c r="D47" s="232">
        <v>-4.7404721294297625E-2</v>
      </c>
      <c r="E47" s="232">
        <v>-5.1355524610569803E-2</v>
      </c>
      <c r="F47" s="232">
        <v>4.9131260653053177E-2</v>
      </c>
      <c r="G47" s="232">
        <v>-2.5829294802713787E-2</v>
      </c>
      <c r="H47" s="232">
        <v>0.1053873755286896</v>
      </c>
      <c r="I47" s="232">
        <v>-2.1632075759067337E-2</v>
      </c>
      <c r="J47" s="232">
        <v>6.7589670667047352E-2</v>
      </c>
      <c r="K47" s="232">
        <v>-8.1676706005279001E-2</v>
      </c>
      <c r="L47" s="232">
        <v>9.4254944084868564E-2</v>
      </c>
      <c r="M47" s="42">
        <v>-4.3182455100146733E-2</v>
      </c>
      <c r="N47" s="42">
        <v>3.3164763123215465E-2</v>
      </c>
      <c r="O47" s="42">
        <v>-6.3343409830065145E-2</v>
      </c>
      <c r="P47" s="42">
        <v>6.7929059442240369E-2</v>
      </c>
      <c r="Q47" s="42">
        <v>-6.1238208591408716E-2</v>
      </c>
      <c r="R47" s="42">
        <v>3.4789244605401226E-2</v>
      </c>
      <c r="S47" s="42">
        <v>-2.5894665433439767E-2</v>
      </c>
      <c r="T47" s="45">
        <v>6.0224920724686548E-2</v>
      </c>
      <c r="U47" s="42">
        <v>-1.5216983960214203E-2</v>
      </c>
      <c r="V47" s="42">
        <v>3.8908912340744228E-2</v>
      </c>
      <c r="W47" s="42">
        <v>-3.0145912422220977E-2</v>
      </c>
      <c r="X47" s="42">
        <v>-2.6655106547313068E-3</v>
      </c>
      <c r="Y47" s="45">
        <v>-2.2476094640131339E-2</v>
      </c>
      <c r="Z47" s="45">
        <v>2.6231712815234509E-2</v>
      </c>
      <c r="AA47" s="45">
        <v>-2.1070804349069383E-2</v>
      </c>
      <c r="AB47" s="45">
        <v>6.0792259975121388E-2</v>
      </c>
      <c r="AC47" s="45">
        <v>-7.9783503526169586E-3</v>
      </c>
      <c r="AD47" s="45">
        <v>4.1735803663872639E-2</v>
      </c>
      <c r="AE47" s="45">
        <v>-5.0549075630052953E-2</v>
      </c>
      <c r="AF47" s="45">
        <v>2.4481075915970374E-2</v>
      </c>
      <c r="AG47" s="45">
        <v>-3.899362761171854E-2</v>
      </c>
      <c r="AH47" s="45">
        <v>6.1448120618241564E-2</v>
      </c>
      <c r="AI47" s="45">
        <v>-4.5270334707659843E-2</v>
      </c>
      <c r="AJ47" s="45">
        <v>7.8103224400649207E-2</v>
      </c>
      <c r="AK47" s="45">
        <v>-5.0588451058432571E-2</v>
      </c>
      <c r="AL47" s="45">
        <v>3.1344735971931437E-2</v>
      </c>
      <c r="AM47" s="45">
        <v>-3.8100874108984106E-2</v>
      </c>
      <c r="AN47" s="45">
        <v>1.7664141708142678E-2</v>
      </c>
      <c r="AO47" s="45">
        <v>-0.15570264729384731</v>
      </c>
      <c r="AP47" s="45">
        <v>8.8497632723514075E-2</v>
      </c>
      <c r="AQ47" s="45">
        <v>-4.5340904249285052E-2</v>
      </c>
      <c r="AR47" s="45">
        <v>-2.3497010853579692E-2</v>
      </c>
      <c r="AS47" s="45">
        <v>-6.2212475150442259E-2</v>
      </c>
      <c r="AT47" s="45">
        <v>5.319519224360203E-2</v>
      </c>
      <c r="AU47" s="45">
        <v>-3.4683085629062638E-2</v>
      </c>
      <c r="AV47" s="45">
        <v>1.3379986657070297E-2</v>
      </c>
      <c r="AW47" s="43">
        <v>-3.8231945020701485E-2</v>
      </c>
      <c r="AX47" s="511">
        <v>0</v>
      </c>
      <c r="AY47" s="511">
        <v>0</v>
      </c>
      <c r="AZ47" s="511">
        <v>0</v>
      </c>
      <c r="BA47" s="511">
        <v>0</v>
      </c>
      <c r="BB47" s="511">
        <v>0</v>
      </c>
      <c r="BC47" s="511">
        <v>0</v>
      </c>
      <c r="BD47" s="511">
        <v>0</v>
      </c>
      <c r="BE47" s="511">
        <v>0</v>
      </c>
      <c r="BF47" s="511">
        <v>0</v>
      </c>
      <c r="BG47" s="511">
        <v>0</v>
      </c>
      <c r="BH47" s="511">
        <v>0</v>
      </c>
      <c r="BI47" s="511">
        <v>0</v>
      </c>
      <c r="BJ47" s="511">
        <v>0</v>
      </c>
      <c r="BK47" s="511">
        <v>0</v>
      </c>
      <c r="BL47" s="511">
        <v>0</v>
      </c>
      <c r="BM47" s="511">
        <v>0</v>
      </c>
      <c r="BN47" s="511">
        <v>0</v>
      </c>
      <c r="BO47" s="511">
        <v>0</v>
      </c>
      <c r="BP47" s="511">
        <v>0</v>
      </c>
      <c r="BQ47" s="511">
        <v>0</v>
      </c>
      <c r="BR47" s="42"/>
      <c r="BS47" s="232" t="e">
        <v>#VALUE!</v>
      </c>
      <c r="BT47" s="232" t="e">
        <v>#VALUE!</v>
      </c>
      <c r="BU47" s="232" t="e">
        <v>#VALUE!</v>
      </c>
      <c r="BV47" s="232" t="e">
        <v>#VALUE!</v>
      </c>
      <c r="BW47" s="232">
        <v>0.54939453599072263</v>
      </c>
      <c r="BX47" s="232">
        <v>0.59614846243109954</v>
      </c>
      <c r="BY47" s="232">
        <v>-0.32387285447203817</v>
      </c>
      <c r="BZ47" s="232">
        <v>1.2295031638348755</v>
      </c>
      <c r="CA47" s="232">
        <v>1.7443489682356645</v>
      </c>
      <c r="CB47" s="232">
        <v>-0.70314096389197456</v>
      </c>
      <c r="CC47" s="42">
        <v>-0.52320560724375353</v>
      </c>
      <c r="CD47" s="42">
        <v>2.109966672961594E-2</v>
      </c>
      <c r="CE47" s="42">
        <v>8.555899150377666E-2</v>
      </c>
      <c r="CF47" s="42">
        <v>-1.9027790024347402E-2</v>
      </c>
      <c r="CG47" s="42">
        <v>4.9949089961055959E-2</v>
      </c>
      <c r="CH47" s="42">
        <v>-3.5142888292876817E-2</v>
      </c>
      <c r="CI47" s="42">
        <v>2.4606603903281066E-3</v>
      </c>
      <c r="CJ47" s="42">
        <v>5.5384157289084524E-3</v>
      </c>
      <c r="CK47" s="42">
        <v>4.359878519381033E-2</v>
      </c>
      <c r="CL47" s="42">
        <v>6.9355056151736427E-3</v>
      </c>
      <c r="CM47" s="45">
        <v>-2.6250099848695863E-2</v>
      </c>
      <c r="CN47" s="45">
        <v>4.0549997238492619E-3</v>
      </c>
      <c r="CO47" s="45">
        <v>5.2178100200877431E-2</v>
      </c>
      <c r="CP47" s="45">
        <v>-1.07606015543944E-2</v>
      </c>
      <c r="CQ47" s="45">
        <v>-1.6175406690077443E-2</v>
      </c>
      <c r="CR47" s="45">
        <v>1.339313361825778E-2</v>
      </c>
      <c r="CS47" s="45">
        <v>2.5037577472455608E-2</v>
      </c>
      <c r="CT47" s="45">
        <v>-7.6879813174506317E-3</v>
      </c>
      <c r="CU47" s="45">
        <v>-0.142592493345856</v>
      </c>
      <c r="CV47" s="45">
        <v>3.9000208354499022E-2</v>
      </c>
      <c r="CW47" s="45">
        <v>-8.5423053526559989E-2</v>
      </c>
      <c r="CX47" s="45">
        <v>1.6514288243207442E-2</v>
      </c>
      <c r="CY47" s="43">
        <v>-2.5706019137616609E-2</v>
      </c>
      <c r="CZ47" s="42">
        <v>-1.1102230246251565E-16</v>
      </c>
      <c r="DA47" s="42">
        <v>0</v>
      </c>
      <c r="DB47" s="42">
        <v>0</v>
      </c>
      <c r="DC47" s="42">
        <v>0</v>
      </c>
      <c r="DD47" s="42">
        <v>0</v>
      </c>
      <c r="DE47" s="42">
        <v>2.2204460492503131E-16</v>
      </c>
      <c r="DF47" s="42">
        <v>-2.2204460492503131E-16</v>
      </c>
      <c r="DG47" s="232">
        <v>0</v>
      </c>
      <c r="DH47" s="232">
        <v>0</v>
      </c>
      <c r="DI47" s="232">
        <v>-2.2204460492503131E-16</v>
      </c>
    </row>
    <row r="48" spans="1:113" outlineLevel="1">
      <c r="A48" s="1" t="s">
        <v>312</v>
      </c>
      <c r="B48" s="19" t="s">
        <v>318</v>
      </c>
      <c r="C48" s="232" t="e">
        <v>#VALUE!</v>
      </c>
      <c r="D48" s="232" t="e">
        <v>#DIV/0!</v>
      </c>
      <c r="E48" s="232" t="e">
        <v>#DIV/0!</v>
      </c>
      <c r="F48" s="232" t="e">
        <v>#DIV/0!</v>
      </c>
      <c r="G48" s="232" t="e">
        <v>#DIV/0!</v>
      </c>
      <c r="H48" s="232" t="e">
        <v>#DIV/0!</v>
      </c>
      <c r="I48" s="232" t="e">
        <v>#DIV/0!</v>
      </c>
      <c r="J48" s="232" t="e">
        <v>#DIV/0!</v>
      </c>
      <c r="K48" s="232" t="e">
        <v>#DIV/0!</v>
      </c>
      <c r="L48" s="232" t="e">
        <v>#DIV/0!</v>
      </c>
      <c r="M48" s="42" t="e">
        <v>#DIV/0!</v>
      </c>
      <c r="N48" s="42" t="e">
        <v>#DIV/0!</v>
      </c>
      <c r="O48" s="42" t="e">
        <v>#DIV/0!</v>
      </c>
      <c r="P48" s="42" t="e">
        <v>#DIV/0!</v>
      </c>
      <c r="Q48" s="42" t="e">
        <v>#DIV/0!</v>
      </c>
      <c r="R48" s="42" t="e">
        <v>#DIV/0!</v>
      </c>
      <c r="S48" s="42" t="e">
        <v>#DIV/0!</v>
      </c>
      <c r="T48" s="45" t="e">
        <v>#DIV/0!</v>
      </c>
      <c r="U48" s="42">
        <v>2.2527808049302989E-2</v>
      </c>
      <c r="V48" s="42">
        <v>9.0112773613482577E-2</v>
      </c>
      <c r="W48" s="42">
        <v>1.7361989043407355E-3</v>
      </c>
      <c r="X48" s="42">
        <v>3.4225449283166176E-2</v>
      </c>
      <c r="Y48" s="45">
        <v>1.7349894257070231E-2</v>
      </c>
      <c r="Z48" s="45">
        <v>4.9203180905928345E-2</v>
      </c>
      <c r="AA48" s="45">
        <v>-2.5237444154323829E-2</v>
      </c>
      <c r="AB48" s="45">
        <v>-4.1322773910124511E-2</v>
      </c>
      <c r="AC48" s="45">
        <v>3.1332732666828012E-2</v>
      </c>
      <c r="AD48" s="45">
        <v>-8.9790625032330484E-2</v>
      </c>
      <c r="AE48" s="45">
        <v>-7.5681835215291482E-2</v>
      </c>
      <c r="AF48" s="45">
        <v>-5.208123658654773E-2</v>
      </c>
      <c r="AG48" s="45">
        <v>1.6353668451934644E-2</v>
      </c>
      <c r="AH48" s="45">
        <v>-2.4075032309883615E-2</v>
      </c>
      <c r="AI48" s="45">
        <v>-4.6092024334551729E-2</v>
      </c>
      <c r="AJ48" s="45">
        <v>-0.10735259888685278</v>
      </c>
      <c r="AK48" s="45">
        <v>-6.799332864096308E-2</v>
      </c>
      <c r="AL48" s="45">
        <v>-4.4142570387260771E-2</v>
      </c>
      <c r="AM48" s="45">
        <v>-2.3171288763564446E-2</v>
      </c>
      <c r="AN48" s="45">
        <v>-0.10217487534845138</v>
      </c>
      <c r="AO48" s="45">
        <v>-0.17120968069103526</v>
      </c>
      <c r="AP48" s="45">
        <v>-0.11839134922399508</v>
      </c>
      <c r="AQ48" s="45">
        <v>-0.18590850876056053</v>
      </c>
      <c r="AR48" s="45">
        <v>-0.16805746816672873</v>
      </c>
      <c r="AS48" s="45">
        <v>-0.18463352535044986</v>
      </c>
      <c r="AT48" s="45">
        <v>-0.19811260698454303</v>
      </c>
      <c r="AU48" s="45">
        <v>-8.2999107075155232E-2</v>
      </c>
      <c r="AV48" s="45">
        <v>-0.71563937290717239</v>
      </c>
      <c r="AW48" s="43">
        <v>-0.21766155460977765</v>
      </c>
      <c r="AX48" s="511">
        <v>0</v>
      </c>
      <c r="AY48" s="511">
        <v>0</v>
      </c>
      <c r="AZ48" s="511">
        <v>0</v>
      </c>
      <c r="BA48" s="511">
        <v>0</v>
      </c>
      <c r="BB48" s="511">
        <v>0</v>
      </c>
      <c r="BC48" s="511">
        <v>0</v>
      </c>
      <c r="BD48" s="511">
        <v>0</v>
      </c>
      <c r="BE48" s="511">
        <v>0</v>
      </c>
      <c r="BF48" s="511">
        <v>0</v>
      </c>
      <c r="BG48" s="511">
        <v>0</v>
      </c>
      <c r="BH48" s="511">
        <v>0</v>
      </c>
      <c r="BI48" s="511">
        <v>0</v>
      </c>
      <c r="BJ48" s="511">
        <v>0</v>
      </c>
      <c r="BK48" s="511">
        <v>0</v>
      </c>
      <c r="BL48" s="511">
        <v>0</v>
      </c>
      <c r="BM48" s="511">
        <v>0</v>
      </c>
      <c r="BN48" s="511">
        <v>0</v>
      </c>
      <c r="BO48" s="511">
        <v>0</v>
      </c>
      <c r="BP48" s="511">
        <v>0</v>
      </c>
      <c r="BQ48" s="511">
        <v>0</v>
      </c>
      <c r="BR48" s="42"/>
      <c r="BS48" s="232" t="e">
        <v>#DIV/0!</v>
      </c>
      <c r="BT48" s="232" t="e">
        <v>#DIV/0!</v>
      </c>
      <c r="BU48" s="232" t="e">
        <v>#DIV/0!</v>
      </c>
      <c r="BV48" s="232" t="e">
        <v>#DIV/0!</v>
      </c>
      <c r="BW48" s="232" t="e">
        <v>#DIV/0!</v>
      </c>
      <c r="BX48" s="232" t="e">
        <v>#DIV/0!</v>
      </c>
      <c r="BY48" s="232" t="e">
        <v>#DIV/0!</v>
      </c>
      <c r="BZ48" s="232" t="e">
        <v>#DIV/0!</v>
      </c>
      <c r="CA48" s="232" t="e">
        <v>#DIV/0!</v>
      </c>
      <c r="CB48" s="232" t="e">
        <v>#DIV/0!</v>
      </c>
      <c r="CC48" s="42" t="e">
        <v>#DIV/0!</v>
      </c>
      <c r="CD48" s="42" t="e">
        <v>#DIV/0!</v>
      </c>
      <c r="CE48" s="42" t="e">
        <v>#DIV/0!</v>
      </c>
      <c r="CF48" s="42" t="e">
        <v>#DIV/0!</v>
      </c>
      <c r="CG48" s="42" t="e">
        <v>#DIV/0!</v>
      </c>
      <c r="CH48" s="42" t="e">
        <v>#DIV/0!</v>
      </c>
      <c r="CI48" s="42" t="e">
        <v>#DIV/0!</v>
      </c>
      <c r="CJ48" s="42" t="e">
        <v>#DIV/0!</v>
      </c>
      <c r="CK48" s="42" t="e">
        <v>#DIV/0!</v>
      </c>
      <c r="CL48" s="42">
        <v>9.2005426216638098E-2</v>
      </c>
      <c r="CM48" s="45">
        <v>5.2169151466199937E-2</v>
      </c>
      <c r="CN48" s="45">
        <v>2.2723974221276144E-2</v>
      </c>
      <c r="CO48" s="45">
        <v>-1.251403537074558E-2</v>
      </c>
      <c r="CP48" s="45">
        <v>-0.16387991088869347</v>
      </c>
      <c r="CQ48" s="45">
        <v>-3.7942059503420111E-2</v>
      </c>
      <c r="CR48" s="45">
        <v>-7.1559847602269744E-2</v>
      </c>
      <c r="CS48" s="45">
        <v>-0.17300947668873035</v>
      </c>
      <c r="CT48" s="45">
        <v>-6.7903292467536347E-2</v>
      </c>
      <c r="CU48" s="45">
        <v>-0.26239166861064311</v>
      </c>
      <c r="CV48" s="45">
        <v>-0.29479713663997908</v>
      </c>
      <c r="CW48" s="45">
        <v>-0.33455328427308828</v>
      </c>
      <c r="CX48" s="45">
        <v>-0.269754278962275</v>
      </c>
      <c r="CY48" s="43">
        <v>-0.79621877738029312</v>
      </c>
      <c r="CZ48" s="42">
        <v>-2.2204460492503131E-16</v>
      </c>
      <c r="DA48" s="42">
        <v>0</v>
      </c>
      <c r="DB48" s="42">
        <v>-2.2204460492503131E-16</v>
      </c>
      <c r="DC48" s="42">
        <v>2.2204460492503131E-16</v>
      </c>
      <c r="DD48" s="42">
        <v>2.2204460492503131E-16</v>
      </c>
      <c r="DE48" s="42">
        <v>2.2204460492503131E-16</v>
      </c>
      <c r="DF48" s="42">
        <v>0</v>
      </c>
      <c r="DG48" s="232">
        <v>2.2204460492503131E-16</v>
      </c>
      <c r="DH48" s="232">
        <v>-2.2204460492503131E-16</v>
      </c>
      <c r="DI48" s="232">
        <v>-2.2204460492503131E-16</v>
      </c>
    </row>
    <row r="49" spans="1:113" outlineLevel="1">
      <c r="A49" s="1" t="s">
        <v>382</v>
      </c>
      <c r="B49" s="19" t="s">
        <v>319</v>
      </c>
      <c r="C49" s="232" t="e">
        <v>#VALUE!</v>
      </c>
      <c r="D49" s="232" t="e">
        <v>#DIV/0!</v>
      </c>
      <c r="E49" s="232" t="e">
        <v>#DIV/0!</v>
      </c>
      <c r="F49" s="232" t="e">
        <v>#DIV/0!</v>
      </c>
      <c r="G49" s="232" t="e">
        <v>#DIV/0!</v>
      </c>
      <c r="H49" s="232" t="e">
        <v>#DIV/0!</v>
      </c>
      <c r="I49" s="232" t="e">
        <v>#DIV/0!</v>
      </c>
      <c r="J49" s="232" t="e">
        <v>#DIV/0!</v>
      </c>
      <c r="K49" s="232" t="e">
        <v>#DIV/0!</v>
      </c>
      <c r="L49" s="232" t="e">
        <v>#DIV/0!</v>
      </c>
      <c r="M49" s="42" t="e">
        <v>#DIV/0!</v>
      </c>
      <c r="N49" s="42" t="e">
        <v>#DIV/0!</v>
      </c>
      <c r="O49" s="42" t="e">
        <v>#DIV/0!</v>
      </c>
      <c r="P49" s="42" t="e">
        <v>#DIV/0!</v>
      </c>
      <c r="Q49" s="42" t="e">
        <v>#DIV/0!</v>
      </c>
      <c r="R49" s="42" t="e">
        <v>#DIV/0!</v>
      </c>
      <c r="S49" s="42" t="e">
        <v>#DIV/0!</v>
      </c>
      <c r="T49" s="45" t="e">
        <v>#DIV/0!</v>
      </c>
      <c r="U49" s="42">
        <v>-0.14289511269729571</v>
      </c>
      <c r="V49" s="42">
        <v>3.0514154511527503E-2</v>
      </c>
      <c r="W49" s="42">
        <v>0.1105349848379904</v>
      </c>
      <c r="X49" s="42">
        <v>9.1426729694886077E-2</v>
      </c>
      <c r="Y49" s="45">
        <v>0.1457792037534138</v>
      </c>
      <c r="Z49" s="45">
        <v>6.6329959359877178E-2</v>
      </c>
      <c r="AA49" s="45">
        <v>0.13129709448090909</v>
      </c>
      <c r="AB49" s="45">
        <v>0.23902465518360549</v>
      </c>
      <c r="AC49" s="45">
        <v>4.5727919372618997E-2</v>
      </c>
      <c r="AD49" s="45">
        <v>1.7054180268237906E-2</v>
      </c>
      <c r="AE49" s="45">
        <v>-3.521793872512291E-2</v>
      </c>
      <c r="AF49" s="45">
        <v>9.2499043690452698E-3</v>
      </c>
      <c r="AG49" s="45">
        <v>-9.628400148228633E-3</v>
      </c>
      <c r="AH49" s="45">
        <v>-3.8383646315525155E-2</v>
      </c>
      <c r="AI49" s="45">
        <v>8.5508431602003387E-2</v>
      </c>
      <c r="AJ49" s="45">
        <v>2.9554936447269142E-3</v>
      </c>
      <c r="AK49" s="45">
        <v>-7.0421334914294254E-2</v>
      </c>
      <c r="AL49" s="45">
        <v>-8.0728164837622129E-2</v>
      </c>
      <c r="AM49" s="45">
        <v>-0.17348334220903872</v>
      </c>
      <c r="AN49" s="45">
        <v>-0.10536932956054013</v>
      </c>
      <c r="AO49" s="45">
        <v>-9.5845000103994993E-2</v>
      </c>
      <c r="AP49" s="45">
        <v>2.1289717798627761E-2</v>
      </c>
      <c r="AQ49" s="45">
        <v>2.3044033124463237E-2</v>
      </c>
      <c r="AR49" s="45">
        <v>-3.5345614012334048E-2</v>
      </c>
      <c r="AS49" s="45">
        <v>-9.7772491909298709E-2</v>
      </c>
      <c r="AT49" s="45">
        <v>-0.18387075246497142</v>
      </c>
      <c r="AU49" s="45">
        <v>-2.8100418766515589E-2</v>
      </c>
      <c r="AV49" s="45">
        <v>2.2385541649452723E-2</v>
      </c>
      <c r="AW49" s="43">
        <v>-2.6424712801729089E-2</v>
      </c>
      <c r="AX49" s="511">
        <v>0</v>
      </c>
      <c r="AY49" s="511">
        <v>0</v>
      </c>
      <c r="AZ49" s="511">
        <v>0</v>
      </c>
      <c r="BA49" s="511">
        <v>0</v>
      </c>
      <c r="BB49" s="511">
        <v>0</v>
      </c>
      <c r="BC49" s="511">
        <v>0</v>
      </c>
      <c r="BD49" s="511">
        <v>0</v>
      </c>
      <c r="BE49" s="511">
        <v>0</v>
      </c>
      <c r="BF49" s="511">
        <v>0</v>
      </c>
      <c r="BG49" s="511">
        <v>0</v>
      </c>
      <c r="BH49" s="511">
        <v>0</v>
      </c>
      <c r="BI49" s="511">
        <v>0</v>
      </c>
      <c r="BJ49" s="511">
        <v>0</v>
      </c>
      <c r="BK49" s="511">
        <v>0</v>
      </c>
      <c r="BL49" s="511">
        <v>0</v>
      </c>
      <c r="BM49" s="511">
        <v>0</v>
      </c>
      <c r="BN49" s="511">
        <v>0</v>
      </c>
      <c r="BO49" s="511">
        <v>0</v>
      </c>
      <c r="BP49" s="511">
        <v>0</v>
      </c>
      <c r="BQ49" s="511">
        <v>0</v>
      </c>
      <c r="BR49" s="42"/>
      <c r="BS49" s="232" t="e">
        <v>#DIV/0!</v>
      </c>
      <c r="BT49" s="232" t="e">
        <v>#DIV/0!</v>
      </c>
      <c r="BU49" s="232" t="e">
        <v>#DIV/0!</v>
      </c>
      <c r="BV49" s="232" t="e">
        <v>#DIV/0!</v>
      </c>
      <c r="BW49" s="232" t="e">
        <v>#DIV/0!</v>
      </c>
      <c r="BX49" s="232" t="e">
        <v>#DIV/0!</v>
      </c>
      <c r="BY49" s="232" t="e">
        <v>#DIV/0!</v>
      </c>
      <c r="BZ49" s="232" t="e">
        <v>#DIV/0!</v>
      </c>
      <c r="CA49" s="232" t="e">
        <v>#DIV/0!</v>
      </c>
      <c r="CB49" s="232" t="e">
        <v>#DIV/0!</v>
      </c>
      <c r="CC49" s="42" t="e">
        <v>#DIV/0!</v>
      </c>
      <c r="CD49" s="42" t="e">
        <v>#DIV/0!</v>
      </c>
      <c r="CE49" s="42" t="e">
        <v>#DIV/0!</v>
      </c>
      <c r="CF49" s="42" t="e">
        <v>#DIV/0!</v>
      </c>
      <c r="CG49" s="42" t="e">
        <v>#DIV/0!</v>
      </c>
      <c r="CH49" s="42" t="e">
        <v>#DIV/0!</v>
      </c>
      <c r="CI49" s="42" t="e">
        <v>#DIV/0!</v>
      </c>
      <c r="CJ49" s="42" t="e">
        <v>#DIV/0!</v>
      </c>
      <c r="CK49" s="42" t="e">
        <v>#DIV/0!</v>
      </c>
      <c r="CL49" s="42" t="e">
        <v>#DIV/0!</v>
      </c>
      <c r="CM49" s="45" t="e">
        <v>#DIV/0!</v>
      </c>
      <c r="CN49" s="45" t="e">
        <v>#DIV/0!</v>
      </c>
      <c r="CO49" s="45" t="e">
        <v>#DIV/0!</v>
      </c>
      <c r="CP49" s="45" t="e">
        <v>#DIV/0!</v>
      </c>
      <c r="CQ49" s="45" t="e">
        <v>#DIV/0!</v>
      </c>
      <c r="CR49" s="45" t="e">
        <v>#DIV/0!</v>
      </c>
      <c r="CS49" s="45" t="e">
        <v>#DIV/0!</v>
      </c>
      <c r="CT49" s="45" t="e">
        <v>#DIV/0!</v>
      </c>
      <c r="CU49" s="45" t="e">
        <v>#DIV/0!</v>
      </c>
      <c r="CV49" s="45" t="e">
        <v>#DIV/0!</v>
      </c>
      <c r="CW49" s="45" t="e">
        <v>#DIV/0!</v>
      </c>
      <c r="CX49" s="45" t="e">
        <v>#DIV/0!</v>
      </c>
      <c r="CY49" s="43" t="e">
        <v>#DIV/0!</v>
      </c>
      <c r="CZ49" s="42" t="e">
        <v>#DIV/0!</v>
      </c>
      <c r="DA49" s="42" t="e">
        <v>#DIV/0!</v>
      </c>
      <c r="DB49" s="42" t="e">
        <v>#DIV/0!</v>
      </c>
      <c r="DC49" s="42" t="e">
        <v>#DIV/0!</v>
      </c>
      <c r="DD49" s="42" t="e">
        <v>#DIV/0!</v>
      </c>
      <c r="DE49" s="42" t="e">
        <v>#DIV/0!</v>
      </c>
      <c r="DF49" s="42" t="e">
        <v>#DIV/0!</v>
      </c>
      <c r="DG49" s="232" t="e">
        <v>#DIV/0!</v>
      </c>
      <c r="DH49" s="232" t="e">
        <v>#DIV/0!</v>
      </c>
      <c r="DI49" s="232" t="e">
        <v>#DIV/0!</v>
      </c>
    </row>
    <row r="50" spans="1:113" outlineLevel="1">
      <c r="AW50" s="22"/>
      <c r="CY50" s="22"/>
      <c r="DC50" s="21"/>
      <c r="DD50" s="21"/>
      <c r="DE50" s="21"/>
      <c r="DF50" s="21"/>
      <c r="DG50" s="21"/>
      <c r="DH50" s="21"/>
      <c r="DI50" s="21"/>
    </row>
    <row r="51" spans="1:113" outlineLevel="1">
      <c r="B51" s="24" t="s">
        <v>390</v>
      </c>
      <c r="AH51" s="45"/>
      <c r="AI51" s="45"/>
      <c r="AJ51" s="45"/>
      <c r="AW51" s="22"/>
      <c r="CY51" s="22"/>
      <c r="DC51" s="21"/>
      <c r="DD51" s="21"/>
      <c r="DE51" s="21"/>
      <c r="DF51" s="21"/>
      <c r="DG51" s="21"/>
      <c r="DH51" s="21"/>
      <c r="DI51" s="21"/>
    </row>
    <row r="52" spans="1:113" outlineLevel="1">
      <c r="A52" s="1" t="s">
        <v>850</v>
      </c>
      <c r="B52" s="19" t="s">
        <v>218</v>
      </c>
      <c r="C52" s="232" t="e">
        <v>#VALUE!</v>
      </c>
      <c r="D52" s="232">
        <v>7.9613845354840729E-2</v>
      </c>
      <c r="E52" s="232">
        <v>6.6725147853646138E-2</v>
      </c>
      <c r="F52" s="232">
        <v>8.3813035520067913E-2</v>
      </c>
      <c r="G52" s="232">
        <v>7.1946936228017622E-2</v>
      </c>
      <c r="H52" s="232">
        <v>0.11572974700885919</v>
      </c>
      <c r="I52" s="232">
        <v>0.15101965639677073</v>
      </c>
      <c r="J52" s="232">
        <v>8.1928739065500356E-2</v>
      </c>
      <c r="K52" s="232">
        <v>6.7450535726023775E-2</v>
      </c>
      <c r="L52" s="232">
        <v>4.6777458760863144E-2</v>
      </c>
      <c r="M52" s="42">
        <v>6.5034193690712616E-2</v>
      </c>
      <c r="N52" s="42">
        <v>4.1426736815941112E-2</v>
      </c>
      <c r="O52" s="42">
        <v>8.6220613389554002E-2</v>
      </c>
      <c r="P52" s="42">
        <v>5.7556503640769252E-2</v>
      </c>
      <c r="Q52" s="42">
        <v>7.8819638827487992E-2</v>
      </c>
      <c r="R52" s="42">
        <v>0.2527417266725871</v>
      </c>
      <c r="S52" s="42">
        <v>0.11672716402613492</v>
      </c>
      <c r="T52" s="45">
        <v>6.9402380078316117E-2</v>
      </c>
      <c r="U52" s="42">
        <v>4.4651764865744292E-2</v>
      </c>
      <c r="V52" s="42">
        <v>2.1814883275142138E-2</v>
      </c>
      <c r="W52" s="42">
        <v>2.5918469212396156E-2</v>
      </c>
      <c r="X52" s="42">
        <v>3.3345306122448903E-2</v>
      </c>
      <c r="Y52" s="45">
        <v>2.0400553620971928E-2</v>
      </c>
      <c r="Z52" s="45">
        <v>1.4579552703782417E-2</v>
      </c>
      <c r="AA52" s="45">
        <v>3.173435563722049E-2</v>
      </c>
      <c r="AB52" s="45">
        <v>3.0953514997500209E-2</v>
      </c>
      <c r="AC52" s="45">
        <v>3.3665627887490501E-2</v>
      </c>
      <c r="AD52" s="45">
        <v>2.7275150048026386E-2</v>
      </c>
      <c r="AE52" s="45">
        <v>3.5485065249173831E-2</v>
      </c>
      <c r="AF52" s="45">
        <v>2.6674565602050171E-2</v>
      </c>
      <c r="AG52" s="45">
        <v>4.0816482161694978E-2</v>
      </c>
      <c r="AH52" s="45">
        <v>3.3486220607055195E-2</v>
      </c>
      <c r="AI52" s="45">
        <v>3.0770648662572064E-2</v>
      </c>
      <c r="AJ52" s="45">
        <v>1.781129064798348E-2</v>
      </c>
      <c r="AK52" s="45">
        <v>1.6699965987390541E-2</v>
      </c>
      <c r="AL52" s="45">
        <v>1.6873187450566762E-2</v>
      </c>
      <c r="AM52" s="45">
        <v>1.8253399363375111E-2</v>
      </c>
      <c r="AN52" s="45">
        <v>2.2124225170692569E-2</v>
      </c>
      <c r="AO52" s="45">
        <v>1.6943653038197448E-2</v>
      </c>
      <c r="AP52" s="45">
        <v>2.5751603042435622E-2</v>
      </c>
      <c r="AQ52" s="45">
        <v>3.5945856453377001E-2</v>
      </c>
      <c r="AR52" s="45">
        <v>4.547118750447976E-2</v>
      </c>
      <c r="AS52" s="45">
        <v>3.1145657692378981E-2</v>
      </c>
      <c r="AT52" s="45">
        <v>2.5027897624254392E-2</v>
      </c>
      <c r="AU52" s="45">
        <v>2.349117415550106E-2</v>
      </c>
      <c r="AV52" s="45">
        <v>-3.1893009401757766E-3</v>
      </c>
      <c r="AW52" s="43">
        <v>2.4711108056326481E-2</v>
      </c>
      <c r="AX52" s="232">
        <v>2.3101999999999956E-2</v>
      </c>
      <c r="AY52" s="232">
        <v>2.313199999999993E-2</v>
      </c>
      <c r="AZ52" s="232">
        <v>2.9189999999999827E-2</v>
      </c>
      <c r="BA52" s="232">
        <v>1.8080999999999792E-2</v>
      </c>
      <c r="BB52" s="232">
        <v>1.8080999999999792E-2</v>
      </c>
      <c r="BC52" s="232">
        <v>1.8080999999999792E-2</v>
      </c>
      <c r="BD52" s="232">
        <v>1.8080999999999792E-2</v>
      </c>
      <c r="BE52" s="232">
        <v>1.8080999999999792E-2</v>
      </c>
      <c r="BF52" s="232">
        <v>1.8080999999999792E-2</v>
      </c>
      <c r="BG52" s="232">
        <v>1.8080999999999792E-2</v>
      </c>
      <c r="BH52" s="232">
        <v>1.8080999999999792E-2</v>
      </c>
      <c r="BI52" s="232">
        <v>1.8080999999999792E-2</v>
      </c>
      <c r="BJ52" s="232">
        <v>1.8080999999999792E-2</v>
      </c>
      <c r="BK52" s="232">
        <v>1.8080999999999792E-2</v>
      </c>
      <c r="BL52" s="232">
        <v>1.8080999999999792E-2</v>
      </c>
      <c r="BM52" s="232">
        <v>1.8080999999999792E-2</v>
      </c>
      <c r="BN52" s="232">
        <v>1.8080999999999792E-2</v>
      </c>
      <c r="BO52" s="232">
        <v>1.8080999999999792E-2</v>
      </c>
      <c r="BP52" s="232">
        <v>1.8080999999999792E-2</v>
      </c>
      <c r="BQ52" s="232">
        <v>1.8080999999999792E-2</v>
      </c>
      <c r="BR52" s="42"/>
      <c r="BS52" s="232" t="e">
        <v>#DIV/0!</v>
      </c>
      <c r="BT52" s="232">
        <v>7.3291798590542356E-2</v>
      </c>
      <c r="BU52" s="232">
        <v>0.15074795881468517</v>
      </c>
      <c r="BV52" s="232">
        <v>9.9667155940542873E-2</v>
      </c>
      <c r="BW52" s="232">
        <v>0.21585952774853356</v>
      </c>
      <c r="BX52" s="232">
        <v>0.1565698735194978</v>
      </c>
      <c r="BY52" s="232">
        <v>9.9919786096256624E-2</v>
      </c>
      <c r="BZ52" s="232">
        <v>0.10593869266110811</v>
      </c>
      <c r="CA52" s="232">
        <v>0.39512034289482356</v>
      </c>
      <c r="CB52" s="232">
        <v>3.1431677458997109E-2</v>
      </c>
      <c r="CC52" s="42">
        <v>0.15165123881098586</v>
      </c>
      <c r="CD52" s="42">
        <v>0.16179006286972442</v>
      </c>
      <c r="CE52" s="42">
        <v>0.2842268700337931</v>
      </c>
      <c r="CF52" s="42">
        <v>0.1549054121328497</v>
      </c>
      <c r="CG52" s="42">
        <v>0.11485378676498881</v>
      </c>
      <c r="CH52" s="42">
        <v>0.13121918886449313</v>
      </c>
      <c r="CI52" s="42">
        <v>0.14091272529739562</v>
      </c>
      <c r="CJ52" s="42">
        <v>0.39897071568428144</v>
      </c>
      <c r="CK52" s="42">
        <v>0.11715308370044042</v>
      </c>
      <c r="CL52" s="42">
        <v>4.829876086807694E-2</v>
      </c>
      <c r="CM52" s="45">
        <v>5.4426122448979486E-2</v>
      </c>
      <c r="CN52" s="45">
        <v>4.677658105153637E-2</v>
      </c>
      <c r="CO52" s="45">
        <v>6.5661212402706282E-2</v>
      </c>
      <c r="CP52" s="45">
        <v>6.3728075776335436E-2</v>
      </c>
      <c r="CQ52" s="45">
        <v>6.8579809694812255E-2</v>
      </c>
      <c r="CR52" s="45">
        <v>6.5287261998964397E-2</v>
      </c>
      <c r="CS52" s="45">
        <v>3.4808704583386918E-2</v>
      </c>
      <c r="CT52" s="45">
        <v>3.5434579843010239E-2</v>
      </c>
      <c r="CU52" s="45">
        <v>3.9442743403921066E-2</v>
      </c>
      <c r="CV52" s="45">
        <v>6.2623122922220276E-2</v>
      </c>
      <c r="CW52" s="45">
        <v>7.8033075237739169E-2</v>
      </c>
      <c r="CX52" s="45">
        <v>4.9107006481593052E-2</v>
      </c>
      <c r="CY52" s="43">
        <v>2.144299595599386E-2</v>
      </c>
      <c r="CZ52" s="42">
        <v>4.676839546399969E-2</v>
      </c>
      <c r="DA52" s="42">
        <v>4.7798784389999627E-2</v>
      </c>
      <c r="DB52" s="42">
        <v>3.648892256099967E-2</v>
      </c>
      <c r="DC52" s="42">
        <v>3.648892256099967E-2</v>
      </c>
      <c r="DD52" s="42">
        <v>3.648892256099967E-2</v>
      </c>
      <c r="DE52" s="42">
        <v>3.648892256099967E-2</v>
      </c>
      <c r="DF52" s="42">
        <v>3.6488922560999448E-2</v>
      </c>
      <c r="DG52" s="232">
        <v>3.648892256099967E-2</v>
      </c>
      <c r="DH52" s="232">
        <v>3.648892256099967E-2</v>
      </c>
      <c r="DI52" s="232">
        <v>3.6488922560999448E-2</v>
      </c>
    </row>
    <row r="53" spans="1:113" outlineLevel="1">
      <c r="A53" s="1" t="s">
        <v>453</v>
      </c>
      <c r="B53" s="19" t="s">
        <v>219</v>
      </c>
      <c r="C53" s="232" t="e">
        <v>#DIV/0!</v>
      </c>
      <c r="D53" s="232">
        <v>-0.11980612149844372</v>
      </c>
      <c r="E53" s="232">
        <v>-2.1758141790566343E-2</v>
      </c>
      <c r="F53" s="232">
        <v>-4.1695030633083774E-2</v>
      </c>
      <c r="G53" s="232">
        <v>-7.1542735367988719E-3</v>
      </c>
      <c r="H53" s="232">
        <v>6.5516800817682297E-2</v>
      </c>
      <c r="I53" s="232">
        <v>-0.1613228134967265</v>
      </c>
      <c r="J53" s="232">
        <v>0.28359830721720236</v>
      </c>
      <c r="K53" s="232">
        <v>6.2508353753619961E-2</v>
      </c>
      <c r="L53" s="232">
        <v>0.10923577303104892</v>
      </c>
      <c r="M53" s="42">
        <v>6.870455243523077E-2</v>
      </c>
      <c r="N53" s="42">
        <v>7.9393714295820761E-2</v>
      </c>
      <c r="O53" s="42">
        <v>0.31047026052760929</v>
      </c>
      <c r="P53" s="42">
        <v>0.18760159043737024</v>
      </c>
      <c r="Q53" s="42">
        <v>5.5705291528921341E-2</v>
      </c>
      <c r="R53" s="42">
        <v>0.3297497830921583</v>
      </c>
      <c r="S53" s="42">
        <v>-1.7796877109301223E-2</v>
      </c>
      <c r="T53" s="45">
        <v>-1.5882105906158683E-3</v>
      </c>
      <c r="U53" s="42">
        <v>-2.4166966204486329E-3</v>
      </c>
      <c r="V53" s="42">
        <v>-2.4785151907759095E-2</v>
      </c>
      <c r="W53" s="42">
        <v>-2.7749827054902587E-3</v>
      </c>
      <c r="X53" s="42">
        <v>1.6869654329746631E-2</v>
      </c>
      <c r="Y53" s="45">
        <v>2.2380712430714267E-2</v>
      </c>
      <c r="Z53" s="45">
        <v>6.8773600642999533E-3</v>
      </c>
      <c r="AA53" s="45">
        <v>2.6206990036825362E-2</v>
      </c>
      <c r="AB53" s="45">
        <v>2.719620750133922E-2</v>
      </c>
      <c r="AC53" s="45">
        <v>1.8117520985890367E-2</v>
      </c>
      <c r="AD53" s="45">
        <v>3.6039323280308233E-2</v>
      </c>
      <c r="AE53" s="45">
        <v>4.2046231890928931E-2</v>
      </c>
      <c r="AF53" s="45">
        <v>6.8155081082837743E-2</v>
      </c>
      <c r="AG53" s="45">
        <v>3.7775113939917615E-2</v>
      </c>
      <c r="AH53" s="45">
        <v>-3.7877677383039154E-3</v>
      </c>
      <c r="AI53" s="45">
        <v>2.4413930301407261E-2</v>
      </c>
      <c r="AJ53" s="45">
        <v>-1.0387759909451844E-2</v>
      </c>
      <c r="AK53" s="45">
        <v>-1.6871512920699216E-2</v>
      </c>
      <c r="AL53" s="45">
        <v>-4.0510933818361794E-3</v>
      </c>
      <c r="AM53" s="45">
        <v>-2.9884198729921541E-2</v>
      </c>
      <c r="AN53" s="45">
        <v>3.5755542109026095E-3</v>
      </c>
      <c r="AO53" s="45">
        <v>3.8350507929547639E-2</v>
      </c>
      <c r="AP53" s="45">
        <v>-2.346137378074209E-4</v>
      </c>
      <c r="AQ53" s="45">
        <v>1.189184115269315E-2</v>
      </c>
      <c r="AR53" s="45">
        <v>2.8235157699443514E-2</v>
      </c>
      <c r="AS53" s="45">
        <v>0.1085593459261347</v>
      </c>
      <c r="AT53" s="45">
        <v>5.5502713590331876E-2</v>
      </c>
      <c r="AU53" s="45">
        <v>3.4272221285208238E-2</v>
      </c>
      <c r="AV53" s="45">
        <v>-1.2468142405196003E-2</v>
      </c>
      <c r="AW53" s="43">
        <v>2.9794622341956289E-2</v>
      </c>
      <c r="AX53" s="232">
        <v>2.2120999999999835E-2</v>
      </c>
      <c r="AY53" s="232">
        <v>2.2120999999999835E-2</v>
      </c>
      <c r="AZ53" s="232">
        <v>2.2120999999999835E-2</v>
      </c>
      <c r="BA53" s="232">
        <v>2.2120999999999835E-2</v>
      </c>
      <c r="BB53" s="232">
        <v>2.2120999999999835E-2</v>
      </c>
      <c r="BC53" s="232">
        <v>2.2120999999999835E-2</v>
      </c>
      <c r="BD53" s="232">
        <v>2.2120999999999835E-2</v>
      </c>
      <c r="BE53" s="232">
        <v>2.2120999999999835E-2</v>
      </c>
      <c r="BF53" s="232">
        <v>2.2120999999999835E-2</v>
      </c>
      <c r="BG53" s="232">
        <v>2.2120999999999835E-2</v>
      </c>
      <c r="BH53" s="232">
        <v>2.2120999999999835E-2</v>
      </c>
      <c r="BI53" s="232">
        <v>2.2120999999999835E-2</v>
      </c>
      <c r="BJ53" s="232">
        <v>2.2120999999999835E-2</v>
      </c>
      <c r="BK53" s="232">
        <v>2.2120999999999835E-2</v>
      </c>
      <c r="BL53" s="232">
        <v>2.2120999999999835E-2</v>
      </c>
      <c r="BM53" s="232">
        <v>2.2120999999999835E-2</v>
      </c>
      <c r="BN53" s="232">
        <v>2.2120999999999835E-2</v>
      </c>
      <c r="BO53" s="232">
        <v>2.2120999999999835E-2</v>
      </c>
      <c r="BP53" s="232">
        <v>2.2120999999999835E-2</v>
      </c>
      <c r="BQ53" s="232">
        <v>2.2120999999999835E-2</v>
      </c>
      <c r="BR53" s="42"/>
      <c r="BS53" s="232" t="e">
        <v>#DIV/0!</v>
      </c>
      <c r="BT53" s="232">
        <v>-5.2505607844044233E-2</v>
      </c>
      <c r="BU53" s="232">
        <v>-0.11011857546728476</v>
      </c>
      <c r="BV53" s="232">
        <v>-7.3979265327019261E-2</v>
      </c>
      <c r="BW53" s="232">
        <v>0.14833645967025366</v>
      </c>
      <c r="BX53" s="232">
        <v>0.17057129347031763</v>
      </c>
      <c r="BY53" s="232">
        <v>6.9589805736109511E-2</v>
      </c>
      <c r="BZ53" s="232">
        <v>0.16950490970267107</v>
      </c>
      <c r="CA53" s="232">
        <v>0.39978862695593453</v>
      </c>
      <c r="CB53" s="232">
        <v>1.8665715903609659E-3</v>
      </c>
      <c r="CC53" s="42">
        <v>-0.13895750471006907</v>
      </c>
      <c r="CD53" s="42">
        <v>-4.8551006515608286E-2</v>
      </c>
      <c r="CE53" s="42">
        <v>-0.10637536731825736</v>
      </c>
      <c r="CF53" s="42">
        <v>0.36383392428228301</v>
      </c>
      <c r="CG53" s="42">
        <v>0.18544532036229455</v>
      </c>
      <c r="CH53" s="42">
        <v>0.41451336198510824</v>
      </c>
      <c r="CI53" s="42">
        <v>0.25375728325289448</v>
      </c>
      <c r="CJ53" s="42">
        <v>0.30608438961634743</v>
      </c>
      <c r="CK53" s="42">
        <v>-4.0010689878975381E-3</v>
      </c>
      <c r="CL53" s="42">
        <v>-2.7491356245352261E-2</v>
      </c>
      <c r="CM53" s="45">
        <v>3.9627921642820585E-2</v>
      </c>
      <c r="CN53" s="45">
        <v>3.3264585007809933E-2</v>
      </c>
      <c r="CO53" s="45">
        <v>4.5806456347371682E-2</v>
      </c>
      <c r="CP53" s="45">
        <v>7.9600872915073229E-2</v>
      </c>
      <c r="CQ53" s="45">
        <v>0.10850476097624395</v>
      </c>
      <c r="CR53" s="45">
        <v>2.0533688265542471E-2</v>
      </c>
      <c r="CS53" s="45">
        <v>-2.7084015604621592E-2</v>
      </c>
      <c r="CT53" s="45">
        <v>-3.3814228432061499E-2</v>
      </c>
      <c r="CU53" s="45">
        <v>4.2063186460568058E-2</v>
      </c>
      <c r="CV53" s="45">
        <v>1.1654437425583364E-2</v>
      </c>
      <c r="CW53" s="45">
        <v>0.13985969387755093</v>
      </c>
      <c r="CX53" s="45">
        <v>9.1677136157637396E-2</v>
      </c>
      <c r="CY53" s="43">
        <v>1.6954996342491757E-2</v>
      </c>
      <c r="CZ53" s="42">
        <v>4.4731338640999763E-2</v>
      </c>
      <c r="DA53" s="42">
        <v>4.4731338640999541E-2</v>
      </c>
      <c r="DB53" s="42">
        <v>4.4731338640999541E-2</v>
      </c>
      <c r="DC53" s="42">
        <v>4.4731338640999763E-2</v>
      </c>
      <c r="DD53" s="42">
        <v>4.4731338640999541E-2</v>
      </c>
      <c r="DE53" s="42">
        <v>4.4731338640999763E-2</v>
      </c>
      <c r="DF53" s="42">
        <v>4.4731338640999541E-2</v>
      </c>
      <c r="DG53" s="232">
        <v>4.4731338640999763E-2</v>
      </c>
      <c r="DH53" s="232">
        <v>4.4731338640999541E-2</v>
      </c>
      <c r="DI53" s="232">
        <v>4.4731338640999763E-2</v>
      </c>
    </row>
    <row r="54" spans="1:113" outlineLevel="1">
      <c r="A54" s="1" t="s">
        <v>454</v>
      </c>
      <c r="B54" s="19" t="s">
        <v>220</v>
      </c>
      <c r="C54" s="232" t="e">
        <v>#VALUE!</v>
      </c>
      <c r="D54" s="232">
        <v>0.49052308019957058</v>
      </c>
      <c r="E54" s="232">
        <v>3.3720497597748311E-2</v>
      </c>
      <c r="F54" s="232">
        <v>6.038840117052402E-2</v>
      </c>
      <c r="G54" s="232">
        <v>9.6169928081619727E-3</v>
      </c>
      <c r="H54" s="232">
        <v>1.7145697009856686E-2</v>
      </c>
      <c r="I54" s="232">
        <v>4.6416938110749095E-2</v>
      </c>
      <c r="J54" s="232">
        <v>0.12038910505836586</v>
      </c>
      <c r="K54" s="232">
        <v>6.0081961519760974E-2</v>
      </c>
      <c r="L54" s="232">
        <v>1.4873542130782402E-2</v>
      </c>
      <c r="M54" s="42">
        <v>8.4640712763897064E-2</v>
      </c>
      <c r="N54" s="42">
        <v>5.4702380952381002E-2</v>
      </c>
      <c r="O54" s="42">
        <v>0.10282747333370956</v>
      </c>
      <c r="P54" s="42">
        <v>3.5975640960032695E-2</v>
      </c>
      <c r="Q54" s="42">
        <v>-2.5538431140090911E-2</v>
      </c>
      <c r="R54" s="42">
        <v>-5.3327926192528019E-2</v>
      </c>
      <c r="S54" s="42">
        <v>6.4257028112457704E-4</v>
      </c>
      <c r="T54" s="45">
        <v>6.7480066356290447E-2</v>
      </c>
      <c r="U54" s="42">
        <v>1.7545618608381108E-3</v>
      </c>
      <c r="V54" s="42">
        <v>5.0042536155732176E-3</v>
      </c>
      <c r="W54" s="42">
        <v>1.4340486979036893E-2</v>
      </c>
      <c r="X54" s="42">
        <v>-2.650827156251534E-3</v>
      </c>
      <c r="Y54" s="45">
        <v>6.7431215238469289E-3</v>
      </c>
      <c r="Z54" s="45">
        <v>1.8089371272122845E-2</v>
      </c>
      <c r="AA54" s="45">
        <v>2.4635036496350349E-2</v>
      </c>
      <c r="AB54" s="45">
        <v>2.3339738482448302E-2</v>
      </c>
      <c r="AC54" s="45">
        <v>1.9235172887565932E-2</v>
      </c>
      <c r="AD54" s="45">
        <v>2.5297685913277856E-2</v>
      </c>
      <c r="AE54" s="45">
        <v>-6.0040319046367197E-3</v>
      </c>
      <c r="AF54" s="45">
        <v>1.8473612274590989E-2</v>
      </c>
      <c r="AG54" s="45">
        <v>-6.4935064935064402E-3</v>
      </c>
      <c r="AH54" s="45">
        <v>-2.2657952069716769E-3</v>
      </c>
      <c r="AI54" s="45">
        <v>-1.2271814132238656E-2</v>
      </c>
      <c r="AJ54" s="45">
        <v>-1.3264358668257925E-3</v>
      </c>
      <c r="AK54" s="45">
        <v>-1.1643865940585307E-2</v>
      </c>
      <c r="AL54" s="45">
        <v>-3.1849130980111107E-2</v>
      </c>
      <c r="AM54" s="45">
        <v>-3.1878961735992251E-2</v>
      </c>
      <c r="AN54" s="45">
        <v>-4.1244503918944742E-2</v>
      </c>
      <c r="AO54" s="45">
        <v>-0.13733114002293001</v>
      </c>
      <c r="AP54" s="45">
        <v>-4.7960245001733459E-2</v>
      </c>
      <c r="AQ54" s="45">
        <v>-2.3549405195435802E-2</v>
      </c>
      <c r="AR54" s="45">
        <v>-1.9766285430134256E-2</v>
      </c>
      <c r="AS54" s="45">
        <v>-7.2289156626506035E-3</v>
      </c>
      <c r="AT54" s="45">
        <v>2.5293817066939228E-2</v>
      </c>
      <c r="AU54" s="45">
        <v>6.8527286319461922E-3</v>
      </c>
      <c r="AV54" s="45">
        <v>2.5306273975993054E-2</v>
      </c>
      <c r="AW54" s="43">
        <v>-4.0733812081346965E-2</v>
      </c>
      <c r="AX54" s="232">
        <v>1.0024999999999729E-2</v>
      </c>
      <c r="AY54" s="232">
        <v>1.0024999999999729E-2</v>
      </c>
      <c r="AZ54" s="232">
        <v>1.0024999999999729E-2</v>
      </c>
      <c r="BA54" s="232">
        <v>1.0024999999999729E-2</v>
      </c>
      <c r="BB54" s="232">
        <v>1.0024999999999729E-2</v>
      </c>
      <c r="BC54" s="232">
        <v>1.0024999999999729E-2</v>
      </c>
      <c r="BD54" s="232">
        <v>1.0024999999999729E-2</v>
      </c>
      <c r="BE54" s="232">
        <v>1.0024999999999729E-2</v>
      </c>
      <c r="BF54" s="232">
        <v>1.0024999999999729E-2</v>
      </c>
      <c r="BG54" s="232">
        <v>1.0024999999999729E-2</v>
      </c>
      <c r="BH54" s="232">
        <v>1.0024999999999729E-2</v>
      </c>
      <c r="BI54" s="232">
        <v>1.0024999999999729E-2</v>
      </c>
      <c r="BJ54" s="232">
        <v>1.0024999999999729E-2</v>
      </c>
      <c r="BK54" s="232">
        <v>1.0024999999999729E-2</v>
      </c>
      <c r="BL54" s="232">
        <v>1.0024999999999729E-2</v>
      </c>
      <c r="BM54" s="232">
        <v>1.0024999999999729E-2</v>
      </c>
      <c r="BN54" s="232">
        <v>1.0024999999999729E-2</v>
      </c>
      <c r="BO54" s="232">
        <v>1.0024999999999729E-2</v>
      </c>
      <c r="BP54" s="232">
        <v>1.0024999999999729E-2</v>
      </c>
      <c r="BQ54" s="232">
        <v>1.0024999999999729E-2</v>
      </c>
      <c r="BR54" s="42"/>
      <c r="BS54" s="232" t="e">
        <v>#DIV/0!</v>
      </c>
      <c r="BT54" s="232">
        <v>-3.1065280234715553E-3</v>
      </c>
      <c r="BU54" s="232">
        <v>-3.029647262497992E-4</v>
      </c>
      <c r="BV54" s="232">
        <v>0.25104626663203167</v>
      </c>
      <c r="BW54" s="232">
        <v>-0.24397277656015692</v>
      </c>
      <c r="BX54" s="232">
        <v>4.7146780592004944E-2</v>
      </c>
      <c r="BY54" s="232">
        <v>0.21812618388459848</v>
      </c>
      <c r="BZ54" s="232">
        <v>0.21339712918660281</v>
      </c>
      <c r="CA54" s="232">
        <v>-0.30372634069400628</v>
      </c>
      <c r="CB54" s="232">
        <v>3.6245221577233533E-2</v>
      </c>
      <c r="CC54" s="42">
        <v>0.5407842601448285</v>
      </c>
      <c r="CD54" s="42">
        <v>7.0586148798439385E-2</v>
      </c>
      <c r="CE54" s="42">
        <v>6.4358485877578087E-2</v>
      </c>
      <c r="CF54" s="42">
        <v>0.18770428015564211</v>
      </c>
      <c r="CG54" s="42">
        <v>0.10077316210195253</v>
      </c>
      <c r="CH54" s="42">
        <v>0.16315476190476197</v>
      </c>
      <c r="CI54" s="42">
        <v>9.5184483905634831E-3</v>
      </c>
      <c r="CJ54" s="42">
        <v>-5.2719622851928882E-2</v>
      </c>
      <c r="CK54" s="42">
        <v>6.935302616792427E-2</v>
      </c>
      <c r="CL54" s="42">
        <v>1.9416504028424209E-2</v>
      </c>
      <c r="CM54" s="45">
        <v>4.0744195179420739E-3</v>
      </c>
      <c r="CN54" s="45">
        <v>4.3170040089957951E-2</v>
      </c>
      <c r="CO54" s="45">
        <v>4.3023855274874734E-2</v>
      </c>
      <c r="CP54" s="45">
        <v>1.9141765895304363E-2</v>
      </c>
      <c r="CQ54" s="45">
        <v>1.1860147259820986E-2</v>
      </c>
      <c r="CR54" s="45">
        <v>-1.4509803921568643E-2</v>
      </c>
      <c r="CS54" s="45">
        <v>-1.2954856965999073E-2</v>
      </c>
      <c r="CT54" s="45">
        <v>-6.2712775488263706E-2</v>
      </c>
      <c r="CU54" s="45">
        <v>-0.1729114891990059</v>
      </c>
      <c r="CV54" s="45">
        <v>-7.0380214954351095E-2</v>
      </c>
      <c r="CW54" s="45">
        <v>-2.6852312282446555E-2</v>
      </c>
      <c r="CX54" s="45">
        <v>3.23198773633111E-2</v>
      </c>
      <c r="CY54" s="43">
        <v>-1.6458359113971088E-2</v>
      </c>
      <c r="CZ54" s="42">
        <v>2.0150500624999346E-2</v>
      </c>
      <c r="DA54" s="42">
        <v>2.0150500624999346E-2</v>
      </c>
      <c r="DB54" s="42">
        <v>2.0150500624999346E-2</v>
      </c>
      <c r="DC54" s="42">
        <v>2.0150500624999568E-2</v>
      </c>
      <c r="DD54" s="42">
        <v>2.0150500624999568E-2</v>
      </c>
      <c r="DE54" s="42">
        <v>2.0150500624999346E-2</v>
      </c>
      <c r="DF54" s="42">
        <v>2.0150500624999346E-2</v>
      </c>
      <c r="DG54" s="232">
        <v>2.0150500624999346E-2</v>
      </c>
      <c r="DH54" s="232">
        <v>2.0150500624999568E-2</v>
      </c>
      <c r="DI54" s="232">
        <v>2.0150500624999568E-2</v>
      </c>
    </row>
    <row r="55" spans="1:113" outlineLevel="1">
      <c r="A55" s="1" t="s">
        <v>851</v>
      </c>
      <c r="B55" s="19" t="s">
        <v>473</v>
      </c>
      <c r="C55" s="232">
        <v>1.1821435575603059</v>
      </c>
      <c r="D55" s="232">
        <v>1.154034275473248</v>
      </c>
      <c r="E55" s="232">
        <v>1.1138584090849668</v>
      </c>
      <c r="F55" s="232">
        <v>1.1379322138240022</v>
      </c>
      <c r="G55" s="232">
        <v>1.1849676438950263</v>
      </c>
      <c r="H55" s="232">
        <v>1.1515625355811783</v>
      </c>
      <c r="I55" s="232">
        <v>1.1825061961524843</v>
      </c>
      <c r="J55" s="232">
        <v>1.3111489423355549</v>
      </c>
      <c r="K55" s="232">
        <v>1.3890301253843993</v>
      </c>
      <c r="L55" s="232">
        <v>1.4178898733037315</v>
      </c>
      <c r="M55" s="42">
        <v>1.4660918999556494</v>
      </c>
      <c r="N55" s="42">
        <v>1.4448087500471989</v>
      </c>
      <c r="O55" s="42">
        <v>1.4053630032818378</v>
      </c>
      <c r="P55" s="42">
        <v>1.3192081870061458</v>
      </c>
      <c r="Q55" s="42">
        <v>1.3202708283148079</v>
      </c>
      <c r="R55" s="42">
        <v>1.2948732564377683</v>
      </c>
      <c r="S55" s="42">
        <v>1.2993625742267618</v>
      </c>
      <c r="T55" s="45">
        <v>1.3263822967391974</v>
      </c>
      <c r="U55" s="42">
        <v>1.3422703988013818</v>
      </c>
      <c r="V55" s="42">
        <v>1.2793034774473848</v>
      </c>
      <c r="W55" s="42">
        <v>1.2612110491828812</v>
      </c>
      <c r="X55" s="42">
        <v>1.2208889028686463</v>
      </c>
      <c r="Y55" s="45">
        <v>1.2415917320222165</v>
      </c>
      <c r="Z55" s="45">
        <v>1.2169863567969452</v>
      </c>
      <c r="AA55" s="45">
        <v>1.2261579909602116</v>
      </c>
      <c r="AB55" s="45">
        <v>1.2196454563488743</v>
      </c>
      <c r="AC55" s="45">
        <v>1.2156797362010356</v>
      </c>
      <c r="AD55" s="45">
        <v>1.2046196088220087</v>
      </c>
      <c r="AE55" s="45">
        <v>1.1970972461052793</v>
      </c>
      <c r="AF55" s="45">
        <v>1.2143200605449884</v>
      </c>
      <c r="AG55" s="45">
        <v>1.2082774735129265</v>
      </c>
      <c r="AH55" s="45">
        <v>1.1925246020974947</v>
      </c>
      <c r="AI55" s="45">
        <v>1.1858422667063913</v>
      </c>
      <c r="AJ55" s="45">
        <v>1.1922865147462591</v>
      </c>
      <c r="AK55" s="45">
        <v>1.2178145442011448</v>
      </c>
      <c r="AL55" s="45">
        <v>1.2154609974221062</v>
      </c>
      <c r="AM55" s="45">
        <v>1.2143887036381587</v>
      </c>
      <c r="AN55" s="45">
        <v>1.1919976230563534</v>
      </c>
      <c r="AO55" s="45">
        <v>1.1230834383732484</v>
      </c>
      <c r="AP55" s="45">
        <v>1.0793364268995347</v>
      </c>
      <c r="AQ55" s="45">
        <v>1.0697378266921054</v>
      </c>
      <c r="AR55" s="45">
        <v>1.0572094264630567</v>
      </c>
      <c r="AS55" s="45">
        <v>1.0522801561533282</v>
      </c>
      <c r="AT55" s="45">
        <v>1.062297389324232</v>
      </c>
      <c r="AU55" s="45">
        <v>1.061541067775186</v>
      </c>
      <c r="AV55" s="45">
        <v>1.0487410376815269</v>
      </c>
      <c r="AW55" s="43">
        <v>1.0654914941113078</v>
      </c>
      <c r="AX55" s="511">
        <v>1.0654914941113078</v>
      </c>
      <c r="AY55" s="511">
        <v>1.0654914941113078</v>
      </c>
      <c r="AZ55" s="511">
        <v>1.0654914941113078</v>
      </c>
      <c r="BA55" s="511">
        <v>1.0654914941113078</v>
      </c>
      <c r="BB55" s="511">
        <v>1.0654914941113078</v>
      </c>
      <c r="BC55" s="511">
        <v>1.0654914941113078</v>
      </c>
      <c r="BD55" s="511">
        <v>1.0654914941113078</v>
      </c>
      <c r="BE55" s="511">
        <v>1.0654914941113078</v>
      </c>
      <c r="BF55" s="511">
        <v>1.0654914941113078</v>
      </c>
      <c r="BG55" s="511">
        <v>1.0654914941113078</v>
      </c>
      <c r="BH55" s="511">
        <v>1.0654914941113078</v>
      </c>
      <c r="BI55" s="511">
        <v>1.0654914941113078</v>
      </c>
      <c r="BJ55" s="511">
        <v>1.0654914941113078</v>
      </c>
      <c r="BK55" s="511">
        <v>1.0654914941113078</v>
      </c>
      <c r="BL55" s="511">
        <v>1.0654914941113078</v>
      </c>
      <c r="BM55" s="511">
        <v>1.0654914941113078</v>
      </c>
      <c r="BN55" s="511">
        <v>1.0654914941113078</v>
      </c>
      <c r="BO55" s="511">
        <v>1.0654914941113078</v>
      </c>
      <c r="BP55" s="511">
        <v>1.0654914941113078</v>
      </c>
      <c r="BQ55" s="511">
        <v>1.0654914941113078</v>
      </c>
      <c r="BR55" s="42"/>
      <c r="BS55" s="232">
        <v>0.86716622604097826</v>
      </c>
      <c r="BT55" s="232">
        <v>0.76256296360812315</v>
      </c>
      <c r="BU55" s="232">
        <v>0.7827833254549752</v>
      </c>
      <c r="BV55" s="232">
        <v>0.81361917880484158</v>
      </c>
      <c r="BW55" s="232">
        <v>1.0207419815736316</v>
      </c>
      <c r="BX55" s="232">
        <v>1.0750492458986813</v>
      </c>
      <c r="BY55" s="232">
        <v>1.1081309636227819</v>
      </c>
      <c r="BZ55" s="232">
        <v>1.1090751730959445</v>
      </c>
      <c r="CA55" s="232">
        <v>1.195745627787949</v>
      </c>
      <c r="CB55" s="232">
        <v>1.1821435575603059</v>
      </c>
      <c r="CC55" s="42">
        <v>1.1138584090849668</v>
      </c>
      <c r="CD55" s="42">
        <v>1.1849676438950263</v>
      </c>
      <c r="CE55" s="42">
        <v>1.1825061961524843</v>
      </c>
      <c r="CF55" s="42">
        <v>1.3890301253843993</v>
      </c>
      <c r="CG55" s="42">
        <v>1.4660918999556494</v>
      </c>
      <c r="CH55" s="42">
        <v>1.4053630032818378</v>
      </c>
      <c r="CI55" s="42">
        <v>1.3202708283148079</v>
      </c>
      <c r="CJ55" s="42">
        <v>1.2993625742267618</v>
      </c>
      <c r="CK55" s="42">
        <v>1.3422703988013818</v>
      </c>
      <c r="CL55" s="42">
        <v>1.2612110491828812</v>
      </c>
      <c r="CM55" s="45">
        <v>1.2415917320222165</v>
      </c>
      <c r="CN55" s="45">
        <v>1.2261579909602116</v>
      </c>
      <c r="CO55" s="45">
        <v>1.2156797362010356</v>
      </c>
      <c r="CP55" s="45">
        <v>1.1970972461052793</v>
      </c>
      <c r="CQ55" s="45">
        <v>1.2082774735129265</v>
      </c>
      <c r="CR55" s="45">
        <v>1.1858422667063913</v>
      </c>
      <c r="CS55" s="45">
        <v>1.2178145442011448</v>
      </c>
      <c r="CT55" s="45">
        <v>1.2143887036381587</v>
      </c>
      <c r="CU55" s="45">
        <v>1.1230834383732484</v>
      </c>
      <c r="CV55" s="45">
        <v>1.0697378266921054</v>
      </c>
      <c r="CW55" s="45">
        <v>1.0522801561533282</v>
      </c>
      <c r="CX55" s="45">
        <v>1.061541067775186</v>
      </c>
      <c r="CY55" s="43">
        <v>1.0654914941113078</v>
      </c>
      <c r="CZ55" s="42">
        <v>1.0654914941113078</v>
      </c>
      <c r="DA55" s="42">
        <v>1.0654914941113078</v>
      </c>
      <c r="DB55" s="42">
        <v>1.0654914941113078</v>
      </c>
      <c r="DC55" s="42">
        <v>1.0654914941113078</v>
      </c>
      <c r="DD55" s="42">
        <v>1.0654914941113078</v>
      </c>
      <c r="DE55" s="42">
        <v>1.0654914941113078</v>
      </c>
      <c r="DF55" s="42">
        <v>1.0654914941113078</v>
      </c>
      <c r="DG55" s="232">
        <v>1.0654914941113078</v>
      </c>
      <c r="DH55" s="232">
        <v>1.0654914941113078</v>
      </c>
      <c r="DI55" s="232">
        <v>1.0654914941113078</v>
      </c>
    </row>
    <row r="56" spans="1:113" outlineLevel="1">
      <c r="A56" s="1" t="s">
        <v>455</v>
      </c>
      <c r="B56" s="19" t="s">
        <v>385</v>
      </c>
      <c r="C56" s="232" t="e">
        <v>#VALUE!</v>
      </c>
      <c r="D56" s="232">
        <v>0.100358971650234</v>
      </c>
      <c r="E56" s="232">
        <v>8.4117904348116612E-2</v>
      </c>
      <c r="F56" s="232">
        <v>5.1719092800034616E-2</v>
      </c>
      <c r="G56" s="232">
        <v>0.13858137922220837</v>
      </c>
      <c r="H56" s="232">
        <v>0.14690468711061166</v>
      </c>
      <c r="I56" s="232">
        <v>0.12318494660649226</v>
      </c>
      <c r="J56" s="232">
        <v>0.10295870328380352</v>
      </c>
      <c r="K56" s="232">
        <v>0.10475448783333752</v>
      </c>
      <c r="L56" s="232">
        <v>0.10110214442935783</v>
      </c>
      <c r="M56" s="42">
        <v>8.1963334822129585E-2</v>
      </c>
      <c r="N56" s="42">
        <v>7.2548738713306582E-2</v>
      </c>
      <c r="O56" s="42">
        <v>9.8645809394545925E-2</v>
      </c>
      <c r="P56" s="42">
        <v>8.8971375099185845E-2</v>
      </c>
      <c r="Q56" s="42">
        <v>4.8395137192389193E-2</v>
      </c>
      <c r="R56" s="42">
        <v>3.1320482583459652E-2</v>
      </c>
      <c r="S56" s="42">
        <v>1.6617663474788769E-2</v>
      </c>
      <c r="T56" s="45">
        <v>-1.4923278522058214E-2</v>
      </c>
      <c r="U56" s="42">
        <v>4.9538618350482011E-3</v>
      </c>
      <c r="V56" s="42">
        <v>-7.1707113942219847E-3</v>
      </c>
      <c r="W56" s="42">
        <v>-1.740748669334713E-3</v>
      </c>
      <c r="X56" s="42">
        <v>-1.6272420200323934E-3</v>
      </c>
      <c r="Y56" s="45">
        <v>6.9727876061431715E-4</v>
      </c>
      <c r="Z56" s="45">
        <v>3.3994334126163706E-2</v>
      </c>
      <c r="AA56" s="45">
        <v>4.21676221927485E-2</v>
      </c>
      <c r="AB56" s="45">
        <v>1.6637572010823831E-2</v>
      </c>
      <c r="AC56" s="45">
        <v>1.4628724971371465E-2</v>
      </c>
      <c r="AD56" s="45">
        <v>1.4511882279012234E-2</v>
      </c>
      <c r="AE56" s="45">
        <v>3.6784380351484014E-2</v>
      </c>
      <c r="AF56" s="45">
        <v>4.4008098820830899E-2</v>
      </c>
      <c r="AG56" s="45">
        <v>4.6517464646668838E-2</v>
      </c>
      <c r="AH56" s="45">
        <v>5.1521460254958296E-2</v>
      </c>
      <c r="AI56" s="45">
        <v>1.7494685273691468E-2</v>
      </c>
      <c r="AJ56" s="45">
        <v>2.8437944481938482E-2</v>
      </c>
      <c r="AK56" s="45">
        <v>2.5441573577969834E-2</v>
      </c>
      <c r="AL56" s="45">
        <v>2.6308719492237786E-2</v>
      </c>
      <c r="AM56" s="45">
        <v>3.3576459722895136E-2</v>
      </c>
      <c r="AN56" s="45">
        <v>2.9266333036298553E-2</v>
      </c>
      <c r="AO56" s="45">
        <v>2.4909093591513054E-2</v>
      </c>
      <c r="AP56" s="45">
        <v>6.8230176389855401E-2</v>
      </c>
      <c r="AQ56" s="45">
        <v>5.0102764219436935E-2</v>
      </c>
      <c r="AR56" s="45">
        <v>3.2457269888066742E-2</v>
      </c>
      <c r="AS56" s="45">
        <v>3.1158349637988803E-2</v>
      </c>
      <c r="AT56" s="45">
        <v>1.9234941302318509E-2</v>
      </c>
      <c r="AU56" s="45">
        <v>8.8535371379052652E-3</v>
      </c>
      <c r="AV56" s="45">
        <v>-6.3292338084041111E-3</v>
      </c>
      <c r="AW56" s="43">
        <v>1.3502956551208811E-2</v>
      </c>
      <c r="AX56" s="232">
        <v>2.0100000000000007E-2</v>
      </c>
      <c r="AY56" s="232">
        <v>2.0100000000000007E-2</v>
      </c>
      <c r="AZ56" s="232">
        <v>2.0100000000000007E-2</v>
      </c>
      <c r="BA56" s="232">
        <v>2.0100000000000007E-2</v>
      </c>
      <c r="BB56" s="232">
        <v>2.0100000000000007E-2</v>
      </c>
      <c r="BC56" s="232">
        <v>2.0100000000000007E-2</v>
      </c>
      <c r="BD56" s="232">
        <v>2.0100000000000007E-2</v>
      </c>
      <c r="BE56" s="232">
        <v>2.0100000000000007E-2</v>
      </c>
      <c r="BF56" s="232">
        <v>2.0100000000000007E-2</v>
      </c>
      <c r="BG56" s="232">
        <v>2.0100000000000007E-2</v>
      </c>
      <c r="BH56" s="232">
        <v>2.0100000000000007E-2</v>
      </c>
      <c r="BI56" s="232">
        <v>2.0100000000000007E-2</v>
      </c>
      <c r="BJ56" s="232">
        <v>2.0100000000000007E-2</v>
      </c>
      <c r="BK56" s="232">
        <v>2.0100000000000007E-2</v>
      </c>
      <c r="BL56" s="232">
        <v>2.0100000000000007E-2</v>
      </c>
      <c r="BM56" s="232">
        <v>2.0100000000000007E-2</v>
      </c>
      <c r="BN56" s="232">
        <v>2.0100000000000007E-2</v>
      </c>
      <c r="BO56" s="232">
        <v>2.0100000000000007E-2</v>
      </c>
      <c r="BP56" s="232">
        <v>2.0100000000000007E-2</v>
      </c>
      <c r="BQ56" s="232">
        <v>2.0100000000000007E-2</v>
      </c>
      <c r="BR56" s="42"/>
      <c r="BS56" s="232" t="e">
        <v>#VALUE!</v>
      </c>
      <c r="BT56" s="232" t="e">
        <v>#VALUE!</v>
      </c>
      <c r="BU56" s="232" t="e">
        <v>#VALUE!</v>
      </c>
      <c r="BV56" s="232" t="e">
        <v>#VALUE!</v>
      </c>
      <c r="BW56" s="232">
        <v>0.28043167867505159</v>
      </c>
      <c r="BX56" s="232">
        <v>0.18691455456117456</v>
      </c>
      <c r="BY56" s="232">
        <v>0.1348108598064619</v>
      </c>
      <c r="BZ56" s="232">
        <v>0.1862285057654498</v>
      </c>
      <c r="CA56" s="232">
        <v>3.4634291233292425E-2</v>
      </c>
      <c r="CB56" s="232">
        <v>9.6326774307130325E-2</v>
      </c>
      <c r="CC56" s="42">
        <v>0.19291886237610045</v>
      </c>
      <c r="CD56" s="42">
        <v>0.19746777523459325</v>
      </c>
      <c r="CE56" s="42">
        <v>0.28818607975506816</v>
      </c>
      <c r="CF56" s="42">
        <v>0.21849857734762046</v>
      </c>
      <c r="CG56" s="42">
        <v>0.19135214816658608</v>
      </c>
      <c r="CH56" s="42">
        <v>0.17835117715878002</v>
      </c>
      <c r="CI56" s="42">
        <v>0.14167229419569582</v>
      </c>
      <c r="CJ56" s="42">
        <v>4.8458619297688355E-2</v>
      </c>
      <c r="CK56" s="42">
        <v>-1.0043344546934119E-2</v>
      </c>
      <c r="CL56" s="42">
        <v>-8.8989776572390156E-3</v>
      </c>
      <c r="CM56" s="45">
        <v>-9.3109790071699283E-4</v>
      </c>
      <c r="CN56" s="45">
        <v>7.7595416557038277E-2</v>
      </c>
      <c r="CO56" s="45">
        <v>3.1509683447332959E-2</v>
      </c>
      <c r="CP56" s="45">
        <v>5.1830073227863593E-2</v>
      </c>
      <c r="CQ56" s="45">
        <v>9.2572708648564817E-2</v>
      </c>
      <c r="CR56" s="45">
        <v>6.9917497260651329E-2</v>
      </c>
      <c r="CS56" s="45">
        <v>5.4603024116851584E-2</v>
      </c>
      <c r="CT56" s="45">
        <v>6.0768532875524972E-2</v>
      </c>
      <c r="CU56" s="45">
        <v>5.4904424456493128E-2</v>
      </c>
      <c r="CV56" s="45">
        <v>0.12175146104960377</v>
      </c>
      <c r="CW56" s="45">
        <v>6.4626934489522725E-2</v>
      </c>
      <c r="CX56" s="45">
        <v>2.8258775707389105E-2</v>
      </c>
      <c r="CY56" s="43">
        <v>7.0882593736874E-3</v>
      </c>
      <c r="CZ56" s="42">
        <v>4.0604010000000246E-2</v>
      </c>
      <c r="DA56" s="42">
        <v>4.0604010000000246E-2</v>
      </c>
      <c r="DB56" s="42">
        <v>4.0604009999999802E-2</v>
      </c>
      <c r="DC56" s="42">
        <v>4.0604009999999802E-2</v>
      </c>
      <c r="DD56" s="42">
        <v>4.0604009999999802E-2</v>
      </c>
      <c r="DE56" s="42">
        <v>4.0604010000000024E-2</v>
      </c>
      <c r="DF56" s="42">
        <v>4.0604010000000024E-2</v>
      </c>
      <c r="DG56" s="232">
        <v>4.0604010000000024E-2</v>
      </c>
      <c r="DH56" s="232">
        <v>4.0604010000000024E-2</v>
      </c>
      <c r="DI56" s="232">
        <v>4.0604010000000024E-2</v>
      </c>
    </row>
    <row r="57" spans="1:113" outlineLevel="1">
      <c r="A57" s="1" t="s">
        <v>456</v>
      </c>
      <c r="B57" s="19" t="s">
        <v>507</v>
      </c>
      <c r="C57" s="232" t="e">
        <v>#VALUE!</v>
      </c>
      <c r="D57" s="232">
        <v>6.8407466243050052E-3</v>
      </c>
      <c r="E57" s="232">
        <v>-2.3167938743109517E-2</v>
      </c>
      <c r="F57" s="232">
        <v>9.4360526779027509E-2</v>
      </c>
      <c r="G57" s="232">
        <v>-2.1046866261941521E-2</v>
      </c>
      <c r="H57" s="232">
        <v>0.13236482363999147</v>
      </c>
      <c r="I57" s="232">
        <v>2.2652333104495659E-2</v>
      </c>
      <c r="J57" s="232">
        <v>0.1285218797598553</v>
      </c>
      <c r="K57" s="232">
        <v>5.3243996981566788E-4</v>
      </c>
      <c r="L57" s="232">
        <v>0.15290393570701166</v>
      </c>
      <c r="M57" s="42">
        <v>1.49510292261954E-2</v>
      </c>
      <c r="N57" s="42">
        <v>0.11756532048222446</v>
      </c>
      <c r="O57" s="42">
        <v>1.1517570839604918E-2</v>
      </c>
      <c r="P57" s="42">
        <v>0.14680795279263648</v>
      </c>
      <c r="Q57" s="42">
        <v>8.8358600704281365E-3</v>
      </c>
      <c r="R57" s="42">
        <v>0.10047063650268617</v>
      </c>
      <c r="S57" s="42">
        <v>-4.7582688082090097E-2</v>
      </c>
      <c r="T57" s="45">
        <v>4.6723361118950146E-2</v>
      </c>
      <c r="U57" s="42">
        <v>-2.6809575956128096E-2</v>
      </c>
      <c r="V57" s="42">
        <v>5.6059416961554476E-2</v>
      </c>
      <c r="W57" s="42">
        <v>-3.3680630329038119E-2</v>
      </c>
      <c r="X57" s="42">
        <v>4.7644992522928309E-2</v>
      </c>
      <c r="Y57" s="45">
        <v>-8.3620288446289992E-3</v>
      </c>
      <c r="Z57" s="45">
        <v>5.9048335202839919E-2</v>
      </c>
      <c r="AA57" s="45">
        <v>-1.5799048865340892E-2</v>
      </c>
      <c r="AB57" s="45">
        <v>8.5702400790285127E-2</v>
      </c>
      <c r="AC57" s="45">
        <v>-7.1895269405926054E-3</v>
      </c>
      <c r="AD57" s="45">
        <v>7.3793382601899493E-2</v>
      </c>
      <c r="AE57" s="45">
        <v>-7.8313720418982102E-3</v>
      </c>
      <c r="AF57" s="45">
        <v>5.5935269614360017E-2</v>
      </c>
      <c r="AG57" s="45">
        <v>-1.7823639774859346E-2</v>
      </c>
      <c r="AH57" s="45">
        <v>8.5161970709965118E-2</v>
      </c>
      <c r="AI57" s="45">
        <v>-2.7846553226503423E-2</v>
      </c>
      <c r="AJ57" s="45">
        <v>9.6852068045363948E-2</v>
      </c>
      <c r="AK57" s="45">
        <v>-1.9573083216081977E-2</v>
      </c>
      <c r="AL57" s="45">
        <v>4.5419965609481805E-2</v>
      </c>
      <c r="AM57" s="45">
        <v>-1.2619810493123218E-2</v>
      </c>
      <c r="AN57" s="45">
        <v>2.9567312421859171E-2</v>
      </c>
      <c r="AO57" s="45">
        <v>-0.15288784552664036</v>
      </c>
      <c r="AP57" s="45">
        <v>6.4265751869695853E-2</v>
      </c>
      <c r="AQ57" s="45">
        <v>-5.9382554624047734E-2</v>
      </c>
      <c r="AR57" s="45">
        <v>-1.4782856311702064E-2</v>
      </c>
      <c r="AS57" s="45">
        <v>-3.5262425740824277E-2</v>
      </c>
      <c r="AT57" s="45">
        <v>6.4567600521339585E-2</v>
      </c>
      <c r="AU57" s="45">
        <v>-3.0141599148356124E-2</v>
      </c>
      <c r="AV57" s="45">
        <v>2.3531401087201642E-2</v>
      </c>
      <c r="AW57" s="43">
        <v>-3.4824582979978369E-2</v>
      </c>
      <c r="AX57" s="232">
        <v>-9.9749999999999561E-3</v>
      </c>
      <c r="AY57" s="232">
        <v>4.9999999999998934E-3</v>
      </c>
      <c r="AZ57" s="232">
        <v>1.5050000000000008E-2</v>
      </c>
      <c r="BA57" s="232">
        <v>2.0100000000000007E-2</v>
      </c>
      <c r="BB57" s="232">
        <v>2.0100000000000007E-2</v>
      </c>
      <c r="BC57" s="232">
        <v>2.0100000000000007E-2</v>
      </c>
      <c r="BD57" s="232">
        <v>2.0100000000000007E-2</v>
      </c>
      <c r="BE57" s="232">
        <v>2.0100000000000007E-2</v>
      </c>
      <c r="BF57" s="232">
        <v>2.0100000000000007E-2</v>
      </c>
      <c r="BG57" s="232">
        <v>2.0100000000000007E-2</v>
      </c>
      <c r="BH57" s="232">
        <v>2.0100000000000007E-2</v>
      </c>
      <c r="BI57" s="232">
        <v>2.0100000000000007E-2</v>
      </c>
      <c r="BJ57" s="232">
        <v>2.0100000000000007E-2</v>
      </c>
      <c r="BK57" s="232">
        <v>2.0100000000000007E-2</v>
      </c>
      <c r="BL57" s="232">
        <v>2.0100000000000007E-2</v>
      </c>
      <c r="BM57" s="232">
        <v>2.0100000000000007E-2</v>
      </c>
      <c r="BN57" s="232">
        <v>2.0100000000000007E-2</v>
      </c>
      <c r="BO57" s="232">
        <v>2.0100000000000007E-2</v>
      </c>
      <c r="BP57" s="232">
        <v>2.0100000000000007E-2</v>
      </c>
      <c r="BQ57" s="232">
        <v>2.0100000000000007E-2</v>
      </c>
      <c r="BR57" s="42"/>
      <c r="BS57" s="232" t="e">
        <v>#VALUE!</v>
      </c>
      <c r="BT57" s="232" t="e">
        <v>#VALUE!</v>
      </c>
      <c r="BU57" s="232" t="e">
        <v>#VALUE!</v>
      </c>
      <c r="BV57" s="232" t="e">
        <v>#VALUE!</v>
      </c>
      <c r="BW57" s="232">
        <v>0.54939453599072263</v>
      </c>
      <c r="BX57" s="232">
        <v>0.59614846243109954</v>
      </c>
      <c r="BY57" s="232">
        <v>-0.32387285447203817</v>
      </c>
      <c r="BZ57" s="232">
        <v>1.2615903897849461</v>
      </c>
      <c r="CA57" s="232">
        <v>1.7770699709516085</v>
      </c>
      <c r="CB57" s="232">
        <v>-0.69756059718421382</v>
      </c>
      <c r="CC57" s="42">
        <v>-0.43924350467281437</v>
      </c>
      <c r="CD57" s="42">
        <v>7.1327667129561512E-2</v>
      </c>
      <c r="CE57" s="42">
        <v>0.15801552882089798</v>
      </c>
      <c r="CF57" s="42">
        <v>0.12912274991545081</v>
      </c>
      <c r="CG57" s="42">
        <v>0.17014103614476284</v>
      </c>
      <c r="CH57" s="42">
        <v>0.13043695822876433</v>
      </c>
      <c r="CI57" s="42">
        <v>0.15694098739116646</v>
      </c>
      <c r="CJ57" s="42">
        <v>4.8107285462479776E-2</v>
      </c>
      <c r="CK57" s="42">
        <v>1.866115166397786E-2</v>
      </c>
      <c r="CL57" s="42">
        <v>2.049067013337269E-2</v>
      </c>
      <c r="CM57" s="45">
        <v>3.8884554876520427E-2</v>
      </c>
      <c r="CN57" s="45">
        <v>4.2316378804212462E-2</v>
      </c>
      <c r="CO57" s="45">
        <v>7.7896714130337275E-2</v>
      </c>
      <c r="CP57" s="45">
        <v>6.5384107126615687E-2</v>
      </c>
      <c r="CQ57" s="45">
        <v>3.7114659743184619E-2</v>
      </c>
      <c r="CR57" s="45">
        <v>5.4943950133212738E-2</v>
      </c>
      <c r="CS57" s="45">
        <v>7.5383291241780448E-2</v>
      </c>
      <c r="CT57" s="45">
        <v>3.2226963757762794E-2</v>
      </c>
      <c r="CU57" s="45">
        <v>-0.12784101579897222</v>
      </c>
      <c r="CV57" s="45">
        <v>1.0669327247903038E-3</v>
      </c>
      <c r="CW57" s="45">
        <v>-4.9524002679597667E-2</v>
      </c>
      <c r="CX57" s="45">
        <v>3.2479830640097962E-2</v>
      </c>
      <c r="CY57" s="43">
        <v>-1.2112653122573258E-2</v>
      </c>
      <c r="CZ57" s="42">
        <v>-5.0248750000001507E-3</v>
      </c>
      <c r="DA57" s="42">
        <v>3.5452505000000079E-2</v>
      </c>
      <c r="DB57" s="42">
        <v>4.0604010000000024E-2</v>
      </c>
      <c r="DC57" s="42">
        <v>4.0604010000000024E-2</v>
      </c>
      <c r="DD57" s="42">
        <v>4.0604010000000024E-2</v>
      </c>
      <c r="DE57" s="42">
        <v>4.0604010000000246E-2</v>
      </c>
      <c r="DF57" s="42">
        <v>4.0604009999999802E-2</v>
      </c>
      <c r="DG57" s="232">
        <v>4.0604010000000024E-2</v>
      </c>
      <c r="DH57" s="232">
        <v>4.0604010000000024E-2</v>
      </c>
      <c r="DI57" s="232">
        <v>4.0604009999999802E-2</v>
      </c>
    </row>
    <row r="58" spans="1:113" outlineLevel="1">
      <c r="A58" s="1" t="s">
        <v>852</v>
      </c>
      <c r="B58" s="19" t="s">
        <v>508</v>
      </c>
      <c r="C58" s="232">
        <v>1.1494499597531527</v>
      </c>
      <c r="D58" s="232">
        <v>1.1422550661047284</v>
      </c>
      <c r="E58" s="232">
        <v>1.2090372598935433</v>
      </c>
      <c r="F58" s="232">
        <v>1.0984399449950211</v>
      </c>
      <c r="G58" s="232">
        <v>1.1528124687780996</v>
      </c>
      <c r="H58" s="232">
        <v>1.154310229253251</v>
      </c>
      <c r="I58" s="232">
        <v>1.3047387709878122</v>
      </c>
      <c r="J58" s="232">
        <v>1.2960096453018046</v>
      </c>
      <c r="K58" s="232">
        <v>1.3965296114673709</v>
      </c>
      <c r="L58" s="232">
        <v>1.8184093557157037</v>
      </c>
      <c r="M58" s="42">
        <v>1.8353258270660349</v>
      </c>
      <c r="N58" s="42">
        <v>1.8082701283547258</v>
      </c>
      <c r="O58" s="42">
        <v>1.8834745762711864</v>
      </c>
      <c r="P58" s="42">
        <v>1.8049431982750297</v>
      </c>
      <c r="Q58" s="42">
        <v>1.8913476134255356</v>
      </c>
      <c r="R58" s="42">
        <v>1.5212979322859461</v>
      </c>
      <c r="S58" s="42">
        <v>1.3815590832151516</v>
      </c>
      <c r="T58" s="45">
        <v>1.8641960738030607</v>
      </c>
      <c r="U58" s="42">
        <v>1.8324424104910972</v>
      </c>
      <c r="V58" s="42">
        <v>1.7625515887326202</v>
      </c>
      <c r="W58" s="42">
        <v>1.6902054504105153</v>
      </c>
      <c r="X58" s="42">
        <v>1.4859268401385033</v>
      </c>
      <c r="Y58" s="45">
        <v>1.4823599169878448</v>
      </c>
      <c r="Z58" s="45">
        <v>1.503347187410768</v>
      </c>
      <c r="AA58" s="45">
        <v>1.5127921851378068</v>
      </c>
      <c r="AB58" s="45">
        <v>1.466757534454036</v>
      </c>
      <c r="AC58" s="45">
        <v>1.4558996184326387</v>
      </c>
      <c r="AD58" s="45">
        <v>1.4029370660396194</v>
      </c>
      <c r="AE58" s="45">
        <v>1.3411015099938901</v>
      </c>
      <c r="AF58" s="45">
        <v>1.3689988760436738</v>
      </c>
      <c r="AG58" s="45">
        <v>1.3942544670363524</v>
      </c>
      <c r="AH58" s="45">
        <v>1.4200604296809831</v>
      </c>
      <c r="AI58" s="45">
        <v>1.4083396759812983</v>
      </c>
      <c r="AJ58" s="45">
        <v>1.3852368244285895</v>
      </c>
      <c r="AK58" s="45">
        <v>1.3844573956395043</v>
      </c>
      <c r="AL58" s="45">
        <v>1.3496697447736308</v>
      </c>
      <c r="AM58" s="45">
        <v>1.3735585820718454</v>
      </c>
      <c r="AN58" s="45">
        <v>1.3601768562280836</v>
      </c>
      <c r="AO58" s="45">
        <v>1.2626927118570874</v>
      </c>
      <c r="AP58" s="45">
        <v>1.292073605231169</v>
      </c>
      <c r="AQ58" s="45">
        <v>1.3350804994021634</v>
      </c>
      <c r="AR58" s="45">
        <v>1.3089120598072004</v>
      </c>
      <c r="AS58" s="45">
        <v>1.352916075926716</v>
      </c>
      <c r="AT58" s="45">
        <v>1.3374022234041174</v>
      </c>
      <c r="AU58" s="45">
        <v>1.3219339774764896</v>
      </c>
      <c r="AV58" s="45">
        <v>1.2801828281067078</v>
      </c>
      <c r="AW58" s="43">
        <v>1.2829732909459561</v>
      </c>
      <c r="AX58" s="511">
        <v>1.2829732909459561</v>
      </c>
      <c r="AY58" s="511">
        <v>1.2829732909459561</v>
      </c>
      <c r="AZ58" s="511">
        <v>1.2829732909459561</v>
      </c>
      <c r="BA58" s="511">
        <v>1.2829732909459561</v>
      </c>
      <c r="BB58" s="511">
        <v>1.2829732909459561</v>
      </c>
      <c r="BC58" s="511">
        <v>1.2829732909459561</v>
      </c>
      <c r="BD58" s="511">
        <v>1.2829732909459561</v>
      </c>
      <c r="BE58" s="511">
        <v>1.2829732909459561</v>
      </c>
      <c r="BF58" s="511">
        <v>1.2829732909459561</v>
      </c>
      <c r="BG58" s="511">
        <v>1.2829732909459561</v>
      </c>
      <c r="BH58" s="511">
        <v>1.2829732909459561</v>
      </c>
      <c r="BI58" s="511">
        <v>1.2829732909459561</v>
      </c>
      <c r="BJ58" s="511">
        <v>1.2829732909459561</v>
      </c>
      <c r="BK58" s="511">
        <v>1.2829732909459561</v>
      </c>
      <c r="BL58" s="511">
        <v>1.2829732909459561</v>
      </c>
      <c r="BM58" s="511">
        <v>1.2829732909459561</v>
      </c>
      <c r="BN58" s="511">
        <v>1.2829732909459561</v>
      </c>
      <c r="BO58" s="511">
        <v>1.2829732909459561</v>
      </c>
      <c r="BP58" s="511">
        <v>1.2829732909459561</v>
      </c>
      <c r="BQ58" s="511">
        <v>1.2829732909459561</v>
      </c>
      <c r="BR58" s="42"/>
      <c r="BS58" s="232">
        <v>0.65137414708112207</v>
      </c>
      <c r="BT58" s="232">
        <v>1.1130940170940171</v>
      </c>
      <c r="BU58" s="232">
        <v>1.122992097040985</v>
      </c>
      <c r="BV58" s="232">
        <v>1.1306999306999308</v>
      </c>
      <c r="BW58" s="232">
        <v>0.98811259392172257</v>
      </c>
      <c r="BX58" s="232">
        <v>1.0491943127962085</v>
      </c>
      <c r="BY58" s="232">
        <v>1.0288619219416202</v>
      </c>
      <c r="BZ58" s="232">
        <v>1.1370417193426043</v>
      </c>
      <c r="CA58" s="232">
        <v>1.241922835633626</v>
      </c>
      <c r="CB58" s="232">
        <v>1.1494499597531527</v>
      </c>
      <c r="CC58" s="42">
        <v>1.2090372598935433</v>
      </c>
      <c r="CD58" s="42">
        <v>1.1528124687780996</v>
      </c>
      <c r="CE58" s="42">
        <v>1.3047387709878122</v>
      </c>
      <c r="CF58" s="42">
        <v>1.3965296114673709</v>
      </c>
      <c r="CG58" s="42">
        <v>1.8353258270660349</v>
      </c>
      <c r="CH58" s="42">
        <v>1.8834745762711864</v>
      </c>
      <c r="CI58" s="42">
        <v>1.8913476134255356</v>
      </c>
      <c r="CJ58" s="42">
        <v>1.3815590832151516</v>
      </c>
      <c r="CK58" s="42">
        <v>1.8324424104910972</v>
      </c>
      <c r="CL58" s="42">
        <v>1.6902054504105153</v>
      </c>
      <c r="CM58" s="45">
        <v>1.4823599169878448</v>
      </c>
      <c r="CN58" s="45">
        <v>1.5127921851378068</v>
      </c>
      <c r="CO58" s="45">
        <v>1.4558996184326387</v>
      </c>
      <c r="CP58" s="45">
        <v>1.3411015099938901</v>
      </c>
      <c r="CQ58" s="45">
        <v>1.3942544670363524</v>
      </c>
      <c r="CR58" s="45">
        <v>1.4083396759812983</v>
      </c>
      <c r="CS58" s="45">
        <v>1.3844573956395043</v>
      </c>
      <c r="CT58" s="45">
        <v>1.3735585820718454</v>
      </c>
      <c r="CU58" s="45">
        <v>1.2626927118570874</v>
      </c>
      <c r="CV58" s="45">
        <v>1.3350804994021634</v>
      </c>
      <c r="CW58" s="45">
        <v>1.352916075926716</v>
      </c>
      <c r="CX58" s="45">
        <v>1.3219339774764896</v>
      </c>
      <c r="CY58" s="43">
        <v>1.2829732909459561</v>
      </c>
      <c r="CZ58" s="42">
        <v>1.2829732909459561</v>
      </c>
      <c r="DA58" s="42">
        <v>1.2829732909459561</v>
      </c>
      <c r="DB58" s="42">
        <v>1.2829732909459561</v>
      </c>
      <c r="DC58" s="42">
        <v>1.2829732909459561</v>
      </c>
      <c r="DD58" s="42">
        <v>1.2829732909459561</v>
      </c>
      <c r="DE58" s="42">
        <v>1.2829732909459561</v>
      </c>
      <c r="DF58" s="42">
        <v>1.2829732909459561</v>
      </c>
      <c r="DG58" s="232">
        <v>1.2829732909459561</v>
      </c>
      <c r="DH58" s="232">
        <v>1.2829732909459561</v>
      </c>
      <c r="DI58" s="232">
        <v>1.2829732909459561</v>
      </c>
    </row>
    <row r="59" spans="1:113" outlineLevel="1">
      <c r="A59" s="1" t="s">
        <v>457</v>
      </c>
      <c r="B59" s="19" t="s">
        <v>179</v>
      </c>
      <c r="C59" s="232" t="e">
        <v>#VALUE!</v>
      </c>
      <c r="D59" s="232" t="e">
        <v>#DIV/0!</v>
      </c>
      <c r="E59" s="232" t="e">
        <v>#DIV/0!</v>
      </c>
      <c r="F59" s="232" t="e">
        <v>#DIV/0!</v>
      </c>
      <c r="G59" s="232" t="e">
        <v>#DIV/0!</v>
      </c>
      <c r="H59" s="232" t="e">
        <v>#DIV/0!</v>
      </c>
      <c r="I59" s="232" t="e">
        <v>#DIV/0!</v>
      </c>
      <c r="J59" s="232" t="e">
        <v>#DIV/0!</v>
      </c>
      <c r="K59" s="232" t="e">
        <v>#DIV/0!</v>
      </c>
      <c r="L59" s="232" t="e">
        <v>#DIV/0!</v>
      </c>
      <c r="M59" s="42" t="e">
        <v>#DIV/0!</v>
      </c>
      <c r="N59" s="42" t="e">
        <v>#DIV/0!</v>
      </c>
      <c r="O59" s="42" t="e">
        <v>#DIV/0!</v>
      </c>
      <c r="P59" s="42" t="e">
        <v>#DIV/0!</v>
      </c>
      <c r="Q59" s="42" t="e">
        <v>#DIV/0!</v>
      </c>
      <c r="R59" s="42" t="e">
        <v>#DIV/0!</v>
      </c>
      <c r="S59" s="42" t="e">
        <v>#DIV/0!</v>
      </c>
      <c r="T59" s="45" t="e">
        <v>#DIV/0!</v>
      </c>
      <c r="U59" s="42">
        <v>2.2527808049302989E-2</v>
      </c>
      <c r="V59" s="42">
        <v>9.0112773613482577E-2</v>
      </c>
      <c r="W59" s="42">
        <v>1.7361989043407355E-3</v>
      </c>
      <c r="X59" s="42">
        <v>3.4225449283166176E-2</v>
      </c>
      <c r="Y59" s="45">
        <v>1.7349894257070231E-2</v>
      </c>
      <c r="Z59" s="45">
        <v>4.9203180905928345E-2</v>
      </c>
      <c r="AA59" s="45">
        <v>-2.5237444154323829E-2</v>
      </c>
      <c r="AB59" s="45">
        <v>-4.1322773910124511E-2</v>
      </c>
      <c r="AC59" s="45">
        <v>6.1079978148098846E-2</v>
      </c>
      <c r="AD59" s="45">
        <v>-6.2268595914759528E-2</v>
      </c>
      <c r="AE59" s="45">
        <v>-4.0933750378411515E-2</v>
      </c>
      <c r="AF59" s="45">
        <v>-1.4209662821415336E-2</v>
      </c>
      <c r="AG59" s="45">
        <v>5.4411736656939436E-2</v>
      </c>
      <c r="AH59" s="45">
        <v>1.3422879493375728E-2</v>
      </c>
      <c r="AI59" s="45">
        <v>-1.3938245281528983E-2</v>
      </c>
      <c r="AJ59" s="45">
        <v>-7.9150825357139021E-2</v>
      </c>
      <c r="AK59" s="45">
        <v>-3.9626272107609717E-2</v>
      </c>
      <c r="AL59" s="45">
        <v>-1.9504094605380051E-2</v>
      </c>
      <c r="AM59" s="45">
        <v>4.1973268689665666E-4</v>
      </c>
      <c r="AN59" s="45">
        <v>-7.6574609776016378E-2</v>
      </c>
      <c r="AO59" s="45">
        <v>-0.15048612166805675</v>
      </c>
      <c r="AP59" s="45">
        <v>-8.0796470021135436E-2</v>
      </c>
      <c r="AQ59" s="45">
        <v>-0.13930012101653888</v>
      </c>
      <c r="AR59" s="45">
        <v>-0.12716424662286607</v>
      </c>
      <c r="AS59" s="45">
        <v>-0.15285229023672786</v>
      </c>
      <c r="AT59" s="45">
        <v>-0.17566720336431574</v>
      </c>
      <c r="AU59" s="45">
        <v>-6.6731662144424497E-2</v>
      </c>
      <c r="AV59" s="45">
        <v>-0.69683369759266456</v>
      </c>
      <c r="AW59" s="43">
        <v>-0.19727173770162509</v>
      </c>
      <c r="AX59" s="232">
        <v>2.1600999999999981E-2</v>
      </c>
      <c r="AY59" s="232">
        <v>2.1615999999999969E-2</v>
      </c>
      <c r="AZ59" s="232">
        <v>2.4644999999999917E-2</v>
      </c>
      <c r="BA59" s="232">
        <v>1.9090499999999899E-2</v>
      </c>
      <c r="BB59" s="232">
        <v>1.9090499999999899E-2</v>
      </c>
      <c r="BC59" s="232">
        <v>1.9090499999999899E-2</v>
      </c>
      <c r="BD59" s="232">
        <v>1.9090499999999899E-2</v>
      </c>
      <c r="BE59" s="232">
        <v>1.9090499999999899E-2</v>
      </c>
      <c r="BF59" s="232">
        <v>1.9090499999999899E-2</v>
      </c>
      <c r="BG59" s="232">
        <v>1.9090499999999899E-2</v>
      </c>
      <c r="BH59" s="232">
        <v>1.9090499999999899E-2</v>
      </c>
      <c r="BI59" s="232">
        <v>1.9090499999999899E-2</v>
      </c>
      <c r="BJ59" s="232">
        <v>1.9090499999999899E-2</v>
      </c>
      <c r="BK59" s="232">
        <v>1.9090499999999899E-2</v>
      </c>
      <c r="BL59" s="232">
        <v>1.9090499999999899E-2</v>
      </c>
      <c r="BM59" s="232">
        <v>1.9090499999999899E-2</v>
      </c>
      <c r="BN59" s="232">
        <v>1.9090499999999899E-2</v>
      </c>
      <c r="BO59" s="232">
        <v>1.9090499999999899E-2</v>
      </c>
      <c r="BP59" s="232">
        <v>1.9090499999999899E-2</v>
      </c>
      <c r="BQ59" s="232">
        <v>1.9090499999999899E-2</v>
      </c>
      <c r="BR59" s="42"/>
      <c r="BS59" s="232" t="e">
        <v>#DIV/0!</v>
      </c>
      <c r="BT59" s="232" t="e">
        <v>#DIV/0!</v>
      </c>
      <c r="BU59" s="232" t="e">
        <v>#DIV/0!</v>
      </c>
      <c r="BV59" s="232" t="e">
        <v>#DIV/0!</v>
      </c>
      <c r="BW59" s="232" t="e">
        <v>#DIV/0!</v>
      </c>
      <c r="BX59" s="232" t="e">
        <v>#DIV/0!</v>
      </c>
      <c r="BY59" s="232" t="e">
        <v>#DIV/0!</v>
      </c>
      <c r="BZ59" s="232" t="e">
        <v>#DIV/0!</v>
      </c>
      <c r="CA59" s="232" t="e">
        <v>#DIV/0!</v>
      </c>
      <c r="CB59" s="232" t="e">
        <v>#DIV/0!</v>
      </c>
      <c r="CC59" s="42" t="e">
        <v>#DIV/0!</v>
      </c>
      <c r="CD59" s="42" t="e">
        <v>#DIV/0!</v>
      </c>
      <c r="CE59" s="42" t="e">
        <v>#DIV/0!</v>
      </c>
      <c r="CF59" s="42" t="e">
        <v>#DIV/0!</v>
      </c>
      <c r="CG59" s="42" t="e">
        <v>#DIV/0!</v>
      </c>
      <c r="CH59" s="42" t="e">
        <v>#DIV/0!</v>
      </c>
      <c r="CI59" s="42" t="e">
        <v>#DIV/0!</v>
      </c>
      <c r="CJ59" s="42" t="e">
        <v>#DIV/0!</v>
      </c>
      <c r="CK59" s="42" t="e">
        <v>#DIV/0!</v>
      </c>
      <c r="CL59" s="42">
        <v>9.2005426216638098E-2</v>
      </c>
      <c r="CM59" s="45">
        <v>5.2169151466199937E-2</v>
      </c>
      <c r="CN59" s="45">
        <v>2.2723974221276144E-2</v>
      </c>
      <c r="CO59" s="45">
        <v>1.7233210110525254E-2</v>
      </c>
      <c r="CP59" s="45">
        <v>-0.10065345913158219</v>
      </c>
      <c r="CQ59" s="45">
        <v>3.9428901404101158E-2</v>
      </c>
      <c r="CR59" s="45">
        <v>-7.0245717491623783E-4</v>
      </c>
      <c r="CS59" s="45">
        <v>-0.1156406453216049</v>
      </c>
      <c r="CT59" s="45">
        <v>-1.9092548424517575E-2</v>
      </c>
      <c r="CU59" s="45">
        <v>-0.21553731540063548</v>
      </c>
      <c r="CV59" s="45">
        <v>-0.20884163298602099</v>
      </c>
      <c r="CW59" s="45">
        <v>-0.26057919052706069</v>
      </c>
      <c r="CX59" s="45">
        <v>-0.23067630104397685</v>
      </c>
      <c r="CY59" s="43">
        <v>-0.75663984088113589</v>
      </c>
      <c r="CZ59" s="42">
        <v>4.3683927215999674E-2</v>
      </c>
      <c r="DA59" s="42">
        <v>4.4205985372499867E-2</v>
      </c>
      <c r="DB59" s="42">
        <v>3.8545447190249549E-2</v>
      </c>
      <c r="DC59" s="42">
        <v>3.8545447190249993E-2</v>
      </c>
      <c r="DD59" s="42">
        <v>3.8545447190249993E-2</v>
      </c>
      <c r="DE59" s="42">
        <v>3.8545447190249993E-2</v>
      </c>
      <c r="DF59" s="42">
        <v>3.8545447190249771E-2</v>
      </c>
      <c r="DG59" s="232">
        <v>3.8545447190249993E-2</v>
      </c>
      <c r="DH59" s="232">
        <v>3.8545447190249549E-2</v>
      </c>
      <c r="DI59" s="232">
        <v>3.8545447190249549E-2</v>
      </c>
    </row>
    <row r="60" spans="1:113" outlineLevel="1">
      <c r="A60" s="1" t="s">
        <v>307</v>
      </c>
      <c r="B60" s="19" t="s">
        <v>180</v>
      </c>
      <c r="C60" s="232" t="e">
        <v>#VALUE!</v>
      </c>
      <c r="D60" s="232" t="e">
        <v>#DIV/0!</v>
      </c>
      <c r="E60" s="232" t="e">
        <v>#DIV/0!</v>
      </c>
      <c r="F60" s="232" t="e">
        <v>#DIV/0!</v>
      </c>
      <c r="G60" s="232" t="e">
        <v>#DIV/0!</v>
      </c>
      <c r="H60" s="232" t="e">
        <v>#DIV/0!</v>
      </c>
      <c r="I60" s="232" t="e">
        <v>#DIV/0!</v>
      </c>
      <c r="J60" s="232" t="e">
        <v>#DIV/0!</v>
      </c>
      <c r="K60" s="232" t="e">
        <v>#DIV/0!</v>
      </c>
      <c r="L60" s="232" t="e">
        <v>#DIV/0!</v>
      </c>
      <c r="M60" s="42" t="e">
        <v>#DIV/0!</v>
      </c>
      <c r="N60" s="42" t="e">
        <v>#DIV/0!</v>
      </c>
      <c r="O60" s="42" t="e">
        <v>#DIV/0!</v>
      </c>
      <c r="P60" s="42" t="e">
        <v>#DIV/0!</v>
      </c>
      <c r="Q60" s="42" t="e">
        <v>#DIV/0!</v>
      </c>
      <c r="R60" s="42" t="e">
        <v>#DIV/0!</v>
      </c>
      <c r="S60" s="42" t="e">
        <v>#DIV/0!</v>
      </c>
      <c r="T60" s="45" t="e">
        <v>#DIV/0!</v>
      </c>
      <c r="U60" s="45">
        <v>-0.14289511269729571</v>
      </c>
      <c r="V60" s="45">
        <v>3.0514154511527503E-2</v>
      </c>
      <c r="W60" s="45">
        <v>0.1105349848379904</v>
      </c>
      <c r="X60" s="45">
        <v>9.1426729694886077E-2</v>
      </c>
      <c r="Y60" s="45">
        <v>0.1457792037534138</v>
      </c>
      <c r="Z60" s="45">
        <v>6.6329959359877178E-2</v>
      </c>
      <c r="AA60" s="45">
        <v>0.13129709448090909</v>
      </c>
      <c r="AB60" s="45">
        <v>0.23902465518360549</v>
      </c>
      <c r="AC60" s="45">
        <v>5.9014150901482099E-2</v>
      </c>
      <c r="AD60" s="45">
        <v>4.3236884270088316E-2</v>
      </c>
      <c r="AE60" s="45">
        <v>-1.7748493976468271E-3</v>
      </c>
      <c r="AF60" s="45">
        <v>4.4679233002230534E-2</v>
      </c>
      <c r="AG60" s="45">
        <v>1.4025389643795849E-2</v>
      </c>
      <c r="AH60" s="45">
        <v>-1.217236075739403E-2</v>
      </c>
      <c r="AI60" s="45">
        <v>0.10048169446179389</v>
      </c>
      <c r="AJ60" s="45">
        <v>2.1453060277989655E-2</v>
      </c>
      <c r="AK60" s="45">
        <v>-4.850265502520712E-2</v>
      </c>
      <c r="AL60" s="45">
        <v>-5.6436045307797889E-2</v>
      </c>
      <c r="AM60" s="45">
        <v>-0.15793544140190263</v>
      </c>
      <c r="AN60" s="45">
        <v>-9.2896047376556434E-2</v>
      </c>
      <c r="AO60" s="45">
        <v>-8.5726147774385253E-2</v>
      </c>
      <c r="AP60" s="45">
        <v>1.9867146268739422E-3</v>
      </c>
      <c r="AQ60" s="45">
        <v>2.7219126300611851E-2</v>
      </c>
      <c r="AR60" s="45">
        <v>-4.6458181574905444E-3</v>
      </c>
      <c r="AS60" s="45">
        <v>-5.2935316062011295E-2</v>
      </c>
      <c r="AT60" s="45">
        <v>-0.15296204780019262</v>
      </c>
      <c r="AU60" s="45">
        <v>-1.126512247071243E-2</v>
      </c>
      <c r="AV60" s="45">
        <v>4.4635707067644415E-2</v>
      </c>
      <c r="AW60" s="43">
        <v>-4.1415858810518458E-3</v>
      </c>
      <c r="AX60" s="232">
        <v>6.0729999999999396E-3</v>
      </c>
      <c r="AY60" s="232">
        <v>1.3560499999999864E-2</v>
      </c>
      <c r="AZ60" s="232">
        <v>1.8585499999999922E-2</v>
      </c>
      <c r="BA60" s="232">
        <v>2.1110499999999921E-2</v>
      </c>
      <c r="BB60" s="232">
        <v>2.1110499999999921E-2</v>
      </c>
      <c r="BC60" s="232">
        <v>2.1110499999999921E-2</v>
      </c>
      <c r="BD60" s="232">
        <v>2.1110499999999921E-2</v>
      </c>
      <c r="BE60" s="232">
        <v>2.1110499999999921E-2</v>
      </c>
      <c r="BF60" s="232">
        <v>2.1110499999999921E-2</v>
      </c>
      <c r="BG60" s="232">
        <v>2.1110499999999921E-2</v>
      </c>
      <c r="BH60" s="232">
        <v>2.1110499999999921E-2</v>
      </c>
      <c r="BI60" s="232">
        <v>2.1110499999999921E-2</v>
      </c>
      <c r="BJ60" s="232">
        <v>2.1110499999999921E-2</v>
      </c>
      <c r="BK60" s="232">
        <v>2.1110499999999921E-2</v>
      </c>
      <c r="BL60" s="232">
        <v>2.1110499999999921E-2</v>
      </c>
      <c r="BM60" s="232">
        <v>2.1110499999999921E-2</v>
      </c>
      <c r="BN60" s="232">
        <v>2.1110499999999921E-2</v>
      </c>
      <c r="BO60" s="232">
        <v>2.1110499999999921E-2</v>
      </c>
      <c r="BP60" s="232">
        <v>2.1110499999999921E-2</v>
      </c>
      <c r="BQ60" s="232">
        <v>2.1110499999999921E-2</v>
      </c>
      <c r="BR60" s="42"/>
      <c r="BS60" s="232" t="e">
        <v>#DIV/0!</v>
      </c>
      <c r="BT60" s="232" t="e">
        <v>#DIV/0!</v>
      </c>
      <c r="BU60" s="232" t="e">
        <v>#DIV/0!</v>
      </c>
      <c r="BV60" s="232" t="e">
        <v>#DIV/0!</v>
      </c>
      <c r="BW60" s="232" t="e">
        <v>#DIV/0!</v>
      </c>
      <c r="BX60" s="232" t="e">
        <v>#DIV/0!</v>
      </c>
      <c r="BY60" s="232" t="e">
        <v>#DIV/0!</v>
      </c>
      <c r="BZ60" s="232" t="e">
        <v>#DIV/0!</v>
      </c>
      <c r="CA60" s="232" t="e">
        <v>#DIV/0!</v>
      </c>
      <c r="CB60" s="232" t="e">
        <v>#DIV/0!</v>
      </c>
      <c r="CC60" s="42" t="e">
        <v>#DIV/0!</v>
      </c>
      <c r="CD60" s="42" t="e">
        <v>#DIV/0!</v>
      </c>
      <c r="CE60" s="42" t="e">
        <v>#DIV/0!</v>
      </c>
      <c r="CF60" s="42" t="e">
        <v>#DIV/0!</v>
      </c>
      <c r="CG60" s="42" t="e">
        <v>#DIV/0!</v>
      </c>
      <c r="CH60" s="42" t="e">
        <v>#DIV/0!</v>
      </c>
      <c r="CI60" s="42" t="e">
        <v>#DIV/0!</v>
      </c>
      <c r="CJ60" s="42" t="e">
        <v>#DIV/0!</v>
      </c>
      <c r="CK60" s="42" t="e">
        <v>#DIV/0!</v>
      </c>
      <c r="CL60" s="42" t="e">
        <v>#DIV/0!</v>
      </c>
      <c r="CM60" s="45" t="e">
        <v>#DIV/0!</v>
      </c>
      <c r="CN60" s="45" t="e">
        <v>#DIV/0!</v>
      </c>
      <c r="CO60" s="45" t="e">
        <v>#DIV/0!</v>
      </c>
      <c r="CP60" s="45" t="e">
        <v>#DIV/0!</v>
      </c>
      <c r="CQ60" s="45" t="e">
        <v>#DIV/0!</v>
      </c>
      <c r="CR60" s="45" t="e">
        <v>#DIV/0!</v>
      </c>
      <c r="CS60" s="45" t="e">
        <v>#DIV/0!</v>
      </c>
      <c r="CT60" s="45" t="e">
        <v>#DIV/0!</v>
      </c>
      <c r="CU60" s="45" t="e">
        <v>#DIV/0!</v>
      </c>
      <c r="CV60" s="45" t="e">
        <v>#DIV/0!</v>
      </c>
      <c r="CW60" s="45" t="e">
        <v>#DIV/0!</v>
      </c>
      <c r="CX60" s="45" t="e">
        <v>#DIV/0!</v>
      </c>
      <c r="CY60" s="43" t="e">
        <v>#DIV/0!</v>
      </c>
      <c r="CZ60" s="42" t="e">
        <v>#DIV/0!</v>
      </c>
      <c r="DA60" s="42" t="e">
        <v>#DIV/0!</v>
      </c>
      <c r="DB60" s="42" t="e">
        <v>#DIV/0!</v>
      </c>
      <c r="DC60" s="42" t="e">
        <v>#DIV/0!</v>
      </c>
      <c r="DD60" s="42" t="e">
        <v>#DIV/0!</v>
      </c>
      <c r="DE60" s="42" t="e">
        <v>#DIV/0!</v>
      </c>
      <c r="DF60" s="42" t="e">
        <v>#DIV/0!</v>
      </c>
      <c r="DG60" s="232" t="e">
        <v>#DIV/0!</v>
      </c>
      <c r="DH60" s="232" t="e">
        <v>#DIV/0!</v>
      </c>
      <c r="DI60" s="232" t="e">
        <v>#DIV/0!</v>
      </c>
    </row>
    <row r="61" spans="1:113" outlineLevel="1">
      <c r="A61" s="1" t="s">
        <v>853</v>
      </c>
      <c r="B61" s="19" t="s">
        <v>281</v>
      </c>
      <c r="C61" s="232" t="e">
        <v>#DIV/0!</v>
      </c>
      <c r="D61" s="232" t="e">
        <v>#DIV/0!</v>
      </c>
      <c r="E61" s="232" t="e">
        <v>#DIV/0!</v>
      </c>
      <c r="F61" s="232" t="e">
        <v>#DIV/0!</v>
      </c>
      <c r="G61" s="232" t="e">
        <v>#DIV/0!</v>
      </c>
      <c r="H61" s="232" t="e">
        <v>#DIV/0!</v>
      </c>
      <c r="I61" s="232" t="e">
        <v>#DIV/0!</v>
      </c>
      <c r="J61" s="232" t="e">
        <v>#DIV/0!</v>
      </c>
      <c r="K61" s="232" t="e">
        <v>#DIV/0!</v>
      </c>
      <c r="L61" s="232" t="e">
        <v>#DIV/0!</v>
      </c>
      <c r="M61" s="42" t="e">
        <v>#DIV/0!</v>
      </c>
      <c r="N61" s="42" t="e">
        <v>#DIV/0!</v>
      </c>
      <c r="O61" s="42" t="e">
        <v>#DIV/0!</v>
      </c>
      <c r="P61" s="42" t="e">
        <v>#DIV/0!</v>
      </c>
      <c r="Q61" s="42" t="e">
        <v>#DIV/0!</v>
      </c>
      <c r="R61" s="42" t="e">
        <v>#DIV/0!</v>
      </c>
      <c r="S61" s="42" t="e">
        <v>#DIV/0!</v>
      </c>
      <c r="T61" s="45">
        <v>0.58362967504598406</v>
      </c>
      <c r="U61" s="42">
        <v>0.65776901493895501</v>
      </c>
      <c r="V61" s="42">
        <v>0.43381720121636352</v>
      </c>
      <c r="W61" s="42">
        <v>0.68010358221838585</v>
      </c>
      <c r="X61" s="42">
        <v>0.51844426623897355</v>
      </c>
      <c r="Y61" s="45">
        <v>0.53203631647211413</v>
      </c>
      <c r="Z61" s="45">
        <v>0.63626099358212507</v>
      </c>
      <c r="AA61" s="45">
        <v>0.88149265477439664</v>
      </c>
      <c r="AB61" s="45">
        <v>1.0142372073628403</v>
      </c>
      <c r="AC61" s="45">
        <v>1.0942348209155335</v>
      </c>
      <c r="AD61" s="45">
        <v>1.0363064753308655</v>
      </c>
      <c r="AE61" s="45">
        <v>1.2868235433584256</v>
      </c>
      <c r="AF61" s="45">
        <v>1.1649928966834859</v>
      </c>
      <c r="AG61" s="45">
        <v>1.1895532852564104</v>
      </c>
      <c r="AH61" s="45">
        <v>1.0669674451521585</v>
      </c>
      <c r="AI61" s="45">
        <v>1.1559684161634929</v>
      </c>
      <c r="AJ61" s="45">
        <v>1.1456315137046049</v>
      </c>
      <c r="AK61" s="45">
        <v>1.1117761816085838</v>
      </c>
      <c r="AL61" s="45">
        <v>1.1154088333183412</v>
      </c>
      <c r="AM61" s="45">
        <v>1.2510052034058656</v>
      </c>
      <c r="AN61" s="45">
        <v>0.8922655778777896</v>
      </c>
      <c r="AO61" s="45">
        <v>1.127888671997985</v>
      </c>
      <c r="AP61" s="45">
        <v>1.0672032193158953</v>
      </c>
      <c r="AQ61" s="45">
        <v>1.0212295987237698</v>
      </c>
      <c r="AR61" s="45">
        <v>0.79269253952798258</v>
      </c>
      <c r="AS61" s="45">
        <v>0.80333820547880619</v>
      </c>
      <c r="AT61" s="45">
        <v>0.70526721603778131</v>
      </c>
      <c r="AU61" s="45">
        <v>0.83105638949794791</v>
      </c>
      <c r="AV61" s="45">
        <v>0.85577258458318806</v>
      </c>
      <c r="AW61" s="43">
        <v>0.76359684593610999</v>
      </c>
      <c r="AX61" s="511">
        <v>0.76359684593610999</v>
      </c>
      <c r="AY61" s="511">
        <v>0.76359684593610999</v>
      </c>
      <c r="AZ61" s="511">
        <v>0.76359684593610999</v>
      </c>
      <c r="BA61" s="511">
        <v>0.76359684593610999</v>
      </c>
      <c r="BB61" s="511">
        <v>0.76359684593610999</v>
      </c>
      <c r="BC61" s="511">
        <v>0.76359684593610999</v>
      </c>
      <c r="BD61" s="511">
        <v>0.76359684593610999</v>
      </c>
      <c r="BE61" s="511">
        <v>0.76359684593610999</v>
      </c>
      <c r="BF61" s="511">
        <v>0.76359684593610999</v>
      </c>
      <c r="BG61" s="511">
        <v>0.76359684593610999</v>
      </c>
      <c r="BH61" s="511">
        <v>0.76359684593610999</v>
      </c>
      <c r="BI61" s="511">
        <v>0.76359684593610999</v>
      </c>
      <c r="BJ61" s="511">
        <v>0.76359684593610999</v>
      </c>
      <c r="BK61" s="511">
        <v>0.76359684593610999</v>
      </c>
      <c r="BL61" s="511">
        <v>0.76359684593610999</v>
      </c>
      <c r="BM61" s="511">
        <v>0.76359684593610999</v>
      </c>
      <c r="BN61" s="511">
        <v>0.76359684593610999</v>
      </c>
      <c r="BO61" s="511">
        <v>0.76359684593610999</v>
      </c>
      <c r="BP61" s="511">
        <v>0.76359684593610999</v>
      </c>
      <c r="BQ61" s="511">
        <v>0.76359684593610999</v>
      </c>
      <c r="BR61" s="42"/>
      <c r="BS61" s="232" t="e">
        <v>#DIV/0!</v>
      </c>
      <c r="BT61" s="232" t="e">
        <v>#DIV/0!</v>
      </c>
      <c r="BU61" s="232" t="e">
        <v>#DIV/0!</v>
      </c>
      <c r="BV61" s="232" t="e">
        <v>#DIV/0!</v>
      </c>
      <c r="BW61" s="232" t="e">
        <v>#DIV/0!</v>
      </c>
      <c r="BX61" s="232" t="e">
        <v>#DIV/0!</v>
      </c>
      <c r="BY61" s="232" t="e">
        <v>#DIV/0!</v>
      </c>
      <c r="BZ61" s="232" t="e">
        <v>#DIV/0!</v>
      </c>
      <c r="CA61" s="232" t="e">
        <v>#DIV/0!</v>
      </c>
      <c r="CB61" s="232" t="e">
        <v>#DIV/0!</v>
      </c>
      <c r="CC61" s="42" t="e">
        <v>#DIV/0!</v>
      </c>
      <c r="CD61" s="42" t="e">
        <v>#DIV/0!</v>
      </c>
      <c r="CE61" s="42" t="e">
        <v>#DIV/0!</v>
      </c>
      <c r="CF61" s="42" t="e">
        <v>#DIV/0!</v>
      </c>
      <c r="CG61" s="42" t="e">
        <v>#DIV/0!</v>
      </c>
      <c r="CH61" s="42" t="e">
        <v>#DIV/0!</v>
      </c>
      <c r="CI61" s="42" t="e">
        <v>#DIV/0!</v>
      </c>
      <c r="CJ61" s="42" t="e">
        <v>#DIV/0!</v>
      </c>
      <c r="CK61" s="42">
        <v>0.65776901493895501</v>
      </c>
      <c r="CL61" s="42">
        <v>0.68010358221838585</v>
      </c>
      <c r="CM61" s="45">
        <v>0.53203631647211413</v>
      </c>
      <c r="CN61" s="45">
        <v>0.88149265477439664</v>
      </c>
      <c r="CO61" s="45">
        <v>1.0942348209155335</v>
      </c>
      <c r="CP61" s="45">
        <v>1.2868235433584256</v>
      </c>
      <c r="CQ61" s="45">
        <v>1.1895532852564104</v>
      </c>
      <c r="CR61" s="45">
        <v>1.1559684161634929</v>
      </c>
      <c r="CS61" s="45">
        <v>1.1117761816085838</v>
      </c>
      <c r="CT61" s="45">
        <v>1.2510052034058656</v>
      </c>
      <c r="CU61" s="45">
        <v>1.127888671997985</v>
      </c>
      <c r="CV61" s="45">
        <v>1.0212295987237698</v>
      </c>
      <c r="CW61" s="45">
        <v>0.80333820547880619</v>
      </c>
      <c r="CX61" s="45">
        <v>0.83105638949794791</v>
      </c>
      <c r="CY61" s="43">
        <v>0.76359684593610999</v>
      </c>
      <c r="CZ61" s="42">
        <v>0.76359684593610999</v>
      </c>
      <c r="DA61" s="42">
        <v>0.76359684593610999</v>
      </c>
      <c r="DB61" s="42">
        <v>0.76359684593610999</v>
      </c>
      <c r="DC61" s="42">
        <v>0.7635968459361101</v>
      </c>
      <c r="DD61" s="42">
        <v>0.7635968459361101</v>
      </c>
      <c r="DE61" s="42">
        <v>0.76359684593610999</v>
      </c>
      <c r="DF61" s="42">
        <v>0.76359684593610999</v>
      </c>
      <c r="DG61" s="232">
        <v>0.76359684593610999</v>
      </c>
      <c r="DH61" s="232">
        <v>0.76359684593610999</v>
      </c>
      <c r="DI61" s="232">
        <v>0.76359684593610999</v>
      </c>
    </row>
    <row r="62" spans="1:113" outlineLevel="1">
      <c r="C62" s="232"/>
      <c r="D62" s="232"/>
      <c r="E62" s="232"/>
      <c r="F62" s="232"/>
      <c r="G62" s="232"/>
      <c r="H62" s="232"/>
      <c r="I62" s="232"/>
      <c r="J62" s="232"/>
      <c r="K62" s="232"/>
      <c r="L62" s="232"/>
      <c r="M62" s="42"/>
      <c r="N62" s="42"/>
      <c r="O62" s="42"/>
      <c r="P62" s="42"/>
      <c r="Q62" s="42"/>
      <c r="R62" s="42"/>
      <c r="S62" s="42"/>
      <c r="T62" s="45"/>
      <c r="U62" s="42"/>
      <c r="V62" s="42"/>
      <c r="W62" s="42"/>
      <c r="X62" s="42"/>
      <c r="Y62" s="45"/>
      <c r="Z62" s="45"/>
      <c r="AA62" s="45"/>
      <c r="AB62" s="45"/>
      <c r="AC62" s="376"/>
      <c r="AD62" s="376"/>
      <c r="AE62" s="376"/>
      <c r="AF62" s="376"/>
      <c r="AG62" s="376"/>
      <c r="AH62" s="376"/>
      <c r="AI62" s="376"/>
      <c r="AJ62" s="376"/>
      <c r="AK62" s="376"/>
      <c r="AL62" s="376"/>
      <c r="AM62" s="376"/>
      <c r="AN62" s="376"/>
      <c r="AO62" s="376"/>
      <c r="AP62" s="376"/>
      <c r="AQ62" s="376"/>
      <c r="AR62" s="376"/>
      <c r="AS62" s="376"/>
      <c r="AT62" s="376"/>
      <c r="AU62" s="376"/>
      <c r="AV62" s="376"/>
      <c r="AW62" s="375"/>
      <c r="AX62" s="232"/>
      <c r="AY62" s="232"/>
      <c r="AZ62" s="232"/>
      <c r="BA62" s="232"/>
      <c r="BB62" s="232"/>
      <c r="BC62" s="232"/>
      <c r="BD62" s="232"/>
      <c r="BE62" s="232"/>
      <c r="BF62" s="232"/>
      <c r="BG62" s="232"/>
      <c r="BH62" s="232"/>
      <c r="BI62" s="232"/>
      <c r="BJ62" s="232"/>
      <c r="BK62" s="232"/>
      <c r="BL62" s="232"/>
      <c r="BM62" s="232"/>
      <c r="BN62" s="232"/>
      <c r="BO62" s="232"/>
      <c r="BP62" s="232"/>
      <c r="BQ62" s="232"/>
      <c r="BR62" s="42"/>
      <c r="BS62" s="232"/>
      <c r="BT62" s="232"/>
      <c r="BU62" s="232"/>
      <c r="BV62" s="232"/>
      <c r="BW62" s="232"/>
      <c r="BX62" s="232"/>
      <c r="BY62" s="232"/>
      <c r="BZ62" s="232"/>
      <c r="CA62" s="232"/>
      <c r="CB62" s="232"/>
      <c r="CC62" s="42"/>
      <c r="CD62" s="42"/>
      <c r="CE62" s="42"/>
      <c r="CF62" s="42"/>
      <c r="CG62" s="42"/>
      <c r="CH62" s="42"/>
      <c r="CI62" s="42"/>
      <c r="CJ62" s="42"/>
      <c r="CK62" s="42"/>
      <c r="CL62" s="42"/>
      <c r="CM62" s="45"/>
      <c r="CN62" s="45"/>
      <c r="CO62" s="45"/>
      <c r="CP62" s="45"/>
      <c r="CQ62" s="45"/>
      <c r="CR62" s="45"/>
      <c r="CS62" s="45"/>
      <c r="CT62" s="45"/>
      <c r="CU62" s="45"/>
      <c r="CV62" s="45"/>
      <c r="CW62" s="45"/>
      <c r="CX62" s="45"/>
      <c r="CY62" s="43"/>
      <c r="CZ62" s="42"/>
      <c r="DA62" s="42"/>
      <c r="DB62" s="42"/>
    </row>
    <row r="63" spans="1:113" outlineLevel="1">
      <c r="A63" s="1" t="s">
        <v>864</v>
      </c>
      <c r="B63" s="19" t="s">
        <v>433</v>
      </c>
      <c r="C63" s="232" t="e">
        <v>#VALUE!</v>
      </c>
      <c r="D63" s="232">
        <v>0.34806810740013105</v>
      </c>
      <c r="E63" s="232">
        <v>9.4451577084562199E-2</v>
      </c>
      <c r="F63" s="232">
        <v>-0.24133667290193717</v>
      </c>
      <c r="G63" s="232">
        <v>-4.4757407330017984E-2</v>
      </c>
      <c r="H63" s="232">
        <v>0.19380523230378865</v>
      </c>
      <c r="I63" s="232">
        <v>-0.13910876575784226</v>
      </c>
      <c r="J63" s="232">
        <v>-1.1535841988762119E-2</v>
      </c>
      <c r="K63" s="232">
        <v>-1.1282890487059105E-2</v>
      </c>
      <c r="L63" s="232">
        <v>-7.5874384772855907E-2</v>
      </c>
      <c r="M63" s="42">
        <v>-2.0031107131074144E-2</v>
      </c>
      <c r="N63" s="42">
        <v>9.3160831088880292E-2</v>
      </c>
      <c r="O63" s="42">
        <v>-4.9100268379603129E-2</v>
      </c>
      <c r="P63" s="42">
        <v>-4.3584879470688898E-2</v>
      </c>
      <c r="Q63" s="42">
        <v>-0.10526825020560204</v>
      </c>
      <c r="R63" s="42">
        <v>-8.6401730197350646E-2</v>
      </c>
      <c r="S63" s="42">
        <v>-4.9772148902171964E-2</v>
      </c>
      <c r="T63" s="45">
        <v>1.3452914798206317E-2</v>
      </c>
      <c r="U63" s="42">
        <v>-0.10324483775811211</v>
      </c>
      <c r="V63" s="42">
        <v>-3.3785635964912242E-2</v>
      </c>
      <c r="W63" s="42">
        <v>-3.1704376196893369E-2</v>
      </c>
      <c r="X63" s="42">
        <v>-5.6475241722824476E-2</v>
      </c>
      <c r="Y63" s="45">
        <v>8.7726108221410914E-3</v>
      </c>
      <c r="Z63" s="45">
        <v>2.9244266584578238E-3</v>
      </c>
      <c r="AA63" s="45">
        <v>-2.1485573971762317E-3</v>
      </c>
      <c r="AB63" s="45">
        <v>1.0458320516764097E-2</v>
      </c>
      <c r="AC63" s="45">
        <v>1.9786910197869823E-3</v>
      </c>
      <c r="AD63" s="45">
        <v>8.354853410299512E-4</v>
      </c>
      <c r="AE63" s="45">
        <v>-2.0186688927677054E-2</v>
      </c>
      <c r="AF63" s="45">
        <v>-2.3236000309813321E-2</v>
      </c>
      <c r="AG63" s="376">
        <v>1.9823963206724304E-3</v>
      </c>
      <c r="AH63" s="376">
        <v>-1.9626464070908511E-2</v>
      </c>
      <c r="AI63" s="376">
        <v>-2.9867613819825611E-2</v>
      </c>
      <c r="AJ63" s="376">
        <v>-0.95997670161424531</v>
      </c>
      <c r="AK63" s="376">
        <v>-6.2370062370062374E-2</v>
      </c>
      <c r="AL63" s="376">
        <v>-1</v>
      </c>
      <c r="AM63" s="530" t="s">
        <v>215</v>
      </c>
      <c r="AN63" s="530" t="s">
        <v>215</v>
      </c>
      <c r="AO63" s="530" t="s">
        <v>215</v>
      </c>
      <c r="AP63" s="530" t="s">
        <v>215</v>
      </c>
      <c r="AQ63" s="530" t="s">
        <v>215</v>
      </c>
      <c r="AR63" s="530" t="s">
        <v>215</v>
      </c>
      <c r="AS63" s="530" t="s">
        <v>215</v>
      </c>
      <c r="AT63" s="530" t="s">
        <v>215</v>
      </c>
      <c r="AU63" s="530" t="s">
        <v>215</v>
      </c>
      <c r="AV63" s="530" t="s">
        <v>215</v>
      </c>
      <c r="AW63" s="767" t="s">
        <v>215</v>
      </c>
      <c r="AX63" s="511" t="s">
        <v>215</v>
      </c>
      <c r="AY63" s="511" t="s">
        <v>215</v>
      </c>
      <c r="AZ63" s="511" t="s">
        <v>215</v>
      </c>
      <c r="BA63" s="511" t="s">
        <v>215</v>
      </c>
      <c r="BB63" s="511" t="s">
        <v>215</v>
      </c>
      <c r="BC63" s="511" t="s">
        <v>215</v>
      </c>
      <c r="BD63" s="511" t="s">
        <v>215</v>
      </c>
      <c r="BE63" s="511" t="s">
        <v>215</v>
      </c>
      <c r="BF63" s="511" t="s">
        <v>215</v>
      </c>
      <c r="BG63" s="511" t="s">
        <v>215</v>
      </c>
      <c r="BH63" s="511" t="s">
        <v>215</v>
      </c>
      <c r="BI63" s="511" t="s">
        <v>215</v>
      </c>
      <c r="BJ63" s="511" t="s">
        <v>215</v>
      </c>
      <c r="BK63" s="511" t="s">
        <v>215</v>
      </c>
      <c r="BL63" s="511" t="s">
        <v>215</v>
      </c>
      <c r="BM63" s="511" t="s">
        <v>215</v>
      </c>
      <c r="BN63" s="511" t="s">
        <v>215</v>
      </c>
      <c r="BO63" s="511" t="s">
        <v>215</v>
      </c>
      <c r="BP63" s="511" t="s">
        <v>215</v>
      </c>
      <c r="BQ63" s="511" t="s">
        <v>215</v>
      </c>
      <c r="BR63" s="42"/>
      <c r="BS63" s="232" t="e">
        <v>#DIV/0!</v>
      </c>
      <c r="BT63" s="232" t="e">
        <v>#DIV/0!</v>
      </c>
      <c r="BU63" s="232" t="e">
        <v>#DIV/0!</v>
      </c>
      <c r="BV63" s="232" t="e">
        <v>#DIV/0!</v>
      </c>
      <c r="BW63" s="232" t="e">
        <v>#DIV/0!</v>
      </c>
      <c r="BX63" s="232" t="e">
        <v>#DIV/0!</v>
      </c>
      <c r="BY63" s="232" t="e">
        <v>#DIV/0!</v>
      </c>
      <c r="BZ63" s="232" t="e">
        <v>#DIV/0!</v>
      </c>
      <c r="CA63" s="232" t="e">
        <v>#DIV/0!</v>
      </c>
      <c r="CB63" s="232">
        <v>6.9100545842892158E-2</v>
      </c>
      <c r="CC63" s="42">
        <v>0.16693181397757972</v>
      </c>
      <c r="CD63" s="42">
        <v>-0.27529247645921184</v>
      </c>
      <c r="CE63" s="42">
        <v>2.7736459882754305E-2</v>
      </c>
      <c r="CF63" s="42">
        <v>-2.2688574833986008E-2</v>
      </c>
      <c r="CG63" s="42">
        <v>-9.43856439740407E-2</v>
      </c>
      <c r="CH63" s="42">
        <v>3.9486340900346306E-2</v>
      </c>
      <c r="CI63" s="42">
        <v>-0.14426502567898947</v>
      </c>
      <c r="CJ63" s="42">
        <v>-0.13187347931873483</v>
      </c>
      <c r="CK63" s="42">
        <v>-9.1180866965620333E-2</v>
      </c>
      <c r="CL63" s="42">
        <v>-6.4418859649122862E-2</v>
      </c>
      <c r="CM63" s="45">
        <v>-4.8198066217404079E-2</v>
      </c>
      <c r="CN63" s="45">
        <v>7.6958596275211733E-4</v>
      </c>
      <c r="CO63" s="45">
        <v>1.2457705321439638E-2</v>
      </c>
      <c r="CP63" s="45">
        <v>-1.9368069269330102E-2</v>
      </c>
      <c r="CQ63" s="45">
        <v>-2.129966695066221E-2</v>
      </c>
      <c r="CR63" s="45">
        <v>-4.8907882241215561E-2</v>
      </c>
      <c r="CS63" s="45">
        <v>-0.96247295723082038</v>
      </c>
      <c r="CT63" s="45">
        <v>-1</v>
      </c>
      <c r="CU63" s="45" t="e">
        <v>#DIV/0!</v>
      </c>
      <c r="CV63" s="45" t="e">
        <v>#DIV/0!</v>
      </c>
      <c r="CW63" s="45" t="e">
        <v>#DIV/0!</v>
      </c>
      <c r="CX63" s="45" t="e">
        <v>#DIV/0!</v>
      </c>
      <c r="CY63" s="43" t="e">
        <v>#DIV/0!</v>
      </c>
      <c r="CZ63" s="42" t="e">
        <v>#DIV/0!</v>
      </c>
      <c r="DA63" s="42" t="e">
        <v>#DIV/0!</v>
      </c>
      <c r="DB63" s="42" t="e">
        <v>#DIV/0!</v>
      </c>
      <c r="DC63" s="42" t="e">
        <v>#DIV/0!</v>
      </c>
      <c r="DD63" s="42" t="e">
        <v>#DIV/0!</v>
      </c>
      <c r="DE63" s="42" t="e">
        <v>#DIV/0!</v>
      </c>
      <c r="DF63" s="42" t="e">
        <v>#DIV/0!</v>
      </c>
      <c r="DG63" s="232" t="e">
        <v>#DIV/0!</v>
      </c>
      <c r="DH63" s="232" t="e">
        <v>#DIV/0!</v>
      </c>
      <c r="DI63" s="232" t="e">
        <v>#DIV/0!</v>
      </c>
    </row>
    <row r="64" spans="1:113" outlineLevel="1">
      <c r="A64" s="1" t="s">
        <v>865</v>
      </c>
      <c r="B64" s="19" t="s">
        <v>434</v>
      </c>
      <c r="C64" s="232" t="e">
        <v>#VALUE!</v>
      </c>
      <c r="D64" s="232">
        <v>-3.2707888593435985E-2</v>
      </c>
      <c r="E64" s="232">
        <v>-7.9836867441890447E-2</v>
      </c>
      <c r="F64" s="232">
        <v>7.1882407394420422E-2</v>
      </c>
      <c r="G64" s="232">
        <v>2.3762790819397583E-2</v>
      </c>
      <c r="H64" s="232">
        <v>0.10420767402029707</v>
      </c>
      <c r="I64" s="232">
        <v>0.10420767402029707</v>
      </c>
      <c r="J64" s="232">
        <v>9.0611290527948585E-2</v>
      </c>
      <c r="K64" s="232">
        <v>6.2471476029251072E-2</v>
      </c>
      <c r="L64" s="232">
        <v>0.15635582638229861</v>
      </c>
      <c r="M64" s="42">
        <v>0.12927080003801072</v>
      </c>
      <c r="N64" s="42">
        <v>5.5798226757751257E-2</v>
      </c>
      <c r="O64" s="42">
        <v>6.6529000470963329E-2</v>
      </c>
      <c r="P64" s="42">
        <v>0.21716475199902163</v>
      </c>
      <c r="Q64" s="42">
        <v>-7.0818193488610959E-2</v>
      </c>
      <c r="R64" s="42">
        <v>-0.1477999699654603</v>
      </c>
      <c r="S64" s="42">
        <v>7.9537604849510224E-2</v>
      </c>
      <c r="T64" s="45">
        <v>0.10625253013306857</v>
      </c>
      <c r="U64" s="42">
        <v>-2.5999397970807525E-2</v>
      </c>
      <c r="V64" s="42">
        <v>7.4735489813479328E-2</v>
      </c>
      <c r="W64" s="42">
        <v>-1.4073468467198591E-2</v>
      </c>
      <c r="X64" s="42">
        <v>-2.1131311513848283E-2</v>
      </c>
      <c r="Y64" s="45">
        <v>7.0347736673599615E-2</v>
      </c>
      <c r="Z64" s="45">
        <v>-0.17505526595889853</v>
      </c>
      <c r="AA64" s="45">
        <v>0.50428096920613497</v>
      </c>
      <c r="AB64" s="45">
        <v>8.7671763112057377E-2</v>
      </c>
      <c r="AC64" s="45">
        <v>-2.8158362989323837E-2</v>
      </c>
      <c r="AD64" s="45">
        <v>-0.52174835737796332</v>
      </c>
      <c r="AE64" s="45">
        <v>3.5325235791598519E-2</v>
      </c>
      <c r="AF64" s="45">
        <v>3.2548406615570791E-2</v>
      </c>
      <c r="AG64" s="376">
        <v>2.4417043096081059E-3</v>
      </c>
      <c r="AH64" s="376">
        <v>4.2763772175536952E-2</v>
      </c>
      <c r="AI64" s="376">
        <v>4.927120966737264E-2</v>
      </c>
      <c r="AJ64" s="376">
        <v>6.2533392698129964E-2</v>
      </c>
      <c r="AK64" s="376">
        <v>3.0456675536187028E-2</v>
      </c>
      <c r="AL64" s="376">
        <v>-0.9070448704707067</v>
      </c>
      <c r="AM64" s="376">
        <v>9.5423639246080549E-2</v>
      </c>
      <c r="AN64" s="376">
        <v>3.5505698921964868E-2</v>
      </c>
      <c r="AO64" s="376">
        <v>-1</v>
      </c>
      <c r="AP64" s="376" t="s">
        <v>215</v>
      </c>
      <c r="AQ64" s="376" t="s">
        <v>215</v>
      </c>
      <c r="AR64" s="376" t="s">
        <v>215</v>
      </c>
      <c r="AS64" s="376" t="s">
        <v>215</v>
      </c>
      <c r="AT64" s="376" t="s">
        <v>215</v>
      </c>
      <c r="AU64" s="376" t="s">
        <v>215</v>
      </c>
      <c r="AV64" s="376" t="s">
        <v>215</v>
      </c>
      <c r="AW64" s="375" t="s">
        <v>215</v>
      </c>
      <c r="AX64" s="46">
        <v>5.062499999999992E-2</v>
      </c>
      <c r="AY64" s="46">
        <v>5.062499999999992E-2</v>
      </c>
      <c r="AZ64" s="764">
        <v>5.062499999999992E-2</v>
      </c>
      <c r="BA64" s="764">
        <v>5.062499999999992E-2</v>
      </c>
      <c r="BB64" s="46">
        <v>5.062499999999992E-2</v>
      </c>
      <c r="BC64" s="46">
        <v>5.062499999999992E-2</v>
      </c>
      <c r="BD64" s="46">
        <v>5.062499999999992E-2</v>
      </c>
      <c r="BE64" s="46">
        <v>5.062499999999992E-2</v>
      </c>
      <c r="BF64" s="46">
        <v>5.062499999999992E-2</v>
      </c>
      <c r="BG64" s="46">
        <v>5.062499999999992E-2</v>
      </c>
      <c r="BH64" s="46">
        <v>5.062499999999992E-2</v>
      </c>
      <c r="BI64" s="46">
        <v>5.062499999999992E-2</v>
      </c>
      <c r="BJ64" s="46">
        <v>5.062499999999992E-2</v>
      </c>
      <c r="BK64" s="46">
        <v>5.062499999999992E-2</v>
      </c>
      <c r="BL64" s="511">
        <v>5.062499999999992E-2</v>
      </c>
      <c r="BM64" s="511">
        <v>5.062499999999992E-2</v>
      </c>
      <c r="BN64" s="511">
        <v>5.062499999999992E-2</v>
      </c>
      <c r="BO64" s="511">
        <v>5.062499999999992E-2</v>
      </c>
      <c r="BP64" s="511">
        <v>5.062499999999992E-2</v>
      </c>
      <c r="BQ64" s="511">
        <v>5.062499999999992E-2</v>
      </c>
      <c r="BR64" s="42"/>
      <c r="BS64" s="232" t="e">
        <v>#DIV/0!</v>
      </c>
      <c r="BT64" s="232">
        <v>8.4033613445378075E-2</v>
      </c>
      <c r="BU64" s="232">
        <v>0.10852713178294571</v>
      </c>
      <c r="BV64" s="232">
        <v>-6.9930069930069783E-3</v>
      </c>
      <c r="BW64" s="232">
        <v>1.0070422535211287E-2</v>
      </c>
      <c r="BX64" s="232">
        <v>0.53384926444955738</v>
      </c>
      <c r="BY64" s="232">
        <v>0.23636363636363633</v>
      </c>
      <c r="BZ64" s="232">
        <v>1.2169117647058858E-2</v>
      </c>
      <c r="CA64" s="232">
        <v>1.2846972503723078</v>
      </c>
      <c r="CB64" s="232">
        <v>0.18365659777424481</v>
      </c>
      <c r="CC64" s="42">
        <v>4.0710793531402834E-2</v>
      </c>
      <c r="CD64" s="42">
        <v>-1.3693326278022222E-2</v>
      </c>
      <c r="CE64" s="42">
        <v>0.13044672999921492</v>
      </c>
      <c r="CF64" s="42">
        <v>0.15874338762139573</v>
      </c>
      <c r="CG64" s="42">
        <v>0.30583886918735326</v>
      </c>
      <c r="CH64" s="42">
        <v>0.12603942748295993</v>
      </c>
      <c r="CI64" s="42">
        <v>0.1309673430844378</v>
      </c>
      <c r="CJ64" s="42">
        <v>-8.0018020723832461E-2</v>
      </c>
      <c r="CK64" s="42">
        <v>7.7490630345926403E-2</v>
      </c>
      <c r="CL64" s="42">
        <v>5.9610233787010136E-2</v>
      </c>
      <c r="CM64" s="45">
        <v>4.7729885221807322E-2</v>
      </c>
      <c r="CN64" s="45">
        <v>0.2409486640648455</v>
      </c>
      <c r="CO64" s="45">
        <v>5.7044706793110134E-2</v>
      </c>
      <c r="CP64" s="45">
        <v>-0.50485400533462055</v>
      </c>
      <c r="CQ64" s="45">
        <v>3.5069584509882956E-2</v>
      </c>
      <c r="CR64" s="45">
        <v>9.4142004627938203E-2</v>
      </c>
      <c r="CS64" s="45">
        <v>9.4894627485900829E-2</v>
      </c>
      <c r="CT64" s="45">
        <v>-0.89817475372443067</v>
      </c>
      <c r="CU64" s="45">
        <v>-1</v>
      </c>
      <c r="CV64" s="45" t="e">
        <v>#DIV/0!</v>
      </c>
      <c r="CW64" s="45" t="e">
        <v>#DIV/0!</v>
      </c>
      <c r="CX64" s="45" t="e">
        <v>#DIV/0!</v>
      </c>
      <c r="CY64" s="43" t="e">
        <v>#DIV/0!</v>
      </c>
      <c r="CZ64" s="42" t="e">
        <v>#DIV/0!</v>
      </c>
      <c r="DA64" s="42" t="e">
        <v>#DIV/0!</v>
      </c>
      <c r="DB64" s="42" t="e">
        <v>#DIV/0!</v>
      </c>
      <c r="DC64" s="42" t="e">
        <v>#DIV/0!</v>
      </c>
      <c r="DD64" s="42" t="e">
        <v>#DIV/0!</v>
      </c>
      <c r="DE64" s="42" t="e">
        <v>#DIV/0!</v>
      </c>
      <c r="DF64" s="42" t="e">
        <v>#DIV/0!</v>
      </c>
      <c r="DG64" s="232" t="e">
        <v>#DIV/0!</v>
      </c>
      <c r="DH64" s="232" t="e">
        <v>#DIV/0!</v>
      </c>
      <c r="DI64" s="232" t="e">
        <v>#DIV/0!</v>
      </c>
    </row>
    <row r="65" spans="1:113" outlineLevel="1">
      <c r="AM65" s="55"/>
      <c r="AN65" s="55"/>
      <c r="AO65" s="55"/>
      <c r="AP65" s="55"/>
      <c r="AQ65" s="55"/>
      <c r="AR65" s="55"/>
      <c r="AS65" s="55"/>
      <c r="AT65" s="55"/>
      <c r="AU65" s="55"/>
      <c r="AV65" s="55"/>
      <c r="AW65" s="56"/>
      <c r="AX65" s="55"/>
      <c r="AY65" s="55"/>
      <c r="AZ65" s="55"/>
      <c r="BA65" s="55"/>
      <c r="BB65" s="55"/>
      <c r="BC65" s="55"/>
      <c r="BD65" s="55"/>
      <c r="BE65" s="55"/>
      <c r="BF65" s="55"/>
      <c r="BG65" s="55"/>
      <c r="BH65" s="55"/>
      <c r="BI65" s="55"/>
      <c r="BJ65" s="55"/>
      <c r="BK65" s="55"/>
      <c r="BL65" s="55"/>
      <c r="BM65" s="55"/>
      <c r="BN65" s="55"/>
      <c r="BO65" s="55"/>
      <c r="BP65" s="55"/>
      <c r="BQ65" s="55"/>
      <c r="BR65" s="55"/>
      <c r="CY65" s="22"/>
      <c r="DC65" s="21"/>
      <c r="DD65" s="21"/>
      <c r="DE65" s="21"/>
      <c r="DF65" s="21"/>
      <c r="DG65" s="21"/>
      <c r="DH65" s="21"/>
      <c r="DI65" s="21"/>
    </row>
    <row r="66" spans="1:113" outlineLevel="1">
      <c r="B66" s="24" t="s">
        <v>435</v>
      </c>
      <c r="AG66" s="45"/>
      <c r="AK66" s="754"/>
      <c r="AL66" s="754"/>
      <c r="AM66" s="55"/>
      <c r="AN66" s="55"/>
      <c r="AO66" s="55"/>
      <c r="AP66" s="55"/>
      <c r="AQ66" s="55"/>
      <c r="AR66" s="55"/>
      <c r="AS66" s="55"/>
      <c r="AT66" s="55"/>
      <c r="AU66" s="55"/>
      <c r="AV66" s="55"/>
      <c r="AW66" s="56"/>
      <c r="AX66" s="42"/>
      <c r="AY66" s="42"/>
      <c r="AZ66" s="42"/>
      <c r="BA66" s="42"/>
      <c r="BD66" s="710"/>
      <c r="BE66" s="710"/>
      <c r="BF66" s="710"/>
      <c r="BG66" s="710"/>
      <c r="BH66" s="710"/>
      <c r="BI66" s="710"/>
      <c r="BJ66" s="710"/>
      <c r="BK66" s="710"/>
      <c r="BL66" s="710"/>
      <c r="BM66" s="710"/>
      <c r="BN66" s="710"/>
      <c r="BO66" s="710"/>
      <c r="BP66" s="710"/>
      <c r="BQ66" s="710"/>
      <c r="BR66" s="55"/>
      <c r="CY66" s="22"/>
      <c r="DC66" s="21"/>
      <c r="DD66" s="21"/>
      <c r="DE66" s="21"/>
      <c r="DF66" s="21"/>
      <c r="DG66" s="21"/>
      <c r="DH66" s="21"/>
      <c r="DI66" s="21"/>
    </row>
    <row r="67" spans="1:113" outlineLevel="1">
      <c r="A67" s="1" t="s">
        <v>866</v>
      </c>
      <c r="B67" s="19" t="s">
        <v>218</v>
      </c>
      <c r="C67" s="485">
        <v>1.6435933333333326E-2</v>
      </c>
      <c r="D67" s="485">
        <v>1.5919752777777671E-2</v>
      </c>
      <c r="E67" s="485">
        <v>1.2329127777777829E-2</v>
      </c>
      <c r="F67" s="485">
        <v>1.339829444444442E-2</v>
      </c>
      <c r="G67" s="485">
        <v>1.4326245833333247E-2</v>
      </c>
      <c r="H67" s="485">
        <v>1.2691176388888933E-2</v>
      </c>
      <c r="I67" s="485">
        <v>2.9787097222221982E-3</v>
      </c>
      <c r="J67" s="485">
        <v>9.817905555555546E-3</v>
      </c>
      <c r="K67" s="485">
        <v>8.4945652777777235E-3</v>
      </c>
      <c r="L67" s="485">
        <v>8.8003430555555311E-3</v>
      </c>
      <c r="M67" s="191">
        <v>8.1543013888888613E-3</v>
      </c>
      <c r="N67" s="191">
        <v>7.6080930555555218E-3</v>
      </c>
      <c r="O67" s="191">
        <v>8.3322527777777416E-3</v>
      </c>
      <c r="P67" s="191">
        <v>5.800669444444408E-3</v>
      </c>
      <c r="Q67" s="191">
        <v>6.5584333333332905E-3</v>
      </c>
      <c r="R67" s="191">
        <v>1.5186329166666658E-2</v>
      </c>
      <c r="S67" s="191">
        <v>1.7912606944444413E-2</v>
      </c>
      <c r="T67" s="191">
        <v>1.5119099999999958E-2</v>
      </c>
      <c r="U67" s="191">
        <v>1.6638620833333319E-2</v>
      </c>
      <c r="V67" s="191">
        <v>1.8763197222222194E-2</v>
      </c>
      <c r="W67" s="191">
        <v>2.0380273611111093E-2</v>
      </c>
      <c r="X67" s="191">
        <v>2.0964238888888844E-2</v>
      </c>
      <c r="Y67" s="191">
        <v>2.3648926388888832E-2</v>
      </c>
      <c r="Z67" s="191">
        <v>2.4509891666666665E-2</v>
      </c>
      <c r="AA67" s="191">
        <v>2.3896943749999969E-2</v>
      </c>
      <c r="AB67" s="191">
        <v>2.3450377777777733E-2</v>
      </c>
      <c r="AC67" s="191">
        <v>2.2563849999999955E-2</v>
      </c>
      <c r="AD67" s="191">
        <v>2.2263086111111042E-2</v>
      </c>
      <c r="AE67" s="191">
        <v>2.3435030555555517E-2</v>
      </c>
      <c r="AF67" s="191">
        <v>2.3350794444444423E-2</v>
      </c>
      <c r="AG67" s="191">
        <v>2.3983711111111066E-2</v>
      </c>
      <c r="AH67" s="191">
        <v>2.491537777777773E-2</v>
      </c>
      <c r="AI67" s="191">
        <v>2.5169683333333182E-2</v>
      </c>
      <c r="AJ67" s="191">
        <v>2.4891072222222196E-2</v>
      </c>
      <c r="AK67" s="191">
        <v>2.3145447222222105E-2</v>
      </c>
      <c r="AL67" s="191">
        <v>2.3711488888888865E-2</v>
      </c>
      <c r="AM67" s="191">
        <v>2.677534444444445E-2</v>
      </c>
      <c r="AN67" s="191">
        <v>2.8250269273151052E-2</v>
      </c>
      <c r="AO67" s="191">
        <v>2.9505419585783208E-2</v>
      </c>
      <c r="AP67" s="191">
        <v>2.9879089617949012E-2</v>
      </c>
      <c r="AQ67" s="191">
        <v>2.8448043234391363E-2</v>
      </c>
      <c r="AR67" s="191">
        <v>2.6836724461759387E-2</v>
      </c>
      <c r="AS67" s="191">
        <v>2.2974869087428487E-2</v>
      </c>
      <c r="AT67" s="191">
        <v>2.0719381799387596E-2</v>
      </c>
      <c r="AU67" s="191">
        <v>2.0952050218593823E-2</v>
      </c>
      <c r="AV67" s="191">
        <v>2.0858823983164562E-2</v>
      </c>
      <c r="AW67" s="802">
        <v>2.0805326121862575E-2</v>
      </c>
      <c r="AX67" s="510">
        <v>2.0205326121862575E-2</v>
      </c>
      <c r="AY67" s="510">
        <v>2.0105326121862575E-2</v>
      </c>
      <c r="AZ67" s="510">
        <v>1.9905326121862577E-2</v>
      </c>
      <c r="BA67" s="510">
        <v>1.9805799491253263E-2</v>
      </c>
      <c r="BB67" s="510">
        <v>1.9706770493796995E-2</v>
      </c>
      <c r="BC67" s="510">
        <v>1.9509702788859024E-2</v>
      </c>
      <c r="BD67" s="510">
        <v>1.9314605760970435E-2</v>
      </c>
      <c r="BE67" s="510">
        <v>1.9073173188958306E-2</v>
      </c>
      <c r="BF67" s="510">
        <v>1.8882441457068723E-2</v>
      </c>
      <c r="BG67" s="510">
        <v>1.8646410938855364E-2</v>
      </c>
      <c r="BH67" s="47">
        <v>1.8646410938855364E-2</v>
      </c>
      <c r="BI67" s="47">
        <v>1.8646410938855364E-2</v>
      </c>
      <c r="BJ67" s="47">
        <v>1.8646410938855364E-2</v>
      </c>
      <c r="BK67" s="47">
        <v>1.8646410938855364E-2</v>
      </c>
      <c r="BL67" s="47">
        <v>1.8646410938855364E-2</v>
      </c>
      <c r="BM67" s="47">
        <v>1.8646410938855364E-2</v>
      </c>
      <c r="BN67" s="47">
        <v>1.8646410938855364E-2</v>
      </c>
      <c r="BO67" s="47">
        <v>1.8646410938855364E-2</v>
      </c>
      <c r="BP67" s="47">
        <v>1.8646410938855364E-2</v>
      </c>
      <c r="BQ67" s="47">
        <v>1.8646410938855364E-2</v>
      </c>
      <c r="BR67" s="48"/>
      <c r="BS67" s="235"/>
      <c r="BT67" s="235"/>
      <c r="BU67" s="235"/>
      <c r="BV67" s="235"/>
      <c r="BW67" s="235"/>
      <c r="BX67" s="235"/>
      <c r="BY67" s="235"/>
      <c r="BZ67" s="235"/>
      <c r="CA67" s="235"/>
      <c r="CB67" s="235"/>
      <c r="CC67" s="48">
        <v>1.4074962313884821E-2</v>
      </c>
      <c r="CD67" s="48">
        <v>1.3866449344575675E-2</v>
      </c>
      <c r="CE67" s="48">
        <v>7.5480622955385011E-3</v>
      </c>
      <c r="CF67" s="48">
        <v>9.1412632334729651E-3</v>
      </c>
      <c r="CG67" s="48">
        <v>8.4463162032808528E-3</v>
      </c>
      <c r="CH67" s="48">
        <v>7.8385618789786303E-3</v>
      </c>
      <c r="CI67" s="48">
        <v>6.1171608341674946E-3</v>
      </c>
      <c r="CJ67" s="48">
        <v>1.634107108585571E-2</v>
      </c>
      <c r="CK67" s="48">
        <v>1.5904370327032222E-2</v>
      </c>
      <c r="CL67" s="48">
        <v>1.9142415527415486E-2</v>
      </c>
      <c r="CM67" s="50">
        <v>2.1855388667174874E-2</v>
      </c>
      <c r="CN67" s="50">
        <v>2.3808315541300352E-2</v>
      </c>
      <c r="CO67" s="50">
        <v>2.2751899350804804E-2</v>
      </c>
      <c r="CP67" s="50">
        <v>2.2725622779412057E-2</v>
      </c>
      <c r="CQ67" s="50">
        <v>2.3524896160076653E-2</v>
      </c>
      <c r="CR67" s="50">
        <v>2.5043043033720278E-2</v>
      </c>
      <c r="CS67" s="50">
        <v>2.3995932381176917E-2</v>
      </c>
      <c r="CT67" s="50">
        <v>2.5191381282101761E-2</v>
      </c>
      <c r="CU67" s="50">
        <v>2.8930652428540708E-2</v>
      </c>
      <c r="CV67" s="50">
        <v>2.9164329589702501E-2</v>
      </c>
      <c r="CW67" s="50">
        <v>2.4882363693418855E-2</v>
      </c>
      <c r="CX67" s="50">
        <v>2.0832140326799069E-2</v>
      </c>
      <c r="CY67" s="49">
        <v>2.08313679121565E-2</v>
      </c>
      <c r="CZ67" s="48">
        <v>2.0151380289137415E-2</v>
      </c>
      <c r="DA67" s="48">
        <v>1.9851593480242045E-2</v>
      </c>
      <c r="DB67" s="48">
        <v>1.9605276021544216E-2</v>
      </c>
      <c r="DC67" s="48">
        <v>1.9191588253465414E-2</v>
      </c>
      <c r="DD67" s="48">
        <v>1.8761575423507565E-2</v>
      </c>
      <c r="DE67" s="48">
        <v>1.864366490738828E-2</v>
      </c>
      <c r="DF67" s="48">
        <v>1.864366490738828E-2</v>
      </c>
      <c r="DG67" s="235">
        <v>1.864458520803243E-2</v>
      </c>
      <c r="DH67" s="235">
        <v>1.864366490738828E-2</v>
      </c>
      <c r="DI67" s="235">
        <v>1.8643664907388283E-2</v>
      </c>
    </row>
    <row r="68" spans="1:113" outlineLevel="1">
      <c r="A68" s="1" t="s">
        <v>867</v>
      </c>
      <c r="B68" s="19" t="s">
        <v>436</v>
      </c>
      <c r="C68" s="485">
        <v>2.6515636183866487E-2</v>
      </c>
      <c r="D68" s="485">
        <v>2.6298422710389069E-2</v>
      </c>
      <c r="E68" s="485">
        <v>2.2058940843833752E-2</v>
      </c>
      <c r="F68" s="485">
        <v>2.254133001474401E-2</v>
      </c>
      <c r="G68" s="485">
        <v>2.2587906391744017E-2</v>
      </c>
      <c r="H68" s="485">
        <v>1.9929990342290704E-2</v>
      </c>
      <c r="I68" s="485">
        <v>1.9661709918541215E-2</v>
      </c>
      <c r="J68" s="485">
        <v>1.9244571097848051E-2</v>
      </c>
      <c r="K68" s="485">
        <v>1.6857532300595168E-2</v>
      </c>
      <c r="L68" s="485">
        <v>1.7149227409423817E-2</v>
      </c>
      <c r="M68" s="191">
        <v>1.5897354058396207E-2</v>
      </c>
      <c r="N68" s="191">
        <v>1.4866969304818678E-2</v>
      </c>
      <c r="O68" s="191">
        <v>1.4207438097186831E-2</v>
      </c>
      <c r="P68" s="191">
        <v>1.2143238194871731E-2</v>
      </c>
      <c r="Q68" s="191">
        <v>1.1687509333655033E-2</v>
      </c>
      <c r="R68" s="191">
        <v>2.1997480030668592E-2</v>
      </c>
      <c r="S68" s="191">
        <v>2.7080497684543237E-2</v>
      </c>
      <c r="T68" s="191">
        <v>2.6171740771211427E-2</v>
      </c>
      <c r="U68" s="191">
        <v>2.6545840605477822E-2</v>
      </c>
      <c r="V68" s="191">
        <v>2.8502241144599427E-2</v>
      </c>
      <c r="W68" s="191">
        <v>3.0917115179291077E-2</v>
      </c>
      <c r="X68" s="191">
        <v>3.23548112542974E-2</v>
      </c>
      <c r="Y68" s="191">
        <v>3.4073607247926296E-2</v>
      </c>
      <c r="Z68" s="191">
        <v>3.530143649481654E-2</v>
      </c>
      <c r="AA68" s="191">
        <v>3.5320725378313433E-2</v>
      </c>
      <c r="AB68" s="191">
        <v>3.5629129458359943E-2</v>
      </c>
      <c r="AC68" s="191">
        <v>3.5403413111693149E-2</v>
      </c>
      <c r="AD68" s="191">
        <v>3.4256548680391408E-2</v>
      </c>
      <c r="AE68" s="191">
        <v>3.494003822147751E-2</v>
      </c>
      <c r="AF68" s="191">
        <v>3.2946400854567903E-2</v>
      </c>
      <c r="AG68" s="191">
        <v>3.3033057755038397E-2</v>
      </c>
      <c r="AH68" s="191">
        <v>3.3172997416979877E-2</v>
      </c>
      <c r="AI68" s="191">
        <v>3.2888242512773447E-2</v>
      </c>
      <c r="AJ68" s="191">
        <v>3.2556594473240219E-2</v>
      </c>
      <c r="AK68" s="191">
        <v>3.0373643242260773E-2</v>
      </c>
      <c r="AL68" s="191">
        <v>3.0589779429510022E-2</v>
      </c>
      <c r="AM68" s="191">
        <v>3.3323039406147892E-2</v>
      </c>
      <c r="AN68" s="191">
        <v>3.3672120612451943E-2</v>
      </c>
      <c r="AO68" s="191">
        <v>3.4699984042093325E-2</v>
      </c>
      <c r="AP68" s="191">
        <v>3.4129720277799501E-2</v>
      </c>
      <c r="AQ68" s="191">
        <v>3.2712703587712798E-2</v>
      </c>
      <c r="AR68" s="191">
        <v>3.1015078852221999E-2</v>
      </c>
      <c r="AS68" s="191">
        <v>2.5428800563193955E-2</v>
      </c>
      <c r="AT68" s="191">
        <v>2.0634596626374107E-2</v>
      </c>
      <c r="AU68" s="191">
        <v>2.0650919426219706E-2</v>
      </c>
      <c r="AV68" s="191">
        <v>2.0848663812578726E-2</v>
      </c>
      <c r="AW68" s="802">
        <v>2.1617185607577083E-2</v>
      </c>
      <c r="AX68" s="510">
        <v>2.1117185607577083E-2</v>
      </c>
      <c r="AY68" s="510">
        <v>2.1117185607577083E-2</v>
      </c>
      <c r="AZ68" s="510">
        <v>2.1117185607577083E-2</v>
      </c>
      <c r="BA68" s="510">
        <v>2.0367185607577082E-2</v>
      </c>
      <c r="BB68" s="510">
        <v>1.9617185607577081E-2</v>
      </c>
      <c r="BC68" s="510">
        <v>1.9617185607577081E-2</v>
      </c>
      <c r="BD68" s="47">
        <v>1.9617185607577081E-2</v>
      </c>
      <c r="BE68" s="47">
        <v>1.9617185607577081E-2</v>
      </c>
      <c r="BF68" s="47">
        <v>1.9617185607577081E-2</v>
      </c>
      <c r="BG68" s="47">
        <v>1.9617185607577081E-2</v>
      </c>
      <c r="BH68" s="47">
        <v>1.9617185607577081E-2</v>
      </c>
      <c r="BI68" s="47">
        <v>1.9617185607577081E-2</v>
      </c>
      <c r="BJ68" s="47">
        <v>1.9617185607577081E-2</v>
      </c>
      <c r="BK68" s="47">
        <v>1.9617185607577081E-2</v>
      </c>
      <c r="BL68" s="47">
        <v>1.9617185607577081E-2</v>
      </c>
      <c r="BM68" s="47">
        <v>1.9617185607577081E-2</v>
      </c>
      <c r="BN68" s="47">
        <v>1.9617185607577081E-2</v>
      </c>
      <c r="BO68" s="47">
        <v>1.9617185607577081E-2</v>
      </c>
      <c r="BP68" s="47">
        <v>1.9617185607577081E-2</v>
      </c>
      <c r="BQ68" s="47">
        <v>1.9617185607577081E-2</v>
      </c>
      <c r="BR68" s="48"/>
      <c r="BS68" s="235"/>
      <c r="BT68" s="235"/>
      <c r="BU68" s="235"/>
      <c r="BV68" s="235"/>
      <c r="BW68" s="235"/>
      <c r="BX68" s="235"/>
      <c r="BY68" s="235"/>
      <c r="BZ68" s="235"/>
      <c r="CA68" s="235"/>
      <c r="CB68" s="235"/>
      <c r="CC68" s="48">
        <v>2.4301516779997711E-2</v>
      </c>
      <c r="CD68" s="48">
        <v>2.2570013298941836E-2</v>
      </c>
      <c r="CE68" s="48">
        <v>1.9787547740808924E-2</v>
      </c>
      <c r="CF68" s="48">
        <v>1.8033269760517084E-2</v>
      </c>
      <c r="CG68" s="48">
        <v>1.6797533239915185E-2</v>
      </c>
      <c r="CH68" s="48">
        <v>1.447205090755764E-2</v>
      </c>
      <c r="CI68" s="48">
        <v>1.2159901366238872E-2</v>
      </c>
      <c r="CJ68" s="48">
        <v>2.3832654669759971E-2</v>
      </c>
      <c r="CK68" s="48">
        <v>2.6410199245496761E-2</v>
      </c>
      <c r="CL68" s="48">
        <v>3.3234834374285531E-2</v>
      </c>
      <c r="CM68" s="50">
        <v>3.7164031945437249E-2</v>
      </c>
      <c r="CN68" s="50">
        <v>3.8696739857080671E-2</v>
      </c>
      <c r="CO68" s="50">
        <v>3.750254844191394E-2</v>
      </c>
      <c r="CP68" s="50">
        <v>3.5944002323838424E-2</v>
      </c>
      <c r="CQ68" s="50">
        <v>3.3334906245108029E-2</v>
      </c>
      <c r="CR68" s="50">
        <v>3.3549659178630141E-2</v>
      </c>
      <c r="CS68" s="50">
        <v>3.1577574528835139E-2</v>
      </c>
      <c r="CT68" s="50">
        <v>3.1754818663066418E-2</v>
      </c>
      <c r="CU68" s="50">
        <v>3.4049813828341158E-2</v>
      </c>
      <c r="CV68" s="50">
        <v>3.3208608160223717E-2</v>
      </c>
      <c r="CW68" s="50">
        <v>2.8146303991298648E-2</v>
      </c>
      <c r="CX68" s="50">
        <v>2.0634190825463753E-2</v>
      </c>
      <c r="CY68" s="49">
        <v>2.1234611534785518E-2</v>
      </c>
      <c r="CZ68" s="48">
        <v>2.1113388499207294E-2</v>
      </c>
      <c r="DA68" s="48">
        <v>2.0737435898078735E-2</v>
      </c>
      <c r="DB68" s="48">
        <v>1.9613658216141191E-2</v>
      </c>
      <c r="DC68" s="48">
        <v>1.9614840367740007E-2</v>
      </c>
      <c r="DD68" s="48">
        <v>1.9613658216141194E-2</v>
      </c>
      <c r="DE68" s="48">
        <v>1.9613658216141187E-2</v>
      </c>
      <c r="DF68" s="48">
        <v>1.9613658216141191E-2</v>
      </c>
      <c r="DG68" s="235">
        <v>1.9614840367740003E-2</v>
      </c>
      <c r="DH68" s="235">
        <v>1.9613658216141191E-2</v>
      </c>
      <c r="DI68" s="235">
        <v>1.9613658216141187E-2</v>
      </c>
    </row>
    <row r="69" spans="1:113" outlineLevel="1">
      <c r="A69" s="1" t="s">
        <v>868</v>
      </c>
      <c r="B69" s="19" t="s">
        <v>437</v>
      </c>
      <c r="C69" s="235">
        <v>3.39303757320931E-2</v>
      </c>
      <c r="D69" s="235">
        <v>3.4516506905834354E-2</v>
      </c>
      <c r="E69" s="235">
        <v>2.6900528243176597E-2</v>
      </c>
      <c r="F69" s="235">
        <v>1.5755539273944456E-2</v>
      </c>
      <c r="G69" s="235">
        <v>1.8086284576542277E-2</v>
      </c>
      <c r="H69" s="235">
        <v>7.8925199510965684E-3</v>
      </c>
      <c r="I69" s="235">
        <v>7.5737037341146868E-2</v>
      </c>
      <c r="J69" s="235">
        <v>4.0563592001387906E-2</v>
      </c>
      <c r="K69" s="235">
        <v>3.3310747314499671E-2</v>
      </c>
      <c r="L69" s="235">
        <v>4.3510499168092964E-2</v>
      </c>
      <c r="M69" s="48">
        <v>-4.334733219168891E-2</v>
      </c>
      <c r="N69" s="48">
        <v>1.9556631900052229E-2</v>
      </c>
      <c r="O69" s="48">
        <v>-3.2499122202661754E-2</v>
      </c>
      <c r="P69" s="48">
        <v>-8.5928376789993988E-2</v>
      </c>
      <c r="Q69" s="48">
        <v>-5.0903381544537052E-2</v>
      </c>
      <c r="R69" s="48">
        <v>-6.6411564745017691E-3</v>
      </c>
      <c r="S69" s="48">
        <v>5.3403734112461083E-2</v>
      </c>
      <c r="T69" s="50">
        <v>3.6842291989933267E-2</v>
      </c>
      <c r="U69" s="48">
        <v>1.8303066874104455E-2</v>
      </c>
      <c r="V69" s="48">
        <v>-2.8398278928327956E-3</v>
      </c>
      <c r="W69" s="48">
        <v>-6.1260881856963836E-3</v>
      </c>
      <c r="X69" s="48">
        <v>-4.9145407770998725E-3</v>
      </c>
      <c r="Y69" s="50">
        <v>6.1232575115524731E-3</v>
      </c>
      <c r="Z69" s="50">
        <v>1.475368095745784E-2</v>
      </c>
      <c r="AA69" s="50">
        <v>2.9739813538248928E-2</v>
      </c>
      <c r="AB69" s="50">
        <v>3.0152302011222976E-2</v>
      </c>
      <c r="AC69" s="50">
        <v>2.0419040171043821E-2</v>
      </c>
      <c r="AD69" s="50">
        <v>1.2059590866059355E-2</v>
      </c>
      <c r="AE69" s="50">
        <v>1.4972778201126E-2</v>
      </c>
      <c r="AF69" s="50">
        <v>2.2820349503912624E-2</v>
      </c>
      <c r="AG69" s="50">
        <v>1.8977478715678321E-2</v>
      </c>
      <c r="AH69" s="50">
        <v>2.5509682113281983E-2</v>
      </c>
      <c r="AI69" s="50">
        <v>2.1745718730295825E-2</v>
      </c>
      <c r="AJ69" s="50">
        <v>2.9166737544287318E-2</v>
      </c>
      <c r="AK69" s="50">
        <v>2.2555129804926174E-2</v>
      </c>
      <c r="AL69" s="50">
        <v>1.2649176557063624E-2</v>
      </c>
      <c r="AM69" s="50">
        <v>4.5764364183766681E-3</v>
      </c>
      <c r="AN69" s="50">
        <v>3.3989028213481778E-2</v>
      </c>
      <c r="AO69" s="50">
        <v>3.4142954372679599E-2</v>
      </c>
      <c r="AP69" s="50">
        <v>4.0165330951836366E-2</v>
      </c>
      <c r="AQ69" s="50">
        <v>4.4845762030612253E-2</v>
      </c>
      <c r="AR69" s="50">
        <v>3.7377422896205388E-2</v>
      </c>
      <c r="AS69" s="50">
        <v>1.1517985450468044E-2</v>
      </c>
      <c r="AT69" s="50">
        <v>-8.0110454130549277E-2</v>
      </c>
      <c r="AU69" s="50">
        <v>-0.10026988182795027</v>
      </c>
      <c r="AV69" s="50">
        <v>-0.10219482865861285</v>
      </c>
      <c r="AW69" s="49">
        <v>-7.854213847030346E-2</v>
      </c>
      <c r="AX69" s="510">
        <v>-7.854213847030346E-2</v>
      </c>
      <c r="AY69" s="510">
        <v>-7.854213847030346E-2</v>
      </c>
      <c r="AZ69" s="510">
        <v>-7.854213847030346E-2</v>
      </c>
      <c r="BA69" s="510">
        <v>-7.854213847030346E-2</v>
      </c>
      <c r="BB69" s="510">
        <v>-7.854213847030346E-2</v>
      </c>
      <c r="BC69" s="510">
        <v>-7.854213847030346E-2</v>
      </c>
      <c r="BD69" s="47">
        <v>-7.854213847030346E-2</v>
      </c>
      <c r="BE69" s="47">
        <v>-7.854213847030346E-2</v>
      </c>
      <c r="BF69" s="47">
        <v>-7.854213847030346E-2</v>
      </c>
      <c r="BG69" s="47">
        <v>-7.854213847030346E-2</v>
      </c>
      <c r="BH69" s="47">
        <v>-7.854213847030346E-2</v>
      </c>
      <c r="BI69" s="47">
        <v>-7.854213847030346E-2</v>
      </c>
      <c r="BJ69" s="47">
        <v>-7.854213847030346E-2</v>
      </c>
      <c r="BK69" s="47">
        <v>-7.854213847030346E-2</v>
      </c>
      <c r="BL69" s="47">
        <v>-7.854213847030346E-2</v>
      </c>
      <c r="BM69" s="47">
        <v>-7.854213847030346E-2</v>
      </c>
      <c r="BN69" s="47">
        <v>-7.854213847030346E-2</v>
      </c>
      <c r="BO69" s="47">
        <v>-7.854213847030346E-2</v>
      </c>
      <c r="BP69" s="47">
        <v>-7.854213847030346E-2</v>
      </c>
      <c r="BQ69" s="47">
        <v>-7.854213847030346E-2</v>
      </c>
      <c r="BR69" s="47"/>
      <c r="BS69" s="235"/>
      <c r="BT69" s="235"/>
      <c r="BU69" s="235"/>
      <c r="BV69" s="235"/>
      <c r="BW69" s="235"/>
      <c r="BX69" s="235"/>
      <c r="BY69" s="235"/>
      <c r="BZ69" s="235"/>
      <c r="CA69" s="235"/>
      <c r="CB69" s="235"/>
      <c r="CC69" s="48">
        <v>3.0920422752985285E-2</v>
      </c>
      <c r="CD69" s="48">
        <v>1.6897074609634424E-2</v>
      </c>
      <c r="CE69" s="48">
        <v>3.7672399354334189E-2</v>
      </c>
      <c r="CF69" s="48">
        <v>3.6353828912106763E-2</v>
      </c>
      <c r="CG69" s="48">
        <v>2.6839349056500427E-4</v>
      </c>
      <c r="CH69" s="48">
        <v>-9.4554977375214608E-3</v>
      </c>
      <c r="CI69" s="48">
        <v>-6.8630608734859197E-2</v>
      </c>
      <c r="CJ69" s="48">
        <v>2.7416861946438116E-2</v>
      </c>
      <c r="CK69" s="48">
        <v>2.7661664076745043E-2</v>
      </c>
      <c r="CL69" s="48">
        <v>-4.3629660879621699E-3</v>
      </c>
      <c r="CM69" s="50">
        <v>6.2382460485631091E-4</v>
      </c>
      <c r="CN69" s="50">
        <v>2.1751124701873865E-2</v>
      </c>
      <c r="CO69" s="50">
        <v>2.5173198110084033E-2</v>
      </c>
      <c r="CP69" s="50">
        <v>1.3355105832699865E-2</v>
      </c>
      <c r="CQ69" s="50">
        <v>2.1225482533960369E-2</v>
      </c>
      <c r="CR69" s="50">
        <v>2.3281397353095184E-2</v>
      </c>
      <c r="CS69" s="50">
        <v>2.6006386182471485E-2</v>
      </c>
      <c r="CT69" s="50">
        <v>8.9227928057660812E-3</v>
      </c>
      <c r="CU69" s="50">
        <v>3.3629257980632328E-2</v>
      </c>
      <c r="CV69" s="50">
        <v>4.273969656508133E-2</v>
      </c>
      <c r="CW69" s="50">
        <v>2.4112099855135349E-2</v>
      </c>
      <c r="CX69" s="50">
        <v>-9.023743008902467E-2</v>
      </c>
      <c r="CY69" s="49">
        <v>-9.0913735898753859E-2</v>
      </c>
      <c r="CZ69" s="48">
        <v>-7.8528015707123311E-2</v>
      </c>
      <c r="DA69" s="48">
        <v>-7.8528015707123311E-2</v>
      </c>
      <c r="DB69" s="48">
        <v>-7.8528015707123325E-2</v>
      </c>
      <c r="DC69" s="48">
        <v>-7.8532748736438757E-2</v>
      </c>
      <c r="DD69" s="48">
        <v>-7.8528015707123311E-2</v>
      </c>
      <c r="DE69" s="48">
        <v>-7.8528015707123325E-2</v>
      </c>
      <c r="DF69" s="48">
        <v>-7.8528015707123311E-2</v>
      </c>
      <c r="DG69" s="235">
        <v>-7.8532748736438757E-2</v>
      </c>
      <c r="DH69" s="235">
        <v>-7.8528015707123311E-2</v>
      </c>
      <c r="DI69" s="235">
        <v>-7.8528015707123311E-2</v>
      </c>
    </row>
    <row r="70" spans="1:113" outlineLevel="1">
      <c r="A70" s="1" t="s">
        <v>869</v>
      </c>
      <c r="B70" s="19" t="s">
        <v>220</v>
      </c>
      <c r="C70" s="485">
        <v>1.8635766098308963E-2</v>
      </c>
      <c r="D70" s="485">
        <v>2.095898584894347E-2</v>
      </c>
      <c r="E70" s="485">
        <v>1.9173711396496998E-2</v>
      </c>
      <c r="F70" s="485">
        <v>2.0128833264515748E-2</v>
      </c>
      <c r="G70" s="485">
        <v>2.247326063061994E-2</v>
      </c>
      <c r="H70" s="485">
        <v>1.7603788034111403E-2</v>
      </c>
      <c r="I70" s="485">
        <v>1.5193249894360321E-2</v>
      </c>
      <c r="J70" s="485">
        <v>1.5666062258918416E-2</v>
      </c>
      <c r="K70" s="485">
        <v>1.4007067780205176E-2</v>
      </c>
      <c r="L70" s="485">
        <v>1.4801320878503013E-2</v>
      </c>
      <c r="M70" s="191">
        <v>1.3926433757629177E-2</v>
      </c>
      <c r="N70" s="191">
        <v>1.1254514139820294E-2</v>
      </c>
      <c r="O70" s="191">
        <v>9.7096577564007164E-3</v>
      </c>
      <c r="P70" s="191">
        <v>8.0553150180827232E-3</v>
      </c>
      <c r="Q70" s="191">
        <v>1.0201520200173654E-2</v>
      </c>
      <c r="R70" s="191">
        <v>3.017232629464317E-2</v>
      </c>
      <c r="S70" s="191">
        <v>5.0699940408169525E-2</v>
      </c>
      <c r="T70" s="191">
        <v>4.6205490430322627E-2</v>
      </c>
      <c r="U70" s="191">
        <v>4.5607568128101406E-2</v>
      </c>
      <c r="V70" s="191">
        <v>4.5919721677392111E-2</v>
      </c>
      <c r="W70" s="191">
        <v>4.5852977655322924E-2</v>
      </c>
      <c r="X70" s="191">
        <v>4.7479169678848201E-2</v>
      </c>
      <c r="Y70" s="191">
        <v>5.2863213445058982E-2</v>
      </c>
      <c r="Z70" s="191">
        <v>5.719106706515209E-2</v>
      </c>
      <c r="AA70" s="191">
        <v>6.0971445207642042E-2</v>
      </c>
      <c r="AB70" s="191">
        <v>6.3403021973661502E-2</v>
      </c>
      <c r="AC70" s="191">
        <v>6.2475750323156554E-2</v>
      </c>
      <c r="AD70" s="191">
        <v>6.0691182513120445E-2</v>
      </c>
      <c r="AE70" s="191">
        <v>6.3061193138813046E-2</v>
      </c>
      <c r="AF70" s="191">
        <v>6.2745247817979966E-2</v>
      </c>
      <c r="AG70" s="191">
        <v>6.2559540615919979E-2</v>
      </c>
      <c r="AH70" s="191">
        <v>6.5622224154752523E-2</v>
      </c>
      <c r="AI70" s="191">
        <v>6.6534907280107497E-2</v>
      </c>
      <c r="AJ70" s="191">
        <v>6.3516017403794756E-2</v>
      </c>
      <c r="AK70" s="191">
        <v>6.0883479145981717E-2</v>
      </c>
      <c r="AL70" s="191">
        <v>5.991977299858231E-2</v>
      </c>
      <c r="AM70" s="191">
        <v>6.3927599172305755E-2</v>
      </c>
      <c r="AN70" s="191">
        <v>6.5064945839474642E-2</v>
      </c>
      <c r="AO70" s="191">
        <v>6.7192655931039E-2</v>
      </c>
      <c r="AP70" s="191">
        <v>6.543315368452092E-2</v>
      </c>
      <c r="AQ70" s="191">
        <v>6.4049455243246622E-2</v>
      </c>
      <c r="AR70" s="191">
        <v>6.1699692125150675E-2</v>
      </c>
      <c r="AS70" s="191">
        <v>5.5344288326760784E-2</v>
      </c>
      <c r="AT70" s="191">
        <v>4.3797034590042229E-2</v>
      </c>
      <c r="AU70" s="191">
        <v>4.090926467368753E-2</v>
      </c>
      <c r="AV70" s="191">
        <v>3.9797449907440212E-2</v>
      </c>
      <c r="AW70" s="802">
        <v>4.0862480625620173E-2</v>
      </c>
      <c r="AX70" s="510">
        <v>3.8538072933312476E-2</v>
      </c>
      <c r="AY70" s="510">
        <v>4.2288072933312472E-2</v>
      </c>
      <c r="AZ70" s="510">
        <v>4.778807293331247E-2</v>
      </c>
      <c r="BA70" s="510">
        <v>4.9538072933312471E-2</v>
      </c>
      <c r="BB70" s="510">
        <v>4.9538072933312471E-2</v>
      </c>
      <c r="BC70" s="510">
        <v>4.9538072933312471E-2</v>
      </c>
      <c r="BD70" s="47">
        <v>4.9538072933312471E-2</v>
      </c>
      <c r="BE70" s="47">
        <v>4.9538072933312471E-2</v>
      </c>
      <c r="BF70" s="47">
        <v>4.9538072933312471E-2</v>
      </c>
      <c r="BG70" s="47">
        <v>4.9538072933312471E-2</v>
      </c>
      <c r="BH70" s="47">
        <v>4.9538072933312471E-2</v>
      </c>
      <c r="BI70" s="47">
        <v>4.9538072933312471E-2</v>
      </c>
      <c r="BJ70" s="47">
        <v>4.9538072933312471E-2</v>
      </c>
      <c r="BK70" s="47">
        <v>4.9538072933312471E-2</v>
      </c>
      <c r="BL70" s="47">
        <v>4.9538072933312471E-2</v>
      </c>
      <c r="BM70" s="47">
        <v>4.9538072933312471E-2</v>
      </c>
      <c r="BN70" s="47">
        <v>4.9538072933312471E-2</v>
      </c>
      <c r="BO70" s="47">
        <v>4.9538072933312471E-2</v>
      </c>
      <c r="BP70" s="47">
        <v>4.9538072933312471E-2</v>
      </c>
      <c r="BQ70" s="47">
        <v>4.9538072933312471E-2</v>
      </c>
      <c r="BR70" s="47"/>
      <c r="BS70" s="235"/>
      <c r="BT70" s="235"/>
      <c r="BU70" s="235"/>
      <c r="BV70" s="235"/>
      <c r="BW70" s="235"/>
      <c r="BX70" s="235"/>
      <c r="BY70" s="235"/>
      <c r="BZ70" s="235"/>
      <c r="CA70" s="235"/>
      <c r="CB70" s="235"/>
      <c r="CC70" s="48">
        <v>1.995827627913033E-2</v>
      </c>
      <c r="CD70" s="48">
        <v>2.1302365969382318E-2</v>
      </c>
      <c r="CE70" s="48">
        <v>1.6382673408656657E-2</v>
      </c>
      <c r="CF70" s="48">
        <v>1.4809410005749906E-2</v>
      </c>
      <c r="CG70" s="48">
        <v>1.4144184573191134E-2</v>
      </c>
      <c r="CH70" s="48">
        <v>1.0245083470186126E-2</v>
      </c>
      <c r="CI70" s="48">
        <v>9.2149452393053537E-3</v>
      </c>
      <c r="CJ70" s="48">
        <v>3.7993444694164567E-2</v>
      </c>
      <c r="CK70" s="48">
        <v>4.6443924860762292E-2</v>
      </c>
      <c r="CL70" s="48">
        <v>4.4820527194177673E-2</v>
      </c>
      <c r="CM70" s="50">
        <v>4.8865304327015704E-2</v>
      </c>
      <c r="CN70" s="50">
        <v>5.8263999564937531E-2</v>
      </c>
      <c r="CO70" s="50">
        <v>6.2364408025522157E-2</v>
      </c>
      <c r="CP70" s="50">
        <v>6.2148780105447464E-2</v>
      </c>
      <c r="CQ70" s="50">
        <v>6.2901967018166555E-2</v>
      </c>
      <c r="CR70" s="50">
        <v>6.6225148034933165E-2</v>
      </c>
      <c r="CS70" s="50">
        <v>6.2311916401998346E-2</v>
      </c>
      <c r="CT70" s="50">
        <v>6.1770727588934794E-2</v>
      </c>
      <c r="CU70" s="50">
        <v>6.7770217496346763E-2</v>
      </c>
      <c r="CV70" s="50">
        <v>6.4539028508980134E-2</v>
      </c>
      <c r="CW70" s="50">
        <v>5.8584331140966846E-2</v>
      </c>
      <c r="CX70" s="50">
        <v>4.2348924708948306E-2</v>
      </c>
      <c r="CY70" s="49">
        <v>4.0326498634123013E-2</v>
      </c>
      <c r="CZ70" s="48">
        <v>4.0403700602921158E-2</v>
      </c>
      <c r="DA70" s="48">
        <v>4.8656255789095347E-2</v>
      </c>
      <c r="DB70" s="48">
        <v>4.9534011656293619E-2</v>
      </c>
      <c r="DC70" s="48">
        <v>4.9535372775794013E-2</v>
      </c>
      <c r="DD70" s="48">
        <v>4.9534011656293619E-2</v>
      </c>
      <c r="DE70" s="48">
        <v>4.9534011656293613E-2</v>
      </c>
      <c r="DF70" s="48">
        <v>4.9534011656293619E-2</v>
      </c>
      <c r="DG70" s="235">
        <v>4.9535372775794013E-2</v>
      </c>
      <c r="DH70" s="235">
        <v>4.9534011656293619E-2</v>
      </c>
      <c r="DI70" s="235">
        <v>4.9534011656293619E-2</v>
      </c>
    </row>
    <row r="71" spans="1:113" outlineLevel="1">
      <c r="A71" s="1" t="s">
        <v>870</v>
      </c>
      <c r="B71" s="19" t="s">
        <v>440</v>
      </c>
      <c r="C71" s="235">
        <v>2.1713995351030857E-2</v>
      </c>
      <c r="D71" s="235">
        <v>2.1296937069433731E-2</v>
      </c>
      <c r="E71" s="235">
        <v>1.6778969528356738E-2</v>
      </c>
      <c r="F71" s="235">
        <v>1.600025536534478E-2</v>
      </c>
      <c r="G71" s="235">
        <v>1.6923982335277095E-2</v>
      </c>
      <c r="H71" s="235">
        <v>1.3805720284544888E-2</v>
      </c>
      <c r="I71" s="235">
        <v>1.254343861800148E-2</v>
      </c>
      <c r="J71" s="235">
        <v>1.4094983826307673E-2</v>
      </c>
      <c r="K71" s="235">
        <v>1.2549610928635047E-2</v>
      </c>
      <c r="L71" s="235">
        <v>1.3755354687392911E-2</v>
      </c>
      <c r="M71" s="48">
        <v>5.5027114061053511E-3</v>
      </c>
      <c r="N71" s="48">
        <v>1.0182176061664619E-2</v>
      </c>
      <c r="O71" s="48">
        <v>5.1735172541449714E-3</v>
      </c>
      <c r="P71" s="48">
        <v>-5.3761601357767697E-3</v>
      </c>
      <c r="Q71" s="48">
        <v>-6.1213092914026712E-4</v>
      </c>
      <c r="R71" s="48">
        <v>1.3382150900831211E-2</v>
      </c>
      <c r="S71" s="48">
        <v>2.7243552728129554E-2</v>
      </c>
      <c r="T71" s="50">
        <v>2.1705132384092975E-2</v>
      </c>
      <c r="U71" s="48">
        <v>1.9705978978310716E-2</v>
      </c>
      <c r="V71" s="48">
        <v>1.8644565413285963E-2</v>
      </c>
      <c r="W71" s="48">
        <v>1.982361392197643E-2</v>
      </c>
      <c r="X71" s="48">
        <v>2.0770567694524913E-2</v>
      </c>
      <c r="Y71" s="50">
        <v>2.4402879959798604E-2</v>
      </c>
      <c r="Z71" s="50">
        <v>2.6441608387995724E-2</v>
      </c>
      <c r="AA71" s="50">
        <v>2.8042978981607406E-2</v>
      </c>
      <c r="AB71" s="50">
        <v>2.7886880811439949E-2</v>
      </c>
      <c r="AC71" s="50">
        <v>2.5883582964142917E-2</v>
      </c>
      <c r="AD71" s="50">
        <v>2.4300378659717584E-2</v>
      </c>
      <c r="AE71" s="50">
        <v>2.5603258901372192E-2</v>
      </c>
      <c r="AF71" s="50">
        <v>2.6203627781987645E-2</v>
      </c>
      <c r="AG71" s="50">
        <v>2.6004390810127464E-2</v>
      </c>
      <c r="AH71" s="50">
        <v>2.7678113423808284E-2</v>
      </c>
      <c r="AI71" s="50">
        <v>2.7277309156361999E-2</v>
      </c>
      <c r="AJ71" s="50">
        <v>2.7898986533115962E-2</v>
      </c>
      <c r="AK71" s="50">
        <v>2.5401363061844626E-2</v>
      </c>
      <c r="AL71" s="50">
        <v>2.454390329884024E-2</v>
      </c>
      <c r="AM71" s="50">
        <v>2.6326755058919269E-2</v>
      </c>
      <c r="AN71" s="50">
        <v>3.078650865384313E-2</v>
      </c>
      <c r="AO71" s="50">
        <v>3.1798493494955893E-2</v>
      </c>
      <c r="AP71" s="50">
        <v>3.2507161434874594E-2</v>
      </c>
      <c r="AQ71" s="50">
        <v>3.158606076674686E-2</v>
      </c>
      <c r="AR71" s="50">
        <v>2.923446800328957E-2</v>
      </c>
      <c r="AS71" s="50">
        <v>2.2897364452583266E-2</v>
      </c>
      <c r="AT71" s="50">
        <v>1.0579923456379141E-2</v>
      </c>
      <c r="AU71" s="50">
        <v>8.5397004193646167E-3</v>
      </c>
      <c r="AV71" s="50">
        <v>9.0594343039225797E-3</v>
      </c>
      <c r="AW71" s="766">
        <v>1.2271176345786339E-2</v>
      </c>
      <c r="AX71" s="235">
        <v>1.2007624976934523E-2</v>
      </c>
      <c r="AY71" s="235">
        <v>1.2005984281474574E-2</v>
      </c>
      <c r="AZ71" s="235">
        <v>1.1980336625697906E-2</v>
      </c>
      <c r="BA71" s="235">
        <v>1.181039839724313E-2</v>
      </c>
      <c r="BB71" s="235">
        <v>1.1577319122772208E-2</v>
      </c>
      <c r="BC71" s="235">
        <v>1.1404334841616863E-2</v>
      </c>
      <c r="BD71" s="235">
        <v>1.1233017951039781E-2</v>
      </c>
      <c r="BE71" s="235">
        <v>1.1028710785147527E-2</v>
      </c>
      <c r="BF71" s="235">
        <v>1.086105641466794E-2</v>
      </c>
      <c r="BG71" s="235">
        <v>1.0661211802231627E-2</v>
      </c>
      <c r="BH71" s="235">
        <v>1.0630540961200545E-2</v>
      </c>
      <c r="BI71" s="235">
        <v>1.0599868464721293E-2</v>
      </c>
      <c r="BJ71" s="235">
        <v>1.0569194071571204E-2</v>
      </c>
      <c r="BK71" s="235">
        <v>1.0538517543536319E-2</v>
      </c>
      <c r="BL71" s="235">
        <v>1.0507838645403498E-2</v>
      </c>
      <c r="BM71" s="235">
        <v>1.0477157144952514E-2</v>
      </c>
      <c r="BN71" s="235">
        <v>1.0446472812948053E-2</v>
      </c>
      <c r="BO71" s="235">
        <v>1.0415785423131638E-2</v>
      </c>
      <c r="BP71" s="235">
        <v>1.0385094752213567E-2</v>
      </c>
      <c r="BQ71" s="235">
        <v>1.0354400579864732E-2</v>
      </c>
      <c r="BR71" s="48"/>
      <c r="BS71" s="235"/>
      <c r="BT71" s="235"/>
      <c r="BU71" s="235"/>
      <c r="BV71" s="235"/>
      <c r="BW71" s="235"/>
      <c r="BX71" s="235"/>
      <c r="BY71" s="235"/>
      <c r="BZ71" s="235"/>
      <c r="CA71" s="235"/>
      <c r="CB71" s="235"/>
      <c r="CC71" s="48">
        <v>1.9027896411931592E-2</v>
      </c>
      <c r="CD71" s="48">
        <v>1.6461598046161884E-2</v>
      </c>
      <c r="CE71" s="48">
        <v>1.3149973625517583E-2</v>
      </c>
      <c r="CF71" s="48">
        <v>1.3294142625369779E-2</v>
      </c>
      <c r="CG71" s="48">
        <v>9.5406540008162437E-3</v>
      </c>
      <c r="CH71" s="48">
        <v>7.31201630070145E-3</v>
      </c>
      <c r="CI71" s="48">
        <v>-2.9150803956545504E-3</v>
      </c>
      <c r="CJ71" s="48">
        <v>2.0485286415933866E-2</v>
      </c>
      <c r="CK71" s="48">
        <v>2.0699956032398405E-2</v>
      </c>
      <c r="CL71" s="48">
        <v>1.9230981744231511E-2</v>
      </c>
      <c r="CM71" s="50">
        <v>2.259456750240298E-2</v>
      </c>
      <c r="CN71" s="50">
        <v>2.7238961613632966E-2</v>
      </c>
      <c r="CO71" s="50">
        <v>2.6879881436211756E-2</v>
      </c>
      <c r="CP71" s="50">
        <v>2.495620124146819E-2</v>
      </c>
      <c r="CQ71" s="50">
        <v>2.6103392454318142E-2</v>
      </c>
      <c r="CR71" s="50">
        <v>2.7477621588968326E-2</v>
      </c>
      <c r="CS71" s="50">
        <v>2.6658814668508866E-2</v>
      </c>
      <c r="CT71" s="50">
        <v>2.5430151114707495E-2</v>
      </c>
      <c r="CU71" s="50">
        <v>3.1293543331673015E-2</v>
      </c>
      <c r="CV71" s="50">
        <v>3.2046394132465121E-2</v>
      </c>
      <c r="CW71" s="50">
        <v>2.6029059181513901E-2</v>
      </c>
      <c r="CX71" s="50">
        <v>9.5538452982192861E-3</v>
      </c>
      <c r="CY71" s="49">
        <v>1.0661167056549105E-2</v>
      </c>
      <c r="CZ71" s="48">
        <v>1.200459640390884E-2</v>
      </c>
      <c r="DA71" s="48">
        <v>1.1892886628469343E-2</v>
      </c>
      <c r="DB71" s="48">
        <v>1.1488947098373998E-2</v>
      </c>
      <c r="DC71" s="48">
        <v>1.1129316033325521E-2</v>
      </c>
      <c r="DD71" s="48">
        <v>1.075934863820153E-2</v>
      </c>
      <c r="DE71" s="48">
        <v>1.0613542331353637E-2</v>
      </c>
      <c r="DF71" s="48">
        <v>1.0552202090000025E-2</v>
      </c>
      <c r="DG71" s="235">
        <v>1.0491355683359892E-2</v>
      </c>
      <c r="DH71" s="235">
        <v>1.0429492763461107E-2</v>
      </c>
      <c r="DI71" s="235">
        <v>1.036812001081293E-2</v>
      </c>
    </row>
    <row r="72" spans="1:113" outlineLevel="1">
      <c r="A72" s="1" t="s">
        <v>871</v>
      </c>
      <c r="B72" s="19" t="s">
        <v>364</v>
      </c>
      <c r="C72" s="235">
        <v>3.8864497831949417E-2</v>
      </c>
      <c r="D72" s="235">
        <v>3.4187479334667648E-2</v>
      </c>
      <c r="E72" s="235">
        <v>3.6085342553598541E-2</v>
      </c>
      <c r="F72" s="235">
        <v>3.708257765788571E-2</v>
      </c>
      <c r="G72" s="235">
        <v>3.6234343703498442E-2</v>
      </c>
      <c r="H72" s="235">
        <v>3.7916529164263933E-2</v>
      </c>
      <c r="I72" s="235">
        <v>4.2858749767581611E-2</v>
      </c>
      <c r="J72" s="235">
        <v>4.0461905313266808E-2</v>
      </c>
      <c r="K72" s="235">
        <v>4.3337271085435662E-2</v>
      </c>
      <c r="L72" s="235">
        <v>4.2426914206533516E-2</v>
      </c>
      <c r="M72" s="48">
        <v>4.9180738215857556E-2</v>
      </c>
      <c r="N72" s="48">
        <v>4.603596520148065E-2</v>
      </c>
      <c r="O72" s="48">
        <v>4.7660754397017939E-2</v>
      </c>
      <c r="P72" s="48">
        <v>5.8470364178324449E-2</v>
      </c>
      <c r="Q72" s="48">
        <v>5.8999033175993448E-2</v>
      </c>
      <c r="R72" s="48">
        <v>5.0539846047940207E-2</v>
      </c>
      <c r="S72" s="48">
        <v>2.0368866484867618E-2</v>
      </c>
      <c r="T72" s="50">
        <v>2.4896846666633658E-2</v>
      </c>
      <c r="U72" s="48">
        <v>3.367433785761325E-2</v>
      </c>
      <c r="V72" s="48">
        <v>3.4261680510358425E-2</v>
      </c>
      <c r="W72" s="48">
        <v>3.5001162539956734E-2</v>
      </c>
      <c r="X72" s="48">
        <v>3.3678046025847411E-2</v>
      </c>
      <c r="Y72" s="50">
        <v>2.7187541034655354E-2</v>
      </c>
      <c r="Z72" s="50">
        <v>2.3257602165803436E-2</v>
      </c>
      <c r="AA72" s="50">
        <v>1.9039562222611512E-2</v>
      </c>
      <c r="AB72" s="50">
        <v>1.7629725691774269E-2</v>
      </c>
      <c r="AC72" s="50">
        <v>1.8191089328137934E-2</v>
      </c>
      <c r="AD72" s="50">
        <v>1.8953669376424079E-2</v>
      </c>
      <c r="AE72" s="50">
        <v>1.5176699855634778E-2</v>
      </c>
      <c r="AF72" s="50">
        <v>1.5038755747616858E-2</v>
      </c>
      <c r="AG72" s="50">
        <v>1.5018592577453756E-2</v>
      </c>
      <c r="AH72" s="50">
        <v>7.6052564078537398E-3</v>
      </c>
      <c r="AI72" s="50">
        <v>7.2401724943008802E-3</v>
      </c>
      <c r="AJ72" s="50">
        <v>8.3729465337628213E-3</v>
      </c>
      <c r="AK72" s="50">
        <v>8.618588120354511E-3</v>
      </c>
      <c r="AL72" s="50">
        <v>9.514819069428658E-3</v>
      </c>
      <c r="AM72" s="50">
        <v>9.6445979357601807E-3</v>
      </c>
      <c r="AN72" s="50">
        <v>2.8228171434187856E-3</v>
      </c>
      <c r="AO72" s="50">
        <v>2.5894754974260577E-3</v>
      </c>
      <c r="AP72" s="50">
        <v>-1.057726166471068E-3</v>
      </c>
      <c r="AQ72" s="50">
        <v>-1.0081669792114758E-3</v>
      </c>
      <c r="AR72" s="50">
        <v>1.7438928319488062E-3</v>
      </c>
      <c r="AS72" s="50">
        <v>1.6552991401352836E-3</v>
      </c>
      <c r="AT72" s="50">
        <v>2.1519713408245988E-2</v>
      </c>
      <c r="AU72" s="50">
        <v>2.1347875874082812E-2</v>
      </c>
      <c r="AV72" s="50">
        <v>2.1351541149620436E-2</v>
      </c>
      <c r="AW72" s="49">
        <v>2.1042546596459245E-2</v>
      </c>
      <c r="AX72" s="510">
        <v>2.1274987365690015E-2</v>
      </c>
      <c r="AY72" s="510">
        <v>2.1274987365690015E-2</v>
      </c>
      <c r="AZ72" s="510">
        <v>2.1274987365690015E-2</v>
      </c>
      <c r="BA72" s="510">
        <v>2.1274987365690015E-2</v>
      </c>
      <c r="BB72" s="510">
        <v>2.1274987365690015E-2</v>
      </c>
      <c r="BC72" s="510">
        <v>2.1274987365690015E-2</v>
      </c>
      <c r="BD72" s="47">
        <v>2.1274987365690015E-2</v>
      </c>
      <c r="BE72" s="47">
        <v>2.1274987365690015E-2</v>
      </c>
      <c r="BF72" s="47">
        <v>2.1274987365690015E-2</v>
      </c>
      <c r="BG72" s="47">
        <v>2.1274987365690015E-2</v>
      </c>
      <c r="BH72" s="47">
        <v>2.1274987365690015E-2</v>
      </c>
      <c r="BI72" s="47">
        <v>2.1274987365690015E-2</v>
      </c>
      <c r="BJ72" s="47">
        <v>2.1274987365690015E-2</v>
      </c>
      <c r="BK72" s="47">
        <v>2.1274987365690015E-2</v>
      </c>
      <c r="BL72" s="47">
        <v>2.1274987365690015E-2</v>
      </c>
      <c r="BM72" s="47">
        <v>2.1274987365690015E-2</v>
      </c>
      <c r="BN72" s="47">
        <v>2.1274987365690015E-2</v>
      </c>
      <c r="BO72" s="47">
        <v>2.1274987365690015E-2</v>
      </c>
      <c r="BP72" s="47">
        <v>2.1274987365690015E-2</v>
      </c>
      <c r="BQ72" s="47">
        <v>2.1274987365690015E-2</v>
      </c>
      <c r="BR72" s="48"/>
      <c r="BS72" s="235"/>
      <c r="BT72" s="235"/>
      <c r="BU72" s="235"/>
      <c r="BV72" s="235"/>
      <c r="BW72" s="235"/>
      <c r="BX72" s="235"/>
      <c r="BY72" s="235"/>
      <c r="BZ72" s="235"/>
      <c r="CA72" s="235"/>
      <c r="CB72" s="235"/>
      <c r="CC72" s="48">
        <v>3.5132592246043912E-2</v>
      </c>
      <c r="CD72" s="48">
        <v>3.6645187237243887E-2</v>
      </c>
      <c r="CE72" s="48">
        <v>4.0417915569883403E-2</v>
      </c>
      <c r="CF72" s="48">
        <v>4.1900545182769748E-2</v>
      </c>
      <c r="CG72" s="48">
        <v>4.5738410839616037E-2</v>
      </c>
      <c r="CH72" s="48">
        <v>4.4114562591525214E-2</v>
      </c>
      <c r="CI72" s="48">
        <v>5.8336634257296113E-2</v>
      </c>
      <c r="CJ72" s="48">
        <v>3.4509257479997106E-2</v>
      </c>
      <c r="CK72" s="48">
        <v>2.8969958597848785E-2</v>
      </c>
      <c r="CL72" s="48">
        <v>3.3946459933291977E-2</v>
      </c>
      <c r="CM72" s="50">
        <v>3.0255390037649574E-2</v>
      </c>
      <c r="CN72" s="50">
        <v>2.098753510124118E-2</v>
      </c>
      <c r="CO72" s="50">
        <v>1.8000940540359882E-2</v>
      </c>
      <c r="CP72" s="50">
        <v>1.69186321919059E-2</v>
      </c>
      <c r="CQ72" s="50">
        <v>1.4979576049212026E-2</v>
      </c>
      <c r="CR72" s="50">
        <v>7.4162129065869428E-3</v>
      </c>
      <c r="CS72" s="50">
        <v>8.4941855823954283E-3</v>
      </c>
      <c r="CT72" s="50">
        <v>9.582891273710677E-3</v>
      </c>
      <c r="CU72" s="50">
        <v>2.6964059213100949E-3</v>
      </c>
      <c r="CV72" s="50">
        <v>-1.0306361892700941E-3</v>
      </c>
      <c r="CW72" s="50">
        <v>1.6987218948093538E-3</v>
      </c>
      <c r="CX72" s="50">
        <v>2.1431821474516936E-2</v>
      </c>
      <c r="CY72" s="49">
        <v>2.1196469950597211E-2</v>
      </c>
      <c r="CZ72" s="48">
        <v>2.1271078886184746E-2</v>
      </c>
      <c r="DA72" s="48">
        <v>2.127102369709781E-2</v>
      </c>
      <c r="DB72" s="48">
        <v>2.1271697240304879E-2</v>
      </c>
      <c r="DC72" s="48">
        <v>2.1272798850321087E-2</v>
      </c>
      <c r="DD72" s="48">
        <v>2.1271694131569902E-2</v>
      </c>
      <c r="DE72" s="48">
        <v>2.1271692582656047E-2</v>
      </c>
      <c r="DF72" s="48">
        <v>2.127169103724488E-2</v>
      </c>
      <c r="DG72" s="235">
        <v>2.1272794735482513E-2</v>
      </c>
      <c r="DH72" s="235">
        <v>2.1271687956542305E-2</v>
      </c>
      <c r="DI72" s="235">
        <v>2.1271686421061243E-2</v>
      </c>
    </row>
    <row r="73" spans="1:113" outlineLevel="1">
      <c r="A73" s="1" t="s">
        <v>872</v>
      </c>
      <c r="B73" s="19" t="s">
        <v>262</v>
      </c>
      <c r="C73" s="235">
        <v>-2.7645945464916596E-2</v>
      </c>
      <c r="D73" s="235">
        <v>-2.0886291086632289E-2</v>
      </c>
      <c r="E73" s="235">
        <v>-1.2652444282183786E-2</v>
      </c>
      <c r="F73" s="235">
        <v>-1.4652010418995009E-2</v>
      </c>
      <c r="G73" s="235">
        <v>-1.4815766683819122E-2</v>
      </c>
      <c r="H73" s="235">
        <v>-1.1915960140955835E-2</v>
      </c>
      <c r="I73" s="235">
        <v>-1.6106810528206426E-2</v>
      </c>
      <c r="J73" s="235">
        <v>-1.522899530546906E-2</v>
      </c>
      <c r="K73" s="235">
        <v>-1.7372987037857907E-2</v>
      </c>
      <c r="L73" s="235">
        <v>-2.3326480395098031E-2</v>
      </c>
      <c r="M73" s="48">
        <v>-1.6007654689998221E-2</v>
      </c>
      <c r="N73" s="48">
        <v>-2.3289765887986445E-2</v>
      </c>
      <c r="O73" s="48">
        <v>-1.7944901651276844E-2</v>
      </c>
      <c r="P73" s="48">
        <v>-5.6609189950600405E-3</v>
      </c>
      <c r="Q73" s="48">
        <v>-1.5282230986071399E-2</v>
      </c>
      <c r="R73" s="48">
        <v>-3.4623167405734449E-2</v>
      </c>
      <c r="S73" s="48">
        <v>-2.8088095270120652E-2</v>
      </c>
      <c r="T73" s="50">
        <v>-2.0850680151021577E-2</v>
      </c>
      <c r="U73" s="48">
        <v>-2.5611027173005774E-2</v>
      </c>
      <c r="V73" s="48">
        <v>-2.3243053532467348E-2</v>
      </c>
      <c r="W73" s="48">
        <v>-2.3802334586678964E-2</v>
      </c>
      <c r="X73" s="48">
        <v>-2.5193464280991687E-2</v>
      </c>
      <c r="Y73" s="50">
        <v>-2.5933394232035802E-2</v>
      </c>
      <c r="Z73" s="50">
        <v>-2.6578810697144368E-2</v>
      </c>
      <c r="AA73" s="50">
        <v>-2.4496879959506827E-2</v>
      </c>
      <c r="AB73" s="50">
        <v>-2.4693296211248644E-2</v>
      </c>
      <c r="AC73" s="50">
        <v>-2.1579679820687758E-2</v>
      </c>
      <c r="AD73" s="50">
        <v>-2.1526726134975607E-2</v>
      </c>
      <c r="AE73" s="50">
        <v>-2.0804507279577569E-2</v>
      </c>
      <c r="AF73" s="50">
        <v>-2.2485634036430658E-2</v>
      </c>
      <c r="AG73" s="50">
        <v>-2.2117710681280496E-2</v>
      </c>
      <c r="AH73" s="50">
        <v>-1.0865211281218879E-2</v>
      </c>
      <c r="AI73" s="50">
        <v>-7.6978056074296797E-3</v>
      </c>
      <c r="AJ73" s="50">
        <v>-8.9804127887118754E-3</v>
      </c>
      <c r="AK73" s="50">
        <v>-4.0553290530742653E-3</v>
      </c>
      <c r="AL73" s="50">
        <v>-3.9297426244377393E-3</v>
      </c>
      <c r="AM73" s="50">
        <v>-9.9311800042400852E-3</v>
      </c>
      <c r="AN73" s="50">
        <v>-1.1730890916087687E-2</v>
      </c>
      <c r="AO73" s="50">
        <v>-1.4366461026365986E-2</v>
      </c>
      <c r="AP73" s="50">
        <v>-1.4515258788520499E-2</v>
      </c>
      <c r="AQ73" s="50">
        <v>-8.2492603118301255E-3</v>
      </c>
      <c r="AR73" s="50">
        <v>-1.4727603392858373E-2</v>
      </c>
      <c r="AS73" s="50">
        <v>6.9143758066170366E-3</v>
      </c>
      <c r="AT73" s="50">
        <v>7.2181519150643966E-3</v>
      </c>
      <c r="AU73" s="50">
        <v>6.1815517015888092E-3</v>
      </c>
      <c r="AV73" s="50">
        <v>1.7223702731058079E-3</v>
      </c>
      <c r="AW73" s="49">
        <v>-7.6794141894406132E-3</v>
      </c>
      <c r="AX73" s="510">
        <v>-7.1794141894406128E-3</v>
      </c>
      <c r="AY73" s="510">
        <v>-6.6794141894406123E-3</v>
      </c>
      <c r="AZ73" s="510">
        <v>-5.9294141894406125E-3</v>
      </c>
      <c r="BA73" s="510">
        <v>-5.9294141894406125E-3</v>
      </c>
      <c r="BB73" s="510">
        <v>-5.9294141894406125E-3</v>
      </c>
      <c r="BC73" s="510">
        <v>-5.9294141894406125E-3</v>
      </c>
      <c r="BD73" s="47">
        <v>-5.9294141894406125E-3</v>
      </c>
      <c r="BE73" s="47">
        <v>-5.9294141894406125E-3</v>
      </c>
      <c r="BF73" s="47">
        <v>-5.9294141894406125E-3</v>
      </c>
      <c r="BG73" s="47">
        <v>-5.9294141894406125E-3</v>
      </c>
      <c r="BH73" s="47">
        <v>-5.9294141894406125E-3</v>
      </c>
      <c r="BI73" s="47">
        <v>-5.9294141894406125E-3</v>
      </c>
      <c r="BJ73" s="47">
        <v>-5.9294141894406125E-3</v>
      </c>
      <c r="BK73" s="47">
        <v>-5.9294141894406125E-3</v>
      </c>
      <c r="BL73" s="47">
        <v>-5.9294141894406125E-3</v>
      </c>
      <c r="BM73" s="47">
        <v>-5.9294141894406125E-3</v>
      </c>
      <c r="BN73" s="47">
        <v>-5.9294141894406125E-3</v>
      </c>
      <c r="BO73" s="47">
        <v>-5.9294141894406125E-3</v>
      </c>
      <c r="BP73" s="47">
        <v>-5.9294141894406125E-3</v>
      </c>
      <c r="BQ73" s="47">
        <v>-5.9294141894406125E-3</v>
      </c>
      <c r="BR73" s="48"/>
      <c r="BS73" s="235"/>
      <c r="BT73" s="235"/>
      <c r="BU73" s="235"/>
      <c r="BV73" s="235"/>
      <c r="BW73" s="235"/>
      <c r="BX73" s="235"/>
      <c r="BY73" s="235"/>
      <c r="BZ73" s="235"/>
      <c r="CA73" s="235"/>
      <c r="CB73" s="235"/>
      <c r="CC73" s="48">
        <v>-1.6806311604417944E-2</v>
      </c>
      <c r="CD73" s="48">
        <v>-1.4733677670009887E-2</v>
      </c>
      <c r="CE73" s="48">
        <v>-1.4163130684289116E-2</v>
      </c>
      <c r="CF73" s="48">
        <v>-1.6289021422511343E-2</v>
      </c>
      <c r="CG73" s="48">
        <v>-1.9744807414247431E-2</v>
      </c>
      <c r="CH73" s="48">
        <v>-2.0225170234893321E-2</v>
      </c>
      <c r="CI73" s="48">
        <v>-1.0997034519082188E-2</v>
      </c>
      <c r="CJ73" s="48">
        <v>-3.141064444875806E-2</v>
      </c>
      <c r="CK73" s="48">
        <v>-2.3436368329907389E-2</v>
      </c>
      <c r="CL73" s="48">
        <v>-2.3973936669860595E-2</v>
      </c>
      <c r="CM73" s="50">
        <v>-2.5726595397783585E-2</v>
      </c>
      <c r="CN73" s="50">
        <v>-2.5717146916460536E-2</v>
      </c>
      <c r="CO73" s="50">
        <v>-2.3023777462971122E-2</v>
      </c>
      <c r="CP73" s="50">
        <v>-2.1355964280435465E-2</v>
      </c>
      <c r="CQ73" s="50">
        <v>-2.1794201253820158E-2</v>
      </c>
      <c r="CR73" s="50">
        <v>-9.2622867909073186E-3</v>
      </c>
      <c r="CS73" s="50">
        <v>-6.545645551802131E-3</v>
      </c>
      <c r="CT73" s="50">
        <v>-6.9106127136081275E-3</v>
      </c>
      <c r="CU73" s="50">
        <v>-1.3037027739372703E-2</v>
      </c>
      <c r="CV73" s="50">
        <v>-1.1334290519542401E-2</v>
      </c>
      <c r="CW73" s="50">
        <v>-3.8247375115934325E-3</v>
      </c>
      <c r="CX73" s="50">
        <v>6.7967829449522349E-3</v>
      </c>
      <c r="CY73" s="49">
        <v>-2.8183198182528163E-3</v>
      </c>
      <c r="CZ73" s="48">
        <v>-6.9274018159502298E-3</v>
      </c>
      <c r="DA73" s="48">
        <v>-5.9283095009917365E-3</v>
      </c>
      <c r="DB73" s="48">
        <v>-5.9284972198646339E-3</v>
      </c>
      <c r="DC73" s="48">
        <v>-5.9288042424705256E-3</v>
      </c>
      <c r="DD73" s="48">
        <v>-5.9284963534492058E-3</v>
      </c>
      <c r="DE73" s="48">
        <v>-5.9284959217614387E-3</v>
      </c>
      <c r="DF73" s="48">
        <v>-5.9284954910498828E-3</v>
      </c>
      <c r="DG73" s="235">
        <v>-5.9288030956504683E-3</v>
      </c>
      <c r="DH73" s="235">
        <v>-5.9284946324471843E-3</v>
      </c>
      <c r="DI73" s="235">
        <v>-5.9284942045031838E-3</v>
      </c>
    </row>
    <row r="74" spans="1:113" outlineLevel="1">
      <c r="A74" s="1" t="s">
        <v>873</v>
      </c>
      <c r="B74" s="19" t="s">
        <v>359</v>
      </c>
      <c r="C74" s="235">
        <v>1.2105751234311492E-2</v>
      </c>
      <c r="D74" s="235">
        <v>1.2608544095662762E-2</v>
      </c>
      <c r="E74" s="235">
        <v>1.7253710705101229E-2</v>
      </c>
      <c r="F74" s="235">
        <v>1.7044760985021487E-2</v>
      </c>
      <c r="G74" s="235">
        <v>1.6924975836335135E-2</v>
      </c>
      <c r="H74" s="235">
        <v>1.8163140646221355E-2</v>
      </c>
      <c r="I74" s="235">
        <v>1.7695443034095537E-2</v>
      </c>
      <c r="J74" s="235">
        <v>1.6366932090829178E-2</v>
      </c>
      <c r="K74" s="235">
        <v>1.769426733015908E-2</v>
      </c>
      <c r="L74" s="235">
        <v>1.5046576068043847E-2</v>
      </c>
      <c r="M74" s="48">
        <v>2.2119244709906581E-2</v>
      </c>
      <c r="N74" s="48">
        <v>1.7201159743169075E-2</v>
      </c>
      <c r="O74" s="48">
        <v>2.1583653705762651E-2</v>
      </c>
      <c r="P74" s="48">
        <v>3.2196441559082495E-2</v>
      </c>
      <c r="Q74" s="48">
        <v>2.5422472655640647E-2</v>
      </c>
      <c r="R74" s="48">
        <v>9.6841872568839971E-3</v>
      </c>
      <c r="S74" s="48">
        <v>-3.4307955592930359E-3</v>
      </c>
      <c r="T74" s="50">
        <v>2.094357543255515E-3</v>
      </c>
      <c r="U74" s="48">
        <v>4.0270787074777117E-3</v>
      </c>
      <c r="V74" s="48">
        <v>4.9707580193287387E-3</v>
      </c>
      <c r="W74" s="48">
        <v>4.7221328725209066E-3</v>
      </c>
      <c r="X74" s="48">
        <v>3.4133899217065194E-3</v>
      </c>
      <c r="Y74" s="50">
        <v>-3.7858525920264618E-4</v>
      </c>
      <c r="Z74" s="50">
        <v>-2.4352587217083971E-3</v>
      </c>
      <c r="AA74" s="50">
        <v>-2.9084346348915886E-3</v>
      </c>
      <c r="AB74" s="50">
        <v>-2.7254658626180497E-3</v>
      </c>
      <c r="AC74" s="50">
        <v>-3.494436791216804E-5</v>
      </c>
      <c r="AD74" s="50">
        <v>1.0850874969389329E-3</v>
      </c>
      <c r="AE74" s="50">
        <v>1.0754794501487835E-4</v>
      </c>
      <c r="AF74" s="50">
        <v>4.1675691326942613E-4</v>
      </c>
      <c r="AG74" s="50">
        <v>1.2858141802423659E-3</v>
      </c>
      <c r="AH74" s="50">
        <v>-1.0824170072349162E-4</v>
      </c>
      <c r="AI74" s="50">
        <v>1.0018861783655832E-3</v>
      </c>
      <c r="AJ74" s="50">
        <v>1.3895641414374028E-3</v>
      </c>
      <c r="AK74" s="50">
        <v>3.5183185768035848E-3</v>
      </c>
      <c r="AL74" s="50">
        <v>4.1468161905238443E-3</v>
      </c>
      <c r="AM74" s="50">
        <v>1.8285876610136963E-3</v>
      </c>
      <c r="AN74" s="50">
        <v>-2.3865708340922998E-3</v>
      </c>
      <c r="AO74" s="50">
        <v>-3.4797717015230957E-3</v>
      </c>
      <c r="AP74" s="50">
        <v>-4.8179391599173747E-3</v>
      </c>
      <c r="AQ74" s="50">
        <v>-3.0314244366341234E-3</v>
      </c>
      <c r="AR74" s="50">
        <v>-2.3437655981485162E-3</v>
      </c>
      <c r="AS74" s="50">
        <v>2.9604209564458063E-3</v>
      </c>
      <c r="AT74" s="50">
        <v>1.7546364861933412E-2</v>
      </c>
      <c r="AU74" s="50">
        <v>1.7134273594890122E-2</v>
      </c>
      <c r="AV74" s="50">
        <v>1.5898043109934017E-2</v>
      </c>
      <c r="AW74" s="766">
        <v>1.306283324905232E-2</v>
      </c>
      <c r="AX74" s="235">
        <v>1.3369608983813692E-2</v>
      </c>
      <c r="AY74" s="235">
        <v>1.350852208600211E-2</v>
      </c>
      <c r="AZ74" s="235">
        <v>1.3716891739284739E-2</v>
      </c>
      <c r="BA74" s="235">
        <v>1.3716891739284736E-2</v>
      </c>
      <c r="BB74" s="235">
        <v>1.3716891739284738E-2</v>
      </c>
      <c r="BC74" s="235">
        <v>1.3716891739284736E-2</v>
      </c>
      <c r="BD74" s="235">
        <v>1.3716891739284738E-2</v>
      </c>
      <c r="BE74" s="235">
        <v>1.3716891739284738E-2</v>
      </c>
      <c r="BF74" s="235">
        <v>1.3716891739284738E-2</v>
      </c>
      <c r="BG74" s="235">
        <v>1.3716891739284739E-2</v>
      </c>
      <c r="BH74" s="235">
        <v>1.3716891739284739E-2</v>
      </c>
      <c r="BI74" s="235">
        <v>1.3716891739284741E-2</v>
      </c>
      <c r="BJ74" s="235">
        <v>1.3716891739284743E-2</v>
      </c>
      <c r="BK74" s="235">
        <v>1.3716891739284746E-2</v>
      </c>
      <c r="BL74" s="235">
        <v>1.3716891739284743E-2</v>
      </c>
      <c r="BM74" s="235">
        <v>1.3716891739284743E-2</v>
      </c>
      <c r="BN74" s="235">
        <v>1.3716891739284743E-2</v>
      </c>
      <c r="BO74" s="235">
        <v>1.3716891739284743E-2</v>
      </c>
      <c r="BP74" s="235">
        <v>1.3716891739284741E-2</v>
      </c>
      <c r="BQ74" s="235">
        <v>1.3716891739284743E-2</v>
      </c>
      <c r="BR74" s="48"/>
      <c r="BS74" s="235"/>
      <c r="BT74" s="235"/>
      <c r="BU74" s="235"/>
      <c r="BV74" s="235"/>
      <c r="BW74" s="235"/>
      <c r="BX74" s="235"/>
      <c r="BY74" s="235"/>
      <c r="BZ74" s="235"/>
      <c r="CA74" s="235"/>
      <c r="CB74" s="235"/>
      <c r="CC74" s="48">
        <v>1.4925068233062146E-2</v>
      </c>
      <c r="CD74" s="48">
        <v>1.6982317981820125E-2</v>
      </c>
      <c r="CE74" s="48">
        <v>1.7910230727528991E-2</v>
      </c>
      <c r="CF74" s="48">
        <v>1.7028247669492163E-2</v>
      </c>
      <c r="CG74" s="48">
        <v>1.8645690193388551E-2</v>
      </c>
      <c r="CH74" s="48">
        <v>1.8768218700096127E-2</v>
      </c>
      <c r="CI74" s="48">
        <v>2.8667120809655153E-2</v>
      </c>
      <c r="CJ74" s="48">
        <v>2.7407023904388729E-3</v>
      </c>
      <c r="CK74" s="48">
        <v>3.0552099074339649E-3</v>
      </c>
      <c r="CL74" s="48">
        <v>4.843029720792565E-3</v>
      </c>
      <c r="CM74" s="50">
        <v>1.513957845157495E-3</v>
      </c>
      <c r="CN74" s="50">
        <v>-2.672900100167025E-3</v>
      </c>
      <c r="CO74" s="50">
        <v>-1.3629273449978047E-3</v>
      </c>
      <c r="CP74" s="50">
        <v>5.90605927633311E-4</v>
      </c>
      <c r="CQ74" s="50">
        <v>8.4288616255103171E-4</v>
      </c>
      <c r="CR74" s="50">
        <v>4.510630232064175E-4</v>
      </c>
      <c r="CS74" s="50">
        <v>2.4418190074650195E-3</v>
      </c>
      <c r="CT74" s="50">
        <v>2.997538853665084E-3</v>
      </c>
      <c r="CU74" s="50">
        <v>-2.9352557708036174E-3</v>
      </c>
      <c r="CV74" s="50">
        <v>-3.9096137835126984E-3</v>
      </c>
      <c r="CW74" s="50">
        <v>3.3327723542118676E-4</v>
      </c>
      <c r="CX74" s="50">
        <v>1.7588768319888429E-2</v>
      </c>
      <c r="CY74" s="49">
        <v>1.4525696122042332E-2</v>
      </c>
      <c r="CZ74" s="48">
        <v>1.3436802023517085E-2</v>
      </c>
      <c r="DA74" s="48">
        <v>1.3714336193091687E-2</v>
      </c>
      <c r="DB74" s="48">
        <v>1.3714770455124101E-2</v>
      </c>
      <c r="DC74" s="48">
        <v>1.3715480710085552E-2</v>
      </c>
      <c r="DD74" s="48">
        <v>1.3714768450790076E-2</v>
      </c>
      <c r="DE74" s="48">
        <v>1.3714767452139252E-2</v>
      </c>
      <c r="DF74" s="48">
        <v>1.3714766455746763E-2</v>
      </c>
      <c r="DG74" s="235">
        <v>1.3715478057073623E-2</v>
      </c>
      <c r="DH74" s="235">
        <v>1.3714764469486419E-2</v>
      </c>
      <c r="DI74" s="235">
        <v>1.3714763479496288E-2</v>
      </c>
    </row>
    <row r="75" spans="1:113" outlineLevel="1">
      <c r="A75" s="1" t="s">
        <v>874</v>
      </c>
      <c r="B75" s="19" t="s">
        <v>273</v>
      </c>
      <c r="C75" s="235">
        <v>2.3797615125272037E-2</v>
      </c>
      <c r="D75" s="235">
        <v>2.3241906024979768E-2</v>
      </c>
      <c r="E75" s="235">
        <v>1.7522124712341838E-2</v>
      </c>
      <c r="F75" s="235">
        <v>1.7274127079151234E-2</v>
      </c>
      <c r="G75" s="235">
        <v>2.6779151535019106E-2</v>
      </c>
      <c r="H75" s="235">
        <v>1.5693341078215205E-2</v>
      </c>
      <c r="I75" s="235">
        <v>1.1135351900718606E-2</v>
      </c>
      <c r="J75" s="235">
        <v>1.4783421929546188E-2</v>
      </c>
      <c r="K75" s="235">
        <v>1.5654913191766914E-2</v>
      </c>
      <c r="L75" s="235">
        <v>1.4574892771928007E-2</v>
      </c>
      <c r="M75" s="48">
        <v>1.2266433175541755E-2</v>
      </c>
      <c r="N75" s="48">
        <v>1.1448750451322126E-2</v>
      </c>
      <c r="O75" s="48">
        <v>1.2328280198178207E-2</v>
      </c>
      <c r="P75" s="48">
        <v>2.6543188784551308E-3</v>
      </c>
      <c r="Q75" s="48">
        <v>7.1221325883485537E-3</v>
      </c>
      <c r="R75" s="48">
        <v>1.945647083090872E-2</v>
      </c>
      <c r="S75" s="48">
        <v>3.3885726634702948E-2</v>
      </c>
      <c r="T75" s="50">
        <v>2.9852522247041845E-2</v>
      </c>
      <c r="U75" s="48">
        <v>2.1362061909004658E-2</v>
      </c>
      <c r="V75" s="48">
        <v>1.5964650472483466E-2</v>
      </c>
      <c r="W75" s="48">
        <v>1.3352990002729534E-2</v>
      </c>
      <c r="X75" s="48">
        <v>1.3380172067130533E-2</v>
      </c>
      <c r="Y75" s="50">
        <v>1.960118569852054E-2</v>
      </c>
      <c r="Z75" s="50">
        <v>2.463733523260752E-2</v>
      </c>
      <c r="AA75" s="50">
        <v>2.8955623080771781E-2</v>
      </c>
      <c r="AB75" s="50">
        <v>3.0770656929626907E-2</v>
      </c>
      <c r="AC75" s="50">
        <v>3.1014545908667781E-2</v>
      </c>
      <c r="AD75" s="50">
        <v>3.3819018482334304E-2</v>
      </c>
      <c r="AE75" s="50">
        <v>3.6983173565968905E-2</v>
      </c>
      <c r="AF75" s="50">
        <v>3.5856910246642573E-2</v>
      </c>
      <c r="AG75" s="50">
        <v>3.0651607503354158E-2</v>
      </c>
      <c r="AH75" s="50">
        <v>3.2717245522180353E-2</v>
      </c>
      <c r="AI75" s="50">
        <v>3.2017820423252664E-2</v>
      </c>
      <c r="AJ75" s="50">
        <v>3.1760016256136094E-2</v>
      </c>
      <c r="AK75" s="50">
        <v>2.9512978424004816E-2</v>
      </c>
      <c r="AL75" s="50">
        <v>2.8960385948264045E-2</v>
      </c>
      <c r="AM75" s="50">
        <v>3.0219642145350018E-2</v>
      </c>
      <c r="AN75" s="50">
        <v>3.5532057704812006E-2</v>
      </c>
      <c r="AO75" s="50">
        <v>3.71964953582231E-2</v>
      </c>
      <c r="AP75" s="50">
        <v>3.6813617788668672E-2</v>
      </c>
      <c r="AQ75" s="50">
        <v>3.3787169785559998E-2</v>
      </c>
      <c r="AR75" s="50">
        <v>3.1916661861435658E-2</v>
      </c>
      <c r="AS75" s="50">
        <v>2.8680663340154913E-2</v>
      </c>
      <c r="AT75" s="50">
        <v>1.689560392868629E-2</v>
      </c>
      <c r="AU75" s="50">
        <v>1.4432976411332336E-2</v>
      </c>
      <c r="AV75" s="50">
        <v>8.0244531026574806E-3</v>
      </c>
      <c r="AW75" s="49">
        <v>1.9097645910955897E-2</v>
      </c>
      <c r="AX75" s="510">
        <v>1.9097645910955897E-2</v>
      </c>
      <c r="AY75" s="510">
        <v>1.9097645910955897E-2</v>
      </c>
      <c r="AZ75" s="510">
        <v>1.9097645910955897E-2</v>
      </c>
      <c r="BA75" s="510">
        <v>1.9097645910955897E-2</v>
      </c>
      <c r="BB75" s="510">
        <v>1.9097645910955897E-2</v>
      </c>
      <c r="BC75" s="510">
        <v>1.9097645910955897E-2</v>
      </c>
      <c r="BD75" s="47">
        <v>1.9097645910955897E-2</v>
      </c>
      <c r="BE75" s="47">
        <v>1.9097645910955897E-2</v>
      </c>
      <c r="BF75" s="47">
        <v>1.9097645910955897E-2</v>
      </c>
      <c r="BG75" s="47">
        <v>1.9097645910955897E-2</v>
      </c>
      <c r="BH75" s="47">
        <v>1.9097645910955897E-2</v>
      </c>
      <c r="BI75" s="47">
        <v>1.9097645910955897E-2</v>
      </c>
      <c r="BJ75" s="47">
        <v>1.9097645910955897E-2</v>
      </c>
      <c r="BK75" s="47">
        <v>1.9097645910955897E-2</v>
      </c>
      <c r="BL75" s="47">
        <v>1.9097645910955897E-2</v>
      </c>
      <c r="BM75" s="47">
        <v>1.9097645910955897E-2</v>
      </c>
      <c r="BN75" s="47">
        <v>1.9097645910955897E-2</v>
      </c>
      <c r="BO75" s="47">
        <v>1.9097645910955897E-2</v>
      </c>
      <c r="BP75" s="47">
        <v>1.9097645910955897E-2</v>
      </c>
      <c r="BQ75" s="47">
        <v>1.9097645910955897E-2</v>
      </c>
      <c r="BR75" s="48"/>
      <c r="BS75" s="235">
        <v>6.1702344448703039E-3</v>
      </c>
      <c r="BT75" s="235">
        <v>1.460145856014293E-2</v>
      </c>
      <c r="BU75" s="235">
        <v>2.1634840620532871E-2</v>
      </c>
      <c r="BV75" s="235">
        <v>1.0675077516635975E-2</v>
      </c>
      <c r="BW75" s="235">
        <v>1.880803444905936E-2</v>
      </c>
      <c r="BX75" s="235">
        <v>2.8521019934237564E-2</v>
      </c>
      <c r="BY75" s="235">
        <v>4.270158895538629E-2</v>
      </c>
      <c r="BZ75" s="235">
        <v>2.1975458477378626E-2</v>
      </c>
      <c r="CA75" s="235">
        <v>1.3840528395863826E-2</v>
      </c>
      <c r="CB75" s="235">
        <v>1.9363985223815758E-2</v>
      </c>
      <c r="CC75" s="48">
        <v>2.0313393331320793E-2</v>
      </c>
      <c r="CD75" s="48">
        <v>2.2098225117859013E-2</v>
      </c>
      <c r="CE75" s="48">
        <v>1.3269148673418774E-2</v>
      </c>
      <c r="CF75" s="48">
        <v>1.5222715920027894E-2</v>
      </c>
      <c r="CG75" s="48">
        <v>1.3378532329045689E-2</v>
      </c>
      <c r="CH75" s="48">
        <v>1.1905949608138783E-2</v>
      </c>
      <c r="CI75" s="48">
        <v>4.9224315845349661E-3</v>
      </c>
      <c r="CJ75" s="48">
        <v>2.6577250054202542E-2</v>
      </c>
      <c r="CK75" s="48">
        <v>2.5703912434449267E-2</v>
      </c>
      <c r="CL75" s="48">
        <v>1.4709255307934904E-2</v>
      </c>
      <c r="CM75" s="50">
        <v>1.6487349612457933E-2</v>
      </c>
      <c r="CN75" s="50">
        <v>2.6861461574898073E-2</v>
      </c>
      <c r="CO75" s="50">
        <v>3.0896025704402211E-2</v>
      </c>
      <c r="CP75" s="50">
        <v>3.5446603508108611E-2</v>
      </c>
      <c r="CQ75" s="50">
        <v>3.3192537640398215E-2</v>
      </c>
      <c r="CR75" s="50">
        <v>3.236718576901907E-2</v>
      </c>
      <c r="CS75" s="50">
        <v>3.0623345318520769E-2</v>
      </c>
      <c r="CT75" s="50">
        <v>2.9603705729278767E-2</v>
      </c>
      <c r="CU75" s="50">
        <v>3.6370903621754547E-2</v>
      </c>
      <c r="CV75" s="50">
        <v>3.528123807433857E-2</v>
      </c>
      <c r="CW75" s="50">
        <v>3.0318745166005946E-2</v>
      </c>
      <c r="CX75" s="50">
        <v>1.5658328493185398E-2</v>
      </c>
      <c r="CY75" s="49">
        <v>1.3541515304097078E-2</v>
      </c>
      <c r="CZ75" s="48">
        <v>1.9095783930889513E-2</v>
      </c>
      <c r="DA75" s="48">
        <v>1.9099003099219265E-2</v>
      </c>
      <c r="DB75" s="48">
        <v>1.9098189054485949E-2</v>
      </c>
      <c r="DC75" s="48">
        <v>1.9097120204271449E-2</v>
      </c>
      <c r="DD75" s="48">
        <v>1.9096839263949353E-2</v>
      </c>
      <c r="DE75" s="48">
        <v>1.9096824494552408E-2</v>
      </c>
      <c r="DF75" s="48">
        <v>1.9095661047874923E-2</v>
      </c>
      <c r="DG75" s="235">
        <v>1.9095569284804367E-2</v>
      </c>
      <c r="DH75" s="235">
        <v>1.9094522523253561E-2</v>
      </c>
      <c r="DI75" s="235">
        <v>1.9094522523253558E-2</v>
      </c>
    </row>
    <row r="76" spans="1:113" outlineLevel="1">
      <c r="A76" s="1" t="s">
        <v>829</v>
      </c>
      <c r="B76" s="19" t="s">
        <v>274</v>
      </c>
      <c r="C76" s="235">
        <v>-5.4670878380818286E-3</v>
      </c>
      <c r="D76" s="235">
        <v>-8.4609723446082349E-3</v>
      </c>
      <c r="E76" s="235">
        <v>4.6074301734799761E-4</v>
      </c>
      <c r="F76" s="235">
        <v>1.7891671538411841E-3</v>
      </c>
      <c r="G76" s="235">
        <v>-6.4833695839459082E-3</v>
      </c>
      <c r="H76" s="235">
        <v>1.2913990722147883E-4</v>
      </c>
      <c r="I76" s="235">
        <v>-4.2506472609270957E-4</v>
      </c>
      <c r="J76" s="235">
        <v>-4.6483425179354443E-3</v>
      </c>
      <c r="K76" s="235">
        <v>-6.884772184976129E-3</v>
      </c>
      <c r="L76" s="235">
        <v>4.9892373295398612E-3</v>
      </c>
      <c r="M76" s="48">
        <v>5.1488812944619697E-3</v>
      </c>
      <c r="N76" s="48">
        <v>6.5291661157326208E-3</v>
      </c>
      <c r="O76" s="48">
        <v>9.8632811106977095E-3</v>
      </c>
      <c r="P76" s="48">
        <v>1.5719639266137439E-2</v>
      </c>
      <c r="Q76" s="48">
        <v>1.4262361161480441E-2</v>
      </c>
      <c r="R76" s="48">
        <v>4.6749593596156006E-3</v>
      </c>
      <c r="S76" s="48">
        <v>-9.6472016034792329E-3</v>
      </c>
      <c r="T76" s="50">
        <v>-1.6995282728722569E-2</v>
      </c>
      <c r="U76" s="48">
        <v>-8.4705403566892809E-3</v>
      </c>
      <c r="V76" s="48">
        <v>-1.8973284162233511E-3</v>
      </c>
      <c r="W76" s="48">
        <v>2.6364381900632339E-3</v>
      </c>
      <c r="X76" s="48">
        <v>3.6592598782206331E-3</v>
      </c>
      <c r="Y76" s="50">
        <v>-1.4705318188937486E-3</v>
      </c>
      <c r="Z76" s="50">
        <v>-2.8115282535602984E-3</v>
      </c>
      <c r="AA76" s="50">
        <v>-7.1232637488109589E-3</v>
      </c>
      <c r="AB76" s="50">
        <v>-7.5185278015228764E-3</v>
      </c>
      <c r="AC76" s="50">
        <v>-6.7073347905215776E-3</v>
      </c>
      <c r="AD76" s="50">
        <v>-7.6423555023761303E-3</v>
      </c>
      <c r="AE76" s="50">
        <v>-1.2184508277229143E-2</v>
      </c>
      <c r="AF76" s="50">
        <v>-1.1879907908655379E-2</v>
      </c>
      <c r="AG76" s="50">
        <v>-6.9279493455689789E-3</v>
      </c>
      <c r="AH76" s="50">
        <v>-9.0904865942433126E-3</v>
      </c>
      <c r="AI76" s="50">
        <v>-9.2167723871373567E-3</v>
      </c>
      <c r="AJ76" s="50">
        <v>-8.3888180480820237E-3</v>
      </c>
      <c r="AK76" s="50">
        <v>-5.2435121075708182E-3</v>
      </c>
      <c r="AL76" s="50">
        <v>-4.4475330078415261E-3</v>
      </c>
      <c r="AM76" s="50">
        <v>-5.6220758806242782E-3</v>
      </c>
      <c r="AN76" s="50">
        <v>-1.2763290227524959E-2</v>
      </c>
      <c r="AO76" s="50">
        <v>-1.3367419725855229E-2</v>
      </c>
      <c r="AP76" s="50">
        <v>-1.4033824633886265E-2</v>
      </c>
      <c r="AQ76" s="50">
        <v>-7.0954800075588983E-3</v>
      </c>
      <c r="AR76" s="50">
        <v>-6.2425130381528679E-3</v>
      </c>
      <c r="AS76" s="50">
        <v>-1.9781032681437066E-3</v>
      </c>
      <c r="AT76" s="50">
        <v>1.402942266674498E-2</v>
      </c>
      <c r="AU76" s="50">
        <v>4.6558187206092727E-2</v>
      </c>
      <c r="AV76" s="50">
        <v>1.1559688923002361E-2</v>
      </c>
      <c r="AW76" s="49">
        <v>6.9665822114955726E-3</v>
      </c>
      <c r="AX76" s="510">
        <v>7.4665822114955722E-3</v>
      </c>
      <c r="AY76" s="510">
        <v>7.4665822114955722E-3</v>
      </c>
      <c r="AZ76" s="510">
        <v>7.4665822114955722E-3</v>
      </c>
      <c r="BA76" s="510">
        <v>7.4665822114955722E-3</v>
      </c>
      <c r="BB76" s="510">
        <v>7.4665822114955722E-3</v>
      </c>
      <c r="BC76" s="510">
        <v>7.4665822114955722E-3</v>
      </c>
      <c r="BD76" s="47">
        <v>7.4665822114955722E-3</v>
      </c>
      <c r="BE76" s="47">
        <v>7.4665822114955722E-3</v>
      </c>
      <c r="BF76" s="47">
        <v>7.4665822114955722E-3</v>
      </c>
      <c r="BG76" s="47">
        <v>7.4665822114955722E-3</v>
      </c>
      <c r="BH76" s="47">
        <v>7.4665822114955722E-3</v>
      </c>
      <c r="BI76" s="47">
        <v>7.4665822114955722E-3</v>
      </c>
      <c r="BJ76" s="47">
        <v>7.4665822114955722E-3</v>
      </c>
      <c r="BK76" s="47">
        <v>7.4665822114955722E-3</v>
      </c>
      <c r="BL76" s="47">
        <v>7.4665822114955722E-3</v>
      </c>
      <c r="BM76" s="47">
        <v>7.4665822114955722E-3</v>
      </c>
      <c r="BN76" s="47">
        <v>7.4665822114955722E-3</v>
      </c>
      <c r="BO76" s="47">
        <v>7.4665822114955722E-3</v>
      </c>
      <c r="BP76" s="47">
        <v>7.4665822114955722E-3</v>
      </c>
      <c r="BQ76" s="47">
        <v>7.4665822114955722E-3</v>
      </c>
      <c r="BR76" s="48"/>
      <c r="BS76" s="235">
        <v>7.5003780645727935E-3</v>
      </c>
      <c r="BT76" s="235">
        <v>1.7995599974306442E-3</v>
      </c>
      <c r="BU76" s="235">
        <v>3.2057130184438287E-3</v>
      </c>
      <c r="BV76" s="235">
        <v>1.4883862126245859E-2</v>
      </c>
      <c r="BW76" s="235">
        <v>2.8353310613437183E-3</v>
      </c>
      <c r="BX76" s="235">
        <v>-6.7422242161068666E-3</v>
      </c>
      <c r="BY76" s="235">
        <v>-2.4335746670463503E-2</v>
      </c>
      <c r="BZ76" s="235">
        <v>-5.0926627226852289E-3</v>
      </c>
      <c r="CA76" s="235">
        <v>9.267649397986924E-3</v>
      </c>
      <c r="CB76" s="235">
        <v>-1.1860054168177578E-3</v>
      </c>
      <c r="CC76" s="48">
        <v>-3.6102036399559244E-3</v>
      </c>
      <c r="CD76" s="48">
        <v>-2.2651687349681273E-3</v>
      </c>
      <c r="CE76" s="48">
        <v>-1.490073670873103E-4</v>
      </c>
      <c r="CF76" s="48">
        <v>-5.7871301730194483E-3</v>
      </c>
      <c r="CG76" s="48">
        <v>5.07623454922839E-3</v>
      </c>
      <c r="CH76" s="48">
        <v>8.2694936893585244E-3</v>
      </c>
      <c r="CI76" s="48">
        <v>1.4969540905968927E-2</v>
      </c>
      <c r="CJ76" s="48">
        <v>-2.6242656659695328E-3</v>
      </c>
      <c r="CK76" s="48">
        <v>-1.2762799870266598E-2</v>
      </c>
      <c r="CL76" s="48">
        <v>3.6000831609123965E-4</v>
      </c>
      <c r="CM76" s="50">
        <v>1.0302976309912815E-3</v>
      </c>
      <c r="CN76" s="50">
        <v>-5.0364597287149947E-3</v>
      </c>
      <c r="CO76" s="50">
        <v>-7.1234889383877589E-3</v>
      </c>
      <c r="CP76" s="50">
        <v>-1.0064366322875589E-2</v>
      </c>
      <c r="CQ76" s="50">
        <v>-9.3990365955970642E-3</v>
      </c>
      <c r="CR76" s="50">
        <v>-9.1322825783731569E-3</v>
      </c>
      <c r="CS76" s="50">
        <v>-6.8073417993489219E-3</v>
      </c>
      <c r="CT76" s="50">
        <v>-5.0233987699841859E-3</v>
      </c>
      <c r="CU76" s="50">
        <v>-1.306191541113404E-2</v>
      </c>
      <c r="CV76" s="50">
        <v>-1.060274956093306E-2</v>
      </c>
      <c r="CW76" s="50">
        <v>-4.16138794444703E-3</v>
      </c>
      <c r="CX76" s="50">
        <v>3.056998208701751E-2</v>
      </c>
      <c r="CY76" s="49">
        <v>9.2869012960711747E-3</v>
      </c>
      <c r="CZ76" s="48">
        <v>7.4658542355289714E-3</v>
      </c>
      <c r="DA76" s="48">
        <v>7.4671128296561621E-3</v>
      </c>
      <c r="DB76" s="48">
        <v>7.4667945636272782E-3</v>
      </c>
      <c r="DC76" s="48">
        <v>7.4663766766251034E-3</v>
      </c>
      <c r="DD76" s="48">
        <v>7.4662668377464651E-3</v>
      </c>
      <c r="DE76" s="48">
        <v>7.4662610633742209E-3</v>
      </c>
      <c r="DF76" s="48">
        <v>7.4658061921138242E-3</v>
      </c>
      <c r="DG76" s="235">
        <v>7.4657703156234163E-3</v>
      </c>
      <c r="DH76" s="235">
        <v>7.4653610645978551E-3</v>
      </c>
      <c r="DI76" s="235">
        <v>7.4653610645978542E-3</v>
      </c>
    </row>
    <row r="77" spans="1:113" outlineLevel="1">
      <c r="A77" s="1" t="s">
        <v>381</v>
      </c>
      <c r="B77" s="19" t="s">
        <v>275</v>
      </c>
      <c r="C77" s="235">
        <v>0</v>
      </c>
      <c r="D77" s="235">
        <v>0</v>
      </c>
      <c r="E77" s="235">
        <v>0</v>
      </c>
      <c r="F77" s="235">
        <v>0</v>
      </c>
      <c r="G77" s="235">
        <v>0</v>
      </c>
      <c r="H77" s="235">
        <v>0</v>
      </c>
      <c r="I77" s="235">
        <v>0</v>
      </c>
      <c r="J77" s="235">
        <v>0</v>
      </c>
      <c r="K77" s="235">
        <v>0</v>
      </c>
      <c r="L77" s="235">
        <v>0</v>
      </c>
      <c r="M77" s="48">
        <v>0</v>
      </c>
      <c r="N77" s="48">
        <v>0</v>
      </c>
      <c r="O77" s="48">
        <v>0</v>
      </c>
      <c r="P77" s="48">
        <v>0</v>
      </c>
      <c r="Q77" s="48">
        <v>0</v>
      </c>
      <c r="R77" s="48">
        <v>0</v>
      </c>
      <c r="S77" s="48">
        <v>0</v>
      </c>
      <c r="T77" s="50">
        <v>-1.0225373968301005E-3</v>
      </c>
      <c r="U77" s="48">
        <v>-9.7194511327892349E-3</v>
      </c>
      <c r="V77" s="48">
        <v>-1.2464327349977773E-2</v>
      </c>
      <c r="W77" s="48">
        <v>-1.5350843251930507E-2</v>
      </c>
      <c r="X77" s="48">
        <v>-1.2343957859265592E-2</v>
      </c>
      <c r="Y77" s="50">
        <v>-5.2922981825866133E-3</v>
      </c>
      <c r="Z77" s="50">
        <v>3.9405753728972703E-3</v>
      </c>
      <c r="AA77" s="50">
        <v>5.0464526715430259E-3</v>
      </c>
      <c r="AB77" s="50">
        <v>6.9037973633395248E-3</v>
      </c>
      <c r="AC77" s="50">
        <v>4.5122876483294251E-3</v>
      </c>
      <c r="AD77" s="50">
        <v>3.5112051510984149E-3</v>
      </c>
      <c r="AE77" s="50">
        <v>7.724965051408253E-3</v>
      </c>
      <c r="AF77" s="50">
        <v>5.7553647090446032E-3</v>
      </c>
      <c r="AG77" s="50">
        <v>7.1750828558111573E-3</v>
      </c>
      <c r="AH77" s="50">
        <v>1.0026812741194029E-2</v>
      </c>
      <c r="AI77" s="50">
        <v>1.3478974253563612E-2</v>
      </c>
      <c r="AJ77" s="50">
        <v>1.4989766301055224E-2</v>
      </c>
      <c r="AK77" s="50">
        <v>1.4252646465837456E-2</v>
      </c>
      <c r="AL77" s="50">
        <v>1.9076465317901688E-2</v>
      </c>
      <c r="AM77" s="50">
        <v>2.4840955587617137E-2</v>
      </c>
      <c r="AN77" s="50">
        <v>3.1297055359511931E-2</v>
      </c>
      <c r="AO77" s="50">
        <v>3.0927720800756744E-2</v>
      </c>
      <c r="AP77" s="50">
        <v>2.7809752751080448E-2</v>
      </c>
      <c r="AQ77" s="50">
        <v>2.5135321483264493E-2</v>
      </c>
      <c r="AR77" s="50">
        <v>2.6985318042839386E-2</v>
      </c>
      <c r="AS77" s="50">
        <v>2.5285533638020042E-2</v>
      </c>
      <c r="AT77" s="50">
        <v>2.2792665947673922E-2</v>
      </c>
      <c r="AU77" s="50">
        <v>3.4266756235191022E-2</v>
      </c>
      <c r="AV77" s="50">
        <v>2.7037159229287101E-2</v>
      </c>
      <c r="AW77" s="49">
        <v>3.5652069663250623E-2</v>
      </c>
      <c r="AX77" s="510">
        <v>3.5652069663250623E-2</v>
      </c>
      <c r="AY77" s="510">
        <v>3.5652069663250623E-2</v>
      </c>
      <c r="AZ77" s="510">
        <v>3.5652069663250623E-2</v>
      </c>
      <c r="BA77" s="510">
        <v>3.5652069663250623E-2</v>
      </c>
      <c r="BB77" s="510">
        <v>3.5652069663250623E-2</v>
      </c>
      <c r="BC77" s="510">
        <v>3.5652069663250623E-2</v>
      </c>
      <c r="BD77" s="47">
        <v>3.5652069663250623E-2</v>
      </c>
      <c r="BE77" s="47">
        <v>3.5652069663250623E-2</v>
      </c>
      <c r="BF77" s="47">
        <v>3.5652069663250623E-2</v>
      </c>
      <c r="BG77" s="47">
        <v>3.5652069663250623E-2</v>
      </c>
      <c r="BH77" s="47">
        <v>3.5652069663250623E-2</v>
      </c>
      <c r="BI77" s="47">
        <v>3.5652069663250623E-2</v>
      </c>
      <c r="BJ77" s="47">
        <v>3.5652069663250623E-2</v>
      </c>
      <c r="BK77" s="47">
        <v>3.5652069663250623E-2</v>
      </c>
      <c r="BL77" s="47">
        <v>3.5652069663250623E-2</v>
      </c>
      <c r="BM77" s="47">
        <v>3.5652069663250623E-2</v>
      </c>
      <c r="BN77" s="47">
        <v>3.5652069663250623E-2</v>
      </c>
      <c r="BO77" s="47">
        <v>3.5652069663250623E-2</v>
      </c>
      <c r="BP77" s="47">
        <v>3.5652069663250623E-2</v>
      </c>
      <c r="BQ77" s="47">
        <v>3.5652069663250623E-2</v>
      </c>
      <c r="BR77" s="48"/>
      <c r="BS77" s="235">
        <v>0</v>
      </c>
      <c r="BT77" s="235">
        <v>0</v>
      </c>
      <c r="BU77" s="235">
        <v>0</v>
      </c>
      <c r="BV77" s="235">
        <v>0</v>
      </c>
      <c r="BW77" s="235">
        <v>0</v>
      </c>
      <c r="BX77" s="235">
        <v>0</v>
      </c>
      <c r="BY77" s="235">
        <v>0</v>
      </c>
      <c r="BZ77" s="235">
        <v>0</v>
      </c>
      <c r="CA77" s="235">
        <v>0</v>
      </c>
      <c r="CB77" s="235">
        <v>0</v>
      </c>
      <c r="CC77" s="48" t="e">
        <v>#DIV/0!</v>
      </c>
      <c r="CD77" s="48" t="e">
        <v>#DIV/0!</v>
      </c>
      <c r="CE77" s="48" t="e">
        <v>#DIV/0!</v>
      </c>
      <c r="CF77" s="48" t="e">
        <v>#DIV/0!</v>
      </c>
      <c r="CG77" s="48">
        <v>0</v>
      </c>
      <c r="CH77" s="48">
        <v>0</v>
      </c>
      <c r="CI77" s="48">
        <v>0</v>
      </c>
      <c r="CJ77" s="48">
        <v>0</v>
      </c>
      <c r="CK77" s="48">
        <v>-4.7863653974962511E-3</v>
      </c>
      <c r="CL77" s="48">
        <v>-1.3903852479570138E-2</v>
      </c>
      <c r="CM77" s="50">
        <v>-8.624000011702845E-3</v>
      </c>
      <c r="CN77" s="50">
        <v>4.5283664830598029E-3</v>
      </c>
      <c r="CO77" s="50">
        <v>5.6162057844715034E-3</v>
      </c>
      <c r="CP77" s="50">
        <v>5.7238065527449649E-3</v>
      </c>
      <c r="CQ77" s="50">
        <v>6.4654152992971812E-3</v>
      </c>
      <c r="CR77" s="50">
        <v>1.1747727886861689E-2</v>
      </c>
      <c r="CS77" s="50">
        <v>1.4622936884719931E-2</v>
      </c>
      <c r="CT77" s="50">
        <v>2.1766356863276062E-2</v>
      </c>
      <c r="CU77" s="50">
        <v>3.1112950295456319E-2</v>
      </c>
      <c r="CV77" s="50">
        <v>2.6518190719008964E-2</v>
      </c>
      <c r="CW77" s="50">
        <v>2.6151839781097568E-2</v>
      </c>
      <c r="CX77" s="50">
        <v>2.8242351923603734E-2</v>
      </c>
      <c r="CY77" s="49">
        <v>3.1370264770942624E-2</v>
      </c>
      <c r="CZ77" s="48">
        <v>3.5656435706773529E-2</v>
      </c>
      <c r="DA77" s="48">
        <v>3.5662026955000058E-2</v>
      </c>
      <c r="DB77" s="48">
        <v>3.5651969555200044E-2</v>
      </c>
      <c r="DC77" s="48">
        <v>3.5649794786329667E-2</v>
      </c>
      <c r="DD77" s="48">
        <v>3.5648599311624458E-2</v>
      </c>
      <c r="DE77" s="48">
        <v>3.5648552299532767E-2</v>
      </c>
      <c r="DF77" s="48">
        <v>3.5647224414356513E-2</v>
      </c>
      <c r="DG77" s="235">
        <v>3.564800220925942E-2</v>
      </c>
      <c r="DH77" s="235">
        <v>3.5645951930177965E-2</v>
      </c>
      <c r="DI77" s="235">
        <v>3.5645951917782144E-2</v>
      </c>
    </row>
    <row r="78" spans="1:113" outlineLevel="1">
      <c r="A78" s="1" t="s">
        <v>452</v>
      </c>
      <c r="B78" s="19" t="s">
        <v>276</v>
      </c>
      <c r="C78" s="235">
        <v>0</v>
      </c>
      <c r="D78" s="235">
        <v>0</v>
      </c>
      <c r="E78" s="235">
        <v>0</v>
      </c>
      <c r="F78" s="235">
        <v>0</v>
      </c>
      <c r="G78" s="235">
        <v>0</v>
      </c>
      <c r="H78" s="235">
        <v>0</v>
      </c>
      <c r="I78" s="235">
        <v>0</v>
      </c>
      <c r="J78" s="235">
        <v>0</v>
      </c>
      <c r="K78" s="235">
        <v>0</v>
      </c>
      <c r="L78" s="235">
        <v>0</v>
      </c>
      <c r="M78" s="48">
        <v>0</v>
      </c>
      <c r="N78" s="48">
        <v>0</v>
      </c>
      <c r="O78" s="48">
        <v>0</v>
      </c>
      <c r="P78" s="48">
        <v>0</v>
      </c>
      <c r="Q78" s="48">
        <v>0</v>
      </c>
      <c r="R78" s="48">
        <v>0</v>
      </c>
      <c r="S78" s="48">
        <v>0</v>
      </c>
      <c r="T78" s="50">
        <v>2.5693121691799548E-2</v>
      </c>
      <c r="U78" s="48">
        <v>3.3578313071399357E-2</v>
      </c>
      <c r="V78" s="48">
        <v>3.8563683178647806E-2</v>
      </c>
      <c r="W78" s="48">
        <v>3.9804382372323019E-2</v>
      </c>
      <c r="X78" s="48">
        <v>3.7662755518227696E-2</v>
      </c>
      <c r="Y78" s="50">
        <v>3.061622015741363E-2</v>
      </c>
      <c r="Z78" s="50">
        <v>2.6886758797667276E-2</v>
      </c>
      <c r="AA78" s="50">
        <v>2.2643053457643277E-2</v>
      </c>
      <c r="AB78" s="50">
        <v>2.1085442177741803E-2</v>
      </c>
      <c r="AC78" s="50">
        <v>2.0029288093941746E-2</v>
      </c>
      <c r="AD78" s="50">
        <v>2.1055401745405766E-2</v>
      </c>
      <c r="AE78" s="50">
        <v>1.6367589649650488E-2</v>
      </c>
      <c r="AF78" s="50">
        <v>4.3448995445732261E-3</v>
      </c>
      <c r="AG78" s="50">
        <v>8.9915136992158896E-3</v>
      </c>
      <c r="AH78" s="50">
        <v>2.839012920688895E-3</v>
      </c>
      <c r="AI78" s="50">
        <v>3.8860033086693683E-4</v>
      </c>
      <c r="AJ78" s="50">
        <v>-3.6894025289167624E-3</v>
      </c>
      <c r="AK78" s="50">
        <v>-2.9071761512836072E-3</v>
      </c>
      <c r="AL78" s="50">
        <v>-7.4947706558771525E-3</v>
      </c>
      <c r="AM78" s="50">
        <v>-1.3817699607355438E-2</v>
      </c>
      <c r="AN78" s="50">
        <v>-1.7240401477440791E-2</v>
      </c>
      <c r="AO78" s="50">
        <v>-1.4508595942080284E-2</v>
      </c>
      <c r="AP78" s="50">
        <v>-1.1981051963147632E-2</v>
      </c>
      <c r="AQ78" s="50">
        <v>-7.2492222825855492E-3</v>
      </c>
      <c r="AR78" s="50">
        <v>-3.9105792339837976E-3</v>
      </c>
      <c r="AS78" s="50">
        <v>-4.51218597750358E-3</v>
      </c>
      <c r="AT78" s="50">
        <v>-4.4635480082143512E-2</v>
      </c>
      <c r="AU78" s="50">
        <v>3.1945349444038755E-2</v>
      </c>
      <c r="AV78" s="50">
        <v>-1.4129633077760717E-2</v>
      </c>
      <c r="AW78" s="49">
        <v>-1.3018214342925442E-2</v>
      </c>
      <c r="AX78" s="510">
        <v>-1.3018214342925442E-2</v>
      </c>
      <c r="AY78" s="510">
        <v>-1.3018214342925442E-2</v>
      </c>
      <c r="AZ78" s="510">
        <v>-1.3018214342925442E-2</v>
      </c>
      <c r="BA78" s="510">
        <v>-1.3018214342925442E-2</v>
      </c>
      <c r="BB78" s="510">
        <v>-1.3018214342925442E-2</v>
      </c>
      <c r="BC78" s="510">
        <v>-1.3018214342925442E-2</v>
      </c>
      <c r="BD78" s="47">
        <v>-1.3018214342925442E-2</v>
      </c>
      <c r="BE78" s="47">
        <v>-1.3018214342925442E-2</v>
      </c>
      <c r="BF78" s="47">
        <v>-1.3018214342925442E-2</v>
      </c>
      <c r="BG78" s="47">
        <v>-1.3018214342925442E-2</v>
      </c>
      <c r="BH78" s="47">
        <v>-1.3018214342925442E-2</v>
      </c>
      <c r="BI78" s="47">
        <v>-1.3018214342925442E-2</v>
      </c>
      <c r="BJ78" s="47">
        <v>-1.3018214342925442E-2</v>
      </c>
      <c r="BK78" s="47">
        <v>-1.3018214342925442E-2</v>
      </c>
      <c r="BL78" s="47">
        <v>-1.3018214342925442E-2</v>
      </c>
      <c r="BM78" s="47">
        <v>-1.3018214342925442E-2</v>
      </c>
      <c r="BN78" s="47">
        <v>-1.3018214342925442E-2</v>
      </c>
      <c r="BO78" s="47">
        <v>-1.3018214342925442E-2</v>
      </c>
      <c r="BP78" s="47">
        <v>-1.3018214342925442E-2</v>
      </c>
      <c r="BQ78" s="47">
        <v>-1.3018214342925442E-2</v>
      </c>
      <c r="BR78" s="48"/>
      <c r="BS78" s="235">
        <v>0</v>
      </c>
      <c r="BT78" s="235">
        <v>0</v>
      </c>
      <c r="BU78" s="235">
        <v>0</v>
      </c>
      <c r="BV78" s="235">
        <v>0</v>
      </c>
      <c r="BW78" s="235">
        <v>0</v>
      </c>
      <c r="BX78" s="235">
        <v>0</v>
      </c>
      <c r="BY78" s="235">
        <v>0</v>
      </c>
      <c r="BZ78" s="235">
        <v>0</v>
      </c>
      <c r="CA78" s="235">
        <v>0</v>
      </c>
      <c r="CB78" s="235">
        <v>0</v>
      </c>
      <c r="CC78" s="48" t="e">
        <v>#DIV/0!</v>
      </c>
      <c r="CD78" s="48" t="e">
        <v>#DIV/0!</v>
      </c>
      <c r="CE78" s="48" t="e">
        <v>#DIV/0!</v>
      </c>
      <c r="CF78" s="48" t="e">
        <v>#DIV/0!</v>
      </c>
      <c r="CG78" s="48">
        <v>0</v>
      </c>
      <c r="CH78" s="48">
        <v>0</v>
      </c>
      <c r="CI78" s="48">
        <v>0</v>
      </c>
      <c r="CJ78" s="48">
        <v>0</v>
      </c>
      <c r="CK78" s="48">
        <v>2.9055595990856206E-2</v>
      </c>
      <c r="CL78" s="48">
        <v>3.9179444316236892E-2</v>
      </c>
      <c r="CM78" s="50">
        <v>3.4030479558037056E-2</v>
      </c>
      <c r="CN78" s="50">
        <v>2.4936881815008988E-2</v>
      </c>
      <c r="CO78" s="50">
        <v>2.0631613346664537E-2</v>
      </c>
      <c r="CP78" s="50">
        <v>1.8777877491454879E-2</v>
      </c>
      <c r="CQ78" s="50">
        <v>6.8324383543814276E-3</v>
      </c>
      <c r="CR78" s="50">
        <v>1.6162252215662573E-3</v>
      </c>
      <c r="CS78" s="50">
        <v>-3.2849998354657489E-3</v>
      </c>
      <c r="CT78" s="50">
        <v>-1.045790065084902E-2</v>
      </c>
      <c r="CU78" s="50">
        <v>-1.5792827385392359E-2</v>
      </c>
      <c r="CV78" s="50">
        <v>-9.6002359849826878E-3</v>
      </c>
      <c r="CW78" s="50">
        <v>-4.249720209737174E-3</v>
      </c>
      <c r="CX78" s="50">
        <v>-5.8420732615072565E-3</v>
      </c>
      <c r="CY78" s="49">
        <v>-1.3570623768028769E-2</v>
      </c>
      <c r="CZ78" s="48">
        <v>-1.3019808586708445E-2</v>
      </c>
      <c r="DA78" s="48">
        <v>-1.3021850209215776E-2</v>
      </c>
      <c r="DB78" s="48">
        <v>-1.3018177788860779E-2</v>
      </c>
      <c r="DC78" s="48">
        <v>-1.3017383680480306E-2</v>
      </c>
      <c r="DD78" s="48">
        <v>-1.3016947157549067E-2</v>
      </c>
      <c r="DE78" s="48">
        <v>-1.3016929991266935E-2</v>
      </c>
      <c r="DF78" s="48">
        <v>-1.301644511916805E-2</v>
      </c>
      <c r="DG78" s="235">
        <v>-1.3016729127946687E-2</v>
      </c>
      <c r="DH78" s="235">
        <v>-1.3015980476527647E-2</v>
      </c>
      <c r="DI78" s="235">
        <v>-1.3015980472001362E-2</v>
      </c>
    </row>
    <row r="79" spans="1:113" outlineLevel="1">
      <c r="A79" s="1" t="s">
        <v>830</v>
      </c>
      <c r="B79" s="19" t="s">
        <v>277</v>
      </c>
      <c r="C79" s="235">
        <v>-8.5333459412329782E-3</v>
      </c>
      <c r="D79" s="235">
        <v>1.6486643271238252E-3</v>
      </c>
      <c r="E79" s="235">
        <v>8.7096942937115469E-3</v>
      </c>
      <c r="F79" s="235">
        <v>6.3150451145394968E-3</v>
      </c>
      <c r="G79" s="235">
        <v>5.371976992285212E-3</v>
      </c>
      <c r="H79" s="235">
        <v>1.1134879916725435E-2</v>
      </c>
      <c r="I79" s="235">
        <v>1.4455563883101295E-2</v>
      </c>
      <c r="J79" s="235">
        <v>7.4406771402511099E-3</v>
      </c>
      <c r="K79" s="235">
        <v>6.5393318656458369E-3</v>
      </c>
      <c r="L79" s="235">
        <v>3.5240941861665372E-3</v>
      </c>
      <c r="M79" s="48">
        <v>8.2602581868330277E-3</v>
      </c>
      <c r="N79" s="48">
        <v>2.2192748140002919E-3</v>
      </c>
      <c r="O79" s="48">
        <v>2.1002094748855519E-3</v>
      </c>
      <c r="P79" s="48">
        <v>1.2100524854360936E-2</v>
      </c>
      <c r="Q79" s="48">
        <v>9.196327171394925E-3</v>
      </c>
      <c r="R79" s="48">
        <v>2.1447626963237948E-3</v>
      </c>
      <c r="S79" s="48">
        <v>-2.9823314832099798E-3</v>
      </c>
      <c r="T79" s="50">
        <v>8.4347115525217975E-4</v>
      </c>
      <c r="U79" s="48">
        <v>2.8562049716149124E-3</v>
      </c>
      <c r="V79" s="48">
        <v>3.2348706276258726E-3</v>
      </c>
      <c r="W79" s="48">
        <v>3.7794104976217129E-3</v>
      </c>
      <c r="X79" s="48">
        <v>3.4950192261866686E-3</v>
      </c>
      <c r="Y79" s="50">
        <v>-1.9824917369344456E-3</v>
      </c>
      <c r="Z79" s="50">
        <v>-2.7904647900941926E-3</v>
      </c>
      <c r="AA79" s="50">
        <v>-3.1193195253385562E-3</v>
      </c>
      <c r="AB79" s="50">
        <v>-1.5663111290380161E-3</v>
      </c>
      <c r="AC79" s="50">
        <v>-7.7877894094973419E-4</v>
      </c>
      <c r="AD79" s="50">
        <v>-5.7118834910269752E-4</v>
      </c>
      <c r="AE79" s="50">
        <v>-1.9385217002617409E-3</v>
      </c>
      <c r="AF79" s="50">
        <v>4.340280729965354E-4</v>
      </c>
      <c r="AG79" s="50">
        <v>-3.9529577614077866E-3</v>
      </c>
      <c r="AH79" s="50">
        <v>-5.7910935705859125E-3</v>
      </c>
      <c r="AI79" s="50">
        <v>-6.6809208571495041E-3</v>
      </c>
      <c r="AJ79" s="50">
        <v>-7.6858983915394658E-3</v>
      </c>
      <c r="AK79" s="50">
        <v>-6.4931697778509408E-3</v>
      </c>
      <c r="AL79" s="50">
        <v>-9.5013256149037943E-3</v>
      </c>
      <c r="AM79" s="50">
        <v>-1.1814697588849173E-2</v>
      </c>
      <c r="AN79" s="50">
        <v>-1.3246541501976286E-2</v>
      </c>
      <c r="AO79" s="50">
        <v>-1.4311708872963909E-2</v>
      </c>
      <c r="AP79" s="50">
        <v>-9.0967987857607149E-3</v>
      </c>
      <c r="AQ79" s="50">
        <v>-1.108554338690864E-2</v>
      </c>
      <c r="AR79" s="50">
        <v>-8.9746466296240328E-3</v>
      </c>
      <c r="AS79" s="50">
        <v>-4.7740516028132946E-3</v>
      </c>
      <c r="AT79" s="50">
        <v>1.1216906314462974E-3</v>
      </c>
      <c r="AU79" s="50">
        <v>-1.5410521337069853E-2</v>
      </c>
      <c r="AV79" s="50">
        <v>-6.6290251228728978E-3</v>
      </c>
      <c r="AW79" s="49">
        <v>-7.3965951307379142E-3</v>
      </c>
      <c r="AX79" s="47">
        <v>-7.7965951307379143E-3</v>
      </c>
      <c r="AY79" s="510">
        <v>-8.0465951307379137E-3</v>
      </c>
      <c r="AZ79" s="510">
        <v>-8.1465951307379131E-3</v>
      </c>
      <c r="BA79" s="510">
        <v>-8.2465951307379125E-3</v>
      </c>
      <c r="BB79" s="510">
        <v>-8.3465951307379119E-3</v>
      </c>
      <c r="BC79" s="510">
        <v>-8.4465951307379113E-3</v>
      </c>
      <c r="BD79" s="47">
        <v>-8.4465951307379113E-3</v>
      </c>
      <c r="BE79" s="47">
        <v>-8.4465951307379113E-3</v>
      </c>
      <c r="BF79" s="47">
        <v>-8.4465951307379113E-3</v>
      </c>
      <c r="BG79" s="47">
        <v>-8.4465951307379113E-3</v>
      </c>
      <c r="BH79" s="47">
        <v>-8.4465951307379113E-3</v>
      </c>
      <c r="BI79" s="47">
        <v>-8.4465951307379113E-3</v>
      </c>
      <c r="BJ79" s="47">
        <v>-8.4465951307379113E-3</v>
      </c>
      <c r="BK79" s="47">
        <v>-8.4465951307379113E-3</v>
      </c>
      <c r="BL79" s="47">
        <v>-8.4465951307379113E-3</v>
      </c>
      <c r="BM79" s="47">
        <v>-8.4465951307379113E-3</v>
      </c>
      <c r="BN79" s="47">
        <v>-8.4465951307379113E-3</v>
      </c>
      <c r="BO79" s="47">
        <v>-8.4465951307379113E-3</v>
      </c>
      <c r="BP79" s="47">
        <v>-8.4465951307379113E-3</v>
      </c>
      <c r="BQ79" s="47">
        <v>-8.4465951307379113E-3</v>
      </c>
      <c r="BR79" s="48"/>
      <c r="BS79" s="235">
        <v>2.420926292109079E-3</v>
      </c>
      <c r="BT79" s="235">
        <v>-1.4144617837964536E-2</v>
      </c>
      <c r="BU79" s="235">
        <v>-1.7521180518030258E-2</v>
      </c>
      <c r="BV79" s="235">
        <v>1.3105057710064641E-2</v>
      </c>
      <c r="BW79" s="235">
        <v>8.6502912019825965E-3</v>
      </c>
      <c r="BX79" s="235">
        <v>-1.4520635598969428E-3</v>
      </c>
      <c r="BY79" s="235">
        <v>-6.3603504543979323E-3</v>
      </c>
      <c r="BZ79" s="235">
        <v>-4.1551100212858954E-4</v>
      </c>
      <c r="CA79" s="235">
        <v>-1.7198690002723374E-3</v>
      </c>
      <c r="CB79" s="235">
        <v>-4.1283680669972865E-3</v>
      </c>
      <c r="CC79" s="48">
        <v>5.1296235252556704E-3</v>
      </c>
      <c r="CD79" s="48">
        <v>5.8170721563902319E-3</v>
      </c>
      <c r="CE79" s="48">
        <v>1.2868692937395503E-2</v>
      </c>
      <c r="CF79" s="48">
        <v>6.9628815020078153E-3</v>
      </c>
      <c r="CG79" s="48">
        <v>5.9846438360828926E-3</v>
      </c>
      <c r="CH79" s="48">
        <v>2.1584381622633277E-3</v>
      </c>
      <c r="CI79" s="48">
        <v>1.0649109462316635E-2</v>
      </c>
      <c r="CJ79" s="48">
        <v>-2.7571025776322751E-4</v>
      </c>
      <c r="CK79" s="48">
        <v>1.8927289584780664E-3</v>
      </c>
      <c r="CL79" s="48">
        <v>3.4989521956673595E-3</v>
      </c>
      <c r="CM79" s="50">
        <v>7.5751052534004791E-4</v>
      </c>
      <c r="CN79" s="50">
        <v>-2.9542215949140966E-3</v>
      </c>
      <c r="CO79" s="50">
        <v>-1.1691122430904197E-3</v>
      </c>
      <c r="CP79" s="50">
        <v>-1.2785606791646518E-3</v>
      </c>
      <c r="CQ79" s="50">
        <v>-1.7144275349026022E-3</v>
      </c>
      <c r="CR79" s="50">
        <v>-6.2347431151376651E-3</v>
      </c>
      <c r="CS79" s="50">
        <v>-7.0864965196152669E-3</v>
      </c>
      <c r="CT79" s="50">
        <v>-1.0622560333549193E-2</v>
      </c>
      <c r="CU79" s="50">
        <v>-1.3772345083641108E-2</v>
      </c>
      <c r="CV79" s="50">
        <v>-1.0019878363937166E-2</v>
      </c>
      <c r="CW79" s="50">
        <v>-6.9463661927317072E-3</v>
      </c>
      <c r="CX79" s="50">
        <v>-7.2304652065098658E-3</v>
      </c>
      <c r="CY79" s="49">
        <v>-7.0698827215243494E-3</v>
      </c>
      <c r="CZ79" s="48">
        <v>-7.9205089910161699E-3</v>
      </c>
      <c r="DA79" s="48">
        <v>-8.1953932739676199E-3</v>
      </c>
      <c r="DB79" s="48">
        <v>-8.3955185906053071E-3</v>
      </c>
      <c r="DC79" s="48">
        <v>-8.4458419355524852E-3</v>
      </c>
      <c r="DD79" s="48">
        <v>-8.4454768174631861E-3</v>
      </c>
      <c r="DE79" s="48">
        <v>-8.4454566468632648E-3</v>
      </c>
      <c r="DF79" s="48">
        <v>-8.4453216270582408E-3</v>
      </c>
      <c r="DG79" s="235">
        <v>-8.4456566571585456E-3</v>
      </c>
      <c r="DH79" s="235">
        <v>-8.4452701125880235E-3</v>
      </c>
      <c r="DI79" s="235">
        <v>-8.4452723149380463E-3</v>
      </c>
    </row>
    <row r="80" spans="1:113" outlineLevel="1">
      <c r="A80" s="192" t="s">
        <v>1128</v>
      </c>
      <c r="B80" s="19" t="s">
        <v>1067</v>
      </c>
      <c r="C80" s="553">
        <v>5.2130499999999996E-2</v>
      </c>
      <c r="D80" s="553">
        <v>4.5136000000000003E-2</v>
      </c>
      <c r="E80" s="553">
        <v>4.6577833333333346E-2</v>
      </c>
      <c r="F80" s="553">
        <v>4.8975166666666674E-2</v>
      </c>
      <c r="G80" s="553">
        <v>4.7716666666666664E-2</v>
      </c>
      <c r="H80" s="553">
        <v>5.0808166666666675E-2</v>
      </c>
      <c r="I80" s="553">
        <v>5.5549999999999995E-2</v>
      </c>
      <c r="J80" s="553">
        <v>5.4416666666666662E-2</v>
      </c>
      <c r="K80" s="553">
        <v>5.7039000000000006E-2</v>
      </c>
      <c r="L80" s="553">
        <v>5.7423560606060582E-2</v>
      </c>
      <c r="M80" s="51">
        <v>6.4177384615384622E-2</v>
      </c>
      <c r="N80" s="51">
        <v>6.2552595419847326E-2</v>
      </c>
      <c r="O80" s="51">
        <v>6.4177384615384622E-2</v>
      </c>
      <c r="P80" s="51">
        <v>7.6398484848484841E-2</v>
      </c>
      <c r="Q80" s="51">
        <v>7.692715384615384E-2</v>
      </c>
      <c r="R80" s="51">
        <v>6.2784545454545454E-2</v>
      </c>
      <c r="S80" s="51">
        <v>3.2613565891472865E-2</v>
      </c>
      <c r="T80" s="51">
        <v>3.6205454545454534E-2</v>
      </c>
      <c r="U80" s="51">
        <v>4.4982945736434125E-2</v>
      </c>
      <c r="V80" s="51">
        <v>4.8731060606060597E-2</v>
      </c>
      <c r="W80" s="51">
        <v>4.9470542635658907E-2</v>
      </c>
      <c r="X80" s="51">
        <v>4.7434351145038176E-2</v>
      </c>
      <c r="Y80" s="95">
        <v>4.0943846153846122E-2</v>
      </c>
      <c r="Z80" s="95">
        <v>3.3609923664122125E-2</v>
      </c>
      <c r="AA80" s="180">
        <v>2.9391883720930202E-2</v>
      </c>
      <c r="AB80" s="529">
        <v>2.6180303030303002E-2</v>
      </c>
      <c r="AC80" s="529">
        <v>2.6741666666666667E-2</v>
      </c>
      <c r="AD80" s="529">
        <v>2.6935977272727264E-2</v>
      </c>
      <c r="AE80" s="529">
        <v>2.3159007751937962E-2</v>
      </c>
      <c r="AF80" s="529">
        <v>2.1939393939393901E-2</v>
      </c>
      <c r="AG80" s="180">
        <v>2.1919230769230798E-2</v>
      </c>
      <c r="AH80" s="180">
        <v>1.7833850393700799E-2</v>
      </c>
      <c r="AI80" s="180">
        <v>1.76165E-2</v>
      </c>
      <c r="AJ80" s="180">
        <v>1.71896153846154E-2</v>
      </c>
      <c r="AK80" s="180">
        <v>1.93084615384615E-2</v>
      </c>
      <c r="AL80" s="180">
        <v>1.968549618320611E-2</v>
      </c>
      <c r="AM80" s="180">
        <v>1.7356798449612399E-2</v>
      </c>
      <c r="AN80" s="180">
        <v>9.57954545454545E-3</v>
      </c>
      <c r="AO80" s="180">
        <v>4.4738461538461598E-3</v>
      </c>
      <c r="AP80" s="180">
        <v>6.7689393939393842E-4</v>
      </c>
      <c r="AQ80" s="180">
        <v>3.6350364963503521E-4</v>
      </c>
      <c r="AR80" s="180">
        <v>4.4586466165413526E-4</v>
      </c>
      <c r="AS80" s="180">
        <v>5.7041162790697634E-3</v>
      </c>
      <c r="AT80" s="180">
        <v>2.7344832061068712E-2</v>
      </c>
      <c r="AU80" s="180">
        <v>3.7218838461538457E-2</v>
      </c>
      <c r="AV80" s="180">
        <v>4.2656746153846202E-2</v>
      </c>
      <c r="AW80" s="598">
        <v>4.3675592307692294E-2</v>
      </c>
      <c r="AX80" s="485">
        <v>4.5999999999999999E-2</v>
      </c>
      <c r="AY80" s="485">
        <v>4.2250000000000003E-2</v>
      </c>
      <c r="AZ80" s="485">
        <v>3.6750000000000005E-2</v>
      </c>
      <c r="BA80" s="485">
        <v>3.5000000000000003E-2</v>
      </c>
      <c r="BB80" s="485">
        <v>3.5000000000000003E-2</v>
      </c>
      <c r="BC80" s="485">
        <v>3.5000000000000003E-2</v>
      </c>
      <c r="BD80" s="485">
        <v>3.5000000000000003E-2</v>
      </c>
      <c r="BE80" s="485">
        <v>3.5000000000000003E-2</v>
      </c>
      <c r="BF80" s="485">
        <v>3.5000000000000003E-2</v>
      </c>
      <c r="BG80" s="485">
        <v>3.5000000000000003E-2</v>
      </c>
      <c r="BH80" s="485">
        <v>3.5000000000000003E-2</v>
      </c>
      <c r="BI80" s="485">
        <v>3.5000000000000003E-2</v>
      </c>
      <c r="BJ80" s="485">
        <v>3.5000000000000003E-2</v>
      </c>
      <c r="BK80" s="485">
        <v>3.5000000000000003E-2</v>
      </c>
      <c r="BL80" s="485">
        <v>3.5000000000000003E-2</v>
      </c>
      <c r="BM80" s="485">
        <v>3.5000000000000003E-2</v>
      </c>
      <c r="BN80" s="485">
        <v>3.5000000000000003E-2</v>
      </c>
      <c r="BO80" s="485">
        <v>3.5000000000000003E-2</v>
      </c>
      <c r="BP80" s="485">
        <v>3.5000000000000003E-2</v>
      </c>
      <c r="BQ80" s="485">
        <v>3.5000000000000003E-2</v>
      </c>
      <c r="BR80" s="191"/>
      <c r="BS80" s="553">
        <v>8.0391666666666681E-2</v>
      </c>
      <c r="BT80" s="553">
        <v>5.6316666666666668E-2</v>
      </c>
      <c r="BU80" s="553">
        <v>4.9116666666666663E-2</v>
      </c>
      <c r="BV80" s="553">
        <v>7.229250000000001E-2</v>
      </c>
      <c r="BW80" s="553">
        <v>7.5255000000000002E-2</v>
      </c>
      <c r="BX80" s="553">
        <v>6.2107833333333341E-2</v>
      </c>
      <c r="BY80" s="553">
        <v>4.9790250000000001E-2</v>
      </c>
      <c r="BZ80" s="553">
        <v>4.9345749999999994E-2</v>
      </c>
      <c r="CA80" s="553">
        <v>5.608854961832057E-2</v>
      </c>
      <c r="CB80" s="553">
        <v>5.8143076923076895E-2</v>
      </c>
      <c r="CC80" s="48">
        <v>4.5849784667124999E-2</v>
      </c>
      <c r="CD80" s="48">
        <v>4.8078213566793988E-2</v>
      </c>
      <c r="CE80" s="48">
        <v>5.3310320873989195E-2</v>
      </c>
      <c r="CF80" s="48">
        <v>5.5750510646398806E-2</v>
      </c>
      <c r="CG80" s="48">
        <v>5.9913694518859036E-2</v>
      </c>
      <c r="CH80" s="48">
        <v>6.2096554347416254E-2</v>
      </c>
      <c r="CI80" s="48">
        <v>7.6747865323370384E-2</v>
      </c>
      <c r="CJ80" s="48">
        <v>4.6398269280661854E-2</v>
      </c>
      <c r="CK80" s="48">
        <v>4.0453224582359504E-2</v>
      </c>
      <c r="CL80" s="48">
        <v>4.908768319632343E-2</v>
      </c>
      <c r="CM80" s="50">
        <v>4.3884343979663246E-2</v>
      </c>
      <c r="CN80" s="50">
        <v>3.1390987810901959E-2</v>
      </c>
      <c r="CO80" s="50">
        <v>2.6397262081891113E-2</v>
      </c>
      <c r="CP80" s="50">
        <v>2.4285638826904401E-2</v>
      </c>
      <c r="CQ80" s="50">
        <v>2.560129507103185E-2</v>
      </c>
      <c r="CR80" s="50">
        <v>1.7942401379270171E-2</v>
      </c>
      <c r="CS80" s="50">
        <v>1.8187532646868419E-2</v>
      </c>
      <c r="CT80" s="50">
        <v>1.8517608145287578E-2</v>
      </c>
      <c r="CU80" s="50">
        <v>7.1842856079397726E-3</v>
      </c>
      <c r="CV80" s="50">
        <v>5.2907990056118466E-4</v>
      </c>
      <c r="CW80" s="50">
        <v>2.9310880337018856E-3</v>
      </c>
      <c r="CX80" s="50">
        <v>3.2283618535319705E-2</v>
      </c>
      <c r="CY80" s="49">
        <v>4.316283099821288E-2</v>
      </c>
      <c r="CZ80" s="48">
        <v>4.4123972103808015E-2</v>
      </c>
      <c r="DA80" s="48">
        <v>3.5869987429808153E-2</v>
      </c>
      <c r="DB80" s="48">
        <v>3.4994398052004883E-2</v>
      </c>
      <c r="DC80" s="48">
        <v>3.4996051869968521E-2</v>
      </c>
      <c r="DD80" s="48">
        <v>3.4993627275991583E-2</v>
      </c>
      <c r="DE80" s="48">
        <v>3.4993957398524012E-2</v>
      </c>
      <c r="DF80" s="48">
        <v>3.4995191858896997E-2</v>
      </c>
      <c r="DG80" s="235">
        <v>3.4997763575195615E-2</v>
      </c>
      <c r="DH80" s="235">
        <v>3.4994685988073447E-2</v>
      </c>
      <c r="DI80" s="235">
        <v>3.499462242837463E-2</v>
      </c>
    </row>
    <row r="81" spans="1:113" outlineLevel="1">
      <c r="A81" s="1" t="s">
        <v>695</v>
      </c>
      <c r="B81" s="19" t="s">
        <v>528</v>
      </c>
      <c r="C81" s="235">
        <v>2.7811331460835462E-2</v>
      </c>
      <c r="D81" s="235">
        <v>2.769971280187207E-2</v>
      </c>
      <c r="E81" s="235">
        <v>2.750764135728942E-2</v>
      </c>
      <c r="F81" s="235">
        <v>2.6503275516182284E-2</v>
      </c>
      <c r="G81" s="235">
        <v>2.6881808182013987E-2</v>
      </c>
      <c r="H81" s="235">
        <v>2.6002786721535741E-2</v>
      </c>
      <c r="I81" s="235">
        <v>2.4572175682989382E-2</v>
      </c>
      <c r="J81" s="235">
        <v>2.3816231787587447E-2</v>
      </c>
      <c r="K81" s="235">
        <v>2.3769159775208638E-2</v>
      </c>
      <c r="L81" s="235">
        <v>2.3294908572079318E-2</v>
      </c>
      <c r="M81" s="48">
        <v>2.2328886733799153E-2</v>
      </c>
      <c r="N81" s="48">
        <v>2.1704407477908687E-2</v>
      </c>
      <c r="O81" s="48">
        <v>1.9964303726664377E-2</v>
      </c>
      <c r="P81" s="48">
        <v>2.0132752801532067E-2</v>
      </c>
      <c r="Q81" s="48">
        <v>1.9510365021069037E-2</v>
      </c>
      <c r="R81" s="48">
        <v>1.9634266489011058E-2</v>
      </c>
      <c r="S81" s="48">
        <v>2.1062322220075799E-2</v>
      </c>
      <c r="T81" s="50">
        <v>2.1505802541814154E-2</v>
      </c>
      <c r="U81" s="48">
        <v>2.0528584881594585E-2</v>
      </c>
      <c r="V81" s="48">
        <v>2.0622979235762097E-2</v>
      </c>
      <c r="W81" s="48">
        <v>2.1716884758774542E-2</v>
      </c>
      <c r="X81" s="48">
        <v>2.1216607869499735E-2</v>
      </c>
      <c r="Y81" s="50">
        <v>2.0575969140647007E-2</v>
      </c>
      <c r="Z81" s="50">
        <v>2.0961264756399645E-2</v>
      </c>
      <c r="AA81" s="385">
        <v>2.170584316380645E-2</v>
      </c>
      <c r="AB81" s="236">
        <v>2.1397626501990435E-2</v>
      </c>
      <c r="AC81" s="236">
        <v>2.1391290276802099E-2</v>
      </c>
      <c r="AD81" s="236">
        <v>2.1200829123551396E-2</v>
      </c>
      <c r="AE81" s="236">
        <v>2.0683833344866894E-2</v>
      </c>
      <c r="AF81" s="236">
        <v>2.1464914087229111E-2</v>
      </c>
      <c r="AG81" s="236">
        <v>2.1376740900866345E-2</v>
      </c>
      <c r="AH81" s="236">
        <v>2.0992432040554593E-2</v>
      </c>
      <c r="AI81" s="236">
        <v>2.1018018900646467E-2</v>
      </c>
      <c r="AJ81" s="236">
        <v>2.1564998499362213E-2</v>
      </c>
      <c r="AK81" s="236">
        <v>2.1376325897552353E-2</v>
      </c>
      <c r="AL81" s="236">
        <v>2.0924322934170993E-2</v>
      </c>
      <c r="AM81" s="236">
        <v>2.090159582687582E-2</v>
      </c>
      <c r="AN81" s="236">
        <v>2.1090173572849563E-2</v>
      </c>
      <c r="AO81" s="236">
        <v>2.0393125517318002E-2</v>
      </c>
      <c r="AP81" s="236">
        <v>2.0633853124276284E-2</v>
      </c>
      <c r="AQ81" s="236">
        <v>2.0882870785182625E-2</v>
      </c>
      <c r="AR81" s="236">
        <v>1.9182264344134142E-2</v>
      </c>
      <c r="AS81" s="236">
        <v>1.8747634313552988E-2</v>
      </c>
      <c r="AT81" s="236">
        <v>2.0985181549496357E-2</v>
      </c>
      <c r="AU81" s="236">
        <v>2.0511215875562538E-2</v>
      </c>
      <c r="AV81" s="236">
        <v>1.9886195039560052E-2</v>
      </c>
      <c r="AW81" s="49">
        <v>2.0003705815099276E-2</v>
      </c>
      <c r="AX81" s="48">
        <v>1.9925201917354501E-2</v>
      </c>
      <c r="AY81" s="48">
        <v>1.9740311029551635E-2</v>
      </c>
      <c r="AZ81" s="48">
        <v>1.9522870144168376E-2</v>
      </c>
      <c r="BA81" s="48">
        <v>1.9301937136599286E-2</v>
      </c>
      <c r="BB81" s="48">
        <v>1.9107810437942713E-2</v>
      </c>
      <c r="BC81" s="48">
        <v>1.89771404003308E-2</v>
      </c>
      <c r="BD81" s="48">
        <v>1.8847968849333985E-2</v>
      </c>
      <c r="BE81" s="48">
        <v>1.8720978229228306E-2</v>
      </c>
      <c r="BF81" s="48">
        <v>1.8598338954541403E-2</v>
      </c>
      <c r="BG81" s="48">
        <v>1.8476533586727399E-2</v>
      </c>
      <c r="BH81" s="48">
        <v>1.8444880771736265E-2</v>
      </c>
      <c r="BI81" s="48">
        <v>1.8431626935302908E-2</v>
      </c>
      <c r="BJ81" s="48">
        <v>1.8402069533648969E-2</v>
      </c>
      <c r="BK81" s="48">
        <v>1.837836201395119E-2</v>
      </c>
      <c r="BL81" s="48">
        <v>1.8331948016634521E-2</v>
      </c>
      <c r="BM81" s="48">
        <v>1.8296740558989368E-2</v>
      </c>
      <c r="BN81" s="48">
        <v>1.826887248838803E-2</v>
      </c>
      <c r="BO81" s="48">
        <v>1.8247536191132559E-2</v>
      </c>
      <c r="BP81" s="48">
        <v>1.8210541452357194E-2</v>
      </c>
      <c r="BQ81" s="48">
        <v>1.8189648521005297E-2</v>
      </c>
      <c r="BR81" s="48"/>
      <c r="BS81" s="235">
        <v>4.5207000475863166E-2</v>
      </c>
      <c r="BT81" s="235">
        <v>4.1206417750967256E-2</v>
      </c>
      <c r="BU81" s="235">
        <v>3.8055324734756792E-2</v>
      </c>
      <c r="BV81" s="235">
        <v>4.0325766941537833E-2</v>
      </c>
      <c r="BW81" s="235">
        <v>3.9594381956990499E-2</v>
      </c>
      <c r="BX81" s="235">
        <v>3.5273441968324611E-2</v>
      </c>
      <c r="BY81" s="235">
        <v>3.3250134586208582E-2</v>
      </c>
      <c r="BZ81" s="235">
        <v>3.0865223897576809E-2</v>
      </c>
      <c r="CA81" s="235">
        <v>2.8793075416334392E-2</v>
      </c>
      <c r="CB81" s="235">
        <v>2.7856818195969045E-2</v>
      </c>
      <c r="CC81" s="48">
        <v>2.7596635257190881E-2</v>
      </c>
      <c r="CD81" s="48">
        <v>2.6684848246026419E-2</v>
      </c>
      <c r="CE81" s="48">
        <v>2.5245490291197388E-2</v>
      </c>
      <c r="CF81" s="48">
        <v>2.3781506354816087E-2</v>
      </c>
      <c r="CG81" s="48">
        <v>2.2801337137056552E-2</v>
      </c>
      <c r="CH81" s="48">
        <v>2.0344903364600556E-2</v>
      </c>
      <c r="CI81" s="48">
        <v>1.9812375029441692E-2</v>
      </c>
      <c r="CJ81" s="48">
        <v>2.036124295545836E-2</v>
      </c>
      <c r="CK81" s="48">
        <v>2.1016394487712101E-2</v>
      </c>
      <c r="CL81" s="48">
        <v>2.116650987770461E-2</v>
      </c>
      <c r="CM81" s="50">
        <v>2.0894574271262616E-2</v>
      </c>
      <c r="CN81" s="50">
        <v>2.1332941678638147E-2</v>
      </c>
      <c r="CO81" s="50">
        <v>2.1394415137565907E-2</v>
      </c>
      <c r="CP81" s="50">
        <v>2.0938730367046274E-2</v>
      </c>
      <c r="CQ81" s="50">
        <v>2.1420548548183899E-2</v>
      </c>
      <c r="CR81" s="50">
        <v>2.1005317817143286E-2</v>
      </c>
      <c r="CS81" s="50">
        <v>2.1471114315949169E-2</v>
      </c>
      <c r="CT81" s="50">
        <v>2.0913040584426765E-2</v>
      </c>
      <c r="CU81" s="50">
        <v>2.0737478674717993E-2</v>
      </c>
      <c r="CV81" s="50">
        <v>2.0758954386203156E-2</v>
      </c>
      <c r="CW81" s="50">
        <v>1.8963197030748068E-2</v>
      </c>
      <c r="CX81" s="50">
        <v>2.0745552972352962E-2</v>
      </c>
      <c r="CY81" s="49">
        <v>1.9944478137979935E-2</v>
      </c>
      <c r="CZ81" s="48">
        <v>1.9829236188853953E-2</v>
      </c>
      <c r="DA81" s="48">
        <v>1.9409399926671345E-2</v>
      </c>
      <c r="DB81" s="48">
        <v>1.9039960878182959E-2</v>
      </c>
      <c r="DC81" s="48">
        <v>1.8782499594717755E-2</v>
      </c>
      <c r="DD81" s="48">
        <v>1.8534769440407588E-2</v>
      </c>
      <c r="DE81" s="48">
        <v>1.8435616821250563E-2</v>
      </c>
      <c r="DF81" s="48">
        <v>1.8387452959327293E-2</v>
      </c>
      <c r="DG81" s="235">
        <v>1.8312372776144947E-2</v>
      </c>
      <c r="DH81" s="235">
        <v>1.8255339665520363E-2</v>
      </c>
      <c r="DI81" s="235">
        <v>1.8197238419027657E-2</v>
      </c>
    </row>
    <row r="82" spans="1:113" outlineLevel="1">
      <c r="C82" s="235"/>
      <c r="D82" s="235"/>
      <c r="E82" s="235"/>
      <c r="F82" s="235"/>
      <c r="G82" s="235"/>
      <c r="H82" s="235"/>
      <c r="I82" s="235"/>
      <c r="J82" s="235"/>
      <c r="K82" s="235"/>
      <c r="L82" s="235"/>
      <c r="M82" s="48"/>
      <c r="N82" s="48"/>
      <c r="O82" s="48"/>
      <c r="P82" s="48"/>
      <c r="Q82" s="48"/>
      <c r="R82" s="48"/>
      <c r="S82" s="48"/>
      <c r="T82" s="50"/>
      <c r="U82" s="50"/>
      <c r="V82" s="50"/>
      <c r="W82" s="50"/>
      <c r="X82" s="50"/>
      <c r="Y82" s="50"/>
      <c r="Z82" s="385"/>
      <c r="AA82" s="50"/>
      <c r="AB82" s="236"/>
      <c r="AC82" s="574"/>
      <c r="AD82" s="236"/>
      <c r="AE82" s="236"/>
      <c r="AF82" s="45"/>
      <c r="AG82" s="636"/>
      <c r="AH82" s="50"/>
      <c r="AI82" s="50"/>
      <c r="AJ82" s="50"/>
      <c r="AK82" s="636"/>
      <c r="AL82" s="82"/>
      <c r="AM82" s="82"/>
      <c r="AN82" s="772"/>
      <c r="AO82" s="772"/>
      <c r="AP82" s="574"/>
      <c r="AQ82" s="782"/>
      <c r="AR82" s="782"/>
      <c r="AS82" s="782"/>
      <c r="AT82" s="782"/>
      <c r="AU82" s="782"/>
      <c r="AV82" s="782"/>
      <c r="AW82" s="796"/>
      <c r="AX82" s="799"/>
      <c r="AY82" s="810"/>
      <c r="AZ82" s="799"/>
      <c r="BA82" s="799"/>
      <c r="BB82" s="799"/>
      <c r="BC82" s="799"/>
      <c r="BD82" s="799"/>
      <c r="BE82" s="799"/>
      <c r="BF82" s="799"/>
      <c r="BG82" s="799"/>
      <c r="BH82" s="799"/>
      <c r="BI82" s="799"/>
      <c r="BJ82" s="799"/>
      <c r="BK82" s="799"/>
      <c r="BL82" s="799"/>
      <c r="BM82" s="799"/>
      <c r="BN82" s="799"/>
      <c r="BO82" s="799"/>
      <c r="BP82" s="799"/>
      <c r="BQ82" s="799"/>
      <c r="BR82" s="799"/>
      <c r="BS82" s="235"/>
      <c r="BT82" s="235"/>
      <c r="BU82" s="235"/>
      <c r="BV82" s="235"/>
      <c r="BW82" s="235"/>
      <c r="BX82" s="235"/>
      <c r="BY82" s="235"/>
      <c r="BZ82" s="235"/>
      <c r="CA82" s="235"/>
      <c r="CB82" s="235"/>
      <c r="CC82" s="48"/>
      <c r="CD82" s="48"/>
      <c r="CE82" s="48"/>
      <c r="CF82" s="48"/>
      <c r="CG82" s="48"/>
      <c r="CH82" s="48"/>
      <c r="CI82" s="48"/>
      <c r="CJ82" s="48"/>
      <c r="CK82" s="48"/>
      <c r="CL82" s="48"/>
      <c r="CM82" s="50"/>
      <c r="CN82" s="50"/>
      <c r="CO82" s="50"/>
      <c r="CP82" s="50"/>
      <c r="CQ82" s="50"/>
      <c r="CR82" s="50"/>
      <c r="CS82" s="234"/>
      <c r="CT82" s="636"/>
      <c r="CU82" s="50"/>
      <c r="CV82" s="50"/>
      <c r="CW82" s="50"/>
      <c r="CX82" s="50"/>
      <c r="CY82" s="49"/>
      <c r="CZ82" s="48"/>
      <c r="DA82" s="48"/>
      <c r="DB82" s="48"/>
      <c r="DC82" s="48"/>
      <c r="DD82" s="48"/>
      <c r="DE82" s="48"/>
      <c r="DF82" s="48"/>
      <c r="DG82" s="235"/>
      <c r="DH82" s="235"/>
      <c r="DI82" s="235"/>
    </row>
    <row r="83" spans="1:113" outlineLevel="1">
      <c r="B83" s="24" t="s">
        <v>529</v>
      </c>
      <c r="C83" s="235"/>
      <c r="D83" s="235"/>
      <c r="E83" s="235"/>
      <c r="F83" s="235"/>
      <c r="G83" s="235"/>
      <c r="H83" s="235"/>
      <c r="I83" s="235"/>
      <c r="J83" s="235"/>
      <c r="K83" s="235"/>
      <c r="L83" s="235"/>
      <c r="M83" s="48"/>
      <c r="N83" s="48"/>
      <c r="O83" s="48"/>
      <c r="P83" s="48"/>
      <c r="Q83" s="48"/>
      <c r="R83" s="48"/>
      <c r="S83" s="48"/>
      <c r="T83" s="50"/>
      <c r="U83" s="48"/>
      <c r="V83" s="48"/>
      <c r="W83" s="48"/>
      <c r="X83" s="48"/>
      <c r="Y83" s="50"/>
      <c r="Z83" s="385"/>
      <c r="AA83" s="50"/>
      <c r="AB83" s="236"/>
      <c r="AC83" s="236"/>
      <c r="AD83" s="236"/>
      <c r="AE83" s="236"/>
      <c r="AG83" s="50"/>
      <c r="AH83" s="50"/>
      <c r="AI83" s="50"/>
      <c r="AJ83" s="236"/>
      <c r="AK83" s="236"/>
      <c r="AL83" s="236"/>
      <c r="AM83" s="236"/>
      <c r="AN83" s="772"/>
      <c r="AO83" s="772"/>
      <c r="AP83" s="772"/>
      <c r="AQ83" s="772"/>
      <c r="AR83" s="772"/>
      <c r="AS83" s="772"/>
      <c r="AT83" s="772"/>
      <c r="AU83" s="772"/>
      <c r="AV83" s="772"/>
      <c r="AW83" s="807"/>
      <c r="AX83" s="799"/>
      <c r="AY83" s="799"/>
      <c r="AZ83" s="806"/>
      <c r="BA83" s="806"/>
      <c r="BB83" s="806"/>
      <c r="BC83" s="806"/>
      <c r="BD83" s="806"/>
      <c r="BE83" s="806"/>
      <c r="BF83" s="806"/>
      <c r="BG83" s="806"/>
      <c r="BH83" s="806"/>
      <c r="BI83" s="806"/>
      <c r="BJ83" s="806"/>
      <c r="BK83" s="806"/>
      <c r="BL83" s="806"/>
      <c r="BM83" s="806"/>
      <c r="BN83" s="806"/>
      <c r="BO83" s="806"/>
      <c r="BP83" s="799"/>
      <c r="BQ83" s="799"/>
      <c r="BR83" s="799"/>
      <c r="BS83" s="235"/>
      <c r="BT83" s="235"/>
      <c r="BU83" s="235"/>
      <c r="BV83" s="235"/>
      <c r="BW83" s="235"/>
      <c r="BX83" s="235"/>
      <c r="BY83" s="235"/>
      <c r="BZ83" s="235"/>
      <c r="CA83" s="235"/>
      <c r="CB83" s="235"/>
      <c r="CC83" s="48"/>
      <c r="CD83" s="48"/>
      <c r="CE83" s="48"/>
      <c r="CF83" s="48"/>
      <c r="CG83" s="48"/>
      <c r="CH83" s="48"/>
      <c r="CI83" s="48"/>
      <c r="CJ83" s="48"/>
      <c r="CK83" s="48"/>
      <c r="CL83" s="48"/>
      <c r="CM83" s="50"/>
      <c r="CN83" s="50"/>
      <c r="CO83" s="50"/>
      <c r="CP83" s="50"/>
      <c r="CQ83" s="50"/>
      <c r="CR83" s="50"/>
      <c r="CS83" s="50"/>
      <c r="CT83" s="50"/>
      <c r="CU83" s="50"/>
      <c r="CV83" s="50"/>
      <c r="CW83" s="50"/>
      <c r="CX83" s="50"/>
      <c r="CY83" s="49"/>
      <c r="CZ83" s="48"/>
      <c r="DA83" s="48"/>
      <c r="DB83" s="48"/>
      <c r="DC83" s="48"/>
      <c r="DD83" s="48"/>
      <c r="DE83" s="48"/>
      <c r="DF83" s="48"/>
      <c r="DG83" s="235"/>
      <c r="DH83" s="235"/>
      <c r="DI83" s="235"/>
    </row>
    <row r="84" spans="1:113" outlineLevel="1">
      <c r="A84" s="1" t="s">
        <v>696</v>
      </c>
      <c r="B84" s="19" t="s">
        <v>530</v>
      </c>
      <c r="C84" s="235">
        <v>7.5024992114556058E-3</v>
      </c>
      <c r="D84" s="235">
        <v>7.655089150300427E-3</v>
      </c>
      <c r="E84" s="235">
        <v>8.7706469846613611E-3</v>
      </c>
      <c r="F84" s="235">
        <v>8.2674623714699899E-3</v>
      </c>
      <c r="G84" s="235">
        <v>9.1173837954995618E-3</v>
      </c>
      <c r="H84" s="235">
        <v>8.8654806765233671E-3</v>
      </c>
      <c r="I84" s="235">
        <v>9.9160953184924579E-3</v>
      </c>
      <c r="J84" s="235">
        <v>8.1877972549361643E-3</v>
      </c>
      <c r="K84" s="235">
        <v>8.3385725436132957E-3</v>
      </c>
      <c r="L84" s="235">
        <v>9.3657720293769762E-3</v>
      </c>
      <c r="M84" s="48">
        <v>9.2437924493231662E-3</v>
      </c>
      <c r="N84" s="48">
        <v>8.4004731883644164E-3</v>
      </c>
      <c r="O84" s="48">
        <v>8.2991458107989965E-3</v>
      </c>
      <c r="P84" s="48">
        <v>7.0868763911122587E-3</v>
      </c>
      <c r="Q84" s="48">
        <v>7.0874702885509629E-3</v>
      </c>
      <c r="R84" s="48">
        <v>7.2712104383919193E-3</v>
      </c>
      <c r="S84" s="48">
        <v>8.664396143734104E-3</v>
      </c>
      <c r="T84" s="50">
        <v>7.8002302120323153E-3</v>
      </c>
      <c r="U84" s="48">
        <v>8.2345408027774455E-3</v>
      </c>
      <c r="V84" s="48">
        <v>7.586622981211961E-3</v>
      </c>
      <c r="W84" s="48">
        <v>3.1550803211872484E-3</v>
      </c>
      <c r="X84" s="48">
        <v>5.0313394780319822E-3</v>
      </c>
      <c r="Y84" s="50">
        <v>5.8151120267111072E-3</v>
      </c>
      <c r="Z84" s="50">
        <v>5.361888231740033E-3</v>
      </c>
      <c r="AA84" s="50">
        <v>5.7599911337549384E-3</v>
      </c>
      <c r="AB84" s="50">
        <v>5.394374556376519E-3</v>
      </c>
      <c r="AC84" s="50">
        <v>5.3813158538548195E-3</v>
      </c>
      <c r="AD84" s="50">
        <v>4.9865981991452429E-3</v>
      </c>
      <c r="AE84" s="50">
        <v>4.8053240239712362E-3</v>
      </c>
      <c r="AF84" s="50">
        <v>4.5263371955978913E-3</v>
      </c>
      <c r="AG84" s="50">
        <v>4.3953218165450839E-3</v>
      </c>
      <c r="AH84" s="50">
        <v>4.5181852601220924E-3</v>
      </c>
      <c r="AI84" s="50">
        <v>4.6802497817825537E-3</v>
      </c>
      <c r="AJ84" s="50">
        <v>4.6780348406636587E-3</v>
      </c>
      <c r="AK84" s="50">
        <v>4.7364345342628972E-3</v>
      </c>
      <c r="AL84" s="50">
        <v>4.3283309747118876E-3</v>
      </c>
      <c r="AM84" s="50">
        <v>4.3060659290762469E-3</v>
      </c>
      <c r="AN84" s="50">
        <v>4.316853106644241E-3</v>
      </c>
      <c r="AO84" s="50">
        <v>4.5135509323022474E-3</v>
      </c>
      <c r="AP84" s="50">
        <v>2.6797806093984493E-3</v>
      </c>
      <c r="AQ84" s="50">
        <v>3.4050672278297766E-3</v>
      </c>
      <c r="AR84" s="50">
        <v>3.3247355442333308E-3</v>
      </c>
      <c r="AS84" s="50">
        <v>3.0920812487683397E-3</v>
      </c>
      <c r="AT84" s="50">
        <v>2.8639782681504698E-3</v>
      </c>
      <c r="AU84" s="50">
        <v>3.1307163830852007E-3</v>
      </c>
      <c r="AV84" s="50">
        <v>3.1362057257067373E-3</v>
      </c>
      <c r="AW84" s="49">
        <v>3.257312974032537E-3</v>
      </c>
      <c r="AX84" s="47">
        <v>3.2073129740325368E-3</v>
      </c>
      <c r="AY84" s="47">
        <v>3.1573129740325367E-3</v>
      </c>
      <c r="AZ84" s="510">
        <v>3.1573129740325367E-3</v>
      </c>
      <c r="BA84" s="510">
        <v>3.1573129740325367E-3</v>
      </c>
      <c r="BB84" s="510">
        <v>3.1573129740325367E-3</v>
      </c>
      <c r="BC84" s="510">
        <v>3.1573129740325367E-3</v>
      </c>
      <c r="BD84" s="510">
        <v>3.1573129740325367E-3</v>
      </c>
      <c r="BE84" s="510">
        <v>3.1573129740325367E-3</v>
      </c>
      <c r="BF84" s="510">
        <v>3.1573129740325367E-3</v>
      </c>
      <c r="BG84" s="510">
        <v>3.1573129740325367E-3</v>
      </c>
      <c r="BH84" s="510">
        <v>3.1573129740325367E-3</v>
      </c>
      <c r="BI84" s="510">
        <v>3.1573129740325367E-3</v>
      </c>
      <c r="BJ84" s="510">
        <v>3.1573129740325367E-3</v>
      </c>
      <c r="BK84" s="510">
        <v>3.1573129740325367E-3</v>
      </c>
      <c r="BL84" s="510">
        <v>3.1573129740325367E-3</v>
      </c>
      <c r="BM84" s="510">
        <v>3.1573129740325367E-3</v>
      </c>
      <c r="BN84" s="510">
        <v>3.1573129740325367E-3</v>
      </c>
      <c r="BO84" s="510">
        <v>3.1573129740325367E-3</v>
      </c>
      <c r="BP84" s="510">
        <v>3.1573129740325367E-3</v>
      </c>
      <c r="BQ84" s="510">
        <v>3.1573129740325367E-3</v>
      </c>
      <c r="BR84" s="510"/>
      <c r="BS84" s="235">
        <v>1.0330825424568389E-2</v>
      </c>
      <c r="BT84" s="235">
        <v>1.1204833835687983E-2</v>
      </c>
      <c r="BU84" s="235">
        <v>1.1496093481859551E-2</v>
      </c>
      <c r="BV84" s="235">
        <v>1.2017499685019434E-2</v>
      </c>
      <c r="BW84" s="235">
        <v>1.0754628181415675E-2</v>
      </c>
      <c r="BX84" s="235">
        <v>9.7033027033093071E-3</v>
      </c>
      <c r="BY84" s="235">
        <v>9.3956324973035275E-3</v>
      </c>
      <c r="BZ84" s="235">
        <v>8.3748587329297661E-3</v>
      </c>
      <c r="CA84" s="235">
        <v>8.831661564741116E-3</v>
      </c>
      <c r="CB84" s="235">
        <v>7.9847209452592015E-3</v>
      </c>
      <c r="CC84" s="48">
        <v>8.1816021046829841E-3</v>
      </c>
      <c r="CD84" s="48">
        <v>8.6864921844722939E-3</v>
      </c>
      <c r="CE84" s="48">
        <v>9.3675180201531292E-3</v>
      </c>
      <c r="CF84" s="48">
        <v>8.2784741177930905E-3</v>
      </c>
      <c r="CG84" s="48">
        <v>9.3221918987310918E-3</v>
      </c>
      <c r="CH84" s="48">
        <v>8.0350117016085125E-3</v>
      </c>
      <c r="CI84" s="48">
        <v>7.1695797420507435E-3</v>
      </c>
      <c r="CJ84" s="48">
        <v>8.1645899452598286E-3</v>
      </c>
      <c r="CK84" s="48">
        <v>7.928947630555707E-3</v>
      </c>
      <c r="CL84" s="48">
        <v>5.6156718030288136E-3</v>
      </c>
      <c r="CM84" s="50">
        <v>5.6268261240912526E-3</v>
      </c>
      <c r="CN84" s="50">
        <v>5.7286017300023605E-3</v>
      </c>
      <c r="CO84" s="50">
        <v>5.4958247630895402E-3</v>
      </c>
      <c r="CP84" s="50">
        <v>4.9441986510740839E-3</v>
      </c>
      <c r="CQ84" s="50">
        <v>4.5080159333812557E-3</v>
      </c>
      <c r="CR84" s="50">
        <v>4.5961789470583244E-3</v>
      </c>
      <c r="CS84" s="50">
        <v>4.7153301546534864E-3</v>
      </c>
      <c r="CT84" s="50">
        <v>4.3369239244223749E-3</v>
      </c>
      <c r="CU84" s="50">
        <v>4.4013056857504784E-3</v>
      </c>
      <c r="CV84" s="50">
        <v>3.0390284160264889E-3</v>
      </c>
      <c r="CW84" s="50">
        <v>3.205978788732273E-3</v>
      </c>
      <c r="CX84" s="50">
        <v>2.9975573381118442E-3</v>
      </c>
      <c r="CY84" s="49">
        <v>3.1964888048884978E-3</v>
      </c>
      <c r="CZ84" s="48">
        <v>3.1819061324819846E-3</v>
      </c>
      <c r="DA84" s="48">
        <v>3.1569421575944933E-3</v>
      </c>
      <c r="DB84" s="48">
        <v>3.1568671619281443E-3</v>
      </c>
      <c r="DC84" s="48">
        <v>3.1569881457398879E-3</v>
      </c>
      <c r="DD84" s="48">
        <v>3.1568220797231544E-3</v>
      </c>
      <c r="DE84" s="48">
        <v>3.1568198446031612E-3</v>
      </c>
      <c r="DF84" s="48">
        <v>3.1567924363142263E-3</v>
      </c>
      <c r="DG84" s="48">
        <v>3.1569499046636682E-3</v>
      </c>
      <c r="DH84" s="48">
        <v>3.1567665513878044E-3</v>
      </c>
      <c r="DI84" s="48">
        <v>3.15676621573578E-3</v>
      </c>
    </row>
    <row r="85" spans="1:113" outlineLevel="1">
      <c r="A85" s="1" t="s">
        <v>697</v>
      </c>
      <c r="B85" s="19" t="s">
        <v>531</v>
      </c>
      <c r="C85" s="235">
        <v>1.0324828505269992E-2</v>
      </c>
      <c r="D85" s="235">
        <v>9.6495549266371657E-3</v>
      </c>
      <c r="E85" s="235">
        <v>9.9638859567281347E-3</v>
      </c>
      <c r="F85" s="235">
        <v>9.9835664910317909E-3</v>
      </c>
      <c r="G85" s="235">
        <v>1.0205028424898736E-2</v>
      </c>
      <c r="H85" s="235">
        <v>1.0235662614661795E-2</v>
      </c>
      <c r="I85" s="235">
        <v>9.0396236634803107E-3</v>
      </c>
      <c r="J85" s="235">
        <v>9.3479750718027839E-3</v>
      </c>
      <c r="K85" s="235">
        <v>9.1802934874198258E-3</v>
      </c>
      <c r="L85" s="235">
        <v>9.8606152029455316E-3</v>
      </c>
      <c r="M85" s="48">
        <v>9.6922004227230716E-3</v>
      </c>
      <c r="N85" s="48">
        <v>9.3679863724907518E-3</v>
      </c>
      <c r="O85" s="48">
        <v>8.1988176223173302E-3</v>
      </c>
      <c r="P85" s="48">
        <v>7.6084598395540094E-3</v>
      </c>
      <c r="Q85" s="48">
        <v>7.0904420396932285E-3</v>
      </c>
      <c r="R85" s="48">
        <v>6.2490039479607242E-3</v>
      </c>
      <c r="S85" s="48">
        <v>5.7493997540397036E-3</v>
      </c>
      <c r="T85" s="50">
        <v>5.4524078373902182E-3</v>
      </c>
      <c r="U85" s="48">
        <v>5.2397603138267584E-3</v>
      </c>
      <c r="V85" s="48">
        <v>5.0424371515009623E-3</v>
      </c>
      <c r="W85" s="48">
        <v>4.8183196837284434E-3</v>
      </c>
      <c r="X85" s="48">
        <v>4.7469518623752876E-3</v>
      </c>
      <c r="Y85" s="50">
        <v>4.6050746213801216E-3</v>
      </c>
      <c r="Z85" s="50">
        <v>4.3839212122349829E-3</v>
      </c>
      <c r="AA85" s="50">
        <v>4.3975984922547074E-3</v>
      </c>
      <c r="AB85" s="50">
        <v>4.5241458317729806E-3</v>
      </c>
      <c r="AC85" s="50">
        <v>4.2634227722528964E-3</v>
      </c>
      <c r="AD85" s="50">
        <v>4.3703773210527815E-3</v>
      </c>
      <c r="AE85" s="50">
        <v>4.1389542492305757E-3</v>
      </c>
      <c r="AF85" s="50">
        <v>4.3180391547481345E-3</v>
      </c>
      <c r="AG85" s="50">
        <v>3.9512053974806666E-3</v>
      </c>
      <c r="AH85" s="50">
        <v>4.5223256772023495E-3</v>
      </c>
      <c r="AI85" s="50">
        <v>4.4029105154218843E-3</v>
      </c>
      <c r="AJ85" s="50">
        <v>4.7429726577874771E-3</v>
      </c>
      <c r="AK85" s="50">
        <v>4.8462954620279676E-3</v>
      </c>
      <c r="AL85" s="50">
        <v>4.5569962542665841E-3</v>
      </c>
      <c r="AM85" s="50">
        <v>4.4656130117160788E-3</v>
      </c>
      <c r="AN85" s="50">
        <v>4.3120621368755042E-3</v>
      </c>
      <c r="AO85" s="50">
        <v>3.8741249881464241E-3</v>
      </c>
      <c r="AP85" s="50">
        <v>3.8091179100484679E-3</v>
      </c>
      <c r="AQ85" s="50">
        <v>3.6580946984595638E-3</v>
      </c>
      <c r="AR85" s="50">
        <v>2.8920224394000426E-3</v>
      </c>
      <c r="AS85" s="50">
        <v>2.6716194789096399E-3</v>
      </c>
      <c r="AT85" s="50">
        <v>2.5504719530239413E-3</v>
      </c>
      <c r="AU85" s="50">
        <v>2.4365492507834549E-3</v>
      </c>
      <c r="AV85" s="50">
        <v>2.6051680880757591E-3</v>
      </c>
      <c r="AW85" s="49">
        <v>2.6681385593798923E-3</v>
      </c>
      <c r="AX85" s="47">
        <v>2.6181385593798921E-3</v>
      </c>
      <c r="AY85" s="47">
        <v>2.568138559379892E-3</v>
      </c>
      <c r="AZ85" s="510">
        <v>2.6181385593798921E-3</v>
      </c>
      <c r="BA85" s="510">
        <v>2.568138559379892E-3</v>
      </c>
      <c r="BB85" s="510">
        <v>2.6181385593798921E-3</v>
      </c>
      <c r="BC85" s="510">
        <v>2.568138559379892E-3</v>
      </c>
      <c r="BD85" s="510">
        <v>2.6181385593798921E-3</v>
      </c>
      <c r="BE85" s="510">
        <v>2.568138559379892E-3</v>
      </c>
      <c r="BF85" s="510">
        <v>2.6181385593798921E-3</v>
      </c>
      <c r="BG85" s="510">
        <v>2.568138559379892E-3</v>
      </c>
      <c r="BH85" s="510">
        <v>2.6181385593798921E-3</v>
      </c>
      <c r="BI85" s="510">
        <v>2.568138559379892E-3</v>
      </c>
      <c r="BJ85" s="510">
        <v>2.6181385593798921E-3</v>
      </c>
      <c r="BK85" s="510">
        <v>2.568138559379892E-3</v>
      </c>
      <c r="BL85" s="510">
        <v>2.6181385593798921E-3</v>
      </c>
      <c r="BM85" s="510">
        <v>2.568138559379892E-3</v>
      </c>
      <c r="BN85" s="510">
        <v>2.6181385593798921E-3</v>
      </c>
      <c r="BO85" s="510">
        <v>2.568138559379892E-3</v>
      </c>
      <c r="BP85" s="510">
        <v>2.6181385593798921E-3</v>
      </c>
      <c r="BQ85" s="510">
        <v>2.568138559379892E-3</v>
      </c>
      <c r="BR85" s="510"/>
      <c r="BS85" s="235">
        <v>9.4649950929892607E-3</v>
      </c>
      <c r="BT85" s="235">
        <v>7.5502598753483573E-3</v>
      </c>
      <c r="BU85" s="235">
        <v>8.5120231304620861E-3</v>
      </c>
      <c r="BV85" s="235">
        <v>8.1371274495642548E-3</v>
      </c>
      <c r="BW85" s="235">
        <v>7.7078922113729496E-3</v>
      </c>
      <c r="BX85" s="235">
        <v>7.6577730440996047E-3</v>
      </c>
      <c r="BY85" s="235">
        <v>8.4706587873714725E-3</v>
      </c>
      <c r="BZ85" s="235">
        <v>8.9891395154553053E-3</v>
      </c>
      <c r="CA85" s="235">
        <v>9.6048410023149081E-3</v>
      </c>
      <c r="CB85" s="235">
        <v>1.0259235936188077E-2</v>
      </c>
      <c r="CC85" s="48">
        <v>9.8053527922505653E-3</v>
      </c>
      <c r="CD85" s="48">
        <v>1.0093064037110166E-2</v>
      </c>
      <c r="CE85" s="48">
        <v>9.6116458136351526E-3</v>
      </c>
      <c r="CF85" s="48">
        <v>9.2621213604383874E-3</v>
      </c>
      <c r="CG85" s="48">
        <v>9.7860242406105045E-3</v>
      </c>
      <c r="CH85" s="48">
        <v>8.4362862774947783E-3</v>
      </c>
      <c r="CI85" s="48">
        <v>7.3384398484915431E-3</v>
      </c>
      <c r="CJ85" s="48">
        <v>5.9971662377468699E-3</v>
      </c>
      <c r="CK85" s="48">
        <v>5.3454988288401117E-3</v>
      </c>
      <c r="CL85" s="48">
        <v>4.927705046719506E-3</v>
      </c>
      <c r="CM85" s="50">
        <v>4.6767383204490793E-3</v>
      </c>
      <c r="CN85" s="50">
        <v>4.3922960451678126E-3</v>
      </c>
      <c r="CO85" s="50">
        <v>4.3926628095100123E-3</v>
      </c>
      <c r="CP85" s="50">
        <v>4.2571543046313288E-3</v>
      </c>
      <c r="CQ85" s="50">
        <v>4.0953523759514991E-3</v>
      </c>
      <c r="CR85" s="50">
        <v>4.458607055828491E-3</v>
      </c>
      <c r="CS85" s="50">
        <v>4.7946237221754345E-3</v>
      </c>
      <c r="CT85" s="50">
        <v>4.5114533192009343E-3</v>
      </c>
      <c r="CU85" s="50">
        <v>4.0781987025363146E-3</v>
      </c>
      <c r="CV85" s="50">
        <v>3.7321485859891134E-3</v>
      </c>
      <c r="CW85" s="50">
        <v>2.7794687492215648E-3</v>
      </c>
      <c r="CX85" s="50">
        <v>2.4932117936224637E-3</v>
      </c>
      <c r="CY85" s="49">
        <v>2.6364917404063585E-3</v>
      </c>
      <c r="CZ85" s="48">
        <v>2.5926590993318897E-3</v>
      </c>
      <c r="DA85" s="48">
        <v>2.5927301731387868E-3</v>
      </c>
      <c r="DB85" s="48">
        <v>2.5927940713360749E-3</v>
      </c>
      <c r="DC85" s="48">
        <v>2.5928115826749816E-3</v>
      </c>
      <c r="DD85" s="48">
        <v>2.5927544716793064E-3</v>
      </c>
      <c r="DE85" s="48">
        <v>2.5927527276707117E-3</v>
      </c>
      <c r="DF85" s="48">
        <v>2.5927265097161769E-3</v>
      </c>
      <c r="DG85" s="48">
        <v>2.5927685983855946E-3</v>
      </c>
      <c r="DH85" s="48">
        <v>2.5927015191559697E-3</v>
      </c>
      <c r="DI85" s="48">
        <v>2.5927012435617586E-3</v>
      </c>
    </row>
    <row r="86" spans="1:113" outlineLevel="1">
      <c r="A86" s="1" t="s">
        <v>698</v>
      </c>
      <c r="B86" s="19" t="s">
        <v>532</v>
      </c>
      <c r="C86" s="235">
        <v>5.8646296652927624E-3</v>
      </c>
      <c r="D86" s="235">
        <v>6.5577726168102634E-3</v>
      </c>
      <c r="E86" s="235">
        <v>6.4228122533827817E-3</v>
      </c>
      <c r="F86" s="235">
        <v>5.9504665476185284E-3</v>
      </c>
      <c r="G86" s="235">
        <v>7.4449642827156201E-3</v>
      </c>
      <c r="H86" s="235">
        <v>6.9731412338736422E-3</v>
      </c>
      <c r="I86" s="235">
        <v>5.970423882861951E-3</v>
      </c>
      <c r="J86" s="235">
        <v>5.1379014293152434E-3</v>
      </c>
      <c r="K86" s="235">
        <v>4.7990222191107764E-3</v>
      </c>
      <c r="L86" s="235">
        <v>5.8746744862930127E-3</v>
      </c>
      <c r="M86" s="48">
        <v>5.8701455700081416E-3</v>
      </c>
      <c r="N86" s="48">
        <v>6.1643760087278449E-3</v>
      </c>
      <c r="O86" s="48">
        <v>4.3141697429831937E-3</v>
      </c>
      <c r="P86" s="48">
        <v>3.0221221284060804E-3</v>
      </c>
      <c r="Q86" s="48">
        <v>4.8368140430742265E-3</v>
      </c>
      <c r="R86" s="48">
        <v>4.952041623681399E-3</v>
      </c>
      <c r="S86" s="48">
        <v>3.2588807061798364E-3</v>
      </c>
      <c r="T86" s="50">
        <v>3.1569777353287953E-3</v>
      </c>
      <c r="U86" s="48">
        <v>3.5192311252093553E-3</v>
      </c>
      <c r="V86" s="48">
        <v>4.6170019857089935E-3</v>
      </c>
      <c r="W86" s="48">
        <v>3.2557743739910967E-3</v>
      </c>
      <c r="X86" s="48">
        <v>2.630266408255331E-3</v>
      </c>
      <c r="Y86" s="50">
        <v>3.0485941781825021E-3</v>
      </c>
      <c r="Z86" s="50">
        <v>4.666633569078261E-3</v>
      </c>
      <c r="AA86" s="50">
        <v>4.4470519782666808E-3</v>
      </c>
      <c r="AB86" s="50">
        <v>5.1030582395517159E-3</v>
      </c>
      <c r="AC86" s="50">
        <v>4.0803383946811265E-3</v>
      </c>
      <c r="AD86" s="50">
        <v>4.9960425139163513E-3</v>
      </c>
      <c r="AE86" s="50">
        <v>4.6948568050293685E-3</v>
      </c>
      <c r="AF86" s="50">
        <v>4.4281326410582919E-3</v>
      </c>
      <c r="AG86" s="50">
        <v>5.1642846790817985E-3</v>
      </c>
      <c r="AH86" s="50">
        <v>5.086137253420742E-3</v>
      </c>
      <c r="AI86" s="50">
        <v>4.7146002388965547E-3</v>
      </c>
      <c r="AJ86" s="50">
        <v>4.6612676906971229E-3</v>
      </c>
      <c r="AK86" s="50">
        <v>4.0315567995813043E-3</v>
      </c>
      <c r="AL86" s="50">
        <v>4.2256828093037001E-3</v>
      </c>
      <c r="AM86" s="50">
        <v>4.261673496817729E-3</v>
      </c>
      <c r="AN86" s="50">
        <v>4.5402927084374212E-3</v>
      </c>
      <c r="AO86" s="50">
        <v>3.8764493096512349E-3</v>
      </c>
      <c r="AP86" s="50">
        <v>4.8435223852303054E-3</v>
      </c>
      <c r="AQ86" s="50">
        <v>2.9252203556152825E-3</v>
      </c>
      <c r="AR86" s="50">
        <v>3.2453651996760366E-3</v>
      </c>
      <c r="AS86" s="50">
        <v>3.772511384291178E-3</v>
      </c>
      <c r="AT86" s="50">
        <v>4.1154645701994138E-3</v>
      </c>
      <c r="AU86" s="50">
        <v>4.6012043812009764E-3</v>
      </c>
      <c r="AV86" s="50">
        <v>4.7275972449391159E-3</v>
      </c>
      <c r="AW86" s="49">
        <v>4.0306318815366646E-3</v>
      </c>
      <c r="AX86" s="510">
        <v>4.0000000000000001E-3</v>
      </c>
      <c r="AY86" s="510">
        <v>4.0306318815366646E-3</v>
      </c>
      <c r="AZ86" s="510">
        <v>4.0000000000000001E-3</v>
      </c>
      <c r="BA86" s="510">
        <v>4.0306318815366646E-3</v>
      </c>
      <c r="BB86" s="510">
        <v>4.0000000000000001E-3</v>
      </c>
      <c r="BC86" s="510">
        <v>4.0306318815366646E-3</v>
      </c>
      <c r="BD86" s="510">
        <v>4.0000000000000001E-3</v>
      </c>
      <c r="BE86" s="510">
        <v>4.0306318815366646E-3</v>
      </c>
      <c r="BF86" s="510">
        <v>4.0000000000000001E-3</v>
      </c>
      <c r="BG86" s="510">
        <v>4.0306318815366646E-3</v>
      </c>
      <c r="BH86" s="510">
        <v>4.0000000000000001E-3</v>
      </c>
      <c r="BI86" s="510">
        <v>4.0306318815366646E-3</v>
      </c>
      <c r="BJ86" s="510">
        <v>4.0000000000000001E-3</v>
      </c>
      <c r="BK86" s="510">
        <v>4.0306318815366646E-3</v>
      </c>
      <c r="BL86" s="510">
        <v>4.0000000000000001E-3</v>
      </c>
      <c r="BM86" s="510">
        <v>4.0306318815366646E-3</v>
      </c>
      <c r="BN86" s="510">
        <v>4.0000000000000001E-3</v>
      </c>
      <c r="BO86" s="510">
        <v>4.0306318815366646E-3</v>
      </c>
      <c r="BP86" s="510">
        <v>4.0000000000000001E-3</v>
      </c>
      <c r="BQ86" s="510">
        <v>4.0306318815366646E-3</v>
      </c>
      <c r="BR86" s="510"/>
      <c r="BS86" s="235">
        <v>1.956396267424635E-3</v>
      </c>
      <c r="BT86" s="235">
        <v>3.7449082598698018E-3</v>
      </c>
      <c r="BU86" s="235">
        <v>4.5432823193199776E-3</v>
      </c>
      <c r="BV86" s="235">
        <v>3.4061575953548097E-3</v>
      </c>
      <c r="BW86" s="235">
        <v>3.4303555406239652E-3</v>
      </c>
      <c r="BX86" s="235">
        <v>3.7771245422277841E-3</v>
      </c>
      <c r="BY86" s="235">
        <v>4.837158256027028E-3</v>
      </c>
      <c r="BZ86" s="235">
        <v>4.8234945866873968E-3</v>
      </c>
      <c r="CA86" s="235">
        <v>4.9578461130586416E-3</v>
      </c>
      <c r="CB86" s="235">
        <v>5.6503174795355816E-3</v>
      </c>
      <c r="CC86" s="48">
        <v>6.473791956618089E-3</v>
      </c>
      <c r="CD86" s="48">
        <v>6.6880660684127177E-3</v>
      </c>
      <c r="CE86" s="48">
        <v>6.4563418398569218E-3</v>
      </c>
      <c r="CF86" s="48">
        <v>4.9693432630681577E-3</v>
      </c>
      <c r="CG86" s="48">
        <v>5.8846336360740019E-3</v>
      </c>
      <c r="CH86" s="48">
        <v>4.9770440785633085E-3</v>
      </c>
      <c r="CI86" s="48">
        <v>4.0108509622537973E-3</v>
      </c>
      <c r="CJ86" s="48">
        <v>4.2023624718249119E-3</v>
      </c>
      <c r="CK86" s="48">
        <v>3.2986632302730015E-3</v>
      </c>
      <c r="CL86" s="48">
        <v>4.1002410211524029E-3</v>
      </c>
      <c r="CM86" s="50">
        <v>2.9460413608582087E-3</v>
      </c>
      <c r="CN86" s="50">
        <v>4.6949508955289997E-3</v>
      </c>
      <c r="CO86" s="50">
        <v>4.6788092627595163E-3</v>
      </c>
      <c r="CP86" s="50">
        <v>4.8924022842533081E-3</v>
      </c>
      <c r="CQ86" s="50">
        <v>4.8516963560251728E-3</v>
      </c>
      <c r="CR86" s="50">
        <v>4.898895742272741E-3</v>
      </c>
      <c r="CS86" s="50">
        <v>4.3581725955994808E-3</v>
      </c>
      <c r="CT86" s="50">
        <v>4.2625266421668952E-3</v>
      </c>
      <c r="CU86" s="50">
        <v>4.1959709377337225E-3</v>
      </c>
      <c r="CV86" s="50">
        <v>3.8936123465482236E-3</v>
      </c>
      <c r="CW86" s="50">
        <v>3.510895249617136E-3</v>
      </c>
      <c r="CX86" s="50">
        <v>4.3589977227522832E-3</v>
      </c>
      <c r="CY86" s="49">
        <v>4.3800851467716926E-3</v>
      </c>
      <c r="CZ86" s="48">
        <v>4.0147886078433417E-3</v>
      </c>
      <c r="DA86" s="48">
        <v>4.0148279050790398E-3</v>
      </c>
      <c r="DB86" s="48">
        <v>4.0147546619023009E-3</v>
      </c>
      <c r="DC86" s="48">
        <v>4.0149633293621216E-3</v>
      </c>
      <c r="DD86" s="48">
        <v>4.014710633172794E-3</v>
      </c>
      <c r="DE86" s="48">
        <v>4.0147084502828133E-3</v>
      </c>
      <c r="DF86" s="48">
        <v>4.0146816824674402E-3</v>
      </c>
      <c r="DG86" s="48">
        <v>4.0149316704701597E-3</v>
      </c>
      <c r="DH86" s="48">
        <v>4.01465640241683E-3</v>
      </c>
      <c r="DI86" s="48">
        <v>4.0146560746082824E-3</v>
      </c>
    </row>
    <row r="87" spans="1:113" outlineLevel="1">
      <c r="A87" s="1" t="s">
        <v>699</v>
      </c>
      <c r="B87" s="19" t="s">
        <v>647</v>
      </c>
      <c r="C87" s="235">
        <v>7.5710223305551962E-3</v>
      </c>
      <c r="D87" s="235">
        <v>7.4466275330303837E-3</v>
      </c>
      <c r="E87" s="235">
        <v>8.0801831441256137E-3</v>
      </c>
      <c r="F87" s="235">
        <v>1.1517741740043623E-2</v>
      </c>
      <c r="G87" s="235">
        <v>1.1197086735042558E-2</v>
      </c>
      <c r="H87" s="235">
        <v>1.130507810360515E-2</v>
      </c>
      <c r="I87" s="235">
        <v>1.0754700781579881E-2</v>
      </c>
      <c r="J87" s="235">
        <v>1.0628670677176644E-2</v>
      </c>
      <c r="K87" s="235">
        <v>1.0698987007578745E-2</v>
      </c>
      <c r="L87" s="235">
        <v>1.0908731733856959E-2</v>
      </c>
      <c r="M87" s="48">
        <v>1.1575729630146782E-2</v>
      </c>
      <c r="N87" s="48">
        <v>1.1346040072064386E-2</v>
      </c>
      <c r="O87" s="48">
        <v>1.2005678392665768E-2</v>
      </c>
      <c r="P87" s="48">
        <v>1.2313222654305817E-2</v>
      </c>
      <c r="Q87" s="48">
        <v>1.2187052041107612E-2</v>
      </c>
      <c r="R87" s="48">
        <v>1.1715067548483416E-2</v>
      </c>
      <c r="S87" s="48">
        <v>9.9360154229922847E-3</v>
      </c>
      <c r="T87" s="50">
        <v>1.0586149027546191E-2</v>
      </c>
      <c r="U87" s="48">
        <v>1.0499283797396898E-2</v>
      </c>
      <c r="V87" s="48">
        <v>1.0873578310503033E-2</v>
      </c>
      <c r="W87" s="48">
        <v>1.0869276779127593E-2</v>
      </c>
      <c r="X87" s="48">
        <v>1.0432688963713421E-2</v>
      </c>
      <c r="Y87" s="50">
        <v>1.036581369209892E-2</v>
      </c>
      <c r="Z87" s="50">
        <v>9.732282305560969E-3</v>
      </c>
      <c r="AA87" s="50">
        <v>9.411924358568859E-3</v>
      </c>
      <c r="AB87" s="50">
        <v>7.9463178417740407E-3</v>
      </c>
      <c r="AC87" s="50">
        <v>7.2987095410646909E-3</v>
      </c>
      <c r="AD87" s="50">
        <v>1.0085037331016875E-2</v>
      </c>
      <c r="AE87" s="50">
        <v>1.5015031605426115E-2</v>
      </c>
      <c r="AF87" s="50">
        <v>1.5354852914369881E-2</v>
      </c>
      <c r="AG87" s="50">
        <v>1.4588875480141603E-2</v>
      </c>
      <c r="AH87" s="50">
        <v>1.3524822771951515E-2</v>
      </c>
      <c r="AI87" s="50">
        <v>1.3602857795021512E-2</v>
      </c>
      <c r="AJ87" s="50">
        <v>7.7586823742436303E-3</v>
      </c>
      <c r="AK87" s="50">
        <v>7.619186241056293E-3</v>
      </c>
      <c r="AL87" s="50">
        <v>1.8937204039119474E-2</v>
      </c>
      <c r="AM87" s="50">
        <v>1.664860911960701E-2</v>
      </c>
      <c r="AN87" s="50">
        <v>1.271424358261777E-2</v>
      </c>
      <c r="AO87" s="50" t="s">
        <v>215</v>
      </c>
      <c r="AP87" s="50" t="s">
        <v>215</v>
      </c>
      <c r="AQ87" s="50" t="s">
        <v>215</v>
      </c>
      <c r="AR87" s="50" t="s">
        <v>215</v>
      </c>
      <c r="AS87" s="50" t="s">
        <v>215</v>
      </c>
      <c r="AT87" s="50" t="s">
        <v>215</v>
      </c>
      <c r="AU87" s="50" t="s">
        <v>215</v>
      </c>
      <c r="AV87" s="50" t="s">
        <v>215</v>
      </c>
      <c r="AW87" s="49" t="s">
        <v>215</v>
      </c>
      <c r="AX87" s="50" t="s">
        <v>215</v>
      </c>
      <c r="AY87" s="50" t="s">
        <v>215</v>
      </c>
      <c r="AZ87" s="50" t="s">
        <v>215</v>
      </c>
      <c r="BA87" s="50" t="s">
        <v>215</v>
      </c>
      <c r="BB87" s="50" t="s">
        <v>215</v>
      </c>
      <c r="BC87" s="50" t="s">
        <v>215</v>
      </c>
      <c r="BD87" s="50" t="s">
        <v>215</v>
      </c>
      <c r="BE87" s="50" t="s">
        <v>215</v>
      </c>
      <c r="BF87" s="50" t="s">
        <v>215</v>
      </c>
      <c r="BG87" s="50" t="s">
        <v>215</v>
      </c>
      <c r="BH87" s="50" t="s">
        <v>215</v>
      </c>
      <c r="BI87" s="50" t="s">
        <v>215</v>
      </c>
      <c r="BJ87" s="50" t="s">
        <v>215</v>
      </c>
      <c r="BK87" s="50" t="s">
        <v>215</v>
      </c>
      <c r="BL87" s="236" t="s">
        <v>215</v>
      </c>
      <c r="BM87" s="236" t="s">
        <v>215</v>
      </c>
      <c r="BN87" s="236" t="s">
        <v>215</v>
      </c>
      <c r="BO87" s="236" t="s">
        <v>215</v>
      </c>
      <c r="BP87" s="236" t="s">
        <v>215</v>
      </c>
      <c r="BQ87" s="236" t="s">
        <v>215</v>
      </c>
      <c r="BR87" s="50"/>
      <c r="BS87" s="235">
        <v>0</v>
      </c>
      <c r="BT87" s="235">
        <v>0</v>
      </c>
      <c r="BU87" s="235">
        <v>0</v>
      </c>
      <c r="BV87" s="235">
        <v>5.6421052631578953E-3</v>
      </c>
      <c r="BW87" s="235">
        <v>3.640207372188987E-3</v>
      </c>
      <c r="BX87" s="235">
        <v>3.9662752514491003E-3</v>
      </c>
      <c r="BY87" s="235">
        <v>3.0487804878048782E-3</v>
      </c>
      <c r="BZ87" s="235">
        <v>3.544609088085363E-3</v>
      </c>
      <c r="CA87" s="235">
        <v>2.4716324008538368E-3</v>
      </c>
      <c r="CB87" s="235">
        <v>7.3920585459472856E-3</v>
      </c>
      <c r="CC87" s="48">
        <v>7.7614174166827149E-3</v>
      </c>
      <c r="CD87" s="48">
        <v>1.1361877537455737E-2</v>
      </c>
      <c r="CE87" s="48">
        <v>1.1021409090017847E-2</v>
      </c>
      <c r="CF87" s="48">
        <v>1.0659592481569781E-2</v>
      </c>
      <c r="CG87" s="48">
        <v>1.1247199483375117E-2</v>
      </c>
      <c r="CH87" s="48">
        <v>1.1676864269695837E-2</v>
      </c>
      <c r="CI87" s="48">
        <v>1.2246257979063003E-2</v>
      </c>
      <c r="CJ87" s="48">
        <v>1.0857904510669982E-2</v>
      </c>
      <c r="CK87" s="48">
        <v>1.0539942830048971E-2</v>
      </c>
      <c r="CL87" s="48">
        <v>1.0869302908204759E-2</v>
      </c>
      <c r="CM87" s="50">
        <v>1.0397931951672993E-2</v>
      </c>
      <c r="CN87" s="50">
        <v>9.5550985466381771E-3</v>
      </c>
      <c r="CO87" s="50">
        <v>7.6193635128142178E-3</v>
      </c>
      <c r="CP87" s="50">
        <v>1.2101066150168385E-2</v>
      </c>
      <c r="CQ87" s="50">
        <v>1.5291826801388268E-2</v>
      </c>
      <c r="CR87" s="50">
        <v>1.4205165118778189E-2</v>
      </c>
      <c r="CS87" s="50">
        <v>8.169948247296362E-3</v>
      </c>
      <c r="CT87" s="50">
        <v>1.7951425554382259E-2</v>
      </c>
      <c r="CU87" s="50">
        <v>1.1283589877380642E-2</v>
      </c>
      <c r="CV87" s="50" t="e">
        <v>#DIV/0!</v>
      </c>
      <c r="CW87" s="50" t="e">
        <v>#DIV/0!</v>
      </c>
      <c r="CX87" s="50" t="e">
        <v>#DIV/0!</v>
      </c>
      <c r="CY87" s="49" t="e">
        <v>#DIV/0!</v>
      </c>
      <c r="CZ87" s="48" t="e">
        <v>#DIV/0!</v>
      </c>
      <c r="DA87" s="48" t="e">
        <v>#DIV/0!</v>
      </c>
      <c r="DB87" s="48" t="e">
        <v>#DIV/0!</v>
      </c>
      <c r="DC87" s="48" t="e">
        <v>#DIV/0!</v>
      </c>
      <c r="DD87" s="48" t="e">
        <v>#DIV/0!</v>
      </c>
      <c r="DE87" s="48" t="e">
        <v>#DIV/0!</v>
      </c>
      <c r="DF87" s="48" t="e">
        <v>#DIV/0!</v>
      </c>
      <c r="DG87" s="235" t="e">
        <v>#DIV/0!</v>
      </c>
      <c r="DH87" s="235" t="e">
        <v>#DIV/0!</v>
      </c>
      <c r="DI87" s="235" t="e">
        <v>#DIV/0!</v>
      </c>
    </row>
    <row r="88" spans="1:113" outlineLevel="1">
      <c r="A88" s="1" t="s">
        <v>700</v>
      </c>
      <c r="B88" s="19" t="s">
        <v>384</v>
      </c>
      <c r="C88" s="235">
        <v>5.8861565227638891E-2</v>
      </c>
      <c r="D88" s="235">
        <v>4.1810267545869279E-2</v>
      </c>
      <c r="E88" s="235">
        <v>3.127093790846084E-2</v>
      </c>
      <c r="F88" s="235">
        <v>2.0026492973091604E-2</v>
      </c>
      <c r="G88" s="235">
        <v>2.7412346088958227E-2</v>
      </c>
      <c r="H88" s="235">
        <v>2.5545407410361744E-2</v>
      </c>
      <c r="I88" s="235">
        <v>2.8196616302169672E-2</v>
      </c>
      <c r="J88" s="235">
        <v>3.0575233223411415E-2</v>
      </c>
      <c r="K88" s="235">
        <v>3.3798803145988918E-2</v>
      </c>
      <c r="L88" s="235">
        <v>3.4666177188479287E-2</v>
      </c>
      <c r="M88" s="48">
        <v>3.4178416648155768E-2</v>
      </c>
      <c r="N88" s="48">
        <v>3.4823268726841515E-2</v>
      </c>
      <c r="O88" s="48">
        <v>3.9565646328599581E-2</v>
      </c>
      <c r="P88" s="48">
        <v>3.6975132951923437E-2</v>
      </c>
      <c r="Q88" s="48">
        <v>4.5081150785077656E-2</v>
      </c>
      <c r="R88" s="48">
        <v>5.0780635761459234E-2</v>
      </c>
      <c r="S88" s="48">
        <v>5.8502876941929516E-2</v>
      </c>
      <c r="T88" s="50">
        <v>5.6820779940393577E-2</v>
      </c>
      <c r="U88" s="48">
        <v>6.2985287083737893E-2</v>
      </c>
      <c r="V88" s="48">
        <v>6.3332237196030275E-2</v>
      </c>
      <c r="W88" s="48">
        <v>5.7842721709694997E-2</v>
      </c>
      <c r="X88" s="48">
        <v>7.5118105591232567E-2</v>
      </c>
      <c r="Y88" s="50">
        <v>7.1346392737697079E-2</v>
      </c>
      <c r="Z88" s="50">
        <v>5.3963594933494605E-2</v>
      </c>
      <c r="AA88" s="50">
        <v>5.9639054806392172E-2</v>
      </c>
      <c r="AB88" s="50">
        <v>5.8576080304401049E-2</v>
      </c>
      <c r="AC88" s="50">
        <v>6.6386132105231546E-2</v>
      </c>
      <c r="AD88" s="50">
        <v>6.2651739840135737E-2</v>
      </c>
      <c r="AE88" s="50">
        <v>5.8128798236652492E-2</v>
      </c>
      <c r="AF88" s="50">
        <v>7.5911489831449755E-2</v>
      </c>
      <c r="AG88" s="50">
        <v>4.9065997178644224E-2</v>
      </c>
      <c r="AH88" s="50">
        <v>2.5684038974758149E-2</v>
      </c>
      <c r="AI88" s="50">
        <v>1.0080394142731862E-2</v>
      </c>
      <c r="AJ88" s="50">
        <v>3.5550670140567765E-2</v>
      </c>
      <c r="AK88" s="50">
        <v>0.54525407251084823</v>
      </c>
      <c r="AL88" s="50" t="e">
        <v>#DIV/0!</v>
      </c>
      <c r="AM88" s="50" t="s">
        <v>215</v>
      </c>
      <c r="AN88" s="50" t="s">
        <v>215</v>
      </c>
      <c r="AO88" s="50" t="s">
        <v>215</v>
      </c>
      <c r="AP88" s="50" t="s">
        <v>215</v>
      </c>
      <c r="AQ88" s="50" t="s">
        <v>215</v>
      </c>
      <c r="AR88" s="50" t="s">
        <v>215</v>
      </c>
      <c r="AS88" s="50" t="s">
        <v>215</v>
      </c>
      <c r="AT88" s="50" t="s">
        <v>215</v>
      </c>
      <c r="AU88" s="50" t="s">
        <v>215</v>
      </c>
      <c r="AV88" s="50" t="s">
        <v>215</v>
      </c>
      <c r="AW88" s="49" t="s">
        <v>215</v>
      </c>
      <c r="AX88" s="235" t="s">
        <v>215</v>
      </c>
      <c r="AY88" s="235" t="s">
        <v>215</v>
      </c>
      <c r="AZ88" s="235" t="s">
        <v>215</v>
      </c>
      <c r="BA88" s="235" t="s">
        <v>215</v>
      </c>
      <c r="BB88" s="235" t="s">
        <v>215</v>
      </c>
      <c r="BC88" s="235" t="s">
        <v>215</v>
      </c>
      <c r="BD88" s="235" t="s">
        <v>215</v>
      </c>
      <c r="BE88" s="235" t="s">
        <v>215</v>
      </c>
      <c r="BF88" s="235" t="s">
        <v>215</v>
      </c>
      <c r="BG88" s="235" t="s">
        <v>215</v>
      </c>
      <c r="BH88" s="235" t="s">
        <v>215</v>
      </c>
      <c r="BI88" s="235" t="s">
        <v>215</v>
      </c>
      <c r="BJ88" s="235" t="s">
        <v>215</v>
      </c>
      <c r="BK88" s="235" t="s">
        <v>215</v>
      </c>
      <c r="BL88" s="235" t="s">
        <v>215</v>
      </c>
      <c r="BM88" s="235" t="s">
        <v>215</v>
      </c>
      <c r="BN88" s="235" t="s">
        <v>215</v>
      </c>
      <c r="BO88" s="235" t="s">
        <v>215</v>
      </c>
      <c r="BP88" s="235" t="s">
        <v>215</v>
      </c>
      <c r="BQ88" s="235" t="s">
        <v>215</v>
      </c>
      <c r="BR88" s="236"/>
      <c r="BS88" s="235" t="e">
        <v>#DIV/0!</v>
      </c>
      <c r="BT88" s="235" t="e">
        <v>#DIV/0!</v>
      </c>
      <c r="BU88" s="235" t="e">
        <v>#DIV/0!</v>
      </c>
      <c r="BV88" s="235" t="e">
        <v>#DIV/0!</v>
      </c>
      <c r="BW88" s="235" t="e">
        <v>#DIV/0!</v>
      </c>
      <c r="BX88" s="235" t="e">
        <v>#DIV/0!</v>
      </c>
      <c r="BY88" s="235" t="e">
        <v>#DIV/0!</v>
      </c>
      <c r="BZ88" s="235" t="e">
        <v>#DIV/0!</v>
      </c>
      <c r="CA88" s="235">
        <v>2.5789098963689583E-2</v>
      </c>
      <c r="CB88" s="235">
        <v>4.8479287339182962E-2</v>
      </c>
      <c r="CC88" s="48">
        <v>3.6044656923517389E-2</v>
      </c>
      <c r="CD88" s="48">
        <v>2.3408378777532893E-2</v>
      </c>
      <c r="CE88" s="48">
        <v>2.6870250565075689E-2</v>
      </c>
      <c r="CF88" s="48">
        <v>3.2167557516077729E-2</v>
      </c>
      <c r="CG88" s="48">
        <v>3.4444665458269338E-2</v>
      </c>
      <c r="CH88" s="48">
        <v>3.7191412020868501E-2</v>
      </c>
      <c r="CI88" s="48">
        <v>4.0867971992383421E-2</v>
      </c>
      <c r="CJ88" s="48">
        <v>5.4504244984323102E-2</v>
      </c>
      <c r="CK88" s="48">
        <v>5.9829090962073637E-2</v>
      </c>
      <c r="CL88" s="48">
        <v>6.0672349601985774E-2</v>
      </c>
      <c r="CM88" s="50">
        <v>7.3276283664473196E-2</v>
      </c>
      <c r="CN88" s="50">
        <v>5.6778366818119146E-2</v>
      </c>
      <c r="CO88" s="50">
        <v>6.2457899654505551E-2</v>
      </c>
      <c r="CP88" s="50">
        <v>6.0424684700220263E-2</v>
      </c>
      <c r="CQ88" s="50">
        <v>6.1611336611834086E-2</v>
      </c>
      <c r="CR88" s="50">
        <v>1.7570296902669535E-2</v>
      </c>
      <c r="CS88" s="50">
        <v>1.8936785569347612E-2</v>
      </c>
      <c r="CT88" s="50" t="e">
        <v>#DIV/0!</v>
      </c>
      <c r="CU88" s="50" t="s">
        <v>215</v>
      </c>
      <c r="CV88" s="50" t="s">
        <v>215</v>
      </c>
      <c r="CW88" s="50" t="s">
        <v>215</v>
      </c>
      <c r="CX88" s="50" t="s">
        <v>215</v>
      </c>
      <c r="CY88" s="49" t="s">
        <v>215</v>
      </c>
      <c r="CZ88" s="48" t="s">
        <v>215</v>
      </c>
      <c r="DA88" s="48" t="s">
        <v>215</v>
      </c>
      <c r="DB88" s="48" t="s">
        <v>215</v>
      </c>
      <c r="DC88" s="48" t="s">
        <v>215</v>
      </c>
      <c r="DD88" s="48" t="s">
        <v>215</v>
      </c>
      <c r="DE88" s="48" t="s">
        <v>215</v>
      </c>
      <c r="DF88" s="48" t="s">
        <v>215</v>
      </c>
      <c r="DG88" s="235" t="s">
        <v>215</v>
      </c>
      <c r="DH88" s="235" t="s">
        <v>215</v>
      </c>
      <c r="DI88" s="235" t="s">
        <v>215</v>
      </c>
    </row>
    <row r="89" spans="1:113" outlineLevel="1">
      <c r="A89" s="1" t="s">
        <v>701</v>
      </c>
      <c r="B89" s="19" t="s">
        <v>321</v>
      </c>
      <c r="C89" s="235">
        <v>2.0483004842469169E-4</v>
      </c>
      <c r="D89" s="235">
        <v>5.9553633379065486E-4</v>
      </c>
      <c r="E89" s="235">
        <v>5.3717646494741542E-4</v>
      </c>
      <c r="F89" s="235">
        <v>-3.2839598516924148E-4</v>
      </c>
      <c r="G89" s="235">
        <v>4.6236027830110117E-4</v>
      </c>
      <c r="H89" s="235">
        <v>6.7643957587935346E-4</v>
      </c>
      <c r="I89" s="235">
        <v>1.1714629075154572E-3</v>
      </c>
      <c r="J89" s="235">
        <v>1.9476588382483237E-4</v>
      </c>
      <c r="K89" s="235">
        <v>4.41100909657754E-4</v>
      </c>
      <c r="L89" s="235">
        <v>-1.4888828179333176E-5</v>
      </c>
      <c r="M89" s="48">
        <v>4.7306752977784017E-4</v>
      </c>
      <c r="N89" s="48">
        <v>5.6903821005835061E-4</v>
      </c>
      <c r="O89" s="48">
        <v>4.2591840698580873E-5</v>
      </c>
      <c r="P89" s="48">
        <v>-1.2640803061699207E-4</v>
      </c>
      <c r="Q89" s="48">
        <v>-3.2742691851307489E-6</v>
      </c>
      <c r="R89" s="48">
        <v>1.0442461394005655E-5</v>
      </c>
      <c r="S89" s="48">
        <v>4.3837439657589165E-5</v>
      </c>
      <c r="T89" s="50">
        <v>7.8418794021315759E-5</v>
      </c>
      <c r="U89" s="48">
        <v>9.3150453812103524E-5</v>
      </c>
      <c r="V89" s="48">
        <v>-1.3063738114180669E-4</v>
      </c>
      <c r="W89" s="48">
        <v>9.0433408925752684E-4</v>
      </c>
      <c r="X89" s="48">
        <v>4.5405849934033549E-4</v>
      </c>
      <c r="Y89" s="50">
        <v>4.0606583961878622E-4</v>
      </c>
      <c r="Z89" s="50">
        <v>3.1906255400570801E-4</v>
      </c>
      <c r="AA89" s="50">
        <v>1.7936675476349915E-4</v>
      </c>
      <c r="AB89" s="50">
        <v>2.0408984451211729E-4</v>
      </c>
      <c r="AC89" s="50">
        <v>1.47678954651485E-4</v>
      </c>
      <c r="AD89" s="50">
        <v>3.1050997977334898E-4</v>
      </c>
      <c r="AE89" s="50">
        <v>5.5085719746854334E-4</v>
      </c>
      <c r="AF89" s="50">
        <v>4.4688329797301434E-4</v>
      </c>
      <c r="AG89" s="50">
        <v>4.8123350690491194E-4</v>
      </c>
      <c r="AH89" s="50">
        <v>3.2354585119081462E-4</v>
      </c>
      <c r="AI89" s="50">
        <v>3.371169211098525E-4</v>
      </c>
      <c r="AJ89" s="50">
        <v>3.0341691212447364E-4</v>
      </c>
      <c r="AK89" s="50">
        <v>1.3162543874368129E-4</v>
      </c>
      <c r="AL89" s="50">
        <v>3.4031044981481655E-4</v>
      </c>
      <c r="AM89" s="50">
        <v>1.362136571822047E-4</v>
      </c>
      <c r="AN89" s="50">
        <v>3.4635398624409419E-4</v>
      </c>
      <c r="AO89" s="50">
        <v>1.8049667329491495E-4</v>
      </c>
      <c r="AP89" s="50">
        <v>8.4715845646336638E-5</v>
      </c>
      <c r="AQ89" s="50">
        <v>5.6449663617742026E-4</v>
      </c>
      <c r="AR89" s="50">
        <v>5.9225407060340698E-4</v>
      </c>
      <c r="AS89" s="50">
        <v>5.4666090942802066E-4</v>
      </c>
      <c r="AT89" s="50">
        <v>9.2192475067989045E-5</v>
      </c>
      <c r="AU89" s="50">
        <v>1.1503538519126822E-4</v>
      </c>
      <c r="AV89" s="50">
        <v>1.5675095528143649E-4</v>
      </c>
      <c r="AW89" s="49">
        <v>5.6905262949173508E-5</v>
      </c>
      <c r="AX89" s="510">
        <v>5.6905262949173508E-5</v>
      </c>
      <c r="AY89" s="510">
        <v>5.6905262949173508E-5</v>
      </c>
      <c r="AZ89" s="510">
        <v>5.6905262949173508E-5</v>
      </c>
      <c r="BA89" s="510">
        <v>5.6905262949173508E-5</v>
      </c>
      <c r="BB89" s="510">
        <v>5.6905262949173508E-5</v>
      </c>
      <c r="BC89" s="510">
        <v>5.6905262949173508E-5</v>
      </c>
      <c r="BD89" s="510">
        <v>5.6905262949173508E-5</v>
      </c>
      <c r="BE89" s="510">
        <v>5.6905262949173508E-5</v>
      </c>
      <c r="BF89" s="510">
        <v>5.6905262949173508E-5</v>
      </c>
      <c r="BG89" s="510">
        <v>5.6905262949173508E-5</v>
      </c>
      <c r="BH89" s="510">
        <v>5.6905262949173508E-5</v>
      </c>
      <c r="BI89" s="510">
        <v>5.6905262949173508E-5</v>
      </c>
      <c r="BJ89" s="510">
        <v>5.6905262949173508E-5</v>
      </c>
      <c r="BK89" s="510">
        <v>5.6905262949173508E-5</v>
      </c>
      <c r="BL89" s="510">
        <v>5.6905262949173508E-5</v>
      </c>
      <c r="BM89" s="510">
        <v>5.6905262949173508E-5</v>
      </c>
      <c r="BN89" s="510">
        <v>5.6905262949173508E-5</v>
      </c>
      <c r="BO89" s="510">
        <v>5.6905262949173508E-5</v>
      </c>
      <c r="BP89" s="510">
        <v>5.6905262949173508E-5</v>
      </c>
      <c r="BQ89" s="510">
        <v>5.6905262949173508E-5</v>
      </c>
      <c r="BR89" s="48"/>
      <c r="BS89" s="235">
        <v>2.3567465793380357E-3</v>
      </c>
      <c r="BT89" s="235">
        <v>1.8977182346599491E-3</v>
      </c>
      <c r="BU89" s="235">
        <v>1.334233171023623E-3</v>
      </c>
      <c r="BV89" s="235">
        <v>1.5708142708476508E-3</v>
      </c>
      <c r="BW89" s="235">
        <v>6.674910766982378E-4</v>
      </c>
      <c r="BX89" s="235">
        <v>6.4109546409398584E-4</v>
      </c>
      <c r="BY89" s="235">
        <v>1.3422013816106987E-3</v>
      </c>
      <c r="BZ89" s="235">
        <v>9.6364410430810094E-4</v>
      </c>
      <c r="CA89" s="235">
        <v>6.4251277567813785E-4</v>
      </c>
      <c r="CB89" s="235">
        <v>6.8745321498953548E-4</v>
      </c>
      <c r="CC89" s="48">
        <v>5.6555872768260045E-4</v>
      </c>
      <c r="CD89" s="48">
        <v>6.8652244834809754E-5</v>
      </c>
      <c r="CE89" s="48">
        <v>9.3176794301172384E-4</v>
      </c>
      <c r="CF89" s="48">
        <v>3.2003129520137834E-4</v>
      </c>
      <c r="CG89" s="48">
        <v>2.3381273061607219E-4</v>
      </c>
      <c r="CH89" s="48">
        <v>2.8128946281692443E-4</v>
      </c>
      <c r="CI89" s="48">
        <v>-6.2689020102843878E-5</v>
      </c>
      <c r="CJ89" s="48">
        <v>2.7742888993134894E-5</v>
      </c>
      <c r="CK89" s="48">
        <v>8.5736961319885763E-5</v>
      </c>
      <c r="CL89" s="48">
        <v>3.8777888869862069E-4</v>
      </c>
      <c r="CM89" s="50">
        <v>4.2999278114309029E-4</v>
      </c>
      <c r="CN89" s="50">
        <v>2.4923335819020695E-4</v>
      </c>
      <c r="CO89" s="50">
        <v>1.7556843783779998E-4</v>
      </c>
      <c r="CP89" s="50">
        <v>4.3235383977716346E-4</v>
      </c>
      <c r="CQ89" s="50">
        <v>4.62211665952544E-4</v>
      </c>
      <c r="CR89" s="50">
        <v>3.3023531659316803E-4</v>
      </c>
      <c r="CS89" s="50">
        <v>2.1805070457633915E-4</v>
      </c>
      <c r="CT89" s="50">
        <v>2.3885851741823895E-4</v>
      </c>
      <c r="CU89" s="50">
        <v>2.6222154238859382E-4</v>
      </c>
      <c r="CV89" s="50">
        <v>3.254957502561624E-4</v>
      </c>
      <c r="CW89" s="50">
        <v>5.6905176147869303E-4</v>
      </c>
      <c r="CX89" s="50">
        <v>1.0362152901495793E-4</v>
      </c>
      <c r="CY89" s="49">
        <v>1.0692687963740686E-4</v>
      </c>
      <c r="CZ89" s="48">
        <v>5.689574064952787E-5</v>
      </c>
      <c r="DA89" s="48">
        <v>5.6896758178272713E-5</v>
      </c>
      <c r="DB89" s="48">
        <v>5.6897688303121077E-5</v>
      </c>
      <c r="DC89" s="48">
        <v>5.6899875979061171E-5</v>
      </c>
      <c r="DD89" s="48">
        <v>5.6897134655468756E-5</v>
      </c>
      <c r="DE89" s="48">
        <v>5.6897109829559375E-5</v>
      </c>
      <c r="DF89" s="48">
        <v>5.6896734293833927E-5</v>
      </c>
      <c r="DG89" s="48">
        <v>5.6899357202477041E-5</v>
      </c>
      <c r="DH89" s="48">
        <v>5.6896376485834077E-5</v>
      </c>
      <c r="DI89" s="48">
        <v>5.6896372690556603E-5</v>
      </c>
    </row>
    <row r="90" spans="1:113" outlineLevel="1">
      <c r="B90" s="24"/>
      <c r="AI90" s="50"/>
      <c r="AJ90" s="50"/>
      <c r="AK90" s="50"/>
      <c r="AL90" s="50"/>
      <c r="AM90" s="55"/>
      <c r="AN90" s="55"/>
      <c r="AO90" s="55"/>
      <c r="AP90" s="50"/>
      <c r="AQ90" s="782"/>
      <c r="AR90" s="782"/>
      <c r="AS90" s="782"/>
      <c r="AT90" s="782"/>
      <c r="AU90" s="782"/>
      <c r="AV90" s="782"/>
      <c r="AW90" s="801"/>
      <c r="AY90" s="109"/>
      <c r="AZ90" s="234"/>
      <c r="BA90" s="109"/>
      <c r="BB90" s="234"/>
      <c r="BC90" s="109"/>
      <c r="BD90" s="234"/>
      <c r="BE90" s="109"/>
      <c r="BF90" s="234"/>
      <c r="BG90" s="234"/>
      <c r="BH90" s="234"/>
      <c r="BI90" s="234"/>
      <c r="BJ90" s="234"/>
      <c r="BK90" s="234"/>
      <c r="BL90" s="234"/>
      <c r="BM90" s="234"/>
      <c r="BN90" s="234"/>
      <c r="BO90" s="234"/>
      <c r="BP90" s="234"/>
      <c r="BQ90" s="234"/>
      <c r="CY90" s="22"/>
    </row>
    <row r="91" spans="1:113" outlineLevel="1">
      <c r="B91" s="24" t="s">
        <v>322</v>
      </c>
      <c r="AI91" s="55"/>
      <c r="AM91" s="55"/>
      <c r="AN91" s="55"/>
      <c r="AO91" s="109"/>
      <c r="AP91" s="109"/>
      <c r="AQ91" s="109"/>
      <c r="AR91" s="782"/>
      <c r="AS91" s="782"/>
      <c r="AT91" s="782"/>
      <c r="AU91" s="782"/>
      <c r="AV91" s="782"/>
      <c r="AW91" s="43"/>
      <c r="AX91" s="19"/>
      <c r="AY91" s="45"/>
      <c r="AZ91" s="19"/>
      <c r="BA91" s="45"/>
      <c r="BB91" s="109"/>
      <c r="BC91" s="109"/>
      <c r="CT91" s="109"/>
      <c r="CU91" s="109"/>
      <c r="CY91" s="801"/>
      <c r="CZ91" s="109"/>
      <c r="DA91" s="109"/>
    </row>
    <row r="92" spans="1:113" outlineLevel="1">
      <c r="A92" s="1" t="s">
        <v>840</v>
      </c>
      <c r="B92" s="19" t="s">
        <v>459</v>
      </c>
      <c r="C92" s="53">
        <v>34960</v>
      </c>
      <c r="D92" s="53">
        <v>34265</v>
      </c>
      <c r="E92" s="53">
        <v>34498</v>
      </c>
      <c r="F92" s="53">
        <v>36421</v>
      </c>
      <c r="G92" s="53">
        <v>35845</v>
      </c>
      <c r="H92" s="53">
        <v>34956</v>
      </c>
      <c r="I92" s="53">
        <v>36296</v>
      </c>
      <c r="J92" s="53">
        <v>35442</v>
      </c>
      <c r="K92" s="53">
        <v>35313</v>
      </c>
      <c r="L92" s="53">
        <v>34918</v>
      </c>
      <c r="M92" s="53">
        <v>36664</v>
      </c>
      <c r="N92" s="53">
        <v>37216</v>
      </c>
      <c r="O92" s="53">
        <v>37873</v>
      </c>
      <c r="P92" s="53">
        <v>38452</v>
      </c>
      <c r="Q92" s="53">
        <v>39621</v>
      </c>
      <c r="R92" s="53">
        <v>45013</v>
      </c>
      <c r="S92" s="53">
        <v>44218</v>
      </c>
      <c r="T92" s="53">
        <v>43423</v>
      </c>
      <c r="U92" s="53">
        <v>45025</v>
      </c>
      <c r="V92" s="53">
        <v>45025</v>
      </c>
      <c r="W92" s="53">
        <v>46060</v>
      </c>
      <c r="X92" s="53">
        <v>45810</v>
      </c>
      <c r="Y92" s="53">
        <v>44844</v>
      </c>
      <c r="Z92" s="53">
        <v>44363</v>
      </c>
      <c r="AA92" s="164">
        <v>44969</v>
      </c>
      <c r="AB92" s="164">
        <v>44007</v>
      </c>
      <c r="AC92" s="164">
        <v>44329</v>
      </c>
      <c r="AD92" s="164">
        <v>44520</v>
      </c>
      <c r="AE92" s="164">
        <v>45948</v>
      </c>
      <c r="AF92" s="164">
        <v>45221</v>
      </c>
      <c r="AG92" s="164">
        <v>45129</v>
      </c>
      <c r="AH92" s="164">
        <v>43660</v>
      </c>
      <c r="AI92" s="164">
        <v>44024</v>
      </c>
      <c r="AJ92" s="164">
        <v>41308</v>
      </c>
      <c r="AK92" s="164">
        <v>42462</v>
      </c>
      <c r="AL92" s="164">
        <v>41069.702523240368</v>
      </c>
      <c r="AM92" s="164">
        <v>41458</v>
      </c>
      <c r="AN92" s="164">
        <v>40519</v>
      </c>
      <c r="AO92" s="164">
        <v>41778</v>
      </c>
      <c r="AP92" s="164">
        <v>42720</v>
      </c>
      <c r="AQ92" s="164">
        <v>44375</v>
      </c>
      <c r="AR92" s="164">
        <v>47532</v>
      </c>
      <c r="AS92" s="164">
        <v>49245</v>
      </c>
      <c r="AT92" s="164">
        <v>48538</v>
      </c>
      <c r="AU92" s="164">
        <v>49219</v>
      </c>
      <c r="AV92" s="164">
        <v>49216</v>
      </c>
      <c r="AW92" s="171">
        <v>49274</v>
      </c>
      <c r="AX92" s="54">
        <v>49274</v>
      </c>
      <c r="AY92" s="54">
        <v>49274</v>
      </c>
      <c r="AZ92" s="54">
        <v>49374</v>
      </c>
      <c r="BA92" s="54">
        <v>49474</v>
      </c>
      <c r="BB92" s="54">
        <v>49574</v>
      </c>
      <c r="BC92" s="54">
        <v>49674</v>
      </c>
      <c r="BD92" s="54">
        <v>49774</v>
      </c>
      <c r="BE92" s="54">
        <v>49874</v>
      </c>
      <c r="BF92" s="54">
        <v>49974</v>
      </c>
      <c r="BG92" s="54">
        <v>50074</v>
      </c>
      <c r="BH92" s="54">
        <v>50174</v>
      </c>
      <c r="BI92" s="54">
        <v>50274</v>
      </c>
      <c r="BJ92" s="54">
        <v>50374</v>
      </c>
      <c r="BK92" s="54">
        <v>50474</v>
      </c>
      <c r="BL92" s="54">
        <v>50574</v>
      </c>
      <c r="BM92" s="54">
        <v>50674</v>
      </c>
      <c r="BN92" s="54">
        <v>50774</v>
      </c>
      <c r="BO92" s="54">
        <v>50874</v>
      </c>
      <c r="BP92" s="54">
        <v>50974</v>
      </c>
      <c r="BQ92" s="54">
        <v>51074</v>
      </c>
      <c r="BR92" s="55"/>
      <c r="BS92" s="53">
        <v>41571</v>
      </c>
      <c r="BT92" s="53">
        <v>42329</v>
      </c>
      <c r="BU92" s="53">
        <v>37269</v>
      </c>
      <c r="BV92" s="53">
        <v>35822</v>
      </c>
      <c r="BW92" s="53">
        <v>36084</v>
      </c>
      <c r="BX92" s="53">
        <v>33543</v>
      </c>
      <c r="BY92" s="53">
        <v>30743</v>
      </c>
      <c r="BZ92" s="53">
        <v>28964</v>
      </c>
      <c r="CA92" s="53">
        <v>37131</v>
      </c>
      <c r="CB92" s="53">
        <v>34960</v>
      </c>
      <c r="CC92" s="55">
        <v>34498</v>
      </c>
      <c r="CD92" s="55">
        <v>35845</v>
      </c>
      <c r="CE92" s="55">
        <v>36296</v>
      </c>
      <c r="CF92" s="55">
        <v>35313</v>
      </c>
      <c r="CG92" s="55">
        <v>36664</v>
      </c>
      <c r="CH92" s="55">
        <v>37873</v>
      </c>
      <c r="CI92" s="55">
        <v>39621</v>
      </c>
      <c r="CJ92" s="55">
        <v>44218</v>
      </c>
      <c r="CK92" s="55">
        <v>45025</v>
      </c>
      <c r="CL92" s="55">
        <v>46060</v>
      </c>
      <c r="CM92" s="55">
        <v>44844</v>
      </c>
      <c r="CN92" s="55">
        <v>44969</v>
      </c>
      <c r="CO92" s="55">
        <v>44329</v>
      </c>
      <c r="CP92" s="55">
        <v>45948</v>
      </c>
      <c r="CQ92" s="55">
        <v>45129</v>
      </c>
      <c r="CR92" s="55">
        <v>44024</v>
      </c>
      <c r="CS92" s="55">
        <v>42462</v>
      </c>
      <c r="CT92" s="55">
        <v>41458</v>
      </c>
      <c r="CU92" s="55">
        <v>41778</v>
      </c>
      <c r="CV92" s="55">
        <v>44375</v>
      </c>
      <c r="CW92" s="55">
        <v>49245</v>
      </c>
      <c r="CX92" s="55">
        <v>49219</v>
      </c>
      <c r="CY92" s="56">
        <v>49274</v>
      </c>
      <c r="CZ92" s="55">
        <v>49274</v>
      </c>
      <c r="DA92" s="55">
        <v>49474</v>
      </c>
      <c r="DB92" s="55">
        <v>49674</v>
      </c>
      <c r="DC92" s="55">
        <v>49874</v>
      </c>
      <c r="DD92" s="55">
        <v>50074</v>
      </c>
      <c r="DE92" s="55">
        <v>50274</v>
      </c>
      <c r="DF92" s="55">
        <v>50474</v>
      </c>
      <c r="DG92" s="55">
        <v>50674</v>
      </c>
      <c r="DH92" s="55">
        <v>50874</v>
      </c>
      <c r="DI92" s="55">
        <v>50974</v>
      </c>
    </row>
    <row r="93" spans="1:113" outlineLevel="1">
      <c r="A93" s="1" t="s">
        <v>841</v>
      </c>
      <c r="B93" s="19" t="s">
        <v>976</v>
      </c>
      <c r="C93" s="55">
        <v>66969.196050419108</v>
      </c>
      <c r="D93" s="55">
        <v>69633.520184653084</v>
      </c>
      <c r="E93" s="55">
        <v>68917.15422891808</v>
      </c>
      <c r="F93" s="55">
        <v>67802.397959214955</v>
      </c>
      <c r="G93" s="55">
        <v>70599.36486947471</v>
      </c>
      <c r="H93" s="55">
        <v>78665.064298404031</v>
      </c>
      <c r="I93" s="55">
        <v>74566.790644935812</v>
      </c>
      <c r="J93" s="55">
        <v>74162.532258084073</v>
      </c>
      <c r="K93" s="55">
        <v>78776.230014785295</v>
      </c>
      <c r="L93" s="55">
        <v>78295.971121386377</v>
      </c>
      <c r="M93" s="55">
        <v>80964.982245760417</v>
      </c>
      <c r="N93" s="55">
        <v>85222.658364916089</v>
      </c>
      <c r="O93" s="55">
        <v>88194.421809140069</v>
      </c>
      <c r="P93" s="55">
        <v>92778.307865392562</v>
      </c>
      <c r="Q93" s="55">
        <v>96900.857650412552</v>
      </c>
      <c r="R93" s="55">
        <v>100926.26460123436</v>
      </c>
      <c r="S93" s="55">
        <v>94872.635188412532</v>
      </c>
      <c r="T93" s="55">
        <v>103619.98032487277</v>
      </c>
      <c r="U93" s="55">
        <v>104604.33473786889</v>
      </c>
      <c r="V93" s="55">
        <v>106487.33795234533</v>
      </c>
      <c r="W93" s="55">
        <v>104941.1377933974</v>
      </c>
      <c r="X93" s="55">
        <v>107305.21862177651</v>
      </c>
      <c r="Y93" s="55">
        <v>109540.2710996066</v>
      </c>
      <c r="Z93" s="55">
        <v>115899.22023081635</v>
      </c>
      <c r="AA93" s="55">
        <v>118558.29628528305</v>
      </c>
      <c r="AB93" s="55">
        <v>124181.63080615779</v>
      </c>
      <c r="AC93" s="55">
        <v>125876.11240256939</v>
      </c>
      <c r="AD93" s="55">
        <v>129762.17099162379</v>
      </c>
      <c r="AE93" s="55">
        <v>129730.55763803543</v>
      </c>
      <c r="AF93" s="55">
        <v>134355.59474592574</v>
      </c>
      <c r="AG93" s="55">
        <v>137552.98381751066</v>
      </c>
      <c r="AH93" s="55">
        <v>133871.36185592908</v>
      </c>
      <c r="AI93" s="55">
        <v>140151.0597698768</v>
      </c>
      <c r="AJ93" s="55">
        <v>127345.95207669685</v>
      </c>
      <c r="AK93" s="55">
        <v>129992.87050771088</v>
      </c>
      <c r="AL93" s="55">
        <v>131182.94553567798</v>
      </c>
      <c r="AM93" s="55">
        <v>137569.74409810934</v>
      </c>
      <c r="AN93" s="55">
        <v>140006.13109403432</v>
      </c>
      <c r="AO93" s="55">
        <v>139088.29544879461</v>
      </c>
      <c r="AP93" s="55">
        <v>139120.22100857546</v>
      </c>
      <c r="AQ93" s="55">
        <v>139941.17682507733</v>
      </c>
      <c r="AR93" s="55">
        <v>144956.3145353455</v>
      </c>
      <c r="AS93" s="55">
        <v>133108.88385710111</v>
      </c>
      <c r="AT93" s="55">
        <v>143508.20739267828</v>
      </c>
      <c r="AU93" s="55">
        <v>150175.056348143</v>
      </c>
      <c r="AV93" s="55">
        <v>150303.77583088377</v>
      </c>
      <c r="AW93" s="56">
        <v>153912.42933125357</v>
      </c>
      <c r="AX93" s="55">
        <v>156221.11577122236</v>
      </c>
      <c r="AY93" s="55">
        <v>157783.32692893458</v>
      </c>
      <c r="AZ93" s="55">
        <v>159361.16019822392</v>
      </c>
      <c r="BA93" s="55">
        <v>160954.77180020616</v>
      </c>
      <c r="BB93" s="55">
        <v>162564.31951820821</v>
      </c>
      <c r="BC93" s="55">
        <v>164189.9627133903</v>
      </c>
      <c r="BD93" s="55">
        <v>165010.91252695723</v>
      </c>
      <c r="BE93" s="55">
        <v>165835.96708959198</v>
      </c>
      <c r="BF93" s="55">
        <v>167908.91667821188</v>
      </c>
      <c r="BG93" s="55">
        <v>170427.55042838506</v>
      </c>
      <c r="BH93" s="55">
        <v>172983.96368481082</v>
      </c>
      <c r="BI93" s="55">
        <v>175578.72314008296</v>
      </c>
      <c r="BJ93" s="55">
        <v>178212.4039871842</v>
      </c>
      <c r="BK93" s="55">
        <v>181331.12105695994</v>
      </c>
      <c r="BL93" s="55">
        <v>184051.08787281433</v>
      </c>
      <c r="BM93" s="55">
        <v>187271.9819105886</v>
      </c>
      <c r="BN93" s="55">
        <v>189144.7017296945</v>
      </c>
      <c r="BO93" s="55">
        <v>191036.14874699144</v>
      </c>
      <c r="BP93" s="55">
        <v>192946.51023446137</v>
      </c>
      <c r="BQ93" s="55">
        <v>194875.97533680598</v>
      </c>
      <c r="BR93" s="55"/>
      <c r="BS93" s="55">
        <v>42200.091409877081</v>
      </c>
      <c r="BT93" s="55">
        <v>39954.707985697256</v>
      </c>
      <c r="BU93" s="55">
        <v>40805.045352898313</v>
      </c>
      <c r="BV93" s="55">
        <v>41674.077519804079</v>
      </c>
      <c r="BW93" s="55">
        <v>44001.891358162044</v>
      </c>
      <c r="BX93" s="55">
        <v>47768.825312019762</v>
      </c>
      <c r="BY93" s="55">
        <v>50461.997946675794</v>
      </c>
      <c r="BZ93" s="55">
        <v>53729.043495737518</v>
      </c>
      <c r="CA93" s="55">
        <v>51592.40487177547</v>
      </c>
      <c r="CB93" s="55">
        <v>65472.805204533164</v>
      </c>
      <c r="CC93" s="55">
        <v>68818.56661579659</v>
      </c>
      <c r="CD93" s="55">
        <v>70426.339507840152</v>
      </c>
      <c r="CE93" s="55">
        <v>75435.605273007022</v>
      </c>
      <c r="CF93" s="55">
        <v>76051.892918487894</v>
      </c>
      <c r="CG93" s="55">
        <v>78441.72443975159</v>
      </c>
      <c r="CH93" s="55">
        <v>86641.533734923607</v>
      </c>
      <c r="CI93" s="55">
        <v>94484.734302010474</v>
      </c>
      <c r="CJ93" s="55">
        <v>101432.50754422166</v>
      </c>
      <c r="CK93" s="55">
        <v>102708.33566778347</v>
      </c>
      <c r="CL93" s="55">
        <v>105110.61096777735</v>
      </c>
      <c r="CM93" s="55">
        <v>108840.09504532254</v>
      </c>
      <c r="CN93" s="55">
        <v>116508.74594991817</v>
      </c>
      <c r="CO93" s="55">
        <v>124123.72057604873</v>
      </c>
      <c r="CP93" s="55">
        <v>128847.87930480632</v>
      </c>
      <c r="CQ93" s="55">
        <v>135467.79099004139</v>
      </c>
      <c r="CR93" s="55">
        <v>135564.70337509675</v>
      </c>
      <c r="CS93" s="55">
        <v>128090.9990108803</v>
      </c>
      <c r="CT93" s="55">
        <v>134521.68459645909</v>
      </c>
      <c r="CU93" s="55">
        <v>137177.4618220116</v>
      </c>
      <c r="CV93" s="55">
        <v>134873.23943661971</v>
      </c>
      <c r="CW93" s="55">
        <v>133049.04051172707</v>
      </c>
      <c r="CX93" s="55">
        <v>145817.6720372214</v>
      </c>
      <c r="CY93" s="56">
        <v>151966.55436944435</v>
      </c>
      <c r="CZ93" s="55">
        <v>156995.80130422485</v>
      </c>
      <c r="DA93" s="55">
        <v>159827.18358094982</v>
      </c>
      <c r="DB93" s="55">
        <v>163041.04165518589</v>
      </c>
      <c r="DC93" s="55">
        <v>165089.01469318589</v>
      </c>
      <c r="DD93" s="55">
        <v>168819.9362918041</v>
      </c>
      <c r="DE93" s="55">
        <v>173923.90392073002</v>
      </c>
      <c r="DF93" s="55">
        <v>179402.88522223444</v>
      </c>
      <c r="DG93" s="55">
        <v>185286.95576773805</v>
      </c>
      <c r="DH93" s="55">
        <v>189708.411920065</v>
      </c>
      <c r="DI93" s="55">
        <v>193902.69643841987</v>
      </c>
    </row>
    <row r="94" spans="1:113" outlineLevel="1">
      <c r="A94" s="1" t="s">
        <v>977</v>
      </c>
      <c r="B94" s="19" t="s">
        <v>559</v>
      </c>
      <c r="C94" s="230"/>
      <c r="D94" s="230"/>
      <c r="E94" s="230"/>
      <c r="F94" s="230"/>
      <c r="G94" s="230"/>
      <c r="H94" s="230"/>
      <c r="I94" s="230"/>
      <c r="J94" s="230"/>
      <c r="K94" s="230"/>
      <c r="L94" s="230"/>
      <c r="M94" s="57"/>
      <c r="N94" s="57"/>
      <c r="O94" s="57"/>
      <c r="P94" s="57"/>
      <c r="Q94" s="57"/>
      <c r="R94" s="57"/>
      <c r="S94" s="57"/>
      <c r="T94" s="58"/>
      <c r="U94" s="57"/>
      <c r="V94" s="57"/>
      <c r="W94" s="57"/>
      <c r="X94" s="57"/>
      <c r="Y94" s="58"/>
      <c r="Z94" s="58"/>
      <c r="AA94" s="58"/>
      <c r="AB94" s="58"/>
      <c r="AC94" s="58"/>
      <c r="AD94" s="58"/>
      <c r="AE94" s="58"/>
      <c r="AF94" s="58"/>
      <c r="AG94" s="637"/>
      <c r="AH94" s="637"/>
      <c r="AI94" s="637"/>
      <c r="AJ94" s="637"/>
      <c r="AK94" s="637"/>
      <c r="AL94" s="637"/>
      <c r="AM94" s="637"/>
      <c r="AN94" s="637"/>
      <c r="AO94" s="637"/>
      <c r="AP94" s="637"/>
      <c r="AQ94" s="637"/>
      <c r="AR94" s="637"/>
      <c r="AS94" s="637"/>
      <c r="AT94" s="637"/>
      <c r="AU94" s="637"/>
      <c r="AV94" s="637"/>
      <c r="AW94" s="601"/>
      <c r="AX94" s="486">
        <v>0.6</v>
      </c>
      <c r="AY94" s="486">
        <v>0.6</v>
      </c>
      <c r="AZ94" s="486">
        <v>0.6</v>
      </c>
      <c r="BA94" s="486">
        <v>0.6</v>
      </c>
      <c r="BB94" s="486">
        <v>0.6</v>
      </c>
      <c r="BC94" s="486">
        <v>0.6</v>
      </c>
      <c r="BD94" s="486">
        <v>0.6</v>
      </c>
      <c r="BE94" s="486">
        <v>0.6</v>
      </c>
      <c r="BF94" s="486">
        <v>0.6</v>
      </c>
      <c r="BG94" s="486">
        <v>0.6</v>
      </c>
      <c r="BH94" s="486">
        <v>0.6</v>
      </c>
      <c r="BI94" s="486">
        <v>0.6</v>
      </c>
      <c r="BJ94" s="486">
        <v>0.6</v>
      </c>
      <c r="BK94" s="486">
        <v>0.6</v>
      </c>
      <c r="BL94" s="486">
        <v>0.6</v>
      </c>
      <c r="BM94" s="486">
        <v>0.6</v>
      </c>
      <c r="BN94" s="486">
        <v>0.6</v>
      </c>
      <c r="BO94" s="486">
        <v>0.6</v>
      </c>
      <c r="BP94" s="486">
        <v>0.6</v>
      </c>
      <c r="BQ94" s="486">
        <v>0.6</v>
      </c>
      <c r="BR94" s="57"/>
      <c r="BS94" s="230"/>
      <c r="BT94" s="230"/>
      <c r="BU94" s="230"/>
      <c r="BV94" s="230"/>
      <c r="BW94" s="230"/>
      <c r="BX94" s="230"/>
      <c r="BY94" s="230"/>
      <c r="BZ94" s="230"/>
      <c r="CA94" s="230"/>
      <c r="CB94" s="230"/>
      <c r="CC94" s="57"/>
      <c r="CD94" s="57"/>
      <c r="CE94" s="57"/>
      <c r="CF94" s="57"/>
      <c r="CG94" s="57"/>
      <c r="CH94" s="57"/>
      <c r="CI94" s="57"/>
      <c r="CJ94" s="57"/>
      <c r="CK94" s="57"/>
      <c r="CL94" s="57"/>
      <c r="CM94" s="58"/>
      <c r="CN94" s="58"/>
      <c r="CO94" s="58"/>
      <c r="CP94" s="58"/>
      <c r="CQ94" s="58"/>
      <c r="CR94" s="58"/>
      <c r="CS94" s="58"/>
      <c r="CT94" s="58"/>
      <c r="CU94" s="58"/>
      <c r="CV94" s="58"/>
      <c r="CW94" s="58"/>
      <c r="CX94" s="58"/>
      <c r="CY94" s="59"/>
      <c r="CZ94" s="57"/>
      <c r="DA94" s="57"/>
      <c r="DB94" s="57"/>
    </row>
    <row r="95" spans="1:113" outlineLevel="1">
      <c r="A95" s="1" t="s">
        <v>978</v>
      </c>
      <c r="B95" s="19" t="s">
        <v>560</v>
      </c>
      <c r="C95" s="232"/>
      <c r="D95" s="232"/>
      <c r="E95" s="232"/>
      <c r="F95" s="232"/>
      <c r="G95" s="232"/>
      <c r="H95" s="232"/>
      <c r="I95" s="232"/>
      <c r="J95" s="232"/>
      <c r="K95" s="232"/>
      <c r="L95" s="232"/>
      <c r="M95" s="42"/>
      <c r="N95" s="42"/>
      <c r="O95" s="42"/>
      <c r="P95" s="42"/>
      <c r="Q95" s="42"/>
      <c r="R95" s="42"/>
      <c r="S95" s="42"/>
      <c r="T95" s="45"/>
      <c r="U95" s="42"/>
      <c r="V95" s="42"/>
      <c r="W95" s="42"/>
      <c r="X95" s="42"/>
      <c r="Y95" s="45"/>
      <c r="Z95" s="45"/>
      <c r="AA95" s="45"/>
      <c r="AB95" s="45"/>
      <c r="AC95" s="45"/>
      <c r="AD95" s="45"/>
      <c r="AE95" s="45"/>
      <c r="AF95" s="45"/>
      <c r="AG95" s="638"/>
      <c r="AH95" s="638"/>
      <c r="AI95" s="638"/>
      <c r="AJ95" s="638"/>
      <c r="AK95" s="638"/>
      <c r="AL95" s="638"/>
      <c r="AM95" s="638"/>
      <c r="AN95" s="638"/>
      <c r="AO95" s="638"/>
      <c r="AP95" s="638"/>
      <c r="AQ95" s="638"/>
      <c r="AR95" s="638"/>
      <c r="AS95" s="638"/>
      <c r="AT95" s="638"/>
      <c r="AU95" s="638"/>
      <c r="AV95" s="638"/>
      <c r="AW95" s="602"/>
      <c r="AX95" s="511">
        <v>1.4999999999999999E-2</v>
      </c>
      <c r="AY95" s="511">
        <v>0.01</v>
      </c>
      <c r="AZ95" s="511">
        <v>0.01</v>
      </c>
      <c r="BA95" s="511">
        <v>0.01</v>
      </c>
      <c r="BB95" s="511">
        <v>0.01</v>
      </c>
      <c r="BC95" s="511">
        <v>0.01</v>
      </c>
      <c r="BD95" s="511">
        <v>5.0000000000000001E-3</v>
      </c>
      <c r="BE95" s="511">
        <v>5.0000000000000001E-3</v>
      </c>
      <c r="BF95" s="511">
        <v>1.2500000000000001E-2</v>
      </c>
      <c r="BG95" s="511">
        <v>1.4999999999999999E-2</v>
      </c>
      <c r="BH95" s="511">
        <v>1.4999999999999999E-2</v>
      </c>
      <c r="BI95" s="511">
        <v>1.4999999999999999E-2</v>
      </c>
      <c r="BJ95" s="511">
        <v>1.4999999999999999E-2</v>
      </c>
      <c r="BK95" s="511">
        <v>1.7500000000000002E-2</v>
      </c>
      <c r="BL95" s="511">
        <v>1.4999999999999999E-2</v>
      </c>
      <c r="BM95" s="511">
        <v>1.7500000000000002E-2</v>
      </c>
      <c r="BN95" s="511">
        <v>0.01</v>
      </c>
      <c r="BO95" s="511">
        <v>0.01</v>
      </c>
      <c r="BP95" s="511">
        <v>0.01</v>
      </c>
      <c r="BQ95" s="511">
        <v>0.01</v>
      </c>
      <c r="BR95" s="42"/>
      <c r="BS95" s="232"/>
      <c r="BT95" s="232"/>
      <c r="BU95" s="232"/>
      <c r="BV95" s="232"/>
      <c r="BW95" s="232"/>
      <c r="BX95" s="232"/>
      <c r="BY95" s="232"/>
      <c r="BZ95" s="232"/>
      <c r="CA95" s="232"/>
      <c r="CB95" s="232"/>
      <c r="CC95" s="42"/>
      <c r="CD95" s="42"/>
      <c r="CE95" s="42"/>
      <c r="CF95" s="42"/>
      <c r="CG95" s="42"/>
      <c r="CH95" s="42"/>
      <c r="CI95" s="42"/>
      <c r="CJ95" s="42"/>
      <c r="CK95" s="42"/>
      <c r="CL95" s="42"/>
      <c r="CM95" s="45"/>
      <c r="CN95" s="45"/>
      <c r="CO95" s="45"/>
      <c r="CP95" s="45"/>
      <c r="CQ95" s="45"/>
      <c r="CR95" s="45"/>
      <c r="CS95" s="45"/>
      <c r="CT95" s="45"/>
      <c r="CU95" s="45"/>
      <c r="CV95" s="45"/>
      <c r="CW95" s="45"/>
      <c r="CX95" s="45"/>
      <c r="CY95" s="43"/>
      <c r="CZ95" s="42"/>
      <c r="DA95" s="42"/>
      <c r="DB95" s="42"/>
    </row>
    <row r="96" spans="1:113" outlineLevel="1">
      <c r="A96" s="1" t="s">
        <v>984</v>
      </c>
      <c r="B96" s="19" t="s">
        <v>562</v>
      </c>
      <c r="C96" s="232"/>
      <c r="D96" s="232"/>
      <c r="E96" s="232"/>
      <c r="F96" s="232"/>
      <c r="G96" s="232"/>
      <c r="H96" s="232"/>
      <c r="I96" s="232"/>
      <c r="J96" s="232"/>
      <c r="K96" s="232"/>
      <c r="L96" s="232"/>
      <c r="M96" s="42"/>
      <c r="N96" s="42"/>
      <c r="O96" s="42"/>
      <c r="P96" s="45">
        <v>1.85805665549802E-2</v>
      </c>
      <c r="Q96" s="45">
        <v>4.7365304914150384E-2</v>
      </c>
      <c r="R96" s="45">
        <v>7.3291243480647819E-2</v>
      </c>
      <c r="S96" s="45">
        <v>5.1147704590818362E-2</v>
      </c>
      <c r="T96" s="45">
        <v>5.4579971523493115E-2</v>
      </c>
      <c r="U96" s="45">
        <v>5.2717900656044987E-2</v>
      </c>
      <c r="V96" s="45">
        <v>5.3311793214862679E-2</v>
      </c>
      <c r="W96" s="45">
        <v>6.7831215970961881E-2</v>
      </c>
      <c r="X96" s="45">
        <v>6.1565915681463308E-2</v>
      </c>
      <c r="Y96" s="45">
        <v>6.7362016514558892E-2</v>
      </c>
      <c r="Z96" s="45">
        <v>5.289508053983457E-2</v>
      </c>
      <c r="AA96" s="45">
        <v>5.0369375419744795E-2</v>
      </c>
      <c r="AB96" s="45">
        <v>4.9526744441998678E-2</v>
      </c>
      <c r="AC96" s="45">
        <v>2.189012839402231E-2</v>
      </c>
      <c r="AD96" s="45">
        <v>5.8550968828980622E-2</v>
      </c>
      <c r="AE96" s="45">
        <v>5.6166056166056168E-2</v>
      </c>
      <c r="AF96" s="45">
        <v>5.3553849182910021E-2</v>
      </c>
      <c r="AG96" s="45">
        <v>4.7408829174664109E-2</v>
      </c>
      <c r="AH96" s="45">
        <v>5.3981623277182235E-2</v>
      </c>
      <c r="AI96" s="45">
        <v>3.8180489587139203E-2</v>
      </c>
      <c r="AJ96" s="45">
        <v>3.1568816169393644E-2</v>
      </c>
      <c r="AK96" s="45">
        <v>5.0219941348973604E-2</v>
      </c>
      <c r="AL96" s="45">
        <v>3.5024372630438706E-2</v>
      </c>
      <c r="AM96" s="45">
        <v>2.9329880714369462E-2</v>
      </c>
      <c r="AN96" s="45">
        <v>3.4993909854726397E-2</v>
      </c>
      <c r="AO96" s="45">
        <v>2.8935846183133447E-2</v>
      </c>
      <c r="AP96" s="45">
        <v>4.8058506007313248E-2</v>
      </c>
      <c r="AQ96" s="45">
        <v>4.9543909855124309E-2</v>
      </c>
      <c r="AR96" s="45">
        <v>5.5131761442441057E-2</v>
      </c>
      <c r="AS96" s="45">
        <v>7.7413479052823309E-2</v>
      </c>
      <c r="AT96" s="45">
        <v>7.022566520714045E-2</v>
      </c>
      <c r="AU96" s="45">
        <v>8.3318898319764426E-2</v>
      </c>
      <c r="AV96" s="45">
        <v>7.1815940838126535E-2</v>
      </c>
      <c r="AW96" s="43">
        <v>7.7358176676093834E-2</v>
      </c>
      <c r="AX96" s="511">
        <v>7.7358176676093834E-2</v>
      </c>
      <c r="AY96" s="511">
        <v>7.7358176676093834E-2</v>
      </c>
      <c r="AZ96" s="511">
        <v>7.7358176676093834E-2</v>
      </c>
      <c r="BA96" s="511">
        <v>7.7358176676093834E-2</v>
      </c>
      <c r="BB96" s="511">
        <v>7.7358176676093834E-2</v>
      </c>
      <c r="BC96" s="511">
        <v>7.7358176676093834E-2</v>
      </c>
      <c r="BD96" s="511">
        <v>7.7358176676093834E-2</v>
      </c>
      <c r="BE96" s="511">
        <v>7.7358176676093834E-2</v>
      </c>
      <c r="BF96" s="511">
        <v>7.7358176676093834E-2</v>
      </c>
      <c r="BG96" s="511">
        <v>7.7358176676093834E-2</v>
      </c>
      <c r="BH96" s="511">
        <v>7.7358176676093834E-2</v>
      </c>
      <c r="BI96" s="511">
        <v>7.7358176676093834E-2</v>
      </c>
      <c r="BJ96" s="511">
        <v>7.7358176676093834E-2</v>
      </c>
      <c r="BK96" s="511">
        <v>7.7358176676093834E-2</v>
      </c>
      <c r="BL96" s="511">
        <v>7.7358176676093834E-2</v>
      </c>
      <c r="BM96" s="511">
        <v>7.7358176676093834E-2</v>
      </c>
      <c r="BN96" s="511">
        <v>7.7358176676093834E-2</v>
      </c>
      <c r="BO96" s="511">
        <v>7.7358176676093834E-2</v>
      </c>
      <c r="BP96" s="511">
        <v>7.7358176676093834E-2</v>
      </c>
      <c r="BQ96" s="511">
        <v>7.7358176676093834E-2</v>
      </c>
      <c r="BR96" s="42"/>
      <c r="BS96" s="376" t="e">
        <v>#DIV/0!</v>
      </c>
      <c r="BT96" s="376">
        <v>0</v>
      </c>
      <c r="BU96" s="376">
        <v>0</v>
      </c>
      <c r="BV96" s="376">
        <v>0</v>
      </c>
      <c r="BW96" s="376">
        <v>0</v>
      </c>
      <c r="BX96" s="376">
        <v>0</v>
      </c>
      <c r="BY96" s="376">
        <v>0</v>
      </c>
      <c r="BZ96" s="376">
        <v>0</v>
      </c>
      <c r="CA96" s="376">
        <v>0</v>
      </c>
      <c r="CB96" s="376">
        <v>0</v>
      </c>
      <c r="CC96" s="45">
        <v>3.4042553191489362E-2</v>
      </c>
      <c r="CD96" s="45">
        <v>2.249567390886368E-2</v>
      </c>
      <c r="CE96" s="45">
        <v>1.6033147180688163E-2</v>
      </c>
      <c r="CF96" s="45">
        <v>1.4882381180988958E-2</v>
      </c>
      <c r="CG96" s="45">
        <v>1.5334810018742545E-2</v>
      </c>
      <c r="CH96" s="45">
        <v>2.1688355021688355E-2</v>
      </c>
      <c r="CI96" s="45">
        <v>3.438618328924848E-2</v>
      </c>
      <c r="CJ96" s="45">
        <v>6.7226890756302518E-2</v>
      </c>
      <c r="CK96" s="45">
        <v>5.5339333495499882E-2</v>
      </c>
      <c r="CL96" s="45">
        <v>6.1620741774212298E-2</v>
      </c>
      <c r="CM96" s="45">
        <v>6.5909346530199073E-2</v>
      </c>
      <c r="CN96" s="45">
        <v>5.0891692040017401E-2</v>
      </c>
      <c r="CO96" s="45">
        <v>3.6514983351831301E-2</v>
      </c>
      <c r="CP96" s="45">
        <v>5.832192862406569E-2</v>
      </c>
      <c r="CQ96" s="45">
        <v>5.193635544881417E-2</v>
      </c>
      <c r="CR96" s="45">
        <v>4.7057695993866208E-2</v>
      </c>
      <c r="CS96" s="45">
        <v>4.1053519542600059E-2</v>
      </c>
      <c r="CT96" s="45">
        <v>3.119599818099136E-2</v>
      </c>
      <c r="CU96" s="45">
        <v>3.2612712490761274E-2</v>
      </c>
      <c r="CV96" s="45">
        <v>5.0291014914514369E-2</v>
      </c>
      <c r="CW96" s="45">
        <v>6.5410687560524691E-2</v>
      </c>
      <c r="CX96" s="45">
        <v>7.8578928946447316E-2</v>
      </c>
      <c r="CY96" s="43">
        <v>7.6066790352504632E-2</v>
      </c>
      <c r="CZ96" s="45">
        <v>7.9137340793657071E-2</v>
      </c>
      <c r="DA96" s="45">
        <v>7.8304231139738251E-2</v>
      </c>
      <c r="DB96" s="45">
        <v>7.8299883771558207E-2</v>
      </c>
      <c r="DC96" s="45">
        <v>7.8066895106326528E-2</v>
      </c>
      <c r="DD96" s="45">
        <v>7.830465750075144E-2</v>
      </c>
      <c r="DE96" s="45">
        <v>7.8622449819597595E-2</v>
      </c>
      <c r="DF96" s="45">
        <v>7.8646550751326788E-2</v>
      </c>
      <c r="DG96" s="376">
        <v>7.8643321220975698E-2</v>
      </c>
      <c r="DH96" s="376">
        <v>7.866478228549291E-2</v>
      </c>
      <c r="DI96" s="376">
        <v>7.8346385017079648E-2</v>
      </c>
    </row>
    <row r="97" spans="1:113" outlineLevel="1">
      <c r="A97" s="1" t="s">
        <v>985</v>
      </c>
      <c r="B97" s="19" t="s">
        <v>563</v>
      </c>
      <c r="C97" s="232"/>
      <c r="D97" s="232"/>
      <c r="E97" s="232"/>
      <c r="F97" s="232"/>
      <c r="G97" s="232"/>
      <c r="H97" s="232"/>
      <c r="I97" s="232"/>
      <c r="J97" s="232"/>
      <c r="K97" s="232"/>
      <c r="L97" s="232"/>
      <c r="M97" s="42"/>
      <c r="N97" s="42"/>
      <c r="O97" s="42"/>
      <c r="P97" s="61">
        <v>3.6687483736664066</v>
      </c>
      <c r="Q97" s="61">
        <v>3.6160014255167496</v>
      </c>
      <c r="R97" s="61">
        <v>4.7530332681017615</v>
      </c>
      <c r="S97" s="61">
        <v>4.2252580221429916</v>
      </c>
      <c r="T97" s="61">
        <v>3.56754478398314</v>
      </c>
      <c r="U97" s="61">
        <v>5.8602184376156972</v>
      </c>
      <c r="V97" s="61">
        <v>6.3791645526805336</v>
      </c>
      <c r="W97" s="61">
        <v>5.8267123287671234</v>
      </c>
      <c r="X97" s="61">
        <v>7.843187818505557</v>
      </c>
      <c r="Y97" s="61">
        <v>8.7850637522768675</v>
      </c>
      <c r="Z97" s="61">
        <v>7.946477495107632</v>
      </c>
      <c r="AA97" s="61">
        <v>6.9983932433824281</v>
      </c>
      <c r="AB97" s="61">
        <v>7.5092939936775558</v>
      </c>
      <c r="AC97" s="61">
        <v>4.7635533416355331</v>
      </c>
      <c r="AD97" s="61">
        <v>6.7561260657151072</v>
      </c>
      <c r="AE97" s="61">
        <v>6.1129763387297631</v>
      </c>
      <c r="AF97" s="61">
        <v>6.0668704269704543</v>
      </c>
      <c r="AG97" s="61">
        <v>5.4293269490883516</v>
      </c>
      <c r="AH97" s="61">
        <v>4.7260273972602738</v>
      </c>
      <c r="AI97" s="61">
        <v>5.5225469894870978</v>
      </c>
      <c r="AJ97" s="61">
        <v>4.7790587277905869</v>
      </c>
      <c r="AK97" s="61">
        <v>2.6242633571400695</v>
      </c>
      <c r="AL97" s="61">
        <v>3.9292178141493208</v>
      </c>
      <c r="AM97" s="61">
        <v>3.9558015887908926</v>
      </c>
      <c r="AN97" s="61">
        <v>2.86100347739692</v>
      </c>
      <c r="AO97" s="61">
        <v>2.4627458019225403</v>
      </c>
      <c r="AP97" s="61">
        <v>2.7853113848279039</v>
      </c>
      <c r="AQ97" s="61">
        <v>3.7205256104824302</v>
      </c>
      <c r="AR97" s="61">
        <v>4.7449315068493148</v>
      </c>
      <c r="AS97" s="61">
        <v>3.5016412509692425</v>
      </c>
      <c r="AT97" s="61">
        <v>4.2036679392170067</v>
      </c>
      <c r="AU97" s="61">
        <v>4.1577604032049624</v>
      </c>
      <c r="AV97" s="61">
        <v>3.1596881417284468</v>
      </c>
      <c r="AW97" s="62">
        <v>2.7905969687596657</v>
      </c>
      <c r="AX97" s="63">
        <v>2.7905969687596657</v>
      </c>
      <c r="AY97" s="63">
        <v>2.7905969687596657</v>
      </c>
      <c r="AZ97" s="63">
        <v>2.7905969687596657</v>
      </c>
      <c r="BA97" s="63">
        <v>2.7905969687596657</v>
      </c>
      <c r="BB97" s="63">
        <v>2.7905969687596657</v>
      </c>
      <c r="BC97" s="63">
        <v>2.7905969687596657</v>
      </c>
      <c r="BD97" s="63">
        <v>2.7905969687596657</v>
      </c>
      <c r="BE97" s="63">
        <v>2.7905969687596657</v>
      </c>
      <c r="BF97" s="63">
        <v>2.7905969687596657</v>
      </c>
      <c r="BG97" s="63">
        <v>2.7905969687596657</v>
      </c>
      <c r="BH97" s="63">
        <v>2.7905969687596657</v>
      </c>
      <c r="BI97" s="63">
        <v>2.7905969687596657</v>
      </c>
      <c r="BJ97" s="63">
        <v>2.7905969687596657</v>
      </c>
      <c r="BK97" s="63">
        <v>2.7905969687596657</v>
      </c>
      <c r="BL97" s="63">
        <v>2.7905969687596657</v>
      </c>
      <c r="BM97" s="63">
        <v>2.7905969687596657</v>
      </c>
      <c r="BN97" s="63">
        <v>2.7905969687596657</v>
      </c>
      <c r="BO97" s="63">
        <v>2.7905969687596657</v>
      </c>
      <c r="BP97" s="63">
        <v>2.7905969687596657</v>
      </c>
      <c r="BQ97" s="63">
        <v>2.7905969687596657</v>
      </c>
      <c r="BR97" s="42"/>
      <c r="BS97" s="61" t="e">
        <v>#DIV/0!</v>
      </c>
      <c r="BT97" s="61" t="e">
        <v>#DIV/0!</v>
      </c>
      <c r="BU97" s="61" t="e">
        <v>#DIV/0!</v>
      </c>
      <c r="BV97" s="61" t="e">
        <v>#DIV/0!</v>
      </c>
      <c r="BW97" s="61" t="e">
        <v>#DIV/0!</v>
      </c>
      <c r="BX97" s="61" t="e">
        <v>#DIV/0!</v>
      </c>
      <c r="BY97" s="61" t="e">
        <v>#DIV/0!</v>
      </c>
      <c r="BZ97" s="61" t="e">
        <v>#DIV/0!</v>
      </c>
      <c r="CA97" s="61" t="e">
        <v>#DIV/0!</v>
      </c>
      <c r="CB97" s="61" t="e">
        <v>#DIV/0!</v>
      </c>
      <c r="CC97" s="61">
        <v>4</v>
      </c>
      <c r="CD97" s="61">
        <v>3.0544871794871793</v>
      </c>
      <c r="CE97" s="61">
        <v>8.1818181818181817</v>
      </c>
      <c r="CF97" s="61">
        <v>9.5833333333333339</v>
      </c>
      <c r="CG97" s="61">
        <v>4.8488372093023253</v>
      </c>
      <c r="CH97" s="61">
        <v>4.5483870967741939</v>
      </c>
      <c r="CI97" s="61">
        <v>3.6931818181818183</v>
      </c>
      <c r="CJ97" s="61">
        <v>4.2049180327868854</v>
      </c>
      <c r="CK97" s="61">
        <v>4.558988764044944</v>
      </c>
      <c r="CL97" s="61">
        <v>6.139344262295082</v>
      </c>
      <c r="CM97" s="61">
        <v>8.3715083798882688</v>
      </c>
      <c r="CN97" s="61">
        <v>7.3938775510204078</v>
      </c>
      <c r="CO97" s="61">
        <v>5.7576219512195124</v>
      </c>
      <c r="CP97" s="61">
        <v>6.4009740259740262</v>
      </c>
      <c r="CQ97" s="61">
        <v>5.6952506596306067</v>
      </c>
      <c r="CR97" s="61">
        <v>5.3086734693877551</v>
      </c>
      <c r="CS97" s="61">
        <v>3.3933092224231465</v>
      </c>
      <c r="CT97" s="61">
        <v>3.9233333333333333</v>
      </c>
      <c r="CU97" s="61">
        <v>2.7395264116575593</v>
      </c>
      <c r="CV97" s="61">
        <v>3.2263033175355451</v>
      </c>
      <c r="CW97" s="61">
        <v>3.8118279569892475</v>
      </c>
      <c r="CX97" s="61">
        <v>4.2037974683544306</v>
      </c>
      <c r="CY97" s="62">
        <v>2.9496350364963502</v>
      </c>
      <c r="CZ97" s="61">
        <v>2.7902925318741172</v>
      </c>
      <c r="DA97" s="61">
        <v>2.7930937422383439</v>
      </c>
      <c r="DB97" s="61">
        <v>2.7935867184168517</v>
      </c>
      <c r="DC97" s="61">
        <v>2.7924338168969989</v>
      </c>
      <c r="DD97" s="61">
        <v>2.7942279261267609</v>
      </c>
      <c r="DE97" s="61">
        <v>2.7949036845752837</v>
      </c>
      <c r="DF97" s="61">
        <v>2.7948921468156898</v>
      </c>
      <c r="DG97" s="61">
        <v>2.7938379268285947</v>
      </c>
      <c r="DH97" s="61">
        <v>2.7940144946525822</v>
      </c>
      <c r="DI97" s="61">
        <v>2.7944501754214133</v>
      </c>
    </row>
    <row r="98" spans="1:113" outlineLevel="1">
      <c r="A98" s="1" t="s">
        <v>564</v>
      </c>
      <c r="B98" s="19" t="s">
        <v>642</v>
      </c>
      <c r="C98" s="232" t="s">
        <v>215</v>
      </c>
      <c r="D98" s="232" t="s">
        <v>215</v>
      </c>
      <c r="E98" s="232" t="s">
        <v>215</v>
      </c>
      <c r="F98" s="232">
        <v>4.4718581341557373E-2</v>
      </c>
      <c r="G98" s="232">
        <v>8.9758342922899859E-2</v>
      </c>
      <c r="H98" s="232">
        <v>0.18191881918819197</v>
      </c>
      <c r="I98" s="232">
        <v>7.2157690953889464E-2</v>
      </c>
      <c r="J98" s="232">
        <v>-0.10427724008741801</v>
      </c>
      <c r="K98" s="232">
        <v>-1.5101772816808912E-2</v>
      </c>
      <c r="L98" s="232">
        <v>3.4158243290345114E-2</v>
      </c>
      <c r="M98" s="42">
        <v>8.999999999999897E-3</v>
      </c>
      <c r="N98" s="42">
        <v>5.9656218402426742E-2</v>
      </c>
      <c r="O98" s="42">
        <v>8.4572183680211355E-2</v>
      </c>
      <c r="P98" s="42">
        <v>7.4427480916030575E-2</v>
      </c>
      <c r="Q98" s="42">
        <v>0.10965580261955532</v>
      </c>
      <c r="R98" s="42">
        <v>0.18650088809946719</v>
      </c>
      <c r="S98" s="42">
        <v>0.15673895141367011</v>
      </c>
      <c r="T98" s="45">
        <v>6.4870259481037973E-2</v>
      </c>
      <c r="U98" s="42">
        <v>2.8239202657807327E-2</v>
      </c>
      <c r="V98" s="42">
        <v>3.2802249297094743E-2</v>
      </c>
      <c r="W98" s="42">
        <v>3.4618047542118724E-2</v>
      </c>
      <c r="X98" s="42">
        <v>4.4010889292195987E-2</v>
      </c>
      <c r="Y98" s="45">
        <v>2.4760205219718889E-2</v>
      </c>
      <c r="Z98" s="45">
        <v>-2.933507170795302E-2</v>
      </c>
      <c r="AA98" s="45">
        <v>-1.1101436656508534E-2</v>
      </c>
      <c r="AB98" s="45">
        <v>6.3577344974255601E-2</v>
      </c>
      <c r="AC98" s="45">
        <v>4.512436715826551E-2</v>
      </c>
      <c r="AD98" s="45">
        <v>3.4308566617554215E-2</v>
      </c>
      <c r="AE98" s="45">
        <v>6.9713563605728668E-2</v>
      </c>
      <c r="AF98" s="45">
        <v>6.0236060236060318E-2</v>
      </c>
      <c r="AG98" s="45">
        <v>2.8548926954124809E-2</v>
      </c>
      <c r="AH98" s="45">
        <v>5.0671785028790772E-2</v>
      </c>
      <c r="AI98" s="45">
        <v>-5.5513016845328833E-3</v>
      </c>
      <c r="AJ98" s="45">
        <v>-3.2882718304713121E-3</v>
      </c>
      <c r="AK98" s="45">
        <v>6.6217516843118274E-2</v>
      </c>
      <c r="AL98" s="45">
        <v>-6.8888672607410051E-2</v>
      </c>
      <c r="AM98" s="45">
        <v>3.6984401109591669E-2</v>
      </c>
      <c r="AN98" s="45">
        <v>3.4025928809280348E-2</v>
      </c>
      <c r="AO98" s="45">
        <v>-1.4913285724516001E-4</v>
      </c>
      <c r="AP98" s="45">
        <v>6.4344184275652028E-2</v>
      </c>
      <c r="AQ98" s="45">
        <v>4.3531255441406902E-3</v>
      </c>
      <c r="AR98" s="45">
        <v>-1.8064746914684293E-2</v>
      </c>
      <c r="AS98" s="45">
        <v>2.9472954230235882E-2</v>
      </c>
      <c r="AT98" s="45">
        <v>5.1548269581056516E-2</v>
      </c>
      <c r="AU98" s="45">
        <v>2.4755810037049519E-2</v>
      </c>
      <c r="AV98" s="45">
        <v>4.1226398752814752E-2</v>
      </c>
      <c r="AW98" s="43">
        <v>2.0049301561216204E-2</v>
      </c>
      <c r="AX98" s="232">
        <v>4.6748015458898173E-2</v>
      </c>
      <c r="AY98" s="232">
        <v>1.2273731541310617E-2</v>
      </c>
      <c r="AZ98" s="232">
        <v>2.4441926615044185E-2</v>
      </c>
      <c r="BA98" s="232">
        <v>2.4649727266269572E-2</v>
      </c>
      <c r="BB98" s="232">
        <v>2.4332075369393857E-2</v>
      </c>
      <c r="BC98" s="232">
        <v>2.4229799877588221E-2</v>
      </c>
      <c r="BD98" s="232">
        <v>1.8311139374094232E-2</v>
      </c>
      <c r="BE98" s="232">
        <v>1.865240840596849E-2</v>
      </c>
      <c r="BF98" s="232">
        <v>2.4458295116962736E-2</v>
      </c>
      <c r="BG98" s="232">
        <v>2.7895887524165719E-2</v>
      </c>
      <c r="BH98" s="232">
        <v>3.2725248618582281E-2</v>
      </c>
      <c r="BI98" s="232">
        <v>3.332813428075232E-2</v>
      </c>
      <c r="BJ98" s="232">
        <v>3.3358838332420371E-2</v>
      </c>
      <c r="BK98" s="232">
        <v>3.5457169756970108E-2</v>
      </c>
      <c r="BL98" s="232">
        <v>3.3309053056446158E-2</v>
      </c>
      <c r="BM98" s="232">
        <v>3.7969908916394735E-2</v>
      </c>
      <c r="BN98" s="232">
        <v>3.3941859662429685E-2</v>
      </c>
      <c r="BO98" s="232">
        <v>2.3337192288319653E-2</v>
      </c>
      <c r="BP98" s="232">
        <v>2.5538541371134649E-2</v>
      </c>
      <c r="BQ98" s="232">
        <v>2.5435698614214797E-2</v>
      </c>
      <c r="BR98" s="42"/>
      <c r="BS98" s="232" t="e">
        <v>#DIV/0!</v>
      </c>
      <c r="BT98" s="232">
        <v>-6.1924420450936823E-2</v>
      </c>
      <c r="BU98" s="232">
        <v>-2.3696682464454999E-2</v>
      </c>
      <c r="BV98" s="232">
        <v>2.0457697642163764E-2</v>
      </c>
      <c r="BW98" s="232">
        <v>-2.7183146449201501E-2</v>
      </c>
      <c r="BX98" s="232">
        <v>2.1306322039818415E-2</v>
      </c>
      <c r="BY98" s="232">
        <v>3.9329685362517131E-2</v>
      </c>
      <c r="BZ98" s="232">
        <v>1.0200723922342947E-2</v>
      </c>
      <c r="CA98" s="232">
        <v>0.10977198697068413</v>
      </c>
      <c r="CB98" s="232">
        <v>0.51746404461402995</v>
      </c>
      <c r="CC98" s="42">
        <v>5.9961315280463445E-3</v>
      </c>
      <c r="CD98" s="42">
        <v>6.7294751009421283E-2</v>
      </c>
      <c r="CE98" s="42">
        <v>0.12574310934966682</v>
      </c>
      <c r="CF98" s="42">
        <v>-6.0809729556729031E-2</v>
      </c>
      <c r="CG98" s="42">
        <v>2.1298347248253524E-2</v>
      </c>
      <c r="CH98" s="42">
        <v>7.2238905572238998E-2</v>
      </c>
      <c r="CI98" s="42">
        <v>9.2422592189201902E-2</v>
      </c>
      <c r="CJ98" s="42">
        <v>0.17105825380999851</v>
      </c>
      <c r="CK98" s="42">
        <v>4.6095840428119761E-2</v>
      </c>
      <c r="CL98" s="42">
        <v>3.3717009650040763E-2</v>
      </c>
      <c r="CM98" s="45">
        <v>3.4304352716229891E-2</v>
      </c>
      <c r="CN98" s="45">
        <v>-2.0226185297955612E-2</v>
      </c>
      <c r="CO98" s="45">
        <v>5.4273029966703579E-2</v>
      </c>
      <c r="CP98" s="45">
        <v>5.2005474260448548E-2</v>
      </c>
      <c r="CQ98" s="45">
        <v>4.413089162413697E-2</v>
      </c>
      <c r="CR98" s="45">
        <v>2.2522522522522515E-2</v>
      </c>
      <c r="CS98" s="45">
        <v>3.0555815915268569E-2</v>
      </c>
      <c r="CT98" s="45">
        <v>-1.5552523874488355E-2</v>
      </c>
      <c r="CU98" s="45">
        <v>1.5890613451589042E-2</v>
      </c>
      <c r="CV98" s="45">
        <v>3.3012004365223779E-2</v>
      </c>
      <c r="CW98" s="45">
        <v>6.0744783871820029E-3</v>
      </c>
      <c r="CX98" s="45">
        <v>3.762688134406722E-2</v>
      </c>
      <c r="CY98" s="43">
        <v>3.0359251138471821E-2</v>
      </c>
      <c r="CZ98" s="42">
        <v>2.9234356899685121E-2</v>
      </c>
      <c r="DA98" s="42">
        <v>2.4545754072948123E-2</v>
      </c>
      <c r="DB98" s="42">
        <v>2.4280968301645389E-2</v>
      </c>
      <c r="DC98" s="42">
        <v>1.8481663005302851E-2</v>
      </c>
      <c r="DD98" s="42">
        <v>2.6176262345906531E-2</v>
      </c>
      <c r="DE98" s="42">
        <v>3.3027050966141669E-2</v>
      </c>
      <c r="DF98" s="42">
        <v>3.4409561486299145E-2</v>
      </c>
      <c r="DG98" s="232">
        <v>3.5645304073906647E-2</v>
      </c>
      <c r="DH98" s="232">
        <v>2.861434559339604E-2</v>
      </c>
      <c r="DI98" s="232">
        <v>2.5487140859000723E-2</v>
      </c>
    </row>
    <row r="99" spans="1:113" outlineLevel="1">
      <c r="A99" s="1" t="s">
        <v>565</v>
      </c>
      <c r="B99" s="19" t="s">
        <v>472</v>
      </c>
      <c r="C99" s="232">
        <v>0.58181408957911318</v>
      </c>
      <c r="D99" s="232">
        <v>0.57061152661680603</v>
      </c>
      <c r="E99" s="232">
        <v>0.57651481645289693</v>
      </c>
      <c r="F99" s="232">
        <v>0.60423634336677812</v>
      </c>
      <c r="G99" s="232">
        <v>0.5781440781440782</v>
      </c>
      <c r="H99" s="232">
        <v>0.61466129341777009</v>
      </c>
      <c r="I99" s="232">
        <v>0.5768939393939394</v>
      </c>
      <c r="J99" s="232">
        <v>0.52593950504124654</v>
      </c>
      <c r="K99" s="232">
        <v>0.53125553391181157</v>
      </c>
      <c r="L99" s="232">
        <v>0.4936772046589018</v>
      </c>
      <c r="M99" s="42">
        <v>0.49859990116949432</v>
      </c>
      <c r="N99" s="42">
        <v>0.47948757053530577</v>
      </c>
      <c r="O99" s="42">
        <v>0.4944277108433735</v>
      </c>
      <c r="P99" s="42">
        <v>0.48147092360319271</v>
      </c>
      <c r="Q99" s="42">
        <v>0.49733788395904438</v>
      </c>
      <c r="R99" s="42">
        <v>0.4725857799787761</v>
      </c>
      <c r="S99" s="42">
        <v>0.46900389538119086</v>
      </c>
      <c r="T99" s="45">
        <v>0.4403631861328931</v>
      </c>
      <c r="U99" s="42">
        <v>0.46258140279705351</v>
      </c>
      <c r="V99" s="42">
        <v>0.45261320464113358</v>
      </c>
      <c r="W99" s="42">
        <v>0.45191532258064515</v>
      </c>
      <c r="X99" s="42">
        <v>0.45541810984661057</v>
      </c>
      <c r="Y99" s="45">
        <v>0.45734196117471376</v>
      </c>
      <c r="Z99" s="45">
        <v>0.43415297890951504</v>
      </c>
      <c r="AA99" s="45">
        <v>0.4313520698822636</v>
      </c>
      <c r="AB99" s="45">
        <v>0.4261750986724076</v>
      </c>
      <c r="AC99" s="45">
        <v>0.42193192926330758</v>
      </c>
      <c r="AD99" s="45">
        <v>0.4190330007674597</v>
      </c>
      <c r="AE99" s="45">
        <v>0.42857142857142855</v>
      </c>
      <c r="AF99" s="45">
        <v>0.41948470209339772</v>
      </c>
      <c r="AG99" s="45">
        <v>0.42378518698791273</v>
      </c>
      <c r="AH99" s="45">
        <v>0.42649006622516555</v>
      </c>
      <c r="AI99" s="45">
        <v>0.41716855376214568</v>
      </c>
      <c r="AJ99" s="45">
        <v>0.43133844572693492</v>
      </c>
      <c r="AK99" s="45">
        <v>0.45131589668377742</v>
      </c>
      <c r="AL99" s="45">
        <v>0.42419864283256498</v>
      </c>
      <c r="AM99" s="45">
        <v>0.49502603735859219</v>
      </c>
      <c r="AN99" s="45">
        <v>0.43691258421359064</v>
      </c>
      <c r="AO99" s="45">
        <v>0.48926563298688019</v>
      </c>
      <c r="AP99" s="45">
        <v>0.46743583312432069</v>
      </c>
      <c r="AQ99" s="45">
        <v>0.47298072980729805</v>
      </c>
      <c r="AR99" s="45">
        <v>0.45345667795490213</v>
      </c>
      <c r="AS99" s="45">
        <v>0.47194404705134319</v>
      </c>
      <c r="AT99" s="45">
        <v>0.42376862658738895</v>
      </c>
      <c r="AU99" s="45">
        <v>0.45034043812907043</v>
      </c>
      <c r="AV99" s="45">
        <v>0.44039856399736244</v>
      </c>
      <c r="AW99" s="43">
        <v>0.45892791127541588</v>
      </c>
      <c r="AX99" s="232">
        <v>0.45194079015613275</v>
      </c>
      <c r="AY99" s="232">
        <v>0.45400611211196085</v>
      </c>
      <c r="AZ99" s="232">
        <v>0.45281353812178049</v>
      </c>
      <c r="BA99" s="232">
        <v>0.45652095194883718</v>
      </c>
      <c r="BB99" s="232">
        <v>0.45704272057245243</v>
      </c>
      <c r="BC99" s="232">
        <v>0.45976685114040283</v>
      </c>
      <c r="BD99" s="232">
        <v>0.45650089268689592</v>
      </c>
      <c r="BE99" s="232">
        <v>0.45627532697627154</v>
      </c>
      <c r="BF99" s="232">
        <v>0.45549435425640433</v>
      </c>
      <c r="BG99" s="232">
        <v>0.45921955186775804</v>
      </c>
      <c r="BH99" s="232">
        <v>0.45740971860471463</v>
      </c>
      <c r="BI99" s="232">
        <v>0.45913738777539548</v>
      </c>
      <c r="BJ99" s="232">
        <v>0.45727267041802117</v>
      </c>
      <c r="BK99" s="232">
        <v>0.45976436259367126</v>
      </c>
      <c r="BL99" s="232">
        <v>0.45781669293294924</v>
      </c>
      <c r="BM99" s="232">
        <v>0.45972614287523045</v>
      </c>
      <c r="BN99" s="232">
        <v>0.45563033093333027</v>
      </c>
      <c r="BO99" s="232">
        <v>0.4550490632262571</v>
      </c>
      <c r="BP99" s="232">
        <v>0.45089791900159465</v>
      </c>
      <c r="BQ99" s="232">
        <v>0.45026588718316257</v>
      </c>
      <c r="BR99" s="42"/>
      <c r="BS99" s="232">
        <v>0.6767676767676768</v>
      </c>
      <c r="BT99" s="232">
        <v>0.67643691321273181</v>
      </c>
      <c r="BU99" s="232">
        <v>0.67715426156374736</v>
      </c>
      <c r="BV99" s="232">
        <v>0.63317555938037862</v>
      </c>
      <c r="BW99" s="232">
        <v>0.60248316498316501</v>
      </c>
      <c r="BX99" s="232">
        <v>0.59905757017004713</v>
      </c>
      <c r="BY99" s="232">
        <v>0.58107074569789674</v>
      </c>
      <c r="BZ99" s="232">
        <v>0.55575669804489503</v>
      </c>
      <c r="CA99" s="232">
        <v>0.55497638051799969</v>
      </c>
      <c r="CB99" s="232">
        <v>0.5859020852221215</v>
      </c>
      <c r="CC99" s="42">
        <v>0.57355535950595504</v>
      </c>
      <c r="CD99" s="42">
        <v>0.59059474412171509</v>
      </c>
      <c r="CE99" s="42">
        <v>0.59565341721475551</v>
      </c>
      <c r="CF99" s="42">
        <v>0.52864348765988112</v>
      </c>
      <c r="CG99" s="42">
        <v>0.49615098087906628</v>
      </c>
      <c r="CH99" s="42">
        <v>0.48700462226263547</v>
      </c>
      <c r="CI99" s="42">
        <v>0.48957534342096087</v>
      </c>
      <c r="CJ99" s="42">
        <v>0.47074315813580669</v>
      </c>
      <c r="CK99" s="42">
        <v>0.45128285849205102</v>
      </c>
      <c r="CL99" s="42">
        <v>0.45226105091815455</v>
      </c>
      <c r="CM99" s="45">
        <v>0.45637717121588089</v>
      </c>
      <c r="CN99" s="45">
        <v>0.43273617981845253</v>
      </c>
      <c r="CO99" s="45">
        <v>0.42404356948350519</v>
      </c>
      <c r="CP99" s="45">
        <v>0.423827296632454</v>
      </c>
      <c r="CQ99" s="45">
        <v>0.42162686386228632</v>
      </c>
      <c r="CR99" s="45">
        <v>0.42189971527997472</v>
      </c>
      <c r="CS99" s="45">
        <v>0.44117647058823528</v>
      </c>
      <c r="CT99" s="45">
        <v>0.45905254675770812</v>
      </c>
      <c r="CU99" s="45">
        <v>0.46277513572661083</v>
      </c>
      <c r="CV99" s="45">
        <v>0.47023513826792518</v>
      </c>
      <c r="CW99" s="45">
        <v>0.46287820486856496</v>
      </c>
      <c r="CX99" s="45">
        <v>0.43700018426386583</v>
      </c>
      <c r="CY99" s="43">
        <v>0.44962096121292411</v>
      </c>
      <c r="CZ99" s="42">
        <v>0.4529703727129652</v>
      </c>
      <c r="DA99" s="42">
        <v>0.45465857531572973</v>
      </c>
      <c r="DB99" s="42">
        <v>0.45839985361887747</v>
      </c>
      <c r="DC99" s="42">
        <v>0.45638813635575382</v>
      </c>
      <c r="DD99" s="42">
        <v>0.45735158898369854</v>
      </c>
      <c r="DE99" s="42">
        <v>0.45827320720722259</v>
      </c>
      <c r="DF99" s="42">
        <v>0.45851824442171113</v>
      </c>
      <c r="DG99" s="232">
        <v>0.45877396501828038</v>
      </c>
      <c r="DH99" s="232">
        <v>0.45533962951080037</v>
      </c>
      <c r="DI99" s="232">
        <v>0.45058182553686232</v>
      </c>
    </row>
    <row r="100" spans="1:113" outlineLevel="1">
      <c r="AB100" s="530"/>
      <c r="AC100" s="376"/>
      <c r="AD100" s="376"/>
      <c r="AE100" s="376"/>
      <c r="AF100" s="376"/>
      <c r="AG100" s="376"/>
      <c r="AH100" s="376"/>
      <c r="AI100" s="376"/>
      <c r="AJ100" s="376"/>
      <c r="AK100" s="376"/>
      <c r="AL100" s="376"/>
      <c r="AM100" s="376"/>
      <c r="AN100" s="376"/>
      <c r="AO100" s="376"/>
      <c r="AP100" s="55"/>
      <c r="AQ100" s="55"/>
      <c r="AR100" s="55"/>
      <c r="AS100" s="55"/>
      <c r="AT100" s="55"/>
      <c r="AU100" s="55"/>
      <c r="AV100" s="55"/>
      <c r="AW100" s="56"/>
      <c r="AX100" s="45"/>
      <c r="AY100" s="45"/>
      <c r="AZ100" s="232"/>
      <c r="BA100" s="232"/>
      <c r="BB100" s="232"/>
      <c r="BC100" s="232"/>
      <c r="BD100" s="232"/>
      <c r="BE100" s="232"/>
      <c r="BF100" s="232"/>
      <c r="BG100" s="232"/>
      <c r="BH100" s="232"/>
      <c r="BI100" s="232"/>
      <c r="BJ100" s="232"/>
      <c r="BK100" s="232"/>
      <c r="BL100" s="232"/>
      <c r="BM100" s="232"/>
      <c r="BN100" s="232"/>
      <c r="BO100" s="232"/>
      <c r="BP100" s="232"/>
      <c r="BQ100" s="232"/>
      <c r="CU100" s="50"/>
      <c r="CV100" s="50"/>
      <c r="CW100" s="50"/>
      <c r="CX100" s="50"/>
      <c r="CY100" s="49"/>
    </row>
    <row r="101" spans="1:113" outlineLevel="1">
      <c r="A101" s="1" t="s">
        <v>986</v>
      </c>
      <c r="B101" s="19" t="s">
        <v>566</v>
      </c>
      <c r="C101" s="185">
        <v>994.5</v>
      </c>
      <c r="D101" s="55">
        <v>77</v>
      </c>
      <c r="E101" s="55">
        <v>143</v>
      </c>
      <c r="F101" s="55">
        <v>209</v>
      </c>
      <c r="G101" s="55">
        <v>228.5</v>
      </c>
      <c r="H101" s="55">
        <v>248</v>
      </c>
      <c r="I101" s="55">
        <v>73</v>
      </c>
      <c r="J101" s="55">
        <v>107</v>
      </c>
      <c r="K101" s="55">
        <v>163</v>
      </c>
      <c r="L101" s="55">
        <v>182</v>
      </c>
      <c r="M101" s="55">
        <v>188</v>
      </c>
      <c r="N101" s="55">
        <v>229</v>
      </c>
      <c r="O101" s="55">
        <v>267</v>
      </c>
      <c r="P101" s="55">
        <v>297</v>
      </c>
      <c r="Q101" s="55">
        <v>316</v>
      </c>
      <c r="R101" s="55">
        <v>353</v>
      </c>
      <c r="S101" s="55">
        <v>571</v>
      </c>
      <c r="T101" s="55">
        <v>673</v>
      </c>
      <c r="U101" s="55">
        <v>799</v>
      </c>
      <c r="V101" s="55">
        <v>950</v>
      </c>
      <c r="W101" s="55">
        <v>1100</v>
      </c>
      <c r="X101" s="55">
        <v>1297</v>
      </c>
      <c r="Y101" s="55">
        <v>1480</v>
      </c>
      <c r="Z101" s="55">
        <v>1700</v>
      </c>
      <c r="AA101" s="55">
        <v>1831</v>
      </c>
      <c r="AB101" s="55">
        <v>1923</v>
      </c>
      <c r="AC101" s="55">
        <v>1950</v>
      </c>
      <c r="AD101" s="55">
        <v>1854</v>
      </c>
      <c r="AE101" s="55">
        <v>1979</v>
      </c>
      <c r="AF101" s="55">
        <v>2089</v>
      </c>
      <c r="AG101" s="55">
        <v>2183</v>
      </c>
      <c r="AH101" s="55">
        <v>2228</v>
      </c>
      <c r="AI101" s="55">
        <v>1897</v>
      </c>
      <c r="AJ101" s="55">
        <v>1934</v>
      </c>
      <c r="AK101" s="55">
        <v>1896</v>
      </c>
      <c r="AL101" s="55">
        <v>1819</v>
      </c>
      <c r="AM101" s="55">
        <v>1782</v>
      </c>
      <c r="AN101" s="55">
        <v>1712</v>
      </c>
      <c r="AO101" s="55">
        <v>1418</v>
      </c>
      <c r="AP101" s="55">
        <v>1296</v>
      </c>
      <c r="AQ101" s="55">
        <v>1334</v>
      </c>
      <c r="AR101" s="55">
        <v>1427</v>
      </c>
      <c r="AS101" s="55">
        <v>1585</v>
      </c>
      <c r="AT101" s="55">
        <v>1409</v>
      </c>
      <c r="AU101" s="55">
        <v>1643</v>
      </c>
      <c r="AV101" s="55">
        <v>1912</v>
      </c>
      <c r="AW101" s="56">
        <v>2035</v>
      </c>
      <c r="AX101" s="55">
        <v>2129</v>
      </c>
      <c r="AY101" s="55">
        <v>2216.65047493049</v>
      </c>
      <c r="AZ101" s="55">
        <v>2301.9128722615142</v>
      </c>
      <c r="BA101" s="55">
        <v>2366.3201407350016</v>
      </c>
      <c r="BB101" s="55">
        <v>2438.0824623382673</v>
      </c>
      <c r="BC101" s="55">
        <v>2490.9176310207263</v>
      </c>
      <c r="BD101" s="55">
        <v>2553.4884059280412</v>
      </c>
      <c r="BE101" s="55">
        <v>2599.4369828137615</v>
      </c>
      <c r="BF101" s="55">
        <v>2651.6967882365357</v>
      </c>
      <c r="BG101" s="55">
        <v>2688.9342572409596</v>
      </c>
      <c r="BH101" s="55">
        <v>2739.4614458816686</v>
      </c>
      <c r="BI101" s="55">
        <v>2775.4524122603184</v>
      </c>
      <c r="BJ101" s="55">
        <v>2827.8743070403625</v>
      </c>
      <c r="BK101" s="55">
        <v>2865.5433179301563</v>
      </c>
      <c r="BL101" s="55">
        <v>2920.1211243971638</v>
      </c>
      <c r="BM101" s="55">
        <v>2961.7861107012091</v>
      </c>
      <c r="BN101" s="55">
        <v>3016.6972281184476</v>
      </c>
      <c r="BO101" s="55">
        <v>3060.9317111035357</v>
      </c>
      <c r="BP101" s="55">
        <v>3119.3333002868435</v>
      </c>
      <c r="BQ101" s="55">
        <v>3159.2593931996084</v>
      </c>
      <c r="BZ101" s="55"/>
      <c r="CA101" s="55">
        <v>22</v>
      </c>
      <c r="CB101" s="55">
        <v>43</v>
      </c>
      <c r="CC101" s="55">
        <v>143</v>
      </c>
      <c r="CD101" s="55">
        <v>228.5</v>
      </c>
      <c r="CE101" s="55">
        <v>73</v>
      </c>
      <c r="CF101" s="55">
        <v>163</v>
      </c>
      <c r="CG101" s="55">
        <v>188</v>
      </c>
      <c r="CH101" s="55">
        <v>267</v>
      </c>
      <c r="CI101" s="64">
        <v>297</v>
      </c>
      <c r="CJ101" s="55">
        <v>353</v>
      </c>
      <c r="CK101" s="55">
        <v>673</v>
      </c>
      <c r="CL101" s="55">
        <v>950</v>
      </c>
      <c r="CM101" s="55">
        <v>1297</v>
      </c>
      <c r="CN101" s="55">
        <v>1700</v>
      </c>
      <c r="CO101" s="55">
        <v>1923</v>
      </c>
      <c r="CP101" s="55">
        <v>1854</v>
      </c>
      <c r="CQ101" s="55">
        <v>2089</v>
      </c>
      <c r="CR101" s="55">
        <v>2228</v>
      </c>
      <c r="CS101" s="55">
        <v>1934</v>
      </c>
      <c r="CT101" s="55">
        <v>1819</v>
      </c>
      <c r="CU101" s="55">
        <v>1712</v>
      </c>
      <c r="CV101" s="55">
        <v>1296</v>
      </c>
      <c r="CW101" s="55">
        <v>1427</v>
      </c>
      <c r="CX101" s="55">
        <v>1409</v>
      </c>
      <c r="CY101" s="56">
        <v>1912</v>
      </c>
      <c r="CZ101" s="55">
        <v>2129</v>
      </c>
      <c r="DA101" s="55">
        <v>2301.9128722615142</v>
      </c>
      <c r="DB101" s="55">
        <v>2438.0824623382673</v>
      </c>
      <c r="DC101" s="55">
        <v>2553.4884059280412</v>
      </c>
      <c r="DD101" s="55">
        <v>2651.6967882365357</v>
      </c>
      <c r="DE101" s="55">
        <v>2739.4614458816686</v>
      </c>
      <c r="DF101" s="55">
        <v>2827.8743070403625</v>
      </c>
      <c r="DG101" s="55">
        <v>2920.1211243971638</v>
      </c>
      <c r="DH101" s="55">
        <v>3016.6972281184476</v>
      </c>
      <c r="DI101" s="55">
        <v>3119.3333002868435</v>
      </c>
    </row>
    <row r="102" spans="1:113" outlineLevel="1">
      <c r="A102" s="1" t="s">
        <v>774</v>
      </c>
      <c r="B102" s="19" t="s">
        <v>693</v>
      </c>
      <c r="C102" s="55">
        <v>-895.5</v>
      </c>
      <c r="D102" s="55">
        <v>88</v>
      </c>
      <c r="E102" s="55">
        <v>88</v>
      </c>
      <c r="F102" s="55">
        <v>50.5</v>
      </c>
      <c r="G102" s="55">
        <v>66.5</v>
      </c>
      <c r="H102" s="55">
        <v>48</v>
      </c>
      <c r="I102" s="55">
        <v>41</v>
      </c>
      <c r="J102" s="55">
        <v>61</v>
      </c>
      <c r="K102" s="55">
        <v>32</v>
      </c>
      <c r="L102" s="55">
        <v>22</v>
      </c>
      <c r="M102" s="55">
        <v>68</v>
      </c>
      <c r="N102" s="55">
        <v>68</v>
      </c>
      <c r="O102" s="55">
        <v>62</v>
      </c>
      <c r="P102" s="55">
        <v>61</v>
      </c>
      <c r="Q102" s="55">
        <v>160</v>
      </c>
      <c r="R102" s="55">
        <v>267</v>
      </c>
      <c r="S102" s="55">
        <v>205</v>
      </c>
      <c r="T102" s="55">
        <v>230</v>
      </c>
      <c r="U102" s="55">
        <v>225</v>
      </c>
      <c r="V102" s="55">
        <v>231</v>
      </c>
      <c r="W102" s="55">
        <v>299</v>
      </c>
      <c r="X102" s="55">
        <v>276</v>
      </c>
      <c r="Y102" s="55">
        <v>310</v>
      </c>
      <c r="Z102" s="55">
        <v>243</v>
      </c>
      <c r="AA102" s="55">
        <v>225</v>
      </c>
      <c r="AB102" s="55">
        <v>225</v>
      </c>
      <c r="AC102" s="55">
        <v>104</v>
      </c>
      <c r="AD102" s="55">
        <v>278</v>
      </c>
      <c r="AE102" s="55">
        <v>276</v>
      </c>
      <c r="AF102" s="55">
        <v>272</v>
      </c>
      <c r="AG102" s="55">
        <v>247</v>
      </c>
      <c r="AH102" s="55">
        <v>282</v>
      </c>
      <c r="AI102" s="55">
        <v>209</v>
      </c>
      <c r="AJ102" s="55">
        <v>164</v>
      </c>
      <c r="AK102" s="55">
        <v>274</v>
      </c>
      <c r="AL102" s="55">
        <v>194</v>
      </c>
      <c r="AM102" s="55">
        <v>149</v>
      </c>
      <c r="AN102" s="55">
        <v>201</v>
      </c>
      <c r="AO102" s="55">
        <v>152</v>
      </c>
      <c r="AP102" s="55">
        <v>276</v>
      </c>
      <c r="AQ102" s="55">
        <v>277</v>
      </c>
      <c r="AR102" s="55">
        <v>318</v>
      </c>
      <c r="AS102" s="55">
        <v>425</v>
      </c>
      <c r="AT102" s="55">
        <v>417</v>
      </c>
      <c r="AU102" s="55">
        <v>481</v>
      </c>
      <c r="AV102" s="55">
        <v>437</v>
      </c>
      <c r="AW102" s="56">
        <v>465</v>
      </c>
      <c r="AX102" s="55">
        <v>480.16220262851442</v>
      </c>
      <c r="AY102" s="55">
        <v>486.73782718838771</v>
      </c>
      <c r="AZ102" s="55">
        <v>486.05558459986122</v>
      </c>
      <c r="BA102" s="55">
        <v>498.63463744129234</v>
      </c>
      <c r="BB102" s="55">
        <v>498.03672219649502</v>
      </c>
      <c r="BC102" s="55">
        <v>510.76745302130433</v>
      </c>
      <c r="BD102" s="55">
        <v>510.1040523070061</v>
      </c>
      <c r="BE102" s="55">
        <v>520.12018704132856</v>
      </c>
      <c r="BF102" s="55">
        <v>519.6187214201758</v>
      </c>
      <c r="BG102" s="55">
        <v>532.84144007227519</v>
      </c>
      <c r="BH102" s="55">
        <v>534.11394682836385</v>
      </c>
      <c r="BI102" s="55">
        <v>550.27880867292379</v>
      </c>
      <c r="BJ102" s="55">
        <v>551.91496816948222</v>
      </c>
      <c r="BK102" s="55">
        <v>568.63547048920077</v>
      </c>
      <c r="BL102" s="55">
        <v>571.48431088728023</v>
      </c>
      <c r="BM102" s="55">
        <v>587.57617954550278</v>
      </c>
      <c r="BN102" s="55">
        <v>593.18351811881894</v>
      </c>
      <c r="BO102" s="55">
        <v>607.51960777262275</v>
      </c>
      <c r="BP102" s="55">
        <v>607.02675594341974</v>
      </c>
      <c r="BQ102" s="55">
        <v>623.0347724094994</v>
      </c>
      <c r="BZ102" s="53"/>
      <c r="CA102" s="53"/>
      <c r="CB102" s="53"/>
      <c r="CC102" s="55">
        <v>176</v>
      </c>
      <c r="CD102" s="55">
        <v>117</v>
      </c>
      <c r="CE102" s="55">
        <v>89</v>
      </c>
      <c r="CF102" s="55">
        <v>93</v>
      </c>
      <c r="CG102" s="55">
        <v>90</v>
      </c>
      <c r="CH102" s="55">
        <v>130</v>
      </c>
      <c r="CI102" s="55">
        <v>221</v>
      </c>
      <c r="CJ102" s="55">
        <v>472</v>
      </c>
      <c r="CK102" s="55">
        <v>455</v>
      </c>
      <c r="CL102" s="55">
        <v>530</v>
      </c>
      <c r="CM102" s="55">
        <v>586</v>
      </c>
      <c r="CN102" s="55">
        <v>468</v>
      </c>
      <c r="CO102" s="55">
        <v>329</v>
      </c>
      <c r="CP102" s="55">
        <v>554</v>
      </c>
      <c r="CQ102" s="55">
        <v>519</v>
      </c>
      <c r="CR102" s="55">
        <v>491</v>
      </c>
      <c r="CS102" s="55">
        <v>438</v>
      </c>
      <c r="CT102" s="55">
        <v>343</v>
      </c>
      <c r="CU102" s="55">
        <v>353</v>
      </c>
      <c r="CV102" s="55">
        <v>553</v>
      </c>
      <c r="CW102" s="55">
        <v>743</v>
      </c>
      <c r="CX102" s="55">
        <v>898</v>
      </c>
      <c r="CY102" s="56">
        <v>902</v>
      </c>
      <c r="CZ102" s="55">
        <v>966.90002981690213</v>
      </c>
      <c r="DA102" s="55">
        <v>984.69022204115356</v>
      </c>
      <c r="DB102" s="55">
        <v>1008.8041752177994</v>
      </c>
      <c r="DC102" s="55">
        <v>1030.2242393483348</v>
      </c>
      <c r="DD102" s="55">
        <v>1052.4601614924509</v>
      </c>
      <c r="DE102" s="55">
        <v>1084.3927555012876</v>
      </c>
      <c r="DF102" s="55">
        <v>1120.5504386586831</v>
      </c>
      <c r="DG102" s="55">
        <v>1159.0604904327829</v>
      </c>
      <c r="DH102" s="55">
        <v>1200.7031258914417</v>
      </c>
      <c r="DI102" s="55">
        <v>1230.0615283529191</v>
      </c>
    </row>
    <row r="103" spans="1:113" outlineLevel="1">
      <c r="A103" s="1" t="s">
        <v>775</v>
      </c>
      <c r="B103" s="19" t="s">
        <v>694</v>
      </c>
      <c r="C103" s="181">
        <v>-22</v>
      </c>
      <c r="D103" s="181">
        <v>-22</v>
      </c>
      <c r="E103" s="53">
        <v>-22</v>
      </c>
      <c r="F103" s="53">
        <v>-31</v>
      </c>
      <c r="G103" s="53">
        <v>-47</v>
      </c>
      <c r="H103" s="53">
        <v>-4</v>
      </c>
      <c r="I103" s="53">
        <v>-7</v>
      </c>
      <c r="J103" s="53">
        <v>-5</v>
      </c>
      <c r="K103" s="53">
        <v>-13</v>
      </c>
      <c r="L103" s="53">
        <v>-16</v>
      </c>
      <c r="M103" s="53">
        <v>-27</v>
      </c>
      <c r="N103" s="53">
        <v>-30</v>
      </c>
      <c r="O103" s="53">
        <v>-32</v>
      </c>
      <c r="P103" s="53">
        <v>-42</v>
      </c>
      <c r="Q103" s="53">
        <v>-46</v>
      </c>
      <c r="R103" s="53">
        <v>-49</v>
      </c>
      <c r="S103" s="53">
        <v>-73</v>
      </c>
      <c r="T103" s="53">
        <v>-104</v>
      </c>
      <c r="U103" s="53">
        <v>-74</v>
      </c>
      <c r="V103" s="53">
        <v>-81</v>
      </c>
      <c r="W103" s="53">
        <v>-102</v>
      </c>
      <c r="X103" s="53">
        <v>-89</v>
      </c>
      <c r="Y103" s="53">
        <v>-90</v>
      </c>
      <c r="Z103" s="53">
        <v>-112</v>
      </c>
      <c r="AA103" s="164">
        <v>-133</v>
      </c>
      <c r="AB103" s="164">
        <v>-130</v>
      </c>
      <c r="AC103" s="164">
        <v>-198</v>
      </c>
      <c r="AD103" s="164">
        <v>-143</v>
      </c>
      <c r="AE103" s="164">
        <v>-165</v>
      </c>
      <c r="AF103" s="164">
        <v>-177</v>
      </c>
      <c r="AG103" s="164">
        <v>-202</v>
      </c>
      <c r="AH103" s="164">
        <v>-220</v>
      </c>
      <c r="AI103" s="164">
        <v>-172</v>
      </c>
      <c r="AJ103" s="164">
        <v>-202</v>
      </c>
      <c r="AK103" s="164">
        <v>-351</v>
      </c>
      <c r="AL103" s="164">
        <v>-231</v>
      </c>
      <c r="AM103" s="164">
        <v>-219</v>
      </c>
      <c r="AN103" s="164">
        <v>-275</v>
      </c>
      <c r="AO103" s="164">
        <v>-274</v>
      </c>
      <c r="AP103" s="164">
        <v>-238</v>
      </c>
      <c r="AQ103" s="164">
        <v>-184</v>
      </c>
      <c r="AR103" s="164">
        <v>-160</v>
      </c>
      <c r="AS103" s="164">
        <v>-212</v>
      </c>
      <c r="AT103" s="164">
        <v>-183</v>
      </c>
      <c r="AU103" s="164">
        <v>-212</v>
      </c>
      <c r="AV103" s="164">
        <v>-314</v>
      </c>
      <c r="AW103" s="171">
        <v>-371</v>
      </c>
      <c r="AX103" s="55">
        <v>-392.51172769802446</v>
      </c>
      <c r="AY103" s="55">
        <v>-401.47542985736345</v>
      </c>
      <c r="AZ103" s="55">
        <v>-421.64831612637352</v>
      </c>
      <c r="BA103" s="55">
        <v>-426.87231583802668</v>
      </c>
      <c r="BB103" s="55">
        <v>-445.20155351403599</v>
      </c>
      <c r="BC103" s="55">
        <v>-448.19667811398944</v>
      </c>
      <c r="BD103" s="55">
        <v>-464.15547542128564</v>
      </c>
      <c r="BE103" s="55">
        <v>-467.86038161855441</v>
      </c>
      <c r="BF103" s="55">
        <v>-482.38125241575221</v>
      </c>
      <c r="BG103" s="55">
        <v>-482.31425143156576</v>
      </c>
      <c r="BH103" s="55">
        <v>-498.12298044971368</v>
      </c>
      <c r="BI103" s="55">
        <v>-497.8569138928795</v>
      </c>
      <c r="BJ103" s="55">
        <v>-514.24595727968824</v>
      </c>
      <c r="BK103" s="55">
        <v>-514.05766402219319</v>
      </c>
      <c r="BL103" s="55">
        <v>-529.8193245832349</v>
      </c>
      <c r="BM103" s="55">
        <v>-532.66506212826437</v>
      </c>
      <c r="BN103" s="55">
        <v>-548.94903513373094</v>
      </c>
      <c r="BO103" s="55">
        <v>-549.11801858931483</v>
      </c>
      <c r="BP103" s="55">
        <v>-567.10066303065457</v>
      </c>
      <c r="BQ103" s="55">
        <v>-566.43114519759342</v>
      </c>
      <c r="BZ103" s="53"/>
      <c r="CA103" s="53"/>
      <c r="CB103" s="53"/>
      <c r="CC103" s="55">
        <v>-44</v>
      </c>
      <c r="CD103" s="55">
        <v>-78</v>
      </c>
      <c r="CE103" s="55">
        <v>-11</v>
      </c>
      <c r="CF103" s="55">
        <v>-18</v>
      </c>
      <c r="CG103" s="55">
        <v>-43</v>
      </c>
      <c r="CH103" s="55">
        <v>-62</v>
      </c>
      <c r="CI103" s="55">
        <v>-88</v>
      </c>
      <c r="CJ103" s="55">
        <v>-122</v>
      </c>
      <c r="CK103" s="55">
        <v>-178</v>
      </c>
      <c r="CL103" s="55">
        <v>-183</v>
      </c>
      <c r="CM103" s="55">
        <v>-179</v>
      </c>
      <c r="CN103" s="55">
        <v>-245</v>
      </c>
      <c r="CO103" s="55">
        <v>-328</v>
      </c>
      <c r="CP103" s="55">
        <v>-308</v>
      </c>
      <c r="CQ103" s="55">
        <v>-379</v>
      </c>
      <c r="CR103" s="55">
        <v>-392</v>
      </c>
      <c r="CS103" s="55">
        <v>-553</v>
      </c>
      <c r="CT103" s="55">
        <v>-450</v>
      </c>
      <c r="CU103" s="55">
        <v>-549</v>
      </c>
      <c r="CV103" s="55">
        <v>-422</v>
      </c>
      <c r="CW103" s="55">
        <v>-372</v>
      </c>
      <c r="CX103" s="55">
        <v>-395</v>
      </c>
      <c r="CY103" s="56">
        <v>-685</v>
      </c>
      <c r="CZ103" s="55">
        <v>-793.98715755538797</v>
      </c>
      <c r="DA103" s="55">
        <v>-848.5206319644002</v>
      </c>
      <c r="DB103" s="55">
        <v>-893.39823162802543</v>
      </c>
      <c r="DC103" s="55">
        <v>-932.01585703984006</v>
      </c>
      <c r="DD103" s="55">
        <v>-964.69550384731792</v>
      </c>
      <c r="DE103" s="55">
        <v>-995.97989434259318</v>
      </c>
      <c r="DF103" s="55">
        <v>-1028.3036213018813</v>
      </c>
      <c r="DG103" s="55">
        <v>-1062.4843867114992</v>
      </c>
      <c r="DH103" s="55">
        <v>-1098.0670537230458</v>
      </c>
      <c r="DI103" s="55">
        <v>-1133.5318082282479</v>
      </c>
    </row>
    <row r="104" spans="1:113" outlineLevel="1">
      <c r="A104" s="1" t="s">
        <v>987</v>
      </c>
      <c r="B104" s="19" t="s">
        <v>561</v>
      </c>
      <c r="C104" s="53">
        <v>0</v>
      </c>
      <c r="D104" s="53">
        <v>0</v>
      </c>
      <c r="E104" s="53">
        <v>0</v>
      </c>
      <c r="F104" s="53">
        <v>0</v>
      </c>
      <c r="G104" s="53">
        <v>0</v>
      </c>
      <c r="H104" s="53">
        <v>0</v>
      </c>
      <c r="I104" s="53">
        <v>0</v>
      </c>
      <c r="J104" s="53">
        <v>0</v>
      </c>
      <c r="K104" s="53">
        <v>0</v>
      </c>
      <c r="L104" s="53">
        <v>0</v>
      </c>
      <c r="M104" s="53">
        <v>0</v>
      </c>
      <c r="N104" s="53">
        <v>0</v>
      </c>
      <c r="O104" s="53">
        <v>0</v>
      </c>
      <c r="P104" s="53">
        <v>0</v>
      </c>
      <c r="Q104" s="53">
        <v>-77</v>
      </c>
      <c r="R104" s="53">
        <v>0</v>
      </c>
      <c r="S104" s="53">
        <v>-30</v>
      </c>
      <c r="T104" s="53">
        <v>0</v>
      </c>
      <c r="U104" s="53">
        <v>0</v>
      </c>
      <c r="V104" s="53">
        <v>0</v>
      </c>
      <c r="W104" s="53">
        <v>0</v>
      </c>
      <c r="X104" s="53">
        <v>-4</v>
      </c>
      <c r="Y104" s="53">
        <v>0</v>
      </c>
      <c r="Z104" s="53">
        <v>0</v>
      </c>
      <c r="AA104" s="164">
        <v>0</v>
      </c>
      <c r="AB104" s="164">
        <v>-68</v>
      </c>
      <c r="AC104" s="164">
        <v>-2</v>
      </c>
      <c r="AD104" s="164">
        <v>-10</v>
      </c>
      <c r="AE104" s="164">
        <v>-1</v>
      </c>
      <c r="AF104" s="164">
        <v>-1</v>
      </c>
      <c r="AG104" s="164">
        <v>0</v>
      </c>
      <c r="AH104" s="164">
        <v>-393</v>
      </c>
      <c r="AI104" s="164">
        <v>0</v>
      </c>
      <c r="AJ104" s="164">
        <v>0</v>
      </c>
      <c r="AK104" s="164">
        <v>0</v>
      </c>
      <c r="AL104" s="164">
        <v>0</v>
      </c>
      <c r="AM104" s="164">
        <v>0</v>
      </c>
      <c r="AN104" s="164">
        <v>-220</v>
      </c>
      <c r="AO104" s="164">
        <v>0</v>
      </c>
      <c r="AP104" s="164">
        <v>0</v>
      </c>
      <c r="AQ104" s="164">
        <v>0</v>
      </c>
      <c r="AR104" s="164">
        <v>0</v>
      </c>
      <c r="AS104" s="164">
        <v>-389</v>
      </c>
      <c r="AT104" s="164">
        <v>0</v>
      </c>
      <c r="AU104" s="164">
        <v>0</v>
      </c>
      <c r="AV104" s="164">
        <v>0</v>
      </c>
      <c r="AW104" s="171">
        <v>0</v>
      </c>
      <c r="AX104" s="54">
        <v>0</v>
      </c>
      <c r="AY104" s="54">
        <v>0</v>
      </c>
      <c r="AZ104" s="54">
        <v>0</v>
      </c>
      <c r="BA104" s="54">
        <v>0</v>
      </c>
      <c r="BB104" s="54">
        <v>0</v>
      </c>
      <c r="BC104" s="54">
        <v>0</v>
      </c>
      <c r="BD104" s="54">
        <v>0</v>
      </c>
      <c r="BE104" s="54">
        <v>0</v>
      </c>
      <c r="BF104" s="54">
        <v>0</v>
      </c>
      <c r="BG104" s="54">
        <v>0</v>
      </c>
      <c r="BH104" s="54">
        <v>0</v>
      </c>
      <c r="BI104" s="54">
        <v>0</v>
      </c>
      <c r="BJ104" s="54">
        <v>0</v>
      </c>
      <c r="BK104" s="54">
        <v>0</v>
      </c>
      <c r="BL104" s="54">
        <v>0</v>
      </c>
      <c r="BM104" s="54">
        <v>0</v>
      </c>
      <c r="BN104" s="54">
        <v>0</v>
      </c>
      <c r="BO104" s="54">
        <v>0</v>
      </c>
      <c r="BP104" s="54">
        <v>0</v>
      </c>
      <c r="BQ104" s="54">
        <v>0</v>
      </c>
      <c r="BZ104" s="53"/>
      <c r="CA104" s="53"/>
      <c r="CB104" s="53"/>
      <c r="CC104" s="55">
        <v>0</v>
      </c>
      <c r="CD104" s="55">
        <v>0</v>
      </c>
      <c r="CE104" s="55">
        <v>0</v>
      </c>
      <c r="CF104" s="55">
        <v>0</v>
      </c>
      <c r="CG104" s="55">
        <v>0</v>
      </c>
      <c r="CH104" s="55">
        <v>0</v>
      </c>
      <c r="CI104" s="55">
        <v>-77</v>
      </c>
      <c r="CJ104" s="55">
        <v>-30</v>
      </c>
      <c r="CK104" s="55">
        <v>0</v>
      </c>
      <c r="CL104" s="55">
        <v>0</v>
      </c>
      <c r="CM104" s="55">
        <v>-4</v>
      </c>
      <c r="CN104" s="55">
        <v>0</v>
      </c>
      <c r="CO104" s="55">
        <v>-70</v>
      </c>
      <c r="CP104" s="55">
        <v>-11</v>
      </c>
      <c r="CQ104" s="55">
        <v>-1</v>
      </c>
      <c r="CR104" s="55">
        <v>-393</v>
      </c>
      <c r="CS104" s="55">
        <v>0</v>
      </c>
      <c r="CT104" s="55">
        <v>0</v>
      </c>
      <c r="CU104" s="55">
        <v>-220</v>
      </c>
      <c r="CV104" s="55">
        <v>0</v>
      </c>
      <c r="CW104" s="55">
        <v>-389</v>
      </c>
      <c r="CX104" s="55">
        <v>0</v>
      </c>
      <c r="CY104" s="56">
        <v>0</v>
      </c>
      <c r="CZ104" s="55">
        <v>0</v>
      </c>
      <c r="DA104" s="55">
        <v>0</v>
      </c>
      <c r="DB104" s="55">
        <v>0</v>
      </c>
      <c r="DC104" s="55">
        <v>0</v>
      </c>
      <c r="DD104" s="55">
        <v>0</v>
      </c>
      <c r="DE104" s="55">
        <v>0</v>
      </c>
      <c r="DF104" s="55">
        <v>0</v>
      </c>
      <c r="DG104" s="55">
        <v>0</v>
      </c>
      <c r="DH104" s="55">
        <v>0</v>
      </c>
      <c r="DI104" s="55">
        <v>0</v>
      </c>
    </row>
    <row r="105" spans="1:113" outlineLevel="1">
      <c r="A105" s="1" t="s">
        <v>861</v>
      </c>
      <c r="B105" s="19" t="s">
        <v>271</v>
      </c>
      <c r="C105" s="53">
        <v>0</v>
      </c>
      <c r="D105" s="53">
        <v>0</v>
      </c>
      <c r="E105" s="53">
        <v>0</v>
      </c>
      <c r="F105" s="53">
        <v>0</v>
      </c>
      <c r="G105" s="53">
        <v>0</v>
      </c>
      <c r="H105" s="181">
        <v>-219</v>
      </c>
      <c r="I105" s="53">
        <v>0</v>
      </c>
      <c r="J105" s="53">
        <v>0</v>
      </c>
      <c r="K105" s="53">
        <v>0</v>
      </c>
      <c r="L105" s="53">
        <v>0</v>
      </c>
      <c r="M105" s="53">
        <v>0</v>
      </c>
      <c r="N105" s="53">
        <v>0</v>
      </c>
      <c r="O105" s="53">
        <v>0</v>
      </c>
      <c r="P105" s="53">
        <v>0</v>
      </c>
      <c r="Q105" s="53">
        <v>0</v>
      </c>
      <c r="R105" s="53">
        <v>0</v>
      </c>
      <c r="S105" s="53">
        <v>0</v>
      </c>
      <c r="T105" s="53">
        <v>0</v>
      </c>
      <c r="U105" s="53">
        <v>0</v>
      </c>
      <c r="V105" s="53">
        <v>0</v>
      </c>
      <c r="W105" s="53">
        <v>0</v>
      </c>
      <c r="X105" s="53">
        <v>0</v>
      </c>
      <c r="Y105" s="53">
        <v>0</v>
      </c>
      <c r="Z105" s="53">
        <v>0</v>
      </c>
      <c r="AA105" s="164">
        <v>0</v>
      </c>
      <c r="AB105" s="164">
        <v>0</v>
      </c>
      <c r="AC105" s="164">
        <v>0</v>
      </c>
      <c r="AD105" s="164">
        <v>0</v>
      </c>
      <c r="AE105" s="164">
        <v>0</v>
      </c>
      <c r="AF105" s="164">
        <v>0</v>
      </c>
      <c r="AG105" s="164">
        <v>0</v>
      </c>
      <c r="AH105" s="164">
        <v>0</v>
      </c>
      <c r="AI105" s="164">
        <v>0</v>
      </c>
      <c r="AJ105" s="164">
        <v>0</v>
      </c>
      <c r="AK105" s="164">
        <v>0</v>
      </c>
      <c r="AL105" s="164">
        <v>0</v>
      </c>
      <c r="AM105" s="164">
        <v>0</v>
      </c>
      <c r="AN105" s="164">
        <v>0</v>
      </c>
      <c r="AO105" s="164">
        <v>0</v>
      </c>
      <c r="AP105" s="164">
        <v>0</v>
      </c>
      <c r="AQ105" s="164">
        <v>0</v>
      </c>
      <c r="AR105" s="164">
        <v>0</v>
      </c>
      <c r="AS105" s="164">
        <v>0</v>
      </c>
      <c r="AT105" s="164">
        <v>0</v>
      </c>
      <c r="AU105" s="164">
        <v>0</v>
      </c>
      <c r="AV105" s="164">
        <v>0</v>
      </c>
      <c r="AW105" s="171">
        <v>0</v>
      </c>
      <c r="AX105" s="54">
        <v>0</v>
      </c>
      <c r="AY105" s="54">
        <v>0</v>
      </c>
      <c r="AZ105" s="54">
        <v>0</v>
      </c>
      <c r="BA105" s="54">
        <v>0</v>
      </c>
      <c r="BB105" s="54">
        <v>0</v>
      </c>
      <c r="BC105" s="54">
        <v>0</v>
      </c>
      <c r="BD105" s="54">
        <v>0</v>
      </c>
      <c r="BE105" s="54">
        <v>0</v>
      </c>
      <c r="BF105" s="54">
        <v>0</v>
      </c>
      <c r="BG105" s="54">
        <v>0</v>
      </c>
      <c r="BH105" s="54">
        <v>0</v>
      </c>
      <c r="BI105" s="54">
        <v>0</v>
      </c>
      <c r="BJ105" s="54">
        <v>0</v>
      </c>
      <c r="BK105" s="54">
        <v>0</v>
      </c>
      <c r="BL105" s="54">
        <v>0</v>
      </c>
      <c r="BM105" s="54">
        <v>0</v>
      </c>
      <c r="BN105" s="54">
        <v>0</v>
      </c>
      <c r="BO105" s="54">
        <v>0</v>
      </c>
      <c r="BP105" s="54">
        <v>0</v>
      </c>
      <c r="BQ105" s="54">
        <v>0</v>
      </c>
      <c r="BS105" s="55"/>
      <c r="BT105" s="55"/>
      <c r="BU105" s="55"/>
      <c r="BV105" s="55"/>
      <c r="BW105" s="55"/>
      <c r="BX105" s="55"/>
      <c r="BY105" s="55"/>
      <c r="BZ105" s="55"/>
      <c r="CA105" s="55"/>
      <c r="CB105" s="55"/>
      <c r="CC105" s="55">
        <v>0</v>
      </c>
      <c r="CD105" s="55">
        <v>0</v>
      </c>
      <c r="CE105" s="55">
        <v>-219</v>
      </c>
      <c r="CF105" s="55">
        <v>0</v>
      </c>
      <c r="CG105" s="55">
        <v>0</v>
      </c>
      <c r="CH105" s="55">
        <v>0</v>
      </c>
      <c r="CI105" s="55">
        <v>0</v>
      </c>
      <c r="CJ105" s="55">
        <v>0</v>
      </c>
      <c r="CK105" s="55">
        <v>0</v>
      </c>
      <c r="CL105" s="55">
        <v>0</v>
      </c>
      <c r="CM105" s="55">
        <v>0</v>
      </c>
      <c r="CN105" s="55">
        <v>0</v>
      </c>
      <c r="CO105" s="55">
        <v>0</v>
      </c>
      <c r="CP105" s="55">
        <v>0</v>
      </c>
      <c r="CQ105" s="55">
        <v>0</v>
      </c>
      <c r="CR105" s="55">
        <v>0</v>
      </c>
      <c r="CS105" s="55">
        <v>0</v>
      </c>
      <c r="CT105" s="55">
        <v>0</v>
      </c>
      <c r="CU105" s="55">
        <v>0</v>
      </c>
      <c r="CV105" s="55">
        <v>0</v>
      </c>
      <c r="CW105" s="55">
        <v>0</v>
      </c>
      <c r="CX105" s="55">
        <v>0</v>
      </c>
      <c r="CY105" s="56">
        <v>0</v>
      </c>
      <c r="CZ105" s="55">
        <v>0</v>
      </c>
      <c r="DA105" s="55">
        <v>0</v>
      </c>
      <c r="DB105" s="55">
        <v>0</v>
      </c>
      <c r="DC105" s="55">
        <v>0</v>
      </c>
      <c r="DD105" s="55">
        <v>0</v>
      </c>
      <c r="DE105" s="55">
        <v>0</v>
      </c>
      <c r="DF105" s="55">
        <v>0</v>
      </c>
      <c r="DG105" s="55">
        <v>0</v>
      </c>
      <c r="DH105" s="55">
        <v>0</v>
      </c>
      <c r="DI105" s="55">
        <v>0</v>
      </c>
    </row>
    <row r="106" spans="1:113" outlineLevel="1">
      <c r="A106" s="1" t="s">
        <v>862</v>
      </c>
      <c r="B106" s="19" t="s">
        <v>460</v>
      </c>
      <c r="C106" s="53">
        <v>77</v>
      </c>
      <c r="D106" s="181">
        <v>143</v>
      </c>
      <c r="E106" s="53">
        <v>209</v>
      </c>
      <c r="F106" s="181">
        <v>228.5</v>
      </c>
      <c r="G106" s="53">
        <v>248</v>
      </c>
      <c r="H106" s="53">
        <v>73</v>
      </c>
      <c r="I106" s="53">
        <v>107</v>
      </c>
      <c r="J106" s="53">
        <v>163</v>
      </c>
      <c r="K106" s="53">
        <v>182</v>
      </c>
      <c r="L106" s="53">
        <v>188</v>
      </c>
      <c r="M106" s="53">
        <v>229</v>
      </c>
      <c r="N106" s="53">
        <v>267</v>
      </c>
      <c r="O106" s="53">
        <v>297</v>
      </c>
      <c r="P106" s="53">
        <v>316</v>
      </c>
      <c r="Q106" s="53">
        <v>353</v>
      </c>
      <c r="R106" s="53">
        <v>571</v>
      </c>
      <c r="S106" s="53">
        <v>673</v>
      </c>
      <c r="T106" s="53">
        <v>799</v>
      </c>
      <c r="U106" s="53">
        <v>950</v>
      </c>
      <c r="V106" s="53">
        <v>1100</v>
      </c>
      <c r="W106" s="53">
        <v>1297</v>
      </c>
      <c r="X106" s="53">
        <v>1480</v>
      </c>
      <c r="Y106" s="53">
        <v>1700</v>
      </c>
      <c r="Z106" s="53">
        <v>1831</v>
      </c>
      <c r="AA106" s="164">
        <v>1923</v>
      </c>
      <c r="AB106" s="164">
        <v>1950</v>
      </c>
      <c r="AC106" s="164">
        <v>1854</v>
      </c>
      <c r="AD106" s="164">
        <v>1979</v>
      </c>
      <c r="AE106" s="164">
        <v>2089</v>
      </c>
      <c r="AF106" s="164">
        <v>2183</v>
      </c>
      <c r="AG106" s="164">
        <v>2228</v>
      </c>
      <c r="AH106" s="164">
        <v>1897</v>
      </c>
      <c r="AI106" s="164">
        <v>1934</v>
      </c>
      <c r="AJ106" s="164">
        <v>1896</v>
      </c>
      <c r="AK106" s="164">
        <v>1819</v>
      </c>
      <c r="AL106" s="164">
        <v>1782</v>
      </c>
      <c r="AM106" s="164">
        <v>1712</v>
      </c>
      <c r="AN106" s="164">
        <v>1418</v>
      </c>
      <c r="AO106" s="164">
        <v>1296</v>
      </c>
      <c r="AP106" s="164">
        <v>1334</v>
      </c>
      <c r="AQ106" s="164">
        <v>1427</v>
      </c>
      <c r="AR106" s="164">
        <v>1585</v>
      </c>
      <c r="AS106" s="164">
        <v>1409</v>
      </c>
      <c r="AT106" s="164">
        <v>1643</v>
      </c>
      <c r="AU106" s="164">
        <v>1912</v>
      </c>
      <c r="AV106" s="164">
        <v>2035</v>
      </c>
      <c r="AW106" s="171">
        <v>2129</v>
      </c>
      <c r="AX106" s="55">
        <v>2216.65047493049</v>
      </c>
      <c r="AY106" s="55">
        <v>2301.9128722615142</v>
      </c>
      <c r="AZ106" s="55">
        <v>2366.3201407350016</v>
      </c>
      <c r="BA106" s="55">
        <v>2438.0824623382673</v>
      </c>
      <c r="BB106" s="55">
        <v>2490.9176310207263</v>
      </c>
      <c r="BC106" s="55">
        <v>2553.4884059280412</v>
      </c>
      <c r="BD106" s="55">
        <v>2599.4369828137615</v>
      </c>
      <c r="BE106" s="55">
        <v>2651.6967882365357</v>
      </c>
      <c r="BF106" s="55">
        <v>2688.9342572409596</v>
      </c>
      <c r="BG106" s="55">
        <v>2739.4614458816686</v>
      </c>
      <c r="BH106" s="55">
        <v>2775.4524122603184</v>
      </c>
      <c r="BI106" s="55">
        <v>2827.8743070403625</v>
      </c>
      <c r="BJ106" s="55">
        <v>2865.5433179301563</v>
      </c>
      <c r="BK106" s="55">
        <v>2920.1211243971638</v>
      </c>
      <c r="BL106" s="55">
        <v>2961.7861107012091</v>
      </c>
      <c r="BM106" s="55">
        <v>3016.6972281184476</v>
      </c>
      <c r="BN106" s="55">
        <v>3060.9317111035357</v>
      </c>
      <c r="BO106" s="55">
        <v>3119.3333002868435</v>
      </c>
      <c r="BP106" s="55">
        <v>3159.2593931996084</v>
      </c>
      <c r="BQ106" s="55">
        <v>3215.8630204115143</v>
      </c>
      <c r="BZ106" s="53">
        <v>22</v>
      </c>
      <c r="CA106" s="53">
        <v>43</v>
      </c>
      <c r="CB106" s="53">
        <v>77</v>
      </c>
      <c r="CC106" s="55">
        <v>209</v>
      </c>
      <c r="CD106" s="55">
        <v>248</v>
      </c>
      <c r="CE106" s="55">
        <v>107</v>
      </c>
      <c r="CF106" s="55">
        <v>182</v>
      </c>
      <c r="CG106" s="55">
        <v>229</v>
      </c>
      <c r="CH106" s="55">
        <v>297</v>
      </c>
      <c r="CI106" s="55">
        <v>353</v>
      </c>
      <c r="CJ106" s="55">
        <v>673</v>
      </c>
      <c r="CK106" s="55">
        <v>950</v>
      </c>
      <c r="CL106" s="55">
        <v>1297</v>
      </c>
      <c r="CM106" s="55">
        <v>1700</v>
      </c>
      <c r="CN106" s="55">
        <v>1923</v>
      </c>
      <c r="CO106" s="55">
        <v>1854</v>
      </c>
      <c r="CP106" s="55">
        <v>2089</v>
      </c>
      <c r="CQ106" s="55">
        <v>2228</v>
      </c>
      <c r="CR106" s="55">
        <v>1934</v>
      </c>
      <c r="CS106" s="55">
        <v>1819</v>
      </c>
      <c r="CT106" s="55">
        <v>1712</v>
      </c>
      <c r="CU106" s="55">
        <v>1296</v>
      </c>
      <c r="CV106" s="55">
        <v>1427</v>
      </c>
      <c r="CW106" s="55">
        <v>1409</v>
      </c>
      <c r="CX106" s="55">
        <v>1912</v>
      </c>
      <c r="CY106" s="56">
        <v>2129</v>
      </c>
      <c r="CZ106" s="55">
        <v>2301.9128722615142</v>
      </c>
      <c r="DA106" s="55">
        <v>2438.0824623382673</v>
      </c>
      <c r="DB106" s="55">
        <v>2553.4884059280412</v>
      </c>
      <c r="DC106" s="55">
        <v>2651.6967882365357</v>
      </c>
      <c r="DD106" s="55">
        <v>2739.4614458816686</v>
      </c>
      <c r="DE106" s="55">
        <v>2827.8743070403625</v>
      </c>
      <c r="DF106" s="55">
        <v>2920.1211243971638</v>
      </c>
      <c r="DG106" s="55">
        <v>3016.6972281184476</v>
      </c>
      <c r="DH106" s="55">
        <v>3119.3333002868435</v>
      </c>
      <c r="DI106" s="55">
        <v>3215.8630204115143</v>
      </c>
    </row>
    <row r="107" spans="1:113" outlineLevel="1">
      <c r="AC107" s="55"/>
      <c r="AW107" s="62"/>
      <c r="CY107" s="22"/>
    </row>
    <row r="108" spans="1:113" outlineLevel="1">
      <c r="B108" s="24" t="s">
        <v>570</v>
      </c>
      <c r="AD108" s="55"/>
      <c r="AG108" s="55"/>
      <c r="AI108" s="55"/>
      <c r="AL108" s="55"/>
      <c r="AM108" s="55"/>
      <c r="AN108" s="55"/>
      <c r="AO108" s="55"/>
      <c r="AP108" s="55"/>
      <c r="AQ108" s="55"/>
      <c r="AR108" s="55"/>
      <c r="AS108" s="55"/>
      <c r="AT108" s="55"/>
      <c r="AU108" s="55"/>
      <c r="AV108" s="55"/>
      <c r="AW108" s="171"/>
      <c r="AX108" s="55"/>
      <c r="CY108" s="22"/>
    </row>
    <row r="109" spans="1:113" outlineLevel="1">
      <c r="A109" s="1" t="s">
        <v>461</v>
      </c>
      <c r="B109" s="19" t="s">
        <v>486</v>
      </c>
      <c r="C109" s="235">
        <v>2.8822774689819506E-5</v>
      </c>
      <c r="D109" s="235">
        <v>3.865574512628711E-5</v>
      </c>
      <c r="E109" s="235">
        <v>1.4780300929963925E-4</v>
      </c>
      <c r="F109" s="235">
        <v>2.4590080792764938E-4</v>
      </c>
      <c r="G109" s="235">
        <v>1.050414480626948E-4</v>
      </c>
      <c r="H109" s="235">
        <v>1.387995678162195E-4</v>
      </c>
      <c r="I109" s="235">
        <v>4.1831911130754055E-5</v>
      </c>
      <c r="J109" s="235">
        <v>3.2502094286356915E-4</v>
      </c>
      <c r="K109" s="235">
        <v>9.0203376553048755E-5</v>
      </c>
      <c r="L109" s="235">
        <v>4.6846571047715827E-4</v>
      </c>
      <c r="M109" s="48">
        <v>0</v>
      </c>
      <c r="N109" s="48">
        <v>5.603845782815109E-5</v>
      </c>
      <c r="O109" s="48">
        <v>0</v>
      </c>
      <c r="P109" s="48">
        <v>1.158427223507451E-4</v>
      </c>
      <c r="Q109" s="48">
        <v>1.1029495886421224E-4</v>
      </c>
      <c r="R109" s="48">
        <v>1.0775097286744186E-4</v>
      </c>
      <c r="S109" s="48">
        <v>2.8246134128141889E-4</v>
      </c>
      <c r="T109" s="50">
        <v>2.7017804764868127E-4</v>
      </c>
      <c r="U109" s="48">
        <v>4.8420796878017555E-4</v>
      </c>
      <c r="V109" s="48">
        <v>2.8044997980823894E-4</v>
      </c>
      <c r="W109" s="48">
        <v>1.2762428191834136E-4</v>
      </c>
      <c r="X109" s="48">
        <v>2.2737014771742801E-4</v>
      </c>
      <c r="Y109" s="50">
        <v>3.9193505476880781E-4</v>
      </c>
      <c r="Z109" s="50">
        <v>5.7768062117506192E-4</v>
      </c>
      <c r="AA109" s="50">
        <v>7.1426204191143853E-4</v>
      </c>
      <c r="AB109" s="50">
        <v>2.9891379959090324E-4</v>
      </c>
      <c r="AC109" s="50">
        <v>3.2954522850033583E-4</v>
      </c>
      <c r="AD109" s="50">
        <v>1.7236861938028201E-4</v>
      </c>
      <c r="AE109" s="50">
        <v>1.9830014596406115E-4</v>
      </c>
      <c r="AF109" s="50">
        <v>2.4552808312662512E-4</v>
      </c>
      <c r="AG109" s="50">
        <v>1.6145782171744473E-4</v>
      </c>
      <c r="AH109" s="50">
        <v>2.4324627127457474E-4</v>
      </c>
      <c r="AI109" s="50">
        <v>2.7263486662990364E-4</v>
      </c>
      <c r="AJ109" s="50">
        <v>2.3669675909490095E-4</v>
      </c>
      <c r="AK109" s="50">
        <v>3.0181505168095485E-4</v>
      </c>
      <c r="AL109" s="50">
        <v>2.5053374871721241E-4</v>
      </c>
      <c r="AM109" s="50">
        <v>2.9520711575718229E-4</v>
      </c>
      <c r="AN109" s="50">
        <v>2.2114045575437078E-4</v>
      </c>
      <c r="AO109" s="50">
        <v>2.4305594280944154E-4</v>
      </c>
      <c r="AP109" s="50">
        <v>1.4020362875345087E-4</v>
      </c>
      <c r="AQ109" s="50">
        <v>1.0395249442752633E-4</v>
      </c>
      <c r="AR109" s="50">
        <v>7.9773113141794853E-5</v>
      </c>
      <c r="AS109" s="50">
        <v>5.7293569343162034E-5</v>
      </c>
      <c r="AT109" s="50">
        <v>5.14258249559316E-5</v>
      </c>
      <c r="AU109" s="50">
        <v>4.4251025607701717E-5</v>
      </c>
      <c r="AV109" s="50">
        <v>1.3394523771937298E-5</v>
      </c>
      <c r="AW109" s="49">
        <v>6.3916966480636925E-5</v>
      </c>
      <c r="AX109" s="510">
        <v>2.0000000000000001E-4</v>
      </c>
      <c r="AY109" s="510">
        <v>2.0000000000000001E-4</v>
      </c>
      <c r="AZ109" s="510">
        <v>2.0000000000000001E-4</v>
      </c>
      <c r="BA109" s="510">
        <v>2.0000000000000001E-4</v>
      </c>
      <c r="BB109" s="510">
        <v>2.0000000000000001E-4</v>
      </c>
      <c r="BC109" s="510">
        <v>2.0000000000000001E-4</v>
      </c>
      <c r="BD109" s="510">
        <v>2.0000000000000001E-4</v>
      </c>
      <c r="BE109" s="510">
        <v>2.0000000000000001E-4</v>
      </c>
      <c r="BF109" s="510">
        <v>2.0000000000000001E-4</v>
      </c>
      <c r="BG109" s="510">
        <v>2.0000000000000001E-4</v>
      </c>
      <c r="BH109" s="510">
        <v>2.0000000000000001E-4</v>
      </c>
      <c r="BI109" s="510">
        <v>2.0000000000000001E-4</v>
      </c>
      <c r="BJ109" s="510">
        <v>2.0000000000000001E-4</v>
      </c>
      <c r="BK109" s="510">
        <v>2.9999999999999997E-4</v>
      </c>
      <c r="BL109" s="510">
        <v>5.0000000000000001E-4</v>
      </c>
      <c r="BM109" s="510">
        <v>5.0000000000000001E-4</v>
      </c>
      <c r="BN109" s="510">
        <v>2.9999999999999997E-4</v>
      </c>
      <c r="BO109" s="510">
        <v>2.9999999999999997E-4</v>
      </c>
      <c r="BP109" s="510">
        <v>2.9999999999999997E-4</v>
      </c>
      <c r="BQ109" s="510">
        <v>2.9999999999999997E-4</v>
      </c>
      <c r="BR109" s="48"/>
      <c r="BS109" s="512">
        <v>1.387995678162195E-4</v>
      </c>
      <c r="BT109" s="512">
        <v>5.112423179109188E-4</v>
      </c>
      <c r="BU109" s="512">
        <v>4.2568910304339774E-4</v>
      </c>
      <c r="BV109" s="512">
        <v>2.4631238981006926E-4</v>
      </c>
      <c r="BW109" s="512">
        <v>1.4910780991369313E-4</v>
      </c>
      <c r="BX109" s="512">
        <v>2.4738568486811668E-4</v>
      </c>
      <c r="BY109" s="512">
        <v>2.6780697123385104E-4</v>
      </c>
      <c r="BZ109" s="512">
        <v>1.8087714418868779E-4</v>
      </c>
      <c r="CA109" s="512">
        <v>1.4115908226894851E-4</v>
      </c>
      <c r="CB109" s="512">
        <v>1.3868470189881566E-4</v>
      </c>
      <c r="CC109" s="51">
        <v>2.3233531290853287E-4</v>
      </c>
      <c r="CD109" s="51">
        <v>1.1517451914166667E-4</v>
      </c>
      <c r="CE109" s="51">
        <v>7.0235709299863304E-5</v>
      </c>
      <c r="CF109" s="51">
        <v>3.2428658766492665E-5</v>
      </c>
      <c r="CG109" s="51">
        <v>3.8386681999091303E-5</v>
      </c>
      <c r="CH109" s="51">
        <v>7.3690233657210883E-5</v>
      </c>
      <c r="CI109" s="48">
        <v>1.1212878147386008E-4</v>
      </c>
      <c r="CJ109" s="48">
        <v>1.9466373018677831E-4</v>
      </c>
      <c r="CK109" s="48">
        <v>3.8128932286664514E-4</v>
      </c>
      <c r="CL109" s="48">
        <v>1.9977504081991946E-4</v>
      </c>
      <c r="CM109" s="50">
        <v>3.0429187051677817E-4</v>
      </c>
      <c r="CN109" s="50">
        <v>6.3627213615679191E-4</v>
      </c>
      <c r="CO109" s="50">
        <v>3.1117452258962733E-4</v>
      </c>
      <c r="CP109" s="50">
        <v>1.8448666566779899E-4</v>
      </c>
      <c r="CQ109" s="50">
        <v>2.0204341879661932E-4</v>
      </c>
      <c r="CR109" s="50">
        <v>2.5807242242575023E-4</v>
      </c>
      <c r="CS109" s="50">
        <v>2.6897993328968585E-4</v>
      </c>
      <c r="CT109" s="50">
        <v>2.7233170418050748E-4</v>
      </c>
      <c r="CU109" s="50">
        <v>2.3247118681316267E-4</v>
      </c>
      <c r="CV109" s="50">
        <v>1.2194604002456321E-4</v>
      </c>
      <c r="CW109" s="50">
        <v>6.8446538113694976E-5</v>
      </c>
      <c r="CX109" s="50">
        <v>4.7816305051766058E-5</v>
      </c>
      <c r="CY109" s="49">
        <v>3.8596380650090266E-5</v>
      </c>
      <c r="CZ109" s="48">
        <v>1.9996312763497358E-4</v>
      </c>
      <c r="DA109" s="48">
        <v>1.9996734820250332E-4</v>
      </c>
      <c r="DB109" s="48">
        <v>1.9997421022718799E-4</v>
      </c>
      <c r="DC109" s="48">
        <v>1.9998184563747355E-4</v>
      </c>
      <c r="DD109" s="48">
        <v>1.9997262889968575E-4</v>
      </c>
      <c r="DE109" s="48">
        <v>1.9997256661710437E-4</v>
      </c>
      <c r="DF109" s="48">
        <v>2.4998869952656399E-4</v>
      </c>
      <c r="DG109" s="48">
        <v>4.999505290054127E-4</v>
      </c>
      <c r="DH109" s="48">
        <v>2.9995535356842272E-4</v>
      </c>
      <c r="DI109" s="48">
        <v>2.9995535189651E-4</v>
      </c>
    </row>
    <row r="110" spans="1:113" outlineLevel="1">
      <c r="A110" s="1" t="s">
        <v>462</v>
      </c>
      <c r="B110" s="19" t="s">
        <v>488</v>
      </c>
      <c r="C110" s="235">
        <v>5.4697374372118654E-3</v>
      </c>
      <c r="D110" s="235">
        <v>5.8568883932867159E-3</v>
      </c>
      <c r="E110" s="235">
        <v>2.6837965037684727E-3</v>
      </c>
      <c r="F110" s="235">
        <v>2.938431963781895E-3</v>
      </c>
      <c r="G110" s="235">
        <v>3.321366669264593E-3</v>
      </c>
      <c r="H110" s="235">
        <v>8.6626269603045649E-4</v>
      </c>
      <c r="I110" s="235">
        <v>1.8981920699183445E-3</v>
      </c>
      <c r="J110" s="235">
        <v>1.4112919158658729E-5</v>
      </c>
      <c r="K110" s="235">
        <v>1.830644104947931E-3</v>
      </c>
      <c r="L110" s="235">
        <v>8.6186593375107837E-4</v>
      </c>
      <c r="M110" s="48">
        <v>0</v>
      </c>
      <c r="N110" s="48">
        <v>0</v>
      </c>
      <c r="O110" s="48">
        <v>0</v>
      </c>
      <c r="P110" s="48">
        <v>5.898912493188641E-4</v>
      </c>
      <c r="Q110" s="48">
        <v>9.2951284582622358E-4</v>
      </c>
      <c r="R110" s="48">
        <v>6.4896103652851956E-4</v>
      </c>
      <c r="S110" s="48">
        <v>6.3583190844435861E-3</v>
      </c>
      <c r="T110" s="50">
        <v>1.0164735021550027E-2</v>
      </c>
      <c r="U110" s="48">
        <v>5.7437237661911063E-3</v>
      </c>
      <c r="V110" s="48">
        <v>5.8046154160393808E-3</v>
      </c>
      <c r="W110" s="48">
        <v>9.8932935942384805E-3</v>
      </c>
      <c r="X110" s="48">
        <v>5.4659474970715277E-3</v>
      </c>
      <c r="Y110" s="50">
        <v>7.1005938426969596E-3</v>
      </c>
      <c r="Z110" s="50">
        <v>6.785764967195543E-3</v>
      </c>
      <c r="AA110" s="50">
        <v>4.857846449866839E-3</v>
      </c>
      <c r="AB110" s="50">
        <v>4.6007997471901423E-3</v>
      </c>
      <c r="AC110" s="50">
        <v>5.8613896875738848E-3</v>
      </c>
      <c r="AD110" s="50">
        <v>1.9872844651702367E-3</v>
      </c>
      <c r="AE110" s="50">
        <v>1.5999144689462976E-3</v>
      </c>
      <c r="AF110" s="50">
        <v>1.6124850625231248E-3</v>
      </c>
      <c r="AG110" s="50">
        <v>2.9874423622704436E-3</v>
      </c>
      <c r="AH110" s="50">
        <v>1.5211227042610466E-3</v>
      </c>
      <c r="AI110" s="50">
        <v>1.8039282450003997E-3</v>
      </c>
      <c r="AJ110" s="50">
        <v>1.7401105717603095E-3</v>
      </c>
      <c r="AK110" s="50">
        <v>2.3826303684043263E-3</v>
      </c>
      <c r="AL110" s="50">
        <v>1.8865978939138768E-3</v>
      </c>
      <c r="AM110" s="50">
        <v>1.8290693302635019E-3</v>
      </c>
      <c r="AN110" s="50">
        <v>1.2878890439951066E-3</v>
      </c>
      <c r="AO110" s="50">
        <v>2.5334680871891622E-3</v>
      </c>
      <c r="AP110" s="50">
        <v>1.6841356020684593E-3</v>
      </c>
      <c r="AQ110" s="50">
        <v>1.0547513780607533E-3</v>
      </c>
      <c r="AR110" s="50">
        <v>1.8003978270167177E-3</v>
      </c>
      <c r="AS110" s="50">
        <v>1.1055903703116284E-3</v>
      </c>
      <c r="AT110" s="50">
        <v>2.2071524908328696E-3</v>
      </c>
      <c r="AU110" s="50">
        <v>4.0426384750514091E-4</v>
      </c>
      <c r="AV110" s="50">
        <v>1.1167772137816916E-3</v>
      </c>
      <c r="AW110" s="49">
        <v>1.1392251373884465E-3</v>
      </c>
      <c r="AX110" s="510">
        <v>1E-3</v>
      </c>
      <c r="AY110" s="510">
        <v>2E-3</v>
      </c>
      <c r="AZ110" s="510">
        <v>2.5999999999999999E-3</v>
      </c>
      <c r="BA110" s="510">
        <v>2.5999999999999999E-3</v>
      </c>
      <c r="BB110" s="510">
        <v>2.5999999999999999E-3</v>
      </c>
      <c r="BC110" s="510">
        <v>2.5999999999999999E-3</v>
      </c>
      <c r="BD110" s="510">
        <v>2.5999999999999999E-3</v>
      </c>
      <c r="BE110" s="510">
        <v>2.5999999999999999E-3</v>
      </c>
      <c r="BF110" s="510">
        <v>2.5999999999999999E-3</v>
      </c>
      <c r="BG110" s="510">
        <v>2.5999999999999999E-3</v>
      </c>
      <c r="BH110" s="510">
        <v>2.5999999999999999E-3</v>
      </c>
      <c r="BI110" s="510">
        <v>2.5999999999999999E-3</v>
      </c>
      <c r="BJ110" s="510">
        <v>2.5999999999999999E-3</v>
      </c>
      <c r="BK110" s="510">
        <v>7.4999999999999997E-3</v>
      </c>
      <c r="BL110" s="510">
        <v>1.525E-2</v>
      </c>
      <c r="BM110" s="510">
        <v>1.525E-2</v>
      </c>
      <c r="BN110" s="510">
        <v>3.7499999999999999E-3</v>
      </c>
      <c r="BO110" s="510">
        <v>3.7499999999999999E-3</v>
      </c>
      <c r="BP110" s="510">
        <v>3.7499999999999999E-3</v>
      </c>
      <c r="BQ110" s="510">
        <v>3.7499999999999999E-3</v>
      </c>
      <c r="BR110" s="48"/>
      <c r="BS110" s="235">
        <v>1.2562374090025401E-2</v>
      </c>
      <c r="BT110" s="235">
        <v>3.3484706823552285E-2</v>
      </c>
      <c r="BU110" s="235">
        <v>6.6289816129586699E-3</v>
      </c>
      <c r="BV110" s="235">
        <v>7.1777417047526448E-3</v>
      </c>
      <c r="BW110" s="235">
        <v>3.3591699118378383E-3</v>
      </c>
      <c r="BX110" s="235">
        <v>-8.2017657540663941E-3</v>
      </c>
      <c r="BY110" s="235">
        <v>2.1695720387192485E-3</v>
      </c>
      <c r="BZ110" s="235">
        <v>3.3613676992554319E-3</v>
      </c>
      <c r="CA110" s="235">
        <v>2.0779533717807967E-3</v>
      </c>
      <c r="CB110" s="235">
        <v>5.8892426102593008E-3</v>
      </c>
      <c r="CC110" s="48">
        <v>4.5617547483201163E-3</v>
      </c>
      <c r="CD110" s="48">
        <v>4.1691053177727051E-3</v>
      </c>
      <c r="CE110" s="48">
        <v>2.5600194968467206E-3</v>
      </c>
      <c r="CF110" s="48">
        <v>2.5328698647644689E-3</v>
      </c>
      <c r="CG110" s="48">
        <v>2.468901717124512E-3</v>
      </c>
      <c r="CH110" s="48">
        <v>1.665171799614821E-3</v>
      </c>
      <c r="CI110" s="48">
        <v>7.766802756523914E-4</v>
      </c>
      <c r="CJ110" s="48">
        <v>3.6559157303257274E-3</v>
      </c>
      <c r="CK110" s="48">
        <v>7.9212684150774971E-3</v>
      </c>
      <c r="CL110" s="48">
        <v>8.1549702531716634E-3</v>
      </c>
      <c r="CM110" s="50">
        <v>6.5557050685646446E-3</v>
      </c>
      <c r="CN110" s="50">
        <v>6.0204681710288024E-3</v>
      </c>
      <c r="CO110" s="50">
        <v>5.3571180252030767E-3</v>
      </c>
      <c r="CP110" s="50">
        <v>1.8093753240780942E-3</v>
      </c>
      <c r="CQ110" s="50">
        <v>2.3349135938940013E-3</v>
      </c>
      <c r="CR110" s="50">
        <v>1.6599777714448561E-3</v>
      </c>
      <c r="CS110" s="50">
        <v>2.0577255452917434E-3</v>
      </c>
      <c r="CT110" s="50">
        <v>1.8608691388180471E-3</v>
      </c>
      <c r="CU110" s="50">
        <v>1.8829518521583952E-3</v>
      </c>
      <c r="CV110" s="50">
        <v>1.365903964313033E-3</v>
      </c>
      <c r="CW110" s="50">
        <v>1.4423278395323679E-3</v>
      </c>
      <c r="CX110" s="50">
        <v>1.2971509703666559E-3</v>
      </c>
      <c r="CY110" s="49">
        <v>1.1250439703941397E-3</v>
      </c>
      <c r="CZ110" s="48">
        <v>1.4987688292369395E-3</v>
      </c>
      <c r="DA110" s="48">
        <v>2.5984363201874586E-3</v>
      </c>
      <c r="DB110" s="48">
        <v>2.598487842837728E-3</v>
      </c>
      <c r="DC110" s="48">
        <v>2.5985596579727863E-3</v>
      </c>
      <c r="DD110" s="48">
        <v>2.5984366979838963E-3</v>
      </c>
      <c r="DE110" s="48">
        <v>2.5984510993874894E-3</v>
      </c>
      <c r="DF110" s="48">
        <v>5.0519481038183572E-3</v>
      </c>
      <c r="DG110" s="48">
        <v>1.5241202433030248E-2</v>
      </c>
      <c r="DH110" s="48">
        <v>3.7476538928751971E-3</v>
      </c>
      <c r="DI110" s="48">
        <v>3.7476911061472776E-3</v>
      </c>
    </row>
    <row r="111" spans="1:113" outlineLevel="1">
      <c r="A111" s="1" t="s">
        <v>463</v>
      </c>
      <c r="B111" s="19" t="s">
        <v>487</v>
      </c>
      <c r="C111" s="235">
        <v>2.1394465970011187E-2</v>
      </c>
      <c r="D111" s="235">
        <v>2.4411615836505834E-2</v>
      </c>
      <c r="E111" s="235">
        <v>1.3733870282890841E-2</v>
      </c>
      <c r="F111" s="235">
        <v>2.3357495498893016E-2</v>
      </c>
      <c r="G111" s="235">
        <v>1.4354759716727346E-2</v>
      </c>
      <c r="H111" s="235">
        <v>6.8942040256059767E-3</v>
      </c>
      <c r="I111" s="235">
        <v>1.4168549991996009E-2</v>
      </c>
      <c r="J111" s="235">
        <v>7.6055245824877774E-3</v>
      </c>
      <c r="K111" s="235">
        <v>1.4986713494427895E-2</v>
      </c>
      <c r="L111" s="235">
        <v>6.6919582645633881E-3</v>
      </c>
      <c r="M111" s="48">
        <v>2.3532491092106204E-2</v>
      </c>
      <c r="N111" s="48">
        <v>1.2377790610382914E-2</v>
      </c>
      <c r="O111" s="48">
        <v>2.1671318661190899E-2</v>
      </c>
      <c r="P111" s="48">
        <v>1.5288955168602963E-2</v>
      </c>
      <c r="Q111" s="48">
        <v>1.5324737343055457E-2</v>
      </c>
      <c r="R111" s="48">
        <v>1.5652880094973648E-2</v>
      </c>
      <c r="S111" s="48">
        <v>3.0185460551690666E-2</v>
      </c>
      <c r="T111" s="50">
        <v>2.3991965385392434E-2</v>
      </c>
      <c r="U111" s="48">
        <v>3.5491838575385612E-2</v>
      </c>
      <c r="V111" s="48">
        <v>2.3943042196825807E-2</v>
      </c>
      <c r="W111" s="48">
        <v>1.8408917382231785E-2</v>
      </c>
      <c r="X111" s="48">
        <v>2.4253343159004095E-2</v>
      </c>
      <c r="Y111" s="50">
        <v>2.4456415914156052E-2</v>
      </c>
      <c r="Z111" s="50">
        <v>2.3971003332455307E-2</v>
      </c>
      <c r="AA111" s="50">
        <v>2.4290467304122328E-2</v>
      </c>
      <c r="AB111" s="50">
        <v>2.6011665228484974E-2</v>
      </c>
      <c r="AC111" s="50">
        <v>2.62715185731482E-2</v>
      </c>
      <c r="AD111" s="50">
        <v>2.4776098903205201E-2</v>
      </c>
      <c r="AE111" s="50">
        <v>5.0470953103169666E-2</v>
      </c>
      <c r="AF111" s="50">
        <v>2.7197800499636476E-2</v>
      </c>
      <c r="AG111" s="50">
        <v>2.8479142583888013E-2</v>
      </c>
      <c r="AH111" s="50">
        <v>2.8515536188919034E-2</v>
      </c>
      <c r="AI111" s="50">
        <v>3.0932249555270467E-2</v>
      </c>
      <c r="AJ111" s="50">
        <v>2.8554287084404648E-2</v>
      </c>
      <c r="AK111" s="50">
        <v>3.0309995644647158E-2</v>
      </c>
      <c r="AL111" s="50">
        <v>2.919238336272471E-2</v>
      </c>
      <c r="AM111" s="50">
        <v>3.4539079364304705E-2</v>
      </c>
      <c r="AN111" s="50">
        <v>2.7728007264139654E-2</v>
      </c>
      <c r="AO111" s="50">
        <v>2.5404998857703014E-2</v>
      </c>
      <c r="AP111" s="50">
        <v>2.701969174240262E-2</v>
      </c>
      <c r="AQ111" s="50">
        <v>2.0583746214608085E-2</v>
      </c>
      <c r="AR111" s="50">
        <v>1.4503362810308082E-2</v>
      </c>
      <c r="AS111" s="50">
        <v>1.2692144237634444E-2</v>
      </c>
      <c r="AT111" s="50">
        <v>1.1728179213641861E-2</v>
      </c>
      <c r="AU111" s="50">
        <v>1.9473105743763892E-2</v>
      </c>
      <c r="AV111" s="50">
        <v>2.3315826196258483E-2</v>
      </c>
      <c r="AW111" s="49">
        <v>2.5507405476753182E-2</v>
      </c>
      <c r="AX111" s="510">
        <v>0.02</v>
      </c>
      <c r="AY111" s="510">
        <v>0.02</v>
      </c>
      <c r="AZ111" s="510">
        <v>0.02</v>
      </c>
      <c r="BA111" s="510">
        <v>0.02</v>
      </c>
      <c r="BB111" s="510">
        <v>0.02</v>
      </c>
      <c r="BC111" s="510">
        <v>0.02</v>
      </c>
      <c r="BD111" s="510">
        <v>0.02</v>
      </c>
      <c r="BE111" s="510">
        <v>0.02</v>
      </c>
      <c r="BF111" s="510">
        <v>0.02</v>
      </c>
      <c r="BG111" s="510">
        <v>0.02</v>
      </c>
      <c r="BH111" s="510">
        <v>0.02</v>
      </c>
      <c r="BI111" s="510">
        <v>0.02</v>
      </c>
      <c r="BJ111" s="510">
        <v>0.02</v>
      </c>
      <c r="BK111" s="510">
        <v>2.5000000000000001E-2</v>
      </c>
      <c r="BL111" s="510">
        <v>0.03</v>
      </c>
      <c r="BM111" s="510">
        <v>0.03</v>
      </c>
      <c r="BN111" s="510">
        <v>0.03</v>
      </c>
      <c r="BO111" s="510">
        <v>0.03</v>
      </c>
      <c r="BP111" s="510">
        <v>0.03</v>
      </c>
      <c r="BQ111" s="510">
        <v>0.03</v>
      </c>
      <c r="BR111" s="48"/>
      <c r="BS111" s="236">
        <v>6.8942040256059767E-3</v>
      </c>
      <c r="BT111" s="236">
        <v>8.3168451393695782E-3</v>
      </c>
      <c r="BU111" s="236">
        <v>5.067071389757199E-3</v>
      </c>
      <c r="BV111" s="236">
        <v>9.1900677965707795E-3</v>
      </c>
      <c r="BW111" s="236">
        <v>4.9230467135452293E-3</v>
      </c>
      <c r="BX111" s="236">
        <v>6.2404261939628791E-3</v>
      </c>
      <c r="BY111" s="236">
        <v>8.8106505818928895E-3</v>
      </c>
      <c r="BZ111" s="236">
        <v>6.6713272207245614E-3</v>
      </c>
      <c r="CA111" s="236">
        <v>8.7206029205524546E-3</v>
      </c>
      <c r="CB111" s="236">
        <v>1.8030726921317776E-2</v>
      </c>
      <c r="CC111" s="51">
        <v>1.3198941519260925E-2</v>
      </c>
      <c r="CD111" s="51">
        <v>8.9792782762948293E-3</v>
      </c>
      <c r="CE111" s="51">
        <v>7.9785287327549335E-3</v>
      </c>
      <c r="CF111" s="51">
        <v>8.0555395392346921E-3</v>
      </c>
      <c r="CG111" s="51">
        <v>1.1776624993673143E-2</v>
      </c>
      <c r="CH111" s="51">
        <v>1.2978956227092686E-2</v>
      </c>
      <c r="CI111" s="48">
        <v>1.5454565571910571E-2</v>
      </c>
      <c r="CJ111" s="48">
        <v>2.1484393824849964E-2</v>
      </c>
      <c r="CK111" s="48">
        <v>3.0164807871279103E-2</v>
      </c>
      <c r="CL111" s="48">
        <v>2.1235734573961912E-2</v>
      </c>
      <c r="CM111" s="50">
        <v>2.4295034759582442E-2</v>
      </c>
      <c r="CN111" s="50">
        <v>2.4238681149082005E-2</v>
      </c>
      <c r="CO111" s="50">
        <v>2.6110453784300398E-2</v>
      </c>
      <c r="CP111" s="50">
        <v>3.7894037764654054E-2</v>
      </c>
      <c r="CQ111" s="50">
        <v>2.7996181481125038E-2</v>
      </c>
      <c r="CR111" s="50">
        <v>2.9833333656306627E-2</v>
      </c>
      <c r="CS111" s="50">
        <v>2.9934131176298961E-2</v>
      </c>
      <c r="CT111" s="50">
        <v>3.2967086648804829E-2</v>
      </c>
      <c r="CU111" s="50">
        <v>3.0527431037101191E-2</v>
      </c>
      <c r="CV111" s="50">
        <v>2.5307819078010232E-2</v>
      </c>
      <c r="CW111" s="50">
        <v>1.4343532457710653E-2</v>
      </c>
      <c r="CX111" s="50">
        <v>1.581396740883725E-2</v>
      </c>
      <c r="CY111" s="49">
        <v>2.5404627178640882E-2</v>
      </c>
      <c r="CZ111" s="48">
        <v>2.0213174307345424E-2</v>
      </c>
      <c r="DA111" s="48">
        <v>2.0157195180390643E-2</v>
      </c>
      <c r="DB111" s="48">
        <v>2.0144403704707773E-2</v>
      </c>
      <c r="DC111" s="48">
        <v>2.0151681333458581E-2</v>
      </c>
      <c r="DD111" s="48">
        <v>2.0151840088447896E-2</v>
      </c>
      <c r="DE111" s="48">
        <v>2.0152711667261531E-2</v>
      </c>
      <c r="DF111" s="48">
        <v>2.2676770230515775E-2</v>
      </c>
      <c r="DG111" s="48">
        <v>3.0252996846411695E-2</v>
      </c>
      <c r="DH111" s="48">
        <v>3.0251746161854731E-2</v>
      </c>
      <c r="DI111" s="48">
        <v>3.0251716760714448E-2</v>
      </c>
    </row>
    <row r="112" spans="1:113" outlineLevel="1">
      <c r="A112" s="1" t="s">
        <v>464</v>
      </c>
      <c r="B112" s="19" t="s">
        <v>859</v>
      </c>
      <c r="C112" s="235">
        <v>3.5673239689281199E-3</v>
      </c>
      <c r="D112" s="235">
        <v>3.6290208774451124E-3</v>
      </c>
      <c r="E112" s="235">
        <v>2.1506763384004099E-3</v>
      </c>
      <c r="F112" s="235">
        <v>2.2398447832764593E-3</v>
      </c>
      <c r="G112" s="235">
        <v>2.3029964872144626E-3</v>
      </c>
      <c r="H112" s="235">
        <v>1.3191423805185135E-3</v>
      </c>
      <c r="I112" s="235">
        <v>1.5668524693201841E-3</v>
      </c>
      <c r="J112" s="235">
        <v>1.0715583746837435E-3</v>
      </c>
      <c r="K112" s="235">
        <v>1.6086639695468659E-3</v>
      </c>
      <c r="L112" s="235">
        <v>1.4977956100318418E-3</v>
      </c>
      <c r="M112" s="48">
        <v>1.54008631735496E-3</v>
      </c>
      <c r="N112" s="48">
        <v>1.4916599262175239E-3</v>
      </c>
      <c r="O112" s="48">
        <v>1.3933383051514246E-3</v>
      </c>
      <c r="P112" s="48">
        <v>1.2148597932304206E-3</v>
      </c>
      <c r="Q112" s="48">
        <v>1.2798593836290458E-3</v>
      </c>
      <c r="R112" s="48">
        <v>1.0584649648096647E-3</v>
      </c>
      <c r="S112" s="48">
        <v>3.6757584254597303E-3</v>
      </c>
      <c r="T112" s="50">
        <v>4.5833093724279468E-3</v>
      </c>
      <c r="U112" s="48">
        <v>3.5997155408111783E-3</v>
      </c>
      <c r="V112" s="48">
        <v>3.0200189122461542E-3</v>
      </c>
      <c r="W112" s="48">
        <v>3.9184775830659793E-3</v>
      </c>
      <c r="X112" s="48">
        <v>2.8196612868018273E-3</v>
      </c>
      <c r="Y112" s="50">
        <v>3.4139871804093357E-3</v>
      </c>
      <c r="Z112" s="50">
        <v>3.4041374798047482E-3</v>
      </c>
      <c r="AA112" s="50">
        <v>2.9049203005853171E-3</v>
      </c>
      <c r="AB112" s="50">
        <v>2.6081991310313631E-3</v>
      </c>
      <c r="AC112" s="50">
        <v>3.0135029003488622E-3</v>
      </c>
      <c r="AD112" s="50">
        <v>1.6637695916163536E-3</v>
      </c>
      <c r="AE112" s="50">
        <v>2.5016900100256105E-3</v>
      </c>
      <c r="AF112" s="50">
        <v>1.64828302100141E-3</v>
      </c>
      <c r="AG112" s="50">
        <v>2.0460205753054439E-3</v>
      </c>
      <c r="AH112" s="50">
        <v>1.597223462389451E-3</v>
      </c>
      <c r="AI112" s="50">
        <v>1.7490264504422467E-3</v>
      </c>
      <c r="AJ112" s="50">
        <v>1.6038872005282529E-3</v>
      </c>
      <c r="AK112" s="50">
        <v>1.8778946499921328E-3</v>
      </c>
      <c r="AL112" s="50">
        <v>1.6218057031104662E-3</v>
      </c>
      <c r="AM112" s="50">
        <v>1.7471778796675022E-3</v>
      </c>
      <c r="AN112" s="50">
        <v>1.2978449627176439E-3</v>
      </c>
      <c r="AO112" s="50">
        <v>1.528641814368253E-3</v>
      </c>
      <c r="AP112" s="50">
        <v>1.1791097957915676E-3</v>
      </c>
      <c r="AQ112" s="50">
        <v>8.0140845442564846E-4</v>
      </c>
      <c r="AR112" s="50">
        <v>8.3767024861101187E-4</v>
      </c>
      <c r="AS112" s="50">
        <v>5.8679733980955811E-4</v>
      </c>
      <c r="AT112" s="50">
        <v>8.7429798202075888E-4</v>
      </c>
      <c r="AU112" s="50">
        <v>5.0444107628872697E-4</v>
      </c>
      <c r="AV112" s="50">
        <v>7.5798767286943617E-4</v>
      </c>
      <c r="AW112" s="49">
        <v>8.3239219896555773E-4</v>
      </c>
      <c r="AX112" s="235">
        <v>7.7405747661182659E-4</v>
      </c>
      <c r="AY112" s="235">
        <v>1.0507487411236388E-3</v>
      </c>
      <c r="AZ112" s="235">
        <v>1.211355362727965E-3</v>
      </c>
      <c r="BA112" s="235">
        <v>1.2056893200505952E-3</v>
      </c>
      <c r="BB112" s="235">
        <v>1.2041671778595386E-3</v>
      </c>
      <c r="BC112" s="235">
        <v>1.2028469086741073E-3</v>
      </c>
      <c r="BD112" s="235">
        <v>1.2017185787590986E-3</v>
      </c>
      <c r="BE112" s="235">
        <v>1.2006142364060369E-3</v>
      </c>
      <c r="BF112" s="235">
        <v>1.1995338528056991E-3</v>
      </c>
      <c r="BG112" s="235">
        <v>1.1984773947296204E-3</v>
      </c>
      <c r="BH112" s="235">
        <v>1.197444824744287E-3</v>
      </c>
      <c r="BI112" s="235">
        <v>1.1964361014150989E-3</v>
      </c>
      <c r="BJ112" s="235">
        <v>1.1954511795006608E-3</v>
      </c>
      <c r="BK112" s="235">
        <v>2.7365687993403296E-3</v>
      </c>
      <c r="BL112" s="235">
        <v>5.1660516952993429E-3</v>
      </c>
      <c r="BM112" s="235">
        <v>5.1732089033736071E-3</v>
      </c>
      <c r="BN112" s="235">
        <v>1.7450765411195853E-3</v>
      </c>
      <c r="BO112" s="235">
        <v>1.7437931752892898E-3</v>
      </c>
      <c r="BP112" s="235">
        <v>1.7425461332930899E-3</v>
      </c>
      <c r="BQ112" s="235">
        <v>1.7413351445372124E-3</v>
      </c>
      <c r="BR112" s="48"/>
      <c r="BS112" s="235">
        <v>8.2123780116748184E-3</v>
      </c>
      <c r="BT112" s="235">
        <v>2.0358297329777581E-2</v>
      </c>
      <c r="BU112" s="235">
        <v>4.1853026883884818E-3</v>
      </c>
      <c r="BV112" s="235">
        <v>4.5928875855104382E-3</v>
      </c>
      <c r="BW112" s="235">
        <v>2.1127587151297E-3</v>
      </c>
      <c r="BX112" s="235">
        <v>-3.0755178374253524E-3</v>
      </c>
      <c r="BY112" s="235">
        <v>1.8202000115735261E-3</v>
      </c>
      <c r="BZ112" s="235">
        <v>2.1719610175308284E-3</v>
      </c>
      <c r="CA112" s="235">
        <v>1.649881702644417E-3</v>
      </c>
      <c r="CB112" s="235">
        <v>3.7491525423728814E-3</v>
      </c>
      <c r="CC112" s="48">
        <v>2.881539791207581E-3</v>
      </c>
      <c r="CD112" s="48">
        <v>2.270900712723001E-3</v>
      </c>
      <c r="CE112" s="48">
        <v>1.4452383467265933E-3</v>
      </c>
      <c r="CF112" s="48">
        <v>1.3476634763885159E-3</v>
      </c>
      <c r="CG112" s="48">
        <v>1.5194447866617388E-3</v>
      </c>
      <c r="CH112" s="48">
        <v>1.4039113780942578E-3</v>
      </c>
      <c r="CI112" s="48">
        <v>1.2483443320478707E-3</v>
      </c>
      <c r="CJ112" s="48">
        <v>2.3928473989525143E-3</v>
      </c>
      <c r="CK112" s="48">
        <v>4.0915389598143639E-3</v>
      </c>
      <c r="CL112" s="48">
        <v>3.4669619496516379E-3</v>
      </c>
      <c r="CM112" s="50">
        <v>3.1182456133715818E-3</v>
      </c>
      <c r="CN112" s="50">
        <v>3.1544881002163595E-3</v>
      </c>
      <c r="CO112" s="50">
        <v>2.812728278159711E-3</v>
      </c>
      <c r="CP112" s="50">
        <v>2.0870573612419194E-3</v>
      </c>
      <c r="CQ112" s="50">
        <v>1.848787198699645E-3</v>
      </c>
      <c r="CR112" s="50">
        <v>1.6731504923884885E-3</v>
      </c>
      <c r="CS112" s="50">
        <v>1.7402262294098233E-3</v>
      </c>
      <c r="CT112" s="50">
        <v>1.6842039986808242E-3</v>
      </c>
      <c r="CU112" s="50">
        <v>1.4135331274351289E-3</v>
      </c>
      <c r="CV112" s="50">
        <v>9.8988108109155206E-4</v>
      </c>
      <c r="CW112" s="50">
        <v>7.1105547388986283E-4</v>
      </c>
      <c r="CX112" s="50">
        <v>6.8835391868649076E-4</v>
      </c>
      <c r="CY112" s="49">
        <v>7.9506998424848407E-4</v>
      </c>
      <c r="CZ112" s="48">
        <v>9.1252771338834666E-4</v>
      </c>
      <c r="DA112" s="48">
        <v>1.2083389324878918E-3</v>
      </c>
      <c r="DB112" s="48">
        <v>1.2033475884687232E-3</v>
      </c>
      <c r="DC112" s="48">
        <v>1.2010513061596843E-3</v>
      </c>
      <c r="DD112" s="48">
        <v>1.1988346478043336E-3</v>
      </c>
      <c r="DE112" s="48">
        <v>1.1967692421286983E-3</v>
      </c>
      <c r="DF112" s="48">
        <v>1.9663983645100153E-3</v>
      </c>
      <c r="DG112" s="48">
        <v>5.1691082528661668E-3</v>
      </c>
      <c r="DH112" s="48">
        <v>1.7441616435238999E-3</v>
      </c>
      <c r="DI112" s="48">
        <v>1.7416677419027781E-3</v>
      </c>
    </row>
    <row r="113" spans="1:113" outlineLevel="1">
      <c r="A113" s="1" t="s">
        <v>465</v>
      </c>
      <c r="B113" s="19" t="s">
        <v>422</v>
      </c>
      <c r="C113" s="235">
        <v>7.0005714473089283E-3</v>
      </c>
      <c r="D113" s="235">
        <v>7.2893169724703721E-3</v>
      </c>
      <c r="E113" s="235">
        <v>4.5067632198106068E-3</v>
      </c>
      <c r="F113" s="235">
        <v>4.8972866276860453E-3</v>
      </c>
      <c r="G113" s="235">
        <v>5.2600291127882096E-3</v>
      </c>
      <c r="H113" s="235">
        <v>3.1366174323372146E-3</v>
      </c>
      <c r="I113" s="235">
        <v>3.9975881650466975E-3</v>
      </c>
      <c r="J113" s="235">
        <v>2.8152884544193116E-3</v>
      </c>
      <c r="K113" s="235">
        <v>4.1258562064753279E-3</v>
      </c>
      <c r="L113" s="235">
        <v>4.2856231908203132E-3</v>
      </c>
      <c r="M113" s="48">
        <v>4.3182680055232313E-3</v>
      </c>
      <c r="N113" s="48">
        <v>4.1095840058185638E-3</v>
      </c>
      <c r="O113" s="48">
        <v>3.6731083755519567E-3</v>
      </c>
      <c r="P113" s="48">
        <v>3.0372327390481109E-3</v>
      </c>
      <c r="Q113" s="48">
        <v>3.1453270511320837E-3</v>
      </c>
      <c r="R113" s="48">
        <v>2.5992616667286981E-3</v>
      </c>
      <c r="S113" s="48">
        <v>9.3206212688692943E-3</v>
      </c>
      <c r="T113" s="50">
        <v>1.2128869787276952E-2</v>
      </c>
      <c r="U113" s="48">
        <v>1.00976631631824E-2</v>
      </c>
      <c r="V113" s="48">
        <v>8.388637410654369E-3</v>
      </c>
      <c r="W113" s="48">
        <v>1.1132286948869901E-2</v>
      </c>
      <c r="X113" s="48">
        <v>8.0981646262467052E-3</v>
      </c>
      <c r="Y113" s="50">
        <v>9.840124269080177E-3</v>
      </c>
      <c r="Z113" s="50">
        <v>9.8599752159305911E-3</v>
      </c>
      <c r="AA113" s="50">
        <v>8.4599869777025657E-3</v>
      </c>
      <c r="AB113" s="50">
        <v>7.6043604081508847E-3</v>
      </c>
      <c r="AC113" s="50">
        <v>8.7815978494224251E-3</v>
      </c>
      <c r="AD113" s="50">
        <v>4.8543777923497258E-3</v>
      </c>
      <c r="AE113" s="50">
        <v>7.2632196454277872E-3</v>
      </c>
      <c r="AF113" s="50">
        <v>4.7048909311244351E-3</v>
      </c>
      <c r="AG113" s="50">
        <v>5.8109125407603988E-3</v>
      </c>
      <c r="AH113" s="50">
        <v>4.6029542143457714E-3</v>
      </c>
      <c r="AI113" s="50">
        <v>5.1096304957075588E-3</v>
      </c>
      <c r="AJ113" s="50">
        <v>4.7283362905632675E-3</v>
      </c>
      <c r="AK113" s="50">
        <v>5.6218297375824587E-3</v>
      </c>
      <c r="AL113" s="50">
        <v>4.9442199671610098E-3</v>
      </c>
      <c r="AM113" s="50">
        <v>5.4780261407011222E-3</v>
      </c>
      <c r="AN113" s="50">
        <v>4.1827893455683336E-3</v>
      </c>
      <c r="AO113" s="50">
        <v>4.9711873091360737E-3</v>
      </c>
      <c r="AP113" s="50">
        <v>3.9200844725321904E-3</v>
      </c>
      <c r="AQ113" s="50">
        <v>2.7222082173706886E-3</v>
      </c>
      <c r="AR113" s="50">
        <v>2.8749702584086627E-3</v>
      </c>
      <c r="AS113" s="50">
        <v>1.9982252081177016E-3</v>
      </c>
      <c r="AT113" s="50">
        <v>2.9201347047808713E-3</v>
      </c>
      <c r="AU113" s="50">
        <v>1.6760400838738952E-3</v>
      </c>
      <c r="AV113" s="50">
        <v>2.5151748889331261E-3</v>
      </c>
      <c r="AW113" s="49">
        <v>2.7652009419844559E-3</v>
      </c>
      <c r="AX113" s="235">
        <v>2.5774744809561037E-3</v>
      </c>
      <c r="AY113" s="235">
        <v>3.514999399961383E-3</v>
      </c>
      <c r="AZ113" s="235">
        <v>4.079647302526049E-3</v>
      </c>
      <c r="BA113" s="235">
        <v>4.0765253850203785E-3</v>
      </c>
      <c r="BB113" s="235">
        <v>4.0693176201979774E-3</v>
      </c>
      <c r="BC113" s="235">
        <v>4.0605923383956579E-3</v>
      </c>
      <c r="BD113" s="235">
        <v>4.0505351948019932E-3</v>
      </c>
      <c r="BE113" s="235">
        <v>4.0405115058986113E-3</v>
      </c>
      <c r="BF113" s="235">
        <v>4.0305226309763674E-3</v>
      </c>
      <c r="BG113" s="235">
        <v>4.0205698650453781E-3</v>
      </c>
      <c r="BH113" s="235">
        <v>4.0106544412285379E-3</v>
      </c>
      <c r="BI113" s="235">
        <v>4.000777533059087E-3</v>
      </c>
      <c r="BJ113" s="235">
        <v>3.990940256686646E-3</v>
      </c>
      <c r="BK113" s="235">
        <v>9.1189767505716664E-3</v>
      </c>
      <c r="BL113" s="235">
        <v>1.7179391432704343E-2</v>
      </c>
      <c r="BM113" s="235">
        <v>1.7167900565057168E-2</v>
      </c>
      <c r="BN113" s="235">
        <v>5.7793457919339672E-3</v>
      </c>
      <c r="BO113" s="235">
        <v>5.7632187960122063E-3</v>
      </c>
      <c r="BP113" s="235">
        <v>5.7472393720803946E-3</v>
      </c>
      <c r="BQ113" s="235">
        <v>5.7314062388271643E-3</v>
      </c>
      <c r="BR113" s="48"/>
      <c r="BS113" s="235">
        <v>1.1807236272345364E-2</v>
      </c>
      <c r="BT113" s="235">
        <v>2.9965671281227294E-2</v>
      </c>
      <c r="BU113" s="235">
        <v>6.6209458902435686E-3</v>
      </c>
      <c r="BV113" s="235">
        <v>7.723822152846822E-3</v>
      </c>
      <c r="BW113" s="235">
        <v>3.7548486323046104E-3</v>
      </c>
      <c r="BX113" s="235">
        <v>-5.7742248748999456E-3</v>
      </c>
      <c r="BY113" s="235">
        <v>3.4437381822743861E-3</v>
      </c>
      <c r="BZ113" s="235">
        <v>4.0814184964277972E-3</v>
      </c>
      <c r="CA113" s="235">
        <v>3.1405005925162453E-3</v>
      </c>
      <c r="CB113" s="235">
        <v>7.334801798552058E-3</v>
      </c>
      <c r="CC113" s="48">
        <v>5.9045219072631243E-3</v>
      </c>
      <c r="CD113" s="48">
        <v>5.0760023347913253E-3</v>
      </c>
      <c r="CE113" s="48">
        <v>3.5581042203620314E-3</v>
      </c>
      <c r="CF113" s="48">
        <v>3.5011282080707473E-3</v>
      </c>
      <c r="CG113" s="48">
        <v>4.3115137531631303E-3</v>
      </c>
      <c r="CH113" s="48">
        <v>3.7305411471753804E-3</v>
      </c>
      <c r="CI113" s="48">
        <v>3.1293452562639514E-3</v>
      </c>
      <c r="CJ113" s="48">
        <v>6.1177249589832051E-3</v>
      </c>
      <c r="CK113" s="48">
        <v>1.1028696495184105E-2</v>
      </c>
      <c r="CL113" s="48">
        <v>1.0116215294865552E-2</v>
      </c>
      <c r="CM113" s="50">
        <v>9.3065559464658738E-3</v>
      </c>
      <c r="CN113" s="50">
        <v>9.4388641990067381E-3</v>
      </c>
      <c r="CO113" s="50">
        <v>8.3629909598998738E-3</v>
      </c>
      <c r="CP113" s="50">
        <v>6.1355150879519342E-3</v>
      </c>
      <c r="CQ113" s="50">
        <v>5.3203514778123332E-3</v>
      </c>
      <c r="CR113" s="50">
        <v>4.8519959570986759E-3</v>
      </c>
      <c r="CS113" s="50">
        <v>5.1787846062830902E-3</v>
      </c>
      <c r="CT113" s="50">
        <v>5.2296913114881311E-3</v>
      </c>
      <c r="CU113" s="50">
        <v>4.5620024450679407E-3</v>
      </c>
      <c r="CV113" s="50">
        <v>3.3269363712289985E-3</v>
      </c>
      <c r="CW113" s="50">
        <v>2.4306197881964788E-3</v>
      </c>
      <c r="CX113" s="50">
        <v>2.2929522267628451E-3</v>
      </c>
      <c r="CY113" s="49">
        <v>2.6397313151210735E-3</v>
      </c>
      <c r="CZ113" s="48">
        <v>3.0457003345648612E-3</v>
      </c>
      <c r="DA113" s="48">
        <v>4.0776090618999524E-3</v>
      </c>
      <c r="DB113" s="48">
        <v>4.0643793894822424E-3</v>
      </c>
      <c r="DC113" s="48">
        <v>4.0450873479174459E-3</v>
      </c>
      <c r="DD113" s="48">
        <v>4.0249141926829036E-3</v>
      </c>
      <c r="DE113" s="48">
        <v>4.0050840136078543E-3</v>
      </c>
      <c r="DF113" s="48">
        <v>6.5585210573707456E-3</v>
      </c>
      <c r="DG113" s="48">
        <v>1.7171642088487201E-2</v>
      </c>
      <c r="DH113" s="48">
        <v>5.7702648586010104E-3</v>
      </c>
      <c r="DI113" s="48">
        <v>5.7383105791955526E-3</v>
      </c>
    </row>
    <row r="114" spans="1:113" outlineLevel="1">
      <c r="A114" s="1" t="s">
        <v>466</v>
      </c>
      <c r="B114" s="19" t="s">
        <v>622</v>
      </c>
      <c r="C114" s="235">
        <v>9.3764343321749398E-3</v>
      </c>
      <c r="D114" s="235">
        <v>1.3833913607540476E-2</v>
      </c>
      <c r="E114" s="235">
        <v>1.251011554942358E-2</v>
      </c>
      <c r="F114" s="235">
        <v>1.2165901057731767E-2</v>
      </c>
      <c r="G114" s="235">
        <v>8.8819436096753083E-3</v>
      </c>
      <c r="H114" s="235">
        <v>7.552755427356915E-3</v>
      </c>
      <c r="I114" s="235">
        <v>4.745656351727654E-3</v>
      </c>
      <c r="J114" s="235">
        <v>4.9465329805918057E-3</v>
      </c>
      <c r="K114" s="235">
        <v>4.114540473536734E-3</v>
      </c>
      <c r="L114" s="235">
        <v>3.7804295942720765E-3</v>
      </c>
      <c r="M114" s="48">
        <v>2.9216181821440732E-3</v>
      </c>
      <c r="N114" s="48">
        <v>2.7969250374440409E-3</v>
      </c>
      <c r="O114" s="48">
        <v>2.9513000441643475E-3</v>
      </c>
      <c r="P114" s="48">
        <v>3.5015576323987538E-3</v>
      </c>
      <c r="Q114" s="48">
        <v>4.1261402766870053E-3</v>
      </c>
      <c r="R114" s="48">
        <v>1.364257851771424E-2</v>
      </c>
      <c r="S114" s="48">
        <v>2.1692421049377308E-2</v>
      </c>
      <c r="T114" s="50">
        <v>2.5736255409522894E-2</v>
      </c>
      <c r="U114" s="48">
        <v>2.791051085438483E-2</v>
      </c>
      <c r="V114" s="48">
        <v>2.883283739814789E-2</v>
      </c>
      <c r="W114" s="48">
        <v>2.9411928016568847E-2</v>
      </c>
      <c r="X114" s="48">
        <v>2.5513154879472713E-2</v>
      </c>
      <c r="Y114" s="50">
        <v>2.5031376004699724E-2</v>
      </c>
      <c r="Z114" s="50">
        <v>2.3775785848100327E-2</v>
      </c>
      <c r="AA114" s="50">
        <v>2.2282029774555259E-2</v>
      </c>
      <c r="AB114" s="50">
        <v>1.9383125510535483E-2</v>
      </c>
      <c r="AC114" s="50">
        <v>1.6266643476916535E-2</v>
      </c>
      <c r="AD114" s="50">
        <v>1.5634524380086456E-2</v>
      </c>
      <c r="AE114" s="50">
        <v>1.2861924648493285E-2</v>
      </c>
      <c r="AF114" s="50">
        <v>1.1749336255215138E-2</v>
      </c>
      <c r="AG114" s="50">
        <v>1.2745783787984768E-2</v>
      </c>
      <c r="AH114" s="50">
        <v>1.3741744774065357E-2</v>
      </c>
      <c r="AI114" s="50">
        <v>1.2744890246779786E-2</v>
      </c>
      <c r="AJ114" s="50">
        <v>1.3600029082331272E-2</v>
      </c>
      <c r="AK114" s="50">
        <v>1.293938555217271E-2</v>
      </c>
      <c r="AL114" s="50">
        <v>1.4484380467243329E-2</v>
      </c>
      <c r="AM114" s="50">
        <v>1.5284119200938483E-2</v>
      </c>
      <c r="AN114" s="50">
        <v>1.4376596278148678E-2</v>
      </c>
      <c r="AO114" s="50">
        <v>1.5012016382899502E-2</v>
      </c>
      <c r="AP114" s="50">
        <v>1.323073114727511E-2</v>
      </c>
      <c r="AQ114" s="50">
        <v>1.4341607067732435E-2</v>
      </c>
      <c r="AR114" s="50">
        <v>1.4282550021739665E-2</v>
      </c>
      <c r="AS114" s="50">
        <v>1.1259448054301751E-2</v>
      </c>
      <c r="AT114" s="50">
        <v>1.1145292618996924E-2</v>
      </c>
      <c r="AU114" s="50">
        <v>1.1893225581520088E-2</v>
      </c>
      <c r="AV114" s="50">
        <v>1.1663225708819301E-2</v>
      </c>
      <c r="AW114" s="49">
        <v>1.3760448237780545E-2</v>
      </c>
      <c r="AX114" s="510">
        <v>1.5136493061558601E-2</v>
      </c>
      <c r="AY114" s="510">
        <v>1.6650142367714463E-2</v>
      </c>
      <c r="AZ114" s="510">
        <v>1.6733393079553033E-2</v>
      </c>
      <c r="BA114" s="510">
        <v>1.7068060941144096E-2</v>
      </c>
      <c r="BB114" s="510">
        <v>1.7409422159966978E-2</v>
      </c>
      <c r="BC114" s="510">
        <v>1.7409422159966978E-2</v>
      </c>
      <c r="BD114" s="510">
        <v>1.7409422159966978E-2</v>
      </c>
      <c r="BE114" s="510">
        <v>1.7409422159966978E-2</v>
      </c>
      <c r="BF114" s="510">
        <v>1.7409422159966978E-2</v>
      </c>
      <c r="BG114" s="510">
        <v>1.7409422159966978E-2</v>
      </c>
      <c r="BH114" s="510">
        <v>1.7409422159966978E-2</v>
      </c>
      <c r="BI114" s="510">
        <v>1.7409422159966978E-2</v>
      </c>
      <c r="BJ114" s="510">
        <v>2.0630165259560868E-2</v>
      </c>
      <c r="BK114" s="510">
        <v>2.3208935917005978E-2</v>
      </c>
      <c r="BL114" s="510">
        <v>2.2744757198665859E-2</v>
      </c>
      <c r="BM114" s="510">
        <v>1.8195805758932686E-2</v>
      </c>
      <c r="BN114" s="47">
        <v>1.8377763816522015E-2</v>
      </c>
      <c r="BO114" s="47">
        <v>1.8561541454687237E-2</v>
      </c>
      <c r="BP114" s="510">
        <v>1.8561541454687237E-2</v>
      </c>
      <c r="BQ114" s="510">
        <v>1.8561541454687237E-2</v>
      </c>
      <c r="BR114" s="48"/>
      <c r="BS114" s="235">
        <v>3.4188437399533131E-2</v>
      </c>
      <c r="BT114" s="235">
        <v>4.5985305572670075E-2</v>
      </c>
      <c r="BU114" s="235">
        <v>4.7852914249627135E-2</v>
      </c>
      <c r="BV114" s="235">
        <v>3.793724874081604E-2</v>
      </c>
      <c r="BW114" s="235">
        <v>2.7041829259943861E-2</v>
      </c>
      <c r="BX114" s="235">
        <v>1.8853789486827321E-2</v>
      </c>
      <c r="BY114" s="235">
        <v>1.7312294346395453E-2</v>
      </c>
      <c r="BZ114" s="235">
        <v>1.0910177850844418E-2</v>
      </c>
      <c r="CA114" s="235">
        <v>1.5250866679207761E-2</v>
      </c>
      <c r="CB114" s="235">
        <v>9.4026621205166878E-3</v>
      </c>
      <c r="CC114" s="48">
        <v>1.251011554942358E-2</v>
      </c>
      <c r="CD114" s="48">
        <v>8.8819436096753083E-3</v>
      </c>
      <c r="CE114" s="48">
        <v>4.745656351727654E-3</v>
      </c>
      <c r="CF114" s="48">
        <v>4.114540473536734E-3</v>
      </c>
      <c r="CG114" s="48">
        <v>2.9216181821440732E-3</v>
      </c>
      <c r="CH114" s="48">
        <v>2.9513000441643475E-3</v>
      </c>
      <c r="CI114" s="48">
        <v>4.1261402766870053E-3</v>
      </c>
      <c r="CJ114" s="48">
        <v>2.1692421049377308E-2</v>
      </c>
      <c r="CK114" s="48">
        <v>2.791051085438483E-2</v>
      </c>
      <c r="CL114" s="48">
        <v>2.9411928016568847E-2</v>
      </c>
      <c r="CM114" s="50">
        <v>2.5031376004699724E-2</v>
      </c>
      <c r="CN114" s="50">
        <v>2.2282029774555259E-2</v>
      </c>
      <c r="CO114" s="50">
        <v>1.6266643476916535E-2</v>
      </c>
      <c r="CP114" s="50">
        <v>1.2861924648493285E-2</v>
      </c>
      <c r="CQ114" s="50">
        <v>1.2745783787984768E-2</v>
      </c>
      <c r="CR114" s="50">
        <v>1.2744890246779786E-2</v>
      </c>
      <c r="CS114" s="50">
        <v>1.293938555217271E-2</v>
      </c>
      <c r="CT114" s="50">
        <v>1.5284119200938483E-2</v>
      </c>
      <c r="CU114" s="50">
        <v>1.5012016382899502E-2</v>
      </c>
      <c r="CV114" s="50">
        <v>1.4341607067732435E-2</v>
      </c>
      <c r="CW114" s="50">
        <v>1.1259448054301751E-2</v>
      </c>
      <c r="CX114" s="50">
        <v>1.1893225581520088E-2</v>
      </c>
      <c r="CY114" s="49">
        <v>1.3760448237780545E-2</v>
      </c>
      <c r="CZ114" s="48">
        <v>1.6650142367714463E-2</v>
      </c>
      <c r="DA114" s="48">
        <v>1.7068060941144096E-2</v>
      </c>
      <c r="DB114" s="48">
        <v>1.7409422159966978E-2</v>
      </c>
      <c r="DC114" s="48">
        <v>1.7409422159966978E-2</v>
      </c>
      <c r="DD114" s="48">
        <v>1.7409422159966978E-2</v>
      </c>
      <c r="DE114" s="48">
        <v>1.7409422159966978E-2</v>
      </c>
      <c r="DF114" s="48">
        <v>2.3208935917005978E-2</v>
      </c>
      <c r="DG114" s="235">
        <v>1.8195805758932686E-2</v>
      </c>
      <c r="DH114" s="235">
        <v>1.8561541454687237E-2</v>
      </c>
      <c r="DI114" s="235">
        <v>1.8561541454687237E-2</v>
      </c>
    </row>
    <row r="115" spans="1:113" outlineLevel="1">
      <c r="A115" s="1" t="s">
        <v>467</v>
      </c>
      <c r="B115" s="19" t="s">
        <v>512</v>
      </c>
      <c r="C115" s="232">
        <v>0.32727272727272727</v>
      </c>
      <c r="D115" s="232">
        <v>0.29569377990430623</v>
      </c>
      <c r="E115" s="232">
        <v>0.28632025450689291</v>
      </c>
      <c r="F115" s="232">
        <v>0.28618063112078346</v>
      </c>
      <c r="G115" s="232">
        <v>0.30827067669172931</v>
      </c>
      <c r="H115" s="232">
        <v>0.33165829145728642</v>
      </c>
      <c r="I115" s="232">
        <v>0.39393939393939392</v>
      </c>
      <c r="J115" s="232">
        <v>0.4044943820224719</v>
      </c>
      <c r="K115" s="232">
        <v>0.39746835443037976</v>
      </c>
      <c r="L115" s="232">
        <v>0.45202020202020204</v>
      </c>
      <c r="M115" s="42">
        <v>0.52453987730061347</v>
      </c>
      <c r="N115" s="42">
        <v>0.50591715976331364</v>
      </c>
      <c r="O115" s="42">
        <v>0.47268408551068886</v>
      </c>
      <c r="P115" s="42">
        <v>0.33629893238434166</v>
      </c>
      <c r="Q115" s="42">
        <v>0.40849194729136162</v>
      </c>
      <c r="R115" s="42">
        <v>0.41783345615327927</v>
      </c>
      <c r="S115" s="42">
        <v>0.41068883610451307</v>
      </c>
      <c r="T115" s="45">
        <v>0.37777317022600043</v>
      </c>
      <c r="U115" s="42">
        <v>0.38190184049079756</v>
      </c>
      <c r="V115" s="42">
        <v>0.41840277777777779</v>
      </c>
      <c r="W115" s="42">
        <v>0.40117047385312443</v>
      </c>
      <c r="X115" s="42">
        <v>0.4484602224123182</v>
      </c>
      <c r="Y115" s="45">
        <v>0.42841903136334542</v>
      </c>
      <c r="Z115" s="45">
        <v>0.41183035714285715</v>
      </c>
      <c r="AA115" s="45">
        <v>0.37598152424942261</v>
      </c>
      <c r="AB115" s="45">
        <v>0.3594821020563595</v>
      </c>
      <c r="AC115" s="45">
        <v>0.33471933471933474</v>
      </c>
      <c r="AD115" s="45">
        <v>0.33214285714285713</v>
      </c>
      <c r="AE115" s="45">
        <v>0.31068301225919437</v>
      </c>
      <c r="AF115" s="45">
        <v>0.32604017216642756</v>
      </c>
      <c r="AG115" s="45">
        <v>0.30295250320924261</v>
      </c>
      <c r="AH115" s="45">
        <v>0.30133333333333334</v>
      </c>
      <c r="AI115" s="45">
        <v>0.30749921556322563</v>
      </c>
      <c r="AJ115" s="45">
        <v>0.29046629046629047</v>
      </c>
      <c r="AK115" s="45">
        <v>0.27367096571248822</v>
      </c>
      <c r="AL115" s="45">
        <v>0.25842696629213485</v>
      </c>
      <c r="AM115" s="45">
        <v>0.24710104914411926</v>
      </c>
      <c r="AN115" s="45">
        <v>0.28347620455217265</v>
      </c>
      <c r="AO115" s="45">
        <v>0.27254791431792558</v>
      </c>
      <c r="AP115" s="45">
        <v>0.28129032258064518</v>
      </c>
      <c r="AQ115" s="45">
        <v>0.26400704018773835</v>
      </c>
      <c r="AR115" s="45">
        <v>0.22745548535324525</v>
      </c>
      <c r="AS115" s="45">
        <v>0.24940698068451372</v>
      </c>
      <c r="AT115" s="45">
        <v>0.21113306982872201</v>
      </c>
      <c r="AU115" s="45">
        <v>0.22669873722188816</v>
      </c>
      <c r="AV115" s="45">
        <v>0.22644423849243125</v>
      </c>
      <c r="AW115" s="43">
        <v>0.18256410256410258</v>
      </c>
      <c r="AX115" s="511">
        <v>0.18256410256410258</v>
      </c>
      <c r="AY115" s="511">
        <v>0.18256410256410258</v>
      </c>
      <c r="AZ115" s="511">
        <v>0.18256410256410258</v>
      </c>
      <c r="BA115" s="511">
        <v>0.18256410256410258</v>
      </c>
      <c r="BB115" s="511">
        <v>0.18256410256410258</v>
      </c>
      <c r="BC115" s="511">
        <v>0.18256410256410258</v>
      </c>
      <c r="BD115" s="511">
        <v>0.18256410256410258</v>
      </c>
      <c r="BE115" s="511">
        <v>0.18256410256410258</v>
      </c>
      <c r="BF115" s="511">
        <v>0.18256410256410258</v>
      </c>
      <c r="BG115" s="511">
        <v>0.18256410256410258</v>
      </c>
      <c r="BH115" s="511">
        <v>0.18256410256410258</v>
      </c>
      <c r="BI115" s="511">
        <v>0.18256410256410258</v>
      </c>
      <c r="BJ115" s="511">
        <v>0.18256410256410258</v>
      </c>
      <c r="BK115" s="511">
        <v>0.18256410256410258</v>
      </c>
      <c r="BL115" s="511">
        <v>0.18256410256410258</v>
      </c>
      <c r="BM115" s="511">
        <v>0.18256410256410258</v>
      </c>
      <c r="BN115" s="46">
        <v>0.18256410256410258</v>
      </c>
      <c r="BO115" s="46">
        <v>0.18256410256410258</v>
      </c>
      <c r="BP115" s="511">
        <v>0.18256410256410258</v>
      </c>
      <c r="BQ115" s="511">
        <v>0.18256410256410258</v>
      </c>
      <c r="BR115" s="42"/>
      <c r="BS115" s="232">
        <v>0.77702253794654264</v>
      </c>
      <c r="BT115" s="232">
        <v>0.2763740243019232</v>
      </c>
      <c r="BU115" s="232">
        <v>0.2959827357237716</v>
      </c>
      <c r="BV115" s="232">
        <v>0.30328867235079171</v>
      </c>
      <c r="BW115" s="232">
        <v>0.26160337552742619</v>
      </c>
      <c r="BX115" s="232">
        <v>0.26600441501103755</v>
      </c>
      <c r="BY115" s="232">
        <v>0.30129589632829373</v>
      </c>
      <c r="BZ115" s="232">
        <v>0.41856925418569252</v>
      </c>
      <c r="CA115" s="232">
        <v>0.38061674008810575</v>
      </c>
      <c r="CB115" s="232">
        <v>0.32635983263598328</v>
      </c>
      <c r="CC115" s="42">
        <v>0.28632025450689291</v>
      </c>
      <c r="CD115" s="42">
        <v>0.30827067669172931</v>
      </c>
      <c r="CE115" s="42">
        <v>0.39393939393939392</v>
      </c>
      <c r="CF115" s="42">
        <v>0.39746835443037976</v>
      </c>
      <c r="CG115" s="42">
        <v>0.52453987730061347</v>
      </c>
      <c r="CH115" s="42">
        <v>0.47268408551068886</v>
      </c>
      <c r="CI115" s="42">
        <v>0.40849194729136162</v>
      </c>
      <c r="CJ115" s="42">
        <v>0.41068883610451307</v>
      </c>
      <c r="CK115" s="42">
        <v>0.38190184049079756</v>
      </c>
      <c r="CL115" s="42">
        <v>0.40117047385312443</v>
      </c>
      <c r="CM115" s="45">
        <v>0.42841903136334542</v>
      </c>
      <c r="CN115" s="45">
        <v>0.37598152424942261</v>
      </c>
      <c r="CO115" s="45">
        <v>0.33471933471933474</v>
      </c>
      <c r="CP115" s="45">
        <v>0.31068301225919437</v>
      </c>
      <c r="CQ115" s="45">
        <v>0.30295250320924261</v>
      </c>
      <c r="CR115" s="45">
        <v>0.30749921556322563</v>
      </c>
      <c r="CS115" s="45">
        <v>0.27367096571248822</v>
      </c>
      <c r="CT115" s="45">
        <v>0.24710104914411926</v>
      </c>
      <c r="CU115" s="45">
        <v>0.27254791431792558</v>
      </c>
      <c r="CV115" s="45">
        <v>0.26400704018773835</v>
      </c>
      <c r="CW115" s="45">
        <v>0.24940698068451372</v>
      </c>
      <c r="CX115" s="45">
        <v>0.22669873722188816</v>
      </c>
      <c r="CY115" s="43">
        <v>0.18256410256410258</v>
      </c>
      <c r="CZ115" s="42">
        <v>0.18256410256410258</v>
      </c>
      <c r="DA115" s="42">
        <v>0.18256410256410258</v>
      </c>
      <c r="DB115" s="42">
        <v>0.18256410256410258</v>
      </c>
      <c r="DC115" s="42">
        <v>0.18256410256410258</v>
      </c>
      <c r="DD115" s="42">
        <v>0.1825641025641026</v>
      </c>
      <c r="DE115" s="42">
        <v>0.18256410256410258</v>
      </c>
      <c r="DF115" s="42">
        <v>0.18256410256410258</v>
      </c>
      <c r="DG115" s="232">
        <v>0.18256410256410258</v>
      </c>
      <c r="DH115" s="232">
        <v>0.18256410256410258</v>
      </c>
      <c r="DI115" s="232">
        <v>0.18256410256410258</v>
      </c>
    </row>
    <row r="116" spans="1:113" outlineLevel="1">
      <c r="A116" s="1" t="s">
        <v>468</v>
      </c>
      <c r="B116" s="19" t="s">
        <v>297</v>
      </c>
      <c r="C116" s="235">
        <v>1.0156890931399241E-2</v>
      </c>
      <c r="D116" s="235">
        <v>9.7034413029088509E-3</v>
      </c>
      <c r="E116" s="235">
        <v>9.6954790181539973E-3</v>
      </c>
      <c r="F116" s="235">
        <v>9.3114312378519849E-3</v>
      </c>
      <c r="G116" s="235">
        <v>9.1075933270553956E-3</v>
      </c>
      <c r="H116" s="235">
        <v>8.7465059061457399E-3</v>
      </c>
      <c r="I116" s="235">
        <v>8.3456151071809436E-3</v>
      </c>
      <c r="J116" s="235">
        <v>7.7471910112359554E-3</v>
      </c>
      <c r="K116" s="235">
        <v>7.444899708095659E-3</v>
      </c>
      <c r="L116" s="235">
        <v>5.2229932116140106E-3</v>
      </c>
      <c r="M116" s="48">
        <v>4.9110056293458406E-3</v>
      </c>
      <c r="N116" s="48">
        <v>4.5036462212676032E-3</v>
      </c>
      <c r="O116" s="48">
        <v>4.2864723244784931E-3</v>
      </c>
      <c r="P116" s="48">
        <v>6.5570701843246934E-3</v>
      </c>
      <c r="Q116" s="48">
        <v>7.821169440887751E-3</v>
      </c>
      <c r="R116" s="48">
        <v>1.1182881241778955E-2</v>
      </c>
      <c r="S116" s="48">
        <v>1.2478090794070876E-2</v>
      </c>
      <c r="T116" s="48">
        <v>1.3355721835754026E-2</v>
      </c>
      <c r="U116" s="48">
        <v>1.3479356449332652E-2</v>
      </c>
      <c r="V116" s="48">
        <v>1.3601354003139717E-2</v>
      </c>
      <c r="W116" s="48">
        <v>1.2332720007132956E-2</v>
      </c>
      <c r="X116" s="48">
        <v>1.1545932225687377E-2</v>
      </c>
      <c r="Y116" s="50">
        <v>1.0851894778314572E-2</v>
      </c>
      <c r="Z116" s="50">
        <v>1.1057504439638328E-2</v>
      </c>
      <c r="AA116" s="50">
        <v>1.021904074029048E-2</v>
      </c>
      <c r="AB116" s="50">
        <v>1.0169947980893254E-2</v>
      </c>
      <c r="AC116" s="50">
        <v>9.611327463010742E-3</v>
      </c>
      <c r="AD116" s="50">
        <v>8.8693005996327724E-3</v>
      </c>
      <c r="AE116" s="50">
        <v>8.6535870716286413E-3</v>
      </c>
      <c r="AF116" s="50">
        <v>8.3622673955164387E-3</v>
      </c>
      <c r="AG116" s="50">
        <v>8.1911461209778214E-3</v>
      </c>
      <c r="AH116" s="50">
        <v>7.5148717893801231E-3</v>
      </c>
      <c r="AI116" s="50">
        <v>7.2814697595020928E-3</v>
      </c>
      <c r="AJ116" s="50">
        <v>7.5534422387836019E-3</v>
      </c>
      <c r="AK116" s="50">
        <v>7.4771059297265704E-3</v>
      </c>
      <c r="AL116" s="50">
        <v>1.0326081070836808E-2</v>
      </c>
      <c r="AM116" s="50">
        <v>1.0478455286734984E-2</v>
      </c>
      <c r="AN116" s="50">
        <v>1.0839061129959464E-2</v>
      </c>
      <c r="AO116" s="50">
        <v>1.4420327423742765E-2</v>
      </c>
      <c r="AP116" s="50">
        <v>1.5768108251525605E-2</v>
      </c>
      <c r="AQ116" s="50">
        <v>1.391953872362731E-2</v>
      </c>
      <c r="AR116" s="50">
        <v>1.2956663518366366E-2</v>
      </c>
      <c r="AS116" s="50">
        <v>1.1713540303876316E-2</v>
      </c>
      <c r="AT116" s="50">
        <v>1.2188539290627014E-2</v>
      </c>
      <c r="AU116" s="50">
        <v>1.4319217127944244E-2</v>
      </c>
      <c r="AV116" s="50">
        <v>1.445482528102838E-2</v>
      </c>
      <c r="AW116" s="49">
        <v>1.4639189729081858E-2</v>
      </c>
      <c r="AX116" s="47">
        <v>1.4639189729081858E-2</v>
      </c>
      <c r="AY116" s="47">
        <v>1.4639189729081858E-2</v>
      </c>
      <c r="AZ116" s="47">
        <v>1.4639189729081858E-2</v>
      </c>
      <c r="BA116" s="47">
        <v>1.4639189729081858E-2</v>
      </c>
      <c r="BB116" s="47">
        <v>1.4639189729081858E-2</v>
      </c>
      <c r="BC116" s="47">
        <v>1.4639189729081858E-2</v>
      </c>
      <c r="BD116" s="47">
        <v>1.4639189729081858E-2</v>
      </c>
      <c r="BE116" s="47">
        <v>1.4639189729081858E-2</v>
      </c>
      <c r="BF116" s="47">
        <v>1.4639189729081858E-2</v>
      </c>
      <c r="BG116" s="47">
        <v>1.4639189729081858E-2</v>
      </c>
      <c r="BH116" s="47">
        <v>1.4639189729081858E-2</v>
      </c>
      <c r="BI116" s="47">
        <v>1.4639189729081858E-2</v>
      </c>
      <c r="BJ116" s="47">
        <v>1.603918972908186E-2</v>
      </c>
      <c r="BK116" s="47">
        <v>1.7539189729081861E-2</v>
      </c>
      <c r="BL116" s="47">
        <v>1.7539189729081861E-2</v>
      </c>
      <c r="BM116" s="47">
        <v>1.6139189729081863E-2</v>
      </c>
      <c r="BN116" s="47">
        <v>1.6139189729081863E-2</v>
      </c>
      <c r="BO116" s="47">
        <v>1.6139189729081863E-2</v>
      </c>
      <c r="BP116" s="47">
        <v>1.6139189729081863E-2</v>
      </c>
      <c r="BQ116" s="47">
        <v>1.6139189729081863E-2</v>
      </c>
      <c r="BR116" s="48"/>
      <c r="BS116" s="235">
        <v>7.6464622103875586E-3</v>
      </c>
      <c r="BT116" s="235">
        <v>6.7403800325994221E-3</v>
      </c>
      <c r="BU116" s="235">
        <v>6.7727265735950826E-3</v>
      </c>
      <c r="BV116" s="235">
        <v>7.5867455093160769E-3</v>
      </c>
      <c r="BW116" s="235">
        <v>9.9350621301349147E-3</v>
      </c>
      <c r="BX116" s="235">
        <v>8.9905794363297591E-3</v>
      </c>
      <c r="BY116" s="235">
        <v>1.3107405196671987E-2</v>
      </c>
      <c r="BZ116" s="235">
        <v>1.2634556271111163E-2</v>
      </c>
      <c r="CA116" s="235">
        <v>1.2159197743654027E-2</v>
      </c>
      <c r="CB116" s="235">
        <v>1.1839176758316619E-2</v>
      </c>
      <c r="CC116" s="48">
        <v>9.6954790181539973E-3</v>
      </c>
      <c r="CD116" s="48">
        <v>9.1075933270553956E-3</v>
      </c>
      <c r="CE116" s="48">
        <v>8.3456151071809436E-3</v>
      </c>
      <c r="CF116" s="48">
        <v>7.444899708095659E-3</v>
      </c>
      <c r="CG116" s="48">
        <v>4.9110056293458406E-3</v>
      </c>
      <c r="CH116" s="48">
        <v>4.2864723244784931E-3</v>
      </c>
      <c r="CI116" s="48">
        <v>7.821169440887751E-3</v>
      </c>
      <c r="CJ116" s="48">
        <v>1.2478090794070876E-2</v>
      </c>
      <c r="CK116" s="48">
        <v>1.3479356449332652E-2</v>
      </c>
      <c r="CL116" s="48">
        <v>1.2332720007132956E-2</v>
      </c>
      <c r="CM116" s="50">
        <v>1.0851894778314572E-2</v>
      </c>
      <c r="CN116" s="50">
        <v>1.021904074029048E-2</v>
      </c>
      <c r="CO116" s="50">
        <v>9.611327463010742E-3</v>
      </c>
      <c r="CP116" s="50">
        <v>8.6535870716286413E-3</v>
      </c>
      <c r="CQ116" s="50">
        <v>8.1911461209778214E-3</v>
      </c>
      <c r="CR116" s="50">
        <v>7.2814697595020928E-3</v>
      </c>
      <c r="CS116" s="50">
        <v>7.4771059297265704E-3</v>
      </c>
      <c r="CT116" s="50">
        <v>1.0478455286734984E-2</v>
      </c>
      <c r="CU116" s="50">
        <v>1.4420327423742765E-2</v>
      </c>
      <c r="CV116" s="50">
        <v>1.391953872362731E-2</v>
      </c>
      <c r="CW116" s="50">
        <v>1.1713540303876316E-2</v>
      </c>
      <c r="CX116" s="50">
        <v>1.4319217127944244E-2</v>
      </c>
      <c r="CY116" s="49">
        <v>1.4639189729081858E-2</v>
      </c>
      <c r="CZ116" s="48">
        <v>1.4639189729081858E-2</v>
      </c>
      <c r="DA116" s="48">
        <v>1.4639189729081858E-2</v>
      </c>
      <c r="DB116" s="48">
        <v>1.4639189729081859E-2</v>
      </c>
      <c r="DC116" s="48">
        <v>1.4639189729081856E-2</v>
      </c>
      <c r="DD116" s="48">
        <v>1.4639189729081858E-2</v>
      </c>
      <c r="DE116" s="48">
        <v>1.4639189729081858E-2</v>
      </c>
      <c r="DF116" s="48">
        <v>1.7539189729081861E-2</v>
      </c>
      <c r="DG116" s="235">
        <v>1.6139189729081863E-2</v>
      </c>
      <c r="DH116" s="235">
        <v>1.6139189729081863E-2</v>
      </c>
      <c r="DI116" s="235">
        <v>1.6139189729081863E-2</v>
      </c>
    </row>
    <row r="117" spans="1:113" outlineLevel="1">
      <c r="A117" s="1" t="s">
        <v>708</v>
      </c>
      <c r="B117" s="19" t="s">
        <v>351</v>
      </c>
      <c r="C117" s="235">
        <v>2.7327047761977674E-3</v>
      </c>
      <c r="D117" s="235">
        <v>3.7721005536167835E-3</v>
      </c>
      <c r="E117" s="235">
        <v>2.0476499269800308E-3</v>
      </c>
      <c r="F117" s="235">
        <v>1.8183686143803514E-3</v>
      </c>
      <c r="G117" s="235">
        <v>1.8187767129796268E-3</v>
      </c>
      <c r="H117" s="235">
        <v>1.6353004717171657E-3</v>
      </c>
      <c r="I117" s="235">
        <v>1.2819702021710597E-3</v>
      </c>
      <c r="J117" s="235">
        <v>1.3037293558652212E-3</v>
      </c>
      <c r="K117" s="235">
        <v>1.4901308349486761E-3</v>
      </c>
      <c r="L117" s="235">
        <v>1.5819414308201475E-3</v>
      </c>
      <c r="M117" s="48">
        <v>1.6844694096069873E-3</v>
      </c>
      <c r="N117" s="48">
        <v>1.4258514000608684E-3</v>
      </c>
      <c r="O117" s="48">
        <v>1.5707917685433511E-3</v>
      </c>
      <c r="P117" s="48">
        <v>2.0126781649041298E-3</v>
      </c>
      <c r="Q117" s="48">
        <v>3.3958935645624013E-3</v>
      </c>
      <c r="R117" s="48">
        <v>8.9011428721709317E-3</v>
      </c>
      <c r="S117" s="48">
        <v>6.3207254070256225E-3</v>
      </c>
      <c r="T117" s="50">
        <v>5.669693078772675E-3</v>
      </c>
      <c r="U117" s="48">
        <v>2.8371334330766916E-3</v>
      </c>
      <c r="V117" s="48">
        <v>2.8171235848084277E-3</v>
      </c>
      <c r="W117" s="48">
        <v>2.1974979812571017E-3</v>
      </c>
      <c r="X117" s="48">
        <v>2.0710450152385388E-3</v>
      </c>
      <c r="Y117" s="50">
        <v>2.0476394996060405E-3</v>
      </c>
      <c r="Z117" s="50">
        <v>2.2403297944014154E-3</v>
      </c>
      <c r="AA117" s="50">
        <v>1.6942338674252287E-3</v>
      </c>
      <c r="AB117" s="50">
        <v>1.5745667145063843E-3</v>
      </c>
      <c r="AC117" s="50">
        <v>1.6775504361089062E-3</v>
      </c>
      <c r="AD117" s="50">
        <v>1.424238560916723E-3</v>
      </c>
      <c r="AE117" s="50">
        <v>1.7375489549987765E-3</v>
      </c>
      <c r="AF117" s="50">
        <v>1.7640068763658354E-3</v>
      </c>
      <c r="AG117" s="50">
        <v>2.1290920873855146E-3</v>
      </c>
      <c r="AH117" s="50">
        <v>1.7619463240723411E-3</v>
      </c>
      <c r="AI117" s="50">
        <v>1.4580119654106797E-3</v>
      </c>
      <c r="AJ117" s="50">
        <v>1.6948878927568062E-3</v>
      </c>
      <c r="AK117" s="50">
        <v>1.3868854983886852E-3</v>
      </c>
      <c r="AL117" s="50">
        <v>1.6189998108905518E-3</v>
      </c>
      <c r="AM117" s="50">
        <v>1.7669999949959827E-3</v>
      </c>
      <c r="AN117" s="50">
        <v>1.79978927522169E-3</v>
      </c>
      <c r="AO117" s="50">
        <v>5.1570966625528241E-3</v>
      </c>
      <c r="AP117" s="50">
        <v>2.4017894685638861E-3</v>
      </c>
      <c r="AQ117" s="50">
        <v>-8.9105753576817852E-4</v>
      </c>
      <c r="AR117" s="50">
        <v>-1.9271554799333098E-4</v>
      </c>
      <c r="AS117" s="50">
        <v>-7.1326228373403181E-4</v>
      </c>
      <c r="AT117" s="50">
        <v>1.2273798593752962E-3</v>
      </c>
      <c r="AU117" s="50">
        <v>1.4205251063413682E-3</v>
      </c>
      <c r="AV117" s="50">
        <v>9.708792723481975E-4</v>
      </c>
      <c r="AW117" s="49">
        <v>9.099880819199742E-4</v>
      </c>
      <c r="AX117" s="235">
        <v>1.2202387810568405E-3</v>
      </c>
      <c r="AY117" s="235">
        <v>1.4810168446473988E-3</v>
      </c>
      <c r="AZ117" s="235">
        <v>1.4824683210244993E-3</v>
      </c>
      <c r="BA117" s="235">
        <v>1.4711327633919241E-3</v>
      </c>
      <c r="BB117" s="235">
        <v>1.470726077410075E-3</v>
      </c>
      <c r="BC117" s="235">
        <v>1.4694114537398423E-3</v>
      </c>
      <c r="BD117" s="235">
        <v>1.4654277354185302E-3</v>
      </c>
      <c r="BE117" s="235">
        <v>1.4679943737410976E-3</v>
      </c>
      <c r="BF117" s="235">
        <v>1.4640402912327651E-3</v>
      </c>
      <c r="BG117" s="235">
        <v>1.4681284432249088E-3</v>
      </c>
      <c r="BH117" s="235">
        <v>1.4634406999410852E-3</v>
      </c>
      <c r="BI117" s="235">
        <v>1.4675876847551925E-3</v>
      </c>
      <c r="BJ117" s="235">
        <v>3.4049579835414494E-3</v>
      </c>
      <c r="BK117" s="235">
        <v>5.1252196562546161E-3</v>
      </c>
      <c r="BL117" s="235">
        <v>5.0931277853731114E-3</v>
      </c>
      <c r="BM117" s="235">
        <v>3.3679186454333536E-3</v>
      </c>
      <c r="BN117" s="235">
        <v>2.0866830829785713E-3</v>
      </c>
      <c r="BO117" s="235">
        <v>2.0922360745132679E-3</v>
      </c>
      <c r="BP117" s="235">
        <v>2.0639291330294919E-3</v>
      </c>
      <c r="BQ117" s="235">
        <v>2.068484895983852E-3</v>
      </c>
      <c r="BR117" s="48"/>
      <c r="BS117" s="235">
        <v>1.1874845049471479E-2</v>
      </c>
      <c r="BT117" s="235">
        <v>6.7885166728435401E-3</v>
      </c>
      <c r="BU117" s="235">
        <v>4.7422596645700756E-3</v>
      </c>
      <c r="BV117" s="235">
        <v>2.5959799396363349E-3</v>
      </c>
      <c r="BW117" s="235">
        <v>1.4737144124052845E-3</v>
      </c>
      <c r="BX117" s="235">
        <v>1.1330855190514455E-3</v>
      </c>
      <c r="BY117" s="235">
        <v>2.4514832525816856E-3</v>
      </c>
      <c r="BZ117" s="235">
        <v>2.3223998758879418E-3</v>
      </c>
      <c r="CA117" s="235">
        <v>1.6415066686208412E-3</v>
      </c>
      <c r="CB117" s="235">
        <v>2.6101694915254235E-3</v>
      </c>
      <c r="CC117" s="48">
        <v>2.9009223458569592E-3</v>
      </c>
      <c r="CD117" s="48">
        <v>1.8179126440433472E-3</v>
      </c>
      <c r="CE117" s="48">
        <v>1.4504937588965081E-3</v>
      </c>
      <c r="CF117" s="48">
        <v>1.3998310948293616E-3</v>
      </c>
      <c r="CG117" s="48">
        <v>1.6344297975442487E-3</v>
      </c>
      <c r="CH117" s="48">
        <v>1.464657543492567E-3</v>
      </c>
      <c r="CI117" s="48">
        <v>2.7252587530622531E-3</v>
      </c>
      <c r="CJ117" s="48">
        <v>7.5855498852775028E-3</v>
      </c>
      <c r="CK117" s="48">
        <v>4.2534786280635298E-3</v>
      </c>
      <c r="CL117" s="48">
        <v>2.5085988103754077E-3</v>
      </c>
      <c r="CM117" s="50">
        <v>2.0592901594673452E-3</v>
      </c>
      <c r="CN117" s="50">
        <v>1.9672369593280122E-3</v>
      </c>
      <c r="CO117" s="50">
        <v>1.6265352239600757E-3</v>
      </c>
      <c r="CP117" s="50">
        <v>1.5825116445947938E-3</v>
      </c>
      <c r="CQ117" s="50">
        <v>1.9480509409117064E-3</v>
      </c>
      <c r="CR117" s="50">
        <v>1.6099295159625615E-3</v>
      </c>
      <c r="CS117" s="50">
        <v>1.5416289831963869E-3</v>
      </c>
      <c r="CT117" s="50">
        <v>1.6926602530675063E-3</v>
      </c>
      <c r="CU117" s="50">
        <v>3.4826579401973138E-3</v>
      </c>
      <c r="CV117" s="50">
        <v>7.5328862489659331E-4</v>
      </c>
      <c r="CW117" s="50">
        <v>-4.5492258813383701E-4</v>
      </c>
      <c r="CX117" s="50">
        <v>1.324125246362208E-3</v>
      </c>
      <c r="CY117" s="49">
        <v>9.404810138160534E-4</v>
      </c>
      <c r="CZ117" s="48">
        <v>1.3506627489910667E-3</v>
      </c>
      <c r="DA117" s="48">
        <v>1.4765744616526979E-3</v>
      </c>
      <c r="DB117" s="48">
        <v>1.4698739706477202E-3</v>
      </c>
      <c r="DC117" s="48">
        <v>1.466576713636668E-3</v>
      </c>
      <c r="DD117" s="48">
        <v>1.4658765012771282E-3</v>
      </c>
      <c r="DE117" s="48">
        <v>1.4653058209504592E-3</v>
      </c>
      <c r="DF117" s="48">
        <v>4.2652124594106267E-3</v>
      </c>
      <c r="DG117" s="48">
        <v>4.2266069476926942E-3</v>
      </c>
      <c r="DH117" s="48">
        <v>2.0891368657786368E-3</v>
      </c>
      <c r="DI117" s="48">
        <v>2.0658871658778845E-3</v>
      </c>
    </row>
    <row r="118" spans="1:113" outlineLevel="1">
      <c r="A118" s="1" t="s">
        <v>709</v>
      </c>
      <c r="B118" s="19" t="s">
        <v>352</v>
      </c>
      <c r="C118" s="235">
        <v>5.3627019011460849E-3</v>
      </c>
      <c r="D118" s="235">
        <v>7.5767093979082724E-3</v>
      </c>
      <c r="E118" s="235">
        <v>4.2908703709574041E-3</v>
      </c>
      <c r="F118" s="235">
        <v>3.975754197745123E-3</v>
      </c>
      <c r="G118" s="235">
        <v>4.1540742736891501E-3</v>
      </c>
      <c r="H118" s="235">
        <v>3.8883687177734064E-3</v>
      </c>
      <c r="I118" s="235">
        <v>3.2707539532200254E-3</v>
      </c>
      <c r="J118" s="235">
        <v>3.4252676195434956E-3</v>
      </c>
      <c r="K118" s="235">
        <v>3.8218457491560934E-3</v>
      </c>
      <c r="L118" s="235">
        <v>4.5263885386192066E-3</v>
      </c>
      <c r="M118" s="48">
        <v>4.7231056310410337E-3</v>
      </c>
      <c r="N118" s="48">
        <v>3.9282788290912743E-3</v>
      </c>
      <c r="O118" s="48">
        <v>4.1409099139477247E-3</v>
      </c>
      <c r="P118" s="48">
        <v>5.0318333437961238E-3</v>
      </c>
      <c r="Q118" s="48">
        <v>8.3456011090037967E-3</v>
      </c>
      <c r="R118" s="48">
        <v>2.1858446171498666E-2</v>
      </c>
      <c r="S118" s="48">
        <v>1.6027464496945882E-2</v>
      </c>
      <c r="T118" s="50">
        <v>1.5003780783366748E-2</v>
      </c>
      <c r="U118" s="48">
        <v>7.9585226753100449E-3</v>
      </c>
      <c r="V118" s="48">
        <v>7.8250597034786231E-3</v>
      </c>
      <c r="W118" s="48">
        <v>6.2430312738385981E-3</v>
      </c>
      <c r="X118" s="48">
        <v>5.9481128319467036E-3</v>
      </c>
      <c r="Y118" s="50">
        <v>5.9019047435276912E-3</v>
      </c>
      <c r="Z118" s="50">
        <v>6.4890435181765432E-3</v>
      </c>
      <c r="AA118" s="50">
        <v>4.9341100520768405E-3</v>
      </c>
      <c r="AB118" s="50">
        <v>4.5907433375494766E-3</v>
      </c>
      <c r="AC118" s="50">
        <v>4.8885213617435724E-3</v>
      </c>
      <c r="AD118" s="50">
        <v>4.1554984992877029E-3</v>
      </c>
      <c r="AE118" s="50">
        <v>5.0446696650119482E-3</v>
      </c>
      <c r="AF118" s="50">
        <v>5.0352153418485417E-3</v>
      </c>
      <c r="AG118" s="50">
        <v>6.0468443281296172E-3</v>
      </c>
      <c r="AH118" s="50">
        <v>5.0776603579983743E-3</v>
      </c>
      <c r="AI118" s="50">
        <v>4.2594566821360499E-3</v>
      </c>
      <c r="AJ118" s="50">
        <v>4.9966106900278503E-3</v>
      </c>
      <c r="AK118" s="50">
        <v>4.1519017786732833E-3</v>
      </c>
      <c r="AL118" s="50">
        <v>4.9356659533769951E-3</v>
      </c>
      <c r="AM118" s="50">
        <v>5.540175545863048E-3</v>
      </c>
      <c r="AN118" s="50">
        <v>5.8004920625509574E-3</v>
      </c>
      <c r="AO118" s="50">
        <v>1.6771027221616105E-2</v>
      </c>
      <c r="AP118" s="50">
        <v>7.9850219509778123E-3</v>
      </c>
      <c r="AQ118" s="50">
        <v>-3.0267264247375793E-3</v>
      </c>
      <c r="AR118" s="50">
        <v>-6.6141953797745306E-4</v>
      </c>
      <c r="AS118" s="50">
        <v>-2.4288771926258266E-3</v>
      </c>
      <c r="AT118" s="50">
        <v>4.0994198740192996E-3</v>
      </c>
      <c r="AU118" s="50">
        <v>4.7197921229845067E-3</v>
      </c>
      <c r="AV118" s="50">
        <v>3.2215974657631092E-3</v>
      </c>
      <c r="AW118" s="49">
        <v>3.0229739111524985E-3</v>
      </c>
      <c r="AX118" s="235">
        <v>4.0631793037046102E-3</v>
      </c>
      <c r="AY118" s="235">
        <v>4.9543464736407023E-3</v>
      </c>
      <c r="AZ118" s="235">
        <v>4.992711530436433E-3</v>
      </c>
      <c r="BA118" s="235">
        <v>4.9740094359056741E-3</v>
      </c>
      <c r="BB118" s="235">
        <v>4.9701168171082492E-3</v>
      </c>
      <c r="BC118" s="235">
        <v>4.9604657483668267E-3</v>
      </c>
      <c r="BD118" s="235">
        <v>4.9393982273961733E-3</v>
      </c>
      <c r="BE118" s="235">
        <v>4.9403446817778435E-3</v>
      </c>
      <c r="BF118" s="235">
        <v>4.9192838640384016E-3</v>
      </c>
      <c r="BG118" s="235">
        <v>4.925176730744862E-3</v>
      </c>
      <c r="BH118" s="235">
        <v>4.9015660858918548E-3</v>
      </c>
      <c r="BI118" s="235">
        <v>4.9074846788877387E-3</v>
      </c>
      <c r="BJ118" s="235">
        <v>1.1367242863500512E-2</v>
      </c>
      <c r="BK118" s="235">
        <v>1.7078598169439411E-2</v>
      </c>
      <c r="BL118" s="235">
        <v>1.6936887395323938E-2</v>
      </c>
      <c r="BM118" s="235">
        <v>1.1176833082904424E-2</v>
      </c>
      <c r="BN118" s="235">
        <v>6.9106785923412324E-3</v>
      </c>
      <c r="BO118" s="235">
        <v>6.9148190514791274E-3</v>
      </c>
      <c r="BP118" s="235">
        <v>6.8072199340364469E-3</v>
      </c>
      <c r="BQ118" s="235">
        <v>6.8081823737109201E-3</v>
      </c>
      <c r="BR118" s="48"/>
      <c r="BS118" s="235">
        <v>1.7072899103923057E-2</v>
      </c>
      <c r="BT118" s="235">
        <v>9.9921155394473628E-3</v>
      </c>
      <c r="BU118" s="235">
        <v>7.502024817395642E-3</v>
      </c>
      <c r="BV118" s="235">
        <v>4.3656386081308129E-3</v>
      </c>
      <c r="BW118" s="235">
        <v>2.6191228114223518E-3</v>
      </c>
      <c r="BX118" s="235">
        <v>2.1273460065420855E-3</v>
      </c>
      <c r="BY118" s="235">
        <v>4.638098245490936E-3</v>
      </c>
      <c r="BZ118" s="235">
        <v>4.364114149860026E-3</v>
      </c>
      <c r="CA118" s="235">
        <v>3.1245589651430665E-3</v>
      </c>
      <c r="CB118" s="235">
        <v>5.1065075812704195E-3</v>
      </c>
      <c r="CC118" s="48">
        <v>5.9442384223344011E-3</v>
      </c>
      <c r="CD118" s="48">
        <v>4.0634664359878066E-3</v>
      </c>
      <c r="CE118" s="48">
        <v>3.5710427811633479E-3</v>
      </c>
      <c r="CF118" s="48">
        <v>3.6366557516089699E-3</v>
      </c>
      <c r="CG118" s="48">
        <v>4.6377904696187182E-3</v>
      </c>
      <c r="CH118" s="48">
        <v>3.891958792966623E-3</v>
      </c>
      <c r="CI118" s="48">
        <v>6.8316692214213026E-3</v>
      </c>
      <c r="CJ118" s="48">
        <v>1.9393759869972927E-2</v>
      </c>
      <c r="CK118" s="48">
        <v>1.1465203019793094E-2</v>
      </c>
      <c r="CL118" s="48">
        <v>7.3198166067992686E-3</v>
      </c>
      <c r="CM118" s="50">
        <v>6.1460518045490216E-3</v>
      </c>
      <c r="CN118" s="50">
        <v>5.886369488948294E-3</v>
      </c>
      <c r="CO118" s="50">
        <v>4.8361228063013226E-3</v>
      </c>
      <c r="CP118" s="50">
        <v>4.6522554926297097E-3</v>
      </c>
      <c r="CQ118" s="50">
        <v>5.6060079329968877E-3</v>
      </c>
      <c r="CR118" s="50">
        <v>4.668660433236424E-3</v>
      </c>
      <c r="CS118" s="50">
        <v>4.5877738835627697E-3</v>
      </c>
      <c r="CT118" s="50">
        <v>5.2559491758135948E-3</v>
      </c>
      <c r="CU118" s="50">
        <v>1.123984555448246E-2</v>
      </c>
      <c r="CV118" s="50">
        <v>2.5317620187649248E-3</v>
      </c>
      <c r="CW118" s="50">
        <v>-1.555073950512801E-3</v>
      </c>
      <c r="CX118" s="50">
        <v>4.4107483806479723E-3</v>
      </c>
      <c r="CY118" s="49">
        <v>3.122514033520798E-3</v>
      </c>
      <c r="CZ118" s="48">
        <v>4.5080427981869994E-3</v>
      </c>
      <c r="DA118" s="48">
        <v>4.9827852463616758E-3</v>
      </c>
      <c r="DB118" s="48">
        <v>4.9645883938149405E-3</v>
      </c>
      <c r="DC118" s="48">
        <v>4.9393651034365512E-3</v>
      </c>
      <c r="DD118" s="48">
        <v>4.9214686491724068E-3</v>
      </c>
      <c r="DE118" s="48">
        <v>4.9037631582982402E-3</v>
      </c>
      <c r="DF118" s="48">
        <v>1.4225747048042863E-2</v>
      </c>
      <c r="DG118" s="48">
        <v>1.4040677463902864E-2</v>
      </c>
      <c r="DH118" s="48">
        <v>6.9115572436593024E-3</v>
      </c>
      <c r="DI118" s="48">
        <v>6.806523365030623E-3</v>
      </c>
    </row>
    <row r="119" spans="1:113" outlineLevel="1">
      <c r="AA119" s="234"/>
      <c r="AB119" s="48"/>
      <c r="AC119" s="48"/>
      <c r="AD119" s="48"/>
      <c r="AE119" s="48"/>
      <c r="AF119" s="50"/>
      <c r="AG119" s="50"/>
      <c r="AH119" s="234"/>
      <c r="AI119" s="234"/>
      <c r="AJ119" s="234"/>
      <c r="AK119" s="755"/>
      <c r="AL119" s="755"/>
      <c r="AM119" s="234"/>
      <c r="AN119" s="234"/>
      <c r="AO119" s="234"/>
      <c r="AP119" s="234"/>
      <c r="AQ119" s="234"/>
      <c r="AR119" s="234"/>
      <c r="AS119" s="234"/>
      <c r="AT119" s="234"/>
      <c r="AU119" s="234"/>
      <c r="AV119" s="234"/>
      <c r="AW119" s="808"/>
      <c r="AX119" s="809"/>
      <c r="AY119" s="809"/>
      <c r="AZ119" s="809"/>
      <c r="BA119" s="809"/>
      <c r="BB119" s="809"/>
      <c r="BC119" s="809"/>
      <c r="BD119" s="809"/>
      <c r="BE119" s="809"/>
      <c r="BF119" s="809"/>
      <c r="BG119" s="809"/>
      <c r="BJ119" s="809"/>
      <c r="BK119" s="809"/>
      <c r="BL119" s="809"/>
      <c r="BM119" s="809"/>
      <c r="BN119" s="809"/>
      <c r="BO119" s="809"/>
      <c r="BP119" s="809"/>
      <c r="BQ119" s="809"/>
      <c r="BR119" s="797"/>
      <c r="CG119" s="234"/>
      <c r="CM119" s="55"/>
      <c r="CY119" s="22"/>
    </row>
    <row r="120" spans="1:113" outlineLevel="1">
      <c r="A120" s="1" t="s">
        <v>710</v>
      </c>
      <c r="B120" s="19" t="s">
        <v>353</v>
      </c>
      <c r="C120" s="53">
        <v>234</v>
      </c>
      <c r="D120" s="53">
        <v>309</v>
      </c>
      <c r="E120" s="53">
        <v>270</v>
      </c>
      <c r="F120" s="53">
        <v>263</v>
      </c>
      <c r="G120" s="53">
        <v>205</v>
      </c>
      <c r="H120" s="53">
        <v>198</v>
      </c>
      <c r="I120" s="53">
        <v>143</v>
      </c>
      <c r="J120" s="53">
        <v>180</v>
      </c>
      <c r="K120" s="53">
        <v>157</v>
      </c>
      <c r="L120" s="53">
        <v>179</v>
      </c>
      <c r="M120" s="53">
        <v>171</v>
      </c>
      <c r="N120" s="53">
        <v>171</v>
      </c>
      <c r="O120" s="53">
        <v>199</v>
      </c>
      <c r="P120" s="53">
        <v>189</v>
      </c>
      <c r="Q120" s="53">
        <v>279</v>
      </c>
      <c r="R120" s="53">
        <v>1134</v>
      </c>
      <c r="S120" s="53">
        <v>1729</v>
      </c>
      <c r="T120" s="53">
        <v>1822</v>
      </c>
      <c r="U120" s="53">
        <v>1992</v>
      </c>
      <c r="V120" s="53">
        <v>2169</v>
      </c>
      <c r="W120" s="53">
        <v>2125</v>
      </c>
      <c r="X120" s="53">
        <v>2097</v>
      </c>
      <c r="Y120" s="53">
        <v>2008</v>
      </c>
      <c r="Z120" s="53">
        <v>1845</v>
      </c>
      <c r="AA120" s="164">
        <v>1628</v>
      </c>
      <c r="AB120" s="164">
        <v>1416</v>
      </c>
      <c r="AC120" s="164">
        <v>1127</v>
      </c>
      <c r="AD120" s="164">
        <v>1116</v>
      </c>
      <c r="AE120" s="164">
        <v>887</v>
      </c>
      <c r="AF120" s="164">
        <v>909</v>
      </c>
      <c r="AG120" s="164">
        <v>944</v>
      </c>
      <c r="AH120" s="164">
        <v>1017</v>
      </c>
      <c r="AI120" s="164">
        <v>980</v>
      </c>
      <c r="AJ120" s="164">
        <v>978</v>
      </c>
      <c r="AK120" s="164">
        <v>870</v>
      </c>
      <c r="AL120" s="164">
        <v>920</v>
      </c>
      <c r="AM120" s="164">
        <v>895</v>
      </c>
      <c r="AN120" s="164">
        <v>959</v>
      </c>
      <c r="AO120" s="164">
        <v>967</v>
      </c>
      <c r="AP120" s="164">
        <v>872</v>
      </c>
      <c r="AQ120" s="164">
        <v>900</v>
      </c>
      <c r="AR120" s="164">
        <v>792</v>
      </c>
      <c r="AS120" s="164">
        <v>736</v>
      </c>
      <c r="AT120" s="164">
        <v>641</v>
      </c>
      <c r="AU120" s="164">
        <v>754</v>
      </c>
      <c r="AV120" s="164">
        <v>733</v>
      </c>
      <c r="AW120" s="171">
        <v>712</v>
      </c>
      <c r="AX120" s="55">
        <v>797.41477356865141</v>
      </c>
      <c r="AY120" s="55">
        <v>890.15813229684136</v>
      </c>
      <c r="AZ120" s="55">
        <v>907.31031195258333</v>
      </c>
      <c r="BA120" s="55">
        <v>940.17841268979112</v>
      </c>
      <c r="BB120" s="55">
        <v>974.54327006898234</v>
      </c>
      <c r="BC120" s="55">
        <v>993.21384774544151</v>
      </c>
      <c r="BD120" s="55">
        <v>1012.2864027129153</v>
      </c>
      <c r="BE120" s="55">
        <v>1031.7693897371084</v>
      </c>
      <c r="BF120" s="55">
        <v>1051.671454536056</v>
      </c>
      <c r="BG120" s="55">
        <v>1072.0014376903691</v>
      </c>
      <c r="BH120" s="55">
        <v>1092.7683786535661</v>
      </c>
      <c r="BI120" s="55">
        <v>1113.9815198638605</v>
      </c>
      <c r="BJ120" s="55">
        <v>1345.7456184862722</v>
      </c>
      <c r="BK120" s="55">
        <v>1546.1694231278875</v>
      </c>
      <c r="BL120" s="55">
        <v>1547.4894837651925</v>
      </c>
      <c r="BM120" s="55">
        <v>1264.343793513558</v>
      </c>
      <c r="BN120" s="55">
        <v>1304.1782430066974</v>
      </c>
      <c r="BO120" s="55">
        <v>1345.2766375981721</v>
      </c>
      <c r="BP120" s="55">
        <v>1373.939871601604</v>
      </c>
      <c r="BQ120" s="55">
        <v>1403.2229415516861</v>
      </c>
      <c r="BR120" s="55"/>
      <c r="BS120" s="53">
        <v>1520.4</v>
      </c>
      <c r="BT120" s="53">
        <v>686.9</v>
      </c>
      <c r="BU120" s="53">
        <v>713.2</v>
      </c>
      <c r="BV120" s="53">
        <v>498</v>
      </c>
      <c r="BW120" s="53">
        <v>310</v>
      </c>
      <c r="BX120" s="53">
        <v>241</v>
      </c>
      <c r="BY120" s="53">
        <v>279</v>
      </c>
      <c r="BZ120" s="53">
        <v>275</v>
      </c>
      <c r="CA120" s="53">
        <v>432</v>
      </c>
      <c r="CB120" s="53">
        <v>234</v>
      </c>
      <c r="CC120" s="55">
        <v>270</v>
      </c>
      <c r="CD120" s="55">
        <v>205</v>
      </c>
      <c r="CE120" s="55">
        <v>143</v>
      </c>
      <c r="CF120" s="55">
        <v>157</v>
      </c>
      <c r="CG120" s="55">
        <v>171</v>
      </c>
      <c r="CH120" s="55">
        <v>199</v>
      </c>
      <c r="CI120" s="55">
        <v>279</v>
      </c>
      <c r="CJ120" s="55">
        <v>1729</v>
      </c>
      <c r="CK120" s="55">
        <v>1992</v>
      </c>
      <c r="CL120" s="55">
        <v>2125</v>
      </c>
      <c r="CM120" s="55">
        <v>2008</v>
      </c>
      <c r="CN120" s="55">
        <v>1628</v>
      </c>
      <c r="CO120" s="55">
        <v>1127</v>
      </c>
      <c r="CP120" s="55">
        <v>887</v>
      </c>
      <c r="CQ120" s="55">
        <v>944</v>
      </c>
      <c r="CR120" s="55">
        <v>980</v>
      </c>
      <c r="CS120" s="55">
        <v>870</v>
      </c>
      <c r="CT120" s="55">
        <v>895</v>
      </c>
      <c r="CU120" s="55">
        <v>967</v>
      </c>
      <c r="CV120" s="55">
        <v>900</v>
      </c>
      <c r="CW120" s="55">
        <v>736</v>
      </c>
      <c r="CX120" s="55">
        <v>754</v>
      </c>
      <c r="CY120" s="56">
        <v>712</v>
      </c>
      <c r="CZ120" s="55">
        <v>890.15813229684136</v>
      </c>
      <c r="DA120" s="55">
        <v>940.17841268979112</v>
      </c>
      <c r="DB120" s="55">
        <v>993.21384774544151</v>
      </c>
      <c r="DC120" s="55">
        <v>1031.7693897371084</v>
      </c>
      <c r="DD120" s="55">
        <v>1072.0014376903691</v>
      </c>
      <c r="DE120" s="55">
        <v>1113.9815198638605</v>
      </c>
      <c r="DF120" s="55">
        <v>1546.1694231278875</v>
      </c>
      <c r="DG120" s="55">
        <v>1264.343793513558</v>
      </c>
      <c r="DH120" s="55">
        <v>1345.2766375981721</v>
      </c>
      <c r="DI120" s="55">
        <v>1403.2229415516861</v>
      </c>
    </row>
    <row r="121" spans="1:113" outlineLevel="1">
      <c r="A121" s="1" t="s">
        <v>711</v>
      </c>
      <c r="B121" s="19" t="s">
        <v>419</v>
      </c>
      <c r="C121" s="53">
        <v>1399</v>
      </c>
      <c r="D121" s="53">
        <v>1334</v>
      </c>
      <c r="E121" s="53">
        <v>1356</v>
      </c>
      <c r="F121" s="53">
        <v>1327</v>
      </c>
      <c r="G121" s="53">
        <v>1325</v>
      </c>
      <c r="H121" s="53">
        <v>1358</v>
      </c>
      <c r="I121" s="53">
        <v>1393</v>
      </c>
      <c r="J121" s="53">
        <v>1379</v>
      </c>
      <c r="K121" s="53">
        <v>1390</v>
      </c>
      <c r="L121" s="53">
        <v>1041</v>
      </c>
      <c r="M121" s="53">
        <v>1046</v>
      </c>
      <c r="N121" s="53">
        <v>1040</v>
      </c>
      <c r="O121" s="53">
        <v>1034</v>
      </c>
      <c r="P121" s="53">
        <v>1191</v>
      </c>
      <c r="Q121" s="53">
        <v>1466</v>
      </c>
      <c r="R121" s="53">
        <v>2474</v>
      </c>
      <c r="S121" s="53">
        <v>3225</v>
      </c>
      <c r="T121" s="53">
        <v>3452</v>
      </c>
      <c r="U121" s="53">
        <v>3461</v>
      </c>
      <c r="V121" s="53">
        <v>3327</v>
      </c>
      <c r="W121" s="53">
        <v>3043</v>
      </c>
      <c r="X121" s="53">
        <v>2984</v>
      </c>
      <c r="Y121" s="53">
        <v>2837</v>
      </c>
      <c r="Z121" s="53">
        <v>2858</v>
      </c>
      <c r="AA121" s="164">
        <v>2858</v>
      </c>
      <c r="AB121" s="164">
        <v>2870</v>
      </c>
      <c r="AC121" s="164">
        <v>2779</v>
      </c>
      <c r="AD121" s="164">
        <v>2763</v>
      </c>
      <c r="AE121" s="164">
        <v>2762</v>
      </c>
      <c r="AF121" s="164">
        <v>2801</v>
      </c>
      <c r="AG121" s="164">
        <v>2818</v>
      </c>
      <c r="AH121" s="164">
        <v>2807</v>
      </c>
      <c r="AI121" s="164">
        <v>2747</v>
      </c>
      <c r="AJ121" s="164">
        <v>2772</v>
      </c>
      <c r="AK121" s="164">
        <v>2763</v>
      </c>
      <c r="AL121" s="164">
        <v>3814</v>
      </c>
      <c r="AM121" s="164">
        <v>3904</v>
      </c>
      <c r="AN121" s="164">
        <v>4067</v>
      </c>
      <c r="AO121" s="164">
        <v>5396</v>
      </c>
      <c r="AP121" s="164">
        <v>5943</v>
      </c>
      <c r="AQ121" s="164">
        <v>5311</v>
      </c>
      <c r="AR121" s="164">
        <v>5062</v>
      </c>
      <c r="AS121" s="164">
        <v>4611</v>
      </c>
      <c r="AT121" s="164">
        <v>4900</v>
      </c>
      <c r="AU121" s="164">
        <v>5196</v>
      </c>
      <c r="AV121" s="164">
        <v>5330</v>
      </c>
      <c r="AW121" s="171">
        <v>5423</v>
      </c>
      <c r="AX121" s="55">
        <v>5534.1307781861742</v>
      </c>
      <c r="AY121" s="55">
        <v>5631.6865244103465</v>
      </c>
      <c r="AZ121" s="55">
        <v>5738.9435786417434</v>
      </c>
      <c r="BA121" s="55">
        <v>5828.0994172971014</v>
      </c>
      <c r="BB121" s="55">
        <v>5920.1721344723073</v>
      </c>
      <c r="BC121" s="55">
        <v>6027.9029697815195</v>
      </c>
      <c r="BD121" s="55">
        <v>6137.8077798485228</v>
      </c>
      <c r="BE121" s="55">
        <v>6249.9295119439621</v>
      </c>
      <c r="BF121" s="55">
        <v>6364.3120327401393</v>
      </c>
      <c r="BG121" s="55">
        <v>6481.0001460305102</v>
      </c>
      <c r="BH121" s="55">
        <v>6600.0396108966834</v>
      </c>
      <c r="BI121" s="55">
        <v>6721.4771603279933</v>
      </c>
      <c r="BJ121" s="55">
        <v>7692.1342174738711</v>
      </c>
      <c r="BK121" s="55">
        <v>8793.9278573109168</v>
      </c>
      <c r="BL121" s="55">
        <v>8751.5308423430124</v>
      </c>
      <c r="BM121" s="55">
        <v>8009.5509209353286</v>
      </c>
      <c r="BN121" s="55">
        <v>8170.1363676426063</v>
      </c>
      <c r="BO121" s="55">
        <v>8333.9930759017006</v>
      </c>
      <c r="BP121" s="55">
        <v>8501.1884810816027</v>
      </c>
      <c r="BQ121" s="55">
        <v>8671.7914219725735</v>
      </c>
      <c r="BR121" s="55"/>
      <c r="BS121" s="53">
        <v>462.9</v>
      </c>
      <c r="BT121" s="53">
        <v>397.4</v>
      </c>
      <c r="BU121" s="53">
        <v>396.3</v>
      </c>
      <c r="BV121" s="53">
        <v>476</v>
      </c>
      <c r="BW121" s="53">
        <v>690</v>
      </c>
      <c r="BX121" s="53">
        <v>690</v>
      </c>
      <c r="BY121" s="53">
        <v>1076</v>
      </c>
      <c r="BZ121" s="53">
        <v>1081</v>
      </c>
      <c r="CA121" s="53">
        <v>1358</v>
      </c>
      <c r="CB121" s="53">
        <v>1399</v>
      </c>
      <c r="CC121" s="55">
        <v>1356</v>
      </c>
      <c r="CD121" s="55">
        <v>1325</v>
      </c>
      <c r="CE121" s="55">
        <v>1393</v>
      </c>
      <c r="CF121" s="55">
        <v>1390</v>
      </c>
      <c r="CG121" s="55">
        <v>1046</v>
      </c>
      <c r="CH121" s="55">
        <v>1034</v>
      </c>
      <c r="CI121" s="55">
        <v>1466</v>
      </c>
      <c r="CJ121" s="55">
        <v>3225</v>
      </c>
      <c r="CK121" s="55">
        <v>3461</v>
      </c>
      <c r="CL121" s="55">
        <v>3043</v>
      </c>
      <c r="CM121" s="55">
        <v>2837</v>
      </c>
      <c r="CN121" s="55">
        <v>2858</v>
      </c>
      <c r="CO121" s="55">
        <v>2779</v>
      </c>
      <c r="CP121" s="55">
        <v>2762</v>
      </c>
      <c r="CQ121" s="55">
        <v>2818</v>
      </c>
      <c r="CR121" s="55">
        <v>2747</v>
      </c>
      <c r="CS121" s="55">
        <v>2763</v>
      </c>
      <c r="CT121" s="55">
        <v>3904</v>
      </c>
      <c r="CU121" s="55">
        <v>5396</v>
      </c>
      <c r="CV121" s="55">
        <v>5311</v>
      </c>
      <c r="CW121" s="55">
        <v>4611</v>
      </c>
      <c r="CX121" s="55">
        <v>5196</v>
      </c>
      <c r="CY121" s="56">
        <v>5423</v>
      </c>
      <c r="CZ121" s="55">
        <v>5631.6865244103465</v>
      </c>
      <c r="DA121" s="55">
        <v>5828.0994172971014</v>
      </c>
      <c r="DB121" s="55">
        <v>6027.9029697815195</v>
      </c>
      <c r="DC121" s="55">
        <v>6249.9295119439621</v>
      </c>
      <c r="DD121" s="55">
        <v>6481.0001460305102</v>
      </c>
      <c r="DE121" s="55">
        <v>6721.4771603279933</v>
      </c>
      <c r="DF121" s="55">
        <v>8793.9278573109168</v>
      </c>
      <c r="DG121" s="55">
        <v>8009.5509209353286</v>
      </c>
      <c r="DH121" s="55">
        <v>8333.9930759017006</v>
      </c>
      <c r="DI121" s="55">
        <v>8671.7914219725735</v>
      </c>
    </row>
    <row r="122" spans="1:113" outlineLevel="1">
      <c r="A122" s="1" t="s">
        <v>875</v>
      </c>
      <c r="B122" s="19" t="s">
        <v>420</v>
      </c>
      <c r="C122" s="55">
        <v>1633</v>
      </c>
      <c r="D122" s="55">
        <v>1643</v>
      </c>
      <c r="E122" s="55">
        <v>1626</v>
      </c>
      <c r="F122" s="55">
        <v>1590</v>
      </c>
      <c r="G122" s="55">
        <v>1530</v>
      </c>
      <c r="H122" s="55">
        <v>1556</v>
      </c>
      <c r="I122" s="55">
        <v>1536</v>
      </c>
      <c r="J122" s="55">
        <v>1559</v>
      </c>
      <c r="K122" s="55">
        <v>1547</v>
      </c>
      <c r="L122" s="55">
        <v>1220</v>
      </c>
      <c r="M122" s="55">
        <v>1217</v>
      </c>
      <c r="N122" s="55">
        <v>1211</v>
      </c>
      <c r="O122" s="55">
        <v>1233</v>
      </c>
      <c r="P122" s="55">
        <v>1380</v>
      </c>
      <c r="Q122" s="55">
        <v>1745</v>
      </c>
      <c r="R122" s="55">
        <v>3608</v>
      </c>
      <c r="S122" s="55">
        <v>4954</v>
      </c>
      <c r="T122" s="55">
        <v>5274</v>
      </c>
      <c r="U122" s="55">
        <v>5453</v>
      </c>
      <c r="V122" s="55">
        <v>5496</v>
      </c>
      <c r="W122" s="55">
        <v>5168</v>
      </c>
      <c r="X122" s="55">
        <v>5081</v>
      </c>
      <c r="Y122" s="55">
        <v>4845</v>
      </c>
      <c r="Z122" s="55">
        <v>4703</v>
      </c>
      <c r="AA122" s="55">
        <v>4486</v>
      </c>
      <c r="AB122" s="55">
        <v>4286</v>
      </c>
      <c r="AC122" s="55">
        <v>3906</v>
      </c>
      <c r="AD122" s="55">
        <v>3879</v>
      </c>
      <c r="AE122" s="55">
        <v>3649</v>
      </c>
      <c r="AF122" s="55">
        <v>3710</v>
      </c>
      <c r="AG122" s="55">
        <v>3762</v>
      </c>
      <c r="AH122" s="55">
        <v>3824</v>
      </c>
      <c r="AI122" s="55">
        <v>3727</v>
      </c>
      <c r="AJ122" s="55">
        <v>3750</v>
      </c>
      <c r="AK122" s="55">
        <v>3633</v>
      </c>
      <c r="AL122" s="55">
        <v>4734</v>
      </c>
      <c r="AM122" s="55">
        <v>4799</v>
      </c>
      <c r="AN122" s="55">
        <v>5026</v>
      </c>
      <c r="AO122" s="55">
        <v>6363</v>
      </c>
      <c r="AP122" s="55">
        <v>6815</v>
      </c>
      <c r="AQ122" s="55">
        <v>6211</v>
      </c>
      <c r="AR122" s="55">
        <v>5854</v>
      </c>
      <c r="AS122" s="55">
        <v>5347</v>
      </c>
      <c r="AT122" s="55">
        <v>5541</v>
      </c>
      <c r="AU122" s="55">
        <v>5950</v>
      </c>
      <c r="AV122" s="55">
        <v>6063</v>
      </c>
      <c r="AW122" s="56">
        <v>6135</v>
      </c>
      <c r="AX122" s="55">
        <v>6331.5455517548253</v>
      </c>
      <c r="AY122" s="55">
        <v>6521.8446567071878</v>
      </c>
      <c r="AZ122" s="55">
        <v>6646.2538905943265</v>
      </c>
      <c r="BA122" s="55">
        <v>6768.2778299868924</v>
      </c>
      <c r="BB122" s="55">
        <v>6894.7154045412899</v>
      </c>
      <c r="BC122" s="55">
        <v>7021.1168175269613</v>
      </c>
      <c r="BD122" s="55">
        <v>7150.0941825614382</v>
      </c>
      <c r="BE122" s="55">
        <v>7281.6989016810703</v>
      </c>
      <c r="BF122" s="55">
        <v>7415.9834872761949</v>
      </c>
      <c r="BG122" s="55">
        <v>7553.0015837208794</v>
      </c>
      <c r="BH122" s="55">
        <v>7692.8079895502497</v>
      </c>
      <c r="BI122" s="55">
        <v>7835.458680191854</v>
      </c>
      <c r="BJ122" s="55">
        <v>9037.8798359601424</v>
      </c>
      <c r="BK122" s="55">
        <v>10340.097280438804</v>
      </c>
      <c r="BL122" s="55">
        <v>10299.020326108204</v>
      </c>
      <c r="BM122" s="55">
        <v>9273.8947144488866</v>
      </c>
      <c r="BN122" s="55">
        <v>9474.3146106493041</v>
      </c>
      <c r="BO122" s="55">
        <v>9679.2697134998725</v>
      </c>
      <c r="BP122" s="55">
        <v>9875.1283526832067</v>
      </c>
      <c r="BQ122" s="55">
        <v>10075.01436352426</v>
      </c>
      <c r="BR122" s="55"/>
      <c r="BS122" s="55">
        <v>1983.3000000000002</v>
      </c>
      <c r="BT122" s="55">
        <v>1084.3</v>
      </c>
      <c r="BU122" s="55">
        <v>1109.5</v>
      </c>
      <c r="BV122" s="55">
        <v>974</v>
      </c>
      <c r="BW122" s="55">
        <v>1000</v>
      </c>
      <c r="BX122" s="55">
        <v>931</v>
      </c>
      <c r="BY122" s="55">
        <v>1355</v>
      </c>
      <c r="BZ122" s="55">
        <v>1356</v>
      </c>
      <c r="CA122" s="55">
        <v>1790</v>
      </c>
      <c r="CB122" s="55">
        <v>1633</v>
      </c>
      <c r="CC122" s="55">
        <v>1626</v>
      </c>
      <c r="CD122" s="55">
        <v>1530</v>
      </c>
      <c r="CE122" s="55">
        <v>1536</v>
      </c>
      <c r="CF122" s="55">
        <v>1547</v>
      </c>
      <c r="CG122" s="55">
        <v>1217</v>
      </c>
      <c r="CH122" s="55">
        <v>1233</v>
      </c>
      <c r="CI122" s="55">
        <v>1745</v>
      </c>
      <c r="CJ122" s="55">
        <v>4954</v>
      </c>
      <c r="CK122" s="55">
        <v>5453</v>
      </c>
      <c r="CL122" s="55">
        <v>5168</v>
      </c>
      <c r="CM122" s="55">
        <v>4845</v>
      </c>
      <c r="CN122" s="55">
        <v>4486</v>
      </c>
      <c r="CO122" s="55">
        <v>3906</v>
      </c>
      <c r="CP122" s="55">
        <v>3649</v>
      </c>
      <c r="CQ122" s="55">
        <v>3762</v>
      </c>
      <c r="CR122" s="55">
        <v>3727</v>
      </c>
      <c r="CS122" s="55">
        <v>3633</v>
      </c>
      <c r="CT122" s="55">
        <v>4799</v>
      </c>
      <c r="CU122" s="55">
        <v>6363</v>
      </c>
      <c r="CV122" s="55">
        <v>6211</v>
      </c>
      <c r="CW122" s="55">
        <v>5347</v>
      </c>
      <c r="CX122" s="55">
        <v>5950</v>
      </c>
      <c r="CY122" s="56">
        <v>6135</v>
      </c>
      <c r="CZ122" s="55">
        <v>6521.8446567071878</v>
      </c>
      <c r="DA122" s="55">
        <v>6768.2778299868924</v>
      </c>
      <c r="DB122" s="55">
        <v>7021.1168175269613</v>
      </c>
      <c r="DC122" s="55">
        <v>7281.6989016810703</v>
      </c>
      <c r="DD122" s="55">
        <v>7553.0015837208794</v>
      </c>
      <c r="DE122" s="55">
        <v>7835.458680191854</v>
      </c>
      <c r="DF122" s="55">
        <v>10340.097280438804</v>
      </c>
      <c r="DG122" s="55">
        <v>9273.8947144488866</v>
      </c>
      <c r="DH122" s="55">
        <v>9679.2697134998725</v>
      </c>
      <c r="DI122" s="55">
        <v>10075.01436352426</v>
      </c>
    </row>
    <row r="123" spans="1:113" outlineLevel="1">
      <c r="A123" s="1" t="s">
        <v>2201</v>
      </c>
      <c r="B123" s="19" t="s">
        <v>2202</v>
      </c>
      <c r="C123" s="164">
        <v>0</v>
      </c>
      <c r="D123" s="164">
        <v>0</v>
      </c>
      <c r="E123" s="164">
        <v>0</v>
      </c>
      <c r="F123" s="164">
        <v>0</v>
      </c>
      <c r="G123" s="164">
        <v>0</v>
      </c>
      <c r="H123" s="164">
        <v>0</v>
      </c>
      <c r="I123" s="164">
        <v>0</v>
      </c>
      <c r="J123" s="164">
        <v>0</v>
      </c>
      <c r="K123" s="164">
        <v>0</v>
      </c>
      <c r="L123" s="164">
        <v>0</v>
      </c>
      <c r="M123" s="164">
        <v>0</v>
      </c>
      <c r="N123" s="164">
        <v>500</v>
      </c>
      <c r="O123" s="164">
        <v>500</v>
      </c>
      <c r="P123" s="164">
        <v>0</v>
      </c>
      <c r="Q123" s="164">
        <v>0</v>
      </c>
      <c r="R123" s="164">
        <v>0</v>
      </c>
      <c r="S123" s="164">
        <v>0</v>
      </c>
      <c r="T123" s="164">
        <v>0</v>
      </c>
      <c r="U123" s="164">
        <v>124</v>
      </c>
      <c r="V123" s="164">
        <v>151</v>
      </c>
      <c r="W123" s="164">
        <v>189</v>
      </c>
      <c r="X123" s="164">
        <v>261</v>
      </c>
      <c r="Y123" s="164">
        <v>299</v>
      </c>
      <c r="Z123" s="164">
        <v>282</v>
      </c>
      <c r="AA123" s="164">
        <v>297</v>
      </c>
      <c r="AB123" s="164">
        <v>283</v>
      </c>
      <c r="AC123" s="164">
        <v>305</v>
      </c>
      <c r="AD123" s="164">
        <v>321</v>
      </c>
      <c r="AE123" s="164">
        <v>346</v>
      </c>
      <c r="AF123" s="164">
        <v>386</v>
      </c>
      <c r="AG123" s="164">
        <v>552</v>
      </c>
      <c r="AH123" s="164">
        <v>532</v>
      </c>
      <c r="AI123" s="164">
        <v>589</v>
      </c>
      <c r="AJ123" s="164">
        <v>554</v>
      </c>
      <c r="AK123" s="164">
        <v>589</v>
      </c>
      <c r="AL123" s="164">
        <v>539</v>
      </c>
      <c r="AM123" s="164">
        <v>515</v>
      </c>
      <c r="AN123" s="164">
        <v>0</v>
      </c>
      <c r="AO123" s="164">
        <v>0</v>
      </c>
      <c r="AP123" s="164">
        <v>0</v>
      </c>
      <c r="AQ123" s="164">
        <v>0</v>
      </c>
      <c r="AR123" s="164">
        <v>0</v>
      </c>
      <c r="AS123" s="164">
        <v>0</v>
      </c>
      <c r="AT123" s="164">
        <v>0</v>
      </c>
      <c r="AU123" s="164">
        <v>0</v>
      </c>
      <c r="AV123" s="164">
        <v>0</v>
      </c>
      <c r="AW123" s="171">
        <v>0</v>
      </c>
      <c r="AX123" s="54">
        <v>0</v>
      </c>
      <c r="AY123" s="54">
        <v>0</v>
      </c>
      <c r="AZ123" s="54">
        <v>0</v>
      </c>
      <c r="BA123" s="54">
        <v>0</v>
      </c>
      <c r="BB123" s="54">
        <v>0</v>
      </c>
      <c r="BC123" s="54">
        <v>0</v>
      </c>
      <c r="BD123" s="54">
        <v>0</v>
      </c>
      <c r="BE123" s="54">
        <v>0</v>
      </c>
      <c r="BF123" s="54">
        <v>0</v>
      </c>
      <c r="BG123" s="54">
        <v>0</v>
      </c>
      <c r="BH123" s="54">
        <v>0</v>
      </c>
      <c r="BI123" s="54">
        <v>0</v>
      </c>
      <c r="BJ123" s="54">
        <v>0</v>
      </c>
      <c r="BK123" s="54">
        <v>0</v>
      </c>
      <c r="BL123" s="54">
        <v>0</v>
      </c>
      <c r="BM123" s="54">
        <v>0</v>
      </c>
      <c r="BN123" s="54">
        <v>0</v>
      </c>
      <c r="BO123" s="54">
        <v>0</v>
      </c>
      <c r="BP123" s="54">
        <v>0</v>
      </c>
      <c r="BQ123" s="54">
        <v>0</v>
      </c>
      <c r="BR123" s="55"/>
      <c r="BS123" s="53">
        <v>0</v>
      </c>
      <c r="BT123" s="53">
        <v>0</v>
      </c>
      <c r="BU123" s="53">
        <v>0</v>
      </c>
      <c r="BV123" s="53">
        <v>0</v>
      </c>
      <c r="BW123" s="53">
        <v>0</v>
      </c>
      <c r="BX123" s="53">
        <v>0</v>
      </c>
      <c r="BY123" s="53">
        <v>0</v>
      </c>
      <c r="BZ123" s="53">
        <v>0</v>
      </c>
      <c r="CA123" s="53">
        <v>0</v>
      </c>
      <c r="CB123" s="53">
        <v>0</v>
      </c>
      <c r="CC123" s="55">
        <v>0</v>
      </c>
      <c r="CD123" s="55">
        <v>0</v>
      </c>
      <c r="CE123" s="55">
        <v>0</v>
      </c>
      <c r="CF123" s="55">
        <v>0</v>
      </c>
      <c r="CG123" s="55">
        <v>0</v>
      </c>
      <c r="CH123" s="55">
        <v>500</v>
      </c>
      <c r="CI123" s="55">
        <v>0</v>
      </c>
      <c r="CJ123" s="55">
        <v>0</v>
      </c>
      <c r="CK123" s="55">
        <v>124</v>
      </c>
      <c r="CL123" s="55">
        <v>189</v>
      </c>
      <c r="CM123" s="55">
        <v>299</v>
      </c>
      <c r="CN123" s="55">
        <v>297</v>
      </c>
      <c r="CO123" s="55">
        <v>305</v>
      </c>
      <c r="CP123" s="55">
        <v>346</v>
      </c>
      <c r="CQ123" s="55">
        <v>552</v>
      </c>
      <c r="CR123" s="55">
        <v>589</v>
      </c>
      <c r="CS123" s="55">
        <v>589</v>
      </c>
      <c r="CT123" s="55">
        <v>515</v>
      </c>
      <c r="CU123" s="55">
        <v>0</v>
      </c>
      <c r="CV123" s="55">
        <v>0</v>
      </c>
      <c r="CW123" s="55">
        <v>0</v>
      </c>
      <c r="CX123" s="55">
        <v>0</v>
      </c>
      <c r="CY123" s="56">
        <v>0</v>
      </c>
      <c r="CZ123" s="55">
        <v>0</v>
      </c>
      <c r="DA123" s="55">
        <v>0</v>
      </c>
      <c r="DB123" s="55">
        <v>0</v>
      </c>
      <c r="DC123" s="55">
        <v>0</v>
      </c>
      <c r="DD123" s="55">
        <v>0</v>
      </c>
      <c r="DE123" s="55">
        <v>0</v>
      </c>
      <c r="DF123" s="55">
        <v>0</v>
      </c>
      <c r="DG123" s="55">
        <v>0</v>
      </c>
      <c r="DH123" s="55">
        <v>0</v>
      </c>
      <c r="DI123" s="55">
        <v>0</v>
      </c>
    </row>
    <row r="124" spans="1:113" outlineLevel="1">
      <c r="A124" s="1" t="s">
        <v>876</v>
      </c>
      <c r="B124" s="19" t="s">
        <v>421</v>
      </c>
      <c r="C124" s="53">
        <v>715</v>
      </c>
      <c r="D124" s="53">
        <v>1045</v>
      </c>
      <c r="E124" s="53">
        <v>943</v>
      </c>
      <c r="F124" s="53">
        <v>919</v>
      </c>
      <c r="G124" s="53">
        <v>665</v>
      </c>
      <c r="H124" s="53">
        <v>597</v>
      </c>
      <c r="I124" s="53">
        <v>363</v>
      </c>
      <c r="J124" s="53">
        <v>445</v>
      </c>
      <c r="K124" s="53">
        <v>395</v>
      </c>
      <c r="L124" s="53">
        <v>396</v>
      </c>
      <c r="M124" s="53">
        <v>326</v>
      </c>
      <c r="N124" s="53">
        <v>338</v>
      </c>
      <c r="O124" s="53">
        <v>421</v>
      </c>
      <c r="P124" s="53">
        <v>562</v>
      </c>
      <c r="Q124" s="53">
        <v>683</v>
      </c>
      <c r="R124" s="53">
        <v>2714</v>
      </c>
      <c r="S124" s="53">
        <v>4210</v>
      </c>
      <c r="T124" s="53">
        <v>4823</v>
      </c>
      <c r="U124" s="53">
        <v>5216</v>
      </c>
      <c r="V124" s="53">
        <v>5184</v>
      </c>
      <c r="W124" s="53">
        <v>5297</v>
      </c>
      <c r="X124" s="53">
        <v>4676</v>
      </c>
      <c r="Y124" s="53">
        <v>4687</v>
      </c>
      <c r="Z124" s="53">
        <v>4480</v>
      </c>
      <c r="AA124" s="164">
        <v>4330</v>
      </c>
      <c r="AB124" s="164">
        <v>3939</v>
      </c>
      <c r="AC124" s="164">
        <v>3367</v>
      </c>
      <c r="AD124" s="164">
        <v>3360</v>
      </c>
      <c r="AE124" s="164">
        <v>2855</v>
      </c>
      <c r="AF124" s="164">
        <v>2788</v>
      </c>
      <c r="AG124" s="164">
        <v>3116</v>
      </c>
      <c r="AH124" s="164">
        <v>3375</v>
      </c>
      <c r="AI124" s="164">
        <v>3187</v>
      </c>
      <c r="AJ124" s="164">
        <v>3367</v>
      </c>
      <c r="AK124" s="164">
        <v>3179</v>
      </c>
      <c r="AL124" s="164">
        <v>3560</v>
      </c>
      <c r="AM124" s="164">
        <v>3622</v>
      </c>
      <c r="AN124" s="164">
        <v>3383</v>
      </c>
      <c r="AO124" s="164">
        <v>3548</v>
      </c>
      <c r="AP124" s="164">
        <v>3100</v>
      </c>
      <c r="AQ124" s="164">
        <v>3409</v>
      </c>
      <c r="AR124" s="164">
        <v>3482</v>
      </c>
      <c r="AS124" s="164">
        <v>2951</v>
      </c>
      <c r="AT124" s="164">
        <v>3036</v>
      </c>
      <c r="AU124" s="164">
        <v>3326</v>
      </c>
      <c r="AV124" s="164">
        <v>3237</v>
      </c>
      <c r="AW124" s="171">
        <v>3900</v>
      </c>
      <c r="AX124" s="55">
        <v>4367.8618215136803</v>
      </c>
      <c r="AY124" s="55">
        <v>4875.8661740978669</v>
      </c>
      <c r="AZ124" s="55">
        <v>4969.8177199649926</v>
      </c>
      <c r="BA124" s="55">
        <v>5149.8536650143051</v>
      </c>
      <c r="BB124" s="55">
        <v>5338.0881366138074</v>
      </c>
      <c r="BC124" s="55">
        <v>5440.3567502910419</v>
      </c>
      <c r="BD124" s="55">
        <v>5544.8272058713055</v>
      </c>
      <c r="BE124" s="55">
        <v>5651.54581457124</v>
      </c>
      <c r="BF124" s="55">
        <v>5760.5599335542393</v>
      </c>
      <c r="BG124" s="55">
        <v>5871.9179873489311</v>
      </c>
      <c r="BH124" s="55">
        <v>5985.6694898158812</v>
      </c>
      <c r="BI124" s="55">
        <v>6101.8650666700223</v>
      </c>
      <c r="BJ124" s="55">
        <v>7371.359427101771</v>
      </c>
      <c r="BK124" s="55">
        <v>8469.1864469083721</v>
      </c>
      <c r="BL124" s="55">
        <v>8476.4171161295653</v>
      </c>
      <c r="BM124" s="55">
        <v>6925.4786442456125</v>
      </c>
      <c r="BN124" s="55">
        <v>7143.6729602894939</v>
      </c>
      <c r="BO124" s="55">
        <v>7368.7905711135827</v>
      </c>
      <c r="BP124" s="55">
        <v>7525.7942405144031</v>
      </c>
      <c r="BQ124" s="55">
        <v>7686.1930787241226</v>
      </c>
      <c r="BR124" s="55"/>
      <c r="BS124" s="53">
        <v>1956.7</v>
      </c>
      <c r="BT124" s="53">
        <v>2485.4</v>
      </c>
      <c r="BU124" s="53">
        <v>2409.6</v>
      </c>
      <c r="BV124" s="53">
        <v>1642</v>
      </c>
      <c r="BW124" s="53">
        <v>1185</v>
      </c>
      <c r="BX124" s="53">
        <v>906</v>
      </c>
      <c r="BY124" s="53">
        <v>926</v>
      </c>
      <c r="BZ124" s="53">
        <v>657</v>
      </c>
      <c r="CA124" s="53">
        <v>1135</v>
      </c>
      <c r="CB124" s="53">
        <v>717</v>
      </c>
      <c r="CC124" s="55">
        <v>943</v>
      </c>
      <c r="CD124" s="55">
        <v>665</v>
      </c>
      <c r="CE124" s="55">
        <v>363</v>
      </c>
      <c r="CF124" s="55">
        <v>395</v>
      </c>
      <c r="CG124" s="55">
        <v>326</v>
      </c>
      <c r="CH124" s="55">
        <v>421</v>
      </c>
      <c r="CI124" s="55">
        <v>683</v>
      </c>
      <c r="CJ124" s="55">
        <v>4210</v>
      </c>
      <c r="CK124" s="55">
        <v>5216</v>
      </c>
      <c r="CL124" s="55">
        <v>5297</v>
      </c>
      <c r="CM124" s="55">
        <v>4687</v>
      </c>
      <c r="CN124" s="55">
        <v>4330</v>
      </c>
      <c r="CO124" s="55">
        <v>3367</v>
      </c>
      <c r="CP124" s="55">
        <v>2855</v>
      </c>
      <c r="CQ124" s="55">
        <v>3116</v>
      </c>
      <c r="CR124" s="55">
        <v>3187</v>
      </c>
      <c r="CS124" s="55">
        <v>3179</v>
      </c>
      <c r="CT124" s="55">
        <v>3622</v>
      </c>
      <c r="CU124" s="55">
        <v>3548</v>
      </c>
      <c r="CV124" s="55">
        <v>3409</v>
      </c>
      <c r="CW124" s="55">
        <v>2951</v>
      </c>
      <c r="CX124" s="55">
        <v>3326</v>
      </c>
      <c r="CY124" s="56">
        <v>3900</v>
      </c>
      <c r="CZ124" s="55">
        <v>4875.8661740978669</v>
      </c>
      <c r="DA124" s="55">
        <v>5149.8536650143051</v>
      </c>
      <c r="DB124" s="55">
        <v>5440.3567502910419</v>
      </c>
      <c r="DC124" s="55">
        <v>5651.54581457124</v>
      </c>
      <c r="DD124" s="55">
        <v>5871.9179873489311</v>
      </c>
      <c r="DE124" s="55">
        <v>6101.8650666700223</v>
      </c>
      <c r="DF124" s="55">
        <v>8469.1864469083721</v>
      </c>
      <c r="DG124" s="55">
        <v>6925.4786442456125</v>
      </c>
      <c r="DH124" s="55">
        <v>7368.7905711135827</v>
      </c>
      <c r="DI124" s="55">
        <v>7686.1930787241226</v>
      </c>
    </row>
    <row r="125" spans="1:113" outlineLevel="1">
      <c r="A125" s="1" t="s">
        <v>877</v>
      </c>
      <c r="B125" s="19" t="s">
        <v>415</v>
      </c>
      <c r="C125" s="53">
        <v>896</v>
      </c>
      <c r="D125" s="53">
        <v>247</v>
      </c>
      <c r="E125" s="53">
        <v>249</v>
      </c>
      <c r="F125" s="53">
        <v>211</v>
      </c>
      <c r="G125" s="53">
        <v>248</v>
      </c>
      <c r="H125" s="53">
        <v>213</v>
      </c>
      <c r="I125" s="53">
        <v>246</v>
      </c>
      <c r="J125" s="53">
        <v>270</v>
      </c>
      <c r="K125" s="53">
        <v>302</v>
      </c>
      <c r="L125" s="53">
        <v>273</v>
      </c>
      <c r="M125" s="181">
        <v>292</v>
      </c>
      <c r="N125" s="181">
        <v>294</v>
      </c>
      <c r="O125" s="53">
        <v>970</v>
      </c>
      <c r="P125" s="53">
        <v>850</v>
      </c>
      <c r="Q125" s="53">
        <v>1112</v>
      </c>
      <c r="R125" s="53">
        <v>1734</v>
      </c>
      <c r="S125" s="53">
        <v>2609</v>
      </c>
      <c r="T125" s="53">
        <v>3026</v>
      </c>
      <c r="U125" s="53">
        <v>3349</v>
      </c>
      <c r="V125" s="53">
        <v>3224</v>
      </c>
      <c r="W125" s="53">
        <v>3758</v>
      </c>
      <c r="X125" s="53">
        <v>3091</v>
      </c>
      <c r="Y125" s="53">
        <v>2877</v>
      </c>
      <c r="Z125" s="53">
        <v>2639</v>
      </c>
      <c r="AA125" s="164">
        <v>2215</v>
      </c>
      <c r="AB125" s="164">
        <v>2612</v>
      </c>
      <c r="AC125" s="164">
        <v>2353</v>
      </c>
      <c r="AD125" s="164">
        <v>2151</v>
      </c>
      <c r="AE125" s="164">
        <v>2323</v>
      </c>
      <c r="AF125" s="164">
        <v>2045</v>
      </c>
      <c r="AG125" s="164">
        <v>2343</v>
      </c>
      <c r="AH125" s="164">
        <v>2340</v>
      </c>
      <c r="AI125" s="164">
        <v>2669</v>
      </c>
      <c r="AJ125" s="164">
        <v>2660</v>
      </c>
      <c r="AK125" s="164">
        <v>3216</v>
      </c>
      <c r="AL125" s="164">
        <v>3215</v>
      </c>
      <c r="AM125" s="164">
        <v>3337</v>
      </c>
      <c r="AN125" s="164">
        <v>3154</v>
      </c>
      <c r="AO125" s="164">
        <v>3361</v>
      </c>
      <c r="AP125" s="164">
        <v>3122</v>
      </c>
      <c r="AQ125" s="164">
        <v>3760</v>
      </c>
      <c r="AR125" s="164">
        <v>3345</v>
      </c>
      <c r="AS125" s="164">
        <v>3153</v>
      </c>
      <c r="AT125" s="164">
        <v>2769</v>
      </c>
      <c r="AU125" s="164">
        <v>3052</v>
      </c>
      <c r="AV125" s="164">
        <v>3229</v>
      </c>
      <c r="AW125" s="171">
        <v>3939</v>
      </c>
      <c r="AX125" s="55">
        <v>4411.5404397288175</v>
      </c>
      <c r="AY125" s="55">
        <v>4924.6248358388466</v>
      </c>
      <c r="AZ125" s="55">
        <v>5019.5158971646442</v>
      </c>
      <c r="BA125" s="55">
        <v>5201.3522016644501</v>
      </c>
      <c r="BB125" s="55">
        <v>5391.4690179799472</v>
      </c>
      <c r="BC125" s="55">
        <v>5494.7603177939536</v>
      </c>
      <c r="BD125" s="55">
        <v>5600.2754779300194</v>
      </c>
      <c r="BE125" s="55">
        <v>5708.0612727169528</v>
      </c>
      <c r="BF125" s="55">
        <v>5818.1655328897814</v>
      </c>
      <c r="BG125" s="55">
        <v>5930.6371672224195</v>
      </c>
      <c r="BH125" s="55">
        <v>6045.5261847140391</v>
      </c>
      <c r="BI125" s="55">
        <v>6162.883717336721</v>
      </c>
      <c r="BJ125" s="55">
        <v>7445.0730213727866</v>
      </c>
      <c r="BK125" s="55">
        <v>8553.8783113774534</v>
      </c>
      <c r="BL125" s="55">
        <v>8561.1812872908595</v>
      </c>
      <c r="BM125" s="55">
        <v>6994.7334306880675</v>
      </c>
      <c r="BN125" s="55">
        <v>7215.109689892387</v>
      </c>
      <c r="BO125" s="55">
        <v>7442.4784768247173</v>
      </c>
      <c r="BP125" s="55">
        <v>7601.0521829195459</v>
      </c>
      <c r="BQ125" s="55">
        <v>7763.0550095113622</v>
      </c>
      <c r="BR125" s="55"/>
      <c r="BS125" s="53">
        <v>754.8</v>
      </c>
      <c r="BT125" s="53">
        <v>1058.3</v>
      </c>
      <c r="BU125" s="53">
        <v>336.5</v>
      </c>
      <c r="BV125" s="53">
        <v>301</v>
      </c>
      <c r="BW125" s="53">
        <v>365</v>
      </c>
      <c r="BX125" s="53">
        <v>304</v>
      </c>
      <c r="BY125" s="53">
        <v>290</v>
      </c>
      <c r="BZ125" s="53">
        <v>205</v>
      </c>
      <c r="CA125" s="53">
        <v>275</v>
      </c>
      <c r="CB125" s="53">
        <v>308</v>
      </c>
      <c r="CC125" s="55">
        <v>249</v>
      </c>
      <c r="CD125" s="55">
        <v>248</v>
      </c>
      <c r="CE125" s="55">
        <v>246</v>
      </c>
      <c r="CF125" s="55">
        <v>302</v>
      </c>
      <c r="CG125" s="55">
        <v>292</v>
      </c>
      <c r="CH125" s="55">
        <v>970</v>
      </c>
      <c r="CI125" s="55">
        <v>1112</v>
      </c>
      <c r="CJ125" s="55">
        <v>2609</v>
      </c>
      <c r="CK125" s="55">
        <v>3349</v>
      </c>
      <c r="CL125" s="55">
        <v>3758</v>
      </c>
      <c r="CM125" s="55">
        <v>2877</v>
      </c>
      <c r="CN125" s="55">
        <v>2215</v>
      </c>
      <c r="CO125" s="55">
        <v>2353</v>
      </c>
      <c r="CP125" s="55">
        <v>2323</v>
      </c>
      <c r="CQ125" s="55">
        <v>2343</v>
      </c>
      <c r="CR125" s="55">
        <v>2669</v>
      </c>
      <c r="CS125" s="55">
        <v>3216</v>
      </c>
      <c r="CT125" s="55">
        <v>3337</v>
      </c>
      <c r="CU125" s="55">
        <v>3361</v>
      </c>
      <c r="CV125" s="55">
        <v>3760</v>
      </c>
      <c r="CW125" s="55">
        <v>3153</v>
      </c>
      <c r="CX125" s="55">
        <v>3052</v>
      </c>
      <c r="CY125" s="56">
        <v>3939</v>
      </c>
      <c r="CZ125" s="55">
        <v>4924.6248358388466</v>
      </c>
      <c r="DA125" s="55">
        <v>5201.3522016644501</v>
      </c>
      <c r="DB125" s="55">
        <v>5494.7603177939536</v>
      </c>
      <c r="DC125" s="55">
        <v>5708.0612727169528</v>
      </c>
      <c r="DD125" s="55">
        <v>5930.6371672224195</v>
      </c>
      <c r="DE125" s="55">
        <v>6162.883717336721</v>
      </c>
      <c r="DF125" s="55">
        <v>8553.8783113774534</v>
      </c>
      <c r="DG125" s="55">
        <v>6994.7334306880675</v>
      </c>
      <c r="DH125" s="55">
        <v>7442.4784768247173</v>
      </c>
      <c r="DI125" s="55">
        <v>7763.0550095113622</v>
      </c>
    </row>
    <row r="126" spans="1:113" outlineLevel="1">
      <c r="AD126" s="45"/>
      <c r="AE126" s="45"/>
      <c r="AW126" s="22"/>
      <c r="CY126" s="22"/>
      <c r="DC126" s="21"/>
      <c r="DD126" s="21"/>
      <c r="DE126" s="21"/>
      <c r="DF126" s="21"/>
      <c r="DG126" s="21"/>
      <c r="DH126" s="21"/>
      <c r="DI126" s="21"/>
    </row>
    <row r="127" spans="1:113" outlineLevel="1">
      <c r="B127" s="24" t="s">
        <v>416</v>
      </c>
      <c r="AH127" s="55"/>
      <c r="AW127" s="22"/>
      <c r="CY127" s="22"/>
    </row>
    <row r="128" spans="1:113" outlineLevel="1">
      <c r="A128" s="1" t="s">
        <v>727</v>
      </c>
      <c r="B128" s="19" t="s">
        <v>506</v>
      </c>
      <c r="C128" s="554">
        <v>0.34</v>
      </c>
      <c r="D128" s="554">
        <v>0.3</v>
      </c>
      <c r="E128" s="554">
        <v>0.3</v>
      </c>
      <c r="F128" s="554">
        <v>0.3</v>
      </c>
      <c r="G128" s="554">
        <v>0.3</v>
      </c>
      <c r="H128" s="554">
        <v>0.3</v>
      </c>
      <c r="I128" s="554">
        <v>0.3</v>
      </c>
      <c r="J128" s="554">
        <v>0.3</v>
      </c>
      <c r="K128" s="554">
        <v>0.3</v>
      </c>
      <c r="L128" s="554">
        <v>0.3</v>
      </c>
      <c r="M128" s="65">
        <v>0.3</v>
      </c>
      <c r="N128" s="65">
        <v>0.3</v>
      </c>
      <c r="O128" s="65">
        <v>0.3</v>
      </c>
      <c r="P128" s="65">
        <v>0.3</v>
      </c>
      <c r="Q128" s="65">
        <v>0.3</v>
      </c>
      <c r="R128" s="65">
        <v>0.3</v>
      </c>
      <c r="S128" s="65">
        <v>0.3</v>
      </c>
      <c r="T128" s="66">
        <v>0.3</v>
      </c>
      <c r="U128" s="65">
        <v>0.3</v>
      </c>
      <c r="V128" s="65">
        <v>0.3</v>
      </c>
      <c r="W128" s="65">
        <v>0.3</v>
      </c>
      <c r="X128" s="65">
        <v>0.3</v>
      </c>
      <c r="Y128" s="66">
        <v>0.3</v>
      </c>
      <c r="Z128" s="66">
        <v>0.3</v>
      </c>
      <c r="AA128" s="66">
        <v>0.3</v>
      </c>
      <c r="AB128" s="531">
        <v>0.3</v>
      </c>
      <c r="AC128" s="531">
        <v>0.3</v>
      </c>
      <c r="AD128" s="531">
        <v>0.3</v>
      </c>
      <c r="AE128" s="531">
        <v>0.3</v>
      </c>
      <c r="AF128" s="531">
        <v>0.3</v>
      </c>
      <c r="AG128" s="531">
        <v>0.3</v>
      </c>
      <c r="AH128" s="531">
        <v>0.3</v>
      </c>
      <c r="AI128" s="531">
        <v>0.3</v>
      </c>
      <c r="AJ128" s="531">
        <v>0.3</v>
      </c>
      <c r="AK128" s="531">
        <v>0.3</v>
      </c>
      <c r="AL128" s="531">
        <v>0.3</v>
      </c>
      <c r="AM128" s="531">
        <v>0.3</v>
      </c>
      <c r="AN128" s="531">
        <v>0.3</v>
      </c>
      <c r="AO128" s="531">
        <v>0.3</v>
      </c>
      <c r="AP128" s="531">
        <v>0.3</v>
      </c>
      <c r="AQ128" s="531">
        <v>0.3</v>
      </c>
      <c r="AR128" s="531">
        <v>0.3</v>
      </c>
      <c r="AS128" s="531">
        <v>0.3</v>
      </c>
      <c r="AT128" s="531">
        <v>0.3</v>
      </c>
      <c r="AU128" s="531">
        <v>0.3</v>
      </c>
      <c r="AV128" s="531">
        <v>0.3</v>
      </c>
      <c r="AW128" s="499">
        <v>0.3</v>
      </c>
      <c r="AX128" s="183">
        <v>0.3</v>
      </c>
      <c r="AY128" s="183">
        <v>0.3</v>
      </c>
      <c r="AZ128" s="183">
        <v>0.3</v>
      </c>
      <c r="BA128" s="183">
        <v>0.3</v>
      </c>
      <c r="BB128" s="183">
        <v>0.3</v>
      </c>
      <c r="BC128" s="183">
        <v>0.3</v>
      </c>
      <c r="BD128" s="183">
        <v>0.3</v>
      </c>
      <c r="BE128" s="183">
        <v>0.3</v>
      </c>
      <c r="BF128" s="183">
        <v>0.3</v>
      </c>
      <c r="BG128" s="183">
        <v>0.3</v>
      </c>
      <c r="BH128" s="183">
        <v>0.3</v>
      </c>
      <c r="BI128" s="183">
        <v>0.3</v>
      </c>
      <c r="BJ128" s="183">
        <v>0.3</v>
      </c>
      <c r="BK128" s="183">
        <v>0.3</v>
      </c>
      <c r="BL128" s="551">
        <v>0.3</v>
      </c>
      <c r="BM128" s="551">
        <v>0.3</v>
      </c>
      <c r="BN128" s="551">
        <v>0.3</v>
      </c>
      <c r="BO128" s="551">
        <v>0.3</v>
      </c>
      <c r="BP128" s="551">
        <v>0.3</v>
      </c>
      <c r="BQ128" s="551">
        <v>0.3</v>
      </c>
      <c r="BR128" s="42"/>
      <c r="BS128" s="554">
        <v>0.33</v>
      </c>
      <c r="BT128" s="554">
        <v>0.33</v>
      </c>
      <c r="BU128" s="554">
        <v>0.33</v>
      </c>
      <c r="BV128" s="554">
        <v>0.33</v>
      </c>
      <c r="BW128" s="554">
        <v>0.36</v>
      </c>
      <c r="BX128" s="554">
        <v>0.36</v>
      </c>
      <c r="BY128" s="554">
        <v>0.36</v>
      </c>
      <c r="BZ128" s="554">
        <v>0.36</v>
      </c>
      <c r="CA128" s="554">
        <v>0.36</v>
      </c>
      <c r="CB128" s="554">
        <v>0.34</v>
      </c>
      <c r="CC128" s="65">
        <v>0.3</v>
      </c>
      <c r="CD128" s="42">
        <v>0.3</v>
      </c>
      <c r="CE128" s="42">
        <v>0.3</v>
      </c>
      <c r="CF128" s="42">
        <v>0.3</v>
      </c>
      <c r="CG128" s="42">
        <v>0.3</v>
      </c>
      <c r="CH128" s="42">
        <v>0.3</v>
      </c>
      <c r="CI128" s="42">
        <v>0.3</v>
      </c>
      <c r="CJ128" s="42">
        <v>0.3</v>
      </c>
      <c r="CK128" s="42">
        <v>0.3</v>
      </c>
      <c r="CL128" s="42">
        <v>0.3</v>
      </c>
      <c r="CM128" s="45">
        <v>0.3</v>
      </c>
      <c r="CN128" s="45">
        <v>0.3</v>
      </c>
      <c r="CO128" s="45">
        <v>0.3</v>
      </c>
      <c r="CP128" s="45">
        <v>0.3</v>
      </c>
      <c r="CQ128" s="45">
        <v>0.3</v>
      </c>
      <c r="CR128" s="45">
        <v>0.3</v>
      </c>
      <c r="CS128" s="45">
        <v>0.3</v>
      </c>
      <c r="CT128" s="45">
        <v>0.3</v>
      </c>
      <c r="CU128" s="45">
        <v>0.3</v>
      </c>
      <c r="CV128" s="45">
        <v>0.3</v>
      </c>
      <c r="CW128" s="45">
        <v>0.3</v>
      </c>
      <c r="CX128" s="45">
        <v>0.3</v>
      </c>
      <c r="CY128" s="43">
        <v>0.3</v>
      </c>
      <c r="CZ128" s="42">
        <v>0.3</v>
      </c>
      <c r="DA128" s="42">
        <v>0.3</v>
      </c>
      <c r="DB128" s="42">
        <v>0.3</v>
      </c>
      <c r="DC128" s="42">
        <v>0.3</v>
      </c>
      <c r="DD128" s="42">
        <v>0.3</v>
      </c>
      <c r="DE128" s="42">
        <v>0.3</v>
      </c>
      <c r="DF128" s="42">
        <v>0.3</v>
      </c>
      <c r="DG128" s="232">
        <v>0.3</v>
      </c>
      <c r="DH128" s="232">
        <v>0.3</v>
      </c>
      <c r="DI128" s="232">
        <v>0.3</v>
      </c>
    </row>
    <row r="129" spans="1:113" outlineLevel="1">
      <c r="A129" s="1" t="s">
        <v>503</v>
      </c>
      <c r="B129" s="19" t="s">
        <v>897</v>
      </c>
      <c r="C129" s="232">
        <v>0.30151057401812686</v>
      </c>
      <c r="D129" s="232">
        <v>0.28219013237063778</v>
      </c>
      <c r="E129" s="232">
        <v>0.25455580865603644</v>
      </c>
      <c r="F129" s="232">
        <v>0.25431034482758619</v>
      </c>
      <c r="G129" s="232">
        <v>0.28400208441896824</v>
      </c>
      <c r="H129" s="232">
        <v>0.33046286329386437</v>
      </c>
      <c r="I129" s="232">
        <v>0.30740037950664134</v>
      </c>
      <c r="J129" s="232">
        <v>0.28770491803278686</v>
      </c>
      <c r="K129" s="232">
        <v>0.28611898016997167</v>
      </c>
      <c r="L129" s="232">
        <v>0.27180385288966724</v>
      </c>
      <c r="M129" s="42">
        <v>0.29251940719830627</v>
      </c>
      <c r="N129" s="42">
        <v>0.28247358607830952</v>
      </c>
      <c r="O129" s="42">
        <v>0.27998717126363054</v>
      </c>
      <c r="P129" s="42">
        <v>0.27382753403933435</v>
      </c>
      <c r="Q129" s="42">
        <v>0.23371150729335494</v>
      </c>
      <c r="R129" s="42">
        <v>0.23790642347343377</v>
      </c>
      <c r="S129" s="42">
        <v>0.27447447447447448</v>
      </c>
      <c r="T129" s="45">
        <v>0.26948775055679286</v>
      </c>
      <c r="U129" s="42">
        <v>0.27107323813910639</v>
      </c>
      <c r="V129" s="42">
        <v>0.27446300715990452</v>
      </c>
      <c r="W129" s="42">
        <v>0.28120516499282638</v>
      </c>
      <c r="X129" s="42">
        <v>0.27692617991125451</v>
      </c>
      <c r="Y129" s="45">
        <v>0.27776645608314654</v>
      </c>
      <c r="Z129" s="45">
        <v>0.27814060699193238</v>
      </c>
      <c r="AA129" s="45">
        <v>0.27249683143219267</v>
      </c>
      <c r="AB129" s="45">
        <v>0.27979797979797982</v>
      </c>
      <c r="AC129" s="45">
        <v>0.26427026127475456</v>
      </c>
      <c r="AD129" s="45">
        <v>0.27302683194727756</v>
      </c>
      <c r="AE129" s="45">
        <v>0.27297557840616965</v>
      </c>
      <c r="AF129" s="45">
        <v>0.27490219681011135</v>
      </c>
      <c r="AG129" s="45">
        <v>0.27530806426454529</v>
      </c>
      <c r="AH129" s="45">
        <v>0.28467908902691513</v>
      </c>
      <c r="AI129" s="45">
        <v>0.28453120378586216</v>
      </c>
      <c r="AJ129" s="45">
        <v>0.30210701834167047</v>
      </c>
      <c r="AK129" s="45">
        <v>0.30827067669172931</v>
      </c>
      <c r="AL129" s="45">
        <v>0.2848874687926411</v>
      </c>
      <c r="AM129" s="45">
        <v>0.29050515579018532</v>
      </c>
      <c r="AN129" s="45">
        <v>0.29308936448292761</v>
      </c>
      <c r="AO129" s="45">
        <v>0.29762481822588466</v>
      </c>
      <c r="AP129" s="45">
        <v>0.29518950437317787</v>
      </c>
      <c r="AQ129" s="45">
        <v>0.29163582531458176</v>
      </c>
      <c r="AR129" s="45">
        <v>0.29079497907949792</v>
      </c>
      <c r="AS129" s="45">
        <v>0.29988449321397631</v>
      </c>
      <c r="AT129" s="45">
        <v>0.29418176863332879</v>
      </c>
      <c r="AU129" s="45">
        <v>0.28374816983894585</v>
      </c>
      <c r="AV129" s="45">
        <v>0.30513636992939219</v>
      </c>
      <c r="AW129" s="43">
        <v>0.30500649256961476</v>
      </c>
      <c r="AX129" s="46">
        <v>0.30500649256961476</v>
      </c>
      <c r="AY129" s="46">
        <v>0.30500649256961476</v>
      </c>
      <c r="AZ129" s="46">
        <v>0.30500649256961476</v>
      </c>
      <c r="BA129" s="46">
        <v>0.30500649256961476</v>
      </c>
      <c r="BB129" s="46">
        <v>0.30500649256961476</v>
      </c>
      <c r="BC129" s="46">
        <v>0.30500649256961476</v>
      </c>
      <c r="BD129" s="46">
        <v>0.30500649256961476</v>
      </c>
      <c r="BE129" s="46">
        <v>0.30500649256961476</v>
      </c>
      <c r="BF129" s="46">
        <v>0.30500649256961476</v>
      </c>
      <c r="BG129" s="46">
        <v>0.30500649256961476</v>
      </c>
      <c r="BH129" s="46">
        <v>0.30500649256961476</v>
      </c>
      <c r="BI129" s="46">
        <v>0.30500649256961476</v>
      </c>
      <c r="BJ129" s="46">
        <v>0.30500649256961476</v>
      </c>
      <c r="BK129" s="46">
        <v>0.30500649256961476</v>
      </c>
      <c r="BL129" s="511">
        <v>0.30500649256961476</v>
      </c>
      <c r="BM129" s="511">
        <v>0.30500649256961476</v>
      </c>
      <c r="BN129" s="511">
        <v>0.30500649256961476</v>
      </c>
      <c r="BO129" s="511">
        <v>0.30500649256961476</v>
      </c>
      <c r="BP129" s="511">
        <v>0.30500649256961476</v>
      </c>
      <c r="BQ129" s="511">
        <v>0.30500649256961476</v>
      </c>
      <c r="BR129" s="42"/>
      <c r="BS129" s="232">
        <v>0.37065052950075644</v>
      </c>
      <c r="BT129" s="232">
        <v>0.37671957671957673</v>
      </c>
      <c r="BU129" s="232">
        <v>0.3396584440227704</v>
      </c>
      <c r="BV129" s="232">
        <v>0.32370321733420881</v>
      </c>
      <c r="BW129" s="232">
        <v>0.35754504504504503</v>
      </c>
      <c r="BX129" s="232">
        <v>0.31629908552985475</v>
      </c>
      <c r="BY129" s="232">
        <v>0.32737487231869256</v>
      </c>
      <c r="BZ129" s="232">
        <v>0.323516085183507</v>
      </c>
      <c r="CA129" s="232">
        <v>0.32334384858044163</v>
      </c>
      <c r="CB129" s="232">
        <v>0.30376261853777914</v>
      </c>
      <c r="CC129" s="42">
        <v>0.2679929783499122</v>
      </c>
      <c r="CD129" s="42">
        <v>0.27039232289020604</v>
      </c>
      <c r="CE129" s="42">
        <v>0.31820474029248613</v>
      </c>
      <c r="CF129" s="42">
        <v>0.28690694359600893</v>
      </c>
      <c r="CG129" s="42">
        <v>0.28212339602742131</v>
      </c>
      <c r="CH129" s="42">
        <v>0.28125</v>
      </c>
      <c r="CI129" s="42">
        <v>0.25446009389671359</v>
      </c>
      <c r="CJ129" s="42">
        <v>0.25871496924128501</v>
      </c>
      <c r="CK129" s="42">
        <v>0.27030895860670406</v>
      </c>
      <c r="CL129" s="42">
        <v>0.2779300168634064</v>
      </c>
      <c r="CM129" s="45">
        <v>0.27734414597060314</v>
      </c>
      <c r="CN129" s="45">
        <v>0.27523534346164602</v>
      </c>
      <c r="CO129" s="45">
        <v>0.27198928780651099</v>
      </c>
      <c r="CP129" s="45">
        <v>0.27300150829562592</v>
      </c>
      <c r="CQ129" s="45">
        <v>0.27510147813433405</v>
      </c>
      <c r="CR129" s="45">
        <v>0.28460514640638862</v>
      </c>
      <c r="CS129" s="45">
        <v>0.30510585305105853</v>
      </c>
      <c r="CT129" s="45">
        <v>0.28743292366280077</v>
      </c>
      <c r="CU129" s="45">
        <v>0.29491558504928272</v>
      </c>
      <c r="CV129" s="45">
        <v>0.29322878379482153</v>
      </c>
      <c r="CW129" s="45">
        <v>0.29541782934351596</v>
      </c>
      <c r="CX129" s="45">
        <v>0.28915237490295714</v>
      </c>
      <c r="CY129" s="43">
        <v>0.30507277094814189</v>
      </c>
      <c r="CZ129" s="42">
        <v>0.30500649256961476</v>
      </c>
      <c r="DA129" s="42">
        <v>0.30500649256961471</v>
      </c>
      <c r="DB129" s="42">
        <v>0.30500649256961476</v>
      </c>
      <c r="DC129" s="42">
        <v>0.30500649256961482</v>
      </c>
      <c r="DD129" s="42">
        <v>0.30500649256961482</v>
      </c>
      <c r="DE129" s="42">
        <v>0.30500649256961476</v>
      </c>
      <c r="DF129" s="42">
        <v>0.30500649256961471</v>
      </c>
      <c r="DG129" s="232">
        <v>0.30500649256961471</v>
      </c>
      <c r="DH129" s="232">
        <v>0.30500649256961471</v>
      </c>
      <c r="DI129" s="232">
        <v>0.30500649256961482</v>
      </c>
    </row>
    <row r="130" spans="1:113" outlineLevel="1">
      <c r="A130" s="1" t="s">
        <v>898</v>
      </c>
      <c r="B130" s="19" t="s">
        <v>505</v>
      </c>
      <c r="C130" s="232">
        <v>0.30151057401812686</v>
      </c>
      <c r="D130" s="232">
        <v>0.28219013237063778</v>
      </c>
      <c r="E130" s="232">
        <v>0.25455580865603644</v>
      </c>
      <c r="F130" s="232">
        <v>0.25431034482758619</v>
      </c>
      <c r="G130" s="232">
        <v>0.28400208441896824</v>
      </c>
      <c r="H130" s="232">
        <v>0.33046286329386437</v>
      </c>
      <c r="I130" s="232">
        <v>0.30740037950664134</v>
      </c>
      <c r="J130" s="232">
        <v>0.28770491803278686</v>
      </c>
      <c r="K130" s="232">
        <v>0.28611898016997167</v>
      </c>
      <c r="L130" s="232">
        <v>0.27180385288966724</v>
      </c>
      <c r="M130" s="42">
        <v>0.29251940719830627</v>
      </c>
      <c r="N130" s="42">
        <v>0.28247358607830952</v>
      </c>
      <c r="O130" s="42">
        <v>0.27998717126363054</v>
      </c>
      <c r="P130" s="42">
        <v>0.27382753403933435</v>
      </c>
      <c r="Q130" s="42">
        <v>0.23371150729335494</v>
      </c>
      <c r="R130" s="42">
        <v>0.23790642347343377</v>
      </c>
      <c r="S130" s="42">
        <v>0.27447447447447448</v>
      </c>
      <c r="T130" s="45">
        <v>0.26948775055679286</v>
      </c>
      <c r="U130" s="42">
        <v>0.27107323813910639</v>
      </c>
      <c r="V130" s="42">
        <v>0.27446300715990452</v>
      </c>
      <c r="W130" s="42">
        <v>0.28120516499282638</v>
      </c>
      <c r="X130" s="42">
        <v>0.27692617991125451</v>
      </c>
      <c r="Y130" s="45">
        <v>0.27776645608314654</v>
      </c>
      <c r="Z130" s="45">
        <v>0.27814060699193238</v>
      </c>
      <c r="AA130" s="45">
        <v>0.27249683143219267</v>
      </c>
      <c r="AB130" s="45">
        <v>0.27979797979797982</v>
      </c>
      <c r="AC130" s="45">
        <v>0.26427026127475456</v>
      </c>
      <c r="AD130" s="45">
        <v>0.27302683194727756</v>
      </c>
      <c r="AE130" s="45">
        <v>0.27297557840616965</v>
      </c>
      <c r="AF130" s="45">
        <v>0.27490219681011135</v>
      </c>
      <c r="AG130" s="45">
        <v>0.27530806426454529</v>
      </c>
      <c r="AH130" s="45">
        <v>0.28467908902691513</v>
      </c>
      <c r="AI130" s="45">
        <v>0.28453120378586216</v>
      </c>
      <c r="AJ130" s="45">
        <v>0.30210701834167047</v>
      </c>
      <c r="AK130" s="45">
        <v>0.30827067669172931</v>
      </c>
      <c r="AL130" s="45">
        <v>0.2848874687926411</v>
      </c>
      <c r="AM130" s="45">
        <v>0.29050515579018532</v>
      </c>
      <c r="AN130" s="45">
        <v>0.29308936448292761</v>
      </c>
      <c r="AO130" s="45">
        <v>0.29762481822588466</v>
      </c>
      <c r="AP130" s="45">
        <v>0.29518950437317787</v>
      </c>
      <c r="AQ130" s="45">
        <v>0.29163582531458176</v>
      </c>
      <c r="AR130" s="45">
        <v>0.29079497907949792</v>
      </c>
      <c r="AS130" s="45">
        <v>0.29988449321397631</v>
      </c>
      <c r="AT130" s="45">
        <v>0.29418176863332879</v>
      </c>
      <c r="AU130" s="45">
        <v>0.28374816983894585</v>
      </c>
      <c r="AV130" s="45">
        <v>0.30513636992939219</v>
      </c>
      <c r="AW130" s="43">
        <v>0.30500649256961476</v>
      </c>
      <c r="AX130" s="42">
        <v>0.30500649256961476</v>
      </c>
      <c r="AY130" s="42">
        <v>0.30500649256961476</v>
      </c>
      <c r="AZ130" s="42">
        <v>0.30500649256961476</v>
      </c>
      <c r="BA130" s="42">
        <v>0.30500649256961482</v>
      </c>
      <c r="BB130" s="42">
        <v>0.30500649256961476</v>
      </c>
      <c r="BC130" s="42">
        <v>0.30500649256961476</v>
      </c>
      <c r="BD130" s="42">
        <v>0.30500649256961482</v>
      </c>
      <c r="BE130" s="42">
        <v>0.30500649256961482</v>
      </c>
      <c r="BF130" s="42">
        <v>0.30500649256961482</v>
      </c>
      <c r="BG130" s="42">
        <v>0.30500649256961476</v>
      </c>
      <c r="BH130" s="42">
        <v>0.30500649256961476</v>
      </c>
      <c r="BI130" s="42">
        <v>0.30500649256961476</v>
      </c>
      <c r="BJ130" s="42">
        <v>0.30500649256961471</v>
      </c>
      <c r="BK130" s="42">
        <v>0.30500649256961476</v>
      </c>
      <c r="BL130" s="42">
        <v>0.30500649256961476</v>
      </c>
      <c r="BM130" s="42">
        <v>0.30500649256961476</v>
      </c>
      <c r="BN130" s="42">
        <v>0.30500649256961476</v>
      </c>
      <c r="BO130" s="42">
        <v>0.30500649256961476</v>
      </c>
      <c r="BP130" s="42">
        <v>0.30500649256961476</v>
      </c>
      <c r="BQ130" s="42">
        <v>0.30500649256961476</v>
      </c>
      <c r="BR130" s="42"/>
      <c r="BS130" s="232">
        <v>0.37065052950075644</v>
      </c>
      <c r="BT130" s="232">
        <v>0.37671957671957673</v>
      </c>
      <c r="BU130" s="232">
        <v>0.3396584440227704</v>
      </c>
      <c r="BV130" s="232">
        <v>0.32370321733420881</v>
      </c>
      <c r="BW130" s="232">
        <v>0.35754504504504503</v>
      </c>
      <c r="BX130" s="232">
        <v>0.31629908552985475</v>
      </c>
      <c r="BY130" s="232">
        <v>0.32737487231869256</v>
      </c>
      <c r="BZ130" s="232">
        <v>0.323516085183507</v>
      </c>
      <c r="CA130" s="232">
        <v>0.32334384858044163</v>
      </c>
      <c r="CB130" s="232">
        <v>0.30376261853777914</v>
      </c>
      <c r="CC130" s="42">
        <v>0.2679929783499122</v>
      </c>
      <c r="CD130" s="42">
        <v>0.27039232289020604</v>
      </c>
      <c r="CE130" s="42">
        <v>0.31820474029248613</v>
      </c>
      <c r="CF130" s="42">
        <v>0.28690694359600893</v>
      </c>
      <c r="CG130" s="42">
        <v>0.28212339602742131</v>
      </c>
      <c r="CH130" s="42">
        <v>0.28125</v>
      </c>
      <c r="CI130" s="42">
        <v>0.25446009389671359</v>
      </c>
      <c r="CJ130" s="42">
        <v>0.25871496924128501</v>
      </c>
      <c r="CK130" s="42">
        <v>0.27030895860670406</v>
      </c>
      <c r="CL130" s="42">
        <v>0.2779300168634064</v>
      </c>
      <c r="CM130" s="45">
        <v>0.27734414597060314</v>
      </c>
      <c r="CN130" s="45">
        <v>0.27523534346164602</v>
      </c>
      <c r="CO130" s="45">
        <v>0.27198928780651099</v>
      </c>
      <c r="CP130" s="45">
        <v>0.27300150829562592</v>
      </c>
      <c r="CQ130" s="45">
        <v>0.27510147813433405</v>
      </c>
      <c r="CR130" s="45">
        <v>0.28460514640638862</v>
      </c>
      <c r="CS130" s="45">
        <v>0.30510585305105853</v>
      </c>
      <c r="CT130" s="45">
        <v>0.28743292366280077</v>
      </c>
      <c r="CU130" s="45">
        <v>0.29491558504928272</v>
      </c>
      <c r="CV130" s="45">
        <v>0.29322878379482153</v>
      </c>
      <c r="CW130" s="45">
        <v>0.29541782934351596</v>
      </c>
      <c r="CX130" s="45">
        <v>0.28915237490295714</v>
      </c>
      <c r="CY130" s="43">
        <v>0.30507277094814189</v>
      </c>
      <c r="CZ130" s="42">
        <v>0.30500649256961476</v>
      </c>
      <c r="DA130" s="42">
        <v>0.30500649256961471</v>
      </c>
      <c r="DB130" s="42">
        <v>0.30500649256961476</v>
      </c>
      <c r="DC130" s="42">
        <v>0.30500649256961482</v>
      </c>
      <c r="DD130" s="42">
        <v>0.30500649256961482</v>
      </c>
      <c r="DE130" s="42">
        <v>0.30500649256961476</v>
      </c>
      <c r="DF130" s="42">
        <v>0.30500649256961471</v>
      </c>
      <c r="DG130" s="232">
        <v>0.30500649256961471</v>
      </c>
      <c r="DH130" s="232">
        <v>0.30500649256961471</v>
      </c>
      <c r="DI130" s="232">
        <v>0.30500649256961482</v>
      </c>
    </row>
    <row r="131" spans="1:113" outlineLevel="1">
      <c r="A131" s="1" t="s">
        <v>763</v>
      </c>
      <c r="B131" s="19" t="s">
        <v>764</v>
      </c>
      <c r="C131" s="232" t="e">
        <v>#VALUE!</v>
      </c>
      <c r="D131" s="232">
        <v>0</v>
      </c>
      <c r="E131" s="232">
        <v>0.93069767441860463</v>
      </c>
      <c r="F131" s="232">
        <v>0.58655034532897132</v>
      </c>
      <c r="G131" s="232">
        <v>1.1692517006802721</v>
      </c>
      <c r="H131" s="232">
        <v>0.60322981366459638</v>
      </c>
      <c r="I131" s="232">
        <v>0.51462701121404186</v>
      </c>
      <c r="J131" s="232">
        <v>0.52304147465437789</v>
      </c>
      <c r="K131" s="232">
        <v>1.1122027903320888</v>
      </c>
      <c r="L131" s="489">
        <v>0.68029350104821806</v>
      </c>
      <c r="M131" s="67">
        <v>0.41316822712171553</v>
      </c>
      <c r="N131" s="67">
        <v>0.69684981684981684</v>
      </c>
      <c r="O131" s="67">
        <v>1.2878338278931751</v>
      </c>
      <c r="P131" s="67">
        <v>0.93808484092326883</v>
      </c>
      <c r="Q131" s="67">
        <v>1.2442887602802315</v>
      </c>
      <c r="R131" s="67">
        <v>1.1546193327630454</v>
      </c>
      <c r="S131" s="67">
        <v>0.98116816242459914</v>
      </c>
      <c r="T131" s="67">
        <v>0.18631436314363142</v>
      </c>
      <c r="U131" s="67">
        <v>1.3438672438672441</v>
      </c>
      <c r="V131" s="67">
        <v>0.86555978323532812</v>
      </c>
      <c r="W131" s="67">
        <v>0.82263124869274218</v>
      </c>
      <c r="X131" s="67">
        <v>0.6060267857142857</v>
      </c>
      <c r="Y131" s="67">
        <v>0.92288961038961037</v>
      </c>
      <c r="Z131" s="67">
        <v>0.80218281036834926</v>
      </c>
      <c r="AA131" s="489">
        <v>1.1220692928334124</v>
      </c>
      <c r="AB131" s="489">
        <v>0.81866780383795312</v>
      </c>
      <c r="AC131" s="489">
        <v>0.7366177890947404</v>
      </c>
      <c r="AD131" s="489">
        <v>0.83769568510728554</v>
      </c>
      <c r="AE131" s="489">
        <v>0.86604389233954471</v>
      </c>
      <c r="AF131" s="489">
        <v>0.73762868710237139</v>
      </c>
      <c r="AG131" s="489">
        <v>0.96808976464148888</v>
      </c>
      <c r="AH131" s="489">
        <v>0.79017838003368546</v>
      </c>
      <c r="AI131" s="489">
        <v>1.2336013875748975</v>
      </c>
      <c r="AJ131" s="489">
        <v>0.88995831754452448</v>
      </c>
      <c r="AK131" s="489">
        <v>1.0943732590529247</v>
      </c>
      <c r="AL131" s="489">
        <v>0.98691098442564629</v>
      </c>
      <c r="AM131" s="489">
        <v>0.88312972463947581</v>
      </c>
      <c r="AN131" s="489">
        <v>6.9098172439176544</v>
      </c>
      <c r="AO131" s="489">
        <v>1.7996397026955475</v>
      </c>
      <c r="AP131" s="489">
        <v>2.9218875239061144</v>
      </c>
      <c r="AQ131" s="489">
        <v>1.7181975694969347</v>
      </c>
      <c r="AR131" s="489">
        <v>-1.3855751259664948</v>
      </c>
      <c r="AS131" s="489">
        <v>0.84809759728591483</v>
      </c>
      <c r="AT131" s="489">
        <v>0.66416532874511514</v>
      </c>
      <c r="AU131" s="489">
        <v>1.0336921660677467</v>
      </c>
      <c r="AV131" s="489">
        <v>0.56450711340602155</v>
      </c>
      <c r="AW131" s="487">
        <v>0.94356561170577746</v>
      </c>
      <c r="AX131" s="60">
        <v>0.94356561170577746</v>
      </c>
      <c r="AY131" s="60">
        <v>0.94356561170577746</v>
      </c>
      <c r="AZ131" s="60">
        <v>0.94356561170577746</v>
      </c>
      <c r="BA131" s="60">
        <v>0.94356561170577746</v>
      </c>
      <c r="BB131" s="60">
        <v>0.94356561170577746</v>
      </c>
      <c r="BC131" s="60">
        <v>0.94356561170577746</v>
      </c>
      <c r="BD131" s="60">
        <v>0.94356561170577746</v>
      </c>
      <c r="BE131" s="60">
        <v>0.94356561170577746</v>
      </c>
      <c r="BF131" s="60">
        <v>0.94356561170577746</v>
      </c>
      <c r="BG131" s="60">
        <v>0.94356561170577746</v>
      </c>
      <c r="BH131" s="60">
        <v>0.94356561170577746</v>
      </c>
      <c r="BI131" s="60">
        <v>0.94356561170577746</v>
      </c>
      <c r="BJ131" s="60">
        <v>0.94356561170577746</v>
      </c>
      <c r="BK131" s="60">
        <v>0.94356561170577746</v>
      </c>
      <c r="BL131" s="486">
        <v>0.94356561170577746</v>
      </c>
      <c r="BM131" s="486">
        <v>0.94356561170577746</v>
      </c>
      <c r="BN131" s="486">
        <v>0.94356561170577746</v>
      </c>
      <c r="BO131" s="486">
        <v>0.94356561170577746</v>
      </c>
      <c r="BP131" s="486">
        <v>0.94356561170577746</v>
      </c>
      <c r="BQ131" s="486">
        <v>0.94356561170577746</v>
      </c>
      <c r="BR131" s="42"/>
      <c r="BS131" s="489">
        <v>6.2189448582881512</v>
      </c>
      <c r="BT131" s="489">
        <v>-0.76148565124014767</v>
      </c>
      <c r="BU131" s="489">
        <v>-1.4453389869757358</v>
      </c>
      <c r="BV131" s="489">
        <v>-0.58832729066150014</v>
      </c>
      <c r="BW131" s="489">
        <v>-0.8483333961712598</v>
      </c>
      <c r="BX131" s="489">
        <v>-1.254573449968112</v>
      </c>
      <c r="BY131" s="489">
        <v>-1.9777770519344773</v>
      </c>
      <c r="BZ131" s="489">
        <v>-1.359267793132878</v>
      </c>
      <c r="CA131" s="489">
        <v>-0.70940337051562463</v>
      </c>
      <c r="CB131" s="489">
        <v>-1.3430536252648435</v>
      </c>
      <c r="CC131" s="67">
        <v>0.45374149659863944</v>
      </c>
      <c r="CD131" s="67">
        <v>0.91979458450046692</v>
      </c>
      <c r="CE131" s="67">
        <v>0.55850867478774457</v>
      </c>
      <c r="CF131" s="67">
        <v>0.81421773332038461</v>
      </c>
      <c r="CG131" s="67">
        <v>0.54729323308270683</v>
      </c>
      <c r="CH131" s="67">
        <v>0.99769817292475893</v>
      </c>
      <c r="CI131" s="67">
        <v>1.0417741103661682</v>
      </c>
      <c r="CJ131" s="67">
        <v>1.0518608907870652</v>
      </c>
      <c r="CK131" s="67">
        <v>0.65102537365311097</v>
      </c>
      <c r="CL131" s="67">
        <v>0.84304908143679747</v>
      </c>
      <c r="CM131" s="67">
        <v>0.76445819805194803</v>
      </c>
      <c r="CN131" s="386">
        <v>0.96423377110737141</v>
      </c>
      <c r="CO131" s="489">
        <v>0.77823916241239077</v>
      </c>
      <c r="CP131" s="489">
        <v>0.85176376838566481</v>
      </c>
      <c r="CQ131" s="489">
        <v>0.85603487064117001</v>
      </c>
      <c r="CR131" s="489">
        <v>1.0086347393769906</v>
      </c>
      <c r="CS131" s="489">
        <v>0.98966614906832306</v>
      </c>
      <c r="CT131" s="489">
        <v>0.94210228326639711</v>
      </c>
      <c r="CU131" s="489">
        <v>2.9036308884878705</v>
      </c>
      <c r="CV131" s="489">
        <v>1.9886712010027348</v>
      </c>
      <c r="CW131" s="489">
        <v>0.25306497344661866</v>
      </c>
      <c r="CX131" s="489">
        <v>0.83312174269889905</v>
      </c>
      <c r="CY131" s="487">
        <v>0.74436121401224109</v>
      </c>
      <c r="CZ131" s="489">
        <v>0.94356561170577735</v>
      </c>
      <c r="DA131" s="489">
        <v>0.94356561170577735</v>
      </c>
      <c r="DB131" s="489">
        <v>0.94356561170577746</v>
      </c>
      <c r="DC131" s="489">
        <v>0.94356561170577757</v>
      </c>
      <c r="DD131" s="489">
        <v>0.94356561170577735</v>
      </c>
      <c r="DE131" s="489">
        <v>0.94356561170577757</v>
      </c>
      <c r="DF131" s="489">
        <v>1.013319881522933</v>
      </c>
      <c r="DG131" s="489">
        <v>0.94356561170577724</v>
      </c>
      <c r="DH131" s="489">
        <v>0.76138249349480192</v>
      </c>
      <c r="DI131" s="489">
        <v>0.74647638083819634</v>
      </c>
    </row>
    <row r="132" spans="1:113" outlineLevel="1">
      <c r="A132" s="1" t="s">
        <v>765</v>
      </c>
      <c r="B132" s="19" t="s">
        <v>619</v>
      </c>
      <c r="C132" s="486">
        <v>0.7</v>
      </c>
      <c r="D132" s="486">
        <v>0.7</v>
      </c>
      <c r="E132" s="486">
        <v>0.7</v>
      </c>
      <c r="F132" s="486">
        <v>0.7</v>
      </c>
      <c r="G132" s="486">
        <v>0.7</v>
      </c>
      <c r="H132" s="486">
        <v>0.7</v>
      </c>
      <c r="I132" s="486">
        <v>0.7</v>
      </c>
      <c r="J132" s="486">
        <v>0.7</v>
      </c>
      <c r="K132" s="486">
        <v>0.7</v>
      </c>
      <c r="L132" s="486">
        <v>0.7</v>
      </c>
      <c r="M132" s="525">
        <v>0.6</v>
      </c>
      <c r="N132" s="525">
        <v>0.6</v>
      </c>
      <c r="O132" s="525">
        <v>0.6</v>
      </c>
      <c r="P132" s="525">
        <v>0.6</v>
      </c>
      <c r="Q132" s="525">
        <v>0.6</v>
      </c>
      <c r="R132" s="525">
        <v>0.6</v>
      </c>
      <c r="S132" s="525">
        <v>0.6</v>
      </c>
      <c r="T132" s="525">
        <v>0.6</v>
      </c>
      <c r="U132" s="525">
        <v>0.6</v>
      </c>
      <c r="V132" s="525">
        <v>0.6</v>
      </c>
      <c r="W132" s="525">
        <v>0.6</v>
      </c>
      <c r="X132" s="525">
        <v>0.6</v>
      </c>
      <c r="Y132" s="525">
        <v>0.6</v>
      </c>
      <c r="Z132" s="525">
        <v>0.6</v>
      </c>
      <c r="AA132" s="525">
        <v>0.6</v>
      </c>
      <c r="AB132" s="525">
        <v>0.6</v>
      </c>
      <c r="AC132" s="525">
        <v>0.6</v>
      </c>
      <c r="AD132" s="525">
        <v>0.6</v>
      </c>
      <c r="AE132" s="525">
        <v>0.6</v>
      </c>
      <c r="AF132" s="525">
        <v>0.6</v>
      </c>
      <c r="AG132" s="525">
        <v>0.6</v>
      </c>
      <c r="AH132" s="525">
        <v>0.6</v>
      </c>
      <c r="AI132" s="525">
        <v>0.6</v>
      </c>
      <c r="AJ132" s="525">
        <v>0.6</v>
      </c>
      <c r="AK132" s="525">
        <v>0.6</v>
      </c>
      <c r="AL132" s="525">
        <v>0.6</v>
      </c>
      <c r="AM132" s="525">
        <v>0.6</v>
      </c>
      <c r="AN132" s="525">
        <v>0.6</v>
      </c>
      <c r="AO132" s="525">
        <v>0.6</v>
      </c>
      <c r="AP132" s="525">
        <v>0.6</v>
      </c>
      <c r="AQ132" s="525">
        <v>0.6</v>
      </c>
      <c r="AR132" s="525">
        <v>0.6</v>
      </c>
      <c r="AS132" s="525">
        <v>0.6</v>
      </c>
      <c r="AT132" s="525">
        <v>0.6</v>
      </c>
      <c r="AU132" s="525">
        <v>0.6</v>
      </c>
      <c r="AV132" s="525">
        <v>0.6</v>
      </c>
      <c r="AW132" s="526">
        <v>0.6</v>
      </c>
      <c r="AX132" s="525">
        <v>0.6</v>
      </c>
      <c r="AY132" s="525">
        <v>0.6</v>
      </c>
      <c r="AZ132" s="525">
        <v>0.6</v>
      </c>
      <c r="BA132" s="525">
        <v>0.6</v>
      </c>
      <c r="BB132" s="525">
        <v>0.6</v>
      </c>
      <c r="BC132" s="525">
        <v>0.6</v>
      </c>
      <c r="BD132" s="525">
        <v>0.6</v>
      </c>
      <c r="BE132" s="525">
        <v>0.6</v>
      </c>
      <c r="BF132" s="525">
        <v>0.6</v>
      </c>
      <c r="BG132" s="525">
        <v>0.6</v>
      </c>
      <c r="BH132" s="525">
        <v>0.6</v>
      </c>
      <c r="BI132" s="525">
        <v>0.6</v>
      </c>
      <c r="BJ132" s="525">
        <v>0.6</v>
      </c>
      <c r="BK132" s="525">
        <v>0.6</v>
      </c>
      <c r="BL132" s="525">
        <v>0.6</v>
      </c>
      <c r="BM132" s="525">
        <v>0.6</v>
      </c>
      <c r="BN132" s="525">
        <v>0.6</v>
      </c>
      <c r="BO132" s="525">
        <v>0.6</v>
      </c>
      <c r="BP132" s="525">
        <v>0.6</v>
      </c>
      <c r="BQ132" s="525">
        <v>0.6</v>
      </c>
      <c r="BR132" s="230"/>
      <c r="BS132" s="486">
        <v>0.7</v>
      </c>
      <c r="BT132" s="486">
        <v>0.7</v>
      </c>
      <c r="BU132" s="486">
        <v>0.7</v>
      </c>
      <c r="BV132" s="486">
        <v>0.7</v>
      </c>
      <c r="BW132" s="486">
        <v>0.7</v>
      </c>
      <c r="BX132" s="486">
        <v>0.7</v>
      </c>
      <c r="BY132" s="486">
        <v>0.7</v>
      </c>
      <c r="BZ132" s="486">
        <v>0.7</v>
      </c>
      <c r="CA132" s="486">
        <v>0.7</v>
      </c>
      <c r="CB132" s="486">
        <v>0.7</v>
      </c>
      <c r="CC132" s="230">
        <v>0.7</v>
      </c>
      <c r="CD132" s="230">
        <v>0.7</v>
      </c>
      <c r="CE132" s="230">
        <v>0.7</v>
      </c>
      <c r="CF132" s="230">
        <v>0.7</v>
      </c>
      <c r="CG132" s="230">
        <v>0.64958904109589033</v>
      </c>
      <c r="CH132" s="230">
        <v>0.6</v>
      </c>
      <c r="CI132" s="230">
        <v>0.6</v>
      </c>
      <c r="CJ132" s="230">
        <v>0.6</v>
      </c>
      <c r="CK132" s="230">
        <v>0.6</v>
      </c>
      <c r="CL132" s="230">
        <v>0.6</v>
      </c>
      <c r="CM132" s="386">
        <v>0.6</v>
      </c>
      <c r="CN132" s="386">
        <v>0.6</v>
      </c>
      <c r="CO132" s="386">
        <v>0.6</v>
      </c>
      <c r="CP132" s="386">
        <v>0.6</v>
      </c>
      <c r="CQ132" s="386">
        <v>0.6</v>
      </c>
      <c r="CR132" s="386">
        <v>0.6</v>
      </c>
      <c r="CS132" s="386">
        <v>0.6</v>
      </c>
      <c r="CT132" s="386">
        <v>0.6</v>
      </c>
      <c r="CU132" s="386">
        <v>0.6</v>
      </c>
      <c r="CV132" s="386">
        <v>0.6</v>
      </c>
      <c r="CW132" s="386">
        <v>0.6</v>
      </c>
      <c r="CX132" s="386">
        <v>0.6</v>
      </c>
      <c r="CY132" s="231">
        <v>0.6</v>
      </c>
      <c r="CZ132" s="230">
        <v>0.6</v>
      </c>
      <c r="DA132" s="230">
        <v>0.6</v>
      </c>
      <c r="DB132" s="230">
        <v>0.6</v>
      </c>
      <c r="DC132" s="230">
        <v>0.6</v>
      </c>
      <c r="DD132" s="230">
        <v>0.6</v>
      </c>
      <c r="DE132" s="230">
        <v>0.6</v>
      </c>
      <c r="DF132" s="230">
        <v>0.6</v>
      </c>
      <c r="DG132" s="230">
        <v>0.6</v>
      </c>
      <c r="DH132" s="230">
        <v>0.6</v>
      </c>
      <c r="DI132" s="230">
        <v>0.6</v>
      </c>
    </row>
    <row r="133" spans="1:113" outlineLevel="1">
      <c r="Z133" s="58"/>
      <c r="AW133" s="22"/>
      <c r="CY133" s="22"/>
    </row>
    <row r="134" spans="1:113" outlineLevel="1">
      <c r="B134" s="24" t="s">
        <v>620</v>
      </c>
      <c r="AA134" s="58"/>
      <c r="AC134" s="45"/>
      <c r="AD134" s="45"/>
      <c r="AE134" s="45"/>
      <c r="AF134" s="599"/>
      <c r="AG134" s="599"/>
      <c r="AH134" s="599"/>
      <c r="AI134" s="599"/>
      <c r="AJ134" s="135"/>
      <c r="AK134" s="135"/>
      <c r="AL134" s="135"/>
      <c r="AM134" s="135"/>
      <c r="AN134" s="135"/>
      <c r="AO134" s="135"/>
      <c r="AP134" s="135"/>
      <c r="AQ134" s="109"/>
      <c r="AR134" s="135"/>
      <c r="AS134" s="135"/>
      <c r="AT134" s="135"/>
      <c r="AU134" s="135"/>
      <c r="AV134" s="135"/>
      <c r="AW134" s="22"/>
      <c r="AY134" s="109"/>
      <c r="BA134" s="109"/>
      <c r="BC134" s="109"/>
      <c r="BE134" s="109"/>
      <c r="BG134" s="109"/>
      <c r="BH134" s="109"/>
      <c r="BI134" s="109"/>
      <c r="BJ134" s="109"/>
      <c r="BK134" s="109"/>
      <c r="BL134" s="109"/>
      <c r="BM134" s="109"/>
      <c r="BN134" s="109"/>
      <c r="BO134" s="109"/>
      <c r="BP134" s="109"/>
      <c r="BQ134" s="109"/>
      <c r="BR134" s="109"/>
      <c r="BS134" s="109"/>
      <c r="BT134" s="109"/>
      <c r="BU134" s="109"/>
      <c r="BV134" s="109"/>
      <c r="BW134" s="109"/>
      <c r="BX134" s="109"/>
      <c r="BY134" s="109"/>
      <c r="BZ134" s="109"/>
      <c r="CA134" s="109"/>
      <c r="CB134" s="109"/>
      <c r="CC134" s="109"/>
      <c r="CD134" s="109"/>
      <c r="CE134" s="109"/>
      <c r="CF134" s="109"/>
      <c r="CG134" s="109"/>
      <c r="CH134" s="109"/>
      <c r="CI134" s="109"/>
      <c r="CJ134" s="109"/>
      <c r="CK134" s="109"/>
      <c r="CL134" s="109"/>
      <c r="CM134" s="109"/>
      <c r="CN134" s="109"/>
      <c r="CO134" s="109"/>
      <c r="CP134" s="109"/>
      <c r="CQ134" s="109"/>
      <c r="CR134" s="109"/>
      <c r="CY134" s="22"/>
    </row>
    <row r="135" spans="1:113" outlineLevel="1">
      <c r="A135" s="1" t="s">
        <v>766</v>
      </c>
      <c r="B135" s="19" t="s">
        <v>621</v>
      </c>
      <c r="C135" s="68">
        <v>0.74595</v>
      </c>
      <c r="D135" s="68">
        <v>0.67632800000000004</v>
      </c>
      <c r="E135" s="68">
        <v>0.81557199999999996</v>
      </c>
      <c r="F135" s="68">
        <v>0.68627399999999994</v>
      </c>
      <c r="G135" s="68">
        <v>0.84540999999999999</v>
      </c>
      <c r="H135" s="68">
        <v>0.78573400000000004</v>
      </c>
      <c r="I135" s="68">
        <v>1.034384</v>
      </c>
      <c r="J135" s="68">
        <v>0.84540999999999999</v>
      </c>
      <c r="K135" s="68">
        <v>1.1139520000000001</v>
      </c>
      <c r="L135" s="68">
        <v>0.93492399999999998</v>
      </c>
      <c r="M135" s="68">
        <v>1.29298</v>
      </c>
      <c r="N135" s="68">
        <v>1.064222</v>
      </c>
      <c r="O135" s="68">
        <v>1.481954</v>
      </c>
      <c r="P135" s="68">
        <v>1.1238979999999998</v>
      </c>
      <c r="Q135" s="68">
        <v>1.521738</v>
      </c>
      <c r="R135" s="68">
        <v>1.1238979999999998</v>
      </c>
      <c r="S135" s="68">
        <v>1.1437899999999999</v>
      </c>
      <c r="T135" s="68">
        <v>1.1935199999999999</v>
      </c>
      <c r="U135" s="68">
        <v>1.69082</v>
      </c>
      <c r="V135" s="68">
        <v>1.312872</v>
      </c>
      <c r="W135" s="68">
        <v>1.869848</v>
      </c>
      <c r="X135" s="68">
        <v>1.3626020000000001</v>
      </c>
      <c r="Y135" s="68">
        <v>1.959362</v>
      </c>
      <c r="Z135" s="68">
        <v>1.6311439999999999</v>
      </c>
      <c r="AA135" s="490">
        <v>1.9892000000000001</v>
      </c>
      <c r="AB135" s="490">
        <v>1.8201180000000001</v>
      </c>
      <c r="AC135" s="490">
        <v>2.168228</v>
      </c>
      <c r="AD135" s="490">
        <v>1.9693080000000001</v>
      </c>
      <c r="AE135" s="490">
        <v>2.2080120000000001</v>
      </c>
      <c r="AF135" s="490">
        <v>1.98</v>
      </c>
      <c r="AG135" s="490">
        <v>2.2200000000000002</v>
      </c>
      <c r="AH135" s="490">
        <v>1.99</v>
      </c>
      <c r="AI135" s="490">
        <v>2.2999999999999998</v>
      </c>
      <c r="AJ135" s="490">
        <v>2</v>
      </c>
      <c r="AK135" s="490">
        <v>2.31</v>
      </c>
      <c r="AL135" s="490">
        <v>2</v>
      </c>
      <c r="AM135" s="490">
        <v>2.31</v>
      </c>
      <c r="AN135" s="490">
        <v>2</v>
      </c>
      <c r="AO135" s="490">
        <v>0.98</v>
      </c>
      <c r="AP135" s="490">
        <v>1.5</v>
      </c>
      <c r="AQ135" s="490">
        <v>2</v>
      </c>
      <c r="AR135" s="490">
        <v>1.75</v>
      </c>
      <c r="AS135" s="490">
        <v>2.1</v>
      </c>
      <c r="AT135" s="490">
        <v>2.1</v>
      </c>
      <c r="AU135" s="490">
        <v>2.4</v>
      </c>
      <c r="AV135" s="490">
        <v>2.15</v>
      </c>
      <c r="AW135" s="387">
        <v>2.5</v>
      </c>
      <c r="AX135" s="765">
        <v>2.15</v>
      </c>
      <c r="AY135" s="765">
        <v>2.5</v>
      </c>
      <c r="AZ135" s="765">
        <v>2.15</v>
      </c>
      <c r="BA135" s="765">
        <v>2.5</v>
      </c>
      <c r="BB135" s="765">
        <v>2.15</v>
      </c>
      <c r="BC135" s="765">
        <v>2.5</v>
      </c>
      <c r="BD135" s="765">
        <v>2.15</v>
      </c>
      <c r="BE135" s="765">
        <v>2.5</v>
      </c>
      <c r="BF135" s="765">
        <v>2.15</v>
      </c>
      <c r="BG135" s="765">
        <v>2.5</v>
      </c>
      <c r="BH135" s="765">
        <v>2.2400000000000002</v>
      </c>
      <c r="BI135" s="765">
        <v>2.54</v>
      </c>
      <c r="BJ135" s="765">
        <v>2.13</v>
      </c>
      <c r="BK135" s="765">
        <v>2.16</v>
      </c>
      <c r="BL135" s="765">
        <v>2.02</v>
      </c>
      <c r="BM135" s="765">
        <v>2.27</v>
      </c>
      <c r="BN135" s="765">
        <v>2.5499999999999998</v>
      </c>
      <c r="BO135" s="765">
        <v>2.9</v>
      </c>
      <c r="BP135" s="765">
        <v>2.68</v>
      </c>
      <c r="BQ135" s="765">
        <v>3.05</v>
      </c>
      <c r="BR135" s="69"/>
      <c r="BS135" s="68">
        <v>0.39784000000000003</v>
      </c>
      <c r="BT135" s="68">
        <v>0.41773200000000005</v>
      </c>
      <c r="BU135" s="68">
        <v>0.59675999999999996</v>
      </c>
      <c r="BV135" s="68">
        <v>0.81557200000000007</v>
      </c>
      <c r="BW135" s="68">
        <v>0.89514000000000005</v>
      </c>
      <c r="BX135" s="68">
        <v>1.0144919999999999</v>
      </c>
      <c r="BY135" s="68">
        <v>1.034384</v>
      </c>
      <c r="BZ135" s="68">
        <v>1.1437899999999999</v>
      </c>
      <c r="CA135" s="68">
        <v>1.2929799999999998</v>
      </c>
      <c r="CB135" s="68">
        <v>1.3526559999999999</v>
      </c>
      <c r="CC135" s="69">
        <v>1.4919</v>
      </c>
      <c r="CD135" s="69">
        <v>1.5316839999999998</v>
      </c>
      <c r="CE135" s="69">
        <v>1.8201179999999999</v>
      </c>
      <c r="CF135" s="69">
        <v>1.959362</v>
      </c>
      <c r="CG135" s="69">
        <v>2.2279040000000001</v>
      </c>
      <c r="CH135" s="69">
        <v>2.546176</v>
      </c>
      <c r="CI135" s="69">
        <v>2.6456359999999997</v>
      </c>
      <c r="CJ135" s="69">
        <v>2.2676879999999997</v>
      </c>
      <c r="CK135" s="69">
        <v>2.8843399999999999</v>
      </c>
      <c r="CL135" s="69">
        <v>3.1827199999999998</v>
      </c>
      <c r="CM135" s="69">
        <v>3.3219640000000004</v>
      </c>
      <c r="CN135" s="69">
        <v>3.6203440000000002</v>
      </c>
      <c r="CO135" s="69">
        <v>3.9883459999999999</v>
      </c>
      <c r="CP135" s="69">
        <v>4.1773199999999999</v>
      </c>
      <c r="CQ135" s="69">
        <v>4.2</v>
      </c>
      <c r="CR135" s="69">
        <v>4.29</v>
      </c>
      <c r="CS135" s="69">
        <v>4.3100000000000005</v>
      </c>
      <c r="CT135" s="69">
        <v>4.3100000000000005</v>
      </c>
      <c r="CU135" s="69">
        <v>2.98</v>
      </c>
      <c r="CV135" s="69">
        <v>3.5</v>
      </c>
      <c r="CW135" s="69">
        <v>3.85</v>
      </c>
      <c r="CX135" s="69">
        <v>4.5</v>
      </c>
      <c r="CY135" s="70">
        <v>4.6500000000000004</v>
      </c>
      <c r="CZ135" s="69">
        <v>4.6500000000000004</v>
      </c>
      <c r="DA135" s="69">
        <v>4.6500000000000004</v>
      </c>
      <c r="DB135" s="69">
        <v>4.6500000000000004</v>
      </c>
      <c r="DC135" s="69">
        <v>4.6500000000000004</v>
      </c>
      <c r="DD135" s="69">
        <v>4.6500000000000004</v>
      </c>
      <c r="DE135" s="69">
        <v>4.78</v>
      </c>
      <c r="DF135" s="69">
        <v>4.29</v>
      </c>
      <c r="DG135" s="69">
        <v>4.29</v>
      </c>
      <c r="DH135" s="69">
        <v>5.4499999999999993</v>
      </c>
      <c r="DI135" s="69">
        <v>5.73</v>
      </c>
    </row>
    <row r="136" spans="1:113" outlineLevel="1">
      <c r="A136" s="1" t="s">
        <v>767</v>
      </c>
      <c r="B136" s="19" t="s">
        <v>761</v>
      </c>
      <c r="C136" s="232">
        <v>0.81237404549412273</v>
      </c>
      <c r="D136" s="376">
        <v>0.7249433268085107</v>
      </c>
      <c r="E136" s="376">
        <v>0.79519776908668727</v>
      </c>
      <c r="F136" s="376">
        <v>0.72809018558080796</v>
      </c>
      <c r="G136" s="376">
        <v>0.78870774133974819</v>
      </c>
      <c r="H136" s="376">
        <v>0.82950602004995844</v>
      </c>
      <c r="I136" s="376">
        <v>0.94369440379038039</v>
      </c>
      <c r="J136" s="376">
        <v>0.64760442990430611</v>
      </c>
      <c r="K136" s="376">
        <v>0.84896939765541746</v>
      </c>
      <c r="L136" s="376">
        <v>0.58769964350315385</v>
      </c>
      <c r="M136" s="376">
        <v>0.83723713940763056</v>
      </c>
      <c r="N136" s="376">
        <v>0.60860631055555547</v>
      </c>
      <c r="O136" s="376">
        <v>0.87925101190562616</v>
      </c>
      <c r="P136" s="376">
        <v>0.63010058130508462</v>
      </c>
      <c r="Q136" s="376">
        <v>0.87267967389677426</v>
      </c>
      <c r="R136" s="376">
        <v>0.88428478060638283</v>
      </c>
      <c r="S136" s="376">
        <v>0.73666015577815258</v>
      </c>
      <c r="T136" s="376">
        <v>0.63072809126413143</v>
      </c>
      <c r="U136" s="376">
        <v>0.83982568925039869</v>
      </c>
      <c r="V136" s="376">
        <v>0.61713170470268641</v>
      </c>
      <c r="W136" s="376">
        <v>0.84202241917241372</v>
      </c>
      <c r="X136" s="376">
        <v>0.60921102711192343</v>
      </c>
      <c r="Y136" s="376">
        <v>0.89233141297297291</v>
      </c>
      <c r="Z136" s="376">
        <v>0.7075218711099196</v>
      </c>
      <c r="AA136" s="376">
        <v>0.8080200501253133</v>
      </c>
      <c r="AB136" s="376">
        <v>0.69492579505300356</v>
      </c>
      <c r="AC136" s="376">
        <v>0.80496127562642361</v>
      </c>
      <c r="AD136" s="376">
        <v>0.69802391913894313</v>
      </c>
      <c r="AE136" s="376">
        <v>0.80565314311190372</v>
      </c>
      <c r="AF136" s="376">
        <v>0.70809045226130651</v>
      </c>
      <c r="AG136" s="376">
        <v>0.82426932236414807</v>
      </c>
      <c r="AH136" s="376">
        <v>0.71018434134217068</v>
      </c>
      <c r="AI136" s="376">
        <v>0.8243215247565775</v>
      </c>
      <c r="AJ136" s="376">
        <v>0.76250543714658547</v>
      </c>
      <c r="AK136" s="376">
        <v>0.94176511466296042</v>
      </c>
      <c r="AL136" s="376">
        <v>0.78457749043950331</v>
      </c>
      <c r="AM136" s="376">
        <v>1.1026981217541532</v>
      </c>
      <c r="AN136" s="376">
        <v>0.81822949248902244</v>
      </c>
      <c r="AO136" s="376">
        <v>0.59863171734299514</v>
      </c>
      <c r="AP136" s="376">
        <v>0.6879898177352638</v>
      </c>
      <c r="AQ136" s="376">
        <v>0.74152410031347971</v>
      </c>
      <c r="AR136" s="376">
        <v>0.62920044358407079</v>
      </c>
      <c r="AS136" s="376">
        <v>0.736900526417818</v>
      </c>
      <c r="AT136" s="376">
        <v>0.68449223067567566</v>
      </c>
      <c r="AU136" s="376">
        <v>0.82151401030253479</v>
      </c>
      <c r="AV136" s="376">
        <v>0.71676122896991434</v>
      </c>
      <c r="AW136" s="375">
        <v>0.86779636184347109</v>
      </c>
      <c r="AX136" s="376">
        <v>0.72809143264085763</v>
      </c>
      <c r="AY136" s="376">
        <v>0.86872522883810765</v>
      </c>
      <c r="AZ136" s="376">
        <v>0.72527660064745991</v>
      </c>
      <c r="BA136" s="376">
        <v>0.85792353234428731</v>
      </c>
      <c r="BB136" s="376">
        <v>0.7214942746677282</v>
      </c>
      <c r="BC136" s="376">
        <v>0.85022992730555336</v>
      </c>
      <c r="BD136" s="376">
        <v>0.70743914829200949</v>
      </c>
      <c r="BE136" s="376">
        <v>0.82331154810261398</v>
      </c>
      <c r="BF136" s="376">
        <v>0.6883062211057932</v>
      </c>
      <c r="BG136" s="376">
        <v>0.81184835999788985</v>
      </c>
      <c r="BH136" s="376">
        <v>0.70046015796344274</v>
      </c>
      <c r="BI136" s="376">
        <v>0.79807125877205987</v>
      </c>
      <c r="BJ136" s="376">
        <v>0.74336750287247699</v>
      </c>
      <c r="BK136" s="376">
        <v>0.87997599231847623</v>
      </c>
      <c r="BL136" s="376">
        <v>0.79071059409626598</v>
      </c>
      <c r="BM136" s="376">
        <v>0.76682003245221375</v>
      </c>
      <c r="BN136" s="376">
        <v>0.74953527681077015</v>
      </c>
      <c r="BO136" s="376">
        <v>0.85157962118152097</v>
      </c>
      <c r="BP136" s="376">
        <v>0.75166875834155</v>
      </c>
      <c r="BQ136" s="376">
        <v>0.85443558013261489</v>
      </c>
      <c r="BR136" s="42"/>
      <c r="BS136" s="232">
        <v>0.82601659672291528</v>
      </c>
      <c r="BT136" s="232">
        <v>0.6350005627979276</v>
      </c>
      <c r="BU136" s="232">
        <v>0.79613884926686196</v>
      </c>
      <c r="BV136" s="232">
        <v>0.76983900542037587</v>
      </c>
      <c r="BW136" s="232">
        <v>0.79657107587131371</v>
      </c>
      <c r="BX136" s="232">
        <v>0.75963232962369887</v>
      </c>
      <c r="BY136" s="232">
        <v>0.73983392826522743</v>
      </c>
      <c r="BZ136" s="232">
        <v>0.71706189159292022</v>
      </c>
      <c r="CA136" s="232">
        <v>0.97631857651966603</v>
      </c>
      <c r="CB136" s="232">
        <v>0.75093698126941832</v>
      </c>
      <c r="CC136" s="376">
        <v>0.76173649236319418</v>
      </c>
      <c r="CD136" s="376">
        <v>0.76034474163844012</v>
      </c>
      <c r="CE136" s="376">
        <v>0.89082615056283732</v>
      </c>
      <c r="CF136" s="376">
        <v>0.7487961676405831</v>
      </c>
      <c r="CG136" s="376">
        <v>0.71034427509499143</v>
      </c>
      <c r="CH136" s="376">
        <v>0.74199202651610008</v>
      </c>
      <c r="CI136" s="376">
        <v>0.75048401572892209</v>
      </c>
      <c r="CJ136" s="376">
        <v>0.80194698115502228</v>
      </c>
      <c r="CK136" s="376">
        <v>0.73900707535513699</v>
      </c>
      <c r="CL136" s="376">
        <v>0.73234143329898427</v>
      </c>
      <c r="CM136" s="376">
        <v>0.74995040715740346</v>
      </c>
      <c r="CN136" s="376">
        <v>0.7594632874663213</v>
      </c>
      <c r="CO136" s="376">
        <v>0.75086740011580777</v>
      </c>
      <c r="CP136" s="376">
        <v>0.7511691804204732</v>
      </c>
      <c r="CQ136" s="376">
        <v>0.76520915380521559</v>
      </c>
      <c r="CR136" s="376">
        <v>0.7672470222682547</v>
      </c>
      <c r="CS136" s="376">
        <v>0.84931015143017385</v>
      </c>
      <c r="CT136" s="376">
        <v>0.92807836944045696</v>
      </c>
      <c r="CU136" s="376">
        <v>0.73014722918477504</v>
      </c>
      <c r="CV136" s="376">
        <v>0.71759360164104935</v>
      </c>
      <c r="CW136" s="376">
        <v>0.68362855214695162</v>
      </c>
      <c r="CX136" s="376">
        <v>0.75104411172557584</v>
      </c>
      <c r="CY136" s="375">
        <v>0.79072790597803988</v>
      </c>
      <c r="CZ136" s="232">
        <v>0.79744636795029022</v>
      </c>
      <c r="DA136" s="232">
        <v>0.79103172205087213</v>
      </c>
      <c r="DB136" s="232">
        <v>0.78543214693998331</v>
      </c>
      <c r="DC136" s="232">
        <v>0.76535043057106789</v>
      </c>
      <c r="DD136" s="232">
        <v>0.74963696737394858</v>
      </c>
      <c r="DE136" s="232">
        <v>0.74914925397202803</v>
      </c>
      <c r="DF136" s="232">
        <v>0.80639832020290358</v>
      </c>
      <c r="DG136" s="232">
        <v>0.77788676105639609</v>
      </c>
      <c r="DH136" s="232">
        <v>0.80058239268016707</v>
      </c>
      <c r="DI136" s="232">
        <v>0.80308247083576445</v>
      </c>
    </row>
    <row r="137" spans="1:113" outlineLevel="1">
      <c r="A137" s="1" t="s">
        <v>768</v>
      </c>
      <c r="B137" s="19" t="s">
        <v>769</v>
      </c>
      <c r="C137" s="53">
        <v>0</v>
      </c>
      <c r="D137" s="53">
        <v>0</v>
      </c>
      <c r="E137" s="53">
        <v>400.2</v>
      </c>
      <c r="F137" s="53">
        <v>260</v>
      </c>
      <c r="G137" s="53">
        <v>417</v>
      </c>
      <c r="H137" s="53">
        <v>337</v>
      </c>
      <c r="I137" s="53">
        <v>75</v>
      </c>
      <c r="J137" s="53">
        <v>0</v>
      </c>
      <c r="K137" s="53">
        <v>194</v>
      </c>
      <c r="L137" s="53">
        <v>324</v>
      </c>
      <c r="M137" s="53">
        <v>0</v>
      </c>
      <c r="N137" s="53">
        <v>88</v>
      </c>
      <c r="O137" s="53">
        <v>559</v>
      </c>
      <c r="P137" s="53">
        <v>781</v>
      </c>
      <c r="Q137" s="53">
        <v>495</v>
      </c>
      <c r="R137" s="53">
        <v>554</v>
      </c>
      <c r="S137" s="53">
        <v>758</v>
      </c>
      <c r="T137" s="53">
        <v>244</v>
      </c>
      <c r="U137" s="53">
        <v>446</v>
      </c>
      <c r="V137" s="53">
        <v>642</v>
      </c>
      <c r="W137" s="53">
        <v>510</v>
      </c>
      <c r="X137" s="53">
        <v>435</v>
      </c>
      <c r="Y137" s="53">
        <v>390</v>
      </c>
      <c r="Z137" s="53">
        <v>435</v>
      </c>
      <c r="AA137" s="164">
        <v>742</v>
      </c>
      <c r="AB137" s="164">
        <v>849</v>
      </c>
      <c r="AC137" s="164">
        <v>533</v>
      </c>
      <c r="AD137" s="164">
        <v>624</v>
      </c>
      <c r="AE137" s="164">
        <v>569</v>
      </c>
      <c r="AF137" s="164">
        <v>395</v>
      </c>
      <c r="AG137" s="164">
        <v>532</v>
      </c>
      <c r="AH137" s="164">
        <v>537</v>
      </c>
      <c r="AI137" s="164">
        <v>1067</v>
      </c>
      <c r="AJ137" s="164">
        <v>1242</v>
      </c>
      <c r="AK137" s="164">
        <v>1464</v>
      </c>
      <c r="AL137" s="164">
        <v>1730</v>
      </c>
      <c r="AM137" s="164">
        <v>1190</v>
      </c>
      <c r="AN137" s="164">
        <v>1255</v>
      </c>
      <c r="AO137" s="164">
        <v>2007</v>
      </c>
      <c r="AP137" s="164">
        <v>2307</v>
      </c>
      <c r="AQ137" s="164">
        <v>3709</v>
      </c>
      <c r="AR137" s="164">
        <v>1354</v>
      </c>
      <c r="AS137" s="164">
        <v>1635</v>
      </c>
      <c r="AT137" s="164">
        <v>1645</v>
      </c>
      <c r="AU137" s="164">
        <v>1928</v>
      </c>
      <c r="AV137" s="164">
        <v>1688</v>
      </c>
      <c r="AW137" s="171">
        <v>1861</v>
      </c>
      <c r="AX137" s="55">
        <v>2364.0710953585767</v>
      </c>
      <c r="AY137" s="55">
        <v>2564.4826956880661</v>
      </c>
      <c r="AZ137" s="55">
        <v>3074.6665162307572</v>
      </c>
      <c r="BA137" s="55">
        <v>3300.0844615464866</v>
      </c>
      <c r="BB137" s="55">
        <v>3820.9935985257453</v>
      </c>
      <c r="BC137" s="55">
        <v>4064.6099847162068</v>
      </c>
      <c r="BD137" s="55">
        <v>4626.3793219241134</v>
      </c>
      <c r="BE137" s="55">
        <v>4936.3451959399681</v>
      </c>
      <c r="BF137" s="55">
        <v>5556.4185328350577</v>
      </c>
      <c r="BG137" s="55">
        <v>5895.9751285123239</v>
      </c>
      <c r="BH137" s="55">
        <v>6503.0333448060392</v>
      </c>
      <c r="BI137" s="55">
        <v>6885.2984107239072</v>
      </c>
      <c r="BJ137" s="55">
        <v>7341.409659749942</v>
      </c>
      <c r="BK137" s="55">
        <v>7492.6255290270783</v>
      </c>
      <c r="BL137" s="55">
        <v>7812.8930236335136</v>
      </c>
      <c r="BM137" s="55">
        <v>8234.5267580774744</v>
      </c>
      <c r="BN137" s="55">
        <v>8761.0939436695771</v>
      </c>
      <c r="BO137" s="55">
        <v>9039.9579891707563</v>
      </c>
      <c r="BP137" s="55">
        <v>9586.3656438057806</v>
      </c>
      <c r="BQ137" s="55">
        <v>9871.3914770880165</v>
      </c>
      <c r="BR137" s="55"/>
      <c r="BS137" s="53">
        <v>1690</v>
      </c>
      <c r="BT137" s="53">
        <v>1600</v>
      </c>
      <c r="BU137" s="53">
        <v>1350</v>
      </c>
      <c r="BV137" s="53">
        <v>1443.3</v>
      </c>
      <c r="BW137" s="53">
        <v>1406</v>
      </c>
      <c r="BX137" s="53">
        <v>1202</v>
      </c>
      <c r="BY137" s="53">
        <v>474</v>
      </c>
      <c r="BZ137" s="53">
        <v>96</v>
      </c>
      <c r="CA137" s="53">
        <v>450</v>
      </c>
      <c r="CB137" s="53">
        <v>0</v>
      </c>
      <c r="CC137" s="55">
        <v>400.2</v>
      </c>
      <c r="CD137" s="55">
        <v>417</v>
      </c>
      <c r="CE137" s="55">
        <v>75</v>
      </c>
      <c r="CF137" s="55">
        <v>194</v>
      </c>
      <c r="CG137" s="55">
        <v>0</v>
      </c>
      <c r="CH137" s="55">
        <v>559</v>
      </c>
      <c r="CI137" s="55">
        <v>495</v>
      </c>
      <c r="CJ137" s="55">
        <v>758</v>
      </c>
      <c r="CK137" s="55">
        <v>446</v>
      </c>
      <c r="CL137" s="55">
        <v>510</v>
      </c>
      <c r="CM137" s="55">
        <v>390</v>
      </c>
      <c r="CN137" s="55">
        <v>742</v>
      </c>
      <c r="CO137" s="55">
        <v>533</v>
      </c>
      <c r="CP137" s="55">
        <v>569</v>
      </c>
      <c r="CQ137" s="55">
        <v>532</v>
      </c>
      <c r="CR137" s="55">
        <v>1067</v>
      </c>
      <c r="CS137" s="55">
        <v>1464</v>
      </c>
      <c r="CT137" s="55">
        <v>1190</v>
      </c>
      <c r="CU137" s="55">
        <v>2007</v>
      </c>
      <c r="CV137" s="55">
        <v>3709</v>
      </c>
      <c r="CW137" s="55">
        <v>1635</v>
      </c>
      <c r="CX137" s="55">
        <v>1928</v>
      </c>
      <c r="CY137" s="56">
        <v>1861</v>
      </c>
      <c r="CZ137" s="55">
        <v>2564.4826956880661</v>
      </c>
      <c r="DA137" s="55">
        <v>3300.0844615464866</v>
      </c>
      <c r="DB137" s="55">
        <v>4064.6099847162068</v>
      </c>
      <c r="DC137" s="55">
        <v>4936.3451959399681</v>
      </c>
      <c r="DD137" s="55">
        <v>5895.9751285123239</v>
      </c>
      <c r="DE137" s="55">
        <v>6885.2984107239072</v>
      </c>
      <c r="DF137" s="55">
        <v>7492.6255290270783</v>
      </c>
      <c r="DG137" s="55">
        <v>8234.5267580774744</v>
      </c>
      <c r="DH137" s="55">
        <v>9039.9579891707563</v>
      </c>
      <c r="DI137" s="55">
        <v>9871.3914770880165</v>
      </c>
    </row>
    <row r="138" spans="1:113" outlineLevel="1">
      <c r="A138" s="1" t="s">
        <v>904</v>
      </c>
      <c r="B138" s="19" t="s">
        <v>905</v>
      </c>
      <c r="C138" s="555">
        <v>1</v>
      </c>
      <c r="D138" s="555">
        <v>1</v>
      </c>
      <c r="E138" s="555">
        <v>1</v>
      </c>
      <c r="F138" s="555">
        <v>1</v>
      </c>
      <c r="G138" s="555">
        <v>1</v>
      </c>
      <c r="H138" s="555">
        <v>1</v>
      </c>
      <c r="I138" s="555">
        <v>1</v>
      </c>
      <c r="J138" s="555">
        <v>1</v>
      </c>
      <c r="K138" s="556">
        <v>1</v>
      </c>
      <c r="L138" s="556">
        <v>1</v>
      </c>
      <c r="M138" s="71">
        <v>1</v>
      </c>
      <c r="N138" s="71">
        <v>1</v>
      </c>
      <c r="O138" s="71">
        <v>1</v>
      </c>
      <c r="P138" s="71">
        <v>1</v>
      </c>
      <c r="Q138" s="71">
        <v>1</v>
      </c>
      <c r="R138" s="71">
        <v>1</v>
      </c>
      <c r="S138" s="71">
        <v>1</v>
      </c>
      <c r="T138" s="71">
        <v>1</v>
      </c>
      <c r="U138" s="71">
        <v>1</v>
      </c>
      <c r="V138" s="71">
        <v>1</v>
      </c>
      <c r="W138" s="71">
        <v>1</v>
      </c>
      <c r="X138" s="71">
        <v>1</v>
      </c>
      <c r="Y138" s="172">
        <v>1</v>
      </c>
      <c r="Z138" s="172">
        <v>1</v>
      </c>
      <c r="AA138" s="172">
        <v>1</v>
      </c>
      <c r="AB138" s="532">
        <v>1</v>
      </c>
      <c r="AC138" s="532">
        <v>1</v>
      </c>
      <c r="AD138" s="532">
        <v>1</v>
      </c>
      <c r="AE138" s="532">
        <v>1</v>
      </c>
      <c r="AF138" s="532">
        <v>1</v>
      </c>
      <c r="AG138" s="532">
        <v>1</v>
      </c>
      <c r="AH138" s="532">
        <v>1</v>
      </c>
      <c r="AI138" s="532">
        <v>1</v>
      </c>
      <c r="AJ138" s="532">
        <v>1</v>
      </c>
      <c r="AK138" s="532">
        <v>1</v>
      </c>
      <c r="AL138" s="532">
        <v>1</v>
      </c>
      <c r="AM138" s="532">
        <v>1</v>
      </c>
      <c r="AN138" s="532">
        <v>1</v>
      </c>
      <c r="AO138" s="532">
        <v>1</v>
      </c>
      <c r="AP138" s="532">
        <v>1</v>
      </c>
      <c r="AQ138" s="532">
        <v>1</v>
      </c>
      <c r="AR138" s="532">
        <v>1</v>
      </c>
      <c r="AS138" s="532">
        <v>1</v>
      </c>
      <c r="AT138" s="532">
        <v>1</v>
      </c>
      <c r="AU138" s="532">
        <v>1</v>
      </c>
      <c r="AV138" s="532">
        <v>1</v>
      </c>
      <c r="AW138" s="500">
        <v>1</v>
      </c>
      <c r="AX138" s="60">
        <v>1</v>
      </c>
      <c r="AY138" s="60">
        <v>1</v>
      </c>
      <c r="AZ138" s="60">
        <v>1</v>
      </c>
      <c r="BA138" s="60">
        <v>1</v>
      </c>
      <c r="BB138" s="60">
        <v>1</v>
      </c>
      <c r="BC138" s="60">
        <v>1</v>
      </c>
      <c r="BD138" s="60">
        <v>1</v>
      </c>
      <c r="BE138" s="60">
        <v>1</v>
      </c>
      <c r="BF138" s="60">
        <v>1</v>
      </c>
      <c r="BG138" s="60">
        <v>1</v>
      </c>
      <c r="BH138" s="60">
        <v>1</v>
      </c>
      <c r="BI138" s="60">
        <v>1</v>
      </c>
      <c r="BJ138" s="60">
        <v>1</v>
      </c>
      <c r="BK138" s="60">
        <v>1</v>
      </c>
      <c r="BL138" s="486">
        <v>1</v>
      </c>
      <c r="BM138" s="486">
        <v>1</v>
      </c>
      <c r="BN138" s="486">
        <v>1</v>
      </c>
      <c r="BO138" s="486">
        <v>1</v>
      </c>
      <c r="BP138" s="486">
        <v>1</v>
      </c>
      <c r="BQ138" s="486">
        <v>1</v>
      </c>
      <c r="BR138" s="60"/>
      <c r="BS138" s="556">
        <v>1</v>
      </c>
      <c r="BT138" s="556">
        <v>1</v>
      </c>
      <c r="BU138" s="556">
        <v>1</v>
      </c>
      <c r="BV138" s="556">
        <v>1</v>
      </c>
      <c r="BW138" s="556">
        <v>1</v>
      </c>
      <c r="BX138" s="556">
        <v>1</v>
      </c>
      <c r="BY138" s="556">
        <v>1</v>
      </c>
      <c r="BZ138" s="556">
        <v>1</v>
      </c>
      <c r="CA138" s="556">
        <v>1</v>
      </c>
      <c r="CB138" s="556">
        <v>1</v>
      </c>
      <c r="CC138" s="57">
        <v>1</v>
      </c>
      <c r="CD138" s="57">
        <v>1</v>
      </c>
      <c r="CE138" s="57">
        <v>1</v>
      </c>
      <c r="CF138" s="57">
        <v>1</v>
      </c>
      <c r="CG138" s="57">
        <v>1</v>
      </c>
      <c r="CH138" s="57">
        <v>1</v>
      </c>
      <c r="CI138" s="57">
        <v>1</v>
      </c>
      <c r="CJ138" s="57">
        <v>1</v>
      </c>
      <c r="CK138" s="57">
        <v>1</v>
      </c>
      <c r="CL138" s="57">
        <v>1</v>
      </c>
      <c r="CM138" s="58">
        <v>1</v>
      </c>
      <c r="CN138" s="58">
        <v>1</v>
      </c>
      <c r="CO138" s="58">
        <v>1</v>
      </c>
      <c r="CP138" s="58">
        <v>1</v>
      </c>
      <c r="CQ138" s="58">
        <v>1</v>
      </c>
      <c r="CR138" s="58">
        <v>1</v>
      </c>
      <c r="CS138" s="58">
        <v>1</v>
      </c>
      <c r="CT138" s="58">
        <v>1</v>
      </c>
      <c r="CU138" s="58">
        <v>1</v>
      </c>
      <c r="CV138" s="58">
        <v>1</v>
      </c>
      <c r="CW138" s="58">
        <v>1</v>
      </c>
      <c r="CX138" s="58">
        <v>1</v>
      </c>
      <c r="CY138" s="59">
        <v>1</v>
      </c>
      <c r="CZ138" s="57">
        <v>1</v>
      </c>
      <c r="DA138" s="57">
        <v>1</v>
      </c>
      <c r="DB138" s="57">
        <v>1</v>
      </c>
      <c r="DC138" s="57">
        <v>1</v>
      </c>
      <c r="DD138" s="57">
        <v>1</v>
      </c>
      <c r="DE138" s="57">
        <v>1</v>
      </c>
      <c r="DF138" s="57">
        <v>1</v>
      </c>
      <c r="DG138" s="230">
        <v>1</v>
      </c>
      <c r="DH138" s="230">
        <v>1</v>
      </c>
      <c r="DI138" s="230">
        <v>1</v>
      </c>
    </row>
    <row r="139" spans="1:113" outlineLevel="1">
      <c r="A139" s="1" t="s">
        <v>1048</v>
      </c>
      <c r="B139" s="19" t="s">
        <v>409</v>
      </c>
      <c r="C139" s="230" t="s">
        <v>215</v>
      </c>
      <c r="D139" s="230" t="s">
        <v>215</v>
      </c>
      <c r="E139" s="230" t="s">
        <v>215</v>
      </c>
      <c r="F139" s="230" t="s">
        <v>215</v>
      </c>
      <c r="G139" s="230" t="s">
        <v>215</v>
      </c>
      <c r="H139" s="230" t="s">
        <v>215</v>
      </c>
      <c r="I139" s="230" t="s">
        <v>215</v>
      </c>
      <c r="J139" s="230" t="s">
        <v>215</v>
      </c>
      <c r="K139" s="230" t="s">
        <v>215</v>
      </c>
      <c r="L139" s="230">
        <v>0.18249380677126342</v>
      </c>
      <c r="M139" s="57">
        <v>0.18165467625899281</v>
      </c>
      <c r="N139" s="57">
        <v>0.17971014492753623</v>
      </c>
      <c r="O139" s="57">
        <v>0.25012893243940176</v>
      </c>
      <c r="P139" s="57">
        <v>0.26899798251513113</v>
      </c>
      <c r="Q139" s="57">
        <v>0.30014785608674222</v>
      </c>
      <c r="R139" s="57">
        <v>0.32972322503008422</v>
      </c>
      <c r="S139" s="57">
        <v>0.29021179164281624</v>
      </c>
      <c r="T139" s="58">
        <v>0.33025529603476372</v>
      </c>
      <c r="U139" s="57">
        <v>0</v>
      </c>
      <c r="V139" s="57">
        <v>0.24987775061124695</v>
      </c>
      <c r="W139" s="57">
        <v>0.25017064846416381</v>
      </c>
      <c r="X139" s="57">
        <v>0.25023084025854109</v>
      </c>
      <c r="Y139" s="58">
        <v>0.24992030602486451</v>
      </c>
      <c r="Z139" s="58">
        <v>0</v>
      </c>
      <c r="AA139" s="491">
        <v>0</v>
      </c>
      <c r="AB139" s="491">
        <v>0.21912876395837039</v>
      </c>
      <c r="AC139" s="532">
        <v>0</v>
      </c>
      <c r="AD139" s="532">
        <v>0.17834378016318667</v>
      </c>
      <c r="AE139" s="491">
        <v>0.18</v>
      </c>
      <c r="AF139" s="491">
        <v>0.16331961278911566</v>
      </c>
      <c r="AG139" s="491">
        <v>0.15395231601890758</v>
      </c>
      <c r="AH139" s="532">
        <v>0.16233477483814521</v>
      </c>
      <c r="AI139" s="532">
        <v>0.39534967355868311</v>
      </c>
      <c r="AJ139" s="532">
        <v>0.15301241031669044</v>
      </c>
      <c r="AK139" s="532">
        <v>0.18427389246002462</v>
      </c>
      <c r="AL139" s="532">
        <v>0</v>
      </c>
      <c r="AM139" s="532">
        <v>0</v>
      </c>
      <c r="AN139" s="532">
        <v>0</v>
      </c>
      <c r="AO139" s="532">
        <v>0.15234211100288184</v>
      </c>
      <c r="AP139" s="532">
        <v>0</v>
      </c>
      <c r="AQ139" s="532">
        <v>0</v>
      </c>
      <c r="AR139" s="532">
        <v>0</v>
      </c>
      <c r="AS139" s="532">
        <v>0</v>
      </c>
      <c r="AT139" s="532">
        <v>0</v>
      </c>
      <c r="AU139" s="532">
        <v>0</v>
      </c>
      <c r="AV139" s="532">
        <v>0</v>
      </c>
      <c r="AW139" s="500">
        <v>0</v>
      </c>
      <c r="AX139" s="60">
        <v>0</v>
      </c>
      <c r="AY139" s="60">
        <v>0</v>
      </c>
      <c r="AZ139" s="60">
        <v>0</v>
      </c>
      <c r="BA139" s="60">
        <v>0</v>
      </c>
      <c r="BB139" s="60">
        <v>0</v>
      </c>
      <c r="BC139" s="60">
        <v>0</v>
      </c>
      <c r="BD139" s="60">
        <v>0</v>
      </c>
      <c r="BE139" s="60">
        <v>0</v>
      </c>
      <c r="BF139" s="60">
        <v>0</v>
      </c>
      <c r="BG139" s="60">
        <v>0</v>
      </c>
      <c r="BH139" s="60">
        <v>0</v>
      </c>
      <c r="BI139" s="60">
        <v>0</v>
      </c>
      <c r="BJ139" s="60">
        <v>0</v>
      </c>
      <c r="BK139" s="60">
        <v>0</v>
      </c>
      <c r="BL139" s="486">
        <v>0</v>
      </c>
      <c r="BM139" s="486">
        <v>0</v>
      </c>
      <c r="BN139" s="486">
        <v>0</v>
      </c>
      <c r="BO139" s="486">
        <v>0</v>
      </c>
      <c r="BP139" s="486">
        <v>0</v>
      </c>
      <c r="BQ139" s="486">
        <v>0</v>
      </c>
      <c r="BR139" s="57"/>
      <c r="BS139" s="230" t="s">
        <v>215</v>
      </c>
      <c r="BT139" s="230" t="s">
        <v>215</v>
      </c>
      <c r="BU139" s="230" t="s">
        <v>215</v>
      </c>
      <c r="BV139" s="230" t="s">
        <v>215</v>
      </c>
      <c r="BW139" s="230" t="s">
        <v>215</v>
      </c>
      <c r="BX139" s="230" t="s">
        <v>215</v>
      </c>
      <c r="BY139" s="230" t="s">
        <v>215</v>
      </c>
      <c r="BZ139" s="230" t="s">
        <v>215</v>
      </c>
      <c r="CA139" s="230" t="s">
        <v>215</v>
      </c>
      <c r="CB139" s="230" t="s">
        <v>215</v>
      </c>
      <c r="CC139" s="57" t="s">
        <v>215</v>
      </c>
      <c r="CD139" s="57" t="s">
        <v>215</v>
      </c>
      <c r="CE139" s="57" t="s">
        <v>215</v>
      </c>
      <c r="CF139" s="57" t="s">
        <v>215</v>
      </c>
      <c r="CG139" s="57">
        <v>0.18165467625899281</v>
      </c>
      <c r="CH139" s="57">
        <v>0.25012893243940176</v>
      </c>
      <c r="CI139" s="57">
        <v>0.30014785608674222</v>
      </c>
      <c r="CJ139" s="57">
        <v>0.29021179164281624</v>
      </c>
      <c r="CK139" s="57">
        <v>0</v>
      </c>
      <c r="CL139" s="57">
        <v>0.25017064846416381</v>
      </c>
      <c r="CM139" s="58">
        <v>0.24992030602486451</v>
      </c>
      <c r="CN139" s="386">
        <v>0</v>
      </c>
      <c r="CO139" s="386">
        <v>0.11442681162970297</v>
      </c>
      <c r="CP139" s="386">
        <v>0.17913210544138519</v>
      </c>
      <c r="CQ139" s="386">
        <v>0.1587913270613385</v>
      </c>
      <c r="CR139" s="386">
        <v>0.27274075628249017</v>
      </c>
      <c r="CS139" s="386">
        <v>0.16765317660642673</v>
      </c>
      <c r="CT139" s="386">
        <v>0</v>
      </c>
      <c r="CU139" s="386">
        <v>7.0689615015100501E-2</v>
      </c>
      <c r="CV139" s="386">
        <v>0</v>
      </c>
      <c r="CW139" s="386">
        <v>0</v>
      </c>
      <c r="CX139" s="386">
        <v>0</v>
      </c>
      <c r="CY139" s="231">
        <v>0</v>
      </c>
      <c r="CZ139" s="230">
        <v>0</v>
      </c>
      <c r="DA139" s="230">
        <v>0</v>
      </c>
      <c r="DB139" s="230">
        <v>0</v>
      </c>
      <c r="DC139" s="230">
        <v>0</v>
      </c>
      <c r="DD139" s="230">
        <v>0</v>
      </c>
      <c r="DE139" s="230">
        <v>0</v>
      </c>
      <c r="DF139" s="230">
        <v>0</v>
      </c>
      <c r="DG139" s="230">
        <v>0</v>
      </c>
      <c r="DH139" s="230">
        <v>0</v>
      </c>
      <c r="DI139" s="230">
        <v>0</v>
      </c>
    </row>
    <row r="140" spans="1:113" outlineLevel="1">
      <c r="AB140" s="45"/>
      <c r="AC140" s="45"/>
      <c r="AD140" s="45"/>
      <c r="AE140" s="45"/>
      <c r="AF140" s="45"/>
      <c r="AG140" s="45"/>
      <c r="AH140" s="45"/>
      <c r="AI140" s="705"/>
      <c r="AJ140" s="751"/>
      <c r="AK140" s="45"/>
      <c r="AL140" s="45"/>
      <c r="AM140" s="45"/>
      <c r="AN140" s="45"/>
      <c r="AO140" s="45"/>
      <c r="AP140" s="45"/>
      <c r="AQ140" s="45"/>
      <c r="AR140" s="45"/>
      <c r="AS140" s="45"/>
      <c r="AT140" s="45"/>
      <c r="AU140" s="45"/>
      <c r="AV140" s="45"/>
      <c r="AW140" s="43"/>
      <c r="AX140" s="583"/>
      <c r="AY140" s="46"/>
      <c r="AZ140" s="46"/>
      <c r="BA140" s="46"/>
      <c r="BB140" s="46"/>
      <c r="BC140" s="46"/>
      <c r="BD140" s="46"/>
      <c r="BE140" s="46"/>
      <c r="BF140" s="46"/>
      <c r="BG140" s="46"/>
      <c r="BH140" s="46"/>
      <c r="BI140" s="46"/>
      <c r="BJ140" s="46"/>
      <c r="BK140" s="46"/>
      <c r="BL140" s="46"/>
      <c r="BM140" s="46"/>
      <c r="BN140" s="46"/>
      <c r="BO140" s="46"/>
      <c r="BP140" s="46"/>
      <c r="BQ140" s="46"/>
      <c r="CY140" s="22"/>
    </row>
    <row r="141" spans="1:113" outlineLevel="1">
      <c r="A141" s="1" t="s">
        <v>1049</v>
      </c>
      <c r="B141" s="19" t="s">
        <v>410</v>
      </c>
      <c r="C141" s="72" t="e">
        <v>#VALUE!</v>
      </c>
      <c r="D141" s="72">
        <v>8.6909008646694019</v>
      </c>
      <c r="E141" s="72">
        <v>0.2633601447817</v>
      </c>
      <c r="F141" s="72">
        <v>0.66358335009044822</v>
      </c>
      <c r="G141" s="72">
        <v>0</v>
      </c>
      <c r="H141" s="72">
        <v>7.5183882968028684</v>
      </c>
      <c r="I141" s="72">
        <v>2.9629097124470718</v>
      </c>
      <c r="J141" s="72">
        <v>9.9235330786245868</v>
      </c>
      <c r="K141" s="72">
        <v>6.4349125276494306</v>
      </c>
      <c r="L141" s="72">
        <v>8.3315473557208861</v>
      </c>
      <c r="M141" s="72">
        <v>-5.6885381057711584</v>
      </c>
      <c r="N141" s="72">
        <v>7.1515714860242952</v>
      </c>
      <c r="O141" s="72">
        <v>10.62287753870919</v>
      </c>
      <c r="P141" s="72">
        <v>15.462396943494923</v>
      </c>
      <c r="Q141" s="72">
        <v>10.22380957168707</v>
      </c>
      <c r="R141" s="72">
        <v>145.85620450432339</v>
      </c>
      <c r="S141" s="72">
        <v>47.860055298612451</v>
      </c>
      <c r="T141" s="72">
        <v>15.528868892016817</v>
      </c>
      <c r="U141" s="72">
        <v>14.569969837120652</v>
      </c>
      <c r="V141" s="72">
        <v>0.17062135531864442</v>
      </c>
      <c r="W141" s="72">
        <v>9.7829981902270902</v>
      </c>
      <c r="X141" s="72">
        <v>22.766286949527512</v>
      </c>
      <c r="Y141" s="72">
        <v>10.933226422682537</v>
      </c>
      <c r="Z141" s="72">
        <v>17.11850090488656</v>
      </c>
      <c r="AA141" s="72">
        <v>2.8344651116024124</v>
      </c>
      <c r="AB141" s="72">
        <v>0</v>
      </c>
      <c r="AC141" s="72">
        <v>9.0488638648703272</v>
      </c>
      <c r="AD141" s="72">
        <v>0.32092700583143596</v>
      </c>
      <c r="AE141" s="72">
        <v>6.7170782224011418</v>
      </c>
      <c r="AF141" s="72">
        <v>71.161069776794648</v>
      </c>
      <c r="AG141" s="72">
        <v>7</v>
      </c>
      <c r="AH141" s="72">
        <v>8</v>
      </c>
      <c r="AI141" s="72">
        <v>7</v>
      </c>
      <c r="AJ141" s="72">
        <v>23</v>
      </c>
      <c r="AK141" s="72">
        <v>7</v>
      </c>
      <c r="AL141" s="72">
        <v>10.239507000000003</v>
      </c>
      <c r="AM141" s="72">
        <v>0</v>
      </c>
      <c r="AN141" s="72">
        <v>0</v>
      </c>
      <c r="AO141" s="72">
        <v>0</v>
      </c>
      <c r="AP141" s="72">
        <v>3.8569030000001021</v>
      </c>
      <c r="AQ141" s="72">
        <v>0</v>
      </c>
      <c r="AR141" s="72">
        <v>-67.704807000000073</v>
      </c>
      <c r="AS141" s="72">
        <v>-4.8531970000001365</v>
      </c>
      <c r="AT141" s="72">
        <v>-13.124236999999994</v>
      </c>
      <c r="AU141" s="72">
        <v>-13.89477799999986</v>
      </c>
      <c r="AV141" s="72">
        <v>-1.2986430000000837</v>
      </c>
      <c r="AW141" s="73">
        <v>-1.1507179999998698</v>
      </c>
      <c r="AX141" s="74">
        <v>-2.7591355494125684</v>
      </c>
      <c r="AY141" s="74">
        <v>-2.6439856694799313</v>
      </c>
      <c r="AZ141" s="74">
        <v>0</v>
      </c>
      <c r="BA141" s="74">
        <v>0</v>
      </c>
      <c r="BB141" s="74">
        <v>0</v>
      </c>
      <c r="BC141" s="74">
        <v>0</v>
      </c>
      <c r="BD141" s="74">
        <v>0</v>
      </c>
      <c r="BE141" s="74">
        <v>0</v>
      </c>
      <c r="BF141" s="74">
        <v>0</v>
      </c>
      <c r="BG141" s="74">
        <v>0</v>
      </c>
      <c r="BH141" s="74">
        <v>0</v>
      </c>
      <c r="BI141" s="74">
        <v>0</v>
      </c>
      <c r="BJ141" s="74">
        <v>0</v>
      </c>
      <c r="BK141" s="74">
        <v>0</v>
      </c>
      <c r="BL141" s="74">
        <v>0</v>
      </c>
      <c r="BM141" s="74">
        <v>0</v>
      </c>
      <c r="BN141" s="74">
        <v>0</v>
      </c>
      <c r="BO141" s="74">
        <v>0</v>
      </c>
      <c r="BP141" s="74">
        <v>0</v>
      </c>
      <c r="BQ141" s="74">
        <v>0</v>
      </c>
      <c r="BR141" s="72"/>
      <c r="BS141" s="72">
        <v>848.97995777196866</v>
      </c>
      <c r="BT141" s="72">
        <v>31.166465915946105</v>
      </c>
      <c r="BU141" s="72">
        <v>29.711300020108524</v>
      </c>
      <c r="BV141" s="72">
        <v>44.450705811381454</v>
      </c>
      <c r="BW141" s="72">
        <v>41.472156645887821</v>
      </c>
      <c r="BX141" s="72">
        <v>-60.553122863462704</v>
      </c>
      <c r="BY141" s="72">
        <v>-7.559783832696553</v>
      </c>
      <c r="BZ141" s="72">
        <v>-6.7259692338628838</v>
      </c>
      <c r="CA141" s="72">
        <v>346.10230544942692</v>
      </c>
      <c r="CB141" s="72">
        <v>-16.274404785843672</v>
      </c>
      <c r="CC141" s="72">
        <v>8.9542610094511019</v>
      </c>
      <c r="CD141" s="72">
        <v>0.66358335009044822</v>
      </c>
      <c r="CE141" s="72">
        <v>10.48129800924994</v>
      </c>
      <c r="CF141" s="72">
        <v>16.358445606274017</v>
      </c>
      <c r="CG141" s="72">
        <v>2.6430092499497277</v>
      </c>
      <c r="CH141" s="72">
        <v>17.774449024733485</v>
      </c>
      <c r="CI141" s="72">
        <v>25.686206515181993</v>
      </c>
      <c r="CJ141" s="72">
        <v>193.71625980293584</v>
      </c>
      <c r="CK141" s="72">
        <v>30.098838729137469</v>
      </c>
      <c r="CL141" s="72">
        <v>9.9536195455457346</v>
      </c>
      <c r="CM141" s="72">
        <v>33.699513372210049</v>
      </c>
      <c r="CN141" s="72">
        <v>19.952966016488972</v>
      </c>
      <c r="CO141" s="72">
        <v>9.0488638648703272</v>
      </c>
      <c r="CP141" s="72">
        <v>7.0380052282325778</v>
      </c>
      <c r="CQ141" s="72">
        <v>78.161069776794648</v>
      </c>
      <c r="CR141" s="72">
        <v>8</v>
      </c>
      <c r="CS141" s="72">
        <v>7</v>
      </c>
      <c r="CT141" s="72">
        <v>40.239507000000003</v>
      </c>
      <c r="CU141" s="72">
        <v>0</v>
      </c>
      <c r="CV141" s="72">
        <v>3.8569030000001021</v>
      </c>
      <c r="CW141" s="72">
        <v>-72.55800400000021</v>
      </c>
      <c r="CX141" s="72">
        <v>-27.019014999999854</v>
      </c>
      <c r="CY141" s="73">
        <v>-2.4493609999999535</v>
      </c>
      <c r="CZ141" s="72">
        <v>-5.4031212188924655</v>
      </c>
      <c r="DA141" s="72">
        <v>0</v>
      </c>
      <c r="DB141" s="72">
        <v>0</v>
      </c>
      <c r="DC141" s="72">
        <v>0</v>
      </c>
      <c r="DD141" s="72">
        <v>0</v>
      </c>
      <c r="DE141" s="72">
        <v>0</v>
      </c>
      <c r="DF141" s="72">
        <v>0</v>
      </c>
      <c r="DG141" s="72">
        <v>0</v>
      </c>
      <c r="DH141" s="72">
        <v>0</v>
      </c>
      <c r="DI141" s="72">
        <v>0</v>
      </c>
    </row>
    <row r="142" spans="1:113" outlineLevel="1">
      <c r="A142" s="1" t="s">
        <v>1050</v>
      </c>
      <c r="B142" s="19" t="s">
        <v>411</v>
      </c>
      <c r="C142" s="557">
        <v>33.965589999999999</v>
      </c>
      <c r="D142" s="557">
        <v>30.017028</v>
      </c>
      <c r="E142" s="557">
        <v>32.752178000000001</v>
      </c>
      <c r="F142" s="557">
        <v>26.973552000000002</v>
      </c>
      <c r="G142" s="557">
        <v>29.390430000000002</v>
      </c>
      <c r="H142" s="557">
        <v>29.290970000000002</v>
      </c>
      <c r="I142" s="557">
        <v>32.404068000000002</v>
      </c>
      <c r="J142" s="557">
        <v>31.936606000000001</v>
      </c>
      <c r="K142" s="557">
        <v>37.745070000000005</v>
      </c>
      <c r="L142" s="557">
        <v>42.519150000000003</v>
      </c>
      <c r="M142" s="76">
        <v>44.170186000000001</v>
      </c>
      <c r="N142" s="76">
        <v>49.212807999999995</v>
      </c>
      <c r="O142" s="76">
        <v>54.951650000000001</v>
      </c>
      <c r="P142" s="76">
        <v>58.780860000000004</v>
      </c>
      <c r="Q142" s="76">
        <v>39.953082000000002</v>
      </c>
      <c r="R142" s="76">
        <v>28.743939999999998</v>
      </c>
      <c r="S142" s="76">
        <v>38.789400000000001</v>
      </c>
      <c r="T142" s="76">
        <v>54.553810000000006</v>
      </c>
      <c r="U142" s="76">
        <v>48.377344000000001</v>
      </c>
      <c r="V142" s="76">
        <v>50.495842000000003</v>
      </c>
      <c r="W142" s="76">
        <v>52.017580000000002</v>
      </c>
      <c r="X142" s="76">
        <v>48.954211999999998</v>
      </c>
      <c r="Y142" s="173">
        <v>52.813260000000007</v>
      </c>
      <c r="Z142" s="173">
        <v>61.844228000000001</v>
      </c>
      <c r="AA142" s="492">
        <v>68.806428000000011</v>
      </c>
      <c r="AB142" s="492">
        <v>77.37988</v>
      </c>
      <c r="AC142" s="492">
        <v>80.443247999999997</v>
      </c>
      <c r="AD142" s="492">
        <v>85.187490000000011</v>
      </c>
      <c r="AE142" s="492">
        <v>84.670298000000003</v>
      </c>
      <c r="AF142" s="492">
        <v>85.53</v>
      </c>
      <c r="AG142" s="492">
        <v>74.37</v>
      </c>
      <c r="AH142" s="492">
        <v>82.41</v>
      </c>
      <c r="AI142" s="492">
        <v>82.71</v>
      </c>
      <c r="AJ142" s="492">
        <v>80.34</v>
      </c>
      <c r="AK142" s="492">
        <v>72.87</v>
      </c>
      <c r="AL142" s="492">
        <v>72.39</v>
      </c>
      <c r="AM142" s="492">
        <v>82.78</v>
      </c>
      <c r="AN142" s="492">
        <v>79.900000000000006</v>
      </c>
      <c r="AO142" s="492">
        <v>69.42</v>
      </c>
      <c r="AP142" s="493">
        <v>82.11</v>
      </c>
      <c r="AQ142" s="493">
        <v>99.87</v>
      </c>
      <c r="AR142" s="493">
        <v>101</v>
      </c>
      <c r="AS142" s="493">
        <v>90.38</v>
      </c>
      <c r="AT142" s="493">
        <v>102.6</v>
      </c>
      <c r="AU142" s="493">
        <v>100.27</v>
      </c>
      <c r="AV142" s="493">
        <v>111.8</v>
      </c>
      <c r="AW142" s="777">
        <v>127.38</v>
      </c>
      <c r="AX142" s="75">
        <v>132.92760635624188</v>
      </c>
      <c r="AY142" s="75">
        <v>138.71681999999998</v>
      </c>
      <c r="AZ142" s="75">
        <v>144.75816332194742</v>
      </c>
      <c r="BA142" s="75">
        <v>151.06261698</v>
      </c>
      <c r="BB142" s="75">
        <v>157.64163985760075</v>
      </c>
      <c r="BC142" s="75">
        <v>164.50718989122001</v>
      </c>
      <c r="BD142" s="75">
        <v>171.67174580492721</v>
      </c>
      <c r="BE142" s="75">
        <v>179.1483297915386</v>
      </c>
      <c r="BF142" s="75">
        <v>186.95053118156576</v>
      </c>
      <c r="BG142" s="75">
        <v>195.09253114298556</v>
      </c>
      <c r="BH142" s="75">
        <v>203.58912845672515</v>
      </c>
      <c r="BI142" s="75">
        <v>212.45576641471129</v>
      </c>
      <c r="BJ142" s="75">
        <v>221.7085608893737</v>
      </c>
      <c r="BK142" s="75">
        <v>231.36432962562063</v>
      </c>
      <c r="BL142" s="558">
        <v>241.44062280852799</v>
      </c>
      <c r="BM142" s="558">
        <v>251.95575496230089</v>
      </c>
      <c r="BN142" s="558">
        <v>262.928838238487</v>
      </c>
      <c r="BO142" s="558">
        <v>274.37981715394568</v>
      </c>
      <c r="BP142" s="558">
        <v>286.32950484171238</v>
      </c>
      <c r="BQ142" s="558">
        <v>298.7996208806469</v>
      </c>
      <c r="BR142" s="75"/>
      <c r="BS142" s="557">
        <v>7.1213360000000003</v>
      </c>
      <c r="BT142" s="557">
        <v>8.6420794000000001</v>
      </c>
      <c r="BU142" s="557">
        <v>7.7280420000000003</v>
      </c>
      <c r="BV142" s="557">
        <v>9.279618000000001</v>
      </c>
      <c r="BW142" s="557">
        <v>10.403516000000002</v>
      </c>
      <c r="BX142" s="557">
        <v>15.913600000000001</v>
      </c>
      <c r="BY142" s="557">
        <v>18.738264000000001</v>
      </c>
      <c r="BZ142" s="557">
        <v>23.92013</v>
      </c>
      <c r="CA142" s="557">
        <v>27.540474000000003</v>
      </c>
      <c r="CB142" s="557">
        <v>33.965589999999999</v>
      </c>
      <c r="CC142" s="75">
        <v>32.752178000000001</v>
      </c>
      <c r="CD142" s="75">
        <v>29.390430000000002</v>
      </c>
      <c r="CE142" s="75">
        <v>32.404068000000002</v>
      </c>
      <c r="CF142" s="75">
        <v>37.745070000000005</v>
      </c>
      <c r="CG142" s="75">
        <v>44.170186000000001</v>
      </c>
      <c r="CH142" s="75">
        <v>54.951650000000001</v>
      </c>
      <c r="CI142" s="75">
        <v>39.953082000000002</v>
      </c>
      <c r="CJ142" s="75">
        <v>38.789400000000001</v>
      </c>
      <c r="CK142" s="75">
        <v>48.377344000000001</v>
      </c>
      <c r="CL142" s="75">
        <v>52.017580000000002</v>
      </c>
      <c r="CM142" s="78">
        <v>52.813260000000007</v>
      </c>
      <c r="CN142" s="78">
        <v>68.806428000000011</v>
      </c>
      <c r="CO142" s="78">
        <v>80.443247999999997</v>
      </c>
      <c r="CP142" s="78">
        <v>84.670298000000003</v>
      </c>
      <c r="CQ142" s="78">
        <v>74.37</v>
      </c>
      <c r="CR142" s="78">
        <v>82.71</v>
      </c>
      <c r="CS142" s="78">
        <v>72.87</v>
      </c>
      <c r="CT142" s="78">
        <v>82.78</v>
      </c>
      <c r="CU142" s="78">
        <v>69.42</v>
      </c>
      <c r="CV142" s="78">
        <v>99.87</v>
      </c>
      <c r="CW142" s="78">
        <v>90.38</v>
      </c>
      <c r="CX142" s="78">
        <v>100.27</v>
      </c>
      <c r="CY142" s="77">
        <v>127.38</v>
      </c>
      <c r="CZ142" s="75">
        <v>138.71681999999998</v>
      </c>
      <c r="DA142" s="75">
        <v>151.06261698</v>
      </c>
      <c r="DB142" s="75">
        <v>164.50718989122001</v>
      </c>
      <c r="DC142" s="75">
        <v>179.1483297915386</v>
      </c>
      <c r="DD142" s="75">
        <v>195.09253114298556</v>
      </c>
      <c r="DE142" s="75">
        <v>212.45576641471129</v>
      </c>
      <c r="DF142" s="75">
        <v>231.36432962562063</v>
      </c>
      <c r="DG142" s="558">
        <v>251.95575496230089</v>
      </c>
      <c r="DH142" s="558">
        <v>274.37981715394568</v>
      </c>
      <c r="DI142" s="558">
        <v>298.7996208806469</v>
      </c>
    </row>
    <row r="143" spans="1:113" outlineLevel="1">
      <c r="A143" s="1" t="s">
        <v>632</v>
      </c>
      <c r="B143" s="19" t="s">
        <v>417</v>
      </c>
      <c r="C143" s="558" t="e">
        <v>#VALUE!</v>
      </c>
      <c r="D143" s="558">
        <v>23.702951305938772</v>
      </c>
      <c r="E143" s="558">
        <v>15.18832700868847</v>
      </c>
      <c r="F143" s="558">
        <v>19.590606060607254</v>
      </c>
      <c r="G143" s="558" t="e">
        <v>#DIV/0!</v>
      </c>
      <c r="H143" s="558">
        <v>27.532496570844181</v>
      </c>
      <c r="I143" s="558">
        <v>159.97787513022888</v>
      </c>
      <c r="J143" s="558">
        <v>35.874319879764236</v>
      </c>
      <c r="K143" s="558">
        <v>22.067122029997556</v>
      </c>
      <c r="L143" s="558">
        <v>31.326713857154449</v>
      </c>
      <c r="M143" s="75">
        <v>49.221785069160966</v>
      </c>
      <c r="N143" s="75">
        <v>41.948822099627243</v>
      </c>
      <c r="O143" s="75">
        <v>48.762682061657593</v>
      </c>
      <c r="P143" s="75">
        <v>54.972072124794181</v>
      </c>
      <c r="Q143" s="75">
        <v>39.124359388277853</v>
      </c>
      <c r="R143" s="75">
        <v>31.949275081142474</v>
      </c>
      <c r="S143" s="75">
        <v>26.493910048548599</v>
      </c>
      <c r="T143" s="78">
        <v>72.123733401843381</v>
      </c>
      <c r="U143" s="75">
        <v>53.054330835372674</v>
      </c>
      <c r="V143" s="75">
        <v>29.304655274026132</v>
      </c>
      <c r="W143" s="75">
        <v>52.335694032068005</v>
      </c>
      <c r="X143" s="75">
        <v>36.633114651017287</v>
      </c>
      <c r="Y143" s="78">
        <v>48.567548084284141</v>
      </c>
      <c r="Z143" s="78">
        <v>54.268770680428709</v>
      </c>
      <c r="AA143" s="493">
        <v>68.090448250707524</v>
      </c>
      <c r="AB143" s="78">
        <v>76.187074329240176</v>
      </c>
      <c r="AC143" s="587">
        <v>78.131355555555317</v>
      </c>
      <c r="AD143" s="78">
        <v>81.996563150155197</v>
      </c>
      <c r="AE143" s="587">
        <v>85.00719823326483</v>
      </c>
      <c r="AF143" s="587">
        <v>79.804871087701102</v>
      </c>
      <c r="AG143" s="587">
        <v>78.857142857142861</v>
      </c>
      <c r="AH143" s="587">
        <v>73.25</v>
      </c>
      <c r="AI143" s="587">
        <v>79.571428571428569</v>
      </c>
      <c r="AJ143" s="587">
        <v>68.347826086956516</v>
      </c>
      <c r="AK143" s="587">
        <v>76.142857142857139</v>
      </c>
      <c r="AL143" s="587">
        <v>73.050391976879339</v>
      </c>
      <c r="AM143" s="78">
        <v>78.03407216750908</v>
      </c>
      <c r="AN143" s="78">
        <v>81.810806600569549</v>
      </c>
      <c r="AO143" s="78">
        <v>75.09214188343401</v>
      </c>
      <c r="AP143" s="587">
        <v>76.203537768529046</v>
      </c>
      <c r="AQ143" s="587">
        <v>91.516662067689012</v>
      </c>
      <c r="AR143" s="587">
        <v>88.634770054067118</v>
      </c>
      <c r="AS143" s="587">
        <v>96.843379735046156</v>
      </c>
      <c r="AT143" s="587">
        <v>101.41541942590648</v>
      </c>
      <c r="AU143" s="587">
        <v>86.50731951241049</v>
      </c>
      <c r="AV143" s="587">
        <v>101.49318097282961</v>
      </c>
      <c r="AW143" s="811">
        <v>111.23489855899923</v>
      </c>
      <c r="AX143" s="803">
        <v>130.15380317812094</v>
      </c>
      <c r="AY143" s="75">
        <v>135.82221317812093</v>
      </c>
      <c r="AZ143" s="75">
        <v>141.73749166097372</v>
      </c>
      <c r="BA143" s="75">
        <v>147.91039015097371</v>
      </c>
      <c r="BB143" s="75">
        <v>154.35212841880036</v>
      </c>
      <c r="BC143" s="75">
        <v>161.07441487441037</v>
      </c>
      <c r="BD143" s="75">
        <v>168.08946784807361</v>
      </c>
      <c r="BE143" s="75">
        <v>175.41003779823291</v>
      </c>
      <c r="BF143" s="75">
        <v>183.04943048655218</v>
      </c>
      <c r="BG143" s="75">
        <v>191.02153116227569</v>
      </c>
      <c r="BH143" s="75">
        <v>199.34082979985538</v>
      </c>
      <c r="BI143" s="75">
        <v>208.02244743571822</v>
      </c>
      <c r="BJ143" s="75">
        <v>217.08216365204245</v>
      </c>
      <c r="BK143" s="75">
        <v>226.53644525749715</v>
      </c>
      <c r="BL143" s="558">
        <v>236.40247621707428</v>
      </c>
      <c r="BM143" s="558">
        <v>246.69818888541437</v>
      </c>
      <c r="BN143" s="558">
        <v>257.44229660039389</v>
      </c>
      <c r="BO143" s="558">
        <v>268.65432769621628</v>
      </c>
      <c r="BP143" s="558">
        <v>280.35466099782894</v>
      </c>
      <c r="BQ143" s="558">
        <v>292.56456286117958</v>
      </c>
      <c r="BR143" s="75"/>
      <c r="BS143" s="558">
        <v>0</v>
      </c>
      <c r="BT143" s="558">
        <v>1.9091032060056974</v>
      </c>
      <c r="BU143" s="558">
        <v>1.884804769973019</v>
      </c>
      <c r="BV143" s="558">
        <v>1.9797210953952478</v>
      </c>
      <c r="BW143" s="558">
        <v>2.0013427492739249</v>
      </c>
      <c r="BX143" s="558">
        <v>1.9982454129217253</v>
      </c>
      <c r="BY143" s="558">
        <v>1.9841837190005396</v>
      </c>
      <c r="BZ143" s="558">
        <v>-249.92680482937055</v>
      </c>
      <c r="CA143" s="558">
        <v>25.989425260602214</v>
      </c>
      <c r="CB143" s="558">
        <v>4.055447856219617</v>
      </c>
      <c r="CC143" s="75">
        <v>23.452521629461977</v>
      </c>
      <c r="CD143" s="75">
        <v>19.590606060607254</v>
      </c>
      <c r="CE143" s="75">
        <v>64.972868761006978</v>
      </c>
      <c r="CF143" s="75">
        <v>30.442990244073076</v>
      </c>
      <c r="CG143" s="75">
        <v>-7.188775446155323</v>
      </c>
      <c r="CH143" s="75">
        <v>46.02111710251819</v>
      </c>
      <c r="CI143" s="75">
        <v>48.664250957461533</v>
      </c>
      <c r="CJ143" s="75">
        <v>30.601458060518258</v>
      </c>
      <c r="CK143" s="75">
        <v>48.473630930737571</v>
      </c>
      <c r="CL143" s="75">
        <v>51.94090427450169</v>
      </c>
      <c r="CM143" s="78">
        <v>40.505035931042045</v>
      </c>
      <c r="CN143" s="78">
        <v>46.559493923473923</v>
      </c>
      <c r="CO143" s="78">
        <v>78.131355555555317</v>
      </c>
      <c r="CP143" s="78">
        <v>81.130942857141449</v>
      </c>
      <c r="CQ143" s="78">
        <v>79.719993825493034</v>
      </c>
      <c r="CR143" s="78">
        <v>142.875</v>
      </c>
      <c r="CS143" s="78">
        <v>300.71428571428572</v>
      </c>
      <c r="CT143" s="78">
        <v>18.58869692414472</v>
      </c>
      <c r="CU143" s="78" t="e">
        <v>#DIV/0!</v>
      </c>
      <c r="CV143" s="78">
        <v>68.448700939586246</v>
      </c>
      <c r="CW143" s="78">
        <v>89.183820436956637</v>
      </c>
      <c r="CX143" s="78">
        <v>93.748791360455357</v>
      </c>
      <c r="CY143" s="77">
        <v>115.13206913966759</v>
      </c>
      <c r="CZ143" s="75">
        <v>132.92760635624273</v>
      </c>
      <c r="DA143" s="75" t="e">
        <v>#DIV/0!</v>
      </c>
      <c r="DB143" s="75" t="e">
        <v>#DIV/0!</v>
      </c>
      <c r="DC143" s="75" t="e">
        <v>#DIV/0!</v>
      </c>
      <c r="DD143" s="75" t="e">
        <v>#DIV/0!</v>
      </c>
      <c r="DE143" s="75" t="e">
        <v>#DIV/0!</v>
      </c>
      <c r="DF143" s="75" t="e">
        <v>#DIV/0!</v>
      </c>
      <c r="DG143" s="558" t="e">
        <v>#DIV/0!</v>
      </c>
      <c r="DH143" s="558" t="e">
        <v>#DIV/0!</v>
      </c>
      <c r="DI143" s="558" t="e">
        <v>#DIV/0!</v>
      </c>
    </row>
    <row r="144" spans="1:113" outlineLevel="1">
      <c r="AC144" s="45"/>
      <c r="AD144" s="582"/>
      <c r="AE144" s="582"/>
      <c r="AF144" s="582"/>
      <c r="AG144" s="639"/>
      <c r="AH144" s="45"/>
      <c r="AI144" s="706"/>
      <c r="AJ144" s="706"/>
      <c r="AK144" s="55"/>
      <c r="AL144" s="55"/>
      <c r="AM144" s="768"/>
      <c r="AN144" s="768"/>
      <c r="AO144" s="768"/>
      <c r="AP144" s="768"/>
      <c r="AQ144" s="768"/>
      <c r="AR144" s="768"/>
      <c r="AS144" s="768"/>
      <c r="AT144" s="768"/>
      <c r="AU144" s="768"/>
      <c r="AV144" s="768"/>
      <c r="AW144" s="760"/>
      <c r="AX144" s="55"/>
      <c r="AY144" s="55"/>
      <c r="AZ144" s="55"/>
      <c r="CY144" s="22"/>
    </row>
    <row r="145" spans="1:114" outlineLevel="1">
      <c r="A145" s="1" t="s">
        <v>863</v>
      </c>
      <c r="B145" s="19" t="s">
        <v>418</v>
      </c>
      <c r="C145" s="232">
        <v>0.5</v>
      </c>
      <c r="D145" s="232">
        <v>0.5</v>
      </c>
      <c r="E145" s="232">
        <v>0.5</v>
      </c>
      <c r="F145" s="232">
        <v>0.5</v>
      </c>
      <c r="G145" s="232">
        <v>0.5</v>
      </c>
      <c r="H145" s="232">
        <v>0.5</v>
      </c>
      <c r="I145" s="232">
        <v>0.5</v>
      </c>
      <c r="J145" s="232">
        <v>0.5</v>
      </c>
      <c r="K145" s="232">
        <v>0.5</v>
      </c>
      <c r="L145" s="232">
        <v>0.5</v>
      </c>
      <c r="M145" s="42">
        <v>0.5</v>
      </c>
      <c r="N145" s="42">
        <v>0.5</v>
      </c>
      <c r="O145" s="42">
        <v>0.5</v>
      </c>
      <c r="P145" s="42">
        <v>0.5</v>
      </c>
      <c r="Q145" s="42">
        <v>0.1824810074950288</v>
      </c>
      <c r="R145" s="42">
        <v>0.17142652826183505</v>
      </c>
      <c r="S145" s="42">
        <v>0.25809531631794008</v>
      </c>
      <c r="T145" s="45">
        <v>0.25558036432427561</v>
      </c>
      <c r="U145" s="42">
        <v>0.24204120862989187</v>
      </c>
      <c r="V145" s="42">
        <v>0.24112308668798671</v>
      </c>
      <c r="W145" s="42">
        <v>0.23589734427898917</v>
      </c>
      <c r="X145" s="42">
        <v>0.22713831874128382</v>
      </c>
      <c r="Y145" s="45">
        <v>0.22734934741529997</v>
      </c>
      <c r="Z145" s="45">
        <v>0.18351909719321113</v>
      </c>
      <c r="AA145" s="45">
        <v>0.18552998605299861</v>
      </c>
      <c r="AB145" s="45">
        <v>0.19114983424672047</v>
      </c>
      <c r="AC145" s="45">
        <v>0.18907139372255652</v>
      </c>
      <c r="AD145" s="45">
        <v>0.19931437740849248</v>
      </c>
      <c r="AE145" s="45">
        <v>0.19879106351882814</v>
      </c>
      <c r="AF145" s="45">
        <v>0.20445998865445494</v>
      </c>
      <c r="AG145" s="45">
        <v>0.20610471107758829</v>
      </c>
      <c r="AH145" s="45">
        <v>0.26082254746768474</v>
      </c>
      <c r="AI145" s="45">
        <v>0.29381484675532099</v>
      </c>
      <c r="AJ145" s="45">
        <v>0.29224377293540738</v>
      </c>
      <c r="AK145" s="45">
        <v>0.29359831760238408</v>
      </c>
      <c r="AL145" s="45">
        <v>0.29865854967268612</v>
      </c>
      <c r="AM145" s="45">
        <v>0.30218073897296449</v>
      </c>
      <c r="AN145" s="45">
        <v>0.29463641630379939</v>
      </c>
      <c r="AO145" s="45">
        <v>0.29157272325375772</v>
      </c>
      <c r="AP145" s="45">
        <v>0.28874987037785305</v>
      </c>
      <c r="AQ145" s="45">
        <v>0.2918952110888029</v>
      </c>
      <c r="AR145" s="45">
        <v>0.29239986136554935</v>
      </c>
      <c r="AS145" s="45">
        <v>0.29095665063754739</v>
      </c>
      <c r="AT145" s="45">
        <v>0.27907827931290141</v>
      </c>
      <c r="AU145" s="45">
        <v>0.23728569282049866</v>
      </c>
      <c r="AV145" s="45">
        <v>0.23180672139716507</v>
      </c>
      <c r="AW145" s="43">
        <v>0.22894654889942997</v>
      </c>
      <c r="AX145" s="46">
        <v>0.22894654889942997</v>
      </c>
      <c r="AY145" s="46">
        <v>0.22894654889942997</v>
      </c>
      <c r="AZ145" s="46">
        <v>0.22894654889942997</v>
      </c>
      <c r="BA145" s="46">
        <v>0.22894654889942997</v>
      </c>
      <c r="BB145" s="46">
        <v>0.22894654889942997</v>
      </c>
      <c r="BC145" s="46">
        <v>0.22894654889942997</v>
      </c>
      <c r="BD145" s="46">
        <v>0.22894654889942997</v>
      </c>
      <c r="BE145" s="46">
        <v>0.22894654889942997</v>
      </c>
      <c r="BF145" s="46">
        <v>0.22894654889942997</v>
      </c>
      <c r="BG145" s="46">
        <v>0.22894654889942997</v>
      </c>
      <c r="BH145" s="46">
        <v>0.22894654889942997</v>
      </c>
      <c r="BI145" s="46">
        <v>0.22894654889942997</v>
      </c>
      <c r="BJ145" s="46">
        <v>0.23894654889942998</v>
      </c>
      <c r="BK145" s="46">
        <v>0.24894654889942999</v>
      </c>
      <c r="BL145" s="46">
        <v>0.23894654889942998</v>
      </c>
      <c r="BM145" s="46">
        <v>0.22894654889942997</v>
      </c>
      <c r="BN145" s="46">
        <v>0.22894654889942997</v>
      </c>
      <c r="BO145" s="511">
        <v>0.22894654889942997</v>
      </c>
      <c r="BP145" s="46">
        <v>0.22894654889942997</v>
      </c>
      <c r="BQ145" s="511">
        <v>0.22894654889942997</v>
      </c>
      <c r="BR145" s="42"/>
      <c r="BS145" s="232">
        <v>0.5</v>
      </c>
      <c r="BT145" s="232">
        <v>0.5</v>
      </c>
      <c r="BU145" s="232">
        <v>0.5</v>
      </c>
      <c r="BV145" s="232">
        <v>0.5</v>
      </c>
      <c r="BW145" s="232">
        <v>0.5</v>
      </c>
      <c r="BX145" s="232">
        <v>0.5</v>
      </c>
      <c r="BY145" s="232">
        <v>0.5</v>
      </c>
      <c r="BZ145" s="232">
        <v>0.5</v>
      </c>
      <c r="CA145" s="232">
        <v>0.5</v>
      </c>
      <c r="CB145" s="232">
        <v>0.5</v>
      </c>
      <c r="CC145" s="42">
        <v>0.5</v>
      </c>
      <c r="CD145" s="42">
        <v>0.5</v>
      </c>
      <c r="CE145" s="42">
        <v>0.5</v>
      </c>
      <c r="CF145" s="42">
        <v>0.5</v>
      </c>
      <c r="CG145" s="42">
        <v>0.5</v>
      </c>
      <c r="CH145" s="42">
        <v>0.5</v>
      </c>
      <c r="CI145" s="42">
        <v>0.1824810074950288</v>
      </c>
      <c r="CJ145" s="42">
        <v>0.25809531631794008</v>
      </c>
      <c r="CK145" s="42">
        <v>0.24204120862989187</v>
      </c>
      <c r="CL145" s="42">
        <v>0.23589734427898917</v>
      </c>
      <c r="CM145" s="45">
        <v>0.22734934741529997</v>
      </c>
      <c r="CN145" s="45">
        <v>0.18552998605299861</v>
      </c>
      <c r="CO145" s="45">
        <v>0.18907139372255652</v>
      </c>
      <c r="CP145" s="45">
        <v>0.19879106351882814</v>
      </c>
      <c r="CQ145" s="45">
        <v>0.20610471107758829</v>
      </c>
      <c r="CR145" s="45">
        <v>0.29381484675532099</v>
      </c>
      <c r="CS145" s="45">
        <v>0.29359831760238408</v>
      </c>
      <c r="CT145" s="45">
        <v>0.30218073897296449</v>
      </c>
      <c r="CU145" s="45">
        <v>0.29157272325375772</v>
      </c>
      <c r="CV145" s="45">
        <v>0.2918952110888029</v>
      </c>
      <c r="CW145" s="45">
        <v>0.29095665063754739</v>
      </c>
      <c r="CX145" s="45">
        <v>0.23728569282049866</v>
      </c>
      <c r="CY145" s="43">
        <v>0.22894654889942997</v>
      </c>
      <c r="CZ145" s="42">
        <v>0.22894654889942997</v>
      </c>
      <c r="DA145" s="42">
        <v>0.22894654889942995</v>
      </c>
      <c r="DB145" s="42">
        <v>0.22894654889942997</v>
      </c>
      <c r="DC145" s="42">
        <v>0.22894654889942997</v>
      </c>
      <c r="DD145" s="42">
        <v>0.22894654889942997</v>
      </c>
      <c r="DE145" s="42">
        <v>0.22894654889942997</v>
      </c>
      <c r="DF145" s="42">
        <v>0.24894654889942999</v>
      </c>
      <c r="DG145" s="232">
        <v>0.22894654889942997</v>
      </c>
      <c r="DH145" s="232">
        <v>0.22894654889942997</v>
      </c>
      <c r="DI145" s="232">
        <v>0.22894654889942997</v>
      </c>
    </row>
    <row r="146" spans="1:114" outlineLevel="1">
      <c r="A146" s="1" t="s">
        <v>878</v>
      </c>
      <c r="B146" s="19" t="s">
        <v>259</v>
      </c>
      <c r="C146" s="232">
        <v>1.3242869320044588</v>
      </c>
      <c r="D146" s="232">
        <v>1.2921073882365401</v>
      </c>
      <c r="E146" s="232">
        <v>1.2860345719630135</v>
      </c>
      <c r="F146" s="232">
        <v>1.267431393055243</v>
      </c>
      <c r="G146" s="232">
        <v>1.2739445179041284</v>
      </c>
      <c r="H146" s="232">
        <v>1.2543393552957847</v>
      </c>
      <c r="I146" s="232">
        <v>1.3359284098782864</v>
      </c>
      <c r="J146" s="232">
        <v>1.1968998021386807</v>
      </c>
      <c r="K146" s="232">
        <v>1.1600504161414986</v>
      </c>
      <c r="L146" s="232">
        <v>1.1421622911694511</v>
      </c>
      <c r="M146" s="42">
        <v>1.1599585954723881</v>
      </c>
      <c r="N146" s="42">
        <v>1.1797024336557795</v>
      </c>
      <c r="O146" s="42">
        <v>1.0153523684007599</v>
      </c>
      <c r="P146" s="42">
        <v>0.90937669781931463</v>
      </c>
      <c r="Q146" s="42">
        <v>0.89452667190237423</v>
      </c>
      <c r="R146" s="42">
        <v>0.88311818876422565</v>
      </c>
      <c r="S146" s="42">
        <v>0.94311020883463781</v>
      </c>
      <c r="T146" s="45">
        <v>0.95530973687440301</v>
      </c>
      <c r="U146" s="42">
        <v>0.95484875563855465</v>
      </c>
      <c r="V146" s="42">
        <v>0.92099891543146362</v>
      </c>
      <c r="W146" s="42">
        <v>0.93015430573524271</v>
      </c>
      <c r="X146" s="42">
        <v>0.98179814271216403</v>
      </c>
      <c r="Y146" s="45">
        <v>0.96760394136024996</v>
      </c>
      <c r="Z146" s="45">
        <v>1.0220032160996035</v>
      </c>
      <c r="AA146" s="45">
        <v>1.0832308428576574</v>
      </c>
      <c r="AB146" s="45">
        <v>1.0246385654814043</v>
      </c>
      <c r="AC146" s="45">
        <v>1.0317941136684252</v>
      </c>
      <c r="AD146" s="45">
        <v>1.0681032436984956</v>
      </c>
      <c r="AE146" s="45">
        <v>1.0592053988548156</v>
      </c>
      <c r="AF146" s="45">
        <v>1.0349024400522566</v>
      </c>
      <c r="AG146" s="45">
        <v>1.0227346169106608</v>
      </c>
      <c r="AH146" s="45">
        <v>1.0190430045357937</v>
      </c>
      <c r="AI146" s="45">
        <v>0.93779917700081183</v>
      </c>
      <c r="AJ146" s="45">
        <v>0.9007444268963094</v>
      </c>
      <c r="AK146" s="45">
        <v>0.90457661060549321</v>
      </c>
      <c r="AL146" s="45">
        <v>0.88001562360140284</v>
      </c>
      <c r="AM146" s="45">
        <v>0.90536252310341048</v>
      </c>
      <c r="AN146" s="45">
        <v>0.92455580439669716</v>
      </c>
      <c r="AO146" s="45">
        <v>0.9135201232102359</v>
      </c>
      <c r="AP146" s="45">
        <v>0.9193096119127796</v>
      </c>
      <c r="AQ146" s="45">
        <v>0.89323517038283551</v>
      </c>
      <c r="AR146" s="45">
        <v>0.87581728836640771</v>
      </c>
      <c r="AS146" s="45">
        <v>0.81145098458169107</v>
      </c>
      <c r="AT146" s="45">
        <v>0.82082730670112558</v>
      </c>
      <c r="AU146" s="45">
        <v>0.7441561924514134</v>
      </c>
      <c r="AV146" s="45">
        <v>0.7853094520049434</v>
      </c>
      <c r="AW146" s="43">
        <v>0.77010172146735778</v>
      </c>
      <c r="AX146" s="46">
        <v>0.77010172146735778</v>
      </c>
      <c r="AY146" s="46">
        <v>0.77010172146735778</v>
      </c>
      <c r="AZ146" s="46">
        <v>0.77010172146735778</v>
      </c>
      <c r="BA146" s="46">
        <v>0.77010172146735778</v>
      </c>
      <c r="BB146" s="46">
        <v>0.77010172146735778</v>
      </c>
      <c r="BC146" s="46">
        <v>0.77010172146735778</v>
      </c>
      <c r="BD146" s="46">
        <v>0.77010172146735778</v>
      </c>
      <c r="BE146" s="46">
        <v>0.77010172146735778</v>
      </c>
      <c r="BF146" s="46">
        <v>0.77010172146735778</v>
      </c>
      <c r="BG146" s="46">
        <v>0.77010172146735778</v>
      </c>
      <c r="BH146" s="46">
        <v>0.77010172146735778</v>
      </c>
      <c r="BI146" s="46">
        <v>0.77010172146735778</v>
      </c>
      <c r="BJ146" s="46">
        <v>0.78010172146735779</v>
      </c>
      <c r="BK146" s="46">
        <v>0.7901017214673578</v>
      </c>
      <c r="BL146" s="46">
        <v>0.78010172146735779</v>
      </c>
      <c r="BM146" s="46">
        <v>0.77010172146735778</v>
      </c>
      <c r="BN146" s="46">
        <v>0.77010172146735778</v>
      </c>
      <c r="BO146" s="511">
        <v>0.77010172146735778</v>
      </c>
      <c r="BP146" s="46">
        <v>0.77010172146735778</v>
      </c>
      <c r="BQ146" s="511">
        <v>0.77010172146735778</v>
      </c>
      <c r="BR146" s="42"/>
      <c r="BS146" s="232">
        <v>0.8520813239960302</v>
      </c>
      <c r="BT146" s="232">
        <v>0.8516865657558047</v>
      </c>
      <c r="BU146" s="232">
        <v>0.86747705757005844</v>
      </c>
      <c r="BV146" s="232">
        <v>1.0670024490550345</v>
      </c>
      <c r="BW146" s="232">
        <v>1.1862577303119508</v>
      </c>
      <c r="BX146" s="232">
        <v>1.1869355308611145</v>
      </c>
      <c r="BY146" s="232">
        <v>1.1032755010469637</v>
      </c>
      <c r="BZ146" s="232">
        <v>0.94355602052508347</v>
      </c>
      <c r="CA146" s="232">
        <v>0.99240815887775125</v>
      </c>
      <c r="CB146" s="232">
        <v>1.0387908989574455</v>
      </c>
      <c r="CC146" s="42">
        <v>1.2860345719630135</v>
      </c>
      <c r="CD146" s="42">
        <v>1.2739445179041284</v>
      </c>
      <c r="CE146" s="42">
        <v>1.3359284098782864</v>
      </c>
      <c r="CF146" s="42">
        <v>1.1600504161414986</v>
      </c>
      <c r="CG146" s="42">
        <v>1.1599585954723881</v>
      </c>
      <c r="CH146" s="42">
        <v>1.0153523684007599</v>
      </c>
      <c r="CI146" s="42">
        <v>0.89452667190237423</v>
      </c>
      <c r="CJ146" s="42">
        <v>0.94311020883463781</v>
      </c>
      <c r="CK146" s="42">
        <v>0.95484875563855465</v>
      </c>
      <c r="CL146" s="42">
        <v>0.93015430573524271</v>
      </c>
      <c r="CM146" s="45">
        <v>0.96760394136024996</v>
      </c>
      <c r="CN146" s="45">
        <v>1.0832308428576574</v>
      </c>
      <c r="CO146" s="45">
        <v>1.0317941136684252</v>
      </c>
      <c r="CP146" s="45">
        <v>1.0592053988548156</v>
      </c>
      <c r="CQ146" s="45">
        <v>1.0227346169106608</v>
      </c>
      <c r="CR146" s="45">
        <v>0.93779917700081183</v>
      </c>
      <c r="CS146" s="45">
        <v>0.90457661060549321</v>
      </c>
      <c r="CT146" s="45">
        <v>0.90536252310341048</v>
      </c>
      <c r="CU146" s="45">
        <v>0.9135201232102359</v>
      </c>
      <c r="CV146" s="45">
        <v>0.89323517038283551</v>
      </c>
      <c r="CW146" s="45">
        <v>0.81145098458169107</v>
      </c>
      <c r="CX146" s="45">
        <v>0.7441561924514134</v>
      </c>
      <c r="CY146" s="43">
        <v>0.77010172146735778</v>
      </c>
      <c r="CZ146" s="42">
        <v>0.77010172146735778</v>
      </c>
      <c r="DA146" s="42">
        <v>0.77010172146735778</v>
      </c>
      <c r="DB146" s="42">
        <v>0.77010172146735778</v>
      </c>
      <c r="DC146" s="42">
        <v>0.77010172146735778</v>
      </c>
      <c r="DD146" s="42">
        <v>0.77010172146735778</v>
      </c>
      <c r="DE146" s="42">
        <v>0.77010172146735789</v>
      </c>
      <c r="DF146" s="42">
        <v>0.79010172146735769</v>
      </c>
      <c r="DG146" s="232">
        <v>0.77010172146735778</v>
      </c>
      <c r="DH146" s="232">
        <v>0.77010172146735778</v>
      </c>
      <c r="DI146" s="232">
        <v>0.77010172146735778</v>
      </c>
    </row>
    <row r="147" spans="1:114" outlineLevel="1">
      <c r="A147" s="1" t="s">
        <v>879</v>
      </c>
      <c r="B147" s="19" t="s">
        <v>260</v>
      </c>
      <c r="C147" s="232" t="s">
        <v>215</v>
      </c>
      <c r="D147" s="232" t="s">
        <v>215</v>
      </c>
      <c r="E147" s="232" t="s">
        <v>215</v>
      </c>
      <c r="F147" s="232" t="s">
        <v>215</v>
      </c>
      <c r="G147" s="232" t="s">
        <v>215</v>
      </c>
      <c r="H147" s="232" t="s">
        <v>215</v>
      </c>
      <c r="I147" s="232" t="s">
        <v>215</v>
      </c>
      <c r="J147" s="232" t="s">
        <v>215</v>
      </c>
      <c r="K147" s="232" t="s">
        <v>215</v>
      </c>
      <c r="L147" s="232" t="s">
        <v>215</v>
      </c>
      <c r="M147" s="42" t="s">
        <v>215</v>
      </c>
      <c r="N147" s="42" t="s">
        <v>215</v>
      </c>
      <c r="O147" s="42" t="s">
        <v>215</v>
      </c>
      <c r="P147" s="42" t="s">
        <v>215</v>
      </c>
      <c r="Q147" s="42">
        <v>0.16990752500023518</v>
      </c>
      <c r="R147" s="42">
        <v>0.1171600781153694</v>
      </c>
      <c r="S147" s="42">
        <v>0.22658831074883101</v>
      </c>
      <c r="T147" s="45">
        <v>0.30634248308487816</v>
      </c>
      <c r="U147" s="42">
        <v>0.25065869850008093</v>
      </c>
      <c r="V147" s="42">
        <v>0.28812533856749895</v>
      </c>
      <c r="W147" s="42">
        <v>0.23011825402570396</v>
      </c>
      <c r="X147" s="42">
        <v>0.22681788243994314</v>
      </c>
      <c r="Y147" s="45">
        <v>0.2315249701902784</v>
      </c>
      <c r="Z147" s="45">
        <v>0.24696333100550666</v>
      </c>
      <c r="AA147" s="45">
        <v>0.26505972467727246</v>
      </c>
      <c r="AB147" s="45">
        <v>0.27070945840405702</v>
      </c>
      <c r="AC147" s="45">
        <v>0.26289385099957785</v>
      </c>
      <c r="AD147" s="45">
        <v>0.18496213808463252</v>
      </c>
      <c r="AE147" s="45">
        <v>0.21672017566113497</v>
      </c>
      <c r="AF147" s="45">
        <v>0.25251066622907781</v>
      </c>
      <c r="AG147" s="45">
        <v>0.21783664725063884</v>
      </c>
      <c r="AH147" s="45">
        <v>0.24831478844629215</v>
      </c>
      <c r="AI147" s="45">
        <v>0.24876871880199666</v>
      </c>
      <c r="AJ147" s="45">
        <v>0.33315889907925783</v>
      </c>
      <c r="AK147" s="45">
        <v>0.39103487024616357</v>
      </c>
      <c r="AL147" s="45">
        <v>0.34116762625876124</v>
      </c>
      <c r="AM147" s="45">
        <v>0.37024314116593254</v>
      </c>
      <c r="AN147" s="45">
        <v>0.35298021149117992</v>
      </c>
      <c r="AO147" s="45">
        <v>0.34182021359001385</v>
      </c>
      <c r="AP147" s="45">
        <v>0.28882731201903528</v>
      </c>
      <c r="AQ147" s="45">
        <v>0.25182227823939329</v>
      </c>
      <c r="AR147" s="45">
        <v>0.27070164506895827</v>
      </c>
      <c r="AS147" s="45">
        <v>0.31477220571539</v>
      </c>
      <c r="AT147" s="45">
        <v>0.31943217882185532</v>
      </c>
      <c r="AU147" s="45">
        <v>0.32794571829667757</v>
      </c>
      <c r="AV147" s="45">
        <v>0.27275052447050036</v>
      </c>
      <c r="AW147" s="43">
        <v>0.31739084960484254</v>
      </c>
      <c r="AX147" s="46">
        <v>0.31419320551976448</v>
      </c>
      <c r="AY147" s="46">
        <v>0.31105703775593646</v>
      </c>
      <c r="AZ147" s="46">
        <v>0.31105703775593646</v>
      </c>
      <c r="BA147" s="46">
        <v>0.31105703775593646</v>
      </c>
      <c r="BB147" s="46">
        <v>0.31105703775593646</v>
      </c>
      <c r="BC147" s="46">
        <v>0.31105703775593646</v>
      </c>
      <c r="BD147" s="46">
        <v>0.31105703775593646</v>
      </c>
      <c r="BE147" s="46">
        <v>0.31105703775593646</v>
      </c>
      <c r="BF147" s="46">
        <v>0.31105703775593646</v>
      </c>
      <c r="BG147" s="46">
        <v>0.31105703775593646</v>
      </c>
      <c r="BH147" s="46">
        <v>0.31105703775593646</v>
      </c>
      <c r="BI147" s="46">
        <v>0.31105703775593646</v>
      </c>
      <c r="BJ147" s="46">
        <v>0.32105703775593647</v>
      </c>
      <c r="BK147" s="46">
        <v>0.33105703775593648</v>
      </c>
      <c r="BL147" s="46">
        <v>0.32105703775593647</v>
      </c>
      <c r="BM147" s="46">
        <v>0.31105703775593646</v>
      </c>
      <c r="BN147" s="46">
        <v>0.31105703775593646</v>
      </c>
      <c r="BO147" s="511">
        <v>0.31105703775593646</v>
      </c>
      <c r="BP147" s="46">
        <v>0.31105703775593646</v>
      </c>
      <c r="BQ147" s="511">
        <v>0.31105703775593646</v>
      </c>
      <c r="BR147" s="42"/>
      <c r="BS147" s="232" t="s">
        <v>215</v>
      </c>
      <c r="BT147" s="232" t="s">
        <v>215</v>
      </c>
      <c r="BU147" s="232" t="s">
        <v>215</v>
      </c>
      <c r="BV147" s="232" t="s">
        <v>215</v>
      </c>
      <c r="BW147" s="232" t="s">
        <v>215</v>
      </c>
      <c r="BX147" s="232" t="s">
        <v>215</v>
      </c>
      <c r="BY147" s="232" t="s">
        <v>215</v>
      </c>
      <c r="BZ147" s="232" t="s">
        <v>215</v>
      </c>
      <c r="CA147" s="232" t="s">
        <v>215</v>
      </c>
      <c r="CB147" s="232" t="s">
        <v>215</v>
      </c>
      <c r="CC147" s="42">
        <v>1.4622038729971493E-2</v>
      </c>
      <c r="CD147" s="42">
        <v>1.5857628416870124E-2</v>
      </c>
      <c r="CE147" s="42">
        <v>2.6037384795119207E-2</v>
      </c>
      <c r="CF147" s="42">
        <v>3.5716520455028974E-2</v>
      </c>
      <c r="CG147" s="42">
        <v>3.8130530973451329E-2</v>
      </c>
      <c r="CH147" s="42">
        <v>3.9364891443411175E-2</v>
      </c>
      <c r="CI147" s="42">
        <v>0.16990752500023518</v>
      </c>
      <c r="CJ147" s="42">
        <v>0.22658831074883101</v>
      </c>
      <c r="CK147" s="42">
        <v>0.25065869850008093</v>
      </c>
      <c r="CL147" s="42">
        <v>0.23011825402570396</v>
      </c>
      <c r="CM147" s="45">
        <v>0.2315249701902784</v>
      </c>
      <c r="CN147" s="45">
        <v>0.26505972467727246</v>
      </c>
      <c r="CO147" s="45">
        <v>0.26289385099957785</v>
      </c>
      <c r="CP147" s="45">
        <v>0.21672017566113497</v>
      </c>
      <c r="CQ147" s="45">
        <v>0.21783664725063884</v>
      </c>
      <c r="CR147" s="45">
        <v>0.24876871880199666</v>
      </c>
      <c r="CS147" s="45">
        <v>0.39103487024616357</v>
      </c>
      <c r="CT147" s="45">
        <v>0.37024314116593254</v>
      </c>
      <c r="CU147" s="45">
        <v>0.34182021359001385</v>
      </c>
      <c r="CV147" s="45">
        <v>0.25182227823939329</v>
      </c>
      <c r="CW147" s="45">
        <v>0.31477220571539</v>
      </c>
      <c r="CX147" s="45">
        <v>0.32794571829667757</v>
      </c>
      <c r="CY147" s="43">
        <v>0.31739084960484254</v>
      </c>
      <c r="CZ147" s="42">
        <v>0.31105703775593646</v>
      </c>
      <c r="DA147" s="42">
        <v>0.31105703775593646</v>
      </c>
      <c r="DB147" s="42">
        <v>0.31105703775593646</v>
      </c>
      <c r="DC147" s="42">
        <v>0.31105703775593646</v>
      </c>
      <c r="DD147" s="42">
        <v>0.31105703775593646</v>
      </c>
      <c r="DE147" s="42">
        <v>0.31105703775593646</v>
      </c>
      <c r="DF147" s="42">
        <v>0.33105703775593648</v>
      </c>
      <c r="DG147" s="232">
        <v>0.31105703775593646</v>
      </c>
      <c r="DH147" s="232">
        <v>0.31105703775593646</v>
      </c>
      <c r="DI147" s="232">
        <v>0.31105703775593646</v>
      </c>
    </row>
    <row r="148" spans="1:114" outlineLevel="1">
      <c r="A148" s="1" t="s">
        <v>880</v>
      </c>
      <c r="B148" s="19" t="s">
        <v>261</v>
      </c>
      <c r="C148" s="232">
        <v>0.04</v>
      </c>
      <c r="D148" s="232">
        <v>0.04</v>
      </c>
      <c r="E148" s="232">
        <v>0.04</v>
      </c>
      <c r="F148" s="232">
        <v>0.04</v>
      </c>
      <c r="G148" s="232">
        <v>0.04</v>
      </c>
      <c r="H148" s="232">
        <v>0.04</v>
      </c>
      <c r="I148" s="232">
        <v>0.04</v>
      </c>
      <c r="J148" s="232">
        <v>0.04</v>
      </c>
      <c r="K148" s="232">
        <v>0.04</v>
      </c>
      <c r="L148" s="232">
        <v>0.04</v>
      </c>
      <c r="M148" s="42">
        <v>0.04</v>
      </c>
      <c r="N148" s="42">
        <v>0.04</v>
      </c>
      <c r="O148" s="42">
        <v>0.04</v>
      </c>
      <c r="P148" s="42">
        <v>0.04</v>
      </c>
      <c r="Q148" s="42">
        <v>0.04</v>
      </c>
      <c r="R148" s="42">
        <v>0.04</v>
      </c>
      <c r="S148" s="42">
        <v>0.04</v>
      </c>
      <c r="T148" s="45">
        <v>0.04</v>
      </c>
      <c r="U148" s="42">
        <v>0.04</v>
      </c>
      <c r="V148" s="42">
        <v>0.04</v>
      </c>
      <c r="W148" s="42">
        <v>0.04</v>
      </c>
      <c r="X148" s="42">
        <v>0.04</v>
      </c>
      <c r="Y148" s="45">
        <v>0.04</v>
      </c>
      <c r="Z148" s="45">
        <v>0.04</v>
      </c>
      <c r="AA148" s="45">
        <v>0.04</v>
      </c>
      <c r="AB148" s="45">
        <v>0.04</v>
      </c>
      <c r="AC148" s="45">
        <v>0.04</v>
      </c>
      <c r="AD148" s="45">
        <v>0.04</v>
      </c>
      <c r="AE148" s="45">
        <v>0.04</v>
      </c>
      <c r="AF148" s="45">
        <v>0.04</v>
      </c>
      <c r="AG148" s="45">
        <v>0.04</v>
      </c>
      <c r="AH148" s="45">
        <v>0.04</v>
      </c>
      <c r="AI148" s="45">
        <v>0.04</v>
      </c>
      <c r="AJ148" s="45">
        <v>0.04</v>
      </c>
      <c r="AK148" s="45">
        <v>0.04</v>
      </c>
      <c r="AL148" s="45">
        <v>0.04</v>
      </c>
      <c r="AM148" s="45">
        <v>0.04</v>
      </c>
      <c r="AN148" s="45">
        <v>0.04</v>
      </c>
      <c r="AO148" s="45">
        <v>0.04</v>
      </c>
      <c r="AP148" s="45">
        <v>0.04</v>
      </c>
      <c r="AQ148" s="45">
        <v>0.04</v>
      </c>
      <c r="AR148" s="45">
        <v>0.04</v>
      </c>
      <c r="AS148" s="45">
        <v>0.04</v>
      </c>
      <c r="AT148" s="45">
        <v>0.04</v>
      </c>
      <c r="AU148" s="45">
        <v>0.04</v>
      </c>
      <c r="AV148" s="45">
        <v>0.04</v>
      </c>
      <c r="AW148" s="43">
        <v>0.04</v>
      </c>
      <c r="AX148" s="46">
        <v>0.04</v>
      </c>
      <c r="AY148" s="46">
        <v>0.04</v>
      </c>
      <c r="AZ148" s="46">
        <v>0.04</v>
      </c>
      <c r="BA148" s="46">
        <v>0.04</v>
      </c>
      <c r="BB148" s="46">
        <v>0.04</v>
      </c>
      <c r="BC148" s="46">
        <v>0.04</v>
      </c>
      <c r="BD148" s="46">
        <v>0.04</v>
      </c>
      <c r="BE148" s="46">
        <v>0.04</v>
      </c>
      <c r="BF148" s="46">
        <v>0.04</v>
      </c>
      <c r="BG148" s="46">
        <v>0.04</v>
      </c>
      <c r="BH148" s="46">
        <v>0.04</v>
      </c>
      <c r="BI148" s="46">
        <v>0.04</v>
      </c>
      <c r="BJ148" s="46">
        <v>0.04</v>
      </c>
      <c r="BK148" s="46">
        <v>0.04</v>
      </c>
      <c r="BL148" s="46">
        <v>0.04</v>
      </c>
      <c r="BM148" s="46">
        <v>0.04</v>
      </c>
      <c r="BN148" s="46">
        <v>0.04</v>
      </c>
      <c r="BO148" s="511">
        <v>0.04</v>
      </c>
      <c r="BP148" s="46">
        <v>0.04</v>
      </c>
      <c r="BQ148" s="511">
        <v>0.04</v>
      </c>
      <c r="BR148" s="42"/>
      <c r="BS148" s="232">
        <v>0.04</v>
      </c>
      <c r="BT148" s="232">
        <v>0.04</v>
      </c>
      <c r="BU148" s="232">
        <v>0.04</v>
      </c>
      <c r="BV148" s="232">
        <v>0.04</v>
      </c>
      <c r="BW148" s="232">
        <v>0.04</v>
      </c>
      <c r="BX148" s="232">
        <v>0.04</v>
      </c>
      <c r="BY148" s="232">
        <v>0.04</v>
      </c>
      <c r="BZ148" s="232">
        <v>0.04</v>
      </c>
      <c r="CA148" s="232">
        <v>0.04</v>
      </c>
      <c r="CB148" s="232">
        <v>0.04</v>
      </c>
      <c r="CC148" s="42">
        <v>0.04</v>
      </c>
      <c r="CD148" s="42">
        <v>0.04</v>
      </c>
      <c r="CE148" s="42">
        <v>0.04</v>
      </c>
      <c r="CF148" s="42">
        <v>0.04</v>
      </c>
      <c r="CG148" s="42">
        <v>0.04</v>
      </c>
      <c r="CH148" s="42">
        <v>0.04</v>
      </c>
      <c r="CI148" s="42">
        <v>0.04</v>
      </c>
      <c r="CJ148" s="42">
        <v>0.04</v>
      </c>
      <c r="CK148" s="42">
        <v>0.04</v>
      </c>
      <c r="CL148" s="42">
        <v>0.04</v>
      </c>
      <c r="CM148" s="45">
        <v>0.04</v>
      </c>
      <c r="CN148" s="45">
        <v>0.04</v>
      </c>
      <c r="CO148" s="45">
        <v>0.04</v>
      </c>
      <c r="CP148" s="45">
        <v>0.04</v>
      </c>
      <c r="CQ148" s="45">
        <v>0.04</v>
      </c>
      <c r="CR148" s="45">
        <v>0.04</v>
      </c>
      <c r="CS148" s="45">
        <v>0.04</v>
      </c>
      <c r="CT148" s="45">
        <v>0.04</v>
      </c>
      <c r="CU148" s="45">
        <v>0.04</v>
      </c>
      <c r="CV148" s="45">
        <v>0.04</v>
      </c>
      <c r="CW148" s="45">
        <v>0.04</v>
      </c>
      <c r="CX148" s="45">
        <v>0.04</v>
      </c>
      <c r="CY148" s="43">
        <v>0.04</v>
      </c>
      <c r="CZ148" s="42">
        <v>0.04</v>
      </c>
      <c r="DA148" s="42">
        <v>0.04</v>
      </c>
      <c r="DB148" s="42">
        <v>0.04</v>
      </c>
      <c r="DC148" s="42">
        <v>0.04</v>
      </c>
      <c r="DD148" s="42">
        <v>0.04</v>
      </c>
      <c r="DE148" s="42">
        <v>0.04</v>
      </c>
      <c r="DF148" s="42">
        <v>0.04</v>
      </c>
      <c r="DG148" s="232">
        <v>0.04</v>
      </c>
      <c r="DH148" s="232">
        <v>0.04</v>
      </c>
      <c r="DI148" s="232">
        <v>0.04</v>
      </c>
    </row>
    <row r="149" spans="1:114" outlineLevel="1">
      <c r="A149" s="1" t="s">
        <v>881</v>
      </c>
      <c r="B149" s="19" t="s">
        <v>272</v>
      </c>
      <c r="C149" s="21" t="s">
        <v>178</v>
      </c>
      <c r="D149" s="21" t="s">
        <v>178</v>
      </c>
      <c r="E149" s="21" t="s">
        <v>178</v>
      </c>
      <c r="F149" s="21" t="s">
        <v>178</v>
      </c>
      <c r="G149" s="21" t="s">
        <v>178</v>
      </c>
      <c r="H149" s="21" t="s">
        <v>178</v>
      </c>
      <c r="I149" s="21" t="s">
        <v>178</v>
      </c>
      <c r="J149" s="21" t="s">
        <v>178</v>
      </c>
      <c r="K149" s="21" t="s">
        <v>178</v>
      </c>
      <c r="L149" s="21" t="s">
        <v>178</v>
      </c>
      <c r="M149" s="21" t="s">
        <v>178</v>
      </c>
      <c r="N149" s="21" t="s">
        <v>178</v>
      </c>
      <c r="O149" s="21" t="s">
        <v>178</v>
      </c>
      <c r="P149" s="21" t="s">
        <v>178</v>
      </c>
      <c r="Q149" s="21" t="s">
        <v>178</v>
      </c>
      <c r="R149" s="21" t="s">
        <v>178</v>
      </c>
      <c r="S149" s="21" t="s">
        <v>178</v>
      </c>
      <c r="T149" s="21" t="s">
        <v>178</v>
      </c>
      <c r="U149" s="21" t="s">
        <v>178</v>
      </c>
      <c r="V149" s="21" t="s">
        <v>178</v>
      </c>
      <c r="W149" s="21" t="s">
        <v>178</v>
      </c>
      <c r="X149" s="21" t="s">
        <v>178</v>
      </c>
      <c r="Y149" s="21" t="s">
        <v>178</v>
      </c>
      <c r="Z149" s="21" t="s">
        <v>178</v>
      </c>
      <c r="AA149" s="21" t="s">
        <v>178</v>
      </c>
      <c r="AB149" s="21" t="s">
        <v>178</v>
      </c>
      <c r="AC149" s="21" t="s">
        <v>178</v>
      </c>
      <c r="AD149" s="21" t="s">
        <v>178</v>
      </c>
      <c r="AE149" s="21" t="s">
        <v>178</v>
      </c>
      <c r="AF149" s="21" t="s">
        <v>178</v>
      </c>
      <c r="AG149" s="21" t="s">
        <v>178</v>
      </c>
      <c r="AH149" s="21" t="s">
        <v>178</v>
      </c>
      <c r="AI149" s="21" t="s">
        <v>178</v>
      </c>
      <c r="AJ149" s="21" t="s">
        <v>178</v>
      </c>
      <c r="AK149" s="21" t="s">
        <v>178</v>
      </c>
      <c r="AL149" s="21" t="s">
        <v>178</v>
      </c>
      <c r="AM149" s="21" t="s">
        <v>178</v>
      </c>
      <c r="AN149" s="21" t="s">
        <v>178</v>
      </c>
      <c r="AO149" s="21" t="s">
        <v>178</v>
      </c>
      <c r="AP149" s="21" t="s">
        <v>178</v>
      </c>
      <c r="AQ149" s="21" t="s">
        <v>178</v>
      </c>
      <c r="AR149" s="21" t="s">
        <v>178</v>
      </c>
      <c r="AS149" s="21" t="s">
        <v>178</v>
      </c>
      <c r="AT149" s="21" t="s">
        <v>178</v>
      </c>
      <c r="AU149" s="21" t="s">
        <v>178</v>
      </c>
      <c r="AV149" s="21" t="s">
        <v>178</v>
      </c>
      <c r="AW149" s="22" t="s">
        <v>178</v>
      </c>
      <c r="AX149" s="21" t="s">
        <v>178</v>
      </c>
      <c r="AY149" s="21" t="s">
        <v>178</v>
      </c>
      <c r="AZ149" s="21" t="s">
        <v>178</v>
      </c>
      <c r="BA149" s="21" t="s">
        <v>178</v>
      </c>
      <c r="BB149" s="21" t="s">
        <v>178</v>
      </c>
      <c r="BC149" s="21" t="s">
        <v>178</v>
      </c>
      <c r="BD149" s="21" t="s">
        <v>178</v>
      </c>
      <c r="BE149" s="21" t="s">
        <v>178</v>
      </c>
      <c r="BF149" s="21" t="s">
        <v>178</v>
      </c>
      <c r="BG149" s="21" t="s">
        <v>178</v>
      </c>
      <c r="BH149" s="21" t="s">
        <v>178</v>
      </c>
      <c r="BI149" s="21" t="s">
        <v>178</v>
      </c>
      <c r="BJ149" s="21" t="s">
        <v>178</v>
      </c>
      <c r="BK149" s="21" t="s">
        <v>178</v>
      </c>
      <c r="BL149" s="21" t="s">
        <v>178</v>
      </c>
      <c r="BM149" s="21" t="s">
        <v>178</v>
      </c>
      <c r="BN149" s="21" t="s">
        <v>178</v>
      </c>
      <c r="BO149" s="21" t="s">
        <v>178</v>
      </c>
      <c r="BP149" s="21" t="s">
        <v>178</v>
      </c>
      <c r="BQ149" s="21" t="s">
        <v>178</v>
      </c>
      <c r="BS149" s="21" t="s">
        <v>178</v>
      </c>
      <c r="BT149" s="21" t="s">
        <v>178</v>
      </c>
      <c r="BU149" s="21" t="s">
        <v>178</v>
      </c>
      <c r="BV149" s="21" t="s">
        <v>178</v>
      </c>
      <c r="BW149" s="21" t="s">
        <v>178</v>
      </c>
      <c r="BX149" s="21" t="s">
        <v>178</v>
      </c>
      <c r="BY149" s="21" t="s">
        <v>178</v>
      </c>
      <c r="BZ149" s="21" t="s">
        <v>178</v>
      </c>
      <c r="CA149" s="21" t="s">
        <v>178</v>
      </c>
      <c r="CB149" s="21" t="s">
        <v>178</v>
      </c>
      <c r="CC149" s="21" t="s">
        <v>178</v>
      </c>
      <c r="CD149" s="21" t="s">
        <v>178</v>
      </c>
      <c r="CE149" s="21" t="s">
        <v>178</v>
      </c>
      <c r="CF149" s="21" t="s">
        <v>178</v>
      </c>
      <c r="CG149" s="21" t="s">
        <v>178</v>
      </c>
      <c r="CH149" s="21" t="s">
        <v>178</v>
      </c>
      <c r="CI149" s="21" t="s">
        <v>178</v>
      </c>
      <c r="CJ149" s="21" t="s">
        <v>178</v>
      </c>
      <c r="CK149" s="21" t="s">
        <v>178</v>
      </c>
      <c r="CL149" s="21" t="s">
        <v>178</v>
      </c>
      <c r="CM149" s="21" t="s">
        <v>178</v>
      </c>
      <c r="CN149" s="21" t="s">
        <v>178</v>
      </c>
      <c r="CO149" s="21" t="s">
        <v>178</v>
      </c>
      <c r="CP149" s="21" t="s">
        <v>178</v>
      </c>
      <c r="CQ149" s="21" t="s">
        <v>178</v>
      </c>
      <c r="CR149" s="21" t="s">
        <v>178</v>
      </c>
      <c r="CS149" s="21" t="s">
        <v>178</v>
      </c>
      <c r="CT149" s="21" t="s">
        <v>178</v>
      </c>
      <c r="CU149" s="21" t="s">
        <v>178</v>
      </c>
      <c r="CV149" s="21" t="s">
        <v>178</v>
      </c>
      <c r="CW149" s="21" t="s">
        <v>178</v>
      </c>
      <c r="CX149" s="21" t="s">
        <v>178</v>
      </c>
      <c r="CY149" s="22" t="s">
        <v>178</v>
      </c>
      <c r="CZ149" s="21" t="s">
        <v>178</v>
      </c>
      <c r="DA149" s="21" t="s">
        <v>178</v>
      </c>
      <c r="DB149" s="21" t="s">
        <v>178</v>
      </c>
      <c r="DC149" s="21" t="s">
        <v>178</v>
      </c>
      <c r="DD149" s="21" t="s">
        <v>178</v>
      </c>
      <c r="DE149" s="21" t="s">
        <v>178</v>
      </c>
      <c r="DF149" s="21" t="s">
        <v>178</v>
      </c>
      <c r="DG149" s="21" t="s">
        <v>178</v>
      </c>
      <c r="DH149" s="21" t="s">
        <v>178</v>
      </c>
      <c r="DI149" s="21" t="s">
        <v>178</v>
      </c>
    </row>
    <row r="150" spans="1:114" outlineLevel="1">
      <c r="A150" s="1" t="s">
        <v>882</v>
      </c>
      <c r="B150" s="19" t="s">
        <v>485</v>
      </c>
      <c r="C150" s="235">
        <v>5.1877759551389985E-2</v>
      </c>
      <c r="D150" s="235">
        <v>5.4263005257790861E-2</v>
      </c>
      <c r="E150" s="235">
        <v>5.5101418655928082E-2</v>
      </c>
      <c r="F150" s="235">
        <v>5.8148027070827911E-2</v>
      </c>
      <c r="G150" s="235">
        <v>5.7817012696855755E-2</v>
      </c>
      <c r="H150" s="235">
        <v>5.1368188428345535E-2</v>
      </c>
      <c r="I150" s="235">
        <v>4.5652931414295925E-2</v>
      </c>
      <c r="J150" s="235">
        <v>4.7981447247528695E-2</v>
      </c>
      <c r="K150" s="235">
        <v>4.9150923986727088E-2</v>
      </c>
      <c r="L150" s="235">
        <v>5.8095299185363179E-2</v>
      </c>
      <c r="M150" s="48">
        <v>5.3017492307265823E-2</v>
      </c>
      <c r="N150" s="48">
        <v>5.4431745030246961E-2</v>
      </c>
      <c r="O150" s="48">
        <v>5.6218335663366578E-2</v>
      </c>
      <c r="P150" s="48">
        <v>6.1308190568436345E-2</v>
      </c>
      <c r="Q150" s="48">
        <v>6.1298971781159214E-2</v>
      </c>
      <c r="R150" s="48">
        <v>6.5673725077207895E-2</v>
      </c>
      <c r="S150" s="48">
        <v>6.3541248320846427E-2</v>
      </c>
      <c r="T150" s="50">
        <v>6.8253717443998801E-2</v>
      </c>
      <c r="U150" s="48">
        <v>6.8598897603680611E-2</v>
      </c>
      <c r="V150" s="48">
        <v>7.3535437013898863E-2</v>
      </c>
      <c r="W150" s="48">
        <v>7.6585578837887053E-2</v>
      </c>
      <c r="X150" s="48">
        <v>7.6710166104029157E-2</v>
      </c>
      <c r="Y150" s="50">
        <v>7.8153949806299472E-2</v>
      </c>
      <c r="Z150" s="50">
        <v>8.3050684490950266E-2</v>
      </c>
      <c r="AA150" s="50">
        <v>8.2118617806646046E-2</v>
      </c>
      <c r="AB150" s="385">
        <v>8.5392747391508594E-2</v>
      </c>
      <c r="AC150" s="385">
        <v>9.3013339650296845E-2</v>
      </c>
      <c r="AD150" s="385">
        <v>9.2296231673880041E-2</v>
      </c>
      <c r="AE150" s="385">
        <v>9.0577970877709704E-2</v>
      </c>
      <c r="AF150" s="385">
        <v>0.10481024392480047</v>
      </c>
      <c r="AG150" s="385">
        <v>0.10556494462420217</v>
      </c>
      <c r="AH150" s="385">
        <v>9.9259761593288143E-2</v>
      </c>
      <c r="AI150" s="385">
        <v>0.10103577745084805</v>
      </c>
      <c r="AJ150" s="385">
        <v>0.10398424811040841</v>
      </c>
      <c r="AK150" s="385">
        <v>0.10132748379894116</v>
      </c>
      <c r="AL150" s="385">
        <v>0.10788868321262333</v>
      </c>
      <c r="AM150" s="385">
        <v>0.10682654463051228</v>
      </c>
      <c r="AN150" s="385">
        <v>0.11661924417905663</v>
      </c>
      <c r="AO150" s="385">
        <v>0.11555826160352392</v>
      </c>
      <c r="AP150" s="385">
        <v>0.12582228140100879</v>
      </c>
      <c r="AQ150" s="385">
        <v>0.1305493920298216</v>
      </c>
      <c r="AR150" s="385">
        <v>0.11752665136769035</v>
      </c>
      <c r="AS150" s="385">
        <v>0.11452885364697565</v>
      </c>
      <c r="AT150" s="385">
        <v>0.11410444506126333</v>
      </c>
      <c r="AU150" s="385">
        <v>0.12160250602574403</v>
      </c>
      <c r="AV150" s="385">
        <v>0.12343737867846882</v>
      </c>
      <c r="AW150" s="52">
        <v>0.12338974785638358</v>
      </c>
      <c r="AX150" s="48">
        <v>0.121937945361484</v>
      </c>
      <c r="AY150" s="48">
        <v>0.12129185912733358</v>
      </c>
      <c r="AZ150" s="48">
        <v>0.11986364651112838</v>
      </c>
      <c r="BA150" s="48">
        <v>0.11987017016504412</v>
      </c>
      <c r="BB150" s="48">
        <v>0.11895072238501236</v>
      </c>
      <c r="BC150" s="48">
        <v>0.11903055740850407</v>
      </c>
      <c r="BD150" s="48">
        <v>0.11830395708734009</v>
      </c>
      <c r="BE150" s="48">
        <v>0.11862928402541938</v>
      </c>
      <c r="BF150" s="48">
        <v>0.11812756731009003</v>
      </c>
      <c r="BG150" s="48">
        <v>0.11849463267988924</v>
      </c>
      <c r="BH150" s="48">
        <v>0.11815185594371851</v>
      </c>
      <c r="BI150" s="48">
        <v>0.11845860308779402</v>
      </c>
      <c r="BJ150" s="48">
        <v>0.1139168582696682</v>
      </c>
      <c r="BK150" s="48">
        <v>0.10961661529960247</v>
      </c>
      <c r="BL150" s="235">
        <v>0.11128462263430844</v>
      </c>
      <c r="BM150" s="235">
        <v>0.1144793466695795</v>
      </c>
      <c r="BN150" s="235">
        <v>0.11514647605004814</v>
      </c>
      <c r="BO150" s="235">
        <v>0.11501067810981457</v>
      </c>
      <c r="BP150" s="235">
        <v>0.11438488804906316</v>
      </c>
      <c r="BQ150" s="235">
        <v>0.11426830179483255</v>
      </c>
      <c r="BR150" s="48"/>
      <c r="BS150" s="235">
        <v>6.578259096694121E-2</v>
      </c>
      <c r="BT150" s="235">
        <v>7.2998680399953941E-2</v>
      </c>
      <c r="BU150" s="235">
        <v>8.1027219217783622E-2</v>
      </c>
      <c r="BV150" s="235">
        <v>8.6483952090703725E-2</v>
      </c>
      <c r="BW150" s="235">
        <v>8.7383165471351262E-2</v>
      </c>
      <c r="BX150" s="235">
        <v>7.3957996021649625E-2</v>
      </c>
      <c r="BY150" s="235">
        <v>6.6831866653958974E-2</v>
      </c>
      <c r="BZ150" s="235">
        <v>6.4114669130941382E-2</v>
      </c>
      <c r="CA150" s="235">
        <v>7.1604246443136885E-2</v>
      </c>
      <c r="CB150" s="235">
        <v>5.1877759551389985E-2</v>
      </c>
      <c r="CC150" s="48">
        <v>5.5101418655928082E-2</v>
      </c>
      <c r="CD150" s="48">
        <v>5.7817012696855755E-2</v>
      </c>
      <c r="CE150" s="48">
        <v>4.5652931414295925E-2</v>
      </c>
      <c r="CF150" s="48">
        <v>4.9150923986727088E-2</v>
      </c>
      <c r="CG150" s="48">
        <v>5.3017492307265823E-2</v>
      </c>
      <c r="CH150" s="48">
        <v>5.6218335663366578E-2</v>
      </c>
      <c r="CI150" s="48">
        <v>6.1298971781159214E-2</v>
      </c>
      <c r="CJ150" s="48">
        <v>6.3541248320846427E-2</v>
      </c>
      <c r="CK150" s="48">
        <v>6.8598897603680611E-2</v>
      </c>
      <c r="CL150" s="48">
        <v>7.6585578837887053E-2</v>
      </c>
      <c r="CM150" s="50">
        <v>7.8153949806299472E-2</v>
      </c>
      <c r="CN150" s="50">
        <v>8.2118617806646046E-2</v>
      </c>
      <c r="CO150" s="50">
        <v>9.3013339650296845E-2</v>
      </c>
      <c r="CP150" s="50">
        <v>9.0577970877709704E-2</v>
      </c>
      <c r="CQ150" s="50">
        <v>0.10556494462420217</v>
      </c>
      <c r="CR150" s="50">
        <v>0.10103577745084805</v>
      </c>
      <c r="CS150" s="50">
        <v>0.10132748379894116</v>
      </c>
      <c r="CT150" s="50">
        <v>0.10682654463051228</v>
      </c>
      <c r="CU150" s="50">
        <v>0.11555826160352392</v>
      </c>
      <c r="CV150" s="50">
        <v>0.1305493920298216</v>
      </c>
      <c r="CW150" s="50">
        <v>0.11452885364697565</v>
      </c>
      <c r="CX150" s="50">
        <v>0.12160250602574403</v>
      </c>
      <c r="CY150" s="49">
        <v>0.12338974785638358</v>
      </c>
      <c r="CZ150" s="48">
        <v>0.12129185912733355</v>
      </c>
      <c r="DA150" s="48">
        <v>0.11987017016504409</v>
      </c>
      <c r="DB150" s="48">
        <v>0.11903055740850407</v>
      </c>
      <c r="DC150" s="48">
        <v>0.11862928402541938</v>
      </c>
      <c r="DD150" s="48">
        <v>0.11849463267988924</v>
      </c>
      <c r="DE150" s="48">
        <v>0.11845860308779402</v>
      </c>
      <c r="DF150" s="48">
        <v>0.10961661529960247</v>
      </c>
      <c r="DG150" s="235">
        <v>0.1144793466695795</v>
      </c>
      <c r="DH150" s="235">
        <v>0.11501067810981459</v>
      </c>
      <c r="DI150" s="235">
        <v>0.11426830179483259</v>
      </c>
    </row>
    <row r="151" spans="1:114" outlineLevel="1">
      <c r="A151" s="1" t="s">
        <v>883</v>
      </c>
      <c r="B151" s="19" t="s">
        <v>161</v>
      </c>
      <c r="C151" s="559">
        <v>0.05</v>
      </c>
      <c r="D151" s="559">
        <v>0.05</v>
      </c>
      <c r="E151" s="559">
        <v>0.05</v>
      </c>
      <c r="F151" s="559">
        <v>0.05</v>
      </c>
      <c r="G151" s="559">
        <v>0.05</v>
      </c>
      <c r="H151" s="559">
        <v>0.05</v>
      </c>
      <c r="I151" s="559">
        <v>0.05</v>
      </c>
      <c r="J151" s="559">
        <v>0.05</v>
      </c>
      <c r="K151" s="559">
        <v>0.05</v>
      </c>
      <c r="L151" s="559">
        <v>0.05</v>
      </c>
      <c r="M151" s="179">
        <v>0.05</v>
      </c>
      <c r="N151" s="179">
        <v>0.05</v>
      </c>
      <c r="O151" s="179">
        <v>0.05</v>
      </c>
      <c r="P151" s="179">
        <v>0.05</v>
      </c>
      <c r="Q151" s="179">
        <v>0.05</v>
      </c>
      <c r="R151" s="179">
        <v>6.5000000000000002E-2</v>
      </c>
      <c r="S151" s="179">
        <v>6.5000000000000002E-2</v>
      </c>
      <c r="T151" s="178">
        <v>6.5000000000000002E-2</v>
      </c>
      <c r="U151" s="179">
        <v>6.5000000000000002E-2</v>
      </c>
      <c r="V151" s="187">
        <v>6.5000000000000002E-2</v>
      </c>
      <c r="W151" s="180">
        <v>8.6085578837887061E-2</v>
      </c>
      <c r="X151" s="180">
        <v>8.8210166104029167E-2</v>
      </c>
      <c r="Y151" s="180">
        <v>8.5653949806299479E-2</v>
      </c>
      <c r="Z151" s="180">
        <v>8.4550684490950268E-2</v>
      </c>
      <c r="AA151" s="178">
        <v>8.2500000000000004E-2</v>
      </c>
      <c r="AB151" s="178">
        <v>8.7499999999999994E-2</v>
      </c>
      <c r="AC151" s="178">
        <v>8.7499999999999994E-2</v>
      </c>
      <c r="AD151" s="178">
        <v>0.09</v>
      </c>
      <c r="AE151" s="178">
        <v>0.09</v>
      </c>
      <c r="AF151" s="178">
        <v>0.1</v>
      </c>
      <c r="AG151" s="178">
        <v>0.1</v>
      </c>
      <c r="AH151" s="178">
        <v>0.1</v>
      </c>
      <c r="AI151" s="178">
        <v>0.105</v>
      </c>
      <c r="AJ151" s="178">
        <v>0.105</v>
      </c>
      <c r="AK151" s="178">
        <v>0.105</v>
      </c>
      <c r="AL151" s="178">
        <v>0.105</v>
      </c>
      <c r="AM151" s="178">
        <v>0.105</v>
      </c>
      <c r="AN151" s="178">
        <v>0.105</v>
      </c>
      <c r="AO151" s="178">
        <v>0.105</v>
      </c>
      <c r="AP151" s="178">
        <v>0.105</v>
      </c>
      <c r="AQ151" s="178">
        <v>0.105</v>
      </c>
      <c r="AR151" s="178">
        <v>0.105</v>
      </c>
      <c r="AS151" s="178">
        <v>0.105</v>
      </c>
      <c r="AT151" s="178">
        <v>0.105</v>
      </c>
      <c r="AU151" s="178">
        <v>0.11</v>
      </c>
      <c r="AV151" s="178">
        <v>0.11</v>
      </c>
      <c r="AW151" s="391">
        <v>0.11</v>
      </c>
      <c r="AX151" s="47">
        <v>0.11</v>
      </c>
      <c r="AY151" s="47">
        <v>0.11</v>
      </c>
      <c r="AZ151" s="47">
        <v>0.11</v>
      </c>
      <c r="BA151" s="47">
        <v>0.11</v>
      </c>
      <c r="BB151" s="47">
        <v>0.11</v>
      </c>
      <c r="BC151" s="47">
        <v>0.11</v>
      </c>
      <c r="BD151" s="47">
        <v>0.11</v>
      </c>
      <c r="BE151" s="47">
        <v>0.11</v>
      </c>
      <c r="BF151" s="47">
        <v>0.11</v>
      </c>
      <c r="BG151" s="47">
        <v>0.11</v>
      </c>
      <c r="BH151" s="47">
        <v>0.11</v>
      </c>
      <c r="BI151" s="47">
        <v>0.11</v>
      </c>
      <c r="BJ151" s="47">
        <v>0.11</v>
      </c>
      <c r="BK151" s="47">
        <v>0.11</v>
      </c>
      <c r="BL151" s="510">
        <v>0.11</v>
      </c>
      <c r="BM151" s="510">
        <v>0.11</v>
      </c>
      <c r="BN151" s="510">
        <v>0.11</v>
      </c>
      <c r="BO151" s="510">
        <v>0.11</v>
      </c>
      <c r="BP151" s="510">
        <v>0.11</v>
      </c>
      <c r="BQ151" s="510">
        <v>0.11</v>
      </c>
      <c r="BR151" s="48"/>
      <c r="BS151" s="235">
        <v>0.05</v>
      </c>
      <c r="BT151" s="235">
        <v>0.05</v>
      </c>
      <c r="BU151" s="235">
        <v>0.05</v>
      </c>
      <c r="BV151" s="235">
        <v>0.05</v>
      </c>
      <c r="BW151" s="235">
        <v>0.05</v>
      </c>
      <c r="BX151" s="235">
        <v>0.05</v>
      </c>
      <c r="BY151" s="235">
        <v>0.05</v>
      </c>
      <c r="BZ151" s="235">
        <v>0.05</v>
      </c>
      <c r="CA151" s="235">
        <v>0.05</v>
      </c>
      <c r="CB151" s="235">
        <v>0.05</v>
      </c>
      <c r="CC151" s="48">
        <v>0.05</v>
      </c>
      <c r="CD151" s="48">
        <v>0.05</v>
      </c>
      <c r="CE151" s="48">
        <v>0.05</v>
      </c>
      <c r="CF151" s="48">
        <v>0.05</v>
      </c>
      <c r="CG151" s="48">
        <v>0.05</v>
      </c>
      <c r="CH151" s="48">
        <v>0.05</v>
      </c>
      <c r="CI151" s="48">
        <v>0.05</v>
      </c>
      <c r="CJ151" s="48">
        <v>6.5000000000000002E-2</v>
      </c>
      <c r="CK151" s="48">
        <v>6.5000000000000002E-2</v>
      </c>
      <c r="CL151" s="48">
        <v>8.6085578837887061E-2</v>
      </c>
      <c r="CM151" s="50">
        <v>8.5653949806299479E-2</v>
      </c>
      <c r="CN151" s="50">
        <v>8.2500000000000004E-2</v>
      </c>
      <c r="CO151" s="50">
        <v>8.7499999999999994E-2</v>
      </c>
      <c r="CP151" s="50">
        <v>0.09</v>
      </c>
      <c r="CQ151" s="50">
        <v>0.1</v>
      </c>
      <c r="CR151" s="50">
        <v>0.105</v>
      </c>
      <c r="CS151" s="50">
        <v>0.105</v>
      </c>
      <c r="CT151" s="50">
        <v>0.105</v>
      </c>
      <c r="CU151" s="50">
        <v>0.105</v>
      </c>
      <c r="CV151" s="50">
        <v>0.105</v>
      </c>
      <c r="CW151" s="50">
        <v>0.105</v>
      </c>
      <c r="CX151" s="50">
        <v>0.11</v>
      </c>
      <c r="CY151" s="49">
        <v>0.11</v>
      </c>
      <c r="CZ151" s="48">
        <v>0.11</v>
      </c>
      <c r="DA151" s="48">
        <v>0.11</v>
      </c>
      <c r="DB151" s="48">
        <v>0.11</v>
      </c>
      <c r="DC151" s="48">
        <v>0.11</v>
      </c>
      <c r="DD151" s="48">
        <v>0.11</v>
      </c>
      <c r="DE151" s="48">
        <v>0.11</v>
      </c>
      <c r="DF151" s="48">
        <v>0.11</v>
      </c>
      <c r="DG151" s="235">
        <v>0.11</v>
      </c>
      <c r="DH151" s="235">
        <v>0.11</v>
      </c>
      <c r="DI151" s="235">
        <v>0.11</v>
      </c>
    </row>
    <row r="152" spans="1:114" outlineLevel="1">
      <c r="A152" s="1" t="s">
        <v>884</v>
      </c>
      <c r="B152" s="19" t="s">
        <v>162</v>
      </c>
      <c r="C152" s="232">
        <v>6.8200954252034804E-2</v>
      </c>
      <c r="D152" s="232">
        <v>5.8364273569520106E-2</v>
      </c>
      <c r="E152" s="232">
        <v>6.3948511461272631E-2</v>
      </c>
      <c r="F152" s="232">
        <v>9.7914664214969291E-2</v>
      </c>
      <c r="G152" s="232">
        <v>7.9797007612214546E-2</v>
      </c>
      <c r="H152" s="232">
        <v>6.8564936968630905E-2</v>
      </c>
      <c r="I152" s="232">
        <v>9.2627277371019917E-2</v>
      </c>
      <c r="J152" s="232">
        <v>6.0850092588605145E-2</v>
      </c>
      <c r="K152" s="232">
        <v>5.0437736835228016E-2</v>
      </c>
      <c r="L152" s="232">
        <v>5.4578875430079651E-2</v>
      </c>
      <c r="M152" s="42">
        <v>5.5694497883801465E-2</v>
      </c>
      <c r="N152" s="42">
        <v>-3.3085485503101766E-2</v>
      </c>
      <c r="O152" s="42">
        <v>-3.4793874057280343E-2</v>
      </c>
      <c r="P152" s="42">
        <v>-2.2059890668085724E-2</v>
      </c>
      <c r="Q152" s="42">
        <v>-2.0329818869964857E-2</v>
      </c>
      <c r="R152" s="42">
        <v>-1.3789430076344913E-2</v>
      </c>
      <c r="S152" s="42">
        <v>-1.3888888888888888E-2</v>
      </c>
      <c r="T152" s="45">
        <v>-9.3411996066863328E-3</v>
      </c>
      <c r="U152" s="42">
        <v>8.6348684210526324E-3</v>
      </c>
      <c r="V152" s="42">
        <v>2.1916447975033691E-2</v>
      </c>
      <c r="W152" s="42">
        <v>2.1901552886024026E-2</v>
      </c>
      <c r="X152" s="42">
        <v>4.3397251766167225E-2</v>
      </c>
      <c r="Y152" s="45">
        <v>5.8103740187778974E-2</v>
      </c>
      <c r="Z152" s="45">
        <v>6.6835481890730505E-2</v>
      </c>
      <c r="AA152" s="45">
        <v>0.11850199938480467</v>
      </c>
      <c r="AB152" s="533">
        <v>0.12861491628614916</v>
      </c>
      <c r="AC152" s="533">
        <v>0.12053774874677199</v>
      </c>
      <c r="AD152" s="533">
        <v>0.12779843666995522</v>
      </c>
      <c r="AE152" s="533">
        <v>0.17303074897374332</v>
      </c>
      <c r="AF152" s="533">
        <v>0.15748156371421776</v>
      </c>
      <c r="AG152" s="533">
        <v>0.13588160810383032</v>
      </c>
      <c r="AH152" s="533">
        <v>0.1725056506296416</v>
      </c>
      <c r="AI152" s="533">
        <v>0.26709935097353971</v>
      </c>
      <c r="AJ152" s="533">
        <v>7.0893970893970897</v>
      </c>
      <c r="AK152" s="533">
        <v>8.4611973392461195</v>
      </c>
      <c r="AL152" s="533" t="s">
        <v>215</v>
      </c>
      <c r="AM152" s="533" t="s">
        <v>215</v>
      </c>
      <c r="AN152" s="533" t="s">
        <v>215</v>
      </c>
      <c r="AO152" s="533" t="s">
        <v>215</v>
      </c>
      <c r="AP152" s="533" t="s">
        <v>215</v>
      </c>
      <c r="AQ152" s="533" t="s">
        <v>215</v>
      </c>
      <c r="AR152" s="533" t="s">
        <v>215</v>
      </c>
      <c r="AS152" s="533" t="s">
        <v>215</v>
      </c>
      <c r="AT152" s="533" t="s">
        <v>215</v>
      </c>
      <c r="AU152" s="533" t="s">
        <v>215</v>
      </c>
      <c r="AV152" s="533" t="s">
        <v>215</v>
      </c>
      <c r="AW152" s="501" t="s">
        <v>215</v>
      </c>
      <c r="AX152" s="533" t="s">
        <v>215</v>
      </c>
      <c r="AY152" s="533" t="s">
        <v>215</v>
      </c>
      <c r="AZ152" s="533" t="s">
        <v>215</v>
      </c>
      <c r="BA152" s="533" t="s">
        <v>215</v>
      </c>
      <c r="BB152" s="533" t="s">
        <v>215</v>
      </c>
      <c r="BC152" s="533" t="s">
        <v>215</v>
      </c>
      <c r="BD152" s="533" t="s">
        <v>215</v>
      </c>
      <c r="BE152" s="533" t="s">
        <v>215</v>
      </c>
      <c r="BF152" s="533" t="s">
        <v>215</v>
      </c>
      <c r="BG152" s="533" t="s">
        <v>215</v>
      </c>
      <c r="BH152" s="533" t="s">
        <v>215</v>
      </c>
      <c r="BI152" s="533" t="s">
        <v>215</v>
      </c>
      <c r="BJ152" s="533" t="s">
        <v>215</v>
      </c>
      <c r="BK152" s="533" t="s">
        <v>215</v>
      </c>
      <c r="BL152" s="530" t="s">
        <v>215</v>
      </c>
      <c r="BM152" s="530" t="s">
        <v>215</v>
      </c>
      <c r="BN152" s="530" t="s">
        <v>215</v>
      </c>
      <c r="BO152" s="530" t="s">
        <v>215</v>
      </c>
      <c r="BP152" s="530" t="s">
        <v>215</v>
      </c>
      <c r="BQ152" s="530" t="s">
        <v>215</v>
      </c>
      <c r="BR152" s="42"/>
      <c r="BS152" s="232" t="s">
        <v>215</v>
      </c>
      <c r="BT152" s="232" t="s">
        <v>215</v>
      </c>
      <c r="BU152" s="232" t="s">
        <v>215</v>
      </c>
      <c r="BV152" s="232" t="s">
        <v>215</v>
      </c>
      <c r="BW152" s="232" t="s">
        <v>215</v>
      </c>
      <c r="BX152" s="232" t="s">
        <v>215</v>
      </c>
      <c r="BY152" s="232" t="s">
        <v>215</v>
      </c>
      <c r="BZ152" s="232" t="s">
        <v>215</v>
      </c>
      <c r="CA152" s="232" t="s">
        <v>215</v>
      </c>
      <c r="CB152" s="232" t="s">
        <v>215</v>
      </c>
      <c r="CC152" s="42">
        <v>6.3948511461272631E-2</v>
      </c>
      <c r="CD152" s="42">
        <v>7.9797007612214546E-2</v>
      </c>
      <c r="CE152" s="42">
        <v>9.2627277371019917E-2</v>
      </c>
      <c r="CF152" s="42">
        <v>5.0437736835228016E-2</v>
      </c>
      <c r="CG152" s="42">
        <v>5.5694497883801465E-2</v>
      </c>
      <c r="CH152" s="42">
        <v>-3.4793874057280343E-2</v>
      </c>
      <c r="CI152" s="42">
        <v>-2.0329818869964857E-2</v>
      </c>
      <c r="CJ152" s="42">
        <v>-1.3888888888888888E-2</v>
      </c>
      <c r="CK152" s="42">
        <v>8.6348684210526324E-3</v>
      </c>
      <c r="CL152" s="42">
        <v>2.1901552886024026E-2</v>
      </c>
      <c r="CM152" s="45">
        <v>5.8103740187778974E-2</v>
      </c>
      <c r="CN152" s="45">
        <v>0.11850199938480467</v>
      </c>
      <c r="CO152" s="45">
        <v>0.12053774874677199</v>
      </c>
      <c r="CP152" s="45">
        <v>0.17303074897374332</v>
      </c>
      <c r="CQ152" s="45">
        <v>0.13588160810383032</v>
      </c>
      <c r="CR152" s="45">
        <v>0.26709935097353971</v>
      </c>
      <c r="CS152" s="45">
        <v>8.4611973392461195</v>
      </c>
      <c r="CT152" s="45" t="s">
        <v>215</v>
      </c>
      <c r="CU152" s="45" t="s">
        <v>215</v>
      </c>
      <c r="CV152" s="45" t="s">
        <v>215</v>
      </c>
      <c r="CW152" s="45" t="s">
        <v>215</v>
      </c>
      <c r="CX152" s="45" t="s">
        <v>215</v>
      </c>
      <c r="CY152" s="43" t="s">
        <v>215</v>
      </c>
      <c r="CZ152" s="42" t="s">
        <v>215</v>
      </c>
      <c r="DA152" s="42" t="s">
        <v>215</v>
      </c>
      <c r="DB152" s="42" t="s">
        <v>215</v>
      </c>
      <c r="DC152" s="42" t="s">
        <v>215</v>
      </c>
      <c r="DD152" s="42" t="s">
        <v>215</v>
      </c>
      <c r="DE152" s="42" t="s">
        <v>215</v>
      </c>
      <c r="DF152" s="42" t="s">
        <v>215</v>
      </c>
      <c r="DG152" s="232" t="s">
        <v>215</v>
      </c>
      <c r="DH152" s="232" t="s">
        <v>215</v>
      </c>
      <c r="DI152" s="232" t="s">
        <v>215</v>
      </c>
    </row>
    <row r="153" spans="1:114">
      <c r="AD153" s="234"/>
      <c r="AE153" s="234"/>
      <c r="AF153" s="234"/>
      <c r="AG153" s="234"/>
      <c r="AH153" s="234"/>
      <c r="AI153" s="234"/>
      <c r="AJ153" s="234"/>
      <c r="AK153" s="234"/>
      <c r="AL153" s="234"/>
      <c r="AM153" s="234"/>
      <c r="AN153" s="234"/>
      <c r="AO153" s="234"/>
      <c r="AP153" s="234"/>
      <c r="AQ153" s="234"/>
      <c r="AR153" s="234"/>
      <c r="AS153" s="234"/>
      <c r="AT153" s="234"/>
      <c r="AU153" s="234"/>
      <c r="AV153" s="234"/>
      <c r="AW153" s="237"/>
      <c r="AX153" s="234"/>
      <c r="AY153" s="234"/>
      <c r="AZ153" s="234"/>
      <c r="BA153" s="234"/>
      <c r="BB153" s="234"/>
      <c r="BC153" s="234"/>
      <c r="BD153" s="234"/>
      <c r="BE153" s="234"/>
      <c r="BF153" s="234"/>
      <c r="BG153" s="234"/>
      <c r="BH153" s="234"/>
      <c r="BI153" s="234"/>
      <c r="BJ153" s="234"/>
      <c r="BK153" s="234"/>
      <c r="BL153" s="234"/>
      <c r="BM153" s="234"/>
      <c r="BN153" s="234"/>
      <c r="BO153" s="234"/>
      <c r="BP153" s="234"/>
      <c r="BQ153" s="234"/>
      <c r="CY153" s="22"/>
    </row>
    <row r="154" spans="1:114" s="36" customFormat="1" collapsed="1">
      <c r="A154" s="1" t="s">
        <v>885</v>
      </c>
      <c r="B154" s="2" t="s">
        <v>163</v>
      </c>
      <c r="C154" s="79">
        <v>156539</v>
      </c>
      <c r="D154" s="79">
        <v>160989</v>
      </c>
      <c r="E154" s="79">
        <v>168264</v>
      </c>
      <c r="F154" s="79">
        <v>174995</v>
      </c>
      <c r="G154" s="79">
        <v>181554</v>
      </c>
      <c r="H154" s="79">
        <v>196574</v>
      </c>
      <c r="I154" s="79">
        <v>213551</v>
      </c>
      <c r="J154" s="79">
        <v>237002</v>
      </c>
      <c r="K154" s="79">
        <v>257497</v>
      </c>
      <c r="L154" s="79">
        <v>273213</v>
      </c>
      <c r="M154" s="79">
        <v>278703</v>
      </c>
      <c r="N154" s="79">
        <v>297568</v>
      </c>
      <c r="O154" s="79">
        <v>335419</v>
      </c>
      <c r="P154" s="79">
        <v>364385</v>
      </c>
      <c r="Q154" s="79">
        <v>381273</v>
      </c>
      <c r="R154" s="79">
        <v>464630</v>
      </c>
      <c r="S154" s="79">
        <v>486283</v>
      </c>
      <c r="T154" s="79">
        <v>498223</v>
      </c>
      <c r="U154" s="79">
        <v>510456</v>
      </c>
      <c r="V154" s="79">
        <v>507499</v>
      </c>
      <c r="W154" s="79">
        <v>515938</v>
      </c>
      <c r="X154" s="79">
        <v>528900</v>
      </c>
      <c r="Y154" s="79">
        <v>540226</v>
      </c>
      <c r="Z154" s="79">
        <v>547485</v>
      </c>
      <c r="AA154" s="79">
        <v>567167</v>
      </c>
      <c r="AB154" s="79">
        <v>590239</v>
      </c>
      <c r="AC154" s="79">
        <v>606673</v>
      </c>
      <c r="AD154" s="79">
        <v>626214</v>
      </c>
      <c r="AE154" s="79">
        <v>644824</v>
      </c>
      <c r="AF154" s="79">
        <v>674466</v>
      </c>
      <c r="AG154" s="79">
        <v>700547</v>
      </c>
      <c r="AH154" s="79">
        <v>718134</v>
      </c>
      <c r="AI154" s="79">
        <v>735918</v>
      </c>
      <c r="AJ154" s="79">
        <v>740261</v>
      </c>
      <c r="AK154" s="79">
        <v>747349</v>
      </c>
      <c r="AL154" s="79">
        <v>758287</v>
      </c>
      <c r="AM154" s="79">
        <v>759920</v>
      </c>
      <c r="AN154" s="79">
        <v>770403</v>
      </c>
      <c r="AO154" s="79">
        <v>779224</v>
      </c>
      <c r="AP154" s="79">
        <v>793621</v>
      </c>
      <c r="AQ154" s="79">
        <v>817456</v>
      </c>
      <c r="AR154" s="79">
        <v>849704</v>
      </c>
      <c r="AS154" s="79">
        <v>884084</v>
      </c>
      <c r="AT154" s="79">
        <v>911728</v>
      </c>
      <c r="AU154" s="79">
        <v>931873</v>
      </c>
      <c r="AV154" s="79">
        <v>927999</v>
      </c>
      <c r="AW154" s="80">
        <v>948122</v>
      </c>
      <c r="AX154" s="79">
        <v>969120.91349849524</v>
      </c>
      <c r="AY154" s="79">
        <v>988117.98033130751</v>
      </c>
      <c r="AZ154" s="79">
        <v>1010292.3834410148</v>
      </c>
      <c r="BA154" s="79">
        <v>1025726.0313467489</v>
      </c>
      <c r="BB154" s="79">
        <v>1041624.7005124077</v>
      </c>
      <c r="BC154" s="79">
        <v>1059882.8890145379</v>
      </c>
      <c r="BD154" s="79">
        <v>1078490.7732058552</v>
      </c>
      <c r="BE154" s="79">
        <v>1097454.8794105656</v>
      </c>
      <c r="BF154" s="79">
        <v>1116781.8662627328</v>
      </c>
      <c r="BG154" s="79">
        <v>1136478.527085183</v>
      </c>
      <c r="BH154" s="79">
        <v>1156551.792327496</v>
      </c>
      <c r="BI154" s="79">
        <v>1177008.7320635812</v>
      </c>
      <c r="BJ154" s="79">
        <v>1197856.5585494034</v>
      </c>
      <c r="BK154" s="79">
        <v>1220800.6061108042</v>
      </c>
      <c r="BL154" s="79">
        <v>1244189.2281825799</v>
      </c>
      <c r="BM154" s="79">
        <v>1268031.1286261862</v>
      </c>
      <c r="BN154" s="79">
        <v>1292335.1833811246</v>
      </c>
      <c r="BO154" s="79">
        <v>1317110.4438993721</v>
      </c>
      <c r="BP154" s="79">
        <v>1342366.1406489897</v>
      </c>
      <c r="BQ154" s="79">
        <v>1368111.6866883223</v>
      </c>
      <c r="BR154" s="79"/>
      <c r="BS154" s="79">
        <v>70589.200000000012</v>
      </c>
      <c r="BT154" s="79">
        <v>68719.899999999994</v>
      </c>
      <c r="BU154" s="79">
        <v>68455.3</v>
      </c>
      <c r="BV154" s="79">
        <v>73998</v>
      </c>
      <c r="BW154" s="79">
        <v>81022</v>
      </c>
      <c r="BX154" s="79">
        <v>91437</v>
      </c>
      <c r="BY154" s="79">
        <v>100898</v>
      </c>
      <c r="BZ154" s="79">
        <v>113265</v>
      </c>
      <c r="CA154" s="79">
        <v>148165</v>
      </c>
      <c r="CB154" s="79">
        <v>156539</v>
      </c>
      <c r="CC154" s="79">
        <v>168264</v>
      </c>
      <c r="CD154" s="79">
        <v>181554</v>
      </c>
      <c r="CE154" s="79">
        <v>213551</v>
      </c>
      <c r="CF154" s="79">
        <v>257497</v>
      </c>
      <c r="CG154" s="79">
        <v>278703</v>
      </c>
      <c r="CH154" s="79">
        <v>335419</v>
      </c>
      <c r="CI154" s="79">
        <v>381273</v>
      </c>
      <c r="CJ154" s="79">
        <v>486283</v>
      </c>
      <c r="CK154" s="79">
        <v>510456</v>
      </c>
      <c r="CL154" s="79">
        <v>515938</v>
      </c>
      <c r="CM154" s="79">
        <v>540226</v>
      </c>
      <c r="CN154" s="79">
        <v>567167</v>
      </c>
      <c r="CO154" s="79">
        <v>606673</v>
      </c>
      <c r="CP154" s="79">
        <v>644824</v>
      </c>
      <c r="CQ154" s="79">
        <v>700547</v>
      </c>
      <c r="CR154" s="79">
        <v>735918</v>
      </c>
      <c r="CS154" s="79">
        <v>747349</v>
      </c>
      <c r="CT154" s="79">
        <v>759920</v>
      </c>
      <c r="CU154" s="79">
        <v>779224</v>
      </c>
      <c r="CV154" s="79">
        <v>817456</v>
      </c>
      <c r="CW154" s="79">
        <v>884084</v>
      </c>
      <c r="CX154" s="79">
        <v>931873</v>
      </c>
      <c r="CY154" s="80">
        <v>948122</v>
      </c>
      <c r="CZ154" s="79">
        <v>988117.98033130751</v>
      </c>
      <c r="DA154" s="79">
        <v>1025726.0313467489</v>
      </c>
      <c r="DB154" s="79">
        <v>1059882.8890145379</v>
      </c>
      <c r="DC154" s="79">
        <v>1097454.8794105656</v>
      </c>
      <c r="DD154" s="79">
        <v>1136478.527085183</v>
      </c>
      <c r="DE154" s="79">
        <v>1177008.7320635812</v>
      </c>
      <c r="DF154" s="79">
        <v>1220800.6061108042</v>
      </c>
      <c r="DG154" s="79">
        <v>1268031.1286261862</v>
      </c>
      <c r="DH154" s="79">
        <v>1317110.4438993721</v>
      </c>
      <c r="DI154" s="79">
        <v>1368111.6866883223</v>
      </c>
    </row>
    <row r="155" spans="1:114" outlineLevel="1">
      <c r="AW155" s="22"/>
      <c r="CY155" s="22"/>
    </row>
    <row r="156" spans="1:114" outlineLevel="1">
      <c r="B156" s="24" t="s">
        <v>440</v>
      </c>
      <c r="W156" s="55"/>
      <c r="X156" s="55"/>
      <c r="Y156" s="53"/>
      <c r="Z156" s="53"/>
      <c r="AP156" s="45"/>
      <c r="AQ156" s="45"/>
      <c r="AR156" s="45"/>
      <c r="AS156" s="45"/>
      <c r="AT156" s="45"/>
      <c r="AU156" s="45"/>
      <c r="AV156" s="45"/>
      <c r="AW156" s="43"/>
      <c r="CB156" s="55"/>
      <c r="CY156" s="22"/>
    </row>
    <row r="157" spans="1:114" outlineLevel="1">
      <c r="A157" s="1" t="s">
        <v>886</v>
      </c>
      <c r="B157" s="19" t="s">
        <v>164</v>
      </c>
      <c r="C157" s="53">
        <v>65466</v>
      </c>
      <c r="D157" s="53">
        <v>70678</v>
      </c>
      <c r="E157" s="53">
        <v>75394</v>
      </c>
      <c r="F157" s="53">
        <v>81713</v>
      </c>
      <c r="G157" s="53">
        <v>87592</v>
      </c>
      <c r="H157" s="53">
        <v>97729</v>
      </c>
      <c r="I157" s="53">
        <v>112488</v>
      </c>
      <c r="J157" s="53">
        <v>121704</v>
      </c>
      <c r="K157" s="53">
        <v>129913</v>
      </c>
      <c r="L157" s="53">
        <v>135990</v>
      </c>
      <c r="M157" s="53">
        <v>144834</v>
      </c>
      <c r="N157" s="53">
        <v>150834</v>
      </c>
      <c r="O157" s="53">
        <v>163839</v>
      </c>
      <c r="P157" s="53">
        <v>173269</v>
      </c>
      <c r="Q157" s="53">
        <v>186926</v>
      </c>
      <c r="R157" s="53">
        <v>234170</v>
      </c>
      <c r="S157" s="53">
        <v>261504</v>
      </c>
      <c r="T157" s="53">
        <v>279653</v>
      </c>
      <c r="U157" s="53">
        <v>292140</v>
      </c>
      <c r="V157" s="53">
        <v>298513</v>
      </c>
      <c r="W157" s="53">
        <v>306250</v>
      </c>
      <c r="X157" s="53">
        <v>316462</v>
      </c>
      <c r="Y157" s="53">
        <v>322918</v>
      </c>
      <c r="Z157" s="53">
        <v>327626</v>
      </c>
      <c r="AA157" s="164">
        <v>338023</v>
      </c>
      <c r="AB157" s="164">
        <v>348486</v>
      </c>
      <c r="AC157" s="164">
        <v>360218</v>
      </c>
      <c r="AD157" s="164">
        <v>370043</v>
      </c>
      <c r="AE157" s="164">
        <v>383174</v>
      </c>
      <c r="AF157" s="164">
        <v>393395</v>
      </c>
      <c r="AG157" s="164">
        <v>409452</v>
      </c>
      <c r="AH157" s="164">
        <v>423163</v>
      </c>
      <c r="AI157" s="164">
        <v>436184</v>
      </c>
      <c r="AJ157" s="164">
        <v>443953</v>
      </c>
      <c r="AK157" s="164">
        <v>451367</v>
      </c>
      <c r="AL157" s="164">
        <v>458983</v>
      </c>
      <c r="AM157" s="164">
        <v>467361</v>
      </c>
      <c r="AN157" s="164">
        <v>477701</v>
      </c>
      <c r="AO157" s="164">
        <v>485795</v>
      </c>
      <c r="AP157" s="164">
        <v>498305</v>
      </c>
      <c r="AQ157" s="164">
        <v>516217</v>
      </c>
      <c r="AR157" s="164">
        <v>539690</v>
      </c>
      <c r="AS157" s="164">
        <v>556499</v>
      </c>
      <c r="AT157" s="164">
        <v>570427</v>
      </c>
      <c r="AU157" s="164">
        <v>583827</v>
      </c>
      <c r="AV157" s="164">
        <v>581965</v>
      </c>
      <c r="AW157" s="171">
        <v>596346</v>
      </c>
      <c r="AX157" s="55">
        <v>610122.78529199993</v>
      </c>
      <c r="AY157" s="55">
        <v>624236.14556137437</v>
      </c>
      <c r="AZ157" s="55">
        <v>642457.59865031077</v>
      </c>
      <c r="BA157" s="55">
        <v>654073.87449150695</v>
      </c>
      <c r="BB157" s="55">
        <v>665900.1842161878</v>
      </c>
      <c r="BC157" s="55">
        <v>677940.32544700056</v>
      </c>
      <c r="BD157" s="55">
        <v>690198.16447140765</v>
      </c>
      <c r="BE157" s="55">
        <v>702677.63748321508</v>
      </c>
      <c r="BF157" s="55">
        <v>715382.75184654898</v>
      </c>
      <c r="BG157" s="55">
        <v>728317.58738268632</v>
      </c>
      <c r="BH157" s="55">
        <v>741486.29768015258</v>
      </c>
      <c r="BI157" s="55">
        <v>754893.11142850725</v>
      </c>
      <c r="BJ157" s="55">
        <v>768542.33377624594</v>
      </c>
      <c r="BK157" s="55">
        <v>782438.34771325404</v>
      </c>
      <c r="BL157" s="55">
        <v>796585.61547825718</v>
      </c>
      <c r="BM157" s="55">
        <v>810988.67999171943</v>
      </c>
      <c r="BN157" s="55">
        <v>825652.16631464951</v>
      </c>
      <c r="BO157" s="55">
        <v>840580.78313378454</v>
      </c>
      <c r="BP157" s="55">
        <v>855779.32427362632</v>
      </c>
      <c r="BQ157" s="55">
        <v>871252.67023581755</v>
      </c>
      <c r="BR157" s="55"/>
      <c r="BS157" s="53">
        <v>19582</v>
      </c>
      <c r="BT157" s="53">
        <v>21017.200000000001</v>
      </c>
      <c r="BU157" s="53">
        <v>24185.5</v>
      </c>
      <c r="BV157" s="53">
        <v>26596</v>
      </c>
      <c r="BW157" s="53">
        <v>32337</v>
      </c>
      <c r="BX157" s="53">
        <v>37400</v>
      </c>
      <c r="BY157" s="53">
        <v>41137</v>
      </c>
      <c r="BZ157" s="53">
        <v>45495</v>
      </c>
      <c r="CA157" s="53">
        <v>63471</v>
      </c>
      <c r="CB157" s="164">
        <v>65466</v>
      </c>
      <c r="CC157" s="55">
        <v>75394</v>
      </c>
      <c r="CD157" s="55">
        <v>87592</v>
      </c>
      <c r="CE157" s="55">
        <v>112488</v>
      </c>
      <c r="CF157" s="55">
        <v>129913</v>
      </c>
      <c r="CG157" s="55">
        <v>144834</v>
      </c>
      <c r="CH157" s="55">
        <v>163839</v>
      </c>
      <c r="CI157" s="55">
        <v>186926</v>
      </c>
      <c r="CJ157" s="55">
        <v>261504</v>
      </c>
      <c r="CK157" s="55">
        <v>292140</v>
      </c>
      <c r="CL157" s="55">
        <v>306250</v>
      </c>
      <c r="CM157" s="55">
        <v>322918</v>
      </c>
      <c r="CN157" s="55">
        <v>338023</v>
      </c>
      <c r="CO157" s="55">
        <v>360218</v>
      </c>
      <c r="CP157" s="55">
        <v>383174</v>
      </c>
      <c r="CQ157" s="55">
        <v>409452</v>
      </c>
      <c r="CR157" s="55">
        <v>436184</v>
      </c>
      <c r="CS157" s="55">
        <v>451367</v>
      </c>
      <c r="CT157" s="55">
        <v>467361</v>
      </c>
      <c r="CU157" s="55">
        <v>485795</v>
      </c>
      <c r="CV157" s="55">
        <v>516217</v>
      </c>
      <c r="CW157" s="55">
        <v>556499</v>
      </c>
      <c r="CX157" s="55">
        <v>583827</v>
      </c>
      <c r="CY157" s="56">
        <v>596346</v>
      </c>
      <c r="CZ157" s="55">
        <v>624236.14556137437</v>
      </c>
      <c r="DA157" s="55">
        <v>654073.87449150695</v>
      </c>
      <c r="DB157" s="55">
        <v>677940.32544700056</v>
      </c>
      <c r="DC157" s="55">
        <v>702677.63748321508</v>
      </c>
      <c r="DD157" s="55">
        <v>728317.58738268632</v>
      </c>
      <c r="DE157" s="55">
        <v>754893.11142850725</v>
      </c>
      <c r="DF157" s="55">
        <v>782438.34771325404</v>
      </c>
      <c r="DG157" s="55">
        <v>810988.67999171943</v>
      </c>
      <c r="DH157" s="55">
        <v>840580.78313378454</v>
      </c>
      <c r="DI157" s="55">
        <v>871252.67023581755</v>
      </c>
      <c r="DJ157" s="134"/>
    </row>
    <row r="158" spans="1:114" outlineLevel="1">
      <c r="A158" s="1" t="s">
        <v>733</v>
      </c>
      <c r="B158" s="19" t="s">
        <v>165</v>
      </c>
      <c r="C158" s="185">
        <v>29065.528391166448</v>
      </c>
      <c r="D158" s="185">
        <v>25583.300165317898</v>
      </c>
      <c r="E158" s="185">
        <v>25026.655092850291</v>
      </c>
      <c r="F158" s="185">
        <v>23983.167942110278</v>
      </c>
      <c r="G158" s="185">
        <v>23811.585798373435</v>
      </c>
      <c r="H158" s="53">
        <v>25371.644722278619</v>
      </c>
      <c r="I158" s="53">
        <v>26363.007291962655</v>
      </c>
      <c r="J158" s="53">
        <v>27813.291468354422</v>
      </c>
      <c r="K158" s="53">
        <v>29628.300576234815</v>
      </c>
      <c r="L158" s="53">
        <v>35007.275353228441</v>
      </c>
      <c r="M158" s="181">
        <v>38105.426975983763</v>
      </c>
      <c r="N158" s="181">
        <v>42520.034571923214</v>
      </c>
      <c r="O158" s="181">
        <v>46314.556101128554</v>
      </c>
      <c r="P158" s="181">
        <v>53523.158636283639</v>
      </c>
      <c r="Q158" s="53">
        <v>55192.090493820724</v>
      </c>
      <c r="R158" s="53">
        <v>59099.534114933682</v>
      </c>
      <c r="S158" s="53">
        <v>61154.856533817896</v>
      </c>
      <c r="T158" s="53">
        <v>64820.031271294531</v>
      </c>
      <c r="U158" s="53">
        <v>66938.455694267293</v>
      </c>
      <c r="V158" s="53">
        <v>65742.522473922392</v>
      </c>
      <c r="W158" s="53">
        <v>68468.003200513704</v>
      </c>
      <c r="X158" s="53">
        <v>68790.8</v>
      </c>
      <c r="Y158" s="53">
        <v>70480.55</v>
      </c>
      <c r="Z158" s="53">
        <v>71749.25</v>
      </c>
      <c r="AA158" s="164">
        <v>73654.45</v>
      </c>
      <c r="AB158" s="164">
        <v>72859.05</v>
      </c>
      <c r="AC158" s="164">
        <v>73253.05</v>
      </c>
      <c r="AD158" s="164">
        <v>76724.899999999994</v>
      </c>
      <c r="AE158" s="164">
        <v>78373.600000000006</v>
      </c>
      <c r="AF158" s="164">
        <v>79130</v>
      </c>
      <c r="AG158" s="164">
        <v>82413.649999999994</v>
      </c>
      <c r="AH158" s="164">
        <v>85021</v>
      </c>
      <c r="AI158" s="164">
        <v>86960.45</v>
      </c>
      <c r="AJ158" s="164">
        <v>88604.3</v>
      </c>
      <c r="AK158" s="164">
        <v>89876.85</v>
      </c>
      <c r="AL158" s="164">
        <v>89667.95</v>
      </c>
      <c r="AM158" s="164">
        <v>91613.8</v>
      </c>
      <c r="AN158" s="164">
        <v>91086</v>
      </c>
      <c r="AO158" s="164">
        <v>92259</v>
      </c>
      <c r="AP158" s="164">
        <v>96130</v>
      </c>
      <c r="AQ158" s="164">
        <v>103386</v>
      </c>
      <c r="AR158" s="164">
        <v>108978</v>
      </c>
      <c r="AS158" s="164">
        <v>117516</v>
      </c>
      <c r="AT158" s="164">
        <v>122396</v>
      </c>
      <c r="AU158" s="164">
        <v>130359</v>
      </c>
      <c r="AV158" s="164">
        <v>135375</v>
      </c>
      <c r="AW158" s="171">
        <v>145031</v>
      </c>
      <c r="AX158" s="55">
        <v>148239.23075099997</v>
      </c>
      <c r="AY158" s="55">
        <v>151518.43077444282</v>
      </c>
      <c r="AZ158" s="55">
        <v>154870.16998160424</v>
      </c>
      <c r="BA158" s="55">
        <v>158296.05301176728</v>
      </c>
      <c r="BB158" s="55">
        <v>161797.72000044055</v>
      </c>
      <c r="BC158" s="55">
        <v>165376.84736457028</v>
      </c>
      <c r="BD158" s="55">
        <v>169035.14860512191</v>
      </c>
      <c r="BE158" s="55">
        <v>172774.37512741578</v>
      </c>
      <c r="BF158" s="55">
        <v>176596.31707960932</v>
      </c>
      <c r="BG158" s="55">
        <v>180502.80420972733</v>
      </c>
      <c r="BH158" s="55">
        <v>184495.70674165068</v>
      </c>
      <c r="BI158" s="55">
        <v>188576.93627048269</v>
      </c>
      <c r="BJ158" s="55">
        <v>192748.44667772201</v>
      </c>
      <c r="BK158" s="55">
        <v>197012.23506667986</v>
      </c>
      <c r="BL158" s="55">
        <v>201370.34271858985</v>
      </c>
      <c r="BM158" s="55">
        <v>205824.85606986773</v>
      </c>
      <c r="BN158" s="55">
        <v>210377.90771098924</v>
      </c>
      <c r="BO158" s="55">
        <v>215031.67740746398</v>
      </c>
      <c r="BP158" s="55">
        <v>219788.39314339447</v>
      </c>
      <c r="BQ158" s="55">
        <v>224650.33218811947</v>
      </c>
      <c r="BR158" s="55"/>
      <c r="BS158" s="164">
        <v>14380.922565657422</v>
      </c>
      <c r="BT158" s="164">
        <v>13625.843484989446</v>
      </c>
      <c r="BU158" s="164">
        <v>12125.385010882224</v>
      </c>
      <c r="BV158" s="164">
        <v>11228.357935969907</v>
      </c>
      <c r="BW158" s="164">
        <v>12893.93280010208</v>
      </c>
      <c r="BX158" s="164">
        <v>15093.267595734849</v>
      </c>
      <c r="BY158" s="164">
        <v>16143.605155645155</v>
      </c>
      <c r="BZ158" s="164">
        <v>18880.025489828364</v>
      </c>
      <c r="CA158" s="164">
        <v>26428.044957299895</v>
      </c>
      <c r="CB158" s="164">
        <v>25249.761273770797</v>
      </c>
      <c r="CC158" s="55">
        <v>25026.655092850291</v>
      </c>
      <c r="CD158" s="55">
        <v>23811.585798373435</v>
      </c>
      <c r="CE158" s="55">
        <v>26363.007291962655</v>
      </c>
      <c r="CF158" s="55">
        <v>29628.300576234815</v>
      </c>
      <c r="CG158" s="55">
        <v>38105.426975983763</v>
      </c>
      <c r="CH158" s="55">
        <v>46314.556101128554</v>
      </c>
      <c r="CI158" s="55">
        <v>55192.090493820724</v>
      </c>
      <c r="CJ158" s="55">
        <v>61154.856533817896</v>
      </c>
      <c r="CK158" s="55">
        <v>66938.455694267293</v>
      </c>
      <c r="CL158" s="55">
        <v>68468.003200513704</v>
      </c>
      <c r="CM158" s="55">
        <v>70480.55</v>
      </c>
      <c r="CN158" s="55">
        <v>73654.45</v>
      </c>
      <c r="CO158" s="55">
        <v>73253.05</v>
      </c>
      <c r="CP158" s="55">
        <v>78373.600000000006</v>
      </c>
      <c r="CQ158" s="55">
        <v>82413.649999999994</v>
      </c>
      <c r="CR158" s="55">
        <v>86960.45</v>
      </c>
      <c r="CS158" s="55">
        <v>89876.85</v>
      </c>
      <c r="CT158" s="55">
        <v>91613.8</v>
      </c>
      <c r="CU158" s="55">
        <v>92259</v>
      </c>
      <c r="CV158" s="55">
        <v>103386</v>
      </c>
      <c r="CW158" s="55">
        <v>117516</v>
      </c>
      <c r="CX158" s="55">
        <v>130359</v>
      </c>
      <c r="CY158" s="56">
        <v>145031</v>
      </c>
      <c r="CZ158" s="55">
        <v>151518.43077444282</v>
      </c>
      <c r="DA158" s="55">
        <v>158296.05301176728</v>
      </c>
      <c r="DB158" s="55">
        <v>165376.84736457028</v>
      </c>
      <c r="DC158" s="55">
        <v>172774.37512741578</v>
      </c>
      <c r="DD158" s="55">
        <v>180502.80420972733</v>
      </c>
      <c r="DE158" s="55">
        <v>188576.93627048269</v>
      </c>
      <c r="DF158" s="55">
        <v>197012.23506667986</v>
      </c>
      <c r="DG158" s="55">
        <v>205824.85606986773</v>
      </c>
      <c r="DH158" s="55">
        <v>215031.67740746398</v>
      </c>
      <c r="DI158" s="55">
        <v>224650.33218811947</v>
      </c>
    </row>
    <row r="159" spans="1:114" outlineLevel="1">
      <c r="A159" s="1" t="s">
        <v>734</v>
      </c>
      <c r="B159" s="19" t="s">
        <v>166</v>
      </c>
      <c r="C159" s="55">
        <v>18704.471608833552</v>
      </c>
      <c r="D159" s="55">
        <v>16463.561410701444</v>
      </c>
      <c r="E159" s="55">
        <v>16105.344907149709</v>
      </c>
      <c r="F159" s="55">
        <v>15433.832057889722</v>
      </c>
      <c r="G159" s="55">
        <v>15323.414201626565</v>
      </c>
      <c r="H159" s="55">
        <v>16327.355277721381</v>
      </c>
      <c r="I159" s="55">
        <v>8608.9927080373454</v>
      </c>
      <c r="J159" s="55">
        <v>17076.708531645578</v>
      </c>
      <c r="K159" s="55">
        <v>18067.699423765182</v>
      </c>
      <c r="L159" s="55">
        <v>17898.834077260475</v>
      </c>
      <c r="M159" s="55">
        <v>18435.573024016237</v>
      </c>
      <c r="N159" s="55">
        <v>18509.965428076786</v>
      </c>
      <c r="O159" s="55">
        <v>33663.443898871446</v>
      </c>
      <c r="P159" s="55">
        <v>41458.841363716361</v>
      </c>
      <c r="Q159" s="55">
        <v>45080.909506179276</v>
      </c>
      <c r="R159" s="55">
        <v>74238.465885066311</v>
      </c>
      <c r="S159" s="55">
        <v>69810.143466182111</v>
      </c>
      <c r="T159" s="55">
        <v>65936.968728705469</v>
      </c>
      <c r="U159" s="55">
        <v>63502.544305732707</v>
      </c>
      <c r="V159" s="55">
        <v>61465.477526077608</v>
      </c>
      <c r="W159" s="55">
        <v>58386.996799486296</v>
      </c>
      <c r="X159" s="55">
        <v>60204.2</v>
      </c>
      <c r="Y159" s="55">
        <v>61401.45</v>
      </c>
      <c r="Z159" s="55">
        <v>61039.75</v>
      </c>
      <c r="AA159" s="55">
        <v>62614.55</v>
      </c>
      <c r="AB159" s="55">
        <v>67115.95</v>
      </c>
      <c r="AC159" s="55">
        <v>69257.95</v>
      </c>
      <c r="AD159" s="55">
        <v>70922.100000000006</v>
      </c>
      <c r="AE159" s="55">
        <v>75481.399999999994</v>
      </c>
      <c r="AF159" s="55">
        <v>85211</v>
      </c>
      <c r="AG159" s="55">
        <v>88135.35</v>
      </c>
      <c r="AH159" s="55">
        <v>84882</v>
      </c>
      <c r="AI159" s="55">
        <v>87090.55</v>
      </c>
      <c r="AJ159" s="55">
        <v>83638.7</v>
      </c>
      <c r="AK159" s="55">
        <v>79460.149999999994</v>
      </c>
      <c r="AL159" s="55">
        <v>78983.05</v>
      </c>
      <c r="AM159" s="55">
        <v>71997.2</v>
      </c>
      <c r="AN159" s="55">
        <v>73110</v>
      </c>
      <c r="AO159" s="55">
        <v>78234</v>
      </c>
      <c r="AP159" s="55">
        <v>74323</v>
      </c>
      <c r="AQ159" s="55">
        <v>69094</v>
      </c>
      <c r="AR159" s="55">
        <v>68372</v>
      </c>
      <c r="AS159" s="55">
        <v>79087</v>
      </c>
      <c r="AT159" s="55">
        <v>85119</v>
      </c>
      <c r="AU159" s="55">
        <v>84268</v>
      </c>
      <c r="AV159" s="55">
        <v>76576</v>
      </c>
      <c r="AW159" s="56">
        <v>73235</v>
      </c>
      <c r="AX159" s="55">
        <v>74855.031434999983</v>
      </c>
      <c r="AY159" s="55">
        <v>76510.899585373598</v>
      </c>
      <c r="AZ159" s="55">
        <v>78203.397195101628</v>
      </c>
      <c r="BA159" s="55">
        <v>79933.334544454454</v>
      </c>
      <c r="BB159" s="55">
        <v>81701.539837912322</v>
      </c>
      <c r="BC159" s="55">
        <v>83508.859600666765</v>
      </c>
      <c r="BD159" s="55">
        <v>85356.159083893101</v>
      </c>
      <c r="BE159" s="55">
        <v>87244.322678987883</v>
      </c>
      <c r="BF159" s="55">
        <v>89174.254340969754</v>
      </c>
      <c r="BG159" s="55">
        <v>91146.878021246332</v>
      </c>
      <c r="BH159" s="55">
        <v>93163.138109954307</v>
      </c>
      <c r="BI159" s="55">
        <v>95223.999888084596</v>
      </c>
      <c r="BJ159" s="55">
        <v>97330.449989608896</v>
      </c>
      <c r="BK159" s="55">
        <v>99483.496873829019</v>
      </c>
      <c r="BL159" s="55">
        <v>101684.17130817498</v>
      </c>
      <c r="BM159" s="55">
        <v>103933.5268616831</v>
      </c>
      <c r="BN159" s="55">
        <v>106232.64040939037</v>
      </c>
      <c r="BO159" s="55">
        <v>108582.61264788648</v>
      </c>
      <c r="BP159" s="55">
        <v>110984.56862227035</v>
      </c>
      <c r="BQ159" s="55">
        <v>113439.65826476358</v>
      </c>
      <c r="BR159" s="55"/>
      <c r="BS159" s="55">
        <v>11564.877434342581</v>
      </c>
      <c r="BT159" s="55">
        <v>10957.656515010553</v>
      </c>
      <c r="BU159" s="55">
        <v>9751.0149891177807</v>
      </c>
      <c r="BV159" s="55">
        <v>9029.642064030093</v>
      </c>
      <c r="BW159" s="55">
        <v>10369.06719989792</v>
      </c>
      <c r="BX159" s="55">
        <v>12137.732404265153</v>
      </c>
      <c r="BY159" s="55">
        <v>12982.394844354843</v>
      </c>
      <c r="BZ159" s="55">
        <v>15182.974510171636</v>
      </c>
      <c r="CA159" s="55">
        <v>21252.955042700105</v>
      </c>
      <c r="CB159" s="55">
        <v>22520.238726229203</v>
      </c>
      <c r="CC159" s="55">
        <v>16105.344907149709</v>
      </c>
      <c r="CD159" s="55">
        <v>15323.414201626565</v>
      </c>
      <c r="CE159" s="55">
        <v>8608.9927080373454</v>
      </c>
      <c r="CF159" s="55">
        <v>18067.699423765182</v>
      </c>
      <c r="CG159" s="55">
        <v>18435.573024016237</v>
      </c>
      <c r="CH159" s="55">
        <v>33663.443898871446</v>
      </c>
      <c r="CI159" s="55">
        <v>45080.909506179276</v>
      </c>
      <c r="CJ159" s="55">
        <v>69810.143466182111</v>
      </c>
      <c r="CK159" s="55">
        <v>63502.544305732707</v>
      </c>
      <c r="CL159" s="55">
        <v>58386.996799486296</v>
      </c>
      <c r="CM159" s="55">
        <v>61401.45</v>
      </c>
      <c r="CN159" s="55">
        <v>62614.55</v>
      </c>
      <c r="CO159" s="55">
        <v>69257.95</v>
      </c>
      <c r="CP159" s="55">
        <v>75481.399999999994</v>
      </c>
      <c r="CQ159" s="55">
        <v>88135.35</v>
      </c>
      <c r="CR159" s="55">
        <v>87090.55</v>
      </c>
      <c r="CS159" s="55">
        <v>79460.149999999994</v>
      </c>
      <c r="CT159" s="55">
        <v>71997.2</v>
      </c>
      <c r="CU159" s="55">
        <v>78234</v>
      </c>
      <c r="CV159" s="55">
        <v>69094</v>
      </c>
      <c r="CW159" s="55">
        <v>79087</v>
      </c>
      <c r="CX159" s="55">
        <v>84268</v>
      </c>
      <c r="CY159" s="56">
        <v>73235</v>
      </c>
      <c r="CZ159" s="55">
        <v>76510.899585373598</v>
      </c>
      <c r="DA159" s="55">
        <v>79933.334544454454</v>
      </c>
      <c r="DB159" s="55">
        <v>83508.859600666765</v>
      </c>
      <c r="DC159" s="55">
        <v>87244.322678987883</v>
      </c>
      <c r="DD159" s="55">
        <v>91146.878021246332</v>
      </c>
      <c r="DE159" s="55">
        <v>95223.999888084596</v>
      </c>
      <c r="DF159" s="55">
        <v>99483.496873829019</v>
      </c>
      <c r="DG159" s="55">
        <v>103933.5268616831</v>
      </c>
      <c r="DH159" s="55">
        <v>108582.61264788648</v>
      </c>
      <c r="DI159" s="55">
        <v>113439.65826476358</v>
      </c>
    </row>
    <row r="160" spans="1:114" outlineLevel="1">
      <c r="A160" s="1" t="s">
        <v>735</v>
      </c>
      <c r="B160" s="19" t="s">
        <v>167</v>
      </c>
      <c r="C160" s="164">
        <v>7319</v>
      </c>
      <c r="D160" s="55">
        <v>10909.138423980658</v>
      </c>
      <c r="E160" s="164">
        <v>11277</v>
      </c>
      <c r="F160" s="164">
        <v>11958</v>
      </c>
      <c r="G160" s="164">
        <v>12073</v>
      </c>
      <c r="H160" s="164">
        <v>12280</v>
      </c>
      <c r="I160" s="164">
        <v>12850</v>
      </c>
      <c r="J160" s="164">
        <v>14397</v>
      </c>
      <c r="K160" s="164">
        <v>15262</v>
      </c>
      <c r="L160" s="164">
        <v>15489</v>
      </c>
      <c r="M160" s="164">
        <v>16800</v>
      </c>
      <c r="N160" s="164">
        <v>17719</v>
      </c>
      <c r="O160" s="164">
        <v>19541</v>
      </c>
      <c r="P160" s="164">
        <v>20244</v>
      </c>
      <c r="Q160" s="164">
        <v>19727</v>
      </c>
      <c r="R160" s="164">
        <v>18675</v>
      </c>
      <c r="S160" s="164">
        <v>18687</v>
      </c>
      <c r="T160" s="164">
        <v>19948</v>
      </c>
      <c r="U160" s="164">
        <v>19983</v>
      </c>
      <c r="V160" s="164">
        <v>20083</v>
      </c>
      <c r="W160" s="164">
        <v>20371</v>
      </c>
      <c r="X160" s="164">
        <v>20317</v>
      </c>
      <c r="Y160" s="164">
        <v>20454</v>
      </c>
      <c r="Z160" s="164">
        <v>20824</v>
      </c>
      <c r="AA160" s="164">
        <v>21337</v>
      </c>
      <c r="AB160" s="164">
        <v>21835</v>
      </c>
      <c r="AC160" s="164">
        <v>22255</v>
      </c>
      <c r="AD160" s="164">
        <v>22818</v>
      </c>
      <c r="AE160" s="164">
        <v>22681</v>
      </c>
      <c r="AF160" s="164">
        <v>23100</v>
      </c>
      <c r="AG160" s="164">
        <v>22950</v>
      </c>
      <c r="AH160" s="164">
        <v>22898</v>
      </c>
      <c r="AI160" s="164">
        <v>22617</v>
      </c>
      <c r="AJ160" s="164">
        <v>22587</v>
      </c>
      <c r="AK160" s="164">
        <v>22324</v>
      </c>
      <c r="AL160" s="164">
        <v>21613</v>
      </c>
      <c r="AM160" s="164">
        <v>20924</v>
      </c>
      <c r="AN160" s="164">
        <v>20061</v>
      </c>
      <c r="AO160" s="164">
        <v>17306</v>
      </c>
      <c r="AP160" s="164">
        <v>16476</v>
      </c>
      <c r="AQ160" s="164">
        <v>16088</v>
      </c>
      <c r="AR160" s="164">
        <v>15770</v>
      </c>
      <c r="AS160" s="164">
        <v>15656</v>
      </c>
      <c r="AT160" s="164">
        <v>16052</v>
      </c>
      <c r="AU160" s="164">
        <v>16162</v>
      </c>
      <c r="AV160" s="164">
        <v>16571</v>
      </c>
      <c r="AW160" s="171">
        <v>15896</v>
      </c>
      <c r="AX160" s="55">
        <v>16055.357399999995</v>
      </c>
      <c r="AY160" s="55">
        <v>16216.31235793499</v>
      </c>
      <c r="AZ160" s="55">
        <v>16378.880889323284</v>
      </c>
      <c r="BA160" s="55">
        <v>16543.079170238743</v>
      </c>
      <c r="BB160" s="55">
        <v>16708.923538920382</v>
      </c>
      <c r="BC160" s="55">
        <v>16876.430497398054</v>
      </c>
      <c r="BD160" s="55">
        <v>17045.616713134466</v>
      </c>
      <c r="BE160" s="55">
        <v>17216.499020683634</v>
      </c>
      <c r="BF160" s="55">
        <v>17389.094423365983</v>
      </c>
      <c r="BG160" s="55">
        <v>17563.420094960224</v>
      </c>
      <c r="BH160" s="55">
        <v>17739.493381412194</v>
      </c>
      <c r="BI160" s="55">
        <v>17917.331802560846</v>
      </c>
      <c r="BJ160" s="55">
        <v>18096.953053881512</v>
      </c>
      <c r="BK160" s="55">
        <v>18278.375008246669</v>
      </c>
      <c r="BL160" s="55">
        <v>18461.615717704335</v>
      </c>
      <c r="BM160" s="55">
        <v>18646.693415274316</v>
      </c>
      <c r="BN160" s="55">
        <v>18833.626516762437</v>
      </c>
      <c r="BO160" s="55">
        <v>19022.433622592976</v>
      </c>
      <c r="BP160" s="55">
        <v>19213.133519659466</v>
      </c>
      <c r="BQ160" s="55">
        <v>19405.745183194049</v>
      </c>
      <c r="BR160" s="55"/>
      <c r="BS160" s="53">
        <v>6953.1</v>
      </c>
      <c r="BT160" s="53">
        <v>6931.5</v>
      </c>
      <c r="BU160" s="53">
        <v>6929.4</v>
      </c>
      <c r="BV160" s="53">
        <v>8669</v>
      </c>
      <c r="BW160" s="53">
        <v>6554</v>
      </c>
      <c r="BX160" s="53">
        <v>6863</v>
      </c>
      <c r="BY160" s="53">
        <v>8360</v>
      </c>
      <c r="BZ160" s="53">
        <v>10144</v>
      </c>
      <c r="CA160" s="164">
        <v>7063</v>
      </c>
      <c r="CB160" s="164">
        <v>7319</v>
      </c>
      <c r="CC160" s="55">
        <v>11277</v>
      </c>
      <c r="CD160" s="55">
        <v>12073</v>
      </c>
      <c r="CE160" s="55">
        <v>12850</v>
      </c>
      <c r="CF160" s="55">
        <v>15262</v>
      </c>
      <c r="CG160" s="55">
        <v>16800</v>
      </c>
      <c r="CH160" s="55">
        <v>19541</v>
      </c>
      <c r="CI160" s="55">
        <v>19727</v>
      </c>
      <c r="CJ160" s="55">
        <v>18687</v>
      </c>
      <c r="CK160" s="55">
        <v>19983</v>
      </c>
      <c r="CL160" s="55">
        <v>20371</v>
      </c>
      <c r="CM160" s="55">
        <v>20454</v>
      </c>
      <c r="CN160" s="55">
        <v>21337</v>
      </c>
      <c r="CO160" s="55">
        <v>22255</v>
      </c>
      <c r="CP160" s="55">
        <v>22681</v>
      </c>
      <c r="CQ160" s="55">
        <v>22950</v>
      </c>
      <c r="CR160" s="55">
        <v>22617</v>
      </c>
      <c r="CS160" s="55">
        <v>22324</v>
      </c>
      <c r="CT160" s="55">
        <v>20924</v>
      </c>
      <c r="CU160" s="55">
        <v>17306</v>
      </c>
      <c r="CV160" s="55">
        <v>16088</v>
      </c>
      <c r="CW160" s="55">
        <v>15656</v>
      </c>
      <c r="CX160" s="55">
        <v>16162</v>
      </c>
      <c r="CY160" s="56">
        <v>15896</v>
      </c>
      <c r="CZ160" s="55">
        <v>16216.31235793499</v>
      </c>
      <c r="DA160" s="55">
        <v>16543.079170238743</v>
      </c>
      <c r="DB160" s="55">
        <v>16876.430497398054</v>
      </c>
      <c r="DC160" s="55">
        <v>17216.499020683634</v>
      </c>
      <c r="DD160" s="55">
        <v>17563.420094960224</v>
      </c>
      <c r="DE160" s="55">
        <v>17917.331802560846</v>
      </c>
      <c r="DF160" s="55">
        <v>18278.375008246669</v>
      </c>
      <c r="DG160" s="55">
        <v>18646.693415274316</v>
      </c>
      <c r="DH160" s="55">
        <v>19022.433622592976</v>
      </c>
      <c r="DI160" s="55">
        <v>19405.745183194049</v>
      </c>
    </row>
    <row r="161" spans="1:114" s="24" customFormat="1" outlineLevel="1">
      <c r="A161" s="1" t="s">
        <v>736</v>
      </c>
      <c r="B161" s="24" t="s">
        <v>168</v>
      </c>
      <c r="C161" s="166">
        <v>120555</v>
      </c>
      <c r="D161" s="166">
        <v>123634</v>
      </c>
      <c r="E161" s="166">
        <v>127803</v>
      </c>
      <c r="F161" s="166">
        <v>133088</v>
      </c>
      <c r="G161" s="166">
        <v>138800</v>
      </c>
      <c r="H161" s="166">
        <v>151708</v>
      </c>
      <c r="I161" s="166">
        <v>160310</v>
      </c>
      <c r="J161" s="166">
        <v>180991</v>
      </c>
      <c r="K161" s="166">
        <v>192871</v>
      </c>
      <c r="L161" s="166">
        <v>204688</v>
      </c>
      <c r="M161" s="166">
        <v>218175</v>
      </c>
      <c r="N161" s="166">
        <v>229583</v>
      </c>
      <c r="O161" s="166">
        <v>263358</v>
      </c>
      <c r="P161" s="166">
        <v>288495</v>
      </c>
      <c r="Q161" s="166">
        <v>306926</v>
      </c>
      <c r="R161" s="166">
        <v>386183</v>
      </c>
      <c r="S161" s="166">
        <v>411156</v>
      </c>
      <c r="T161" s="166">
        <v>430358</v>
      </c>
      <c r="U161" s="166">
        <v>442564</v>
      </c>
      <c r="V161" s="166">
        <v>445804</v>
      </c>
      <c r="W161" s="166">
        <v>453476</v>
      </c>
      <c r="X161" s="166">
        <v>465774</v>
      </c>
      <c r="Y161" s="166">
        <v>475254</v>
      </c>
      <c r="Z161" s="166">
        <v>481239</v>
      </c>
      <c r="AA161" s="166">
        <v>495629</v>
      </c>
      <c r="AB161" s="166">
        <v>510296</v>
      </c>
      <c r="AC161" s="166">
        <v>524984</v>
      </c>
      <c r="AD161" s="166">
        <v>540508</v>
      </c>
      <c r="AE161" s="166">
        <v>559710</v>
      </c>
      <c r="AF161" s="166">
        <v>580836</v>
      </c>
      <c r="AG161" s="166">
        <v>602951</v>
      </c>
      <c r="AH161" s="166">
        <v>615964</v>
      </c>
      <c r="AI161" s="166">
        <v>632852</v>
      </c>
      <c r="AJ161" s="166">
        <v>638783</v>
      </c>
      <c r="AK161" s="166">
        <v>643028</v>
      </c>
      <c r="AL161" s="166">
        <v>649247</v>
      </c>
      <c r="AM161" s="166">
        <v>651896</v>
      </c>
      <c r="AN161" s="166">
        <v>661958</v>
      </c>
      <c r="AO161" s="166">
        <v>673594</v>
      </c>
      <c r="AP161" s="166">
        <v>685234</v>
      </c>
      <c r="AQ161" s="166">
        <v>704785</v>
      </c>
      <c r="AR161" s="166">
        <v>732810</v>
      </c>
      <c r="AS161" s="166">
        <v>768758</v>
      </c>
      <c r="AT161" s="166">
        <v>793994</v>
      </c>
      <c r="AU161" s="166">
        <v>814616</v>
      </c>
      <c r="AV161" s="166">
        <v>810487</v>
      </c>
      <c r="AW161" s="167">
        <v>830508</v>
      </c>
      <c r="AX161" s="82">
        <v>849272.40487799991</v>
      </c>
      <c r="AY161" s="82">
        <v>868481.78827912582</v>
      </c>
      <c r="AZ161" s="82">
        <v>891910.04671633989</v>
      </c>
      <c r="BA161" s="82">
        <v>908846.34121796745</v>
      </c>
      <c r="BB161" s="82">
        <v>926108.36759346095</v>
      </c>
      <c r="BC161" s="82">
        <v>943702.46290963562</v>
      </c>
      <c r="BD161" s="82">
        <v>961635.08887355705</v>
      </c>
      <c r="BE161" s="82">
        <v>979912.83431030228</v>
      </c>
      <c r="BF161" s="82">
        <v>998542.4176904941</v>
      </c>
      <c r="BG161" s="82">
        <v>1017530.6897086202</v>
      </c>
      <c r="BH161" s="82">
        <v>1036884.6359131698</v>
      </c>
      <c r="BI161" s="82">
        <v>1056611.3793896355</v>
      </c>
      <c r="BJ161" s="82">
        <v>1076718.1834974582</v>
      </c>
      <c r="BK161" s="82">
        <v>1097212.4546620096</v>
      </c>
      <c r="BL161" s="82">
        <v>1118101.7452227264</v>
      </c>
      <c r="BM161" s="82">
        <v>1139393.7563385447</v>
      </c>
      <c r="BN161" s="82">
        <v>1161096.3409517915</v>
      </c>
      <c r="BO161" s="82">
        <v>1183217.506811728</v>
      </c>
      <c r="BP161" s="82">
        <v>1205765.4195589507</v>
      </c>
      <c r="BQ161" s="82">
        <v>1228748.4058718947</v>
      </c>
      <c r="BR161" s="82"/>
      <c r="BS161" s="81">
        <v>52480.9</v>
      </c>
      <c r="BT161" s="81">
        <v>52532.2</v>
      </c>
      <c r="BU161" s="81">
        <v>52991.3</v>
      </c>
      <c r="BV161" s="81">
        <v>55523</v>
      </c>
      <c r="BW161" s="81">
        <v>62154</v>
      </c>
      <c r="BX161" s="81">
        <v>71494</v>
      </c>
      <c r="BY161" s="81">
        <v>78623</v>
      </c>
      <c r="BZ161" s="81">
        <v>89702</v>
      </c>
      <c r="CA161" s="81">
        <v>118215</v>
      </c>
      <c r="CB161" s="81">
        <v>120555</v>
      </c>
      <c r="CC161" s="82">
        <v>127803</v>
      </c>
      <c r="CD161" s="82">
        <v>138800</v>
      </c>
      <c r="CE161" s="82">
        <v>160310</v>
      </c>
      <c r="CF161" s="82">
        <v>192871</v>
      </c>
      <c r="CG161" s="82">
        <v>218175</v>
      </c>
      <c r="CH161" s="82">
        <v>263358</v>
      </c>
      <c r="CI161" s="82">
        <v>306926</v>
      </c>
      <c r="CJ161" s="82">
        <v>411156</v>
      </c>
      <c r="CK161" s="82">
        <v>442564</v>
      </c>
      <c r="CL161" s="82">
        <v>453476</v>
      </c>
      <c r="CM161" s="82">
        <v>475254</v>
      </c>
      <c r="CN161" s="82">
        <v>495629</v>
      </c>
      <c r="CO161" s="82">
        <v>524984</v>
      </c>
      <c r="CP161" s="82">
        <v>559710</v>
      </c>
      <c r="CQ161" s="82">
        <v>602951</v>
      </c>
      <c r="CR161" s="82">
        <v>632852</v>
      </c>
      <c r="CS161" s="82">
        <v>643028</v>
      </c>
      <c r="CT161" s="82">
        <v>651896</v>
      </c>
      <c r="CU161" s="82">
        <v>673594</v>
      </c>
      <c r="CV161" s="82">
        <v>704785</v>
      </c>
      <c r="CW161" s="82">
        <v>768758</v>
      </c>
      <c r="CX161" s="82">
        <v>814616</v>
      </c>
      <c r="CY161" s="83">
        <v>830508</v>
      </c>
      <c r="CZ161" s="82">
        <v>868481.78827912582</v>
      </c>
      <c r="DA161" s="82">
        <v>908846.34121796745</v>
      </c>
      <c r="DB161" s="82">
        <v>943702.46290963562</v>
      </c>
      <c r="DC161" s="82">
        <v>979912.83431030228</v>
      </c>
      <c r="DD161" s="82">
        <v>1017530.6897086202</v>
      </c>
      <c r="DE161" s="82">
        <v>1056611.3793896355</v>
      </c>
      <c r="DF161" s="82">
        <v>1097212.4546620096</v>
      </c>
      <c r="DG161" s="82">
        <v>1139393.7563385447</v>
      </c>
      <c r="DH161" s="82">
        <v>1183217.506811728</v>
      </c>
      <c r="DI161" s="82">
        <v>1228748.4058718947</v>
      </c>
      <c r="DJ161" s="134"/>
    </row>
    <row r="162" spans="1:114" outlineLevel="1">
      <c r="C162" s="55"/>
      <c r="D162" s="55"/>
      <c r="E162" s="55"/>
      <c r="F162" s="55"/>
      <c r="G162" s="55"/>
      <c r="H162" s="55"/>
      <c r="I162" s="55"/>
      <c r="J162" s="55"/>
      <c r="K162" s="55"/>
      <c r="L162" s="55"/>
      <c r="M162" s="55"/>
      <c r="N162" s="55"/>
      <c r="O162" s="55"/>
      <c r="P162" s="55"/>
      <c r="Q162" s="55"/>
      <c r="R162" s="55"/>
      <c r="S162" s="55"/>
      <c r="T162" s="55"/>
      <c r="U162" s="55"/>
      <c r="V162" s="55"/>
      <c r="W162" s="590"/>
      <c r="X162" s="55"/>
      <c r="Y162" s="55"/>
      <c r="Z162" s="58"/>
      <c r="AA162" s="55"/>
      <c r="AB162" s="55"/>
      <c r="AC162" s="166"/>
      <c r="AD162" s="55"/>
      <c r="AE162" s="55"/>
      <c r="AF162" s="55"/>
      <c r="AG162" s="55"/>
      <c r="AH162" s="55"/>
      <c r="AI162" s="55"/>
      <c r="AJ162" s="55"/>
      <c r="AK162" s="55"/>
      <c r="AL162" s="55"/>
      <c r="AM162" s="55"/>
      <c r="AN162" s="55"/>
      <c r="AO162" s="55"/>
      <c r="AP162" s="55"/>
      <c r="AQ162" s="55"/>
      <c r="AR162" s="55"/>
      <c r="AS162" s="55"/>
      <c r="AT162" s="55"/>
      <c r="AU162" s="55"/>
      <c r="AV162" s="55"/>
      <c r="AW162" s="56"/>
      <c r="AX162" s="55"/>
      <c r="AY162" s="55"/>
      <c r="AZ162" s="55"/>
      <c r="BA162" s="55"/>
      <c r="BB162" s="55"/>
      <c r="BC162" s="55"/>
      <c r="BD162" s="55"/>
      <c r="BE162" s="55"/>
      <c r="BF162" s="55"/>
      <c r="BG162" s="55"/>
      <c r="BH162" s="55"/>
      <c r="BI162" s="55"/>
      <c r="BJ162" s="55"/>
      <c r="BK162" s="55"/>
      <c r="BL162" s="55"/>
      <c r="BM162" s="55"/>
      <c r="BN162" s="55"/>
      <c r="BO162" s="55"/>
      <c r="BP162" s="55"/>
      <c r="BQ162" s="55"/>
      <c r="BR162" s="55"/>
      <c r="BS162" s="55"/>
      <c r="BT162" s="55"/>
      <c r="BU162" s="55"/>
      <c r="BV162" s="55"/>
      <c r="BW162" s="55"/>
      <c r="BX162" s="55"/>
      <c r="BY162" s="55"/>
      <c r="BZ162" s="55"/>
      <c r="CA162" s="55"/>
      <c r="CB162" s="55"/>
      <c r="CC162" s="55"/>
      <c r="CD162" s="55"/>
      <c r="CE162" s="55"/>
      <c r="CF162" s="55"/>
      <c r="CG162" s="55"/>
      <c r="CH162" s="55"/>
      <c r="CI162" s="55"/>
      <c r="CJ162" s="55"/>
      <c r="CK162" s="55"/>
      <c r="CL162" s="55"/>
      <c r="CM162" s="55"/>
      <c r="CN162" s="55"/>
      <c r="CO162" s="55"/>
      <c r="CP162" s="55"/>
      <c r="CQ162" s="55"/>
      <c r="CR162" s="55"/>
      <c r="CS162" s="55"/>
      <c r="CT162" s="55"/>
      <c r="CU162" s="55"/>
      <c r="CV162" s="55"/>
      <c r="CW162" s="55"/>
      <c r="CX162" s="55"/>
      <c r="CY162" s="56"/>
      <c r="CZ162" s="55"/>
      <c r="DA162" s="55"/>
      <c r="DB162" s="19"/>
    </row>
    <row r="163" spans="1:114" outlineLevel="1">
      <c r="B163" s="24" t="s">
        <v>406</v>
      </c>
      <c r="C163" s="55"/>
      <c r="D163" s="55"/>
      <c r="E163" s="55"/>
      <c r="F163" s="55"/>
      <c r="G163" s="55"/>
      <c r="H163" s="55"/>
      <c r="I163" s="55"/>
      <c r="J163" s="55"/>
      <c r="K163" s="55"/>
      <c r="L163" s="55"/>
      <c r="M163" s="55"/>
      <c r="N163" s="55"/>
      <c r="O163" s="55"/>
      <c r="P163" s="55"/>
      <c r="Q163" s="55"/>
      <c r="R163" s="55"/>
      <c r="S163" s="55"/>
      <c r="T163" s="55"/>
      <c r="U163" s="55"/>
      <c r="V163" s="55"/>
      <c r="W163" s="55"/>
      <c r="X163" s="55"/>
      <c r="Y163" s="55"/>
      <c r="Z163" s="55"/>
      <c r="AA163" s="55"/>
      <c r="AB163" s="55"/>
      <c r="AC163" s="55"/>
      <c r="AD163" s="55"/>
      <c r="AE163" s="55"/>
      <c r="AF163" s="55"/>
      <c r="AG163" s="55"/>
      <c r="AH163" s="55"/>
      <c r="AI163" s="55"/>
      <c r="AJ163" s="55"/>
      <c r="AK163" s="55"/>
      <c r="AL163" s="55"/>
      <c r="AM163" s="55"/>
      <c r="AN163" s="55"/>
      <c r="AO163" s="55"/>
      <c r="AP163" s="55"/>
      <c r="AQ163" s="55"/>
      <c r="AR163" s="55"/>
      <c r="AS163" s="55"/>
      <c r="AT163" s="55"/>
      <c r="AU163" s="55"/>
      <c r="AV163" s="55"/>
      <c r="AW163" s="56"/>
      <c r="AX163" s="55"/>
      <c r="AY163" s="55"/>
      <c r="AZ163" s="55"/>
      <c r="BA163" s="55"/>
      <c r="BB163" s="55"/>
      <c r="BC163" s="55"/>
      <c r="BD163" s="55"/>
      <c r="BE163" s="55"/>
      <c r="BF163" s="55"/>
      <c r="BG163" s="55"/>
      <c r="BH163" s="55"/>
      <c r="BI163" s="55"/>
      <c r="BJ163" s="55"/>
      <c r="BK163" s="55"/>
      <c r="BL163" s="55"/>
      <c r="BM163" s="55"/>
      <c r="BN163" s="55"/>
      <c r="BO163" s="55"/>
      <c r="BP163" s="55"/>
      <c r="BQ163" s="55"/>
      <c r="BR163" s="55"/>
      <c r="BS163" s="55"/>
      <c r="BT163" s="55"/>
      <c r="BU163" s="55"/>
      <c r="BV163" s="55"/>
      <c r="BW163" s="55"/>
      <c r="BX163" s="55"/>
      <c r="BY163" s="55"/>
      <c r="BZ163" s="55"/>
      <c r="CA163" s="55"/>
      <c r="CB163" s="55"/>
      <c r="CC163" s="55"/>
      <c r="CD163" s="55"/>
      <c r="CE163" s="55"/>
      <c r="CF163" s="55"/>
      <c r="CG163" s="55"/>
      <c r="CH163" s="55"/>
      <c r="CI163" s="55"/>
      <c r="CJ163" s="55"/>
      <c r="CK163" s="55"/>
      <c r="CL163" s="55"/>
      <c r="CM163" s="55"/>
      <c r="CN163" s="55"/>
      <c r="CO163" s="55"/>
      <c r="CP163" s="55"/>
      <c r="CQ163" s="55"/>
      <c r="CR163" s="55"/>
      <c r="CS163" s="55"/>
      <c r="CT163" s="55"/>
      <c r="CU163" s="55"/>
      <c r="CV163" s="55"/>
      <c r="CW163" s="55"/>
      <c r="CX163" s="55"/>
      <c r="CY163" s="56"/>
      <c r="CZ163" s="55"/>
      <c r="DA163" s="55"/>
      <c r="DB163" s="55"/>
    </row>
    <row r="164" spans="1:114" outlineLevel="1">
      <c r="A164" s="1" t="s">
        <v>599</v>
      </c>
      <c r="B164" s="19" t="s">
        <v>164</v>
      </c>
      <c r="C164" s="53">
        <v>8045</v>
      </c>
      <c r="D164" s="53">
        <v>9067</v>
      </c>
      <c r="E164" s="53">
        <v>10444</v>
      </c>
      <c r="F164" s="53">
        <v>11832</v>
      </c>
      <c r="G164" s="53">
        <v>12611</v>
      </c>
      <c r="H164" s="53">
        <v>14499</v>
      </c>
      <c r="I164" s="53">
        <v>16967</v>
      </c>
      <c r="J164" s="53">
        <v>18945</v>
      </c>
      <c r="K164" s="53">
        <v>20765</v>
      </c>
      <c r="L164" s="53">
        <v>23349</v>
      </c>
      <c r="M164" s="53">
        <v>22287</v>
      </c>
      <c r="N164" s="53">
        <v>25887</v>
      </c>
      <c r="O164" s="53">
        <v>28931</v>
      </c>
      <c r="P164" s="53">
        <v>30616</v>
      </c>
      <c r="Q164" s="53">
        <v>28817</v>
      </c>
      <c r="R164" s="53">
        <v>31524</v>
      </c>
      <c r="S164" s="53">
        <v>30702</v>
      </c>
      <c r="T164" s="53">
        <v>30457</v>
      </c>
      <c r="U164" s="53">
        <v>30670</v>
      </c>
      <c r="V164" s="53">
        <v>28491</v>
      </c>
      <c r="W164" s="53">
        <v>28927</v>
      </c>
      <c r="X164" s="53">
        <v>28434</v>
      </c>
      <c r="Y164" s="53">
        <v>29326</v>
      </c>
      <c r="Z164" s="53">
        <v>30674</v>
      </c>
      <c r="AA164" s="164">
        <v>33989</v>
      </c>
      <c r="AB164" s="164">
        <v>37712</v>
      </c>
      <c r="AC164" s="164">
        <v>38637</v>
      </c>
      <c r="AD164" s="164">
        <v>40368</v>
      </c>
      <c r="AE164" s="164">
        <v>38763</v>
      </c>
      <c r="AF164" s="164">
        <v>42834</v>
      </c>
      <c r="AG164" s="164">
        <v>45640</v>
      </c>
      <c r="AH164" s="164">
        <v>48347</v>
      </c>
      <c r="AI164" s="164">
        <v>48724</v>
      </c>
      <c r="AJ164" s="164">
        <v>47874</v>
      </c>
      <c r="AK164" s="164">
        <v>49425</v>
      </c>
      <c r="AL164" s="164">
        <v>52626</v>
      </c>
      <c r="AM164" s="164">
        <v>54679</v>
      </c>
      <c r="AN164" s="164">
        <v>56555</v>
      </c>
      <c r="AO164" s="164">
        <v>56361</v>
      </c>
      <c r="AP164" s="164">
        <v>60421</v>
      </c>
      <c r="AQ164" s="164">
        <v>63017</v>
      </c>
      <c r="AR164" s="164">
        <v>65748</v>
      </c>
      <c r="AS164" s="164">
        <v>65072</v>
      </c>
      <c r="AT164" s="164">
        <v>68546</v>
      </c>
      <c r="AU164" s="164">
        <v>68054</v>
      </c>
      <c r="AV164" s="164">
        <v>68396</v>
      </c>
      <c r="AW164" s="171">
        <v>68273</v>
      </c>
      <c r="AX164" s="55">
        <v>70349.021271217731</v>
      </c>
      <c r="AY164" s="55">
        <v>70958.101762027203</v>
      </c>
      <c r="AZ164" s="55">
        <v>70757.290581712936</v>
      </c>
      <c r="BA164" s="55">
        <v>69851.14076361811</v>
      </c>
      <c r="BB164" s="55">
        <v>69028.425296311601</v>
      </c>
      <c r="BC164" s="55">
        <v>69371.420750725141</v>
      </c>
      <c r="BD164" s="55">
        <v>69719.926323017091</v>
      </c>
      <c r="BE164" s="55">
        <v>70073.871882021791</v>
      </c>
      <c r="BF164" s="55">
        <v>70433.188352084937</v>
      </c>
      <c r="BG164" s="55">
        <v>70797.80757488402</v>
      </c>
      <c r="BH164" s="55">
        <v>71167.662175571939</v>
      </c>
      <c r="BI164" s="55">
        <v>71542.685432892904</v>
      </c>
      <c r="BJ164" s="55">
        <v>71922.811152941475</v>
      </c>
      <c r="BK164" s="55">
        <v>73368.4596571156</v>
      </c>
      <c r="BL164" s="55">
        <v>74843.16569622363</v>
      </c>
      <c r="BM164" s="55">
        <v>76347.51332671773</v>
      </c>
      <c r="BN164" s="55">
        <v>77882.098344584752</v>
      </c>
      <c r="BO164" s="55">
        <v>79447.528521310902</v>
      </c>
      <c r="BP164" s="55">
        <v>81044.423844589255</v>
      </c>
      <c r="BQ164" s="55">
        <v>82673.416763865505</v>
      </c>
      <c r="BR164" s="55"/>
      <c r="BS164" s="53">
        <v>1845.5</v>
      </c>
      <c r="BT164" s="53">
        <v>2380.8000000000002</v>
      </c>
      <c r="BU164" s="53">
        <v>2987.8</v>
      </c>
      <c r="BV164" s="53">
        <v>4120</v>
      </c>
      <c r="BW164" s="53">
        <v>4864</v>
      </c>
      <c r="BX164" s="53">
        <v>5983</v>
      </c>
      <c r="BY164" s="53">
        <v>6273</v>
      </c>
      <c r="BZ164" s="53">
        <v>7151</v>
      </c>
      <c r="CA164" s="53">
        <v>7266</v>
      </c>
      <c r="CB164" s="53">
        <v>8045</v>
      </c>
      <c r="CC164" s="55">
        <v>10444</v>
      </c>
      <c r="CD164" s="55">
        <v>12611</v>
      </c>
      <c r="CE164" s="55">
        <v>16967</v>
      </c>
      <c r="CF164" s="55">
        <v>20765</v>
      </c>
      <c r="CG164" s="55">
        <v>22287</v>
      </c>
      <c r="CH164" s="55">
        <v>28931</v>
      </c>
      <c r="CI164" s="55">
        <v>28817</v>
      </c>
      <c r="CJ164" s="55">
        <v>30702</v>
      </c>
      <c r="CK164" s="55">
        <v>30670</v>
      </c>
      <c r="CL164" s="55">
        <v>28927</v>
      </c>
      <c r="CM164" s="55">
        <v>29326</v>
      </c>
      <c r="CN164" s="55">
        <v>33989</v>
      </c>
      <c r="CO164" s="55">
        <v>38637</v>
      </c>
      <c r="CP164" s="55">
        <v>38763</v>
      </c>
      <c r="CQ164" s="55">
        <v>45640</v>
      </c>
      <c r="CR164" s="55">
        <v>48724</v>
      </c>
      <c r="CS164" s="55">
        <v>49425</v>
      </c>
      <c r="CT164" s="55">
        <v>54679</v>
      </c>
      <c r="CU164" s="55">
        <v>56361</v>
      </c>
      <c r="CV164" s="55">
        <v>63017</v>
      </c>
      <c r="CW164" s="55">
        <v>65072</v>
      </c>
      <c r="CX164" s="55">
        <v>68054</v>
      </c>
      <c r="CY164" s="56">
        <v>68273</v>
      </c>
      <c r="CZ164" s="55">
        <v>70958.101762027203</v>
      </c>
      <c r="DA164" s="55">
        <v>69851.14076361811</v>
      </c>
      <c r="DB164" s="55">
        <v>69371.420750725141</v>
      </c>
      <c r="DC164" s="55">
        <v>70073.871882021791</v>
      </c>
      <c r="DD164" s="55">
        <v>70797.80757488402</v>
      </c>
      <c r="DE164" s="55">
        <v>71542.685432892904</v>
      </c>
      <c r="DF164" s="55">
        <v>73368.4596571156</v>
      </c>
      <c r="DG164" s="55">
        <v>76347.51332671773</v>
      </c>
      <c r="DH164" s="55">
        <v>79447.528521310902</v>
      </c>
      <c r="DI164" s="55">
        <v>82673.416763865505</v>
      </c>
    </row>
    <row r="165" spans="1:114" outlineLevel="1">
      <c r="A165" s="1" t="s">
        <v>600</v>
      </c>
      <c r="B165" s="19" t="s">
        <v>407</v>
      </c>
      <c r="C165" s="55">
        <v>8835</v>
      </c>
      <c r="D165" s="55">
        <v>10454</v>
      </c>
      <c r="E165" s="55">
        <v>10179</v>
      </c>
      <c r="F165" s="55">
        <v>11010</v>
      </c>
      <c r="G165" s="55">
        <v>10170</v>
      </c>
      <c r="H165" s="55">
        <v>10995</v>
      </c>
      <c r="I165" s="55">
        <v>13292</v>
      </c>
      <c r="J165" s="55">
        <v>13969</v>
      </c>
      <c r="K165" s="55">
        <v>15851</v>
      </c>
      <c r="L165" s="55">
        <v>18311</v>
      </c>
      <c r="M165" s="55">
        <v>19503</v>
      </c>
      <c r="N165" s="55">
        <v>23185</v>
      </c>
      <c r="O165" s="55">
        <v>23876</v>
      </c>
      <c r="P165" s="55">
        <v>24875</v>
      </c>
      <c r="Q165" s="55">
        <v>26714</v>
      </c>
      <c r="R165" s="55">
        <v>31563</v>
      </c>
      <c r="S165" s="55">
        <v>29124</v>
      </c>
      <c r="T165" s="55">
        <v>16325</v>
      </c>
      <c r="U165" s="55">
        <v>16390</v>
      </c>
      <c r="V165" s="55">
        <v>14915</v>
      </c>
      <c r="W165" s="55">
        <v>14350</v>
      </c>
      <c r="X165" s="55">
        <v>14319</v>
      </c>
      <c r="Y165" s="55">
        <v>15071</v>
      </c>
      <c r="Z165" s="55">
        <v>16064</v>
      </c>
      <c r="AA165" s="55">
        <v>17369</v>
      </c>
      <c r="AB165" s="55">
        <v>19597</v>
      </c>
      <c r="AC165" s="55">
        <v>20083</v>
      </c>
      <c r="AD165" s="55">
        <v>21987</v>
      </c>
      <c r="AE165" s="55">
        <v>21881</v>
      </c>
      <c r="AF165" s="55">
        <v>24463</v>
      </c>
      <c r="AG165" s="55">
        <v>25860</v>
      </c>
      <c r="AH165" s="55">
        <v>27264</v>
      </c>
      <c r="AI165" s="55">
        <v>28031</v>
      </c>
      <c r="AJ165" s="55">
        <v>27423</v>
      </c>
      <c r="AK165" s="55">
        <v>28449</v>
      </c>
      <c r="AL165" s="55">
        <v>30484</v>
      </c>
      <c r="AM165" s="55">
        <v>31087</v>
      </c>
      <c r="AN165" s="55">
        <v>31553</v>
      </c>
      <c r="AO165" s="55">
        <v>30446</v>
      </c>
      <c r="AP165" s="55">
        <v>31081</v>
      </c>
      <c r="AQ165" s="55">
        <v>32101</v>
      </c>
      <c r="AR165" s="55">
        <v>33145</v>
      </c>
      <c r="AS165" s="55">
        <v>32378</v>
      </c>
      <c r="AT165" s="55">
        <v>33631</v>
      </c>
      <c r="AU165" s="55">
        <v>33541</v>
      </c>
      <c r="AV165" s="55">
        <v>33484</v>
      </c>
      <c r="AW165" s="56">
        <v>33368</v>
      </c>
      <c r="AX165" s="55">
        <v>33368.959417211816</v>
      </c>
      <c r="AY165" s="55">
        <v>33159.647652791522</v>
      </c>
      <c r="AZ165" s="55">
        <v>32902.11385693364</v>
      </c>
      <c r="BA165" s="55">
        <v>32480.754527862584</v>
      </c>
      <c r="BB165" s="55">
        <v>32098.192140939103</v>
      </c>
      <c r="BC165" s="55">
        <v>32257.684899928969</v>
      </c>
      <c r="BD165" s="55">
        <v>32419.73986168706</v>
      </c>
      <c r="BE165" s="55">
        <v>32584.324415247382</v>
      </c>
      <c r="BF165" s="55">
        <v>32751.406440456314</v>
      </c>
      <c r="BG165" s="55">
        <v>32920.954243719185</v>
      </c>
      <c r="BH165" s="55">
        <v>33092.936495757102</v>
      </c>
      <c r="BI165" s="55">
        <v>33267.322171210901</v>
      </c>
      <c r="BJ165" s="55">
        <v>33444.080489939115</v>
      </c>
      <c r="BK165" s="55">
        <v>34116.306507786889</v>
      </c>
      <c r="BL165" s="55">
        <v>34802.044268593403</v>
      </c>
      <c r="BM165" s="55">
        <v>35501.56535839213</v>
      </c>
      <c r="BN165" s="55">
        <v>36215.146822095812</v>
      </c>
      <c r="BO165" s="55">
        <v>36943.071273219939</v>
      </c>
      <c r="BP165" s="55">
        <v>37685.627005811657</v>
      </c>
      <c r="BQ165" s="55">
        <v>38443.108108628468</v>
      </c>
      <c r="BR165" s="55"/>
      <c r="BS165" s="55">
        <v>4921.2</v>
      </c>
      <c r="BT165" s="55">
        <v>3955.3</v>
      </c>
      <c r="BU165" s="55">
        <v>2928.9999999999995</v>
      </c>
      <c r="BV165" s="55">
        <v>3870</v>
      </c>
      <c r="BW165" s="55">
        <v>3707</v>
      </c>
      <c r="BX165" s="55">
        <v>4689</v>
      </c>
      <c r="BY165" s="55">
        <v>6027</v>
      </c>
      <c r="BZ165" s="55">
        <v>5801</v>
      </c>
      <c r="CA165" s="55">
        <v>7101</v>
      </c>
      <c r="CB165" s="55">
        <v>8642</v>
      </c>
      <c r="CC165" s="55">
        <v>10179</v>
      </c>
      <c r="CD165" s="55">
        <v>10170</v>
      </c>
      <c r="CE165" s="55">
        <v>13292</v>
      </c>
      <c r="CF165" s="55">
        <v>15851</v>
      </c>
      <c r="CG165" s="55">
        <v>19503</v>
      </c>
      <c r="CH165" s="55">
        <v>23876</v>
      </c>
      <c r="CI165" s="55">
        <v>26714</v>
      </c>
      <c r="CJ165" s="55">
        <v>29124</v>
      </c>
      <c r="CK165" s="55">
        <v>16390</v>
      </c>
      <c r="CL165" s="55">
        <v>14350</v>
      </c>
      <c r="CM165" s="55">
        <v>15071</v>
      </c>
      <c r="CN165" s="55">
        <v>17369</v>
      </c>
      <c r="CO165" s="55">
        <v>20083</v>
      </c>
      <c r="CP165" s="55">
        <v>21881</v>
      </c>
      <c r="CQ165" s="55">
        <v>25860</v>
      </c>
      <c r="CR165" s="55">
        <v>28031</v>
      </c>
      <c r="CS165" s="55">
        <v>28449</v>
      </c>
      <c r="CT165" s="55">
        <v>31087</v>
      </c>
      <c r="CU165" s="55">
        <v>30446</v>
      </c>
      <c r="CV165" s="55">
        <v>32101</v>
      </c>
      <c r="CW165" s="55">
        <v>32378</v>
      </c>
      <c r="CX165" s="55">
        <v>33541</v>
      </c>
      <c r="CY165" s="56">
        <v>33368</v>
      </c>
      <c r="CZ165" s="55">
        <v>33159.647652791522</v>
      </c>
      <c r="DA165" s="55">
        <v>32480.754527862584</v>
      </c>
      <c r="DB165" s="55">
        <v>32257.684899928969</v>
      </c>
      <c r="DC165" s="55">
        <v>32584.324415247382</v>
      </c>
      <c r="DD165" s="55">
        <v>32920.954243719185</v>
      </c>
      <c r="DE165" s="55">
        <v>33267.322171210901</v>
      </c>
      <c r="DF165" s="55">
        <v>34116.306507786889</v>
      </c>
      <c r="DG165" s="55">
        <v>35501.56535839213</v>
      </c>
      <c r="DH165" s="55">
        <v>36943.071273219939</v>
      </c>
      <c r="DI165" s="55">
        <v>38443.108108628468</v>
      </c>
    </row>
    <row r="166" spans="1:114" outlineLevel="1">
      <c r="A166" s="1" t="s">
        <v>601</v>
      </c>
      <c r="B166" s="19" t="s">
        <v>167</v>
      </c>
      <c r="C166" s="53">
        <v>256</v>
      </c>
      <c r="D166" s="53">
        <v>264</v>
      </c>
      <c r="E166" s="53">
        <v>274</v>
      </c>
      <c r="F166" s="53">
        <v>323</v>
      </c>
      <c r="G166" s="53">
        <v>296</v>
      </c>
      <c r="H166" s="53">
        <v>336</v>
      </c>
      <c r="I166" s="53">
        <v>358</v>
      </c>
      <c r="J166" s="53">
        <v>409</v>
      </c>
      <c r="K166" s="53">
        <v>406</v>
      </c>
      <c r="L166" s="53">
        <v>478</v>
      </c>
      <c r="M166" s="53">
        <v>428</v>
      </c>
      <c r="N166" s="53">
        <v>518</v>
      </c>
      <c r="O166" s="53">
        <v>533</v>
      </c>
      <c r="P166" s="53">
        <v>594</v>
      </c>
      <c r="Q166" s="53">
        <v>538</v>
      </c>
      <c r="R166" s="53">
        <v>628</v>
      </c>
      <c r="S166" s="53">
        <v>573</v>
      </c>
      <c r="T166" s="53">
        <v>604</v>
      </c>
      <c r="U166" s="53">
        <v>589</v>
      </c>
      <c r="V166" s="53">
        <v>582</v>
      </c>
      <c r="W166" s="53">
        <v>572</v>
      </c>
      <c r="X166" s="53">
        <v>590</v>
      </c>
      <c r="Y166" s="53">
        <v>603</v>
      </c>
      <c r="Z166" s="53">
        <v>646</v>
      </c>
      <c r="AA166" s="164">
        <v>676</v>
      </c>
      <c r="AB166" s="164">
        <v>801</v>
      </c>
      <c r="AC166" s="164">
        <v>803</v>
      </c>
      <c r="AD166" s="164">
        <v>888</v>
      </c>
      <c r="AE166" s="164">
        <v>816</v>
      </c>
      <c r="AF166" s="164">
        <v>912</v>
      </c>
      <c r="AG166" s="164">
        <v>912</v>
      </c>
      <c r="AH166" s="164">
        <v>997</v>
      </c>
      <c r="AI166" s="164">
        <v>960</v>
      </c>
      <c r="AJ166" s="164">
        <v>1006</v>
      </c>
      <c r="AK166" s="164">
        <v>993</v>
      </c>
      <c r="AL166" s="164">
        <v>1077</v>
      </c>
      <c r="AM166" s="164">
        <v>1069</v>
      </c>
      <c r="AN166" s="164">
        <v>1106</v>
      </c>
      <c r="AO166" s="164">
        <v>911</v>
      </c>
      <c r="AP166" s="164">
        <v>973</v>
      </c>
      <c r="AQ166" s="164">
        <v>909</v>
      </c>
      <c r="AR166" s="164">
        <v>905</v>
      </c>
      <c r="AS166" s="164">
        <v>838</v>
      </c>
      <c r="AT166" s="164">
        <v>922</v>
      </c>
      <c r="AU166" s="164">
        <v>880</v>
      </c>
      <c r="AV166" s="164">
        <v>911</v>
      </c>
      <c r="AW166" s="171">
        <v>866</v>
      </c>
      <c r="AX166" s="55">
        <v>866.02489976340905</v>
      </c>
      <c r="AY166" s="55">
        <v>860.59262968465146</v>
      </c>
      <c r="AZ166" s="55">
        <v>853.90885279622773</v>
      </c>
      <c r="BA166" s="55">
        <v>842.97331039106314</v>
      </c>
      <c r="BB166" s="55">
        <v>833.04466536961343</v>
      </c>
      <c r="BC166" s="55">
        <v>837.18398235850168</v>
      </c>
      <c r="BD166" s="55">
        <v>841.38979621856231</v>
      </c>
      <c r="BE166" s="55">
        <v>845.66126059710564</v>
      </c>
      <c r="BF166" s="55">
        <v>849.9975418795002</v>
      </c>
      <c r="BG166" s="55">
        <v>854.39781752160172</v>
      </c>
      <c r="BH166" s="55">
        <v>858.8612744343576</v>
      </c>
      <c r="BI166" s="55">
        <v>863.38710741634611</v>
      </c>
      <c r="BJ166" s="55">
        <v>867.97451763028255</v>
      </c>
      <c r="BK166" s="55">
        <v>885.42080543465124</v>
      </c>
      <c r="BL166" s="55">
        <v>903.21776362388778</v>
      </c>
      <c r="BM166" s="55">
        <v>921.37244067272786</v>
      </c>
      <c r="BN166" s="55">
        <v>939.89202673024954</v>
      </c>
      <c r="BO166" s="55">
        <v>958.7838564675277</v>
      </c>
      <c r="BP166" s="55">
        <v>978.0554119825249</v>
      </c>
      <c r="BQ166" s="55">
        <v>997.71432576337349</v>
      </c>
      <c r="BR166" s="55"/>
      <c r="BS166" s="53">
        <v>106.6</v>
      </c>
      <c r="BT166" s="53">
        <v>175.5</v>
      </c>
      <c r="BU166" s="53">
        <v>193.4</v>
      </c>
      <c r="BV166" s="53">
        <v>168</v>
      </c>
      <c r="BW166" s="53">
        <v>240</v>
      </c>
      <c r="BX166" s="53">
        <v>397</v>
      </c>
      <c r="BY166" s="53">
        <v>248</v>
      </c>
      <c r="BZ166" s="53">
        <v>539</v>
      </c>
      <c r="CA166" s="53">
        <v>1470</v>
      </c>
      <c r="CB166" s="53">
        <v>449</v>
      </c>
      <c r="CC166" s="55">
        <v>274</v>
      </c>
      <c r="CD166" s="55">
        <v>296</v>
      </c>
      <c r="CE166" s="55">
        <v>358</v>
      </c>
      <c r="CF166" s="55">
        <v>406</v>
      </c>
      <c r="CG166" s="55">
        <v>428</v>
      </c>
      <c r="CH166" s="55">
        <v>533</v>
      </c>
      <c r="CI166" s="55">
        <v>538</v>
      </c>
      <c r="CJ166" s="55">
        <v>573</v>
      </c>
      <c r="CK166" s="55">
        <v>589</v>
      </c>
      <c r="CL166" s="55">
        <v>572</v>
      </c>
      <c r="CM166" s="55">
        <v>603</v>
      </c>
      <c r="CN166" s="55">
        <v>676</v>
      </c>
      <c r="CO166" s="55">
        <v>803</v>
      </c>
      <c r="CP166" s="55">
        <v>816</v>
      </c>
      <c r="CQ166" s="55">
        <v>912</v>
      </c>
      <c r="CR166" s="55">
        <v>960</v>
      </c>
      <c r="CS166" s="55">
        <v>993</v>
      </c>
      <c r="CT166" s="55">
        <v>1069</v>
      </c>
      <c r="CU166" s="55">
        <v>911</v>
      </c>
      <c r="CV166" s="55">
        <v>909</v>
      </c>
      <c r="CW166" s="55">
        <v>838</v>
      </c>
      <c r="CX166" s="55">
        <v>880</v>
      </c>
      <c r="CY166" s="56">
        <v>866</v>
      </c>
      <c r="CZ166" s="55">
        <v>860.59262968465146</v>
      </c>
      <c r="DA166" s="55">
        <v>842.97331039106314</v>
      </c>
      <c r="DB166" s="55">
        <v>837.18398235850168</v>
      </c>
      <c r="DC166" s="55">
        <v>845.66126059710564</v>
      </c>
      <c r="DD166" s="55">
        <v>854.39781752160172</v>
      </c>
      <c r="DE166" s="55">
        <v>863.38710741634611</v>
      </c>
      <c r="DF166" s="55">
        <v>885.42080543465124</v>
      </c>
      <c r="DG166" s="55">
        <v>921.37244067272786</v>
      </c>
      <c r="DH166" s="55">
        <v>958.7838564675277</v>
      </c>
      <c r="DI166" s="55">
        <v>997.71432576337349</v>
      </c>
    </row>
    <row r="167" spans="1:114" s="24" customFormat="1" outlineLevel="1">
      <c r="A167" s="1" t="s">
        <v>602</v>
      </c>
      <c r="B167" s="24" t="s">
        <v>168</v>
      </c>
      <c r="C167" s="81">
        <v>17136</v>
      </c>
      <c r="D167" s="81">
        <v>19785</v>
      </c>
      <c r="E167" s="81">
        <v>20897</v>
      </c>
      <c r="F167" s="81">
        <v>23165</v>
      </c>
      <c r="G167" s="81">
        <v>23077</v>
      </c>
      <c r="H167" s="81">
        <v>25830</v>
      </c>
      <c r="I167" s="81">
        <v>30617</v>
      </c>
      <c r="J167" s="81">
        <v>33323</v>
      </c>
      <c r="K167" s="81">
        <v>37022</v>
      </c>
      <c r="L167" s="81">
        <v>42138</v>
      </c>
      <c r="M167" s="81">
        <v>42218</v>
      </c>
      <c r="N167" s="81">
        <v>49590</v>
      </c>
      <c r="O167" s="81">
        <v>53340</v>
      </c>
      <c r="P167" s="81">
        <v>56085</v>
      </c>
      <c r="Q167" s="81">
        <v>56069</v>
      </c>
      <c r="R167" s="81">
        <v>63715</v>
      </c>
      <c r="S167" s="81">
        <v>60399</v>
      </c>
      <c r="T167" s="81">
        <v>47386</v>
      </c>
      <c r="U167" s="81">
        <v>47649</v>
      </c>
      <c r="V167" s="81">
        <v>43988</v>
      </c>
      <c r="W167" s="81">
        <v>43849</v>
      </c>
      <c r="X167" s="81">
        <v>43343</v>
      </c>
      <c r="Y167" s="81">
        <v>45000</v>
      </c>
      <c r="Z167" s="81">
        <v>47384</v>
      </c>
      <c r="AA167" s="166">
        <v>52034</v>
      </c>
      <c r="AB167" s="166">
        <v>58110</v>
      </c>
      <c r="AC167" s="166">
        <v>59523</v>
      </c>
      <c r="AD167" s="166">
        <v>63243</v>
      </c>
      <c r="AE167" s="166">
        <v>61460</v>
      </c>
      <c r="AF167" s="166">
        <v>68209</v>
      </c>
      <c r="AG167" s="166">
        <v>72412</v>
      </c>
      <c r="AH167" s="166">
        <v>76608</v>
      </c>
      <c r="AI167" s="166">
        <v>77715</v>
      </c>
      <c r="AJ167" s="166">
        <v>76303</v>
      </c>
      <c r="AK167" s="166">
        <v>78867</v>
      </c>
      <c r="AL167" s="166">
        <v>84187</v>
      </c>
      <c r="AM167" s="166">
        <v>86835</v>
      </c>
      <c r="AN167" s="166">
        <v>89214</v>
      </c>
      <c r="AO167" s="166">
        <v>87718</v>
      </c>
      <c r="AP167" s="166">
        <v>92475</v>
      </c>
      <c r="AQ167" s="166">
        <v>96027</v>
      </c>
      <c r="AR167" s="166">
        <v>99798</v>
      </c>
      <c r="AS167" s="166">
        <v>98288</v>
      </c>
      <c r="AT167" s="166">
        <v>103099</v>
      </c>
      <c r="AU167" s="166">
        <v>102475</v>
      </c>
      <c r="AV167" s="166">
        <v>102791</v>
      </c>
      <c r="AW167" s="167">
        <v>102507</v>
      </c>
      <c r="AX167" s="82">
        <v>104584.00558819296</v>
      </c>
      <c r="AY167" s="82">
        <v>104978.34204450337</v>
      </c>
      <c r="AZ167" s="82">
        <v>104513.3132914428</v>
      </c>
      <c r="BA167" s="82">
        <v>103174.86860187177</v>
      </c>
      <c r="BB167" s="82">
        <v>101959.66210262032</v>
      </c>
      <c r="BC167" s="82">
        <v>102466.28963301261</v>
      </c>
      <c r="BD167" s="82">
        <v>102981.05598092271</v>
      </c>
      <c r="BE167" s="82">
        <v>103503.85755786627</v>
      </c>
      <c r="BF167" s="82">
        <v>104034.59233442074</v>
      </c>
      <c r="BG167" s="82">
        <v>104573.15963612481</v>
      </c>
      <c r="BH167" s="82">
        <v>105119.45994576339</v>
      </c>
      <c r="BI167" s="82">
        <v>105673.39471152014</v>
      </c>
      <c r="BJ167" s="82">
        <v>106234.86616051088</v>
      </c>
      <c r="BK167" s="82">
        <v>108370.18697033713</v>
      </c>
      <c r="BL167" s="82">
        <v>110548.42772844093</v>
      </c>
      <c r="BM167" s="82">
        <v>112770.45112578258</v>
      </c>
      <c r="BN167" s="82">
        <v>115037.13719341082</v>
      </c>
      <c r="BO167" s="82">
        <v>117349.38365099837</v>
      </c>
      <c r="BP167" s="82">
        <v>119708.10626238343</v>
      </c>
      <c r="BQ167" s="82">
        <v>122114.23919825735</v>
      </c>
      <c r="BR167" s="82"/>
      <c r="BS167" s="81">
        <v>6873.3</v>
      </c>
      <c r="BT167" s="81">
        <v>6511.6</v>
      </c>
      <c r="BU167" s="81">
        <v>6110.2</v>
      </c>
      <c r="BV167" s="81">
        <v>8158</v>
      </c>
      <c r="BW167" s="81">
        <v>8811</v>
      </c>
      <c r="BX167" s="81">
        <v>11069</v>
      </c>
      <c r="BY167" s="81">
        <v>12548</v>
      </c>
      <c r="BZ167" s="81">
        <v>13491</v>
      </c>
      <c r="CA167" s="81">
        <v>15837</v>
      </c>
      <c r="CB167" s="81">
        <v>17136</v>
      </c>
      <c r="CC167" s="82">
        <v>20897</v>
      </c>
      <c r="CD167" s="82">
        <v>23077</v>
      </c>
      <c r="CE167" s="82">
        <v>30617</v>
      </c>
      <c r="CF167" s="82">
        <v>37022</v>
      </c>
      <c r="CG167" s="82">
        <v>42218</v>
      </c>
      <c r="CH167" s="82">
        <v>53340</v>
      </c>
      <c r="CI167" s="82">
        <v>56069</v>
      </c>
      <c r="CJ167" s="82">
        <v>60399</v>
      </c>
      <c r="CK167" s="82">
        <v>47649</v>
      </c>
      <c r="CL167" s="82">
        <v>43849</v>
      </c>
      <c r="CM167" s="82">
        <v>45000</v>
      </c>
      <c r="CN167" s="82">
        <v>52034</v>
      </c>
      <c r="CO167" s="82">
        <v>59523</v>
      </c>
      <c r="CP167" s="82">
        <v>61460</v>
      </c>
      <c r="CQ167" s="82">
        <v>72412</v>
      </c>
      <c r="CR167" s="82">
        <v>77715</v>
      </c>
      <c r="CS167" s="82">
        <v>78867</v>
      </c>
      <c r="CT167" s="82">
        <v>86835</v>
      </c>
      <c r="CU167" s="82">
        <v>87718</v>
      </c>
      <c r="CV167" s="82">
        <v>96027</v>
      </c>
      <c r="CW167" s="82">
        <v>98288</v>
      </c>
      <c r="CX167" s="82">
        <v>102475</v>
      </c>
      <c r="CY167" s="83">
        <v>102507</v>
      </c>
      <c r="CZ167" s="82">
        <v>104978.34204450337</v>
      </c>
      <c r="DA167" s="82">
        <v>103174.86860187177</v>
      </c>
      <c r="DB167" s="82">
        <v>102466.28963301261</v>
      </c>
      <c r="DC167" s="82">
        <v>103503.85755786627</v>
      </c>
      <c r="DD167" s="82">
        <v>104573.15963612481</v>
      </c>
      <c r="DE167" s="82">
        <v>105673.39471152014</v>
      </c>
      <c r="DF167" s="82">
        <v>108370.18697033713</v>
      </c>
      <c r="DG167" s="82">
        <v>112770.45112578258</v>
      </c>
      <c r="DH167" s="82">
        <v>117349.38365099837</v>
      </c>
      <c r="DI167" s="82">
        <v>122114.23919825735</v>
      </c>
    </row>
    <row r="168" spans="1:114" outlineLevel="1">
      <c r="C168" s="55"/>
      <c r="D168" s="55"/>
      <c r="E168" s="55"/>
      <c r="F168" s="55"/>
      <c r="G168" s="55"/>
      <c r="H168" s="55"/>
      <c r="I168" s="55"/>
      <c r="J168" s="55"/>
      <c r="K168" s="55"/>
      <c r="L168" s="55"/>
      <c r="M168" s="55"/>
      <c r="N168" s="55"/>
      <c r="O168" s="55"/>
      <c r="P168" s="55"/>
      <c r="Q168" s="55"/>
      <c r="R168" s="55"/>
      <c r="S168" s="55"/>
      <c r="T168" s="55"/>
      <c r="U168" s="55"/>
      <c r="V168" s="55"/>
      <c r="W168" s="55"/>
      <c r="X168" s="55"/>
      <c r="Y168" s="55"/>
      <c r="Z168" s="55"/>
      <c r="AA168" s="55"/>
      <c r="AB168" s="55"/>
      <c r="AC168" s="55"/>
      <c r="AD168" s="55"/>
      <c r="AE168" s="55"/>
      <c r="AF168" s="55"/>
      <c r="AG168" s="55"/>
      <c r="AH168" s="55"/>
      <c r="AI168" s="55"/>
      <c r="AJ168" s="55"/>
      <c r="AK168" s="55"/>
      <c r="AL168" s="55"/>
      <c r="AM168" s="55"/>
      <c r="AN168" s="55"/>
      <c r="AO168" s="55"/>
      <c r="AP168" s="55"/>
      <c r="AQ168" s="55"/>
      <c r="AR168" s="55"/>
      <c r="AS168" s="55"/>
      <c r="AT168" s="55"/>
      <c r="AU168" s="55"/>
      <c r="AV168" s="55"/>
      <c r="AW168" s="56"/>
      <c r="AX168" s="55"/>
      <c r="AY168" s="55"/>
      <c r="AZ168" s="55"/>
      <c r="BA168" s="55"/>
      <c r="BB168" s="55"/>
      <c r="BC168" s="55"/>
      <c r="BD168" s="55"/>
      <c r="BE168" s="55"/>
      <c r="BF168" s="55"/>
      <c r="BG168" s="55"/>
      <c r="BH168" s="55"/>
      <c r="BI168" s="55"/>
      <c r="BJ168" s="55"/>
      <c r="BK168" s="55"/>
      <c r="BL168" s="55"/>
      <c r="BM168" s="55"/>
      <c r="BN168" s="55"/>
      <c r="BO168" s="55"/>
      <c r="BP168" s="55"/>
      <c r="BQ168" s="55"/>
      <c r="BR168" s="55"/>
      <c r="BS168" s="55"/>
      <c r="BT168" s="55"/>
      <c r="BU168" s="55"/>
      <c r="BV168" s="55"/>
      <c r="BW168" s="55"/>
      <c r="BX168" s="55"/>
      <c r="BY168" s="55"/>
      <c r="BZ168" s="55"/>
      <c r="CA168" s="55"/>
      <c r="CB168" s="55"/>
      <c r="CC168" s="55"/>
      <c r="CD168" s="55"/>
      <c r="CE168" s="55"/>
      <c r="CF168" s="55"/>
      <c r="CG168" s="55"/>
      <c r="CH168" s="55"/>
      <c r="CI168" s="55"/>
      <c r="CJ168" s="55"/>
      <c r="CK168" s="55"/>
      <c r="CL168" s="55"/>
      <c r="CM168" s="55"/>
      <c r="CN168" s="55"/>
      <c r="CO168" s="55"/>
      <c r="CP168" s="55"/>
      <c r="CQ168" s="55"/>
      <c r="CR168" s="55"/>
      <c r="CS168" s="55"/>
      <c r="CT168" s="55"/>
      <c r="CU168" s="55"/>
      <c r="CV168" s="55"/>
      <c r="CW168" s="55"/>
      <c r="CX168" s="55"/>
      <c r="CY168" s="56"/>
      <c r="CZ168" s="55"/>
      <c r="DA168" s="55"/>
      <c r="DB168" s="55"/>
    </row>
    <row r="169" spans="1:114" outlineLevel="1">
      <c r="B169" s="24" t="s">
        <v>341</v>
      </c>
      <c r="C169" s="55"/>
      <c r="D169" s="55"/>
      <c r="E169" s="55"/>
      <c r="F169" s="55"/>
      <c r="G169" s="55"/>
      <c r="H169" s="55"/>
      <c r="I169" s="55"/>
      <c r="J169" s="55"/>
      <c r="K169" s="55"/>
      <c r="L169" s="55"/>
      <c r="M169" s="55"/>
      <c r="N169" s="55"/>
      <c r="O169" s="55"/>
      <c r="P169" s="55"/>
      <c r="Q169" s="55"/>
      <c r="R169" s="55"/>
      <c r="S169" s="55"/>
      <c r="T169" s="55"/>
      <c r="U169" s="55"/>
      <c r="V169" s="55"/>
      <c r="W169" s="55"/>
      <c r="X169" s="55"/>
      <c r="Y169" s="55"/>
      <c r="Z169" s="55"/>
      <c r="AA169" s="55"/>
      <c r="AB169" s="55"/>
      <c r="AC169" s="55"/>
      <c r="AD169" s="55"/>
      <c r="AE169" s="55"/>
      <c r="AF169" s="55"/>
      <c r="AG169" s="55"/>
      <c r="AH169" s="55"/>
      <c r="AI169" s="55"/>
      <c r="AJ169" s="55"/>
      <c r="AK169" s="55"/>
      <c r="AL169" s="55"/>
      <c r="AM169" s="55"/>
      <c r="AN169" s="55"/>
      <c r="AO169" s="55"/>
      <c r="AP169" s="55"/>
      <c r="AQ169" s="55"/>
      <c r="AR169" s="55"/>
      <c r="AS169" s="55"/>
      <c r="AT169" s="55"/>
      <c r="AU169" s="55"/>
      <c r="AV169" s="55"/>
      <c r="AW169" s="56"/>
      <c r="AX169" s="55"/>
      <c r="AY169" s="55"/>
      <c r="AZ169" s="55"/>
      <c r="BA169" s="55"/>
      <c r="BB169" s="55"/>
      <c r="BC169" s="55"/>
      <c r="BD169" s="55"/>
      <c r="BE169" s="55"/>
      <c r="BF169" s="55"/>
      <c r="BG169" s="55"/>
      <c r="BH169" s="55"/>
      <c r="BI169" s="55"/>
      <c r="BJ169" s="55"/>
      <c r="BK169" s="55"/>
      <c r="BL169" s="55"/>
      <c r="BM169" s="55"/>
      <c r="BN169" s="55"/>
      <c r="BO169" s="55"/>
      <c r="BP169" s="55"/>
      <c r="BQ169" s="55"/>
      <c r="BR169" s="55"/>
      <c r="BS169" s="55"/>
      <c r="BT169" s="55"/>
      <c r="BU169" s="55"/>
      <c r="BV169" s="55"/>
      <c r="BW169" s="55"/>
      <c r="BX169" s="55"/>
      <c r="BY169" s="55"/>
      <c r="BZ169" s="55"/>
      <c r="CA169" s="55"/>
      <c r="CB169" s="55"/>
      <c r="CC169" s="55"/>
      <c r="CD169" s="55"/>
      <c r="CE169" s="55"/>
      <c r="CF169" s="55"/>
      <c r="CG169" s="55"/>
      <c r="CH169" s="55"/>
      <c r="CI169" s="55"/>
      <c r="CJ169" s="55"/>
      <c r="CK169" s="55"/>
      <c r="CL169" s="55"/>
      <c r="CM169" s="55"/>
      <c r="CN169" s="55"/>
      <c r="CO169" s="55"/>
      <c r="CP169" s="55"/>
      <c r="CQ169" s="55"/>
      <c r="CR169" s="55"/>
      <c r="CS169" s="55"/>
      <c r="CT169" s="55"/>
      <c r="CU169" s="55"/>
      <c r="CV169" s="55"/>
      <c r="CW169" s="55"/>
      <c r="CX169" s="55"/>
      <c r="CY169" s="56"/>
      <c r="CZ169" s="55"/>
      <c r="DA169" s="55"/>
      <c r="DB169" s="55"/>
    </row>
    <row r="170" spans="1:114" outlineLevel="1">
      <c r="A170" s="1" t="s">
        <v>603</v>
      </c>
      <c r="B170" s="19" t="s">
        <v>164</v>
      </c>
      <c r="C170" s="53">
        <v>0</v>
      </c>
      <c r="D170" s="53">
        <v>0</v>
      </c>
      <c r="E170" s="53">
        <v>0</v>
      </c>
      <c r="F170" s="53">
        <v>0</v>
      </c>
      <c r="G170" s="53">
        <v>0</v>
      </c>
      <c r="H170" s="53">
        <v>0</v>
      </c>
      <c r="I170" s="53">
        <v>0</v>
      </c>
      <c r="J170" s="53">
        <v>0</v>
      </c>
      <c r="K170" s="53">
        <v>0</v>
      </c>
      <c r="L170" s="53">
        <v>0</v>
      </c>
      <c r="M170" s="53">
        <v>0</v>
      </c>
      <c r="N170" s="53">
        <v>0</v>
      </c>
      <c r="O170" s="53">
        <v>0</v>
      </c>
      <c r="P170" s="53">
        <v>0</v>
      </c>
      <c r="Q170" s="53">
        <v>0</v>
      </c>
      <c r="R170" s="53">
        <v>0</v>
      </c>
      <c r="S170" s="53">
        <v>0</v>
      </c>
      <c r="T170" s="53">
        <v>712</v>
      </c>
      <c r="U170" s="53">
        <v>763</v>
      </c>
      <c r="V170" s="53">
        <v>700</v>
      </c>
      <c r="W170" s="53">
        <v>664</v>
      </c>
      <c r="X170" s="53">
        <v>726</v>
      </c>
      <c r="Y170" s="53">
        <v>737</v>
      </c>
      <c r="Z170" s="53">
        <v>758</v>
      </c>
      <c r="AA170" s="164">
        <v>828</v>
      </c>
      <c r="AB170" s="164">
        <v>823</v>
      </c>
      <c r="AC170" s="164">
        <v>830</v>
      </c>
      <c r="AD170" s="164">
        <v>894</v>
      </c>
      <c r="AE170" s="164">
        <v>914</v>
      </c>
      <c r="AF170" s="164">
        <v>947</v>
      </c>
      <c r="AG170" s="164">
        <v>982</v>
      </c>
      <c r="AH170" s="164">
        <v>1022</v>
      </c>
      <c r="AI170" s="164">
        <v>949</v>
      </c>
      <c r="AJ170" s="164">
        <v>861</v>
      </c>
      <c r="AK170" s="164">
        <v>873</v>
      </c>
      <c r="AL170" s="164">
        <v>896</v>
      </c>
      <c r="AM170" s="164">
        <v>902</v>
      </c>
      <c r="AN170" s="164">
        <v>834</v>
      </c>
      <c r="AO170" s="164">
        <v>724</v>
      </c>
      <c r="AP170" s="164">
        <v>592</v>
      </c>
      <c r="AQ170" s="164">
        <v>522</v>
      </c>
      <c r="AR170" s="164">
        <v>472</v>
      </c>
      <c r="AS170" s="164">
        <v>422</v>
      </c>
      <c r="AT170" s="164">
        <v>353</v>
      </c>
      <c r="AU170" s="164">
        <v>337</v>
      </c>
      <c r="AV170" s="164">
        <v>99</v>
      </c>
      <c r="AW170" s="171">
        <v>82</v>
      </c>
      <c r="AX170" s="55">
        <v>84.126675317575746</v>
      </c>
      <c r="AY170" s="55">
        <v>81.421728187490956</v>
      </c>
      <c r="AZ170" s="55">
        <v>77.495682825966114</v>
      </c>
      <c r="BA170" s="55">
        <v>76.427529831246986</v>
      </c>
      <c r="BB170" s="55">
        <v>75.452614289818811</v>
      </c>
      <c r="BC170" s="55">
        <v>76.17886555830944</v>
      </c>
      <c r="BD170" s="55">
        <v>76.918742625073207</v>
      </c>
      <c r="BE170" s="55">
        <v>77.672383347286441</v>
      </c>
      <c r="BF170" s="55">
        <v>78.439930258852726</v>
      </c>
      <c r="BG170" s="55">
        <v>79.221530543750788</v>
      </c>
      <c r="BH170" s="55">
        <v>80.017336014259612</v>
      </c>
      <c r="BI170" s="55">
        <v>80.82750309382601</v>
      </c>
      <c r="BJ170" s="55">
        <v>81.652192804356858</v>
      </c>
      <c r="BK170" s="55">
        <v>83.210973991088423</v>
      </c>
      <c r="BL170" s="55">
        <v>84.79951309006529</v>
      </c>
      <c r="BM170" s="55">
        <v>86.418378194711181</v>
      </c>
      <c r="BN170" s="55">
        <v>88.06814824363731</v>
      </c>
      <c r="BO170" s="55">
        <v>89.749413227682439</v>
      </c>
      <c r="BP170" s="55">
        <v>91.462774400905488</v>
      </c>
      <c r="BQ170" s="55">
        <v>93.208844495605959</v>
      </c>
      <c r="BR170" s="55"/>
      <c r="BS170" s="53">
        <v>0</v>
      </c>
      <c r="BT170" s="53">
        <v>0</v>
      </c>
      <c r="BU170" s="53">
        <v>0</v>
      </c>
      <c r="BV170" s="53">
        <v>0</v>
      </c>
      <c r="BW170" s="53">
        <v>0</v>
      </c>
      <c r="BX170" s="53">
        <v>0</v>
      </c>
      <c r="BY170" s="53">
        <v>0</v>
      </c>
      <c r="BZ170" s="53">
        <v>0</v>
      </c>
      <c r="CA170" s="53">
        <v>0</v>
      </c>
      <c r="CB170" s="53">
        <v>0</v>
      </c>
      <c r="CC170" s="55">
        <v>0</v>
      </c>
      <c r="CD170" s="55">
        <v>0</v>
      </c>
      <c r="CE170" s="55">
        <v>0</v>
      </c>
      <c r="CF170" s="55">
        <v>0</v>
      </c>
      <c r="CG170" s="55">
        <v>0</v>
      </c>
      <c r="CH170" s="55">
        <v>0</v>
      </c>
      <c r="CI170" s="55">
        <v>0</v>
      </c>
      <c r="CJ170" s="55">
        <v>0</v>
      </c>
      <c r="CK170" s="55">
        <v>763</v>
      </c>
      <c r="CL170" s="55">
        <v>664</v>
      </c>
      <c r="CM170" s="55">
        <v>737</v>
      </c>
      <c r="CN170" s="55">
        <v>828</v>
      </c>
      <c r="CO170" s="55">
        <v>830</v>
      </c>
      <c r="CP170" s="55">
        <v>914</v>
      </c>
      <c r="CQ170" s="55">
        <v>982</v>
      </c>
      <c r="CR170" s="55">
        <v>949</v>
      </c>
      <c r="CS170" s="55">
        <v>873</v>
      </c>
      <c r="CT170" s="55">
        <v>902</v>
      </c>
      <c r="CU170" s="55">
        <v>724</v>
      </c>
      <c r="CV170" s="55">
        <v>522</v>
      </c>
      <c r="CW170" s="55">
        <v>422</v>
      </c>
      <c r="CX170" s="55">
        <v>337</v>
      </c>
      <c r="CY170" s="56">
        <v>82</v>
      </c>
      <c r="CZ170" s="55">
        <v>81.421728187490956</v>
      </c>
      <c r="DA170" s="55">
        <v>76.427529831246986</v>
      </c>
      <c r="DB170" s="55">
        <v>76.17886555830944</v>
      </c>
      <c r="DC170" s="55">
        <v>77.672383347286441</v>
      </c>
      <c r="DD170" s="55">
        <v>79.221530543750788</v>
      </c>
      <c r="DE170" s="55">
        <v>80.82750309382601</v>
      </c>
      <c r="DF170" s="55">
        <v>83.210973991088423</v>
      </c>
      <c r="DG170" s="55">
        <v>86.418378194711181</v>
      </c>
      <c r="DH170" s="55">
        <v>89.749413227682439</v>
      </c>
      <c r="DI170" s="55">
        <v>93.208844495605959</v>
      </c>
    </row>
    <row r="171" spans="1:114" outlineLevel="1">
      <c r="A171" s="1" t="s">
        <v>732</v>
      </c>
      <c r="B171" s="19" t="s">
        <v>407</v>
      </c>
      <c r="C171" s="55">
        <v>0</v>
      </c>
      <c r="D171" s="55">
        <v>0</v>
      </c>
      <c r="E171" s="55">
        <v>0</v>
      </c>
      <c r="F171" s="55">
        <v>0</v>
      </c>
      <c r="G171" s="55">
        <v>0</v>
      </c>
      <c r="H171" s="55">
        <v>0</v>
      </c>
      <c r="I171" s="55">
        <v>0</v>
      </c>
      <c r="J171" s="55">
        <v>0</v>
      </c>
      <c r="K171" s="55">
        <v>0</v>
      </c>
      <c r="L171" s="55">
        <v>0</v>
      </c>
      <c r="M171" s="55">
        <v>0</v>
      </c>
      <c r="N171" s="55">
        <v>0</v>
      </c>
      <c r="O171" s="55">
        <v>0</v>
      </c>
      <c r="P171" s="55">
        <v>0</v>
      </c>
      <c r="Q171" s="55">
        <v>0</v>
      </c>
      <c r="R171" s="55">
        <v>0</v>
      </c>
      <c r="S171" s="55">
        <v>0</v>
      </c>
      <c r="T171" s="55">
        <v>8807</v>
      </c>
      <c r="U171" s="55">
        <v>7911</v>
      </c>
      <c r="V171" s="55">
        <v>6861</v>
      </c>
      <c r="W171" s="55">
        <v>7215</v>
      </c>
      <c r="X171" s="55">
        <v>8325</v>
      </c>
      <c r="Y171" s="55">
        <v>9518</v>
      </c>
      <c r="Z171" s="55">
        <v>9949</v>
      </c>
      <c r="AA171" s="55">
        <v>12613</v>
      </c>
      <c r="AB171" s="55">
        <v>16203</v>
      </c>
      <c r="AC171" s="55">
        <v>16309</v>
      </c>
      <c r="AD171" s="55">
        <v>19543</v>
      </c>
      <c r="AE171" s="55">
        <v>20796</v>
      </c>
      <c r="AF171" s="55">
        <v>22834</v>
      </c>
      <c r="AG171" s="55">
        <v>22771</v>
      </c>
      <c r="AH171" s="55">
        <v>23100</v>
      </c>
      <c r="AI171" s="55">
        <v>23939</v>
      </c>
      <c r="AJ171" s="55">
        <v>24092</v>
      </c>
      <c r="AK171" s="55">
        <v>24202</v>
      </c>
      <c r="AL171" s="55">
        <v>23904</v>
      </c>
      <c r="AM171" s="55">
        <v>20255</v>
      </c>
      <c r="AN171" s="55">
        <v>18397</v>
      </c>
      <c r="AO171" s="55">
        <v>17188</v>
      </c>
      <c r="AP171" s="55">
        <v>15320</v>
      </c>
      <c r="AQ171" s="55">
        <v>16122</v>
      </c>
      <c r="AR171" s="55">
        <v>16624</v>
      </c>
      <c r="AS171" s="55">
        <v>16616</v>
      </c>
      <c r="AT171" s="55">
        <v>14282</v>
      </c>
      <c r="AU171" s="55">
        <v>14445</v>
      </c>
      <c r="AV171" s="55">
        <v>14622</v>
      </c>
      <c r="AW171" s="56">
        <v>15025</v>
      </c>
      <c r="AX171" s="55">
        <v>15180.376356984851</v>
      </c>
      <c r="AY171" s="55">
        <v>14576.428279490914</v>
      </c>
      <c r="AZ171" s="55">
        <v>13791.527750406189</v>
      </c>
      <c r="BA171" s="55">
        <v>13628.393997078521</v>
      </c>
      <c r="BB171" s="55">
        <v>13481.218202036534</v>
      </c>
      <c r="BC171" s="55">
        <v>13637.957606331271</v>
      </c>
      <c r="BD171" s="55">
        <v>13797.709608750465</v>
      </c>
      <c r="BE171" s="55">
        <v>13960.515159049828</v>
      </c>
      <c r="BF171" s="55">
        <v>14126.416307559093</v>
      </c>
      <c r="BG171" s="55">
        <v>14295.456209894268</v>
      </c>
      <c r="BH171" s="55">
        <v>14467.679132548625</v>
      </c>
      <c r="BI171" s="55">
        <v>14643.130459331927</v>
      </c>
      <c r="BJ171" s="55">
        <v>14821.856698630027</v>
      </c>
      <c r="BK171" s="55">
        <v>15134.753504466453</v>
      </c>
      <c r="BL171" s="55">
        <v>15454.255718322489</v>
      </c>
      <c r="BM171" s="55">
        <v>15780.502783664133</v>
      </c>
      <c r="BN171" s="55">
        <v>16113.637087678671</v>
      </c>
      <c r="BO171" s="55">
        <v>16453.80402341811</v>
      </c>
      <c r="BP171" s="55">
        <v>16801.152053254475</v>
      </c>
      <c r="BQ171" s="55">
        <v>17155.832773674701</v>
      </c>
      <c r="BR171" s="55"/>
      <c r="BS171" s="55">
        <v>0</v>
      </c>
      <c r="BT171" s="55">
        <v>0</v>
      </c>
      <c r="BU171" s="55">
        <v>0</v>
      </c>
      <c r="BV171" s="55">
        <v>0</v>
      </c>
      <c r="BW171" s="55">
        <v>0</v>
      </c>
      <c r="BX171" s="55">
        <v>0</v>
      </c>
      <c r="BY171" s="55">
        <v>0</v>
      </c>
      <c r="BZ171" s="55">
        <v>0</v>
      </c>
      <c r="CA171" s="55">
        <v>0</v>
      </c>
      <c r="CB171" s="55">
        <v>0</v>
      </c>
      <c r="CC171" s="55">
        <v>0</v>
      </c>
      <c r="CD171" s="55">
        <v>0</v>
      </c>
      <c r="CE171" s="55">
        <v>0</v>
      </c>
      <c r="CF171" s="55">
        <v>0</v>
      </c>
      <c r="CG171" s="55">
        <v>0</v>
      </c>
      <c r="CH171" s="55">
        <v>0</v>
      </c>
      <c r="CI171" s="55">
        <v>0</v>
      </c>
      <c r="CJ171" s="55">
        <v>0</v>
      </c>
      <c r="CK171" s="55">
        <v>7911</v>
      </c>
      <c r="CL171" s="55">
        <v>7215</v>
      </c>
      <c r="CM171" s="55">
        <v>9518</v>
      </c>
      <c r="CN171" s="55">
        <v>12613</v>
      </c>
      <c r="CO171" s="55">
        <v>16309</v>
      </c>
      <c r="CP171" s="55">
        <v>20796</v>
      </c>
      <c r="CQ171" s="55">
        <v>22771</v>
      </c>
      <c r="CR171" s="55">
        <v>23939</v>
      </c>
      <c r="CS171" s="55">
        <v>24202</v>
      </c>
      <c r="CT171" s="55">
        <v>20255</v>
      </c>
      <c r="CU171" s="55">
        <v>17188</v>
      </c>
      <c r="CV171" s="55">
        <v>16122</v>
      </c>
      <c r="CW171" s="55">
        <v>16616</v>
      </c>
      <c r="CX171" s="55">
        <v>14445</v>
      </c>
      <c r="CY171" s="56">
        <v>15025</v>
      </c>
      <c r="CZ171" s="55">
        <v>14576.428279490914</v>
      </c>
      <c r="DA171" s="55">
        <v>13628.393997078521</v>
      </c>
      <c r="DB171" s="55">
        <v>13637.957606331271</v>
      </c>
      <c r="DC171" s="55">
        <v>13960.515159049828</v>
      </c>
      <c r="DD171" s="55">
        <v>14295.456209894268</v>
      </c>
      <c r="DE171" s="55">
        <v>14643.130459331927</v>
      </c>
      <c r="DF171" s="55">
        <v>15134.753504466453</v>
      </c>
      <c r="DG171" s="55">
        <v>15780.502783664133</v>
      </c>
      <c r="DH171" s="55">
        <v>16453.80402341811</v>
      </c>
      <c r="DI171" s="55">
        <v>17155.832773674701</v>
      </c>
    </row>
    <row r="172" spans="1:114" outlineLevel="1">
      <c r="A172" s="1" t="s">
        <v>596</v>
      </c>
      <c r="B172" s="19" t="s">
        <v>167</v>
      </c>
      <c r="C172" s="53">
        <v>0</v>
      </c>
      <c r="D172" s="53">
        <v>0</v>
      </c>
      <c r="E172" s="53">
        <v>0</v>
      </c>
      <c r="F172" s="53">
        <v>0</v>
      </c>
      <c r="G172" s="53">
        <v>0</v>
      </c>
      <c r="H172" s="53">
        <v>0</v>
      </c>
      <c r="I172" s="53">
        <v>0</v>
      </c>
      <c r="J172" s="53">
        <v>0</v>
      </c>
      <c r="K172" s="53">
        <v>0</v>
      </c>
      <c r="L172" s="53">
        <v>0</v>
      </c>
      <c r="M172" s="53">
        <v>0</v>
      </c>
      <c r="N172" s="53">
        <v>0</v>
      </c>
      <c r="O172" s="53">
        <v>0</v>
      </c>
      <c r="P172" s="53">
        <v>0</v>
      </c>
      <c r="Q172" s="53">
        <v>0</v>
      </c>
      <c r="R172" s="53">
        <v>0</v>
      </c>
      <c r="S172" s="53">
        <v>0</v>
      </c>
      <c r="T172" s="53">
        <v>0</v>
      </c>
      <c r="U172" s="53">
        <v>0</v>
      </c>
      <c r="V172" s="53">
        <v>0</v>
      </c>
      <c r="W172" s="53">
        <v>0</v>
      </c>
      <c r="X172" s="53">
        <v>0</v>
      </c>
      <c r="Y172" s="53">
        <v>0</v>
      </c>
      <c r="Z172" s="53">
        <v>0</v>
      </c>
      <c r="AA172" s="164">
        <v>0</v>
      </c>
      <c r="AB172" s="164">
        <v>0</v>
      </c>
      <c r="AC172" s="164">
        <v>0</v>
      </c>
      <c r="AD172" s="164">
        <v>0</v>
      </c>
      <c r="AE172" s="164">
        <v>0</v>
      </c>
      <c r="AF172" s="164">
        <v>0</v>
      </c>
      <c r="AG172" s="164">
        <v>0</v>
      </c>
      <c r="AH172" s="164">
        <v>0</v>
      </c>
      <c r="AI172" s="164">
        <v>0</v>
      </c>
      <c r="AJ172" s="164">
        <v>0</v>
      </c>
      <c r="AK172" s="164">
        <v>0</v>
      </c>
      <c r="AL172" s="164">
        <v>0</v>
      </c>
      <c r="AM172" s="164">
        <v>0</v>
      </c>
      <c r="AN172" s="164">
        <v>0</v>
      </c>
      <c r="AO172" s="164">
        <v>0</v>
      </c>
      <c r="AP172" s="164">
        <v>0</v>
      </c>
      <c r="AQ172" s="164">
        <v>0</v>
      </c>
      <c r="AR172" s="164">
        <v>0</v>
      </c>
      <c r="AS172" s="164">
        <v>0</v>
      </c>
      <c r="AT172" s="164">
        <v>0</v>
      </c>
      <c r="AU172" s="164">
        <v>0</v>
      </c>
      <c r="AV172" s="164">
        <v>0</v>
      </c>
      <c r="AW172" s="171">
        <v>0</v>
      </c>
      <c r="AX172" s="55">
        <v>0</v>
      </c>
      <c r="AY172" s="55">
        <v>0</v>
      </c>
      <c r="AZ172" s="55">
        <v>0</v>
      </c>
      <c r="BA172" s="55">
        <v>0</v>
      </c>
      <c r="BB172" s="55">
        <v>0</v>
      </c>
      <c r="BC172" s="55">
        <v>0</v>
      </c>
      <c r="BD172" s="55">
        <v>0</v>
      </c>
      <c r="BE172" s="55">
        <v>0</v>
      </c>
      <c r="BF172" s="55">
        <v>0</v>
      </c>
      <c r="BG172" s="55">
        <v>0</v>
      </c>
      <c r="BH172" s="55">
        <v>0</v>
      </c>
      <c r="BI172" s="55">
        <v>0</v>
      </c>
      <c r="BJ172" s="55">
        <v>0</v>
      </c>
      <c r="BK172" s="55">
        <v>0</v>
      </c>
      <c r="BL172" s="55">
        <v>0</v>
      </c>
      <c r="BM172" s="55">
        <v>0</v>
      </c>
      <c r="BN172" s="55">
        <v>0</v>
      </c>
      <c r="BO172" s="55">
        <v>0</v>
      </c>
      <c r="BP172" s="55">
        <v>0</v>
      </c>
      <c r="BQ172" s="55">
        <v>0</v>
      </c>
      <c r="BR172" s="55"/>
      <c r="BS172" s="53">
        <v>0</v>
      </c>
      <c r="BT172" s="53">
        <v>0</v>
      </c>
      <c r="BU172" s="53">
        <v>0</v>
      </c>
      <c r="BV172" s="53">
        <v>0</v>
      </c>
      <c r="BW172" s="53">
        <v>0</v>
      </c>
      <c r="BX172" s="53">
        <v>0</v>
      </c>
      <c r="BY172" s="53">
        <v>0</v>
      </c>
      <c r="BZ172" s="53">
        <v>0</v>
      </c>
      <c r="CA172" s="53">
        <v>0</v>
      </c>
      <c r="CB172" s="53">
        <v>0</v>
      </c>
      <c r="CC172" s="55">
        <v>0</v>
      </c>
      <c r="CD172" s="55">
        <v>0</v>
      </c>
      <c r="CE172" s="55">
        <v>0</v>
      </c>
      <c r="CF172" s="55">
        <v>0</v>
      </c>
      <c r="CG172" s="55">
        <v>0</v>
      </c>
      <c r="CH172" s="55">
        <v>0</v>
      </c>
      <c r="CI172" s="55">
        <v>0</v>
      </c>
      <c r="CJ172" s="55">
        <v>0</v>
      </c>
      <c r="CK172" s="55">
        <v>0</v>
      </c>
      <c r="CL172" s="55">
        <v>0</v>
      </c>
      <c r="CM172" s="55">
        <v>0</v>
      </c>
      <c r="CN172" s="55">
        <v>0</v>
      </c>
      <c r="CO172" s="55">
        <v>0</v>
      </c>
      <c r="CP172" s="55">
        <v>0</v>
      </c>
      <c r="CQ172" s="55">
        <v>0</v>
      </c>
      <c r="CR172" s="55">
        <v>0</v>
      </c>
      <c r="CS172" s="55">
        <v>0</v>
      </c>
      <c r="CT172" s="55">
        <v>0</v>
      </c>
      <c r="CU172" s="55">
        <v>0</v>
      </c>
      <c r="CV172" s="55">
        <v>0</v>
      </c>
      <c r="CW172" s="55">
        <v>0</v>
      </c>
      <c r="CX172" s="55">
        <v>0</v>
      </c>
      <c r="CY172" s="56">
        <v>0</v>
      </c>
      <c r="CZ172" s="55">
        <v>0</v>
      </c>
      <c r="DA172" s="55">
        <v>0</v>
      </c>
      <c r="DB172" s="55">
        <v>0</v>
      </c>
      <c r="DC172" s="55">
        <v>0</v>
      </c>
      <c r="DD172" s="55">
        <v>0</v>
      </c>
      <c r="DE172" s="55">
        <v>0</v>
      </c>
      <c r="DF172" s="55">
        <v>0</v>
      </c>
      <c r="DG172" s="55">
        <v>0</v>
      </c>
      <c r="DH172" s="55">
        <v>0</v>
      </c>
      <c r="DI172" s="55">
        <v>0</v>
      </c>
    </row>
    <row r="173" spans="1:114" s="24" customFormat="1" outlineLevel="1">
      <c r="A173" s="1" t="s">
        <v>597</v>
      </c>
      <c r="B173" s="24" t="s">
        <v>168</v>
      </c>
      <c r="C173" s="81">
        <v>0</v>
      </c>
      <c r="D173" s="81">
        <v>0</v>
      </c>
      <c r="E173" s="81">
        <v>0</v>
      </c>
      <c r="F173" s="81">
        <v>0</v>
      </c>
      <c r="G173" s="81">
        <v>0</v>
      </c>
      <c r="H173" s="81">
        <v>0</v>
      </c>
      <c r="I173" s="81">
        <v>0</v>
      </c>
      <c r="J173" s="81">
        <v>0</v>
      </c>
      <c r="K173" s="81">
        <v>0</v>
      </c>
      <c r="L173" s="81">
        <v>0</v>
      </c>
      <c r="M173" s="81">
        <v>0</v>
      </c>
      <c r="N173" s="81">
        <v>0</v>
      </c>
      <c r="O173" s="81">
        <v>0</v>
      </c>
      <c r="P173" s="81">
        <v>0</v>
      </c>
      <c r="Q173" s="81">
        <v>0</v>
      </c>
      <c r="R173" s="81">
        <v>0</v>
      </c>
      <c r="S173" s="81">
        <v>0</v>
      </c>
      <c r="T173" s="81">
        <v>9519</v>
      </c>
      <c r="U173" s="81">
        <v>8674</v>
      </c>
      <c r="V173" s="81">
        <v>7561</v>
      </c>
      <c r="W173" s="81">
        <v>7879</v>
      </c>
      <c r="X173" s="81">
        <v>9051</v>
      </c>
      <c r="Y173" s="81">
        <v>10255</v>
      </c>
      <c r="Z173" s="81">
        <v>10707</v>
      </c>
      <c r="AA173" s="166">
        <v>13441</v>
      </c>
      <c r="AB173" s="166">
        <v>17026</v>
      </c>
      <c r="AC173" s="166">
        <v>17139</v>
      </c>
      <c r="AD173" s="166">
        <v>20437</v>
      </c>
      <c r="AE173" s="166">
        <v>21710</v>
      </c>
      <c r="AF173" s="166">
        <v>23781</v>
      </c>
      <c r="AG173" s="166">
        <v>23753</v>
      </c>
      <c r="AH173" s="166">
        <v>24122</v>
      </c>
      <c r="AI173" s="166">
        <v>24888</v>
      </c>
      <c r="AJ173" s="166">
        <v>24953</v>
      </c>
      <c r="AK173" s="166">
        <v>25075</v>
      </c>
      <c r="AL173" s="166">
        <v>24800</v>
      </c>
      <c r="AM173" s="166">
        <v>21157</v>
      </c>
      <c r="AN173" s="166">
        <v>19231</v>
      </c>
      <c r="AO173" s="166">
        <v>17912</v>
      </c>
      <c r="AP173" s="166">
        <v>15912</v>
      </c>
      <c r="AQ173" s="166">
        <v>16644</v>
      </c>
      <c r="AR173" s="166">
        <v>17096</v>
      </c>
      <c r="AS173" s="166">
        <v>17038</v>
      </c>
      <c r="AT173" s="166">
        <v>14635</v>
      </c>
      <c r="AU173" s="166">
        <v>14782</v>
      </c>
      <c r="AV173" s="166">
        <v>14721</v>
      </c>
      <c r="AW173" s="167">
        <v>15107</v>
      </c>
      <c r="AX173" s="82">
        <v>15264.503032302426</v>
      </c>
      <c r="AY173" s="82">
        <v>14657.850007678406</v>
      </c>
      <c r="AZ173" s="82">
        <v>13869.023433232154</v>
      </c>
      <c r="BA173" s="82">
        <v>13704.821526909769</v>
      </c>
      <c r="BB173" s="82">
        <v>13556.670816326354</v>
      </c>
      <c r="BC173" s="82">
        <v>13714.13647188958</v>
      </c>
      <c r="BD173" s="82">
        <v>13874.628351375539</v>
      </c>
      <c r="BE173" s="82">
        <v>14038.187542397114</v>
      </c>
      <c r="BF173" s="82">
        <v>14204.856237817947</v>
      </c>
      <c r="BG173" s="82">
        <v>14374.677740438019</v>
      </c>
      <c r="BH173" s="82">
        <v>14547.696468562885</v>
      </c>
      <c r="BI173" s="82">
        <v>14723.957962425753</v>
      </c>
      <c r="BJ173" s="82">
        <v>14903.508891434383</v>
      </c>
      <c r="BK173" s="82">
        <v>15217.964478457541</v>
      </c>
      <c r="BL173" s="82">
        <v>15539.055231412554</v>
      </c>
      <c r="BM173" s="82">
        <v>15866.921161858843</v>
      </c>
      <c r="BN173" s="82">
        <v>16201.705235922309</v>
      </c>
      <c r="BO173" s="82">
        <v>16543.55343664579</v>
      </c>
      <c r="BP173" s="82">
        <v>16892.614827655379</v>
      </c>
      <c r="BQ173" s="82">
        <v>17249.041618170308</v>
      </c>
      <c r="BR173" s="82"/>
      <c r="BS173" s="53">
        <v>0</v>
      </c>
      <c r="BT173" s="53">
        <v>0</v>
      </c>
      <c r="BU173" s="53">
        <v>0</v>
      </c>
      <c r="BV173" s="53">
        <v>0</v>
      </c>
      <c r="BW173" s="53">
        <v>0</v>
      </c>
      <c r="BX173" s="53">
        <v>0</v>
      </c>
      <c r="BY173" s="53">
        <v>0</v>
      </c>
      <c r="BZ173" s="53">
        <v>0</v>
      </c>
      <c r="CA173" s="53">
        <v>0</v>
      </c>
      <c r="CB173" s="53">
        <v>0</v>
      </c>
      <c r="CC173" s="82">
        <v>0</v>
      </c>
      <c r="CD173" s="82">
        <v>0</v>
      </c>
      <c r="CE173" s="82">
        <v>0</v>
      </c>
      <c r="CF173" s="82">
        <v>0</v>
      </c>
      <c r="CG173" s="82">
        <v>0</v>
      </c>
      <c r="CH173" s="82">
        <v>0</v>
      </c>
      <c r="CI173" s="82">
        <v>0</v>
      </c>
      <c r="CJ173" s="82">
        <v>0</v>
      </c>
      <c r="CK173" s="82">
        <v>8674</v>
      </c>
      <c r="CL173" s="82">
        <v>7879</v>
      </c>
      <c r="CM173" s="82">
        <v>10255</v>
      </c>
      <c r="CN173" s="82">
        <v>13441</v>
      </c>
      <c r="CO173" s="82">
        <v>17139</v>
      </c>
      <c r="CP173" s="82">
        <v>21710</v>
      </c>
      <c r="CQ173" s="82">
        <v>23753</v>
      </c>
      <c r="CR173" s="82">
        <v>24888</v>
      </c>
      <c r="CS173" s="82">
        <v>25075</v>
      </c>
      <c r="CT173" s="82">
        <v>21157</v>
      </c>
      <c r="CU173" s="82">
        <v>17912</v>
      </c>
      <c r="CV173" s="82">
        <v>16644</v>
      </c>
      <c r="CW173" s="82">
        <v>17038</v>
      </c>
      <c r="CX173" s="82">
        <v>14782</v>
      </c>
      <c r="CY173" s="83">
        <v>15107</v>
      </c>
      <c r="CZ173" s="82">
        <v>14657.850007678406</v>
      </c>
      <c r="DA173" s="82">
        <v>13704.821526909769</v>
      </c>
      <c r="DB173" s="82">
        <v>13714.13647188958</v>
      </c>
      <c r="DC173" s="82">
        <v>14038.187542397114</v>
      </c>
      <c r="DD173" s="82">
        <v>14374.677740438019</v>
      </c>
      <c r="DE173" s="82">
        <v>14723.957962425753</v>
      </c>
      <c r="DF173" s="82">
        <v>15217.964478457541</v>
      </c>
      <c r="DG173" s="82">
        <v>15866.921161858843</v>
      </c>
      <c r="DH173" s="82">
        <v>16543.55343664579</v>
      </c>
      <c r="DI173" s="82">
        <v>17249.041618170308</v>
      </c>
    </row>
    <row r="174" spans="1:114" outlineLevel="1">
      <c r="C174" s="53"/>
      <c r="D174" s="53"/>
      <c r="E174" s="53"/>
      <c r="F174" s="53"/>
      <c r="G174" s="53"/>
      <c r="H174" s="53"/>
      <c r="I174" s="53"/>
      <c r="J174" s="53"/>
      <c r="K174" s="53"/>
      <c r="L174" s="53"/>
      <c r="M174" s="53"/>
      <c r="N174" s="53"/>
      <c r="O174" s="53"/>
      <c r="P174" s="53"/>
      <c r="Q174" s="53"/>
      <c r="R174" s="53"/>
      <c r="S174" s="53"/>
      <c r="T174" s="55"/>
      <c r="U174" s="55"/>
      <c r="V174" s="55"/>
      <c r="W174" s="55"/>
      <c r="X174" s="55"/>
      <c r="Y174" s="55"/>
      <c r="Z174" s="55"/>
      <c r="AA174" s="55"/>
      <c r="AB174" s="55"/>
      <c r="AC174" s="55"/>
      <c r="AD174" s="55"/>
      <c r="AE174" s="55"/>
      <c r="AF174" s="55"/>
      <c r="AG174" s="55"/>
      <c r="AH174" s="55"/>
      <c r="AI174" s="55"/>
      <c r="AJ174" s="55"/>
      <c r="AK174" s="55"/>
      <c r="AL174" s="55"/>
      <c r="AM174" s="55"/>
      <c r="AN174" s="55"/>
      <c r="AO174" s="55"/>
      <c r="AP174" s="55"/>
      <c r="AQ174" s="55"/>
      <c r="AR174" s="55"/>
      <c r="AS174" s="55"/>
      <c r="AT174" s="55"/>
      <c r="AU174" s="55"/>
      <c r="AV174" s="55"/>
      <c r="AW174" s="56"/>
      <c r="AX174" s="55"/>
      <c r="AY174" s="55"/>
      <c r="AZ174" s="55"/>
      <c r="BA174" s="55"/>
      <c r="BB174" s="55"/>
      <c r="BC174" s="55"/>
      <c r="BD174" s="55"/>
      <c r="BE174" s="55"/>
      <c r="BF174" s="55"/>
      <c r="BG174" s="55"/>
      <c r="BH174" s="55"/>
      <c r="BI174" s="55"/>
      <c r="BJ174" s="55"/>
      <c r="BK174" s="55"/>
      <c r="BL174" s="55"/>
      <c r="BM174" s="55"/>
      <c r="BN174" s="55"/>
      <c r="BO174" s="55"/>
      <c r="BP174" s="55"/>
      <c r="BQ174" s="55"/>
      <c r="BR174" s="55"/>
      <c r="BS174" s="55"/>
      <c r="BT174" s="55"/>
      <c r="BU174" s="55"/>
      <c r="BV174" s="55"/>
      <c r="BW174" s="55"/>
      <c r="BX174" s="55"/>
      <c r="BY174" s="55"/>
      <c r="BZ174" s="55"/>
      <c r="CA174" s="55"/>
      <c r="CB174" s="55"/>
      <c r="CC174" s="55"/>
      <c r="CD174" s="55"/>
      <c r="CE174" s="55"/>
      <c r="CF174" s="55"/>
      <c r="CG174" s="55"/>
      <c r="CH174" s="55"/>
      <c r="CI174" s="55"/>
      <c r="CJ174" s="55"/>
      <c r="CK174" s="55"/>
      <c r="CL174" s="55"/>
      <c r="CM174" s="55"/>
      <c r="CN174" s="55"/>
      <c r="CO174" s="55"/>
      <c r="CP174" s="55"/>
      <c r="CQ174" s="55"/>
      <c r="CR174" s="55"/>
      <c r="CS174" s="55"/>
      <c r="CT174" s="55"/>
      <c r="CU174" s="55"/>
      <c r="CV174" s="55"/>
      <c r="CW174" s="55"/>
      <c r="CX174" s="55"/>
      <c r="CY174" s="56"/>
      <c r="CZ174" s="55"/>
      <c r="DA174" s="55"/>
      <c r="DB174" s="55"/>
    </row>
    <row r="175" spans="1:114" outlineLevel="1">
      <c r="B175" s="24" t="s">
        <v>342</v>
      </c>
      <c r="C175" s="55"/>
      <c r="D175" s="55"/>
      <c r="E175" s="55"/>
      <c r="F175" s="55"/>
      <c r="G175" s="55"/>
      <c r="H175" s="55"/>
      <c r="I175" s="55"/>
      <c r="J175" s="55"/>
      <c r="K175" s="55"/>
      <c r="L175" s="55"/>
      <c r="M175" s="55"/>
      <c r="N175" s="55"/>
      <c r="O175" s="55"/>
      <c r="P175" s="55"/>
      <c r="Q175" s="55"/>
      <c r="R175" s="55"/>
      <c r="S175" s="55"/>
      <c r="T175" s="55"/>
      <c r="U175" s="55"/>
      <c r="V175" s="55"/>
      <c r="W175" s="55"/>
      <c r="X175" s="55"/>
      <c r="Y175" s="55"/>
      <c r="Z175" s="55"/>
      <c r="AA175" s="55"/>
      <c r="AB175" s="55"/>
      <c r="AC175" s="55"/>
      <c r="AD175" s="55"/>
      <c r="AE175" s="55"/>
      <c r="AF175" s="55"/>
      <c r="AG175" s="55"/>
      <c r="AH175" s="55"/>
      <c r="AI175" s="55"/>
      <c r="AJ175" s="55"/>
      <c r="AK175" s="55"/>
      <c r="AL175" s="55"/>
      <c r="AM175" s="55"/>
      <c r="AN175" s="55"/>
      <c r="AO175" s="55"/>
      <c r="AP175" s="45"/>
      <c r="AQ175" s="45"/>
      <c r="AR175" s="45"/>
      <c r="AS175" s="45"/>
      <c r="AT175" s="45"/>
      <c r="AU175" s="45"/>
      <c r="AV175" s="45"/>
      <c r="AW175" s="43"/>
      <c r="AX175" s="55"/>
      <c r="AY175" s="55"/>
      <c r="AZ175" s="55"/>
      <c r="BA175" s="55"/>
      <c r="BB175" s="55"/>
      <c r="BC175" s="55"/>
      <c r="BD175" s="55"/>
      <c r="BE175" s="55"/>
      <c r="BF175" s="55"/>
      <c r="BG175" s="55"/>
      <c r="BH175" s="55"/>
      <c r="BI175" s="55"/>
      <c r="BJ175" s="55"/>
      <c r="BK175" s="55"/>
      <c r="BL175" s="55"/>
      <c r="BM175" s="55"/>
      <c r="BN175" s="55"/>
      <c r="BO175" s="55"/>
      <c r="BP175" s="55"/>
      <c r="BQ175" s="55"/>
      <c r="BR175" s="55"/>
      <c r="BS175" s="55"/>
      <c r="BT175" s="55"/>
      <c r="BU175" s="55"/>
      <c r="BV175" s="55"/>
      <c r="BW175" s="55"/>
      <c r="BX175" s="55"/>
      <c r="BY175" s="55"/>
      <c r="BZ175" s="55"/>
      <c r="CA175" s="55"/>
      <c r="CB175" s="55"/>
      <c r="CC175" s="55"/>
      <c r="CD175" s="55"/>
      <c r="CE175" s="55"/>
      <c r="CF175" s="55"/>
      <c r="CG175" s="55"/>
      <c r="CH175" s="55"/>
      <c r="CI175" s="55"/>
      <c r="CJ175" s="55"/>
      <c r="CK175" s="55"/>
      <c r="CL175" s="55"/>
      <c r="CM175" s="55"/>
      <c r="CN175" s="55"/>
      <c r="CO175" s="55"/>
      <c r="CP175" s="55"/>
      <c r="CQ175" s="55"/>
      <c r="CR175" s="45"/>
      <c r="CS175" s="55"/>
      <c r="CT175" s="55"/>
      <c r="CU175" s="55"/>
      <c r="CV175" s="55"/>
      <c r="CW175" s="55"/>
      <c r="CX175" s="55"/>
      <c r="CY175" s="56"/>
      <c r="CZ175" s="55"/>
      <c r="DA175" s="55"/>
      <c r="DB175" s="55"/>
    </row>
    <row r="176" spans="1:114" outlineLevel="1">
      <c r="A176" s="1" t="s">
        <v>598</v>
      </c>
      <c r="B176" s="19" t="s">
        <v>164</v>
      </c>
      <c r="C176" s="55">
        <v>73511</v>
      </c>
      <c r="D176" s="55">
        <v>79745</v>
      </c>
      <c r="E176" s="55">
        <v>85838</v>
      </c>
      <c r="F176" s="55">
        <v>93545</v>
      </c>
      <c r="G176" s="55">
        <v>100203</v>
      </c>
      <c r="H176" s="55">
        <v>112228</v>
      </c>
      <c r="I176" s="55">
        <v>129455</v>
      </c>
      <c r="J176" s="55">
        <v>140649</v>
      </c>
      <c r="K176" s="55">
        <v>150678</v>
      </c>
      <c r="L176" s="55">
        <v>159339</v>
      </c>
      <c r="M176" s="55">
        <v>167121</v>
      </c>
      <c r="N176" s="55">
        <v>176721</v>
      </c>
      <c r="O176" s="55">
        <v>192770</v>
      </c>
      <c r="P176" s="55">
        <v>203885</v>
      </c>
      <c r="Q176" s="55">
        <v>215743</v>
      </c>
      <c r="R176" s="55">
        <v>265694</v>
      </c>
      <c r="S176" s="55">
        <v>292206</v>
      </c>
      <c r="T176" s="55">
        <v>310822</v>
      </c>
      <c r="U176" s="55">
        <v>323573</v>
      </c>
      <c r="V176" s="55">
        <v>327704</v>
      </c>
      <c r="W176" s="55">
        <v>335841</v>
      </c>
      <c r="X176" s="55">
        <v>345622</v>
      </c>
      <c r="Y176" s="55">
        <v>352981</v>
      </c>
      <c r="Z176" s="55">
        <v>359058</v>
      </c>
      <c r="AA176" s="55">
        <v>372840</v>
      </c>
      <c r="AB176" s="55">
        <v>387021</v>
      </c>
      <c r="AC176" s="55">
        <v>399685</v>
      </c>
      <c r="AD176" s="55">
        <v>411305</v>
      </c>
      <c r="AE176" s="55">
        <v>422851</v>
      </c>
      <c r="AF176" s="55">
        <v>437176</v>
      </c>
      <c r="AG176" s="55">
        <v>456074</v>
      </c>
      <c r="AH176" s="55">
        <v>472532</v>
      </c>
      <c r="AI176" s="55">
        <v>485857</v>
      </c>
      <c r="AJ176" s="55">
        <v>492688</v>
      </c>
      <c r="AK176" s="55">
        <v>501665</v>
      </c>
      <c r="AL176" s="55">
        <v>512505</v>
      </c>
      <c r="AM176" s="55">
        <v>522942</v>
      </c>
      <c r="AN176" s="55">
        <v>535090</v>
      </c>
      <c r="AO176" s="55">
        <v>542880</v>
      </c>
      <c r="AP176" s="55">
        <v>559318</v>
      </c>
      <c r="AQ176" s="55">
        <v>579756</v>
      </c>
      <c r="AR176" s="55">
        <v>605910</v>
      </c>
      <c r="AS176" s="55">
        <v>621993</v>
      </c>
      <c r="AT176" s="55">
        <v>639326</v>
      </c>
      <c r="AU176" s="55">
        <v>652218</v>
      </c>
      <c r="AV176" s="55">
        <v>650460</v>
      </c>
      <c r="AW176" s="56">
        <v>664701</v>
      </c>
      <c r="AX176" s="55">
        <v>680555.93323853519</v>
      </c>
      <c r="AY176" s="55">
        <v>695275.6690515891</v>
      </c>
      <c r="AZ176" s="55">
        <v>713292.38491484965</v>
      </c>
      <c r="BA176" s="55">
        <v>724001.44278495631</v>
      </c>
      <c r="BB176" s="55">
        <v>735004.06212678924</v>
      </c>
      <c r="BC176" s="55">
        <v>747387.925063284</v>
      </c>
      <c r="BD176" s="55">
        <v>759995.0095370498</v>
      </c>
      <c r="BE176" s="55">
        <v>772829.18174858415</v>
      </c>
      <c r="BF176" s="55">
        <v>785894.38012889284</v>
      </c>
      <c r="BG176" s="55">
        <v>799194.61648811412</v>
      </c>
      <c r="BH176" s="55">
        <v>812733.97719173878</v>
      </c>
      <c r="BI176" s="55">
        <v>826516.624364494</v>
      </c>
      <c r="BJ176" s="55">
        <v>840546.79712199175</v>
      </c>
      <c r="BK176" s="55">
        <v>855890.01834436075</v>
      </c>
      <c r="BL176" s="55">
        <v>871513.58068757085</v>
      </c>
      <c r="BM176" s="55">
        <v>887422.61169663188</v>
      </c>
      <c r="BN176" s="55">
        <v>903622.33280747791</v>
      </c>
      <c r="BO176" s="55">
        <v>920118.06106832309</v>
      </c>
      <c r="BP176" s="55">
        <v>936915.21089261654</v>
      </c>
      <c r="BQ176" s="55">
        <v>954019.29584417865</v>
      </c>
      <c r="BR176" s="55"/>
      <c r="BS176" s="55">
        <v>13356.400000000001</v>
      </c>
      <c r="BT176" s="55">
        <v>14672.2</v>
      </c>
      <c r="BU176" s="55">
        <v>18101</v>
      </c>
      <c r="BV176" s="55">
        <v>30716</v>
      </c>
      <c r="BW176" s="55">
        <v>37201</v>
      </c>
      <c r="BX176" s="55">
        <v>43383</v>
      </c>
      <c r="BY176" s="55">
        <v>47410</v>
      </c>
      <c r="BZ176" s="55">
        <v>52646</v>
      </c>
      <c r="CA176" s="55">
        <v>70737</v>
      </c>
      <c r="CB176" s="55">
        <v>73511</v>
      </c>
      <c r="CC176" s="55">
        <v>85838</v>
      </c>
      <c r="CD176" s="55">
        <v>100203</v>
      </c>
      <c r="CE176" s="55">
        <v>129455</v>
      </c>
      <c r="CF176" s="55">
        <v>150678</v>
      </c>
      <c r="CG176" s="55">
        <v>167121</v>
      </c>
      <c r="CH176" s="55">
        <v>192770</v>
      </c>
      <c r="CI176" s="55">
        <v>215743</v>
      </c>
      <c r="CJ176" s="55">
        <v>292206</v>
      </c>
      <c r="CK176" s="55">
        <v>323573</v>
      </c>
      <c r="CL176" s="55">
        <v>335841</v>
      </c>
      <c r="CM176" s="55">
        <v>352981</v>
      </c>
      <c r="CN176" s="55">
        <v>372840</v>
      </c>
      <c r="CO176" s="55">
        <v>399685</v>
      </c>
      <c r="CP176" s="55">
        <v>422851</v>
      </c>
      <c r="CQ176" s="55">
        <v>456074</v>
      </c>
      <c r="CR176" s="55">
        <v>485857</v>
      </c>
      <c r="CS176" s="55">
        <v>501665</v>
      </c>
      <c r="CT176" s="55">
        <v>522942</v>
      </c>
      <c r="CU176" s="55">
        <v>542880</v>
      </c>
      <c r="CV176" s="55">
        <v>579756</v>
      </c>
      <c r="CW176" s="55">
        <v>621993</v>
      </c>
      <c r="CX176" s="55">
        <v>652218</v>
      </c>
      <c r="CY176" s="56">
        <v>664701</v>
      </c>
      <c r="CZ176" s="55">
        <v>695275.6690515891</v>
      </c>
      <c r="DA176" s="55">
        <v>724001.44278495631</v>
      </c>
      <c r="DB176" s="55">
        <v>747387.925063284</v>
      </c>
      <c r="DC176" s="55">
        <v>772829.18174858415</v>
      </c>
      <c r="DD176" s="55">
        <v>799194.61648811412</v>
      </c>
      <c r="DE176" s="55">
        <v>826516.624364494</v>
      </c>
      <c r="DF176" s="55">
        <v>855890.01834436075</v>
      </c>
      <c r="DG176" s="55">
        <v>887422.61169663188</v>
      </c>
      <c r="DH176" s="55">
        <v>920118.06106832309</v>
      </c>
      <c r="DI176" s="55">
        <v>954019.29584417865</v>
      </c>
    </row>
    <row r="177" spans="1:113" outlineLevel="1">
      <c r="A177" s="1" t="s">
        <v>605</v>
      </c>
      <c r="B177" s="19" t="s">
        <v>343</v>
      </c>
      <c r="C177" s="55">
        <v>64180</v>
      </c>
      <c r="D177" s="55">
        <v>63674</v>
      </c>
      <c r="E177" s="55">
        <v>62862</v>
      </c>
      <c r="F177" s="55">
        <v>62708</v>
      </c>
      <c r="G177" s="55">
        <v>61674</v>
      </c>
      <c r="H177" s="55">
        <v>65310</v>
      </c>
      <c r="I177" s="55">
        <v>61472</v>
      </c>
      <c r="J177" s="55">
        <v>73665</v>
      </c>
      <c r="K177" s="55">
        <v>79215</v>
      </c>
      <c r="L177" s="55">
        <v>87487</v>
      </c>
      <c r="M177" s="55">
        <v>93272</v>
      </c>
      <c r="N177" s="55">
        <v>102452</v>
      </c>
      <c r="O177" s="55">
        <v>123928</v>
      </c>
      <c r="P177" s="55">
        <v>140695</v>
      </c>
      <c r="Q177" s="55">
        <v>147252</v>
      </c>
      <c r="R177" s="55">
        <v>184204</v>
      </c>
      <c r="S177" s="55">
        <v>179349</v>
      </c>
      <c r="T177" s="55">
        <v>176441</v>
      </c>
      <c r="U177" s="55">
        <v>175314</v>
      </c>
      <c r="V177" s="55">
        <v>169649</v>
      </c>
      <c r="W177" s="55">
        <v>169363</v>
      </c>
      <c r="X177" s="55">
        <v>172546</v>
      </c>
      <c r="Y177" s="55">
        <v>177528</v>
      </c>
      <c r="Z177" s="55">
        <v>180272</v>
      </c>
      <c r="AA177" s="55">
        <v>188264</v>
      </c>
      <c r="AB177" s="55">
        <v>198411</v>
      </c>
      <c r="AC177" s="55">
        <v>201961</v>
      </c>
      <c r="AD177" s="55">
        <v>212883</v>
      </c>
      <c r="AE177" s="55">
        <v>220029</v>
      </c>
      <c r="AF177" s="55">
        <v>235650</v>
      </c>
      <c r="AG177" s="55">
        <v>243042</v>
      </c>
      <c r="AH177" s="55">
        <v>244162</v>
      </c>
      <c r="AI177" s="55">
        <v>249598</v>
      </c>
      <c r="AJ177" s="55">
        <v>247351</v>
      </c>
      <c r="AK177" s="55">
        <v>245305</v>
      </c>
      <c r="AL177" s="55">
        <v>245729</v>
      </c>
      <c r="AM177" s="55">
        <v>236946</v>
      </c>
      <c r="AN177" s="55">
        <v>235313</v>
      </c>
      <c r="AO177" s="55">
        <v>236344</v>
      </c>
      <c r="AP177" s="55">
        <v>234303</v>
      </c>
      <c r="AQ177" s="55">
        <v>237700</v>
      </c>
      <c r="AR177" s="55">
        <v>243794</v>
      </c>
      <c r="AS177" s="55">
        <v>262091</v>
      </c>
      <c r="AT177" s="55">
        <v>272402</v>
      </c>
      <c r="AU177" s="55">
        <v>279655</v>
      </c>
      <c r="AV177" s="55">
        <v>277539</v>
      </c>
      <c r="AW177" s="56">
        <v>283421</v>
      </c>
      <c r="AX177" s="55">
        <v>288564.98025996005</v>
      </c>
      <c r="AY177" s="55">
        <v>292842.31127971841</v>
      </c>
      <c r="AZ177" s="55">
        <v>296999.99852616515</v>
      </c>
      <c r="BA177" s="55">
        <v>301724.58856179263</v>
      </c>
      <c r="BB177" s="55">
        <v>306620.63838561845</v>
      </c>
      <c r="BC177" s="55">
        <v>312494.96395125391</v>
      </c>
      <c r="BD177" s="55">
        <v>318495.76366880536</v>
      </c>
      <c r="BE177" s="55">
        <v>324625.69766198145</v>
      </c>
      <c r="BF177" s="55">
        <v>330887.48613383994</v>
      </c>
      <c r="BG177" s="55">
        <v>337283.91059706884</v>
      </c>
      <c r="BH177" s="55">
        <v>343817.81513575721</v>
      </c>
      <c r="BI177" s="55">
        <v>350492.10769908724</v>
      </c>
      <c r="BJ177" s="55">
        <v>357309.76142741169</v>
      </c>
      <c r="BK177" s="55">
        <v>364910.5877664435</v>
      </c>
      <c r="BL177" s="55">
        <v>372675.64749500901</v>
      </c>
      <c r="BM177" s="55">
        <v>380608.51692955429</v>
      </c>
      <c r="BN177" s="55">
        <v>388712.85057364672</v>
      </c>
      <c r="BO177" s="55">
        <v>396992.38283104904</v>
      </c>
      <c r="BP177" s="55">
        <v>405450.92975637317</v>
      </c>
      <c r="BQ177" s="55">
        <v>414092.39084414369</v>
      </c>
      <c r="BR177" s="55"/>
      <c r="BS177" s="55">
        <v>45997.8</v>
      </c>
      <c r="BT177" s="55">
        <v>44371.599999999991</v>
      </c>
      <c r="BU177" s="55">
        <v>41000.5</v>
      </c>
      <c r="BV177" s="55">
        <v>32965</v>
      </c>
      <c r="BW177" s="55">
        <v>33764</v>
      </c>
      <c r="BX177" s="55">
        <v>39180</v>
      </c>
      <c r="BY177" s="55">
        <v>43761</v>
      </c>
      <c r="BZ177" s="55">
        <v>50547</v>
      </c>
      <c r="CA177" s="55">
        <v>63315</v>
      </c>
      <c r="CB177" s="55">
        <v>64180</v>
      </c>
      <c r="CC177" s="55">
        <v>62862</v>
      </c>
      <c r="CD177" s="55">
        <v>61674</v>
      </c>
      <c r="CE177" s="55">
        <v>61472</v>
      </c>
      <c r="CF177" s="55">
        <v>79215</v>
      </c>
      <c r="CG177" s="55">
        <v>93272</v>
      </c>
      <c r="CH177" s="55">
        <v>123928</v>
      </c>
      <c r="CI177" s="55">
        <v>147252</v>
      </c>
      <c r="CJ177" s="55">
        <v>179349</v>
      </c>
      <c r="CK177" s="55">
        <v>175314</v>
      </c>
      <c r="CL177" s="55">
        <v>169363</v>
      </c>
      <c r="CM177" s="55">
        <v>177528</v>
      </c>
      <c r="CN177" s="55">
        <v>188264</v>
      </c>
      <c r="CO177" s="55">
        <v>201961</v>
      </c>
      <c r="CP177" s="55">
        <v>220029</v>
      </c>
      <c r="CQ177" s="55">
        <v>243042</v>
      </c>
      <c r="CR177" s="55">
        <v>249598</v>
      </c>
      <c r="CS177" s="55">
        <v>245305</v>
      </c>
      <c r="CT177" s="55">
        <v>236946</v>
      </c>
      <c r="CU177" s="55">
        <v>236344</v>
      </c>
      <c r="CV177" s="55">
        <v>237700</v>
      </c>
      <c r="CW177" s="55">
        <v>262091</v>
      </c>
      <c r="CX177" s="55">
        <v>279655</v>
      </c>
      <c r="CY177" s="56">
        <v>283421</v>
      </c>
      <c r="CZ177" s="55">
        <v>292842.31127971841</v>
      </c>
      <c r="DA177" s="55">
        <v>301724.58856179263</v>
      </c>
      <c r="DB177" s="55">
        <v>312494.96395125391</v>
      </c>
      <c r="DC177" s="55">
        <v>324625.69766198145</v>
      </c>
      <c r="DD177" s="55">
        <v>337283.91059706884</v>
      </c>
      <c r="DE177" s="55">
        <v>350492.10769908724</v>
      </c>
      <c r="DF177" s="55">
        <v>364910.5877664435</v>
      </c>
      <c r="DG177" s="55">
        <v>380608.51692955429</v>
      </c>
      <c r="DH177" s="55">
        <v>396992.38283104904</v>
      </c>
      <c r="DI177" s="55">
        <v>414092.39084414369</v>
      </c>
    </row>
    <row r="178" spans="1:113" s="24" customFormat="1" outlineLevel="1">
      <c r="A178" s="1" t="s">
        <v>606</v>
      </c>
      <c r="B178" s="24" t="s">
        <v>168</v>
      </c>
      <c r="C178" s="82">
        <v>137691</v>
      </c>
      <c r="D178" s="82">
        <v>143419</v>
      </c>
      <c r="E178" s="82">
        <v>148700</v>
      </c>
      <c r="F178" s="82">
        <v>156253</v>
      </c>
      <c r="G178" s="82">
        <v>161877</v>
      </c>
      <c r="H178" s="82">
        <v>177538</v>
      </c>
      <c r="I178" s="82">
        <v>190927</v>
      </c>
      <c r="J178" s="82">
        <v>214314</v>
      </c>
      <c r="K178" s="82">
        <v>229893</v>
      </c>
      <c r="L178" s="82">
        <v>246826</v>
      </c>
      <c r="M178" s="82">
        <v>260393</v>
      </c>
      <c r="N178" s="82">
        <v>279173</v>
      </c>
      <c r="O178" s="82">
        <v>316698</v>
      </c>
      <c r="P178" s="82">
        <v>344580</v>
      </c>
      <c r="Q178" s="82">
        <v>362995</v>
      </c>
      <c r="R178" s="82">
        <v>449898</v>
      </c>
      <c r="S178" s="82">
        <v>471555</v>
      </c>
      <c r="T178" s="82">
        <v>487263</v>
      </c>
      <c r="U178" s="82">
        <v>498887</v>
      </c>
      <c r="V178" s="82">
        <v>497353</v>
      </c>
      <c r="W178" s="82">
        <v>505204</v>
      </c>
      <c r="X178" s="82">
        <v>518168</v>
      </c>
      <c r="Y178" s="82">
        <v>530509</v>
      </c>
      <c r="Z178" s="82">
        <v>539330</v>
      </c>
      <c r="AA178" s="82">
        <v>561104</v>
      </c>
      <c r="AB178" s="82">
        <v>585432</v>
      </c>
      <c r="AC178" s="82">
        <v>601646</v>
      </c>
      <c r="AD178" s="82">
        <v>624188</v>
      </c>
      <c r="AE178" s="82">
        <v>642880</v>
      </c>
      <c r="AF178" s="82">
        <v>672826</v>
      </c>
      <c r="AG178" s="82">
        <v>699116</v>
      </c>
      <c r="AH178" s="82">
        <v>716694</v>
      </c>
      <c r="AI178" s="82">
        <v>735455</v>
      </c>
      <c r="AJ178" s="82">
        <v>740039</v>
      </c>
      <c r="AK178" s="82">
        <v>746970</v>
      </c>
      <c r="AL178" s="82">
        <v>758234</v>
      </c>
      <c r="AM178" s="82">
        <v>759888</v>
      </c>
      <c r="AN178" s="82">
        <v>770403</v>
      </c>
      <c r="AO178" s="82">
        <v>779224</v>
      </c>
      <c r="AP178" s="82">
        <v>793621</v>
      </c>
      <c r="AQ178" s="82">
        <v>817456</v>
      </c>
      <c r="AR178" s="82">
        <v>849704</v>
      </c>
      <c r="AS178" s="82">
        <v>884084</v>
      </c>
      <c r="AT178" s="82">
        <v>911728</v>
      </c>
      <c r="AU178" s="82">
        <v>931873</v>
      </c>
      <c r="AV178" s="82">
        <v>927999</v>
      </c>
      <c r="AW178" s="83">
        <v>948122</v>
      </c>
      <c r="AX178" s="82">
        <v>969120.91349849524</v>
      </c>
      <c r="AY178" s="82">
        <v>988117.98033130751</v>
      </c>
      <c r="AZ178" s="82">
        <v>1010292.3834410148</v>
      </c>
      <c r="BA178" s="82">
        <v>1025726.0313467489</v>
      </c>
      <c r="BB178" s="82">
        <v>1041624.7005124077</v>
      </c>
      <c r="BC178" s="82">
        <v>1059882.8890145379</v>
      </c>
      <c r="BD178" s="82">
        <v>1078490.7732058552</v>
      </c>
      <c r="BE178" s="82">
        <v>1097454.8794105656</v>
      </c>
      <c r="BF178" s="82">
        <v>1116781.8662627328</v>
      </c>
      <c r="BG178" s="82">
        <v>1136478.527085183</v>
      </c>
      <c r="BH178" s="82">
        <v>1156551.792327496</v>
      </c>
      <c r="BI178" s="82">
        <v>1177008.7320635812</v>
      </c>
      <c r="BJ178" s="82">
        <v>1197856.5585494034</v>
      </c>
      <c r="BK178" s="82">
        <v>1220800.6061108042</v>
      </c>
      <c r="BL178" s="82">
        <v>1244189.2281825799</v>
      </c>
      <c r="BM178" s="82">
        <v>1268031.1286261862</v>
      </c>
      <c r="BN178" s="82">
        <v>1292335.1833811246</v>
      </c>
      <c r="BO178" s="82">
        <v>1317110.4438993721</v>
      </c>
      <c r="BP178" s="82">
        <v>1342366.1406489897</v>
      </c>
      <c r="BQ178" s="82">
        <v>1368111.6866883223</v>
      </c>
      <c r="BR178" s="82"/>
      <c r="BS178" s="82">
        <v>59354.200000000004</v>
      </c>
      <c r="BT178" s="82">
        <v>59043.799999999996</v>
      </c>
      <c r="BU178" s="82">
        <v>59101.5</v>
      </c>
      <c r="BV178" s="82">
        <v>63681</v>
      </c>
      <c r="BW178" s="82">
        <v>70965</v>
      </c>
      <c r="BX178" s="82">
        <v>82563</v>
      </c>
      <c r="BY178" s="82">
        <v>91171</v>
      </c>
      <c r="BZ178" s="82">
        <v>103193</v>
      </c>
      <c r="CA178" s="82">
        <v>134052</v>
      </c>
      <c r="CB178" s="82">
        <v>137691</v>
      </c>
      <c r="CC178" s="82">
        <v>148700</v>
      </c>
      <c r="CD178" s="82">
        <v>161877</v>
      </c>
      <c r="CE178" s="82">
        <v>190927</v>
      </c>
      <c r="CF178" s="82">
        <v>229893</v>
      </c>
      <c r="CG178" s="82">
        <v>260393</v>
      </c>
      <c r="CH178" s="82">
        <v>316698</v>
      </c>
      <c r="CI178" s="82">
        <v>362995</v>
      </c>
      <c r="CJ178" s="82">
        <v>471555</v>
      </c>
      <c r="CK178" s="82">
        <v>498887</v>
      </c>
      <c r="CL178" s="82">
        <v>505204</v>
      </c>
      <c r="CM178" s="82">
        <v>530509</v>
      </c>
      <c r="CN178" s="82">
        <v>561104</v>
      </c>
      <c r="CO178" s="82">
        <v>601646</v>
      </c>
      <c r="CP178" s="82">
        <v>642880</v>
      </c>
      <c r="CQ178" s="82">
        <v>699116</v>
      </c>
      <c r="CR178" s="82">
        <v>735455</v>
      </c>
      <c r="CS178" s="82">
        <v>746970</v>
      </c>
      <c r="CT178" s="82">
        <v>759888</v>
      </c>
      <c r="CU178" s="82">
        <v>779224</v>
      </c>
      <c r="CV178" s="82">
        <v>817456</v>
      </c>
      <c r="CW178" s="82">
        <v>884084</v>
      </c>
      <c r="CX178" s="82">
        <v>931873</v>
      </c>
      <c r="CY178" s="83">
        <v>948122</v>
      </c>
      <c r="CZ178" s="82">
        <v>988117.98033130751</v>
      </c>
      <c r="DA178" s="82">
        <v>1025726.0313467489</v>
      </c>
      <c r="DB178" s="82">
        <v>1059882.8890145379</v>
      </c>
      <c r="DC178" s="82">
        <v>1097454.8794105656</v>
      </c>
      <c r="DD178" s="82">
        <v>1136478.527085183</v>
      </c>
      <c r="DE178" s="82">
        <v>1177008.7320635812</v>
      </c>
      <c r="DF178" s="82">
        <v>1220800.6061108042</v>
      </c>
      <c r="DG178" s="82">
        <v>1268031.1286261862</v>
      </c>
      <c r="DH178" s="82">
        <v>1317110.4438993721</v>
      </c>
      <c r="DI178" s="82">
        <v>1368111.6866883223</v>
      </c>
    </row>
    <row r="179" spans="1:113" outlineLevel="1">
      <c r="A179" s="1" t="s">
        <v>607</v>
      </c>
      <c r="B179" s="19" t="s">
        <v>344</v>
      </c>
      <c r="C179" s="53">
        <v>12075</v>
      </c>
      <c r="D179" s="53">
        <v>11865</v>
      </c>
      <c r="E179" s="53">
        <v>12517</v>
      </c>
      <c r="F179" s="53">
        <v>12831</v>
      </c>
      <c r="G179" s="53">
        <v>13197</v>
      </c>
      <c r="H179" s="53">
        <v>13734</v>
      </c>
      <c r="I179" s="53">
        <v>15019</v>
      </c>
      <c r="J179" s="53">
        <v>16297</v>
      </c>
      <c r="K179" s="53">
        <v>16786</v>
      </c>
      <c r="L179" s="53">
        <v>17263</v>
      </c>
      <c r="M179" s="53">
        <v>18310</v>
      </c>
      <c r="N179" s="53">
        <v>18395</v>
      </c>
      <c r="O179" s="53">
        <v>18721</v>
      </c>
      <c r="P179" s="53">
        <v>19805</v>
      </c>
      <c r="Q179" s="53">
        <v>18278</v>
      </c>
      <c r="R179" s="53">
        <v>14732</v>
      </c>
      <c r="S179" s="53">
        <v>14728</v>
      </c>
      <c r="T179" s="53">
        <v>10960</v>
      </c>
      <c r="U179" s="53">
        <v>11569</v>
      </c>
      <c r="V179" s="53">
        <v>10146</v>
      </c>
      <c r="W179" s="53">
        <v>10734</v>
      </c>
      <c r="X179" s="53">
        <v>10732</v>
      </c>
      <c r="Y179" s="53">
        <v>9717</v>
      </c>
      <c r="Z179" s="53">
        <v>8155</v>
      </c>
      <c r="AA179" s="164">
        <v>6063</v>
      </c>
      <c r="AB179" s="164">
        <v>4807</v>
      </c>
      <c r="AC179" s="164">
        <v>5027</v>
      </c>
      <c r="AD179" s="164">
        <v>2026</v>
      </c>
      <c r="AE179" s="164">
        <v>1944</v>
      </c>
      <c r="AF179" s="164">
        <v>1640</v>
      </c>
      <c r="AG179" s="164">
        <v>1431</v>
      </c>
      <c r="AH179" s="164">
        <v>1440</v>
      </c>
      <c r="AI179" s="164">
        <v>463</v>
      </c>
      <c r="AJ179" s="164">
        <v>222</v>
      </c>
      <c r="AK179" s="164">
        <v>379</v>
      </c>
      <c r="AL179" s="164">
        <v>53</v>
      </c>
      <c r="AM179" s="164">
        <v>32</v>
      </c>
      <c r="AN179" s="164">
        <v>0</v>
      </c>
      <c r="AO179" s="164">
        <v>0</v>
      </c>
      <c r="AP179" s="164">
        <v>0</v>
      </c>
      <c r="AQ179" s="164">
        <v>0</v>
      </c>
      <c r="AR179" s="164">
        <v>0</v>
      </c>
      <c r="AS179" s="164">
        <v>0</v>
      </c>
      <c r="AT179" s="164">
        <v>0</v>
      </c>
      <c r="AU179" s="164">
        <v>0</v>
      </c>
      <c r="AV179" s="164">
        <v>0</v>
      </c>
      <c r="AW179" s="171">
        <v>0</v>
      </c>
      <c r="AX179" s="55">
        <v>0</v>
      </c>
      <c r="AY179" s="55">
        <v>0</v>
      </c>
      <c r="AZ179" s="55">
        <v>0</v>
      </c>
      <c r="BA179" s="55">
        <v>0</v>
      </c>
      <c r="BB179" s="55">
        <v>0</v>
      </c>
      <c r="BC179" s="55">
        <v>0</v>
      </c>
      <c r="BD179" s="55">
        <v>0</v>
      </c>
      <c r="BE179" s="55">
        <v>0</v>
      </c>
      <c r="BF179" s="55">
        <v>0</v>
      </c>
      <c r="BG179" s="55">
        <v>0</v>
      </c>
      <c r="BH179" s="55">
        <v>0</v>
      </c>
      <c r="BI179" s="55">
        <v>0</v>
      </c>
      <c r="BJ179" s="55">
        <v>0</v>
      </c>
      <c r="BK179" s="55">
        <v>0</v>
      </c>
      <c r="BL179" s="55">
        <v>0</v>
      </c>
      <c r="BM179" s="55">
        <v>0</v>
      </c>
      <c r="BN179" s="55">
        <v>0</v>
      </c>
      <c r="BO179" s="55">
        <v>0</v>
      </c>
      <c r="BP179" s="55">
        <v>0</v>
      </c>
      <c r="BQ179" s="55">
        <v>0</v>
      </c>
      <c r="BR179" s="55"/>
      <c r="BS179" s="53">
        <v>11235</v>
      </c>
      <c r="BT179" s="53">
        <v>9676.1</v>
      </c>
      <c r="BU179" s="53">
        <v>9353.7999999999993</v>
      </c>
      <c r="BV179" s="53">
        <v>10317</v>
      </c>
      <c r="BW179" s="53">
        <v>10057</v>
      </c>
      <c r="BX179" s="53">
        <v>8874</v>
      </c>
      <c r="BY179" s="53">
        <v>9727</v>
      </c>
      <c r="BZ179" s="53">
        <v>9672</v>
      </c>
      <c r="CA179" s="53">
        <v>11107</v>
      </c>
      <c r="CB179" s="53">
        <v>12075</v>
      </c>
      <c r="CC179" s="55">
        <v>12517</v>
      </c>
      <c r="CD179" s="55">
        <v>13197</v>
      </c>
      <c r="CE179" s="55">
        <v>15019</v>
      </c>
      <c r="CF179" s="55">
        <v>16786</v>
      </c>
      <c r="CG179" s="55">
        <v>18310</v>
      </c>
      <c r="CH179" s="55">
        <v>18721</v>
      </c>
      <c r="CI179" s="55">
        <v>18278</v>
      </c>
      <c r="CJ179" s="55">
        <v>14728</v>
      </c>
      <c r="CK179" s="55">
        <v>11569</v>
      </c>
      <c r="CL179" s="55">
        <v>10734</v>
      </c>
      <c r="CM179" s="55">
        <v>9717</v>
      </c>
      <c r="CN179" s="55">
        <v>6063</v>
      </c>
      <c r="CO179" s="55">
        <v>5027</v>
      </c>
      <c r="CP179" s="55">
        <v>1944</v>
      </c>
      <c r="CQ179" s="55">
        <v>1431</v>
      </c>
      <c r="CR179" s="55">
        <v>463</v>
      </c>
      <c r="CS179" s="55">
        <v>379</v>
      </c>
      <c r="CT179" s="55">
        <v>32</v>
      </c>
      <c r="CU179" s="55">
        <v>0</v>
      </c>
      <c r="CV179" s="55">
        <v>0</v>
      </c>
      <c r="CW179" s="55">
        <v>0</v>
      </c>
      <c r="CX179" s="55">
        <v>0</v>
      </c>
      <c r="CY179" s="56">
        <v>0</v>
      </c>
      <c r="CZ179" s="55">
        <v>0</v>
      </c>
      <c r="DA179" s="55">
        <v>0</v>
      </c>
      <c r="DB179" s="55">
        <v>0</v>
      </c>
      <c r="DC179" s="55">
        <v>0</v>
      </c>
      <c r="DD179" s="55">
        <v>0</v>
      </c>
      <c r="DE179" s="55">
        <v>0</v>
      </c>
      <c r="DF179" s="55">
        <v>0</v>
      </c>
      <c r="DG179" s="55">
        <v>0</v>
      </c>
      <c r="DH179" s="55">
        <v>0</v>
      </c>
      <c r="DI179" s="55">
        <v>0</v>
      </c>
    </row>
    <row r="180" spans="1:113" outlineLevel="1">
      <c r="A180" s="1" t="s">
        <v>608</v>
      </c>
      <c r="B180" s="19" t="s">
        <v>586</v>
      </c>
      <c r="C180" s="53">
        <v>6773</v>
      </c>
      <c r="D180" s="53">
        <v>5705</v>
      </c>
      <c r="E180" s="53">
        <v>7047</v>
      </c>
      <c r="F180" s="53">
        <v>5911</v>
      </c>
      <c r="G180" s="53">
        <v>6480</v>
      </c>
      <c r="H180" s="53">
        <v>5302</v>
      </c>
      <c r="I180" s="53">
        <v>7605</v>
      </c>
      <c r="J180" s="53">
        <v>6391</v>
      </c>
      <c r="K180" s="53">
        <v>10818</v>
      </c>
      <c r="L180" s="53">
        <v>9124</v>
      </c>
      <c r="M180" s="53">
        <v>0</v>
      </c>
      <c r="N180" s="53">
        <v>0</v>
      </c>
      <c r="O180" s="53">
        <v>0</v>
      </c>
      <c r="P180" s="53">
        <v>0</v>
      </c>
      <c r="Q180" s="53">
        <v>0</v>
      </c>
      <c r="R180" s="53">
        <v>0</v>
      </c>
      <c r="S180" s="53">
        <v>0</v>
      </c>
      <c r="T180" s="53">
        <v>0</v>
      </c>
      <c r="U180" s="53">
        <v>0</v>
      </c>
      <c r="V180" s="53">
        <v>0</v>
      </c>
      <c r="W180" s="53">
        <v>0</v>
      </c>
      <c r="X180" s="53">
        <v>0</v>
      </c>
      <c r="Y180" s="53">
        <v>0</v>
      </c>
      <c r="Z180" s="53">
        <v>0</v>
      </c>
      <c r="AA180" s="164">
        <v>0</v>
      </c>
      <c r="AB180" s="164">
        <v>0</v>
      </c>
      <c r="AC180" s="164">
        <v>0</v>
      </c>
      <c r="AD180" s="164">
        <v>0</v>
      </c>
      <c r="AE180" s="164">
        <v>0</v>
      </c>
      <c r="AF180" s="164">
        <v>0</v>
      </c>
      <c r="AG180" s="164">
        <v>0</v>
      </c>
      <c r="AH180" s="164">
        <v>0</v>
      </c>
      <c r="AI180" s="164">
        <v>0</v>
      </c>
      <c r="AJ180" s="164">
        <v>0</v>
      </c>
      <c r="AK180" s="164">
        <v>0</v>
      </c>
      <c r="AL180" s="164">
        <v>0</v>
      </c>
      <c r="AM180" s="164">
        <v>0</v>
      </c>
      <c r="AN180" s="164">
        <v>0</v>
      </c>
      <c r="AO180" s="164">
        <v>0</v>
      </c>
      <c r="AP180" s="164">
        <v>0</v>
      </c>
      <c r="AQ180" s="164">
        <v>0</v>
      </c>
      <c r="AR180" s="164">
        <v>0</v>
      </c>
      <c r="AS180" s="164">
        <v>0</v>
      </c>
      <c r="AT180" s="164">
        <v>0</v>
      </c>
      <c r="AU180" s="164">
        <v>0</v>
      </c>
      <c r="AV180" s="164">
        <v>0</v>
      </c>
      <c r="AW180" s="171">
        <v>0</v>
      </c>
      <c r="AX180" s="55">
        <v>0</v>
      </c>
      <c r="AY180" s="55">
        <v>0</v>
      </c>
      <c r="AZ180" s="55">
        <v>0</v>
      </c>
      <c r="BA180" s="55">
        <v>0</v>
      </c>
      <c r="BB180" s="55">
        <v>0</v>
      </c>
      <c r="BC180" s="55">
        <v>0</v>
      </c>
      <c r="BD180" s="55">
        <v>0</v>
      </c>
      <c r="BE180" s="55">
        <v>0</v>
      </c>
      <c r="BF180" s="55">
        <v>0</v>
      </c>
      <c r="BG180" s="55">
        <v>0</v>
      </c>
      <c r="BH180" s="55">
        <v>0</v>
      </c>
      <c r="BI180" s="55">
        <v>0</v>
      </c>
      <c r="BJ180" s="55">
        <v>0</v>
      </c>
      <c r="BK180" s="55">
        <v>0</v>
      </c>
      <c r="BL180" s="55">
        <v>0</v>
      </c>
      <c r="BM180" s="55">
        <v>0</v>
      </c>
      <c r="BN180" s="55">
        <v>0</v>
      </c>
      <c r="BO180" s="55">
        <v>0</v>
      </c>
      <c r="BP180" s="55">
        <v>0</v>
      </c>
      <c r="BQ180" s="55">
        <v>0</v>
      </c>
      <c r="BR180" s="55"/>
      <c r="BS180" s="53"/>
      <c r="BT180" s="53"/>
      <c r="BU180" s="53"/>
      <c r="BV180" s="53"/>
      <c r="BW180" s="53"/>
      <c r="BX180" s="53"/>
      <c r="BY180" s="53"/>
      <c r="BZ180" s="53">
        <v>400</v>
      </c>
      <c r="CA180" s="53">
        <v>3006</v>
      </c>
      <c r="CB180" s="53">
        <v>6773</v>
      </c>
      <c r="CC180" s="55">
        <v>7047</v>
      </c>
      <c r="CD180" s="55">
        <v>6480</v>
      </c>
      <c r="CE180" s="55">
        <v>7605</v>
      </c>
      <c r="CF180" s="55">
        <v>10818</v>
      </c>
      <c r="CG180" s="55">
        <v>0</v>
      </c>
      <c r="CH180" s="55">
        <v>0</v>
      </c>
      <c r="CI180" s="55">
        <v>0</v>
      </c>
      <c r="CJ180" s="55">
        <v>0</v>
      </c>
      <c r="CK180" s="55">
        <v>0</v>
      </c>
      <c r="CL180" s="55">
        <v>0</v>
      </c>
      <c r="CM180" s="55">
        <v>0</v>
      </c>
      <c r="CN180" s="55">
        <v>0</v>
      </c>
      <c r="CO180" s="55">
        <v>0</v>
      </c>
      <c r="CP180" s="55">
        <v>0</v>
      </c>
      <c r="CQ180" s="55">
        <v>0</v>
      </c>
      <c r="CR180" s="55">
        <v>0</v>
      </c>
      <c r="CS180" s="55">
        <v>0</v>
      </c>
      <c r="CT180" s="55">
        <v>0</v>
      </c>
      <c r="CU180" s="55">
        <v>0</v>
      </c>
      <c r="CV180" s="55">
        <v>0</v>
      </c>
      <c r="CW180" s="55">
        <v>0</v>
      </c>
      <c r="CX180" s="55">
        <v>0</v>
      </c>
      <c r="CY180" s="56">
        <v>0</v>
      </c>
      <c r="CZ180" s="55">
        <v>0</v>
      </c>
      <c r="DA180" s="55">
        <v>0</v>
      </c>
      <c r="DB180" s="55">
        <v>0</v>
      </c>
      <c r="DC180" s="55">
        <v>0</v>
      </c>
      <c r="DD180" s="55">
        <v>0</v>
      </c>
      <c r="DE180" s="55">
        <v>0</v>
      </c>
      <c r="DF180" s="55">
        <v>0</v>
      </c>
      <c r="DG180" s="55">
        <v>0</v>
      </c>
      <c r="DH180" s="55">
        <v>0</v>
      </c>
      <c r="DI180" s="55">
        <v>0</v>
      </c>
    </row>
    <row r="181" spans="1:113" s="24" customFormat="1" outlineLevel="1">
      <c r="A181" s="1" t="s">
        <v>609</v>
      </c>
      <c r="B181" s="24" t="s">
        <v>587</v>
      </c>
      <c r="C181" s="82">
        <v>156539</v>
      </c>
      <c r="D181" s="82">
        <v>160989</v>
      </c>
      <c r="E181" s="82">
        <v>168264</v>
      </c>
      <c r="F181" s="82">
        <v>174995</v>
      </c>
      <c r="G181" s="82">
        <v>181554</v>
      </c>
      <c r="H181" s="82">
        <v>196574</v>
      </c>
      <c r="I181" s="82">
        <v>213551</v>
      </c>
      <c r="J181" s="82">
        <v>237002</v>
      </c>
      <c r="K181" s="82">
        <v>257497</v>
      </c>
      <c r="L181" s="82">
        <v>273213</v>
      </c>
      <c r="M181" s="82">
        <v>278703</v>
      </c>
      <c r="N181" s="82">
        <v>297568</v>
      </c>
      <c r="O181" s="82">
        <v>335419</v>
      </c>
      <c r="P181" s="82">
        <v>364385</v>
      </c>
      <c r="Q181" s="82">
        <v>381273</v>
      </c>
      <c r="R181" s="82">
        <v>464630</v>
      </c>
      <c r="S181" s="82">
        <v>486283</v>
      </c>
      <c r="T181" s="82">
        <v>498223</v>
      </c>
      <c r="U181" s="82">
        <v>510456</v>
      </c>
      <c r="V181" s="82">
        <v>507499</v>
      </c>
      <c r="W181" s="82">
        <v>515938</v>
      </c>
      <c r="X181" s="82">
        <v>528900</v>
      </c>
      <c r="Y181" s="82">
        <v>540226</v>
      </c>
      <c r="Z181" s="82">
        <v>547485</v>
      </c>
      <c r="AA181" s="82">
        <v>567167</v>
      </c>
      <c r="AB181" s="82">
        <v>590239</v>
      </c>
      <c r="AC181" s="82">
        <v>606673</v>
      </c>
      <c r="AD181" s="82">
        <v>626214</v>
      </c>
      <c r="AE181" s="82">
        <v>644824</v>
      </c>
      <c r="AF181" s="82">
        <v>674466</v>
      </c>
      <c r="AG181" s="82">
        <v>700547</v>
      </c>
      <c r="AH181" s="82">
        <v>718134</v>
      </c>
      <c r="AI181" s="82">
        <v>735918</v>
      </c>
      <c r="AJ181" s="82">
        <v>740261</v>
      </c>
      <c r="AK181" s="82">
        <v>747349</v>
      </c>
      <c r="AL181" s="82">
        <v>758287</v>
      </c>
      <c r="AM181" s="82">
        <v>759920</v>
      </c>
      <c r="AN181" s="82">
        <v>770403</v>
      </c>
      <c r="AO181" s="82">
        <v>779224</v>
      </c>
      <c r="AP181" s="82">
        <v>793621</v>
      </c>
      <c r="AQ181" s="82">
        <v>817456</v>
      </c>
      <c r="AR181" s="82">
        <v>849704</v>
      </c>
      <c r="AS181" s="82">
        <v>884084</v>
      </c>
      <c r="AT181" s="82">
        <v>911728</v>
      </c>
      <c r="AU181" s="82">
        <v>931873</v>
      </c>
      <c r="AV181" s="82">
        <v>927999</v>
      </c>
      <c r="AW181" s="83">
        <v>948122</v>
      </c>
      <c r="AX181" s="82">
        <v>969120.91349849524</v>
      </c>
      <c r="AY181" s="82">
        <v>988117.98033130751</v>
      </c>
      <c r="AZ181" s="82">
        <v>1010292.3834410148</v>
      </c>
      <c r="BA181" s="82">
        <v>1025726.0313467489</v>
      </c>
      <c r="BB181" s="82">
        <v>1041624.7005124077</v>
      </c>
      <c r="BC181" s="82">
        <v>1059882.8890145379</v>
      </c>
      <c r="BD181" s="82">
        <v>1078490.7732058552</v>
      </c>
      <c r="BE181" s="82">
        <v>1097454.8794105656</v>
      </c>
      <c r="BF181" s="82">
        <v>1116781.8662627328</v>
      </c>
      <c r="BG181" s="82">
        <v>1136478.527085183</v>
      </c>
      <c r="BH181" s="82">
        <v>1156551.792327496</v>
      </c>
      <c r="BI181" s="82">
        <v>1177008.7320635812</v>
      </c>
      <c r="BJ181" s="82">
        <v>1197856.5585494034</v>
      </c>
      <c r="BK181" s="82">
        <v>1220800.6061108042</v>
      </c>
      <c r="BL181" s="82">
        <v>1244189.2281825799</v>
      </c>
      <c r="BM181" s="82">
        <v>1268031.1286261862</v>
      </c>
      <c r="BN181" s="82">
        <v>1292335.1833811246</v>
      </c>
      <c r="BO181" s="82">
        <v>1317110.4438993721</v>
      </c>
      <c r="BP181" s="82">
        <v>1342366.1406489897</v>
      </c>
      <c r="BQ181" s="82">
        <v>1368111.6866883223</v>
      </c>
      <c r="BR181" s="82"/>
      <c r="BS181" s="82">
        <v>70589.200000000012</v>
      </c>
      <c r="BT181" s="82">
        <v>68719.899999999994</v>
      </c>
      <c r="BU181" s="82">
        <v>68455.3</v>
      </c>
      <c r="BV181" s="82">
        <v>73998</v>
      </c>
      <c r="BW181" s="82">
        <v>81022</v>
      </c>
      <c r="BX181" s="82">
        <v>91437</v>
      </c>
      <c r="BY181" s="82">
        <v>100898</v>
      </c>
      <c r="BZ181" s="82">
        <v>113265</v>
      </c>
      <c r="CA181" s="82">
        <v>148165</v>
      </c>
      <c r="CB181" s="82">
        <v>156539</v>
      </c>
      <c r="CC181" s="82">
        <v>168264</v>
      </c>
      <c r="CD181" s="82">
        <v>181554</v>
      </c>
      <c r="CE181" s="82">
        <v>213551</v>
      </c>
      <c r="CF181" s="82">
        <v>257497</v>
      </c>
      <c r="CG181" s="82">
        <v>278703</v>
      </c>
      <c r="CH181" s="82">
        <v>335419</v>
      </c>
      <c r="CI181" s="82">
        <v>381273</v>
      </c>
      <c r="CJ181" s="82">
        <v>486283</v>
      </c>
      <c r="CK181" s="82">
        <v>510456</v>
      </c>
      <c r="CL181" s="82">
        <v>515938</v>
      </c>
      <c r="CM181" s="82">
        <v>540226</v>
      </c>
      <c r="CN181" s="82">
        <v>567167</v>
      </c>
      <c r="CO181" s="82">
        <v>606673</v>
      </c>
      <c r="CP181" s="82">
        <v>644824</v>
      </c>
      <c r="CQ181" s="82">
        <v>700547</v>
      </c>
      <c r="CR181" s="82">
        <v>735918</v>
      </c>
      <c r="CS181" s="82">
        <v>747349</v>
      </c>
      <c r="CT181" s="82">
        <v>759920</v>
      </c>
      <c r="CU181" s="82">
        <v>779224</v>
      </c>
      <c r="CV181" s="82">
        <v>817456</v>
      </c>
      <c r="CW181" s="82">
        <v>884084</v>
      </c>
      <c r="CX181" s="82">
        <v>931873</v>
      </c>
      <c r="CY181" s="83">
        <v>948122</v>
      </c>
      <c r="CZ181" s="82">
        <v>988117.98033130751</v>
      </c>
      <c r="DA181" s="82">
        <v>1025726.0313467489</v>
      </c>
      <c r="DB181" s="82">
        <v>1059882.8890145379</v>
      </c>
      <c r="DC181" s="82">
        <v>1097454.8794105656</v>
      </c>
      <c r="DD181" s="82">
        <v>1136478.527085183</v>
      </c>
      <c r="DE181" s="82">
        <v>1177008.7320635812</v>
      </c>
      <c r="DF181" s="82">
        <v>1220800.6061108042</v>
      </c>
      <c r="DG181" s="82">
        <v>1268031.1286261862</v>
      </c>
      <c r="DH181" s="82">
        <v>1317110.4438993721</v>
      </c>
      <c r="DI181" s="82">
        <v>1368111.6866883223</v>
      </c>
    </row>
    <row r="182" spans="1:113" ht="12.75" outlineLevel="1">
      <c r="C182" s="591"/>
      <c r="D182" s="591"/>
      <c r="E182" s="591"/>
      <c r="F182" s="591"/>
      <c r="G182" s="591"/>
      <c r="H182" s="591"/>
      <c r="I182" s="591"/>
      <c r="J182" s="591"/>
      <c r="K182" s="591"/>
      <c r="L182" s="591"/>
      <c r="M182" s="591"/>
      <c r="N182" s="591"/>
      <c r="O182" s="591"/>
      <c r="P182" s="591"/>
      <c r="Q182" s="591"/>
      <c r="R182" s="591"/>
      <c r="S182" s="591"/>
      <c r="T182" s="591"/>
      <c r="U182" s="591"/>
      <c r="V182" s="591"/>
      <c r="W182" s="591"/>
      <c r="X182" s="592"/>
      <c r="Y182" s="592"/>
      <c r="Z182" s="591"/>
      <c r="AA182" s="591"/>
      <c r="AB182" s="591"/>
      <c r="AC182" s="591"/>
      <c r="AD182" s="591"/>
      <c r="AE182" s="591"/>
      <c r="AF182" s="591"/>
      <c r="AG182" s="591"/>
      <c r="AH182" s="82"/>
      <c r="AI182" s="82"/>
      <c r="AJ182" s="55"/>
      <c r="AK182" s="55"/>
      <c r="AL182" s="55"/>
      <c r="AM182" s="55"/>
      <c r="AN182" s="55"/>
      <c r="AO182" s="55"/>
      <c r="AP182" s="55"/>
      <c r="AQ182" s="55"/>
      <c r="AR182" s="55"/>
      <c r="AS182" s="55"/>
      <c r="AT182" s="55"/>
      <c r="AU182" s="55"/>
      <c r="AV182" s="55"/>
      <c r="AW182" s="56"/>
      <c r="AX182" s="55"/>
      <c r="AY182" s="55"/>
      <c r="AZ182" s="55"/>
      <c r="BA182" s="55"/>
      <c r="BB182" s="55"/>
      <c r="BC182" s="55"/>
      <c r="BD182" s="55"/>
      <c r="BE182" s="55"/>
      <c r="BF182" s="55"/>
      <c r="BG182" s="55"/>
      <c r="BH182" s="55"/>
      <c r="BI182" s="55"/>
      <c r="BJ182" s="55"/>
      <c r="BK182" s="55"/>
      <c r="BL182" s="55"/>
      <c r="BM182" s="55"/>
      <c r="BN182" s="55"/>
      <c r="BO182" s="55"/>
      <c r="BP182" s="55"/>
      <c r="BQ182" s="55"/>
      <c r="BR182" s="55"/>
      <c r="BS182" s="55"/>
      <c r="BT182" s="55"/>
      <c r="BU182" s="55"/>
      <c r="BV182" s="55"/>
      <c r="BW182" s="55"/>
      <c r="BX182" s="55"/>
      <c r="BY182" s="55"/>
      <c r="BZ182" s="55"/>
      <c r="CA182" s="55"/>
      <c r="CB182" s="55"/>
      <c r="CC182" s="55"/>
      <c r="CD182" s="55"/>
      <c r="CE182" s="55"/>
      <c r="CF182" s="55"/>
      <c r="CG182" s="55"/>
      <c r="CH182" s="55"/>
      <c r="CI182" s="55"/>
      <c r="CJ182" s="55"/>
      <c r="CK182" s="55"/>
      <c r="CL182" s="55"/>
      <c r="CM182" s="55"/>
      <c r="CN182" s="55"/>
      <c r="CO182" s="55"/>
      <c r="CP182" s="55"/>
      <c r="CQ182" s="55"/>
      <c r="CR182" s="55"/>
      <c r="CS182" s="55"/>
      <c r="CT182" s="55"/>
      <c r="CU182" s="55"/>
      <c r="CV182" s="45"/>
      <c r="CW182" s="45"/>
      <c r="CX182" s="45"/>
      <c r="CY182" s="56"/>
      <c r="CZ182" s="55"/>
      <c r="DA182" s="55"/>
      <c r="DB182" s="55"/>
    </row>
    <row r="183" spans="1:113" s="24" customFormat="1" outlineLevel="1">
      <c r="A183" s="1"/>
      <c r="B183" s="24" t="s">
        <v>588</v>
      </c>
      <c r="C183" s="593"/>
      <c r="D183" s="593"/>
      <c r="E183" s="593"/>
      <c r="F183" s="593"/>
      <c r="G183" s="593"/>
      <c r="H183" s="593"/>
      <c r="I183" s="593"/>
      <c r="J183" s="593"/>
      <c r="K183" s="593"/>
      <c r="L183" s="593"/>
      <c r="M183" s="593"/>
      <c r="N183" s="593"/>
      <c r="O183" s="593"/>
      <c r="P183" s="593"/>
      <c r="Q183" s="593"/>
      <c r="R183" s="593"/>
      <c r="S183" s="593"/>
      <c r="T183" s="593"/>
      <c r="U183" s="593"/>
      <c r="V183" s="593"/>
      <c r="W183" s="593"/>
      <c r="X183" s="593"/>
      <c r="Y183" s="593"/>
      <c r="Z183" s="593"/>
      <c r="AA183" s="593"/>
      <c r="AB183" s="593"/>
      <c r="AC183" s="593"/>
      <c r="AD183" s="593"/>
      <c r="AE183" s="593"/>
      <c r="AF183" s="593"/>
      <c r="AG183" s="593"/>
      <c r="AH183" s="593"/>
      <c r="AI183" s="82"/>
      <c r="AJ183" s="82"/>
      <c r="AK183" s="82"/>
      <c r="AL183" s="82"/>
      <c r="AM183" s="82"/>
      <c r="AN183" s="82"/>
      <c r="AO183" s="82"/>
      <c r="AP183" s="170"/>
      <c r="AQ183" s="170"/>
      <c r="AR183" s="55"/>
      <c r="AS183" s="55"/>
      <c r="AT183" s="55"/>
      <c r="AU183" s="55"/>
      <c r="AV183" s="55"/>
      <c r="AW183" s="56"/>
      <c r="AX183" s="82"/>
      <c r="AY183" s="82"/>
      <c r="AZ183" s="82"/>
      <c r="BA183" s="82"/>
      <c r="BB183" s="82"/>
      <c r="BC183" s="82"/>
      <c r="BD183" s="82"/>
      <c r="BE183" s="82"/>
      <c r="BF183" s="82"/>
      <c r="BG183" s="82"/>
      <c r="BH183" s="82"/>
      <c r="BI183" s="82"/>
      <c r="BJ183" s="82"/>
      <c r="BK183" s="82"/>
      <c r="BL183" s="82"/>
      <c r="BM183" s="82"/>
      <c r="BN183" s="82"/>
      <c r="BO183" s="82"/>
      <c r="BP183" s="82"/>
      <c r="BQ183" s="82"/>
      <c r="BR183" s="82"/>
      <c r="BS183" s="82"/>
      <c r="BT183" s="82"/>
      <c r="BU183" s="82"/>
      <c r="BV183" s="82"/>
      <c r="BW183" s="82"/>
      <c r="BX183" s="82"/>
      <c r="BY183" s="82"/>
      <c r="BZ183" s="82"/>
      <c r="CA183" s="82"/>
      <c r="CB183" s="82"/>
      <c r="CC183" s="82"/>
      <c r="CD183" s="82"/>
      <c r="CE183" s="82"/>
      <c r="CF183" s="82"/>
      <c r="CG183" s="82"/>
      <c r="CH183" s="82"/>
      <c r="CI183" s="82"/>
      <c r="CJ183" s="82"/>
      <c r="CK183" s="82"/>
      <c r="CL183" s="82"/>
      <c r="CM183" s="82"/>
      <c r="CN183" s="82"/>
      <c r="CO183" s="82"/>
      <c r="CP183" s="82"/>
      <c r="CQ183" s="82"/>
      <c r="CR183" s="82"/>
      <c r="CS183" s="82"/>
      <c r="CT183" s="82"/>
      <c r="CU183" s="82"/>
      <c r="CV183" s="82"/>
      <c r="CW183" s="82"/>
      <c r="CX183" s="82"/>
      <c r="CY183" s="83"/>
      <c r="CZ183" s="82"/>
      <c r="DA183" s="82"/>
      <c r="DB183" s="82"/>
    </row>
    <row r="184" spans="1:113" outlineLevel="1">
      <c r="A184" s="1" t="s">
        <v>610</v>
      </c>
      <c r="B184" s="19" t="s">
        <v>589</v>
      </c>
      <c r="C184" s="164">
        <v>60951</v>
      </c>
      <c r="D184" s="164">
        <v>66227</v>
      </c>
      <c r="E184" s="164">
        <v>69916</v>
      </c>
      <c r="F184" s="164">
        <v>72039</v>
      </c>
      <c r="G184" s="164">
        <v>73508</v>
      </c>
      <c r="H184" s="164">
        <v>76714</v>
      </c>
      <c r="I184" s="164">
        <v>76522</v>
      </c>
      <c r="J184" s="164">
        <v>78708</v>
      </c>
      <c r="K184" s="164">
        <v>81230</v>
      </c>
      <c r="L184" s="164">
        <v>84051</v>
      </c>
      <c r="M184" s="164">
        <v>87419</v>
      </c>
      <c r="N184" s="164">
        <v>92308</v>
      </c>
      <c r="O184" s="164">
        <v>116342</v>
      </c>
      <c r="P184" s="164">
        <v>123373</v>
      </c>
      <c r="Q184" s="164">
        <v>123854</v>
      </c>
      <c r="R184" s="164">
        <v>152257</v>
      </c>
      <c r="S184" s="164">
        <v>160517</v>
      </c>
      <c r="T184" s="164">
        <v>160926</v>
      </c>
      <c r="U184" s="164">
        <v>166110</v>
      </c>
      <c r="V184" s="164">
        <v>166632</v>
      </c>
      <c r="W184" s="164">
        <v>176820</v>
      </c>
      <c r="X184" s="164">
        <v>183276</v>
      </c>
      <c r="Y184" s="164">
        <v>184396</v>
      </c>
      <c r="Z184" s="164">
        <v>192614</v>
      </c>
      <c r="AA184" s="164">
        <v>203908</v>
      </c>
      <c r="AB184" s="164">
        <v>223069</v>
      </c>
      <c r="AC184" s="164">
        <v>237526</v>
      </c>
      <c r="AD184" s="164">
        <v>254332</v>
      </c>
      <c r="AE184" s="164">
        <v>278188</v>
      </c>
      <c r="AF184" s="164">
        <v>299113</v>
      </c>
      <c r="AG184" s="164">
        <v>316812</v>
      </c>
      <c r="AH184" s="164">
        <v>324240</v>
      </c>
      <c r="AI184" s="164">
        <v>335366</v>
      </c>
      <c r="AJ184" s="164">
        <v>344421</v>
      </c>
      <c r="AK184" s="164">
        <v>346689</v>
      </c>
      <c r="AL184" s="164">
        <v>347332</v>
      </c>
      <c r="AM184" s="164">
        <v>357573</v>
      </c>
      <c r="AN184" s="164">
        <v>383100</v>
      </c>
      <c r="AO184" s="164">
        <v>440308</v>
      </c>
      <c r="AP184" s="164">
        <v>484537</v>
      </c>
      <c r="AQ184" s="164">
        <v>509991</v>
      </c>
      <c r="AR184" s="164">
        <v>543411</v>
      </c>
      <c r="AS184" s="164">
        <v>572328</v>
      </c>
      <c r="AT184" s="164">
        <v>560127</v>
      </c>
      <c r="AU184" s="164">
        <v>567172</v>
      </c>
      <c r="AV184" s="164">
        <v>562371</v>
      </c>
      <c r="AW184" s="171">
        <v>578079</v>
      </c>
      <c r="AX184" s="55"/>
      <c r="AY184" s="55"/>
      <c r="AZ184" s="55"/>
      <c r="BA184" s="55"/>
      <c r="BB184" s="55"/>
      <c r="BC184" s="55"/>
      <c r="BD184" s="55"/>
      <c r="BE184" s="55"/>
      <c r="BF184" s="55"/>
      <c r="BG184" s="55"/>
      <c r="BH184" s="55"/>
      <c r="BI184" s="55"/>
      <c r="BJ184" s="55"/>
      <c r="BK184" s="55"/>
      <c r="BL184" s="55"/>
      <c r="BM184" s="55"/>
      <c r="BN184" s="55"/>
      <c r="BO184" s="55"/>
      <c r="BP184" s="55"/>
      <c r="BQ184" s="55"/>
      <c r="BR184" s="55"/>
      <c r="BS184" s="55"/>
      <c r="BT184" s="55"/>
      <c r="BU184" s="55"/>
      <c r="BV184" s="55"/>
      <c r="BW184" s="55"/>
      <c r="BX184" s="55"/>
      <c r="BY184" s="55"/>
      <c r="BZ184" s="55"/>
      <c r="CA184" s="55"/>
      <c r="CB184" s="55"/>
      <c r="CC184" s="55"/>
      <c r="CD184" s="55"/>
      <c r="CE184" s="55"/>
      <c r="CF184" s="55">
        <v>81230</v>
      </c>
      <c r="CG184" s="55">
        <v>87419</v>
      </c>
      <c r="CH184" s="55">
        <v>116342</v>
      </c>
      <c r="CI184" s="55">
        <v>123854</v>
      </c>
      <c r="CJ184" s="55">
        <v>160517</v>
      </c>
      <c r="CK184" s="55">
        <v>166110</v>
      </c>
      <c r="CL184" s="55">
        <v>176820</v>
      </c>
      <c r="CM184" s="55">
        <v>184396</v>
      </c>
      <c r="CN184" s="55">
        <v>203908</v>
      </c>
      <c r="CO184" s="55">
        <v>237526</v>
      </c>
      <c r="CP184" s="86">
        <v>278188</v>
      </c>
      <c r="CQ184" s="55">
        <v>316812</v>
      </c>
      <c r="CR184" s="55">
        <v>335366</v>
      </c>
      <c r="CS184" s="55">
        <v>346689</v>
      </c>
      <c r="CT184" s="55">
        <v>357573</v>
      </c>
      <c r="CU184" s="55">
        <v>440308</v>
      </c>
      <c r="CV184" s="21">
        <v>509991</v>
      </c>
      <c r="CW184" s="21">
        <v>572328</v>
      </c>
      <c r="CX184" s="21">
        <v>567172</v>
      </c>
      <c r="CY184" s="56">
        <v>578079</v>
      </c>
      <c r="CZ184" s="55"/>
      <c r="DA184" s="55"/>
      <c r="DB184" s="55"/>
    </row>
    <row r="185" spans="1:113" outlineLevel="1">
      <c r="A185" s="1" t="s">
        <v>611</v>
      </c>
      <c r="B185" s="19" t="s">
        <v>590</v>
      </c>
      <c r="C185" s="164">
        <v>41029</v>
      </c>
      <c r="D185" s="164">
        <v>40905</v>
      </c>
      <c r="E185" s="164">
        <v>44823</v>
      </c>
      <c r="F185" s="164">
        <v>44917</v>
      </c>
      <c r="G185" s="164">
        <v>43626</v>
      </c>
      <c r="H185" s="164">
        <v>55027</v>
      </c>
      <c r="I185" s="164">
        <v>59046</v>
      </c>
      <c r="J185" s="164">
        <v>59332</v>
      </c>
      <c r="K185" s="164">
        <v>57623</v>
      </c>
      <c r="L185" s="164">
        <v>60310</v>
      </c>
      <c r="M185" s="164">
        <v>61395</v>
      </c>
      <c r="N185" s="164">
        <v>66594</v>
      </c>
      <c r="O185" s="164">
        <v>71053</v>
      </c>
      <c r="P185" s="164">
        <v>95315</v>
      </c>
      <c r="Q185" s="164">
        <v>108618</v>
      </c>
      <c r="R185" s="164">
        <v>145983</v>
      </c>
      <c r="S185" s="164">
        <v>155912</v>
      </c>
      <c r="T185" s="164">
        <v>163534</v>
      </c>
      <c r="U185" s="164">
        <v>163603</v>
      </c>
      <c r="V185" s="164">
        <v>181842</v>
      </c>
      <c r="W185" s="164">
        <v>182736</v>
      </c>
      <c r="X185" s="164">
        <v>198228</v>
      </c>
      <c r="Y185" s="164">
        <v>198382</v>
      </c>
      <c r="Z185" s="164">
        <v>202821</v>
      </c>
      <c r="AA185" s="164">
        <v>200305</v>
      </c>
      <c r="AB185" s="164">
        <v>195328</v>
      </c>
      <c r="AC185" s="164">
        <v>194318</v>
      </c>
      <c r="AD185" s="164">
        <v>194364</v>
      </c>
      <c r="AE185" s="164">
        <v>189368</v>
      </c>
      <c r="AF185" s="164">
        <v>179209</v>
      </c>
      <c r="AG185" s="164">
        <v>182205</v>
      </c>
      <c r="AH185" s="164">
        <v>192281</v>
      </c>
      <c r="AI185" s="164">
        <v>198307</v>
      </c>
      <c r="AJ185" s="164">
        <v>191342</v>
      </c>
      <c r="AK185" s="164">
        <v>181329</v>
      </c>
      <c r="AL185" s="164">
        <v>186825</v>
      </c>
      <c r="AM185" s="164">
        <v>179237</v>
      </c>
      <c r="AN185" s="164">
        <v>172235</v>
      </c>
      <c r="AO185" s="164">
        <v>159464</v>
      </c>
      <c r="AP185" s="164">
        <v>150329</v>
      </c>
      <c r="AQ185" s="164">
        <v>148848</v>
      </c>
      <c r="AR185" s="164">
        <v>149744</v>
      </c>
      <c r="AS185" s="164">
        <v>158236</v>
      </c>
      <c r="AT185" s="164">
        <v>187304</v>
      </c>
      <c r="AU185" s="164">
        <v>200218</v>
      </c>
      <c r="AV185" s="164">
        <v>210448</v>
      </c>
      <c r="AW185" s="171">
        <v>201381</v>
      </c>
      <c r="AX185" s="55"/>
      <c r="AY185" s="55"/>
      <c r="AZ185" s="55"/>
      <c r="BA185" s="55"/>
      <c r="BB185" s="55"/>
      <c r="BC185" s="55"/>
      <c r="BD185" s="55"/>
      <c r="BE185" s="55"/>
      <c r="BF185" s="55"/>
      <c r="BG185" s="55"/>
      <c r="BH185" s="55"/>
      <c r="BI185" s="55"/>
      <c r="BJ185" s="55"/>
      <c r="BK185" s="55"/>
      <c r="BL185" s="55"/>
      <c r="BM185" s="55"/>
      <c r="BN185" s="55"/>
      <c r="BO185" s="55"/>
      <c r="BP185" s="55"/>
      <c r="BQ185" s="55"/>
      <c r="BR185" s="55"/>
      <c r="BS185" s="55"/>
      <c r="BT185" s="55"/>
      <c r="BU185" s="55"/>
      <c r="BV185" s="55"/>
      <c r="BW185" s="55"/>
      <c r="BX185" s="55"/>
      <c r="BY185" s="55"/>
      <c r="BZ185" s="55"/>
      <c r="CA185" s="55"/>
      <c r="CB185" s="55"/>
      <c r="CC185" s="55"/>
      <c r="CD185" s="55"/>
      <c r="CE185" s="55"/>
      <c r="CF185" s="55">
        <v>57623</v>
      </c>
      <c r="CG185" s="55">
        <v>61395</v>
      </c>
      <c r="CH185" s="55">
        <v>71053</v>
      </c>
      <c r="CI185" s="55">
        <v>108618</v>
      </c>
      <c r="CJ185" s="55">
        <v>155912</v>
      </c>
      <c r="CK185" s="55">
        <v>163603</v>
      </c>
      <c r="CL185" s="55">
        <v>182736</v>
      </c>
      <c r="CM185" s="55">
        <v>198382</v>
      </c>
      <c r="CN185" s="55">
        <v>200305</v>
      </c>
      <c r="CO185" s="55">
        <v>194318</v>
      </c>
      <c r="CP185" s="86">
        <v>189368</v>
      </c>
      <c r="CQ185" s="55">
        <v>182205</v>
      </c>
      <c r="CR185" s="55">
        <v>198307</v>
      </c>
      <c r="CS185" s="55">
        <v>181329</v>
      </c>
      <c r="CT185" s="55">
        <v>179237</v>
      </c>
      <c r="CU185" s="55">
        <v>159464</v>
      </c>
      <c r="CV185" s="21">
        <v>148848</v>
      </c>
      <c r="CW185" s="21">
        <v>158236</v>
      </c>
      <c r="CX185" s="21">
        <v>200218</v>
      </c>
      <c r="CY185" s="56">
        <v>201381</v>
      </c>
      <c r="CZ185" s="55"/>
      <c r="DA185" s="55"/>
      <c r="DB185" s="55"/>
    </row>
    <row r="186" spans="1:113" s="24" customFormat="1" outlineLevel="1">
      <c r="A186" s="1" t="s">
        <v>612</v>
      </c>
      <c r="B186" s="24" t="s">
        <v>168</v>
      </c>
      <c r="C186" s="82">
        <v>101980</v>
      </c>
      <c r="D186" s="82">
        <v>107132</v>
      </c>
      <c r="E186" s="82">
        <v>114739</v>
      </c>
      <c r="F186" s="82">
        <v>116956</v>
      </c>
      <c r="G186" s="82">
        <v>117134</v>
      </c>
      <c r="H186" s="82">
        <v>131741</v>
      </c>
      <c r="I186" s="82">
        <v>135568</v>
      </c>
      <c r="J186" s="82">
        <v>138040</v>
      </c>
      <c r="K186" s="82">
        <v>138853</v>
      </c>
      <c r="L186" s="82">
        <v>144361</v>
      </c>
      <c r="M186" s="82">
        <v>148814</v>
      </c>
      <c r="N186" s="82">
        <v>158902</v>
      </c>
      <c r="O186" s="82">
        <v>187395</v>
      </c>
      <c r="P186" s="82">
        <v>218688</v>
      </c>
      <c r="Q186" s="82">
        <v>232472</v>
      </c>
      <c r="R186" s="82">
        <v>298240</v>
      </c>
      <c r="S186" s="82">
        <v>316429</v>
      </c>
      <c r="T186" s="82">
        <v>324460</v>
      </c>
      <c r="U186" s="82">
        <v>329713</v>
      </c>
      <c r="V186" s="82">
        <v>348474</v>
      </c>
      <c r="W186" s="82">
        <v>359556</v>
      </c>
      <c r="X186" s="82">
        <v>381504</v>
      </c>
      <c r="Y186" s="82">
        <v>382778</v>
      </c>
      <c r="Z186" s="82">
        <v>395435</v>
      </c>
      <c r="AA186" s="82">
        <v>404213</v>
      </c>
      <c r="AB186" s="82">
        <v>418397</v>
      </c>
      <c r="AC186" s="82">
        <v>431844</v>
      </c>
      <c r="AD186" s="82">
        <v>448696</v>
      </c>
      <c r="AE186" s="82">
        <v>467556</v>
      </c>
      <c r="AF186" s="82">
        <v>478322</v>
      </c>
      <c r="AG186" s="82">
        <v>499017</v>
      </c>
      <c r="AH186" s="82">
        <v>516521</v>
      </c>
      <c r="AI186" s="82">
        <v>533673</v>
      </c>
      <c r="AJ186" s="82">
        <v>535763</v>
      </c>
      <c r="AK186" s="82">
        <v>528018</v>
      </c>
      <c r="AL186" s="82">
        <v>534157</v>
      </c>
      <c r="AM186" s="82">
        <v>536810</v>
      </c>
      <c r="AN186" s="82">
        <v>555335</v>
      </c>
      <c r="AO186" s="82">
        <v>599772</v>
      </c>
      <c r="AP186" s="82">
        <v>634866</v>
      </c>
      <c r="AQ186" s="82">
        <v>658839</v>
      </c>
      <c r="AR186" s="82">
        <v>693155</v>
      </c>
      <c r="AS186" s="82">
        <v>730564</v>
      </c>
      <c r="AT186" s="82">
        <v>747431</v>
      </c>
      <c r="AU186" s="82">
        <v>767390</v>
      </c>
      <c r="AV186" s="82">
        <v>772819</v>
      </c>
      <c r="AW186" s="83">
        <v>779460</v>
      </c>
      <c r="AX186" s="82">
        <v>797071.03207459266</v>
      </c>
      <c r="AY186" s="82">
        <v>815099.69162494212</v>
      </c>
      <c r="AZ186" s="82">
        <v>837087.90886242909</v>
      </c>
      <c r="BA186" s="82">
        <v>852983.19718263624</v>
      </c>
      <c r="BB186" s="82">
        <v>869184.19594320469</v>
      </c>
      <c r="BC186" s="82">
        <v>885696.85269683681</v>
      </c>
      <c r="BD186" s="82">
        <v>902527.23197534855</v>
      </c>
      <c r="BE186" s="82">
        <v>919681.51761513215</v>
      </c>
      <c r="BF186" s="82">
        <v>937166.01512933348</v>
      </c>
      <c r="BG186" s="82">
        <v>954987.15412769187</v>
      </c>
      <c r="BH186" s="82">
        <v>973151.49078501272</v>
      </c>
      <c r="BI186" s="82">
        <v>991665.71035925637</v>
      </c>
      <c r="BJ186" s="82">
        <v>1010536.6297602537</v>
      </c>
      <c r="BK186" s="82">
        <v>1029771.2001700767</v>
      </c>
      <c r="BL186" s="82">
        <v>1049376.5097161091</v>
      </c>
      <c r="BM186" s="82">
        <v>1069359.7861978956</v>
      </c>
      <c r="BN186" s="82">
        <v>1089728.3998688555</v>
      </c>
      <c r="BO186" s="82">
        <v>1110489.8662739787</v>
      </c>
      <c r="BP186" s="82">
        <v>1131651.8491446436</v>
      </c>
      <c r="BQ186" s="82">
        <v>1153222.163351716</v>
      </c>
      <c r="BR186" s="82"/>
      <c r="BS186" s="81">
        <v>60520</v>
      </c>
      <c r="BT186" s="81">
        <v>68889</v>
      </c>
      <c r="BU186" s="81">
        <v>67696</v>
      </c>
      <c r="BV186" s="81">
        <v>68242</v>
      </c>
      <c r="BW186" s="81">
        <v>60891</v>
      </c>
      <c r="BX186" s="81">
        <v>66503</v>
      </c>
      <c r="BY186" s="81">
        <v>70951</v>
      </c>
      <c r="BZ186" s="81">
        <v>80880</v>
      </c>
      <c r="CA186" s="81">
        <v>98863</v>
      </c>
      <c r="CB186" s="81">
        <v>101980</v>
      </c>
      <c r="CC186" s="82">
        <v>114739</v>
      </c>
      <c r="CD186" s="82">
        <v>117134</v>
      </c>
      <c r="CE186" s="82">
        <v>135568</v>
      </c>
      <c r="CF186" s="82">
        <v>138853</v>
      </c>
      <c r="CG186" s="82">
        <v>148814</v>
      </c>
      <c r="CH186" s="82">
        <v>187395</v>
      </c>
      <c r="CI186" s="82">
        <v>232472</v>
      </c>
      <c r="CJ186" s="82">
        <v>316429</v>
      </c>
      <c r="CK186" s="82">
        <v>329713</v>
      </c>
      <c r="CL186" s="82">
        <v>359556</v>
      </c>
      <c r="CM186" s="82">
        <v>382778</v>
      </c>
      <c r="CN186" s="82">
        <v>404213</v>
      </c>
      <c r="CO186" s="82">
        <v>431844</v>
      </c>
      <c r="CP186" s="82">
        <v>467556</v>
      </c>
      <c r="CQ186" s="82">
        <v>499017</v>
      </c>
      <c r="CR186" s="82">
        <v>533673</v>
      </c>
      <c r="CS186" s="82">
        <v>528018</v>
      </c>
      <c r="CT186" s="82">
        <v>536810</v>
      </c>
      <c r="CU186" s="82">
        <v>599772</v>
      </c>
      <c r="CV186" s="82">
        <v>658839</v>
      </c>
      <c r="CW186" s="82">
        <v>730564</v>
      </c>
      <c r="CX186" s="82">
        <v>767390</v>
      </c>
      <c r="CY186" s="83">
        <v>779460</v>
      </c>
      <c r="CZ186" s="82">
        <v>815099.69162494212</v>
      </c>
      <c r="DA186" s="82">
        <v>852983.19718263624</v>
      </c>
      <c r="DB186" s="82">
        <v>885696.85269683681</v>
      </c>
      <c r="DC186" s="82">
        <v>919681.51761513215</v>
      </c>
      <c r="DD186" s="82">
        <v>954987.15412769187</v>
      </c>
      <c r="DE186" s="82">
        <v>991665.71035925637</v>
      </c>
      <c r="DF186" s="82">
        <v>1029771.2001700767</v>
      </c>
      <c r="DG186" s="82">
        <v>1069359.7861978956</v>
      </c>
      <c r="DH186" s="82">
        <v>1110489.8662739787</v>
      </c>
      <c r="DI186" s="82">
        <v>1153222.163351716</v>
      </c>
    </row>
    <row r="187" spans="1:113" s="84" customFormat="1" outlineLevel="1">
      <c r="A187" s="1" t="s">
        <v>613</v>
      </c>
      <c r="B187" s="84" t="s">
        <v>614</v>
      </c>
      <c r="C187" s="53">
        <v>12927</v>
      </c>
      <c r="D187" s="53">
        <v>12589</v>
      </c>
      <c r="E187" s="53">
        <v>15832</v>
      </c>
      <c r="F187" s="53">
        <v>13535</v>
      </c>
      <c r="G187" s="53">
        <v>11228</v>
      </c>
      <c r="H187" s="53">
        <v>19636</v>
      </c>
      <c r="I187" s="53">
        <v>20516</v>
      </c>
      <c r="J187" s="53">
        <v>18594</v>
      </c>
      <c r="K187" s="53">
        <v>16041</v>
      </c>
      <c r="L187" s="53">
        <v>17351</v>
      </c>
      <c r="M187" s="85">
        <v>18185</v>
      </c>
      <c r="N187" s="85">
        <v>20590</v>
      </c>
      <c r="O187" s="85">
        <v>20165</v>
      </c>
      <c r="P187" s="85">
        <v>37292</v>
      </c>
      <c r="Q187" s="85">
        <v>36981</v>
      </c>
      <c r="R187" s="85">
        <v>44356</v>
      </c>
      <c r="S187" s="85">
        <v>56735</v>
      </c>
      <c r="T187" s="85">
        <v>54818</v>
      </c>
      <c r="U187" s="85">
        <v>40891</v>
      </c>
      <c r="V187" s="85">
        <v>48296</v>
      </c>
      <c r="W187" s="85">
        <v>45544</v>
      </c>
      <c r="X187" s="85">
        <v>50093</v>
      </c>
      <c r="Y187" s="85">
        <v>45839</v>
      </c>
      <c r="Z187" s="85">
        <v>48123</v>
      </c>
      <c r="AA187" s="165">
        <v>42346</v>
      </c>
      <c r="AB187" s="165">
        <v>39878</v>
      </c>
      <c r="AC187" s="165">
        <v>43912</v>
      </c>
      <c r="AD187" s="165">
        <v>45307</v>
      </c>
      <c r="AE187" s="165">
        <v>46083</v>
      </c>
      <c r="AF187" s="165">
        <v>38800</v>
      </c>
      <c r="AG187" s="165">
        <v>43762</v>
      </c>
      <c r="AH187" s="165">
        <v>41018</v>
      </c>
      <c r="AI187" s="165">
        <v>39854</v>
      </c>
      <c r="AJ187" s="165">
        <v>35871</v>
      </c>
      <c r="AK187" s="165">
        <v>31405</v>
      </c>
      <c r="AL187" s="165">
        <v>30849</v>
      </c>
      <c r="AM187" s="165">
        <v>30924</v>
      </c>
      <c r="AN187" s="165">
        <v>26067</v>
      </c>
      <c r="AO187" s="165">
        <v>30126</v>
      </c>
      <c r="AP187" s="165">
        <v>25379</v>
      </c>
      <c r="AQ187" s="165">
        <v>29890</v>
      </c>
      <c r="AR187" s="165">
        <v>30471</v>
      </c>
      <c r="AS187" s="165">
        <v>27081</v>
      </c>
      <c r="AT187" s="165">
        <v>27168</v>
      </c>
      <c r="AU187" s="165">
        <v>28870</v>
      </c>
      <c r="AV187" s="165">
        <v>30772</v>
      </c>
      <c r="AW187" s="392">
        <v>30178</v>
      </c>
      <c r="AX187" s="86">
        <v>30859.838357256376</v>
      </c>
      <c r="AY187" s="86">
        <v>31557.845808453934</v>
      </c>
      <c r="AZ187" s="86">
        <v>32409.153662343659</v>
      </c>
      <c r="BA187" s="86">
        <v>33024.564345287254</v>
      </c>
      <c r="BB187" s="86">
        <v>33651.811080971485</v>
      </c>
      <c r="BC187" s="86">
        <v>34291.124138102205</v>
      </c>
      <c r="BD187" s="86">
        <v>34942.738314412629</v>
      </c>
      <c r="BE187" s="86">
        <v>35606.893026697275</v>
      </c>
      <c r="BF187" s="86">
        <v>36283.832402654436</v>
      </c>
      <c r="BG187" s="86">
        <v>36973.805374574047</v>
      </c>
      <c r="BH187" s="86">
        <v>37677.06577490842</v>
      </c>
      <c r="BI187" s="86">
        <v>38393.872433763943</v>
      </c>
      <c r="BJ187" s="86">
        <v>39124.489278352892</v>
      </c>
      <c r="BK187" s="86">
        <v>39869.185434445106</v>
      </c>
      <c r="BL187" s="86">
        <v>40628.235329860094</v>
      </c>
      <c r="BM187" s="86">
        <v>41401.918800041189</v>
      </c>
      <c r="BN187" s="86">
        <v>42190.521195753892</v>
      </c>
      <c r="BO187" s="86">
        <v>42994.333492951708</v>
      </c>
      <c r="BP187" s="86">
        <v>43813.652404853441</v>
      </c>
      <c r="BQ187" s="86">
        <v>44648.780496277031</v>
      </c>
      <c r="BR187" s="86"/>
      <c r="BS187" s="53">
        <v>1542.5438899016276</v>
      </c>
      <c r="BT187" s="53">
        <v>1755.8543627137017</v>
      </c>
      <c r="BU187" s="53">
        <v>1725.4469790280996</v>
      </c>
      <c r="BV187" s="53">
        <v>1739.3635184181571</v>
      </c>
      <c r="BW187" s="53">
        <v>1552</v>
      </c>
      <c r="BX187" s="53">
        <v>1700</v>
      </c>
      <c r="BY187" s="53">
        <v>2156</v>
      </c>
      <c r="BZ187" s="53">
        <v>11000</v>
      </c>
      <c r="CA187" s="53">
        <v>14136</v>
      </c>
      <c r="CB187" s="53">
        <v>12927</v>
      </c>
      <c r="CC187" s="86">
        <v>15832</v>
      </c>
      <c r="CD187" s="86">
        <v>11228</v>
      </c>
      <c r="CE187" s="86">
        <v>20516</v>
      </c>
      <c r="CF187" s="86">
        <v>16041</v>
      </c>
      <c r="CG187" s="86">
        <v>18185</v>
      </c>
      <c r="CH187" s="86">
        <v>20165</v>
      </c>
      <c r="CI187" s="86">
        <v>36981</v>
      </c>
      <c r="CJ187" s="86">
        <v>56735</v>
      </c>
      <c r="CK187" s="86">
        <v>40891</v>
      </c>
      <c r="CL187" s="86">
        <v>45544</v>
      </c>
      <c r="CM187" s="86">
        <v>45839</v>
      </c>
      <c r="CN187" s="86">
        <v>42346</v>
      </c>
      <c r="CO187" s="86">
        <v>43912</v>
      </c>
      <c r="CP187" s="86">
        <v>46083</v>
      </c>
      <c r="CQ187" s="86">
        <v>43762</v>
      </c>
      <c r="CR187" s="86">
        <v>39854</v>
      </c>
      <c r="CS187" s="86">
        <v>31405</v>
      </c>
      <c r="CT187" s="86">
        <v>30924</v>
      </c>
      <c r="CU187" s="86">
        <v>30126</v>
      </c>
      <c r="CV187" s="86">
        <v>29890</v>
      </c>
      <c r="CW187" s="86">
        <v>27081</v>
      </c>
      <c r="CX187" s="86">
        <v>28870</v>
      </c>
      <c r="CY187" s="87">
        <v>30178</v>
      </c>
      <c r="CZ187" s="86">
        <v>31557.845808453934</v>
      </c>
      <c r="DA187" s="86">
        <v>33024.564345287254</v>
      </c>
      <c r="DB187" s="86">
        <v>34291.124138102205</v>
      </c>
      <c r="DC187" s="86">
        <v>35606.893026697275</v>
      </c>
      <c r="DD187" s="86">
        <v>36973.805374574047</v>
      </c>
      <c r="DE187" s="86">
        <v>38393.872433763943</v>
      </c>
      <c r="DF187" s="86">
        <v>39869.185434445106</v>
      </c>
      <c r="DG187" s="86">
        <v>41401.918800041189</v>
      </c>
      <c r="DH187" s="86">
        <v>42994.333492951708</v>
      </c>
      <c r="DI187" s="86">
        <v>44648.780496277031</v>
      </c>
    </row>
    <row r="188" spans="1:113" outlineLevel="1">
      <c r="C188" s="55"/>
      <c r="D188" s="55"/>
      <c r="E188" s="55"/>
      <c r="F188" s="55"/>
      <c r="G188" s="55"/>
      <c r="H188" s="55"/>
      <c r="I188" s="55"/>
      <c r="J188" s="55"/>
      <c r="K188" s="55"/>
      <c r="L188" s="55"/>
      <c r="M188" s="55"/>
      <c r="N188" s="55"/>
      <c r="O188" s="55"/>
      <c r="P188" s="55"/>
      <c r="Q188" s="55"/>
      <c r="R188" s="55"/>
      <c r="S188" s="55"/>
      <c r="T188" s="55"/>
      <c r="U188" s="55"/>
      <c r="V188" s="55"/>
      <c r="W188" s="55"/>
      <c r="X188" s="55"/>
      <c r="Y188" s="55"/>
      <c r="Z188" s="55"/>
      <c r="AA188" s="55"/>
      <c r="AB188" s="55"/>
      <c r="AC188" s="55"/>
      <c r="AD188" s="55"/>
      <c r="AE188" s="55"/>
      <c r="AF188" s="55"/>
      <c r="AG188" s="55"/>
      <c r="AH188" s="55"/>
      <c r="AI188" s="55"/>
      <c r="AJ188" s="55"/>
      <c r="AK188" s="55"/>
      <c r="AL188" s="55"/>
      <c r="AM188" s="55"/>
      <c r="AN188" s="55"/>
      <c r="AO188" s="55"/>
      <c r="AP188" s="55"/>
      <c r="AQ188" s="55"/>
      <c r="AR188" s="55"/>
      <c r="AS188" s="55"/>
      <c r="AT188" s="55"/>
      <c r="AU188" s="55"/>
      <c r="AV188" s="55"/>
      <c r="AW188" s="56"/>
      <c r="AX188" s="55"/>
      <c r="AY188" s="55"/>
      <c r="AZ188" s="55"/>
      <c r="BA188" s="55"/>
      <c r="BB188" s="55"/>
      <c r="BC188" s="55"/>
      <c r="BD188" s="55"/>
      <c r="BE188" s="55"/>
      <c r="BF188" s="55"/>
      <c r="BG188" s="55"/>
      <c r="BH188" s="55"/>
      <c r="BI188" s="55"/>
      <c r="BJ188" s="55"/>
      <c r="BK188" s="55"/>
      <c r="BL188" s="55"/>
      <c r="BM188" s="55"/>
      <c r="BN188" s="55"/>
      <c r="BO188" s="55"/>
      <c r="BP188" s="55"/>
      <c r="BQ188" s="55"/>
      <c r="BR188" s="55"/>
      <c r="BS188" s="55"/>
      <c r="BT188" s="55"/>
      <c r="BU188" s="55"/>
      <c r="BV188" s="55"/>
      <c r="BW188" s="55"/>
      <c r="BX188" s="55"/>
      <c r="BY188" s="55"/>
      <c r="BZ188" s="55"/>
      <c r="CA188" s="55"/>
      <c r="CB188" s="55"/>
      <c r="CC188" s="55"/>
      <c r="CD188" s="55"/>
      <c r="CE188" s="55"/>
      <c r="CF188" s="55"/>
      <c r="CG188" s="55"/>
      <c r="CH188" s="55"/>
      <c r="CI188" s="55"/>
      <c r="CJ188" s="55"/>
      <c r="CK188" s="55"/>
      <c r="CL188" s="55"/>
      <c r="CM188" s="55"/>
      <c r="CN188" s="55"/>
      <c r="CO188" s="55"/>
      <c r="CP188" s="55"/>
      <c r="CQ188" s="55"/>
      <c r="CR188" s="55"/>
      <c r="CS188" s="55"/>
      <c r="CT188" s="55"/>
      <c r="CU188" s="55"/>
      <c r="CV188" s="55"/>
      <c r="CW188" s="55"/>
      <c r="CX188" s="55"/>
      <c r="CY188" s="56"/>
      <c r="CZ188" s="55"/>
      <c r="DA188" s="55"/>
      <c r="DB188" s="55"/>
      <c r="DC188" s="55"/>
      <c r="DD188" s="55"/>
      <c r="DE188" s="55"/>
      <c r="DF188" s="55"/>
      <c r="DG188" s="55"/>
      <c r="DH188" s="55"/>
      <c r="DI188" s="55"/>
    </row>
    <row r="189" spans="1:113" s="24" customFormat="1" outlineLevel="1">
      <c r="A189" s="1"/>
      <c r="B189" s="24" t="s">
        <v>591</v>
      </c>
      <c r="C189" s="82"/>
      <c r="D189" s="82"/>
      <c r="E189" s="82"/>
      <c r="F189" s="82"/>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c r="AV189" s="82"/>
      <c r="AW189" s="83"/>
      <c r="AX189" s="82"/>
      <c r="AY189" s="82"/>
      <c r="AZ189" s="82"/>
      <c r="BA189" s="82"/>
      <c r="BB189" s="82"/>
      <c r="BC189" s="82"/>
      <c r="BD189" s="82"/>
      <c r="BE189" s="82"/>
      <c r="BF189" s="82"/>
      <c r="BG189" s="82"/>
      <c r="BH189" s="82"/>
      <c r="BI189" s="82"/>
      <c r="BJ189" s="82"/>
      <c r="BK189" s="82"/>
      <c r="BL189" s="82"/>
      <c r="BM189" s="82"/>
      <c r="BN189" s="82"/>
      <c r="BO189" s="82"/>
      <c r="BP189" s="82"/>
      <c r="BQ189" s="82"/>
      <c r="BR189" s="82"/>
      <c r="BS189" s="82"/>
      <c r="BT189" s="82"/>
      <c r="BU189" s="82"/>
      <c r="BV189" s="82"/>
      <c r="BW189" s="82"/>
      <c r="BX189" s="82"/>
      <c r="BY189" s="82"/>
      <c r="BZ189" s="82"/>
      <c r="CA189" s="82"/>
      <c r="CB189" s="82"/>
      <c r="CC189" s="82"/>
      <c r="CD189" s="82"/>
      <c r="CE189" s="82"/>
      <c r="CF189" s="82"/>
      <c r="CG189" s="82"/>
      <c r="CH189" s="82"/>
      <c r="CI189" s="82"/>
      <c r="CJ189" s="82"/>
      <c r="CK189" s="82"/>
      <c r="CL189" s="82"/>
      <c r="CM189" s="82"/>
      <c r="CN189" s="82"/>
      <c r="CO189" s="82"/>
      <c r="CP189" s="82"/>
      <c r="CQ189" s="82"/>
      <c r="CR189" s="82"/>
      <c r="CS189" s="82"/>
      <c r="CT189" s="82"/>
      <c r="CU189" s="82"/>
      <c r="CV189" s="82"/>
      <c r="CW189" s="82"/>
      <c r="CX189" s="82"/>
      <c r="CY189" s="83"/>
      <c r="CZ189" s="82"/>
      <c r="DA189" s="82"/>
      <c r="DB189" s="82"/>
      <c r="DC189" s="82"/>
      <c r="DD189" s="82"/>
      <c r="DE189" s="82"/>
      <c r="DF189" s="82"/>
      <c r="DG189" s="82"/>
      <c r="DH189" s="82"/>
      <c r="DI189" s="82"/>
    </row>
    <row r="190" spans="1:113" outlineLevel="1">
      <c r="A190" s="1" t="s">
        <v>251</v>
      </c>
      <c r="B190" s="19" t="s">
        <v>589</v>
      </c>
      <c r="C190" s="164">
        <v>4765</v>
      </c>
      <c r="D190" s="164">
        <v>5312</v>
      </c>
      <c r="E190" s="164">
        <v>5991</v>
      </c>
      <c r="F190" s="164">
        <v>6757</v>
      </c>
      <c r="G190" s="164">
        <v>6792</v>
      </c>
      <c r="H190" s="164">
        <v>7379</v>
      </c>
      <c r="I190" s="164">
        <v>8026</v>
      </c>
      <c r="J190" s="164">
        <v>8780</v>
      </c>
      <c r="K190" s="164">
        <v>9788</v>
      </c>
      <c r="L190" s="164">
        <v>8246</v>
      </c>
      <c r="M190" s="164">
        <v>8254</v>
      </c>
      <c r="N190" s="164">
        <v>10023</v>
      </c>
      <c r="O190" s="164">
        <v>11001</v>
      </c>
      <c r="P190" s="164">
        <v>10928</v>
      </c>
      <c r="Q190" s="164">
        <v>9819</v>
      </c>
      <c r="R190" s="164">
        <v>13309</v>
      </c>
      <c r="S190" s="164">
        <v>11241</v>
      </c>
      <c r="T190" s="164">
        <v>10513</v>
      </c>
      <c r="U190" s="164">
        <v>9881</v>
      </c>
      <c r="V190" s="164">
        <v>9478</v>
      </c>
      <c r="W190" s="164">
        <v>9648</v>
      </c>
      <c r="X190" s="164">
        <v>12383</v>
      </c>
      <c r="Y190" s="164">
        <v>12393</v>
      </c>
      <c r="Z190" s="164">
        <v>13497</v>
      </c>
      <c r="AA190" s="164">
        <v>15356</v>
      </c>
      <c r="AB190" s="164">
        <v>19736</v>
      </c>
      <c r="AC190" s="164">
        <v>20548</v>
      </c>
      <c r="AD190" s="164">
        <v>22277</v>
      </c>
      <c r="AE190" s="164">
        <v>22472</v>
      </c>
      <c r="AF190" s="164">
        <v>25920</v>
      </c>
      <c r="AG190" s="164">
        <v>27097</v>
      </c>
      <c r="AH190" s="164">
        <v>26866</v>
      </c>
      <c r="AI190" s="164">
        <v>25377</v>
      </c>
      <c r="AJ190" s="164">
        <v>25002</v>
      </c>
      <c r="AK190" s="164">
        <v>25047</v>
      </c>
      <c r="AL190" s="164">
        <v>27442</v>
      </c>
      <c r="AM190" s="164">
        <v>27453</v>
      </c>
      <c r="AN190" s="164">
        <v>29857</v>
      </c>
      <c r="AO190" s="164">
        <v>34994</v>
      </c>
      <c r="AP190" s="164">
        <v>41915</v>
      </c>
      <c r="AQ190" s="164">
        <v>44689</v>
      </c>
      <c r="AR190" s="164">
        <v>49635</v>
      </c>
      <c r="AS190" s="164">
        <v>46087</v>
      </c>
      <c r="AT190" s="164">
        <v>44091</v>
      </c>
      <c r="AU190" s="164">
        <v>40187</v>
      </c>
      <c r="AV190" s="164">
        <v>40539</v>
      </c>
      <c r="AW190" s="171">
        <v>39279</v>
      </c>
      <c r="AX190" s="55"/>
      <c r="AY190" s="55"/>
      <c r="AZ190" s="55"/>
      <c r="BA190" s="55"/>
      <c r="BB190" s="55"/>
      <c r="BC190" s="55"/>
      <c r="BD190" s="55"/>
      <c r="BE190" s="55"/>
      <c r="BF190" s="55"/>
      <c r="BG190" s="55"/>
      <c r="BH190" s="55"/>
      <c r="BI190" s="55"/>
      <c r="BJ190" s="55"/>
      <c r="BK190" s="55"/>
      <c r="BL190" s="55"/>
      <c r="BM190" s="55"/>
      <c r="BN190" s="55"/>
      <c r="BO190" s="55"/>
      <c r="BP190" s="55"/>
      <c r="BQ190" s="55"/>
      <c r="BR190" s="55"/>
      <c r="BS190" s="55"/>
      <c r="BT190" s="55"/>
      <c r="BU190" s="55"/>
      <c r="BV190" s="55"/>
      <c r="BW190" s="55"/>
      <c r="BX190" s="55"/>
      <c r="BY190" s="55"/>
      <c r="BZ190" s="55"/>
      <c r="CA190" s="55"/>
      <c r="CB190" s="55"/>
      <c r="CC190" s="55"/>
      <c r="CD190" s="55"/>
      <c r="CE190" s="55"/>
      <c r="CF190" s="55">
        <v>9788</v>
      </c>
      <c r="CG190" s="55">
        <v>8254</v>
      </c>
      <c r="CH190" s="55">
        <v>11001</v>
      </c>
      <c r="CI190" s="55">
        <v>9819</v>
      </c>
      <c r="CJ190" s="55">
        <v>11241</v>
      </c>
      <c r="CK190" s="55">
        <v>9881</v>
      </c>
      <c r="CL190" s="55">
        <v>9648</v>
      </c>
      <c r="CM190" s="55">
        <v>12393</v>
      </c>
      <c r="CN190" s="55">
        <v>15356</v>
      </c>
      <c r="CO190" s="55">
        <v>20548</v>
      </c>
      <c r="CP190" s="86">
        <v>22472</v>
      </c>
      <c r="CQ190" s="55">
        <v>27097</v>
      </c>
      <c r="CR190" s="55">
        <v>25377</v>
      </c>
      <c r="CS190" s="55">
        <v>25047</v>
      </c>
      <c r="CT190" s="55">
        <v>27453</v>
      </c>
      <c r="CU190" s="55">
        <v>34994</v>
      </c>
      <c r="CV190" s="21">
        <v>44689</v>
      </c>
      <c r="CW190" s="21">
        <v>46087</v>
      </c>
      <c r="CX190" s="21">
        <v>40187</v>
      </c>
      <c r="CY190" s="56">
        <v>39279</v>
      </c>
      <c r="CZ190" s="55"/>
      <c r="DA190" s="55"/>
      <c r="DB190" s="55"/>
      <c r="DC190" s="55"/>
      <c r="DD190" s="55"/>
      <c r="DE190" s="55"/>
      <c r="DF190" s="55"/>
      <c r="DG190" s="55"/>
      <c r="DH190" s="55"/>
      <c r="DI190" s="55"/>
    </row>
    <row r="191" spans="1:113" outlineLevel="1">
      <c r="A191" s="1" t="s">
        <v>249</v>
      </c>
      <c r="B191" s="19" t="s">
        <v>590</v>
      </c>
      <c r="C191" s="164">
        <v>10143</v>
      </c>
      <c r="D191" s="164">
        <v>12009</v>
      </c>
      <c r="E191" s="164">
        <v>11293</v>
      </c>
      <c r="F191" s="164">
        <v>14332</v>
      </c>
      <c r="G191" s="164">
        <v>13226</v>
      </c>
      <c r="H191" s="164">
        <v>14998</v>
      </c>
      <c r="I191" s="164">
        <v>15440</v>
      </c>
      <c r="J191" s="164">
        <v>16932</v>
      </c>
      <c r="K191" s="164">
        <v>16722</v>
      </c>
      <c r="L191" s="164">
        <v>14927</v>
      </c>
      <c r="M191" s="164">
        <v>14749</v>
      </c>
      <c r="N191" s="164">
        <v>17401</v>
      </c>
      <c r="O191" s="164">
        <v>17319</v>
      </c>
      <c r="P191" s="164">
        <v>20145</v>
      </c>
      <c r="Q191" s="164">
        <v>19826</v>
      </c>
      <c r="R191" s="164">
        <v>28573</v>
      </c>
      <c r="S191" s="164">
        <v>32477</v>
      </c>
      <c r="T191" s="164">
        <v>14906</v>
      </c>
      <c r="U191" s="164">
        <v>16122</v>
      </c>
      <c r="V191" s="164">
        <v>15479</v>
      </c>
      <c r="W191" s="164">
        <v>16295</v>
      </c>
      <c r="X191" s="164">
        <v>16786</v>
      </c>
      <c r="Y191" s="164">
        <v>17964</v>
      </c>
      <c r="Z191" s="164">
        <v>18022</v>
      </c>
      <c r="AA191" s="164">
        <v>19040</v>
      </c>
      <c r="AB191" s="164">
        <v>19882</v>
      </c>
      <c r="AC191" s="164">
        <v>20336</v>
      </c>
      <c r="AD191" s="164">
        <v>22802</v>
      </c>
      <c r="AE191" s="164">
        <v>23356</v>
      </c>
      <c r="AF191" s="164">
        <v>23904</v>
      </c>
      <c r="AG191" s="164">
        <v>24839</v>
      </c>
      <c r="AH191" s="164">
        <v>27081</v>
      </c>
      <c r="AI191" s="164">
        <v>29805</v>
      </c>
      <c r="AJ191" s="164">
        <v>30081</v>
      </c>
      <c r="AK191" s="164">
        <v>31919</v>
      </c>
      <c r="AL191" s="164">
        <v>34934</v>
      </c>
      <c r="AM191" s="164">
        <v>35766</v>
      </c>
      <c r="AN191" s="164">
        <v>35733</v>
      </c>
      <c r="AO191" s="164">
        <v>34475</v>
      </c>
      <c r="AP191" s="164">
        <v>29656</v>
      </c>
      <c r="AQ191" s="164">
        <v>27237</v>
      </c>
      <c r="AR191" s="164">
        <v>26610</v>
      </c>
      <c r="AS191" s="164">
        <v>26562</v>
      </c>
      <c r="AT191" s="164">
        <v>32998</v>
      </c>
      <c r="AU191" s="164">
        <v>37332</v>
      </c>
      <c r="AV191" s="164">
        <v>39755</v>
      </c>
      <c r="AW191" s="171">
        <v>40619</v>
      </c>
      <c r="AX191" s="55"/>
      <c r="AY191" s="55"/>
      <c r="AZ191" s="55"/>
      <c r="BA191" s="55"/>
      <c r="BB191" s="55"/>
      <c r="BC191" s="55"/>
      <c r="BD191" s="55"/>
      <c r="BE191" s="55"/>
      <c r="BF191" s="55"/>
      <c r="BG191" s="55"/>
      <c r="BH191" s="55"/>
      <c r="BI191" s="55"/>
      <c r="BJ191" s="55"/>
      <c r="BK191" s="55"/>
      <c r="BL191" s="55"/>
      <c r="BM191" s="55"/>
      <c r="BN191" s="55"/>
      <c r="BO191" s="55"/>
      <c r="BP191" s="55"/>
      <c r="BQ191" s="55"/>
      <c r="BR191" s="55"/>
      <c r="BS191" s="55"/>
      <c r="BT191" s="55"/>
      <c r="BU191" s="55"/>
      <c r="BV191" s="55"/>
      <c r="BW191" s="55"/>
      <c r="BX191" s="55"/>
      <c r="BY191" s="55"/>
      <c r="BZ191" s="55"/>
      <c r="CA191" s="55"/>
      <c r="CB191" s="55"/>
      <c r="CC191" s="55"/>
      <c r="CD191" s="55"/>
      <c r="CE191" s="55"/>
      <c r="CF191" s="55">
        <v>16722</v>
      </c>
      <c r="CG191" s="55">
        <v>14749</v>
      </c>
      <c r="CH191" s="55">
        <v>17319</v>
      </c>
      <c r="CI191" s="55">
        <v>19826</v>
      </c>
      <c r="CJ191" s="55">
        <v>32477</v>
      </c>
      <c r="CK191" s="55">
        <v>16122</v>
      </c>
      <c r="CL191" s="55">
        <v>16295</v>
      </c>
      <c r="CM191" s="55">
        <v>17964</v>
      </c>
      <c r="CN191" s="55">
        <v>19040</v>
      </c>
      <c r="CO191" s="55">
        <v>20336</v>
      </c>
      <c r="CP191" s="86">
        <v>23356</v>
      </c>
      <c r="CQ191" s="55">
        <v>24839</v>
      </c>
      <c r="CR191" s="55">
        <v>29805</v>
      </c>
      <c r="CS191" s="55">
        <v>31919</v>
      </c>
      <c r="CT191" s="55">
        <v>35766</v>
      </c>
      <c r="CU191" s="55">
        <v>34475</v>
      </c>
      <c r="CV191" s="21">
        <v>27237</v>
      </c>
      <c r="CW191" s="21">
        <v>26562</v>
      </c>
      <c r="CX191" s="21">
        <v>37332</v>
      </c>
      <c r="CY191" s="56">
        <v>40619</v>
      </c>
      <c r="CZ191" s="55"/>
      <c r="DA191" s="55"/>
      <c r="DB191" s="55"/>
      <c r="DC191" s="55"/>
      <c r="DD191" s="55"/>
      <c r="DE191" s="55"/>
      <c r="DF191" s="55"/>
      <c r="DG191" s="55"/>
      <c r="DH191" s="55"/>
      <c r="DI191" s="55"/>
    </row>
    <row r="192" spans="1:113" s="24" customFormat="1" outlineLevel="1">
      <c r="A192" s="1" t="s">
        <v>250</v>
      </c>
      <c r="B192" s="24" t="s">
        <v>168</v>
      </c>
      <c r="C192" s="82">
        <v>14908</v>
      </c>
      <c r="D192" s="82">
        <v>17321</v>
      </c>
      <c r="E192" s="82">
        <v>17284</v>
      </c>
      <c r="F192" s="82">
        <v>21089</v>
      </c>
      <c r="G192" s="82">
        <v>20018</v>
      </c>
      <c r="H192" s="82">
        <v>22377</v>
      </c>
      <c r="I192" s="82">
        <v>23466</v>
      </c>
      <c r="J192" s="82">
        <v>25712</v>
      </c>
      <c r="K192" s="82">
        <v>26510</v>
      </c>
      <c r="L192" s="82">
        <v>23173</v>
      </c>
      <c r="M192" s="82">
        <v>23003</v>
      </c>
      <c r="N192" s="82">
        <v>27424</v>
      </c>
      <c r="O192" s="82">
        <v>28320</v>
      </c>
      <c r="P192" s="82">
        <v>31073</v>
      </c>
      <c r="Q192" s="82">
        <v>29645</v>
      </c>
      <c r="R192" s="82">
        <v>41882</v>
      </c>
      <c r="S192" s="82">
        <v>43718</v>
      </c>
      <c r="T192" s="82">
        <v>25419</v>
      </c>
      <c r="U192" s="82">
        <v>26003</v>
      </c>
      <c r="V192" s="82">
        <v>24957</v>
      </c>
      <c r="W192" s="82">
        <v>25943</v>
      </c>
      <c r="X192" s="82">
        <v>29169</v>
      </c>
      <c r="Y192" s="82">
        <v>30357</v>
      </c>
      <c r="Z192" s="82">
        <v>31519</v>
      </c>
      <c r="AA192" s="82">
        <v>34396</v>
      </c>
      <c r="AB192" s="82">
        <v>39618</v>
      </c>
      <c r="AC192" s="82">
        <v>40884</v>
      </c>
      <c r="AD192" s="82">
        <v>45079</v>
      </c>
      <c r="AE192" s="82">
        <v>45828</v>
      </c>
      <c r="AF192" s="82">
        <v>49824</v>
      </c>
      <c r="AG192" s="82">
        <v>51936</v>
      </c>
      <c r="AH192" s="82">
        <v>53947</v>
      </c>
      <c r="AI192" s="82">
        <v>55182</v>
      </c>
      <c r="AJ192" s="82">
        <v>55083</v>
      </c>
      <c r="AK192" s="82">
        <v>56966</v>
      </c>
      <c r="AL192" s="82">
        <v>62376</v>
      </c>
      <c r="AM192" s="82">
        <v>63219</v>
      </c>
      <c r="AN192" s="82">
        <v>65590</v>
      </c>
      <c r="AO192" s="82">
        <v>69469</v>
      </c>
      <c r="AP192" s="82">
        <v>71571</v>
      </c>
      <c r="AQ192" s="82">
        <v>71926</v>
      </c>
      <c r="AR192" s="82">
        <v>76245</v>
      </c>
      <c r="AS192" s="82">
        <v>72649</v>
      </c>
      <c r="AT192" s="82">
        <v>77089</v>
      </c>
      <c r="AU192" s="82">
        <v>77519</v>
      </c>
      <c r="AV192" s="82">
        <v>80294</v>
      </c>
      <c r="AW192" s="83">
        <v>79898</v>
      </c>
      <c r="AX192" s="82">
        <v>81516.900099363367</v>
      </c>
      <c r="AY192" s="82">
        <v>81824.261491134559</v>
      </c>
      <c r="AZ192" s="82">
        <v>81461.799734259082</v>
      </c>
      <c r="BA192" s="82">
        <v>80418.563137662306</v>
      </c>
      <c r="BB192" s="82">
        <v>79471.383248706508</v>
      </c>
      <c r="BC192" s="82">
        <v>79866.268733827354</v>
      </c>
      <c r="BD192" s="82">
        <v>80267.49793442167</v>
      </c>
      <c r="BE192" s="82">
        <v>80674.990109537874</v>
      </c>
      <c r="BF192" s="82">
        <v>81088.665733418675</v>
      </c>
      <c r="BG192" s="82">
        <v>81508.446336417022</v>
      </c>
      <c r="BH192" s="82">
        <v>81934.254350889241</v>
      </c>
      <c r="BI192" s="82">
        <v>82366.012961661501</v>
      </c>
      <c r="BJ192" s="82">
        <v>82803.645960690468</v>
      </c>
      <c r="BK192" s="82">
        <v>84467.99924450033</v>
      </c>
      <c r="BL192" s="82">
        <v>86165.806029314816</v>
      </c>
      <c r="BM192" s="82">
        <v>87897.738730504032</v>
      </c>
      <c r="BN192" s="82">
        <v>89664.483278987158</v>
      </c>
      <c r="BO192" s="82">
        <v>91466.7393928948</v>
      </c>
      <c r="BP192" s="82">
        <v>93305.220854691986</v>
      </c>
      <c r="BQ192" s="82">
        <v>95180.655793871294</v>
      </c>
      <c r="BR192" s="82"/>
      <c r="BS192" s="81">
        <v>10552</v>
      </c>
      <c r="BT192" s="81">
        <v>5850</v>
      </c>
      <c r="BU192" s="81">
        <v>5441</v>
      </c>
      <c r="BV192" s="81">
        <v>7215</v>
      </c>
      <c r="BW192" s="81">
        <v>8917</v>
      </c>
      <c r="BX192" s="81">
        <v>10550</v>
      </c>
      <c r="BY192" s="81">
        <v>12196</v>
      </c>
      <c r="BZ192" s="81">
        <v>11865</v>
      </c>
      <c r="CA192" s="81">
        <v>12752</v>
      </c>
      <c r="CB192" s="81">
        <v>14908</v>
      </c>
      <c r="CC192" s="82">
        <v>17284</v>
      </c>
      <c r="CD192" s="82">
        <v>20018</v>
      </c>
      <c r="CE192" s="82">
        <v>23466</v>
      </c>
      <c r="CF192" s="82">
        <v>26510</v>
      </c>
      <c r="CG192" s="82">
        <v>23003</v>
      </c>
      <c r="CH192" s="82">
        <v>28320</v>
      </c>
      <c r="CI192" s="82">
        <v>29645</v>
      </c>
      <c r="CJ192" s="82">
        <v>43718</v>
      </c>
      <c r="CK192" s="82">
        <v>26003</v>
      </c>
      <c r="CL192" s="82">
        <v>25943</v>
      </c>
      <c r="CM192" s="82">
        <v>30357</v>
      </c>
      <c r="CN192" s="82">
        <v>34396</v>
      </c>
      <c r="CO192" s="82">
        <v>40884</v>
      </c>
      <c r="CP192" s="82">
        <v>45828</v>
      </c>
      <c r="CQ192" s="82">
        <v>51936</v>
      </c>
      <c r="CR192" s="82">
        <v>55182</v>
      </c>
      <c r="CS192" s="82">
        <v>56966</v>
      </c>
      <c r="CT192" s="82">
        <v>63219</v>
      </c>
      <c r="CU192" s="82">
        <v>69469</v>
      </c>
      <c r="CV192" s="82">
        <v>71926</v>
      </c>
      <c r="CW192" s="82">
        <v>72649</v>
      </c>
      <c r="CX192" s="82">
        <v>77519</v>
      </c>
      <c r="CY192" s="83">
        <v>79898</v>
      </c>
      <c r="CZ192" s="82">
        <v>81824.261491134559</v>
      </c>
      <c r="DA192" s="82">
        <v>80418.563137662306</v>
      </c>
      <c r="DB192" s="82">
        <v>79866.268733827354</v>
      </c>
      <c r="DC192" s="82">
        <v>80674.990109537874</v>
      </c>
      <c r="DD192" s="82">
        <v>81508.446336417022</v>
      </c>
      <c r="DE192" s="82">
        <v>82366.012961661501</v>
      </c>
      <c r="DF192" s="82">
        <v>84467.99924450033</v>
      </c>
      <c r="DG192" s="82">
        <v>87897.738730504032</v>
      </c>
      <c r="DH192" s="82">
        <v>91466.7393928948</v>
      </c>
      <c r="DI192" s="82">
        <v>95180.655793871294</v>
      </c>
    </row>
    <row r="193" spans="1:113" s="84" customFormat="1" outlineLevel="1">
      <c r="A193" s="1" t="s">
        <v>615</v>
      </c>
      <c r="B193" s="84" t="s">
        <v>614</v>
      </c>
      <c r="C193" s="53">
        <v>2294</v>
      </c>
      <c r="D193" s="53">
        <v>3462</v>
      </c>
      <c r="E193" s="53">
        <v>2258</v>
      </c>
      <c r="F193" s="53">
        <v>3607</v>
      </c>
      <c r="G193" s="53">
        <v>2900</v>
      </c>
      <c r="H193" s="53">
        <v>3585</v>
      </c>
      <c r="I193" s="53">
        <v>3716</v>
      </c>
      <c r="J193" s="53">
        <v>3213</v>
      </c>
      <c r="K193" s="53">
        <v>3105</v>
      </c>
      <c r="L193" s="53">
        <v>935</v>
      </c>
      <c r="M193" s="85">
        <v>959</v>
      </c>
      <c r="N193" s="85">
        <v>2414</v>
      </c>
      <c r="O193" s="85">
        <v>903</v>
      </c>
      <c r="P193" s="85">
        <v>3250</v>
      </c>
      <c r="Q193" s="85">
        <v>4139</v>
      </c>
      <c r="R193" s="85">
        <v>7915</v>
      </c>
      <c r="S193" s="85">
        <v>9960</v>
      </c>
      <c r="T193" s="85">
        <v>434</v>
      </c>
      <c r="U193" s="85">
        <v>407</v>
      </c>
      <c r="V193" s="85">
        <v>421</v>
      </c>
      <c r="W193" s="85">
        <v>355</v>
      </c>
      <c r="X193" s="85">
        <v>255</v>
      </c>
      <c r="Y193" s="85">
        <v>254</v>
      </c>
      <c r="Z193" s="85">
        <v>352</v>
      </c>
      <c r="AA193" s="165">
        <v>81</v>
      </c>
      <c r="AB193" s="165">
        <v>77</v>
      </c>
      <c r="AC193" s="165">
        <v>211</v>
      </c>
      <c r="AD193" s="165">
        <v>759</v>
      </c>
      <c r="AE193" s="165">
        <v>1862</v>
      </c>
      <c r="AF193" s="165">
        <v>2210</v>
      </c>
      <c r="AG193" s="165">
        <v>2779</v>
      </c>
      <c r="AH193" s="165">
        <v>2521</v>
      </c>
      <c r="AI193" s="165">
        <v>2409</v>
      </c>
      <c r="AJ193" s="165">
        <v>2162</v>
      </c>
      <c r="AK193" s="165">
        <v>2339</v>
      </c>
      <c r="AL193" s="165">
        <v>3450</v>
      </c>
      <c r="AM193" s="165">
        <v>3229</v>
      </c>
      <c r="AN193" s="165">
        <v>3235</v>
      </c>
      <c r="AO193" s="165">
        <v>3758</v>
      </c>
      <c r="AP193" s="165">
        <v>3489</v>
      </c>
      <c r="AQ193" s="165">
        <v>3588</v>
      </c>
      <c r="AR193" s="165">
        <v>2709</v>
      </c>
      <c r="AS193" s="165">
        <v>2606</v>
      </c>
      <c r="AT193" s="165">
        <v>3422</v>
      </c>
      <c r="AU193" s="165">
        <v>3397</v>
      </c>
      <c r="AV193" s="165">
        <v>2110</v>
      </c>
      <c r="AW193" s="392">
        <v>2331</v>
      </c>
      <c r="AX193" s="86">
        <v>2378.2309210695635</v>
      </c>
      <c r="AY193" s="86">
        <v>2387.1980967713166</v>
      </c>
      <c r="AZ193" s="86">
        <v>2376.6233845723036</v>
      </c>
      <c r="BA193" s="86">
        <v>2346.1872721956847</v>
      </c>
      <c r="BB193" s="86">
        <v>2318.5535852303542</v>
      </c>
      <c r="BC193" s="86">
        <v>2330.0742499005173</v>
      </c>
      <c r="BD193" s="86">
        <v>2341.7799905521647</v>
      </c>
      <c r="BE193" s="86">
        <v>2353.6684515924394</v>
      </c>
      <c r="BF193" s="86">
        <v>2365.7373128814097</v>
      </c>
      <c r="BG193" s="86">
        <v>2377.9842850908412</v>
      </c>
      <c r="BH193" s="86">
        <v>2390.4071052081754</v>
      </c>
      <c r="BI193" s="86">
        <v>2403.0035321739333</v>
      </c>
      <c r="BJ193" s="86">
        <v>2415.7713426414862</v>
      </c>
      <c r="BK193" s="86">
        <v>2464.3283466285793</v>
      </c>
      <c r="BL193" s="86">
        <v>2513.8613463958145</v>
      </c>
      <c r="BM193" s="86">
        <v>2564.38995945837</v>
      </c>
      <c r="BN193" s="86">
        <v>2615.934197643483</v>
      </c>
      <c r="BO193" s="86">
        <v>2668.5144750161171</v>
      </c>
      <c r="BP193" s="86">
        <v>2722.1516159639414</v>
      </c>
      <c r="BQ193" s="86">
        <v>2776.8668634448163</v>
      </c>
      <c r="BR193" s="86"/>
      <c r="BS193" s="53">
        <v>365.5</v>
      </c>
      <c r="BT193" s="53">
        <v>581.20000000000005</v>
      </c>
      <c r="BU193" s="53">
        <v>547.4</v>
      </c>
      <c r="BV193" s="53">
        <v>1028</v>
      </c>
      <c r="BW193" s="53">
        <v>1640</v>
      </c>
      <c r="BX193" s="53">
        <v>2076</v>
      </c>
      <c r="BY193" s="53">
        <v>2938</v>
      </c>
      <c r="BZ193" s="53">
        <v>2295</v>
      </c>
      <c r="CA193" s="53">
        <v>2686</v>
      </c>
      <c r="CB193" s="53">
        <v>2294</v>
      </c>
      <c r="CC193" s="86">
        <v>2258</v>
      </c>
      <c r="CD193" s="86">
        <v>2900</v>
      </c>
      <c r="CE193" s="86">
        <v>3716</v>
      </c>
      <c r="CF193" s="86">
        <v>3105</v>
      </c>
      <c r="CG193" s="86">
        <v>959</v>
      </c>
      <c r="CH193" s="86">
        <v>903</v>
      </c>
      <c r="CI193" s="86">
        <v>4139</v>
      </c>
      <c r="CJ193" s="86">
        <v>9960</v>
      </c>
      <c r="CK193" s="86">
        <v>407</v>
      </c>
      <c r="CL193" s="86">
        <v>355</v>
      </c>
      <c r="CM193" s="86">
        <v>254</v>
      </c>
      <c r="CN193" s="86">
        <v>81</v>
      </c>
      <c r="CO193" s="86">
        <v>211</v>
      </c>
      <c r="CP193" s="86">
        <v>1862</v>
      </c>
      <c r="CQ193" s="86">
        <v>2779</v>
      </c>
      <c r="CR193" s="86">
        <v>2409</v>
      </c>
      <c r="CS193" s="86">
        <v>2339</v>
      </c>
      <c r="CT193" s="86">
        <v>3229</v>
      </c>
      <c r="CU193" s="86">
        <v>3758</v>
      </c>
      <c r="CV193" s="86">
        <v>3588</v>
      </c>
      <c r="CW193" s="86">
        <v>2606</v>
      </c>
      <c r="CX193" s="86">
        <v>3397</v>
      </c>
      <c r="CY193" s="87">
        <v>2331</v>
      </c>
      <c r="CZ193" s="86">
        <v>2387.1980967713166</v>
      </c>
      <c r="DA193" s="86">
        <v>2346.1872721956847</v>
      </c>
      <c r="DB193" s="86">
        <v>2330.0742499005173</v>
      </c>
      <c r="DC193" s="86">
        <v>2353.6684515924394</v>
      </c>
      <c r="DD193" s="86">
        <v>2377.9842850908412</v>
      </c>
      <c r="DE193" s="86">
        <v>2403.0035321739333</v>
      </c>
      <c r="DF193" s="86">
        <v>2464.3283466285793</v>
      </c>
      <c r="DG193" s="86">
        <v>2564.38995945837</v>
      </c>
      <c r="DH193" s="86">
        <v>2668.5144750161171</v>
      </c>
      <c r="DI193" s="86">
        <v>2776.8668634448163</v>
      </c>
    </row>
    <row r="194" spans="1:113" outlineLevel="1">
      <c r="C194" s="55"/>
      <c r="D194" s="55"/>
      <c r="E194" s="55"/>
      <c r="F194" s="55"/>
      <c r="G194" s="55"/>
      <c r="H194" s="55"/>
      <c r="I194" s="55"/>
      <c r="J194" s="55"/>
      <c r="K194" s="55"/>
      <c r="L194" s="55"/>
      <c r="M194" s="55"/>
      <c r="N194" s="55"/>
      <c r="O194" s="55"/>
      <c r="P194" s="55"/>
      <c r="Q194" s="55"/>
      <c r="R194" s="55"/>
      <c r="S194" s="55"/>
      <c r="T194" s="55"/>
      <c r="U194" s="55"/>
      <c r="V194" s="55"/>
      <c r="W194" s="55"/>
      <c r="X194" s="55"/>
      <c r="Y194" s="55"/>
      <c r="Z194" s="55"/>
      <c r="AA194" s="55"/>
      <c r="AB194" s="55"/>
      <c r="AC194" s="55"/>
      <c r="AD194" s="55"/>
      <c r="AE194" s="55"/>
      <c r="AF194" s="55"/>
      <c r="AG194" s="55"/>
      <c r="AH194" s="55"/>
      <c r="AI194" s="55"/>
      <c r="AJ194" s="55"/>
      <c r="AK194" s="55"/>
      <c r="AL194" s="55"/>
      <c r="AM194" s="55"/>
      <c r="AN194" s="55"/>
      <c r="AO194" s="55"/>
      <c r="AP194" s="55"/>
      <c r="AQ194" s="55"/>
      <c r="AR194" s="55"/>
      <c r="AS194" s="55"/>
      <c r="AT194" s="55"/>
      <c r="AU194" s="55"/>
      <c r="AV194" s="55"/>
      <c r="AW194" s="56"/>
      <c r="AX194" s="55"/>
      <c r="AY194" s="55"/>
      <c r="AZ194" s="55"/>
      <c r="BA194" s="55"/>
      <c r="BB194" s="55"/>
      <c r="BC194" s="55"/>
      <c r="BD194" s="55"/>
      <c r="BE194" s="55"/>
      <c r="BF194" s="55"/>
      <c r="BG194" s="55"/>
      <c r="BH194" s="55"/>
      <c r="BI194" s="55"/>
      <c r="BJ194" s="55"/>
      <c r="BK194" s="55"/>
      <c r="BL194" s="55"/>
      <c r="BM194" s="55"/>
      <c r="BN194" s="55"/>
      <c r="BO194" s="55"/>
      <c r="BP194" s="55"/>
      <c r="BQ194" s="55"/>
      <c r="BR194" s="55"/>
      <c r="BS194" s="55"/>
      <c r="BT194" s="55"/>
      <c r="BU194" s="55"/>
      <c r="BV194" s="55"/>
      <c r="BW194" s="55"/>
      <c r="BX194" s="55"/>
      <c r="BY194" s="55"/>
      <c r="BZ194" s="55"/>
      <c r="CA194" s="55"/>
      <c r="CB194" s="55"/>
      <c r="CC194" s="55"/>
      <c r="CD194" s="55"/>
      <c r="CE194" s="55"/>
      <c r="CF194" s="55"/>
      <c r="CG194" s="55"/>
      <c r="CH194" s="55"/>
      <c r="CI194" s="55"/>
      <c r="CJ194" s="55"/>
      <c r="CK194" s="55"/>
      <c r="CL194" s="55"/>
      <c r="CM194" s="55"/>
      <c r="CN194" s="55"/>
      <c r="CO194" s="55"/>
      <c r="CP194" s="55"/>
      <c r="CQ194" s="55"/>
      <c r="CR194" s="55"/>
      <c r="CS194" s="55"/>
      <c r="CT194" s="55"/>
      <c r="CU194" s="55"/>
      <c r="CV194" s="55"/>
      <c r="CW194" s="55"/>
      <c r="CX194" s="55"/>
      <c r="CY194" s="56"/>
      <c r="CZ194" s="55"/>
      <c r="DA194" s="55"/>
      <c r="DB194" s="55"/>
      <c r="DC194" s="55"/>
      <c r="DD194" s="55"/>
      <c r="DE194" s="55"/>
      <c r="DF194" s="55"/>
      <c r="DG194" s="55"/>
      <c r="DH194" s="55"/>
      <c r="DI194" s="55"/>
    </row>
    <row r="195" spans="1:113" s="24" customFormat="1" outlineLevel="1">
      <c r="A195" s="1"/>
      <c r="B195" s="24" t="s">
        <v>491</v>
      </c>
      <c r="C195" s="82"/>
      <c r="D195" s="82"/>
      <c r="E195" s="82"/>
      <c r="F195" s="82"/>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c r="AV195" s="82"/>
      <c r="AW195" s="83"/>
      <c r="AX195" s="82"/>
      <c r="AY195" s="82"/>
      <c r="AZ195" s="82"/>
      <c r="BA195" s="82"/>
      <c r="BB195" s="82"/>
      <c r="BC195" s="82"/>
      <c r="BD195" s="82"/>
      <c r="BE195" s="82"/>
      <c r="BF195" s="82"/>
      <c r="BG195" s="82"/>
      <c r="BH195" s="82"/>
      <c r="BI195" s="82"/>
      <c r="BJ195" s="82"/>
      <c r="BK195" s="82"/>
      <c r="BL195" s="82"/>
      <c r="BM195" s="82"/>
      <c r="BN195" s="82"/>
      <c r="BO195" s="82"/>
      <c r="BP195" s="82"/>
      <c r="BQ195" s="82"/>
      <c r="BR195" s="82"/>
      <c r="BS195" s="82"/>
      <c r="BT195" s="82"/>
      <c r="BU195" s="82"/>
      <c r="BV195" s="82"/>
      <c r="BW195" s="82"/>
      <c r="BX195" s="82"/>
      <c r="BY195" s="82"/>
      <c r="BZ195" s="82"/>
      <c r="CA195" s="82"/>
      <c r="CB195" s="82"/>
      <c r="CC195" s="82"/>
      <c r="CD195" s="82"/>
      <c r="CE195" s="82"/>
      <c r="CF195" s="82"/>
      <c r="CG195" s="82"/>
      <c r="CH195" s="82"/>
      <c r="CI195" s="82"/>
      <c r="CJ195" s="82"/>
      <c r="CK195" s="82"/>
      <c r="CL195" s="82"/>
      <c r="CM195" s="82"/>
      <c r="CN195" s="82"/>
      <c r="CO195" s="82"/>
      <c r="CP195" s="82"/>
      <c r="CQ195" s="82"/>
      <c r="CR195" s="82"/>
      <c r="CS195" s="82"/>
      <c r="CT195" s="82"/>
      <c r="CU195" s="82"/>
      <c r="CV195" s="82"/>
      <c r="CW195" s="82"/>
      <c r="CX195" s="82"/>
      <c r="CY195" s="83"/>
      <c r="CZ195" s="82"/>
      <c r="DA195" s="82"/>
      <c r="DB195" s="82"/>
      <c r="DC195" s="82"/>
      <c r="DD195" s="82"/>
      <c r="DE195" s="82"/>
      <c r="DF195" s="82"/>
      <c r="DG195" s="82"/>
      <c r="DH195" s="82"/>
      <c r="DI195" s="82"/>
    </row>
    <row r="196" spans="1:113" outlineLevel="1">
      <c r="A196" s="1" t="s">
        <v>248</v>
      </c>
      <c r="B196" s="19" t="s">
        <v>589</v>
      </c>
      <c r="C196" s="164">
        <v>0</v>
      </c>
      <c r="D196" s="164">
        <v>0</v>
      </c>
      <c r="E196" s="164">
        <v>0</v>
      </c>
      <c r="F196" s="164">
        <v>0</v>
      </c>
      <c r="G196" s="164">
        <v>0</v>
      </c>
      <c r="H196" s="164">
        <v>0</v>
      </c>
      <c r="I196" s="164">
        <v>0</v>
      </c>
      <c r="J196" s="164">
        <v>0</v>
      </c>
      <c r="K196" s="164">
        <v>0</v>
      </c>
      <c r="L196" s="164">
        <v>0</v>
      </c>
      <c r="M196" s="164">
        <v>0</v>
      </c>
      <c r="N196" s="164">
        <v>0</v>
      </c>
      <c r="O196" s="164">
        <v>0</v>
      </c>
      <c r="P196" s="164">
        <v>0</v>
      </c>
      <c r="Q196" s="164">
        <v>0</v>
      </c>
      <c r="R196" s="164">
        <v>0</v>
      </c>
      <c r="S196" s="164">
        <v>0</v>
      </c>
      <c r="T196" s="164">
        <v>907</v>
      </c>
      <c r="U196" s="164">
        <v>1341</v>
      </c>
      <c r="V196" s="164">
        <v>830</v>
      </c>
      <c r="W196" s="164">
        <v>876</v>
      </c>
      <c r="X196" s="164">
        <v>1012</v>
      </c>
      <c r="Y196" s="164">
        <v>1007</v>
      </c>
      <c r="Z196" s="164">
        <v>1059</v>
      </c>
      <c r="AA196" s="164">
        <v>1169</v>
      </c>
      <c r="AB196" s="164">
        <v>1178</v>
      </c>
      <c r="AC196" s="164">
        <v>1010</v>
      </c>
      <c r="AD196" s="164">
        <v>2081</v>
      </c>
      <c r="AE196" s="164">
        <v>2355</v>
      </c>
      <c r="AF196" s="164">
        <v>2484</v>
      </c>
      <c r="AG196" s="164">
        <v>3640</v>
      </c>
      <c r="AH196" s="164">
        <v>2571</v>
      </c>
      <c r="AI196" s="164">
        <v>2531</v>
      </c>
      <c r="AJ196" s="164">
        <v>2021</v>
      </c>
      <c r="AK196" s="164">
        <v>2068</v>
      </c>
      <c r="AL196" s="164">
        <v>1455</v>
      </c>
      <c r="AM196" s="164">
        <v>1387</v>
      </c>
      <c r="AN196" s="164">
        <v>1127</v>
      </c>
      <c r="AO196" s="164">
        <v>1279</v>
      </c>
      <c r="AP196" s="164">
        <v>891</v>
      </c>
      <c r="AQ196" s="164">
        <v>897</v>
      </c>
      <c r="AR196" s="164">
        <v>984</v>
      </c>
      <c r="AS196" s="164">
        <v>1255</v>
      </c>
      <c r="AT196" s="164">
        <v>1140</v>
      </c>
      <c r="AU196" s="164">
        <v>1246</v>
      </c>
      <c r="AV196" s="164">
        <v>462</v>
      </c>
      <c r="AW196" s="171">
        <v>595</v>
      </c>
      <c r="AX196" s="55"/>
      <c r="AY196" s="55"/>
      <c r="AZ196" s="55"/>
      <c r="BA196" s="55"/>
      <c r="BB196" s="55"/>
      <c r="BC196" s="55"/>
      <c r="BD196" s="55"/>
      <c r="BE196" s="55"/>
      <c r="BF196" s="55"/>
      <c r="BG196" s="55"/>
      <c r="BH196" s="55"/>
      <c r="BI196" s="55"/>
      <c r="BJ196" s="55"/>
      <c r="BK196" s="55"/>
      <c r="BL196" s="55"/>
      <c r="BM196" s="55"/>
      <c r="BN196" s="55"/>
      <c r="BO196" s="55"/>
      <c r="BP196" s="55"/>
      <c r="BQ196" s="55"/>
      <c r="BR196" s="55"/>
      <c r="BS196" s="55"/>
      <c r="BT196" s="55"/>
      <c r="BU196" s="55"/>
      <c r="BV196" s="55"/>
      <c r="BW196" s="55"/>
      <c r="BX196" s="55"/>
      <c r="BY196" s="55"/>
      <c r="BZ196" s="55"/>
      <c r="CA196" s="55"/>
      <c r="CB196" s="55"/>
      <c r="CC196" s="55"/>
      <c r="CD196" s="55"/>
      <c r="CE196" s="55"/>
      <c r="CF196" s="55">
        <v>0</v>
      </c>
      <c r="CG196" s="55">
        <v>0</v>
      </c>
      <c r="CH196" s="55">
        <v>0</v>
      </c>
      <c r="CI196" s="55">
        <v>0</v>
      </c>
      <c r="CJ196" s="55">
        <v>0</v>
      </c>
      <c r="CK196" s="55">
        <v>1341</v>
      </c>
      <c r="CL196" s="55">
        <v>876</v>
      </c>
      <c r="CM196" s="55">
        <v>1007</v>
      </c>
      <c r="CN196" s="55">
        <v>1169</v>
      </c>
      <c r="CO196" s="55">
        <v>1010</v>
      </c>
      <c r="CP196" s="86">
        <v>2355</v>
      </c>
      <c r="CQ196" s="55">
        <v>3640</v>
      </c>
      <c r="CR196" s="55">
        <v>2531</v>
      </c>
      <c r="CS196" s="55">
        <v>2068</v>
      </c>
      <c r="CT196" s="55">
        <v>1387</v>
      </c>
      <c r="CU196" s="55">
        <v>1279</v>
      </c>
      <c r="CV196" s="21">
        <v>897</v>
      </c>
      <c r="CW196" s="21">
        <v>1255</v>
      </c>
      <c r="CX196" s="21">
        <v>1246</v>
      </c>
      <c r="CY196" s="56">
        <v>595</v>
      </c>
      <c r="CZ196" s="55"/>
      <c r="DA196" s="55"/>
      <c r="DB196" s="55"/>
      <c r="DC196" s="55"/>
      <c r="DD196" s="55"/>
      <c r="DE196" s="55"/>
      <c r="DF196" s="55"/>
      <c r="DG196" s="55"/>
      <c r="DH196" s="55"/>
      <c r="DI196" s="55"/>
    </row>
    <row r="197" spans="1:113" outlineLevel="1">
      <c r="A197" s="1" t="s">
        <v>246</v>
      </c>
      <c r="B197" s="19" t="s">
        <v>590</v>
      </c>
      <c r="C197" s="164">
        <v>0</v>
      </c>
      <c r="D197" s="164">
        <v>0</v>
      </c>
      <c r="E197" s="164">
        <v>0</v>
      </c>
      <c r="F197" s="164">
        <v>0</v>
      </c>
      <c r="G197" s="164">
        <v>0</v>
      </c>
      <c r="H197" s="164">
        <v>0</v>
      </c>
      <c r="I197" s="164">
        <v>0</v>
      </c>
      <c r="J197" s="164">
        <v>0</v>
      </c>
      <c r="K197" s="164">
        <v>0</v>
      </c>
      <c r="L197" s="164">
        <v>0</v>
      </c>
      <c r="M197" s="164">
        <v>0</v>
      </c>
      <c r="N197" s="164">
        <v>0</v>
      </c>
      <c r="O197" s="164">
        <v>0</v>
      </c>
      <c r="P197" s="164">
        <v>0</v>
      </c>
      <c r="Q197" s="164">
        <v>0</v>
      </c>
      <c r="R197" s="164">
        <v>0</v>
      </c>
      <c r="S197" s="164">
        <v>0</v>
      </c>
      <c r="T197" s="164">
        <v>15403</v>
      </c>
      <c r="U197" s="164">
        <v>11846</v>
      </c>
      <c r="V197" s="164">
        <v>16599</v>
      </c>
      <c r="W197" s="164">
        <v>10709</v>
      </c>
      <c r="X197" s="164">
        <v>16446</v>
      </c>
      <c r="Y197" s="164">
        <v>18268</v>
      </c>
      <c r="Z197" s="164">
        <v>15769</v>
      </c>
      <c r="AA197" s="164">
        <v>14079</v>
      </c>
      <c r="AB197" s="164">
        <v>15609</v>
      </c>
      <c r="AC197" s="164">
        <v>14653</v>
      </c>
      <c r="AD197" s="164">
        <v>17640</v>
      </c>
      <c r="AE197" s="164">
        <v>14516</v>
      </c>
      <c r="AF197" s="164">
        <v>17929</v>
      </c>
      <c r="AG197" s="164">
        <v>16328</v>
      </c>
      <c r="AH197" s="164">
        <v>20037</v>
      </c>
      <c r="AI197" s="164">
        <v>18999</v>
      </c>
      <c r="AJ197" s="164">
        <v>19760</v>
      </c>
      <c r="AK197" s="164">
        <v>20486</v>
      </c>
      <c r="AL197" s="164">
        <v>20779</v>
      </c>
      <c r="AM197" s="164">
        <v>15525</v>
      </c>
      <c r="AN197" s="164">
        <v>20426</v>
      </c>
      <c r="AO197" s="164">
        <v>14602</v>
      </c>
      <c r="AP197" s="164">
        <v>14019</v>
      </c>
      <c r="AQ197" s="164">
        <v>15401</v>
      </c>
      <c r="AR197" s="164">
        <v>20583</v>
      </c>
      <c r="AS197" s="164">
        <v>19954</v>
      </c>
      <c r="AT197" s="164">
        <v>19611</v>
      </c>
      <c r="AU197" s="164">
        <v>16541</v>
      </c>
      <c r="AV197" s="164">
        <v>16740</v>
      </c>
      <c r="AW197" s="171">
        <v>19189</v>
      </c>
      <c r="AX197" s="55"/>
      <c r="AY197" s="55"/>
      <c r="AZ197" s="55"/>
      <c r="BA197" s="55"/>
      <c r="BB197" s="55"/>
      <c r="BC197" s="55"/>
      <c r="BD197" s="55"/>
      <c r="BE197" s="55"/>
      <c r="BF197" s="55"/>
      <c r="BG197" s="55"/>
      <c r="BH197" s="55"/>
      <c r="BI197" s="55"/>
      <c r="BJ197" s="55"/>
      <c r="BK197" s="55"/>
      <c r="BL197" s="55"/>
      <c r="BM197" s="55"/>
      <c r="BN197" s="55"/>
      <c r="BO197" s="55"/>
      <c r="BP197" s="55"/>
      <c r="BQ197" s="55"/>
      <c r="BR197" s="55"/>
      <c r="BS197" s="55"/>
      <c r="BT197" s="55"/>
      <c r="BU197" s="55"/>
      <c r="BV197" s="55"/>
      <c r="BW197" s="55"/>
      <c r="BX197" s="55"/>
      <c r="BY197" s="55"/>
      <c r="BZ197" s="55"/>
      <c r="CA197" s="55"/>
      <c r="CB197" s="55"/>
      <c r="CC197" s="55"/>
      <c r="CD197" s="55"/>
      <c r="CE197" s="55"/>
      <c r="CF197" s="55">
        <v>0</v>
      </c>
      <c r="CG197" s="55">
        <v>0</v>
      </c>
      <c r="CH197" s="55">
        <v>0</v>
      </c>
      <c r="CI197" s="55">
        <v>0</v>
      </c>
      <c r="CJ197" s="55">
        <v>0</v>
      </c>
      <c r="CK197" s="55">
        <v>11846</v>
      </c>
      <c r="CL197" s="55">
        <v>10709</v>
      </c>
      <c r="CM197" s="55">
        <v>18268</v>
      </c>
      <c r="CN197" s="55">
        <v>14079</v>
      </c>
      <c r="CO197" s="55">
        <v>14653</v>
      </c>
      <c r="CP197" s="86">
        <v>14516</v>
      </c>
      <c r="CQ197" s="55">
        <v>16328</v>
      </c>
      <c r="CR197" s="55">
        <v>18999</v>
      </c>
      <c r="CS197" s="55">
        <v>20486</v>
      </c>
      <c r="CT197" s="55">
        <v>15525</v>
      </c>
      <c r="CU197" s="55">
        <v>14602</v>
      </c>
      <c r="CV197" s="21">
        <v>15401</v>
      </c>
      <c r="CW197" s="21">
        <v>19954</v>
      </c>
      <c r="CX197" s="21">
        <v>16541</v>
      </c>
      <c r="CY197" s="56">
        <v>19189</v>
      </c>
      <c r="CZ197" s="55"/>
      <c r="DA197" s="55"/>
      <c r="DB197" s="55"/>
      <c r="DC197" s="55"/>
      <c r="DD197" s="55"/>
      <c r="DE197" s="55"/>
      <c r="DF197" s="55"/>
      <c r="DG197" s="55"/>
      <c r="DH197" s="55"/>
      <c r="DI197" s="55"/>
    </row>
    <row r="198" spans="1:113" s="24" customFormat="1" outlineLevel="1">
      <c r="A198" s="1" t="s">
        <v>247</v>
      </c>
      <c r="B198" s="24" t="s">
        <v>168</v>
      </c>
      <c r="C198" s="82">
        <v>0</v>
      </c>
      <c r="D198" s="82">
        <v>0</v>
      </c>
      <c r="E198" s="82">
        <v>0</v>
      </c>
      <c r="F198" s="82">
        <v>0</v>
      </c>
      <c r="G198" s="82">
        <v>0</v>
      </c>
      <c r="H198" s="82">
        <v>0</v>
      </c>
      <c r="I198" s="82">
        <v>0</v>
      </c>
      <c r="J198" s="82">
        <v>0</v>
      </c>
      <c r="K198" s="82">
        <v>0</v>
      </c>
      <c r="L198" s="82">
        <v>0</v>
      </c>
      <c r="M198" s="82">
        <v>0</v>
      </c>
      <c r="N198" s="82">
        <v>0</v>
      </c>
      <c r="O198" s="82">
        <v>0</v>
      </c>
      <c r="P198" s="82">
        <v>0</v>
      </c>
      <c r="Q198" s="82">
        <v>0</v>
      </c>
      <c r="R198" s="82">
        <v>0</v>
      </c>
      <c r="S198" s="82">
        <v>0</v>
      </c>
      <c r="T198" s="82">
        <v>16310</v>
      </c>
      <c r="U198" s="82">
        <v>13187</v>
      </c>
      <c r="V198" s="82">
        <v>17429</v>
      </c>
      <c r="W198" s="82">
        <v>11585</v>
      </c>
      <c r="X198" s="82">
        <v>17458</v>
      </c>
      <c r="Y198" s="82">
        <v>19275</v>
      </c>
      <c r="Z198" s="82">
        <v>16828</v>
      </c>
      <c r="AA198" s="82">
        <v>15248</v>
      </c>
      <c r="AB198" s="82">
        <v>16787</v>
      </c>
      <c r="AC198" s="82">
        <v>15663</v>
      </c>
      <c r="AD198" s="82">
        <v>19721</v>
      </c>
      <c r="AE198" s="82">
        <v>16871</v>
      </c>
      <c r="AF198" s="82">
        <v>20413</v>
      </c>
      <c r="AG198" s="82">
        <v>19968</v>
      </c>
      <c r="AH198" s="82">
        <v>22608</v>
      </c>
      <c r="AI198" s="82">
        <v>21530</v>
      </c>
      <c r="AJ198" s="82">
        <v>21781</v>
      </c>
      <c r="AK198" s="82">
        <v>22554</v>
      </c>
      <c r="AL198" s="82">
        <v>22234</v>
      </c>
      <c r="AM198" s="82">
        <v>16912</v>
      </c>
      <c r="AN198" s="82">
        <v>21553</v>
      </c>
      <c r="AO198" s="82">
        <v>15881</v>
      </c>
      <c r="AP198" s="82">
        <v>14910</v>
      </c>
      <c r="AQ198" s="82">
        <v>16298</v>
      </c>
      <c r="AR198" s="82">
        <v>21567</v>
      </c>
      <c r="AS198" s="82">
        <v>21209</v>
      </c>
      <c r="AT198" s="82">
        <v>20751</v>
      </c>
      <c r="AU198" s="82">
        <v>17787</v>
      </c>
      <c r="AV198" s="82">
        <v>17202</v>
      </c>
      <c r="AW198" s="83">
        <v>19784</v>
      </c>
      <c r="AX198" s="82">
        <v>19990.264644937524</v>
      </c>
      <c r="AY198" s="82">
        <v>19195.796951870627</v>
      </c>
      <c r="AZ198" s="82">
        <v>18162.75631184649</v>
      </c>
      <c r="BA198" s="82">
        <v>17947.718877896528</v>
      </c>
      <c r="BB198" s="82">
        <v>17753.701954736254</v>
      </c>
      <c r="BC198" s="82">
        <v>17959.917651410833</v>
      </c>
      <c r="BD198" s="82">
        <v>18170.096465454004</v>
      </c>
      <c r="BE198" s="82">
        <v>18384.292204857647</v>
      </c>
      <c r="BF198" s="82">
        <v>18602.560125040727</v>
      </c>
      <c r="BG198" s="82">
        <v>18824.956934985486</v>
      </c>
      <c r="BH198" s="82">
        <v>19051.540804530887</v>
      </c>
      <c r="BI198" s="82">
        <v>19282.371372782887</v>
      </c>
      <c r="BJ198" s="82">
        <v>19517.509757604941</v>
      </c>
      <c r="BK198" s="82">
        <v>19929.318146673992</v>
      </c>
      <c r="BL198" s="82">
        <v>20349.815893179715</v>
      </c>
      <c r="BM198" s="82">
        <v>20779.186355081441</v>
      </c>
      <c r="BN198" s="82">
        <v>21217.616759613884</v>
      </c>
      <c r="BO198" s="82">
        <v>21665.298284940778</v>
      </c>
      <c r="BP198" s="82">
        <v>22122.426143531742</v>
      </c>
      <c r="BQ198" s="82">
        <v>22589.199667298693</v>
      </c>
      <c r="BR198" s="82"/>
      <c r="BS198" s="166">
        <v>0</v>
      </c>
      <c r="BT198" s="166">
        <v>0</v>
      </c>
      <c r="BU198" s="166">
        <v>0</v>
      </c>
      <c r="BV198" s="166">
        <v>0</v>
      </c>
      <c r="BW198" s="166">
        <v>0</v>
      </c>
      <c r="BX198" s="166">
        <v>0</v>
      </c>
      <c r="BY198" s="166">
        <v>0</v>
      </c>
      <c r="BZ198" s="166">
        <v>0</v>
      </c>
      <c r="CA198" s="166">
        <v>0</v>
      </c>
      <c r="CB198" s="166">
        <v>0</v>
      </c>
      <c r="CC198" s="82">
        <v>0</v>
      </c>
      <c r="CD198" s="82">
        <v>0</v>
      </c>
      <c r="CE198" s="82">
        <v>0</v>
      </c>
      <c r="CF198" s="82">
        <v>0</v>
      </c>
      <c r="CG198" s="82">
        <v>0</v>
      </c>
      <c r="CH198" s="82">
        <v>0</v>
      </c>
      <c r="CI198" s="82">
        <v>0</v>
      </c>
      <c r="CJ198" s="82">
        <v>0</v>
      </c>
      <c r="CK198" s="82">
        <v>13187</v>
      </c>
      <c r="CL198" s="82">
        <v>11585</v>
      </c>
      <c r="CM198" s="82">
        <v>19275</v>
      </c>
      <c r="CN198" s="82">
        <v>15248</v>
      </c>
      <c r="CO198" s="82">
        <v>15663</v>
      </c>
      <c r="CP198" s="82">
        <v>16871</v>
      </c>
      <c r="CQ198" s="82">
        <v>19968</v>
      </c>
      <c r="CR198" s="82">
        <v>21530</v>
      </c>
      <c r="CS198" s="82">
        <v>22554</v>
      </c>
      <c r="CT198" s="82">
        <v>16912</v>
      </c>
      <c r="CU198" s="82">
        <v>15881</v>
      </c>
      <c r="CV198" s="82">
        <v>16298</v>
      </c>
      <c r="CW198" s="82">
        <v>21209</v>
      </c>
      <c r="CX198" s="82">
        <v>17787</v>
      </c>
      <c r="CY198" s="83">
        <v>19784</v>
      </c>
      <c r="CZ198" s="82">
        <v>19195.796951870627</v>
      </c>
      <c r="DA198" s="82">
        <v>17947.718877896528</v>
      </c>
      <c r="DB198" s="82">
        <v>17959.917651410833</v>
      </c>
      <c r="DC198" s="82">
        <v>18384.292204857647</v>
      </c>
      <c r="DD198" s="82">
        <v>18824.956934985486</v>
      </c>
      <c r="DE198" s="82">
        <v>19282.371372782887</v>
      </c>
      <c r="DF198" s="82">
        <v>19929.318146673992</v>
      </c>
      <c r="DG198" s="82">
        <v>20779.186355081441</v>
      </c>
      <c r="DH198" s="82">
        <v>21665.298284940778</v>
      </c>
      <c r="DI198" s="82">
        <v>22589.199667298693</v>
      </c>
    </row>
    <row r="199" spans="1:113" s="84" customFormat="1" outlineLevel="1">
      <c r="A199" s="1" t="s">
        <v>616</v>
      </c>
      <c r="B199" s="84" t="s">
        <v>614</v>
      </c>
      <c r="C199" s="164">
        <v>0</v>
      </c>
      <c r="D199" s="164">
        <v>0</v>
      </c>
      <c r="E199" s="164">
        <v>0</v>
      </c>
      <c r="F199" s="164">
        <v>0</v>
      </c>
      <c r="G199" s="164">
        <v>0</v>
      </c>
      <c r="H199" s="164">
        <v>0</v>
      </c>
      <c r="I199" s="164">
        <v>0</v>
      </c>
      <c r="J199" s="164">
        <v>0</v>
      </c>
      <c r="K199" s="164">
        <v>0</v>
      </c>
      <c r="L199" s="164">
        <v>0</v>
      </c>
      <c r="M199" s="165">
        <v>0</v>
      </c>
      <c r="N199" s="165">
        <v>0</v>
      </c>
      <c r="O199" s="165">
        <v>0</v>
      </c>
      <c r="P199" s="165">
        <v>0</v>
      </c>
      <c r="Q199" s="165">
        <v>0</v>
      </c>
      <c r="R199" s="165">
        <v>0</v>
      </c>
      <c r="S199" s="165">
        <v>0</v>
      </c>
      <c r="T199" s="165">
        <v>9390</v>
      </c>
      <c r="U199" s="165">
        <v>7442</v>
      </c>
      <c r="V199" s="165">
        <v>9109</v>
      </c>
      <c r="W199" s="165">
        <v>4345</v>
      </c>
      <c r="X199" s="165">
        <v>7419</v>
      </c>
      <c r="Y199" s="85">
        <v>7002</v>
      </c>
      <c r="Z199" s="85">
        <v>9408</v>
      </c>
      <c r="AA199" s="165">
        <v>6157</v>
      </c>
      <c r="AB199" s="165">
        <v>8480</v>
      </c>
      <c r="AC199" s="165">
        <v>6075</v>
      </c>
      <c r="AD199" s="165">
        <v>10040</v>
      </c>
      <c r="AE199" s="165">
        <v>5198</v>
      </c>
      <c r="AF199" s="165">
        <v>6962</v>
      </c>
      <c r="AG199" s="165">
        <v>6319</v>
      </c>
      <c r="AH199" s="165">
        <v>9343</v>
      </c>
      <c r="AI199" s="165">
        <v>10087</v>
      </c>
      <c r="AJ199" s="165">
        <v>8798</v>
      </c>
      <c r="AK199" s="165">
        <v>6170</v>
      </c>
      <c r="AL199" s="165">
        <v>9347</v>
      </c>
      <c r="AM199" s="165">
        <v>8915</v>
      </c>
      <c r="AN199" s="165">
        <v>13895</v>
      </c>
      <c r="AO199" s="165">
        <v>9911</v>
      </c>
      <c r="AP199" s="165">
        <v>10409</v>
      </c>
      <c r="AQ199" s="165">
        <v>10944</v>
      </c>
      <c r="AR199" s="165">
        <v>16163</v>
      </c>
      <c r="AS199" s="165">
        <v>15930</v>
      </c>
      <c r="AT199" s="165">
        <v>15587</v>
      </c>
      <c r="AU199" s="165">
        <v>12517</v>
      </c>
      <c r="AV199" s="165">
        <v>11721</v>
      </c>
      <c r="AW199" s="392">
        <v>12908</v>
      </c>
      <c r="AX199" s="86">
        <v>13042.576629440637</v>
      </c>
      <c r="AY199" s="86">
        <v>12524.229026220484</v>
      </c>
      <c r="AZ199" s="86">
        <v>11850.225357527015</v>
      </c>
      <c r="BA199" s="86">
        <v>11709.92495328995</v>
      </c>
      <c r="BB199" s="86">
        <v>11583.339306092579</v>
      </c>
      <c r="BC199" s="86">
        <v>11717.883999414225</v>
      </c>
      <c r="BD199" s="86">
        <v>11855.014414480404</v>
      </c>
      <c r="BE199" s="86">
        <v>11994.765658122853</v>
      </c>
      <c r="BF199" s="86">
        <v>12137.173781541938</v>
      </c>
      <c r="BG199" s="86">
        <v>12282.275784310183</v>
      </c>
      <c r="BH199" s="86">
        <v>12430.109619130846</v>
      </c>
      <c r="BI199" s="86">
        <v>12580.714197325186</v>
      </c>
      <c r="BJ199" s="86">
        <v>12734.129395024493</v>
      </c>
      <c r="BK199" s="86">
        <v>13002.812304754745</v>
      </c>
      <c r="BL199" s="86">
        <v>13277.164554648391</v>
      </c>
      <c r="BM199" s="86">
        <v>13557.305775949821</v>
      </c>
      <c r="BN199" s="86">
        <v>13843.358124398303</v>
      </c>
      <c r="BO199" s="86">
        <v>14135.446333502607</v>
      </c>
      <c r="BP199" s="86">
        <v>14433.697768939937</v>
      </c>
      <c r="BQ199" s="86">
        <v>14738.242484102888</v>
      </c>
      <c r="BR199" s="86"/>
      <c r="BS199" s="164">
        <v>0</v>
      </c>
      <c r="BT199" s="164">
        <v>0</v>
      </c>
      <c r="BU199" s="164">
        <v>0</v>
      </c>
      <c r="BV199" s="164">
        <v>0</v>
      </c>
      <c r="BW199" s="164">
        <v>0</v>
      </c>
      <c r="BX199" s="164">
        <v>0</v>
      </c>
      <c r="BY199" s="164">
        <v>0</v>
      </c>
      <c r="BZ199" s="164">
        <v>0</v>
      </c>
      <c r="CA199" s="164">
        <v>0</v>
      </c>
      <c r="CB199" s="164">
        <v>0</v>
      </c>
      <c r="CC199" s="86">
        <v>0</v>
      </c>
      <c r="CD199" s="86">
        <v>0</v>
      </c>
      <c r="CE199" s="86">
        <v>0</v>
      </c>
      <c r="CF199" s="86">
        <v>0</v>
      </c>
      <c r="CG199" s="86">
        <v>0</v>
      </c>
      <c r="CH199" s="86">
        <v>0</v>
      </c>
      <c r="CI199" s="86">
        <v>0</v>
      </c>
      <c r="CJ199" s="86">
        <v>0</v>
      </c>
      <c r="CK199" s="86">
        <v>7442</v>
      </c>
      <c r="CL199" s="86">
        <v>4345</v>
      </c>
      <c r="CM199" s="86">
        <v>7002</v>
      </c>
      <c r="CN199" s="86">
        <v>6157</v>
      </c>
      <c r="CO199" s="86">
        <v>6075</v>
      </c>
      <c r="CP199" s="86">
        <v>5198</v>
      </c>
      <c r="CQ199" s="86">
        <v>6319</v>
      </c>
      <c r="CR199" s="86">
        <v>10087</v>
      </c>
      <c r="CS199" s="86">
        <v>6170</v>
      </c>
      <c r="CT199" s="86">
        <v>8915</v>
      </c>
      <c r="CU199" s="86">
        <v>9911</v>
      </c>
      <c r="CV199" s="86">
        <v>10944</v>
      </c>
      <c r="CW199" s="86">
        <v>15930</v>
      </c>
      <c r="CX199" s="86">
        <v>12517</v>
      </c>
      <c r="CY199" s="87">
        <v>12908</v>
      </c>
      <c r="CZ199" s="86">
        <v>12524.229026220484</v>
      </c>
      <c r="DA199" s="86">
        <v>11709.92495328995</v>
      </c>
      <c r="DB199" s="86">
        <v>11717.883999414225</v>
      </c>
      <c r="DC199" s="86">
        <v>11994.765658122853</v>
      </c>
      <c r="DD199" s="86">
        <v>12282.275784310183</v>
      </c>
      <c r="DE199" s="86">
        <v>12580.714197325186</v>
      </c>
      <c r="DF199" s="86">
        <v>13002.812304754745</v>
      </c>
      <c r="DG199" s="86">
        <v>13557.305775949821</v>
      </c>
      <c r="DH199" s="86">
        <v>14135.446333502607</v>
      </c>
      <c r="DI199" s="86">
        <v>14738.242484102888</v>
      </c>
    </row>
    <row r="200" spans="1:113" outlineLevel="1">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5"/>
      <c r="AU200" s="55"/>
      <c r="AV200" s="55"/>
      <c r="AW200" s="56"/>
      <c r="AX200" s="55"/>
      <c r="AY200" s="55"/>
      <c r="AZ200" s="55"/>
      <c r="BA200" s="55"/>
      <c r="BB200" s="55"/>
      <c r="BC200" s="55"/>
      <c r="BD200" s="55"/>
      <c r="BE200" s="55"/>
      <c r="BF200" s="55"/>
      <c r="BG200" s="55"/>
      <c r="BH200" s="55"/>
      <c r="BI200" s="55"/>
      <c r="BJ200" s="55"/>
      <c r="BK200" s="55"/>
      <c r="BL200" s="55"/>
      <c r="BM200" s="55"/>
      <c r="BN200" s="55"/>
      <c r="BO200" s="55"/>
      <c r="BP200" s="55"/>
      <c r="BQ200" s="55"/>
      <c r="BR200" s="55"/>
      <c r="BS200" s="55"/>
      <c r="BT200" s="55"/>
      <c r="BU200" s="55"/>
      <c r="BV200" s="55"/>
      <c r="BW200" s="55"/>
      <c r="BX200" s="55"/>
      <c r="BY200" s="55"/>
      <c r="BZ200" s="55"/>
      <c r="CA200" s="55"/>
      <c r="CB200" s="55"/>
      <c r="CC200" s="55"/>
      <c r="CD200" s="55"/>
      <c r="CE200" s="55"/>
      <c r="CF200" s="55"/>
      <c r="CG200" s="55"/>
      <c r="CH200" s="55"/>
      <c r="CI200" s="55"/>
      <c r="CJ200" s="55"/>
      <c r="CK200" s="55"/>
      <c r="CL200" s="55"/>
      <c r="CM200" s="55"/>
      <c r="CN200" s="55"/>
      <c r="CO200" s="55"/>
      <c r="CP200" s="55"/>
      <c r="CQ200" s="55"/>
      <c r="CR200" s="55"/>
      <c r="CS200" s="55"/>
      <c r="CT200" s="55"/>
      <c r="CU200" s="55"/>
      <c r="CV200" s="55"/>
      <c r="CW200" s="55"/>
      <c r="CX200" s="55"/>
      <c r="CY200" s="56"/>
      <c r="CZ200" s="55"/>
      <c r="DA200" s="55"/>
      <c r="DB200" s="55"/>
    </row>
    <row r="201" spans="1:113" s="24" customFormat="1" outlineLevel="1">
      <c r="A201" s="1"/>
      <c r="B201" s="24" t="s">
        <v>496</v>
      </c>
      <c r="C201" s="82"/>
      <c r="D201" s="82"/>
      <c r="E201" s="82"/>
      <c r="F201" s="82"/>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c r="AV201" s="82"/>
      <c r="AW201" s="83"/>
      <c r="AX201" s="82"/>
      <c r="AY201" s="82"/>
      <c r="AZ201" s="82"/>
      <c r="BA201" s="82"/>
      <c r="BB201" s="82"/>
      <c r="BC201" s="82"/>
      <c r="BD201" s="82"/>
      <c r="BE201" s="82"/>
      <c r="BF201" s="82"/>
      <c r="BG201" s="82"/>
      <c r="BH201" s="82"/>
      <c r="BI201" s="82"/>
      <c r="BJ201" s="82"/>
      <c r="BK201" s="82"/>
      <c r="BL201" s="82"/>
      <c r="BM201" s="82"/>
      <c r="BN201" s="82"/>
      <c r="BO201" s="82"/>
      <c r="BP201" s="82"/>
      <c r="BQ201" s="82"/>
      <c r="BR201" s="82"/>
      <c r="BS201" s="82"/>
      <c r="BT201" s="82"/>
      <c r="BU201" s="82"/>
      <c r="BV201" s="82"/>
      <c r="BW201" s="82"/>
      <c r="BX201" s="82"/>
      <c r="BY201" s="82"/>
      <c r="BZ201" s="82"/>
      <c r="CA201" s="82"/>
      <c r="CB201" s="82"/>
      <c r="CC201" s="82"/>
      <c r="CD201" s="82"/>
      <c r="CE201" s="82"/>
      <c r="CF201" s="82"/>
      <c r="CG201" s="82"/>
      <c r="CH201" s="82"/>
      <c r="CI201" s="82"/>
      <c r="CJ201" s="82"/>
      <c r="CK201" s="82"/>
      <c r="CL201" s="82"/>
      <c r="CM201" s="82"/>
      <c r="CN201" s="82"/>
      <c r="CO201" s="82"/>
      <c r="CP201" s="82"/>
      <c r="CQ201" s="82"/>
      <c r="CR201" s="82"/>
      <c r="CS201" s="82"/>
      <c r="CT201" s="82"/>
      <c r="CU201" s="82"/>
      <c r="CV201" s="82"/>
      <c r="CW201" s="82"/>
      <c r="CX201" s="82"/>
      <c r="CY201" s="83"/>
      <c r="CZ201" s="82"/>
      <c r="DA201" s="82"/>
      <c r="DB201" s="82"/>
    </row>
    <row r="202" spans="1:113" outlineLevel="1">
      <c r="A202" s="1" t="s">
        <v>617</v>
      </c>
      <c r="B202" s="19" t="s">
        <v>589</v>
      </c>
      <c r="C202" s="55">
        <v>65716</v>
      </c>
      <c r="D202" s="55">
        <v>71539</v>
      </c>
      <c r="E202" s="55">
        <v>75907</v>
      </c>
      <c r="F202" s="55">
        <v>78796</v>
      </c>
      <c r="G202" s="55">
        <v>80300</v>
      </c>
      <c r="H202" s="55">
        <v>84093</v>
      </c>
      <c r="I202" s="55">
        <v>84548</v>
      </c>
      <c r="J202" s="55">
        <v>87488</v>
      </c>
      <c r="K202" s="55">
        <v>91018</v>
      </c>
      <c r="L202" s="55">
        <v>92297</v>
      </c>
      <c r="M202" s="55">
        <v>95673</v>
      </c>
      <c r="N202" s="55">
        <v>102331</v>
      </c>
      <c r="O202" s="55">
        <v>127343</v>
      </c>
      <c r="P202" s="55">
        <v>134301</v>
      </c>
      <c r="Q202" s="55">
        <v>133673</v>
      </c>
      <c r="R202" s="55">
        <v>165566</v>
      </c>
      <c r="S202" s="55">
        <v>171758</v>
      </c>
      <c r="T202" s="55">
        <v>172346</v>
      </c>
      <c r="U202" s="55">
        <v>177332</v>
      </c>
      <c r="V202" s="55">
        <v>176940</v>
      </c>
      <c r="W202" s="55">
        <v>187344</v>
      </c>
      <c r="X202" s="55">
        <v>196671</v>
      </c>
      <c r="Y202" s="55">
        <v>197796</v>
      </c>
      <c r="Z202" s="55">
        <v>207170</v>
      </c>
      <c r="AA202" s="55">
        <v>220433</v>
      </c>
      <c r="AB202" s="55">
        <v>243983</v>
      </c>
      <c r="AC202" s="55">
        <v>259084</v>
      </c>
      <c r="AD202" s="55">
        <v>278690</v>
      </c>
      <c r="AE202" s="55">
        <v>303015</v>
      </c>
      <c r="AF202" s="55">
        <v>327517</v>
      </c>
      <c r="AG202" s="55">
        <v>347549</v>
      </c>
      <c r="AH202" s="55">
        <v>353677</v>
      </c>
      <c r="AI202" s="55">
        <v>363274</v>
      </c>
      <c r="AJ202" s="55">
        <v>371444</v>
      </c>
      <c r="AK202" s="55">
        <v>373804</v>
      </c>
      <c r="AL202" s="55">
        <v>376229</v>
      </c>
      <c r="AM202" s="55">
        <v>386413</v>
      </c>
      <c r="AN202" s="55">
        <v>414084</v>
      </c>
      <c r="AO202" s="55">
        <v>476581</v>
      </c>
      <c r="AP202" s="55">
        <v>527343</v>
      </c>
      <c r="AQ202" s="55">
        <v>555577</v>
      </c>
      <c r="AR202" s="55">
        <v>594030</v>
      </c>
      <c r="AS202" s="55">
        <v>619670</v>
      </c>
      <c r="AT202" s="55">
        <v>605358</v>
      </c>
      <c r="AU202" s="55">
        <v>608605</v>
      </c>
      <c r="AV202" s="55">
        <v>603372</v>
      </c>
      <c r="AW202" s="56">
        <v>617953</v>
      </c>
      <c r="AX202" s="55">
        <v>631614.79312650941</v>
      </c>
      <c r="AY202" s="55">
        <v>643944.83247727691</v>
      </c>
      <c r="AZ202" s="55">
        <v>658419.54749929323</v>
      </c>
      <c r="BA202" s="55">
        <v>668707.97290877032</v>
      </c>
      <c r="BB202" s="55">
        <v>679293.57772966602</v>
      </c>
      <c r="BC202" s="55">
        <v>691322.91776514519</v>
      </c>
      <c r="BD202" s="55">
        <v>703582.83116157423</v>
      </c>
      <c r="BE202" s="55">
        <v>716077.64563500695</v>
      </c>
      <c r="BF202" s="55">
        <v>728811.77630022157</v>
      </c>
      <c r="BG202" s="55">
        <v>741789.7272641306</v>
      </c>
      <c r="BH202" s="55">
        <v>755016.09325768542</v>
      </c>
      <c r="BI202" s="55">
        <v>768495.56130665599</v>
      </c>
      <c r="BJ202" s="55">
        <v>782232.91244170512</v>
      </c>
      <c r="BK202" s="55">
        <v>797212.32512213883</v>
      </c>
      <c r="BL202" s="55">
        <v>812481.95447660296</v>
      </c>
      <c r="BM202" s="55">
        <v>828047.48248606082</v>
      </c>
      <c r="BN202" s="55">
        <v>843914.70348284126</v>
      </c>
      <c r="BO202" s="55">
        <v>860089.52639361448</v>
      </c>
      <c r="BP202" s="55">
        <v>876577.97702757083</v>
      </c>
      <c r="BQ202" s="55">
        <v>893386.20041071717</v>
      </c>
      <c r="BR202" s="55"/>
      <c r="BS202" s="55">
        <v>51447.356110098379</v>
      </c>
      <c r="BT202" s="55">
        <v>54497.545637286297</v>
      </c>
      <c r="BU202" s="55">
        <v>52668.0530209719</v>
      </c>
      <c r="BV202" s="55">
        <v>51294.636481581838</v>
      </c>
      <c r="BW202" s="55">
        <v>40426</v>
      </c>
      <c r="BX202" s="55">
        <v>45607</v>
      </c>
      <c r="BY202" s="55">
        <v>47330</v>
      </c>
      <c r="BZ202" s="55">
        <v>49887</v>
      </c>
      <c r="CA202" s="55">
        <v>58972</v>
      </c>
      <c r="CB202" s="55">
        <v>65716</v>
      </c>
      <c r="CC202" s="55">
        <v>75907</v>
      </c>
      <c r="CD202" s="55">
        <v>80300</v>
      </c>
      <c r="CE202" s="55">
        <v>84548</v>
      </c>
      <c r="CF202" s="55">
        <v>91018</v>
      </c>
      <c r="CG202" s="55">
        <v>95673</v>
      </c>
      <c r="CH202" s="55">
        <v>127343</v>
      </c>
      <c r="CI202" s="55">
        <v>133673</v>
      </c>
      <c r="CJ202" s="55">
        <v>171758</v>
      </c>
      <c r="CK202" s="55">
        <v>177332</v>
      </c>
      <c r="CL202" s="55">
        <v>187344</v>
      </c>
      <c r="CM202" s="55">
        <v>197796</v>
      </c>
      <c r="CN202" s="55">
        <v>220433</v>
      </c>
      <c r="CO202" s="55">
        <v>259084</v>
      </c>
      <c r="CP202" s="55">
        <v>303015</v>
      </c>
      <c r="CQ202" s="55">
        <v>347549</v>
      </c>
      <c r="CR202" s="55">
        <v>363274</v>
      </c>
      <c r="CS202" s="55">
        <v>373804</v>
      </c>
      <c r="CT202" s="55">
        <v>386413</v>
      </c>
      <c r="CU202" s="55">
        <v>476581</v>
      </c>
      <c r="CV202" s="55">
        <v>555577</v>
      </c>
      <c r="CW202" s="55">
        <v>619670</v>
      </c>
      <c r="CX202" s="55">
        <v>608605</v>
      </c>
      <c r="CY202" s="56">
        <v>617953</v>
      </c>
      <c r="CZ202" s="55">
        <v>643944.83247727691</v>
      </c>
      <c r="DA202" s="55">
        <v>668707.97290877032</v>
      </c>
      <c r="DB202" s="55">
        <v>691322.91776514519</v>
      </c>
      <c r="DC202" s="55">
        <v>716077.64563500695</v>
      </c>
      <c r="DD202" s="55">
        <v>741789.7272641306</v>
      </c>
      <c r="DE202" s="55">
        <v>768495.56130665599</v>
      </c>
      <c r="DF202" s="55">
        <v>797212.32512213883</v>
      </c>
      <c r="DG202" s="55">
        <v>828047.48248606082</v>
      </c>
      <c r="DH202" s="55">
        <v>860089.52639361448</v>
      </c>
      <c r="DI202" s="55">
        <v>893386.20041071717</v>
      </c>
    </row>
    <row r="203" spans="1:113" outlineLevel="1">
      <c r="A203" s="1" t="s">
        <v>618</v>
      </c>
      <c r="B203" s="19" t="s">
        <v>590</v>
      </c>
      <c r="C203" s="55">
        <v>51172</v>
      </c>
      <c r="D203" s="55">
        <v>52914</v>
      </c>
      <c r="E203" s="55">
        <v>56116</v>
      </c>
      <c r="F203" s="55">
        <v>59249</v>
      </c>
      <c r="G203" s="55">
        <v>56852</v>
      </c>
      <c r="H203" s="55">
        <v>70025</v>
      </c>
      <c r="I203" s="55">
        <v>74486</v>
      </c>
      <c r="J203" s="55">
        <v>76264</v>
      </c>
      <c r="K203" s="55">
        <v>74345</v>
      </c>
      <c r="L203" s="55">
        <v>75237</v>
      </c>
      <c r="M203" s="55">
        <v>76144</v>
      </c>
      <c r="N203" s="55">
        <v>83995</v>
      </c>
      <c r="O203" s="55">
        <v>88372</v>
      </c>
      <c r="P203" s="55">
        <v>115460</v>
      </c>
      <c r="Q203" s="55">
        <v>128444</v>
      </c>
      <c r="R203" s="55">
        <v>174556</v>
      </c>
      <c r="S203" s="55">
        <v>188389</v>
      </c>
      <c r="T203" s="55">
        <v>193843</v>
      </c>
      <c r="U203" s="55">
        <v>191571</v>
      </c>
      <c r="V203" s="55">
        <v>213920</v>
      </c>
      <c r="W203" s="55">
        <v>209740</v>
      </c>
      <c r="X203" s="55">
        <v>231460</v>
      </c>
      <c r="Y203" s="55">
        <v>234614</v>
      </c>
      <c r="Z203" s="55">
        <v>236612</v>
      </c>
      <c r="AA203" s="55">
        <v>233424</v>
      </c>
      <c r="AB203" s="55">
        <v>230819</v>
      </c>
      <c r="AC203" s="55">
        <v>229307</v>
      </c>
      <c r="AD203" s="55">
        <v>234806</v>
      </c>
      <c r="AE203" s="55">
        <v>227240</v>
      </c>
      <c r="AF203" s="55">
        <v>221042</v>
      </c>
      <c r="AG203" s="55">
        <v>223372</v>
      </c>
      <c r="AH203" s="55">
        <v>239399</v>
      </c>
      <c r="AI203" s="55">
        <v>247111</v>
      </c>
      <c r="AJ203" s="55">
        <v>241183</v>
      </c>
      <c r="AK203" s="55">
        <v>233734</v>
      </c>
      <c r="AL203" s="55">
        <v>242538</v>
      </c>
      <c r="AM203" s="55">
        <v>230528</v>
      </c>
      <c r="AN203" s="55">
        <v>228394</v>
      </c>
      <c r="AO203" s="55">
        <v>208541</v>
      </c>
      <c r="AP203" s="55">
        <v>194004</v>
      </c>
      <c r="AQ203" s="55">
        <v>191486</v>
      </c>
      <c r="AR203" s="55">
        <v>196937</v>
      </c>
      <c r="AS203" s="55">
        <v>204752</v>
      </c>
      <c r="AT203" s="55">
        <v>239913</v>
      </c>
      <c r="AU203" s="55">
        <v>254091</v>
      </c>
      <c r="AV203" s="55">
        <v>266943</v>
      </c>
      <c r="AW203" s="56">
        <v>261189</v>
      </c>
      <c r="AX203" s="55">
        <v>266963.40369238413</v>
      </c>
      <c r="AY203" s="55">
        <v>272174.91759067029</v>
      </c>
      <c r="AZ203" s="55">
        <v>278292.91740924132</v>
      </c>
      <c r="BA203" s="55">
        <v>282641.50628942467</v>
      </c>
      <c r="BB203" s="55">
        <v>287115.70341698115</v>
      </c>
      <c r="BC203" s="55">
        <v>292200.12131692946</v>
      </c>
      <c r="BD203" s="55">
        <v>297381.99521364964</v>
      </c>
      <c r="BE203" s="55">
        <v>302663.1542945205</v>
      </c>
      <c r="BF203" s="55">
        <v>308045.46468757105</v>
      </c>
      <c r="BG203" s="55">
        <v>313530.83013496344</v>
      </c>
      <c r="BH203" s="55">
        <v>319121.19268274721</v>
      </c>
      <c r="BI203" s="55">
        <v>324818.53338704444</v>
      </c>
      <c r="BJ203" s="55">
        <v>330624.87303684361</v>
      </c>
      <c r="BK203" s="55">
        <v>336956.19243911182</v>
      </c>
      <c r="BL203" s="55">
        <v>343410.17716200033</v>
      </c>
      <c r="BM203" s="55">
        <v>349989.2287974197</v>
      </c>
      <c r="BN203" s="55">
        <v>356695.79642461479</v>
      </c>
      <c r="BO203" s="55">
        <v>363532.37755819934</v>
      </c>
      <c r="BP203" s="55">
        <v>370501.51911529584</v>
      </c>
      <c r="BQ203" s="55">
        <v>377605.81840216817</v>
      </c>
      <c r="BR203" s="55"/>
      <c r="BS203" s="53">
        <v>19624.643889901625</v>
      </c>
      <c r="BT203" s="53">
        <v>20241.454362713703</v>
      </c>
      <c r="BU203" s="53">
        <v>20468.9469790281</v>
      </c>
      <c r="BV203" s="53">
        <v>24162.363518418158</v>
      </c>
      <c r="BW203" s="53">
        <v>29382</v>
      </c>
      <c r="BX203" s="53">
        <v>31446</v>
      </c>
      <c r="BY203" s="53">
        <v>35817</v>
      </c>
      <c r="BZ203" s="53">
        <v>42858</v>
      </c>
      <c r="CA203" s="53">
        <v>52643</v>
      </c>
      <c r="CB203" s="53">
        <v>51172</v>
      </c>
      <c r="CC203" s="55">
        <v>56116</v>
      </c>
      <c r="CD203" s="55">
        <v>56852</v>
      </c>
      <c r="CE203" s="55">
        <v>74486</v>
      </c>
      <c r="CF203" s="55">
        <v>74345</v>
      </c>
      <c r="CG203" s="55">
        <v>76144</v>
      </c>
      <c r="CH203" s="55">
        <v>88372</v>
      </c>
      <c r="CI203" s="55">
        <v>128444</v>
      </c>
      <c r="CJ203" s="55">
        <v>188389</v>
      </c>
      <c r="CK203" s="55">
        <v>191571</v>
      </c>
      <c r="CL203" s="55">
        <v>209740</v>
      </c>
      <c r="CM203" s="55">
        <v>234614</v>
      </c>
      <c r="CN203" s="55">
        <v>233424</v>
      </c>
      <c r="CO203" s="55">
        <v>229307</v>
      </c>
      <c r="CP203" s="55">
        <v>227240</v>
      </c>
      <c r="CQ203" s="55">
        <v>223372</v>
      </c>
      <c r="CR203" s="55">
        <v>247111</v>
      </c>
      <c r="CS203" s="55">
        <v>233734</v>
      </c>
      <c r="CT203" s="55">
        <v>230528</v>
      </c>
      <c r="CU203" s="55">
        <v>208541</v>
      </c>
      <c r="CV203" s="55">
        <v>191486</v>
      </c>
      <c r="CW203" s="55">
        <v>204752</v>
      </c>
      <c r="CX203" s="55">
        <v>254091</v>
      </c>
      <c r="CY203" s="56">
        <v>261189</v>
      </c>
      <c r="CZ203" s="55">
        <v>272174.91759067029</v>
      </c>
      <c r="DA203" s="55">
        <v>282641.50628942467</v>
      </c>
      <c r="DB203" s="55">
        <v>292200.12131692946</v>
      </c>
      <c r="DC203" s="55">
        <v>302663.1542945205</v>
      </c>
      <c r="DD203" s="55">
        <v>313530.83013496344</v>
      </c>
      <c r="DE203" s="55">
        <v>324818.53338704444</v>
      </c>
      <c r="DF203" s="55">
        <v>336956.19243911182</v>
      </c>
      <c r="DG203" s="55">
        <v>349989.2287974197</v>
      </c>
      <c r="DH203" s="55">
        <v>363532.37755819934</v>
      </c>
      <c r="DI203" s="55">
        <v>377605.81840216817</v>
      </c>
    </row>
    <row r="204" spans="1:113" s="24" customFormat="1" outlineLevel="1">
      <c r="A204" s="1" t="s">
        <v>1054</v>
      </c>
      <c r="B204" s="24" t="s">
        <v>496</v>
      </c>
      <c r="C204" s="82">
        <v>116888</v>
      </c>
      <c r="D204" s="82">
        <v>124453</v>
      </c>
      <c r="E204" s="82">
        <v>132023</v>
      </c>
      <c r="F204" s="82">
        <v>138045</v>
      </c>
      <c r="G204" s="82">
        <v>137152</v>
      </c>
      <c r="H204" s="82">
        <v>154118</v>
      </c>
      <c r="I204" s="82">
        <v>159034</v>
      </c>
      <c r="J204" s="82">
        <v>163752</v>
      </c>
      <c r="K204" s="82">
        <v>165363</v>
      </c>
      <c r="L204" s="82">
        <v>167534</v>
      </c>
      <c r="M204" s="82">
        <v>171817</v>
      </c>
      <c r="N204" s="82">
        <v>186326</v>
      </c>
      <c r="O204" s="82">
        <v>215715</v>
      </c>
      <c r="P204" s="82">
        <v>249761</v>
      </c>
      <c r="Q204" s="82">
        <v>262117</v>
      </c>
      <c r="R204" s="82">
        <v>340122</v>
      </c>
      <c r="S204" s="82">
        <v>360147</v>
      </c>
      <c r="T204" s="82">
        <v>366189</v>
      </c>
      <c r="U204" s="82">
        <v>368903</v>
      </c>
      <c r="V204" s="82">
        <v>390860</v>
      </c>
      <c r="W204" s="82">
        <v>397084</v>
      </c>
      <c r="X204" s="82">
        <v>428131</v>
      </c>
      <c r="Y204" s="82">
        <v>432410</v>
      </c>
      <c r="Z204" s="82">
        <v>443782</v>
      </c>
      <c r="AA204" s="82">
        <v>453857</v>
      </c>
      <c r="AB204" s="82">
        <v>474802</v>
      </c>
      <c r="AC204" s="82">
        <v>488391</v>
      </c>
      <c r="AD204" s="82">
        <v>513496</v>
      </c>
      <c r="AE204" s="82">
        <v>530255</v>
      </c>
      <c r="AF204" s="82">
        <v>548559</v>
      </c>
      <c r="AG204" s="82">
        <v>570921</v>
      </c>
      <c r="AH204" s="82">
        <v>593076</v>
      </c>
      <c r="AI204" s="82">
        <v>610385</v>
      </c>
      <c r="AJ204" s="82">
        <v>612627</v>
      </c>
      <c r="AK204" s="82">
        <v>607538</v>
      </c>
      <c r="AL204" s="82">
        <v>618767</v>
      </c>
      <c r="AM204" s="82">
        <v>616941</v>
      </c>
      <c r="AN204" s="82">
        <v>642478</v>
      </c>
      <c r="AO204" s="82">
        <v>685122</v>
      </c>
      <c r="AP204" s="82">
        <v>721347</v>
      </c>
      <c r="AQ204" s="82">
        <v>747063</v>
      </c>
      <c r="AR204" s="82">
        <v>790967</v>
      </c>
      <c r="AS204" s="82">
        <v>824422</v>
      </c>
      <c r="AT204" s="82">
        <v>845271</v>
      </c>
      <c r="AU204" s="82">
        <v>862696</v>
      </c>
      <c r="AV204" s="82">
        <v>870315</v>
      </c>
      <c r="AW204" s="83">
        <v>879142</v>
      </c>
      <c r="AX204" s="82">
        <v>898578.19681889354</v>
      </c>
      <c r="AY204" s="82">
        <v>916119.75006794732</v>
      </c>
      <c r="AZ204" s="82">
        <v>936712.46490853466</v>
      </c>
      <c r="BA204" s="82">
        <v>951349.47919819516</v>
      </c>
      <c r="BB204" s="82">
        <v>966409.28114664741</v>
      </c>
      <c r="BC204" s="82">
        <v>983523.039082075</v>
      </c>
      <c r="BD204" s="82">
        <v>1000964.8263752242</v>
      </c>
      <c r="BE204" s="82">
        <v>1018740.7999295277</v>
      </c>
      <c r="BF204" s="82">
        <v>1036857.2409877928</v>
      </c>
      <c r="BG204" s="82">
        <v>1055320.5573990943</v>
      </c>
      <c r="BH204" s="82">
        <v>1074137.2859404329</v>
      </c>
      <c r="BI204" s="82">
        <v>1093314.0946937008</v>
      </c>
      <c r="BJ204" s="82">
        <v>1112857.7854785491</v>
      </c>
      <c r="BK204" s="82">
        <v>1134168.5175612511</v>
      </c>
      <c r="BL204" s="82">
        <v>1155892.1316386038</v>
      </c>
      <c r="BM204" s="82">
        <v>1178036.711283481</v>
      </c>
      <c r="BN204" s="82">
        <v>1200610.4999074566</v>
      </c>
      <c r="BO204" s="82">
        <v>1223621.9039518144</v>
      </c>
      <c r="BP204" s="82">
        <v>1247079.4961428673</v>
      </c>
      <c r="BQ204" s="82">
        <v>1270992.018812886</v>
      </c>
      <c r="BR204" s="82"/>
      <c r="BS204" s="82">
        <v>71072</v>
      </c>
      <c r="BT204" s="82">
        <v>74739</v>
      </c>
      <c r="BU204" s="82">
        <v>73137</v>
      </c>
      <c r="BV204" s="82">
        <v>75457</v>
      </c>
      <c r="BW204" s="82">
        <v>69808</v>
      </c>
      <c r="BX204" s="82">
        <v>77053</v>
      </c>
      <c r="BY204" s="82">
        <v>83147</v>
      </c>
      <c r="BZ204" s="82">
        <v>92745</v>
      </c>
      <c r="CA204" s="82">
        <v>111615</v>
      </c>
      <c r="CB204" s="82">
        <v>116888</v>
      </c>
      <c r="CC204" s="82">
        <v>132023</v>
      </c>
      <c r="CD204" s="82">
        <v>137152</v>
      </c>
      <c r="CE204" s="82">
        <v>159034</v>
      </c>
      <c r="CF204" s="82">
        <v>165363</v>
      </c>
      <c r="CG204" s="82">
        <v>171817</v>
      </c>
      <c r="CH204" s="82">
        <v>215715</v>
      </c>
      <c r="CI204" s="82">
        <v>262117</v>
      </c>
      <c r="CJ204" s="82">
        <v>360147</v>
      </c>
      <c r="CK204" s="82">
        <v>368903</v>
      </c>
      <c r="CL204" s="82">
        <v>397084</v>
      </c>
      <c r="CM204" s="82">
        <v>432410</v>
      </c>
      <c r="CN204" s="82">
        <v>453857</v>
      </c>
      <c r="CO204" s="82">
        <v>488391</v>
      </c>
      <c r="CP204" s="82">
        <v>530255</v>
      </c>
      <c r="CQ204" s="82">
        <v>570921</v>
      </c>
      <c r="CR204" s="82">
        <v>610385</v>
      </c>
      <c r="CS204" s="82">
        <v>607538</v>
      </c>
      <c r="CT204" s="82">
        <v>616941</v>
      </c>
      <c r="CU204" s="82">
        <v>685122</v>
      </c>
      <c r="CV204" s="82">
        <v>747063</v>
      </c>
      <c r="CW204" s="82">
        <v>824422</v>
      </c>
      <c r="CX204" s="82">
        <v>862696</v>
      </c>
      <c r="CY204" s="83">
        <v>879142</v>
      </c>
      <c r="CZ204" s="82">
        <v>916119.75006794732</v>
      </c>
      <c r="DA204" s="82">
        <v>951349.47919819516</v>
      </c>
      <c r="DB204" s="82">
        <v>983523.039082075</v>
      </c>
      <c r="DC204" s="82">
        <v>1018740.7999295277</v>
      </c>
      <c r="DD204" s="82">
        <v>1055320.5573990943</v>
      </c>
      <c r="DE204" s="82">
        <v>1093314.0946937008</v>
      </c>
      <c r="DF204" s="82">
        <v>1134168.5175612511</v>
      </c>
      <c r="DG204" s="82">
        <v>1178036.711283481</v>
      </c>
      <c r="DH204" s="82">
        <v>1223621.9039518144</v>
      </c>
      <c r="DI204" s="82">
        <v>1270992.018812886</v>
      </c>
    </row>
    <row r="205" spans="1:113" s="84" customFormat="1" outlineLevel="1">
      <c r="A205" s="1" t="s">
        <v>1055</v>
      </c>
      <c r="B205" s="84" t="s">
        <v>614</v>
      </c>
      <c r="C205" s="55">
        <v>15221</v>
      </c>
      <c r="D205" s="55">
        <v>16051</v>
      </c>
      <c r="E205" s="55">
        <v>18090</v>
      </c>
      <c r="F205" s="55">
        <v>17142</v>
      </c>
      <c r="G205" s="55">
        <v>14128</v>
      </c>
      <c r="H205" s="55">
        <v>23221</v>
      </c>
      <c r="I205" s="55">
        <v>24232</v>
      </c>
      <c r="J205" s="55">
        <v>21807</v>
      </c>
      <c r="K205" s="55">
        <v>19146</v>
      </c>
      <c r="L205" s="55">
        <v>18286</v>
      </c>
      <c r="M205" s="86">
        <v>19144</v>
      </c>
      <c r="N205" s="86">
        <v>23004</v>
      </c>
      <c r="O205" s="86">
        <v>21068</v>
      </c>
      <c r="P205" s="86">
        <v>40542</v>
      </c>
      <c r="Q205" s="86">
        <v>41120</v>
      </c>
      <c r="R205" s="86">
        <v>52271</v>
      </c>
      <c r="S205" s="86">
        <v>66695</v>
      </c>
      <c r="T205" s="86">
        <v>64642</v>
      </c>
      <c r="U205" s="86">
        <v>48740</v>
      </c>
      <c r="V205" s="86">
        <v>57826</v>
      </c>
      <c r="W205" s="86">
        <v>50244</v>
      </c>
      <c r="X205" s="86">
        <v>57767</v>
      </c>
      <c r="Y205" s="86">
        <v>53095</v>
      </c>
      <c r="Z205" s="86">
        <v>57883</v>
      </c>
      <c r="AA205" s="86">
        <v>48584</v>
      </c>
      <c r="AB205" s="86">
        <v>48435</v>
      </c>
      <c r="AC205" s="86">
        <v>50198</v>
      </c>
      <c r="AD205" s="86">
        <v>56106</v>
      </c>
      <c r="AE205" s="86">
        <v>53143</v>
      </c>
      <c r="AF205" s="86">
        <v>47972</v>
      </c>
      <c r="AG205" s="86">
        <v>52860</v>
      </c>
      <c r="AH205" s="86">
        <v>52882</v>
      </c>
      <c r="AI205" s="86">
        <v>52350</v>
      </c>
      <c r="AJ205" s="86">
        <v>46831</v>
      </c>
      <c r="AK205" s="86">
        <v>39914</v>
      </c>
      <c r="AL205" s="86">
        <v>43646</v>
      </c>
      <c r="AM205" s="86">
        <v>43068</v>
      </c>
      <c r="AN205" s="86">
        <v>43197</v>
      </c>
      <c r="AO205" s="86">
        <v>43795</v>
      </c>
      <c r="AP205" s="86">
        <v>39277</v>
      </c>
      <c r="AQ205" s="86">
        <v>44422</v>
      </c>
      <c r="AR205" s="86">
        <v>49343</v>
      </c>
      <c r="AS205" s="86">
        <v>45617</v>
      </c>
      <c r="AT205" s="86">
        <v>46177</v>
      </c>
      <c r="AU205" s="86">
        <v>44784</v>
      </c>
      <c r="AV205" s="86">
        <v>44603</v>
      </c>
      <c r="AW205" s="87">
        <v>45417</v>
      </c>
      <c r="AX205" s="86">
        <v>46280.645907766571</v>
      </c>
      <c r="AY205" s="86">
        <v>46469.272931445732</v>
      </c>
      <c r="AZ205" s="86">
        <v>46636.002404442974</v>
      </c>
      <c r="BA205" s="86">
        <v>47080.676570772885</v>
      </c>
      <c r="BB205" s="86">
        <v>47553.703972294417</v>
      </c>
      <c r="BC205" s="86">
        <v>48339.082387416951</v>
      </c>
      <c r="BD205" s="86">
        <v>49139.532719445197</v>
      </c>
      <c r="BE205" s="86">
        <v>49955.327136412569</v>
      </c>
      <c r="BF205" s="86">
        <v>50786.743497077783</v>
      </c>
      <c r="BG205" s="86">
        <v>51634.065443975065</v>
      </c>
      <c r="BH205" s="86">
        <v>52497.582499247445</v>
      </c>
      <c r="BI205" s="86">
        <v>53377.590163263063</v>
      </c>
      <c r="BJ205" s="86">
        <v>54274.390016018871</v>
      </c>
      <c r="BK205" s="86">
        <v>55336.326085828434</v>
      </c>
      <c r="BL205" s="86">
        <v>56419.261230904303</v>
      </c>
      <c r="BM205" s="86">
        <v>57523.614535449378</v>
      </c>
      <c r="BN205" s="86">
        <v>58649.813517795672</v>
      </c>
      <c r="BO205" s="86">
        <v>59798.294301470436</v>
      </c>
      <c r="BP205" s="86">
        <v>60969.50178975732</v>
      </c>
      <c r="BQ205" s="86">
        <v>62163.889843824742</v>
      </c>
      <c r="BR205" s="86"/>
      <c r="BS205" s="55">
        <v>1908.0438899016276</v>
      </c>
      <c r="BT205" s="55">
        <v>2337.0543627137017</v>
      </c>
      <c r="BU205" s="55">
        <v>2272.8469790280997</v>
      </c>
      <c r="BV205" s="55">
        <v>2767.3635184181571</v>
      </c>
      <c r="BW205" s="55">
        <v>3192</v>
      </c>
      <c r="BX205" s="55">
        <v>3776</v>
      </c>
      <c r="BY205" s="55">
        <v>5094</v>
      </c>
      <c r="BZ205" s="55">
        <v>13295</v>
      </c>
      <c r="CA205" s="55">
        <v>16822</v>
      </c>
      <c r="CB205" s="55">
        <v>15221</v>
      </c>
      <c r="CC205" s="86">
        <v>18090</v>
      </c>
      <c r="CD205" s="86">
        <v>14128</v>
      </c>
      <c r="CE205" s="86">
        <v>24232</v>
      </c>
      <c r="CF205" s="86">
        <v>19146</v>
      </c>
      <c r="CG205" s="86">
        <v>19144</v>
      </c>
      <c r="CH205" s="86">
        <v>21068</v>
      </c>
      <c r="CI205" s="86">
        <v>41120</v>
      </c>
      <c r="CJ205" s="86">
        <v>66695</v>
      </c>
      <c r="CK205" s="86">
        <v>48740</v>
      </c>
      <c r="CL205" s="86">
        <v>50244</v>
      </c>
      <c r="CM205" s="86">
        <v>53095</v>
      </c>
      <c r="CN205" s="86">
        <v>48584</v>
      </c>
      <c r="CO205" s="86">
        <v>50198</v>
      </c>
      <c r="CP205" s="86">
        <v>53143</v>
      </c>
      <c r="CQ205" s="86">
        <v>52860</v>
      </c>
      <c r="CR205" s="86">
        <v>52350</v>
      </c>
      <c r="CS205" s="86">
        <v>39914</v>
      </c>
      <c r="CT205" s="86">
        <v>43068</v>
      </c>
      <c r="CU205" s="86">
        <v>43795</v>
      </c>
      <c r="CV205" s="86">
        <v>44422</v>
      </c>
      <c r="CW205" s="86">
        <v>45617</v>
      </c>
      <c r="CX205" s="86">
        <v>44784</v>
      </c>
      <c r="CY205" s="87">
        <v>45417</v>
      </c>
      <c r="CZ205" s="86">
        <v>46469.272931445732</v>
      </c>
      <c r="DA205" s="86">
        <v>47080.676570772885</v>
      </c>
      <c r="DB205" s="86">
        <v>48339.082387416951</v>
      </c>
      <c r="DC205" s="86">
        <v>49955.327136412569</v>
      </c>
      <c r="DD205" s="86">
        <v>51634.065443975065</v>
      </c>
      <c r="DE205" s="86">
        <v>53377.590163263063</v>
      </c>
      <c r="DF205" s="86">
        <v>55336.326085828434</v>
      </c>
      <c r="DG205" s="86">
        <v>57523.614535449378</v>
      </c>
      <c r="DH205" s="86">
        <v>59798.294301470436</v>
      </c>
      <c r="DI205" s="86">
        <v>62163.889843824742</v>
      </c>
    </row>
    <row r="206" spans="1:113" outlineLevel="1">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5"/>
      <c r="AU206" s="55"/>
      <c r="AV206" s="55"/>
      <c r="AW206" s="56"/>
      <c r="AX206" s="55"/>
      <c r="AY206" s="55"/>
      <c r="AZ206" s="55"/>
      <c r="BA206" s="55"/>
      <c r="BB206" s="55"/>
      <c r="BC206" s="55"/>
      <c r="BD206" s="55"/>
      <c r="BE206" s="55"/>
      <c r="BF206" s="55"/>
      <c r="BG206" s="55"/>
      <c r="BH206" s="55"/>
      <c r="BI206" s="55"/>
      <c r="BJ206" s="55"/>
      <c r="BK206" s="55"/>
      <c r="BL206" s="55"/>
      <c r="BM206" s="55"/>
      <c r="BN206" s="55"/>
      <c r="BO206" s="55"/>
      <c r="BP206" s="55"/>
      <c r="BQ206" s="55"/>
      <c r="BR206" s="55"/>
      <c r="BS206" s="55"/>
      <c r="BT206" s="55"/>
      <c r="BU206" s="55"/>
      <c r="BV206" s="55"/>
      <c r="BW206" s="55"/>
      <c r="BX206" s="55"/>
      <c r="BY206" s="55"/>
      <c r="BZ206" s="55"/>
      <c r="CA206" s="55"/>
      <c r="CB206" s="55"/>
      <c r="CC206" s="55"/>
      <c r="CD206" s="55"/>
      <c r="CE206" s="55"/>
      <c r="CF206" s="55"/>
      <c r="CG206" s="55"/>
      <c r="CH206" s="55"/>
      <c r="CI206" s="55"/>
      <c r="CJ206" s="55"/>
      <c r="CK206" s="55"/>
      <c r="CL206" s="55"/>
      <c r="CM206" s="55"/>
      <c r="CN206" s="55"/>
      <c r="CO206" s="55"/>
      <c r="CP206" s="55"/>
      <c r="CQ206" s="55"/>
      <c r="CR206" s="55"/>
      <c r="CS206" s="55"/>
      <c r="CT206" s="55"/>
      <c r="CU206" s="55"/>
      <c r="CV206" s="55"/>
      <c r="CW206" s="55"/>
      <c r="CX206" s="55"/>
      <c r="CY206" s="56"/>
      <c r="CZ206" s="55"/>
      <c r="DA206" s="55"/>
      <c r="DB206" s="55"/>
      <c r="DC206" s="55"/>
      <c r="DD206" s="55"/>
      <c r="DE206" s="55"/>
      <c r="DF206" s="55"/>
      <c r="DG206" s="55"/>
      <c r="DH206" s="55"/>
      <c r="DI206" s="55"/>
    </row>
    <row r="207" spans="1:113" s="24" customFormat="1" outlineLevel="1">
      <c r="A207" s="1"/>
      <c r="B207" s="24" t="s">
        <v>497</v>
      </c>
      <c r="C207" s="82"/>
      <c r="D207" s="82"/>
      <c r="E207" s="82"/>
      <c r="F207" s="82"/>
      <c r="G207" s="82"/>
      <c r="H207" s="82"/>
      <c r="I207" s="82"/>
      <c r="J207" s="82"/>
      <c r="K207" s="82"/>
      <c r="L207" s="82"/>
      <c r="M207" s="82"/>
      <c r="N207" s="82"/>
      <c r="O207" s="82"/>
      <c r="P207" s="82"/>
      <c r="Q207" s="82"/>
      <c r="R207" s="82"/>
      <c r="S207" s="82"/>
      <c r="T207" s="82"/>
      <c r="U207" s="82"/>
      <c r="V207" s="82"/>
      <c r="W207" s="82"/>
      <c r="X207" s="82"/>
      <c r="Y207" s="82"/>
      <c r="Z207" s="82"/>
      <c r="AA207" s="368"/>
      <c r="AB207" s="82"/>
      <c r="AC207" s="82"/>
      <c r="AD207" s="82"/>
      <c r="AE207" s="82"/>
      <c r="AF207" s="82"/>
      <c r="AG207" s="82"/>
      <c r="AH207" s="82"/>
      <c r="AI207" s="82"/>
      <c r="AJ207" s="82"/>
      <c r="AK207" s="82"/>
      <c r="AL207" s="82"/>
      <c r="AM207" s="82"/>
      <c r="AN207" s="82"/>
      <c r="AO207" s="82"/>
      <c r="AP207" s="82"/>
      <c r="AQ207" s="82"/>
      <c r="AR207" s="82"/>
      <c r="AS207" s="82"/>
      <c r="AT207" s="82"/>
      <c r="AU207" s="82"/>
      <c r="AV207" s="82"/>
      <c r="AW207" s="83"/>
      <c r="AX207" s="82"/>
      <c r="AY207" s="82"/>
      <c r="AZ207" s="82"/>
      <c r="BA207" s="82"/>
      <c r="BB207" s="82"/>
      <c r="BC207" s="82"/>
      <c r="BD207" s="82"/>
      <c r="BE207" s="82"/>
      <c r="BF207" s="82"/>
      <c r="BG207" s="82"/>
      <c r="BH207" s="82"/>
      <c r="BI207" s="82"/>
      <c r="BJ207" s="82"/>
      <c r="BK207" s="82"/>
      <c r="BL207" s="82"/>
      <c r="BM207" s="82"/>
      <c r="BN207" s="82"/>
      <c r="BO207" s="82"/>
      <c r="BP207" s="82"/>
      <c r="BQ207" s="82"/>
      <c r="BR207" s="82"/>
      <c r="BS207" s="82"/>
      <c r="BT207" s="82"/>
      <c r="BU207" s="82"/>
      <c r="BV207" s="82"/>
      <c r="BW207" s="82"/>
      <c r="BX207" s="82"/>
      <c r="BY207" s="82"/>
      <c r="BZ207" s="82"/>
      <c r="CA207" s="82"/>
      <c r="CB207" s="82"/>
      <c r="CC207" s="82"/>
      <c r="CD207" s="82"/>
      <c r="CE207" s="82"/>
      <c r="CF207" s="82"/>
      <c r="CG207" s="82"/>
      <c r="CH207" s="82"/>
      <c r="CI207" s="82"/>
      <c r="CJ207" s="82"/>
      <c r="CK207" s="82"/>
      <c r="CL207" s="82"/>
      <c r="CM207" s="82"/>
      <c r="CN207" s="82"/>
      <c r="CO207" s="82"/>
      <c r="CP207" s="82"/>
      <c r="CQ207" s="82"/>
      <c r="CR207" s="82"/>
      <c r="CS207" s="82"/>
      <c r="CT207" s="82"/>
      <c r="CU207" s="82"/>
      <c r="CV207" s="82"/>
      <c r="CW207" s="82"/>
      <c r="CX207" s="82"/>
      <c r="CY207" s="83"/>
      <c r="CZ207" s="82"/>
      <c r="DA207" s="82"/>
      <c r="DB207" s="82"/>
      <c r="DC207" s="82"/>
      <c r="DD207" s="82"/>
      <c r="DE207" s="82"/>
      <c r="DF207" s="82"/>
      <c r="DG207" s="82"/>
      <c r="DH207" s="82"/>
      <c r="DI207" s="82"/>
    </row>
    <row r="208" spans="1:113" outlineLevel="1">
      <c r="A208" s="1" t="s">
        <v>1056</v>
      </c>
      <c r="B208" s="19" t="s">
        <v>433</v>
      </c>
      <c r="C208" s="55">
        <v>21378</v>
      </c>
      <c r="D208" s="55">
        <v>28819</v>
      </c>
      <c r="E208" s="55">
        <v>31541</v>
      </c>
      <c r="F208" s="55">
        <v>23929</v>
      </c>
      <c r="G208" s="55">
        <v>22858</v>
      </c>
      <c r="H208" s="55">
        <v>27288</v>
      </c>
      <c r="I208" s="55">
        <v>23492</v>
      </c>
      <c r="J208" s="55">
        <v>23221</v>
      </c>
      <c r="K208" s="55">
        <v>22959</v>
      </c>
      <c r="L208" s="185">
        <v>21217</v>
      </c>
      <c r="M208" s="185">
        <v>20792</v>
      </c>
      <c r="N208" s="55">
        <v>22729</v>
      </c>
      <c r="O208" s="55">
        <v>21613</v>
      </c>
      <c r="P208" s="55">
        <v>20671</v>
      </c>
      <c r="Q208" s="55">
        <v>18495</v>
      </c>
      <c r="R208" s="55">
        <v>16897</v>
      </c>
      <c r="S208" s="55">
        <v>16056</v>
      </c>
      <c r="T208" s="55">
        <v>16272</v>
      </c>
      <c r="U208" s="55">
        <v>14592</v>
      </c>
      <c r="V208" s="55">
        <v>14099</v>
      </c>
      <c r="W208" s="55">
        <v>13652</v>
      </c>
      <c r="X208" s="55">
        <v>12881</v>
      </c>
      <c r="Y208" s="55">
        <v>12994</v>
      </c>
      <c r="Z208" s="55">
        <v>13032</v>
      </c>
      <c r="AA208" s="55">
        <v>13004</v>
      </c>
      <c r="AB208" s="55">
        <v>13140</v>
      </c>
      <c r="AC208" s="55">
        <v>13166</v>
      </c>
      <c r="AD208" s="55">
        <v>13177</v>
      </c>
      <c r="AE208" s="55">
        <v>12911</v>
      </c>
      <c r="AF208" s="55">
        <v>12611</v>
      </c>
      <c r="AG208" s="55">
        <v>12636</v>
      </c>
      <c r="AH208" s="55">
        <v>12388</v>
      </c>
      <c r="AI208" s="55">
        <v>12018</v>
      </c>
      <c r="AJ208" s="55">
        <v>481</v>
      </c>
      <c r="AK208" s="55">
        <v>451</v>
      </c>
      <c r="AL208" s="55">
        <v>0</v>
      </c>
      <c r="AM208" s="55">
        <v>0</v>
      </c>
      <c r="AN208" s="55">
        <v>0</v>
      </c>
      <c r="AO208" s="55">
        <v>0</v>
      </c>
      <c r="AP208" s="55">
        <v>0</v>
      </c>
      <c r="AQ208" s="55">
        <v>0</v>
      </c>
      <c r="AR208" s="55">
        <v>0</v>
      </c>
      <c r="AS208" s="55">
        <v>0</v>
      </c>
      <c r="AT208" s="55">
        <v>0</v>
      </c>
      <c r="AU208" s="55">
        <v>0</v>
      </c>
      <c r="AV208" s="55">
        <v>0</v>
      </c>
      <c r="AW208" s="56">
        <v>0</v>
      </c>
      <c r="AX208" s="54">
        <v>0</v>
      </c>
      <c r="AY208" s="54">
        <v>0</v>
      </c>
      <c r="AZ208" s="54">
        <v>0</v>
      </c>
      <c r="BA208" s="54">
        <v>0</v>
      </c>
      <c r="BB208" s="54">
        <v>0</v>
      </c>
      <c r="BC208" s="54">
        <v>0</v>
      </c>
      <c r="BD208" s="54">
        <v>0</v>
      </c>
      <c r="BE208" s="54">
        <v>0</v>
      </c>
      <c r="BF208" s="54">
        <v>0</v>
      </c>
      <c r="BG208" s="54">
        <v>0</v>
      </c>
      <c r="BH208" s="54">
        <v>0</v>
      </c>
      <c r="BI208" s="54">
        <v>0</v>
      </c>
      <c r="BJ208" s="54">
        <v>0</v>
      </c>
      <c r="BK208" s="54">
        <v>0</v>
      </c>
      <c r="BL208" s="54">
        <v>0</v>
      </c>
      <c r="BM208" s="54">
        <v>0</v>
      </c>
      <c r="BN208" s="54">
        <v>0</v>
      </c>
      <c r="BO208" s="54">
        <v>0</v>
      </c>
      <c r="BP208" s="54">
        <v>0</v>
      </c>
      <c r="BQ208" s="54">
        <v>0</v>
      </c>
      <c r="BR208" s="55"/>
      <c r="BS208" s="55">
        <v>0</v>
      </c>
      <c r="BT208" s="55">
        <v>0</v>
      </c>
      <c r="BU208" s="55">
        <v>0</v>
      </c>
      <c r="BV208" s="55">
        <v>0</v>
      </c>
      <c r="BW208" s="55">
        <v>0</v>
      </c>
      <c r="BX208" s="55">
        <v>0</v>
      </c>
      <c r="BY208" s="55">
        <v>0</v>
      </c>
      <c r="BZ208" s="55">
        <v>0</v>
      </c>
      <c r="CA208" s="55">
        <v>25282</v>
      </c>
      <c r="CB208" s="55">
        <v>27029</v>
      </c>
      <c r="CC208" s="55">
        <v>31541</v>
      </c>
      <c r="CD208" s="55">
        <v>22858</v>
      </c>
      <c r="CE208" s="55">
        <v>23492</v>
      </c>
      <c r="CF208" s="55">
        <v>22959</v>
      </c>
      <c r="CG208" s="55">
        <v>20792</v>
      </c>
      <c r="CH208" s="55">
        <v>21613</v>
      </c>
      <c r="CI208" s="55">
        <v>18495</v>
      </c>
      <c r="CJ208" s="55">
        <v>16056</v>
      </c>
      <c r="CK208" s="55">
        <v>14592</v>
      </c>
      <c r="CL208" s="55">
        <v>13652</v>
      </c>
      <c r="CM208" s="55">
        <v>12994</v>
      </c>
      <c r="CN208" s="55">
        <v>13004</v>
      </c>
      <c r="CO208" s="55">
        <v>13166</v>
      </c>
      <c r="CP208" s="55">
        <v>12911</v>
      </c>
      <c r="CQ208" s="55">
        <v>12636</v>
      </c>
      <c r="CR208" s="55">
        <v>12018</v>
      </c>
      <c r="CS208" s="55">
        <v>451</v>
      </c>
      <c r="CT208" s="55">
        <v>0</v>
      </c>
      <c r="CU208" s="55">
        <v>0</v>
      </c>
      <c r="CV208" s="55">
        <v>0</v>
      </c>
      <c r="CW208" s="55">
        <v>0</v>
      </c>
      <c r="CX208" s="55">
        <v>0</v>
      </c>
      <c r="CY208" s="56">
        <v>0</v>
      </c>
      <c r="CZ208" s="55">
        <v>0</v>
      </c>
      <c r="DA208" s="55">
        <v>0</v>
      </c>
      <c r="DB208" s="55">
        <v>0</v>
      </c>
      <c r="DC208" s="55">
        <v>0</v>
      </c>
      <c r="DD208" s="55">
        <v>0</v>
      </c>
      <c r="DE208" s="55">
        <v>0</v>
      </c>
      <c r="DF208" s="55">
        <v>0</v>
      </c>
      <c r="DG208" s="55">
        <v>0</v>
      </c>
      <c r="DH208" s="55">
        <v>0</v>
      </c>
      <c r="DI208" s="55">
        <v>0</v>
      </c>
    </row>
    <row r="209" spans="1:119" outlineLevel="1">
      <c r="A209" s="1" t="s">
        <v>1057</v>
      </c>
      <c r="B209" s="19" t="s">
        <v>434</v>
      </c>
      <c r="C209" s="53">
        <v>76954</v>
      </c>
      <c r="D209" s="53">
        <v>80103</v>
      </c>
      <c r="E209" s="53">
        <v>77483</v>
      </c>
      <c r="F209" s="53">
        <v>71297</v>
      </c>
      <c r="G209" s="53">
        <v>76422</v>
      </c>
      <c r="H209" s="53">
        <v>78238</v>
      </c>
      <c r="I209" s="53">
        <v>86391</v>
      </c>
      <c r="J209" s="53">
        <v>94219</v>
      </c>
      <c r="K209" s="53">
        <v>100105</v>
      </c>
      <c r="L209" s="53">
        <v>115757</v>
      </c>
      <c r="M209" s="53">
        <v>130721</v>
      </c>
      <c r="N209" s="53">
        <v>138015</v>
      </c>
      <c r="O209" s="53">
        <v>147197</v>
      </c>
      <c r="P209" s="53">
        <v>179163</v>
      </c>
      <c r="Q209" s="53">
        <v>166475</v>
      </c>
      <c r="R209" s="53">
        <v>141870</v>
      </c>
      <c r="S209" s="53">
        <v>153154</v>
      </c>
      <c r="T209" s="53">
        <v>169427</v>
      </c>
      <c r="U209" s="53">
        <v>165022</v>
      </c>
      <c r="V209" s="53">
        <v>177355</v>
      </c>
      <c r="W209" s="53">
        <v>174859</v>
      </c>
      <c r="X209" s="53">
        <v>171164</v>
      </c>
      <c r="Y209" s="53">
        <v>183205</v>
      </c>
      <c r="Z209" s="53">
        <v>151134</v>
      </c>
      <c r="AA209" s="164">
        <v>227348</v>
      </c>
      <c r="AB209" s="164">
        <v>247280</v>
      </c>
      <c r="AC209" s="164">
        <v>240317</v>
      </c>
      <c r="AD209" s="164">
        <v>114932</v>
      </c>
      <c r="AE209" s="164">
        <v>118992</v>
      </c>
      <c r="AF209" s="164">
        <v>122865</v>
      </c>
      <c r="AG209" s="164">
        <v>123165</v>
      </c>
      <c r="AH209" s="164">
        <v>128432</v>
      </c>
      <c r="AI209" s="164">
        <v>134760</v>
      </c>
      <c r="AJ209" s="164">
        <v>143187</v>
      </c>
      <c r="AK209" s="164">
        <v>147548</v>
      </c>
      <c r="AL209" s="164">
        <v>13715.343451788169</v>
      </c>
      <c r="AM209" s="164">
        <v>15024.111437467696</v>
      </c>
      <c r="AN209" s="164">
        <v>15557.553014736472</v>
      </c>
      <c r="AO209" s="164">
        <v>0</v>
      </c>
      <c r="AP209" s="164">
        <v>0</v>
      </c>
      <c r="AQ209" s="164">
        <v>0</v>
      </c>
      <c r="AR209" s="164">
        <v>0</v>
      </c>
      <c r="AS209" s="164">
        <v>0</v>
      </c>
      <c r="AT209" s="164">
        <v>0</v>
      </c>
      <c r="AU209" s="164">
        <v>0</v>
      </c>
      <c r="AV209" s="164">
        <v>0</v>
      </c>
      <c r="AW209" s="171">
        <v>0</v>
      </c>
      <c r="AX209" s="55">
        <v>0</v>
      </c>
      <c r="AY209" s="55">
        <v>0</v>
      </c>
      <c r="AZ209" s="55">
        <v>0</v>
      </c>
      <c r="BA209" s="55">
        <v>0</v>
      </c>
      <c r="BB209" s="55">
        <v>0</v>
      </c>
      <c r="BC209" s="55">
        <v>0</v>
      </c>
      <c r="BD209" s="55">
        <v>0</v>
      </c>
      <c r="BE209" s="55">
        <v>0</v>
      </c>
      <c r="BF209" s="55">
        <v>0</v>
      </c>
      <c r="BG209" s="55">
        <v>0</v>
      </c>
      <c r="BH209" s="55">
        <v>0</v>
      </c>
      <c r="BI209" s="55">
        <v>0</v>
      </c>
      <c r="BJ209" s="55">
        <v>0</v>
      </c>
      <c r="BK209" s="55">
        <v>0</v>
      </c>
      <c r="BL209" s="55">
        <v>0</v>
      </c>
      <c r="BM209" s="55">
        <v>0</v>
      </c>
      <c r="BN209" s="55">
        <v>0</v>
      </c>
      <c r="BO209" s="55">
        <v>0</v>
      </c>
      <c r="BP209" s="55">
        <v>0</v>
      </c>
      <c r="BQ209" s="55">
        <v>0</v>
      </c>
      <c r="BR209" s="55"/>
      <c r="BS209" s="53">
        <v>11900</v>
      </c>
      <c r="BT209" s="53">
        <v>12900</v>
      </c>
      <c r="BU209" s="53">
        <v>14300</v>
      </c>
      <c r="BV209" s="53">
        <v>14200</v>
      </c>
      <c r="BW209" s="53">
        <v>14343</v>
      </c>
      <c r="BX209" s="53">
        <v>22000</v>
      </c>
      <c r="BY209" s="53">
        <v>27200</v>
      </c>
      <c r="BZ209" s="53">
        <v>27531</v>
      </c>
      <c r="CA209" s="53">
        <v>62900</v>
      </c>
      <c r="CB209" s="53">
        <v>74452</v>
      </c>
      <c r="CC209" s="55">
        <v>77483</v>
      </c>
      <c r="CD209" s="55">
        <v>76422</v>
      </c>
      <c r="CE209" s="55">
        <v>86391</v>
      </c>
      <c r="CF209" s="55">
        <v>100105</v>
      </c>
      <c r="CG209" s="55">
        <v>130721</v>
      </c>
      <c r="CH209" s="55">
        <v>147197</v>
      </c>
      <c r="CI209" s="55">
        <v>166475</v>
      </c>
      <c r="CJ209" s="55">
        <v>153154</v>
      </c>
      <c r="CK209" s="55">
        <v>165022</v>
      </c>
      <c r="CL209" s="55">
        <v>174859</v>
      </c>
      <c r="CM209" s="55">
        <v>183205</v>
      </c>
      <c r="CN209" s="55">
        <v>227348</v>
      </c>
      <c r="CO209" s="55">
        <v>240317</v>
      </c>
      <c r="CP209" s="55">
        <v>118992</v>
      </c>
      <c r="CQ209" s="55">
        <v>123165</v>
      </c>
      <c r="CR209" s="55">
        <v>134760</v>
      </c>
      <c r="CS209" s="55">
        <v>147548</v>
      </c>
      <c r="CT209" s="55">
        <v>15024.111437467696</v>
      </c>
      <c r="CU209" s="55">
        <v>0</v>
      </c>
      <c r="CV209" s="55">
        <v>0</v>
      </c>
      <c r="CW209" s="55">
        <v>0</v>
      </c>
      <c r="CX209" s="55">
        <v>0</v>
      </c>
      <c r="CY209" s="56">
        <v>0</v>
      </c>
      <c r="CZ209" s="55">
        <v>0</v>
      </c>
      <c r="DA209" s="55">
        <v>0</v>
      </c>
      <c r="DB209" s="55">
        <v>0</v>
      </c>
      <c r="DC209" s="55">
        <v>0</v>
      </c>
      <c r="DD209" s="55">
        <v>0</v>
      </c>
      <c r="DE209" s="55">
        <v>0</v>
      </c>
      <c r="DF209" s="55">
        <v>0</v>
      </c>
      <c r="DG209" s="55">
        <v>0</v>
      </c>
      <c r="DH209" s="55">
        <v>0</v>
      </c>
      <c r="DI209" s="55">
        <v>0</v>
      </c>
    </row>
    <row r="210" spans="1:119" s="24" customFormat="1" outlineLevel="1">
      <c r="A210" s="1" t="s">
        <v>1058</v>
      </c>
      <c r="B210" s="24" t="s">
        <v>386</v>
      </c>
      <c r="C210" s="81">
        <v>101481</v>
      </c>
      <c r="D210" s="81">
        <v>106302</v>
      </c>
      <c r="E210" s="81">
        <v>102838</v>
      </c>
      <c r="F210" s="81">
        <v>95226</v>
      </c>
      <c r="G210" s="81">
        <v>99280</v>
      </c>
      <c r="H210" s="81">
        <v>105526</v>
      </c>
      <c r="I210" s="81">
        <v>109883</v>
      </c>
      <c r="J210" s="81">
        <v>117440</v>
      </c>
      <c r="K210" s="81">
        <v>123064</v>
      </c>
      <c r="L210" s="81">
        <v>136974</v>
      </c>
      <c r="M210" s="81">
        <v>151513</v>
      </c>
      <c r="N210" s="81">
        <v>160744</v>
      </c>
      <c r="O210" s="81">
        <v>168810</v>
      </c>
      <c r="P210" s="81">
        <v>199834</v>
      </c>
      <c r="Q210" s="81">
        <v>184970</v>
      </c>
      <c r="R210" s="81">
        <v>158767</v>
      </c>
      <c r="S210" s="81">
        <v>169210</v>
      </c>
      <c r="T210" s="81">
        <v>185699</v>
      </c>
      <c r="U210" s="81">
        <v>179614</v>
      </c>
      <c r="V210" s="81">
        <v>191454</v>
      </c>
      <c r="W210" s="81">
        <v>188511</v>
      </c>
      <c r="X210" s="81">
        <v>184045</v>
      </c>
      <c r="Y210" s="81">
        <v>196199</v>
      </c>
      <c r="Z210" s="81">
        <v>164166</v>
      </c>
      <c r="AA210" s="166">
        <v>240352</v>
      </c>
      <c r="AB210" s="166">
        <v>260420</v>
      </c>
      <c r="AC210" s="166">
        <v>253483</v>
      </c>
      <c r="AD210" s="166">
        <v>128109</v>
      </c>
      <c r="AE210" s="166">
        <v>131903</v>
      </c>
      <c r="AF210" s="166">
        <v>135476</v>
      </c>
      <c r="AG210" s="166">
        <v>135801</v>
      </c>
      <c r="AH210" s="166">
        <v>140820</v>
      </c>
      <c r="AI210" s="166">
        <v>146778</v>
      </c>
      <c r="AJ210" s="166">
        <v>143668</v>
      </c>
      <c r="AK210" s="166">
        <v>147999</v>
      </c>
      <c r="AL210" s="166">
        <v>13715.343451788169</v>
      </c>
      <c r="AM210" s="166">
        <v>15024.111437467696</v>
      </c>
      <c r="AN210" s="166">
        <v>15557.553014736472</v>
      </c>
      <c r="AO210" s="166">
        <v>0</v>
      </c>
      <c r="AP210" s="166">
        <v>0</v>
      </c>
      <c r="AQ210" s="166">
        <v>0</v>
      </c>
      <c r="AR210" s="166">
        <v>0</v>
      </c>
      <c r="AS210" s="166">
        <v>0</v>
      </c>
      <c r="AT210" s="166">
        <v>0</v>
      </c>
      <c r="AU210" s="166">
        <v>0</v>
      </c>
      <c r="AV210" s="166">
        <v>0</v>
      </c>
      <c r="AW210" s="804">
        <v>0</v>
      </c>
      <c r="AX210" s="82">
        <v>0</v>
      </c>
      <c r="AY210" s="82">
        <v>0</v>
      </c>
      <c r="AZ210" s="82">
        <v>0</v>
      </c>
      <c r="BA210" s="82">
        <v>0</v>
      </c>
      <c r="BB210" s="82">
        <v>0</v>
      </c>
      <c r="BC210" s="82">
        <v>0</v>
      </c>
      <c r="BD210" s="82">
        <v>0</v>
      </c>
      <c r="BE210" s="82">
        <v>0</v>
      </c>
      <c r="BF210" s="82">
        <v>0</v>
      </c>
      <c r="BG210" s="82">
        <v>0</v>
      </c>
      <c r="BH210" s="82">
        <v>0</v>
      </c>
      <c r="BI210" s="82">
        <v>0</v>
      </c>
      <c r="BJ210" s="82">
        <v>0</v>
      </c>
      <c r="BK210" s="82">
        <v>0</v>
      </c>
      <c r="BL210" s="82">
        <v>0</v>
      </c>
      <c r="BM210" s="82">
        <v>0</v>
      </c>
      <c r="BN210" s="82">
        <v>0</v>
      </c>
      <c r="BO210" s="82">
        <v>0</v>
      </c>
      <c r="BP210" s="82">
        <v>0</v>
      </c>
      <c r="BQ210" s="82">
        <v>0</v>
      </c>
      <c r="BR210" s="82"/>
      <c r="BS210" s="81">
        <v>11900</v>
      </c>
      <c r="BT210" s="81">
        <v>12900</v>
      </c>
      <c r="BU210" s="81">
        <v>14300</v>
      </c>
      <c r="BV210" s="81">
        <v>14200</v>
      </c>
      <c r="BW210" s="81">
        <v>14343</v>
      </c>
      <c r="BX210" s="81">
        <v>22000</v>
      </c>
      <c r="BY210" s="81">
        <v>27200</v>
      </c>
      <c r="BZ210" s="81">
        <v>27531</v>
      </c>
      <c r="CA210" s="81">
        <v>88182</v>
      </c>
      <c r="CB210" s="81">
        <v>101481</v>
      </c>
      <c r="CC210" s="82">
        <v>102838</v>
      </c>
      <c r="CD210" s="82">
        <v>99280</v>
      </c>
      <c r="CE210" s="82">
        <v>109883</v>
      </c>
      <c r="CF210" s="82">
        <v>123064</v>
      </c>
      <c r="CG210" s="82">
        <v>151513</v>
      </c>
      <c r="CH210" s="82">
        <v>168810</v>
      </c>
      <c r="CI210" s="82">
        <v>184970</v>
      </c>
      <c r="CJ210" s="82">
        <v>169210</v>
      </c>
      <c r="CK210" s="82">
        <v>179614</v>
      </c>
      <c r="CL210" s="82">
        <v>188511</v>
      </c>
      <c r="CM210" s="82">
        <v>196199</v>
      </c>
      <c r="CN210" s="82">
        <v>240352</v>
      </c>
      <c r="CO210" s="82">
        <v>253483</v>
      </c>
      <c r="CP210" s="82">
        <v>131903</v>
      </c>
      <c r="CQ210" s="82">
        <v>135801</v>
      </c>
      <c r="CR210" s="82">
        <v>146778</v>
      </c>
      <c r="CS210" s="82">
        <v>147999</v>
      </c>
      <c r="CT210" s="82">
        <v>15024.111437467696</v>
      </c>
      <c r="CU210" s="82">
        <v>0</v>
      </c>
      <c r="CV210" s="82">
        <v>0</v>
      </c>
      <c r="CW210" s="82">
        <v>0</v>
      </c>
      <c r="CX210" s="82">
        <v>0</v>
      </c>
      <c r="CY210" s="83">
        <v>0</v>
      </c>
      <c r="CZ210" s="82">
        <v>0</v>
      </c>
      <c r="DA210" s="82">
        <v>0</v>
      </c>
      <c r="DB210" s="82">
        <v>0</v>
      </c>
      <c r="DC210" s="82">
        <v>0</v>
      </c>
      <c r="DD210" s="82">
        <v>0</v>
      </c>
      <c r="DE210" s="82">
        <v>0</v>
      </c>
      <c r="DF210" s="82">
        <v>0</v>
      </c>
      <c r="DG210" s="82">
        <v>0</v>
      </c>
      <c r="DH210" s="82">
        <v>0</v>
      </c>
      <c r="DI210" s="82">
        <v>0</v>
      </c>
    </row>
    <row r="211" spans="1:119">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45"/>
      <c r="AH211" s="45"/>
      <c r="AI211" s="55"/>
      <c r="AJ211" s="55"/>
      <c r="AK211" s="45"/>
      <c r="AL211" s="45"/>
      <c r="AM211" s="45"/>
      <c r="AN211" s="45"/>
      <c r="AO211" s="45"/>
      <c r="AP211" s="45"/>
      <c r="AQ211" s="45"/>
      <c r="AR211" s="45"/>
      <c r="AS211" s="45"/>
      <c r="AT211" s="45"/>
      <c r="AU211" s="45"/>
      <c r="AV211" s="45"/>
      <c r="AW211" s="43"/>
      <c r="AX211" s="55"/>
      <c r="AY211" s="55"/>
      <c r="AZ211" s="55"/>
      <c r="BA211" s="55"/>
      <c r="BB211" s="55"/>
      <c r="BC211" s="55"/>
      <c r="BD211" s="55"/>
      <c r="BE211" s="55"/>
      <c r="BF211" s="55"/>
      <c r="BG211" s="55"/>
      <c r="BH211" s="55"/>
      <c r="BI211" s="55"/>
      <c r="BJ211" s="55"/>
      <c r="BK211" s="55"/>
      <c r="BL211" s="55"/>
      <c r="BM211" s="55"/>
      <c r="BN211" s="55"/>
      <c r="BO211" s="55"/>
      <c r="BP211" s="55"/>
      <c r="BQ211" s="55"/>
      <c r="BR211" s="55"/>
      <c r="BS211" s="55"/>
      <c r="BT211" s="55"/>
      <c r="BU211" s="55"/>
      <c r="BV211" s="55"/>
      <c r="BW211" s="55"/>
      <c r="BX211" s="55"/>
      <c r="BY211" s="55"/>
      <c r="BZ211" s="55"/>
      <c r="CA211" s="55"/>
      <c r="CB211" s="55"/>
      <c r="CC211" s="55"/>
      <c r="CD211" s="55"/>
      <c r="CE211" s="55"/>
      <c r="CF211" s="55"/>
      <c r="CG211" s="55"/>
      <c r="CH211" s="55"/>
      <c r="CI211" s="55"/>
      <c r="CJ211" s="55"/>
      <c r="CK211" s="55"/>
      <c r="CL211" s="55"/>
      <c r="CM211" s="55"/>
      <c r="CN211" s="55"/>
      <c r="CO211" s="55"/>
      <c r="CP211" s="55"/>
      <c r="CQ211" s="55"/>
      <c r="CR211" s="55"/>
      <c r="CS211" s="55"/>
      <c r="CT211" s="55"/>
      <c r="CU211" s="55"/>
      <c r="CV211" s="55"/>
      <c r="CW211" s="55"/>
      <c r="CX211" s="55"/>
      <c r="CY211" s="56"/>
      <c r="CZ211" s="55"/>
      <c r="DA211" s="55"/>
      <c r="DB211" s="55"/>
    </row>
    <row r="212" spans="1:119" s="36" customFormat="1" collapsed="1">
      <c r="A212" s="1" t="s">
        <v>1059</v>
      </c>
      <c r="B212" s="2" t="s">
        <v>387</v>
      </c>
      <c r="C212" s="3"/>
      <c r="D212" s="79">
        <v>168222</v>
      </c>
      <c r="E212" s="79">
        <v>173084</v>
      </c>
      <c r="F212" s="79">
        <v>183675</v>
      </c>
      <c r="G212" s="79">
        <v>192942</v>
      </c>
      <c r="H212" s="79">
        <v>204323</v>
      </c>
      <c r="I212" s="79">
        <v>224160</v>
      </c>
      <c r="J212" s="79">
        <v>246377</v>
      </c>
      <c r="K212" s="79">
        <v>260289</v>
      </c>
      <c r="L212" s="79">
        <v>277182</v>
      </c>
      <c r="M212" s="79">
        <v>294328</v>
      </c>
      <c r="N212" s="79">
        <v>318515</v>
      </c>
      <c r="O212" s="79">
        <v>358683</v>
      </c>
      <c r="P212" s="79">
        <v>385224</v>
      </c>
      <c r="Q212" s="79">
        <v>413116</v>
      </c>
      <c r="R212" s="79">
        <v>512537</v>
      </c>
      <c r="S212" s="79">
        <v>540279</v>
      </c>
      <c r="T212" s="79">
        <v>559159</v>
      </c>
      <c r="U212" s="79">
        <v>570338</v>
      </c>
      <c r="V212" s="79">
        <v>594157.02762430941</v>
      </c>
      <c r="W212" s="79">
        <v>600602</v>
      </c>
      <c r="X212" s="79">
        <v>622898</v>
      </c>
      <c r="Y212" s="79">
        <v>636547</v>
      </c>
      <c r="Z212" s="79">
        <v>649394</v>
      </c>
      <c r="AA212" s="79">
        <v>657951</v>
      </c>
      <c r="AB212" s="79">
        <v>690106</v>
      </c>
      <c r="AC212" s="79">
        <v>720889</v>
      </c>
      <c r="AD212" s="79">
        <v>739272</v>
      </c>
      <c r="AE212" s="79">
        <v>772747</v>
      </c>
      <c r="AF212" s="79">
        <v>780921</v>
      </c>
      <c r="AG212" s="79">
        <v>800379</v>
      </c>
      <c r="AH212" s="79">
        <v>823058</v>
      </c>
      <c r="AI212" s="79">
        <v>846619</v>
      </c>
      <c r="AJ212" s="79">
        <v>851522</v>
      </c>
      <c r="AK212" s="79">
        <v>857050</v>
      </c>
      <c r="AL212" s="79">
        <v>870903.72488873766</v>
      </c>
      <c r="AM212" s="79">
        <v>871940.34217183117</v>
      </c>
      <c r="AN212" s="79">
        <v>881850</v>
      </c>
      <c r="AO212" s="79">
        <v>913139</v>
      </c>
      <c r="AP212" s="79">
        <v>922924</v>
      </c>
      <c r="AQ212" s="79">
        <v>936883</v>
      </c>
      <c r="AR212" s="79">
        <v>1008070</v>
      </c>
      <c r="AS212" s="79">
        <v>1046062</v>
      </c>
      <c r="AT212" s="79">
        <v>1100027</v>
      </c>
      <c r="AU212" s="79">
        <v>1122667</v>
      </c>
      <c r="AV212" s="79">
        <v>1140693</v>
      </c>
      <c r="AW212" s="80">
        <v>1148062</v>
      </c>
      <c r="AX212" s="79">
        <v>1173025.0219461948</v>
      </c>
      <c r="AY212" s="79">
        <v>1197270.4596716519</v>
      </c>
      <c r="AZ212" s="79">
        <v>1221962.1827812395</v>
      </c>
      <c r="BA212" s="79">
        <v>1244422.093790672</v>
      </c>
      <c r="BB212" s="79">
        <v>1263101.9196756929</v>
      </c>
      <c r="BC212" s="79">
        <v>1283642.8850668531</v>
      </c>
      <c r="BD212" s="79">
        <v>1305966.2001269872</v>
      </c>
      <c r="BE212" s="79">
        <v>1328716.7271484891</v>
      </c>
      <c r="BF212" s="79">
        <v>1351902.4069544843</v>
      </c>
      <c r="BG212" s="79">
        <v>1375531.3417179491</v>
      </c>
      <c r="BH212" s="79">
        <v>1399611.7978379135</v>
      </c>
      <c r="BI212" s="79">
        <v>1424152.2088882101</v>
      </c>
      <c r="BJ212" s="79">
        <v>1449161.1786393493</v>
      </c>
      <c r="BK212" s="79">
        <v>1475793.2109088192</v>
      </c>
      <c r="BL212" s="79">
        <v>1504083.4615923613</v>
      </c>
      <c r="BM212" s="79">
        <v>1532922.2475750595</v>
      </c>
      <c r="BN212" s="79">
        <v>1562320.3140513361</v>
      </c>
      <c r="BO212" s="79">
        <v>1592288.6187445158</v>
      </c>
      <c r="BP212" s="79">
        <v>1622838.3361499233</v>
      </c>
      <c r="BQ212" s="79">
        <v>1653980.8618634723</v>
      </c>
      <c r="BR212" s="79"/>
      <c r="BS212" s="79">
        <v>71869.399999999994</v>
      </c>
      <c r="BT212" s="79">
        <v>72343.100000000006</v>
      </c>
      <c r="BU212" s="79">
        <v>74733.3</v>
      </c>
      <c r="BV212" s="79">
        <v>78461</v>
      </c>
      <c r="BW212" s="79">
        <v>85795</v>
      </c>
      <c r="BX212" s="79">
        <v>96163</v>
      </c>
      <c r="BY212" s="79">
        <v>102165</v>
      </c>
      <c r="BZ212" s="79">
        <v>114271</v>
      </c>
      <c r="CA212" s="79">
        <v>129163</v>
      </c>
      <c r="CB212" s="79">
        <v>160607</v>
      </c>
      <c r="CC212" s="79">
        <v>170672.98082191779</v>
      </c>
      <c r="CD212" s="79">
        <v>188346.58356164381</v>
      </c>
      <c r="CE212" s="79">
        <v>214295.69945355193</v>
      </c>
      <c r="CF212" s="79">
        <v>253390.17260273971</v>
      </c>
      <c r="CG212" s="79">
        <v>285685</v>
      </c>
      <c r="CH212" s="79">
        <v>345836</v>
      </c>
      <c r="CI212" s="79">
        <v>399094</v>
      </c>
      <c r="CJ212" s="79">
        <v>526294</v>
      </c>
      <c r="CK212" s="79">
        <v>564702</v>
      </c>
      <c r="CL212" s="79">
        <v>597406</v>
      </c>
      <c r="CM212" s="79">
        <v>629685</v>
      </c>
      <c r="CN212" s="79">
        <v>653637</v>
      </c>
      <c r="CO212" s="79">
        <v>705371</v>
      </c>
      <c r="CP212" s="79">
        <v>755872</v>
      </c>
      <c r="CQ212" s="79">
        <v>790596</v>
      </c>
      <c r="CR212" s="79">
        <v>834741</v>
      </c>
      <c r="CS212" s="79">
        <v>854264</v>
      </c>
      <c r="CT212" s="79">
        <v>871418</v>
      </c>
      <c r="CU212" s="79">
        <v>897409</v>
      </c>
      <c r="CV212" s="79">
        <v>929846</v>
      </c>
      <c r="CW212" s="79">
        <v>1026910</v>
      </c>
      <c r="CX212" s="79">
        <v>1111254</v>
      </c>
      <c r="CY212" s="80">
        <v>1144357</v>
      </c>
      <c r="CZ212" s="79">
        <v>1185247.3795940964</v>
      </c>
      <c r="DA212" s="79">
        <v>1233284.4392901042</v>
      </c>
      <c r="DB212" s="79">
        <v>1273456.8172975383</v>
      </c>
      <c r="DC212" s="79">
        <v>1317403.6235476332</v>
      </c>
      <c r="DD212" s="79">
        <v>1363813.9795475737</v>
      </c>
      <c r="DE212" s="79">
        <v>1411982.8543673782</v>
      </c>
      <c r="DF212" s="79">
        <v>1462586.6414820408</v>
      </c>
      <c r="DG212" s="79">
        <v>1518581.649080931</v>
      </c>
      <c r="DH212" s="79">
        <v>1577427.6238144734</v>
      </c>
      <c r="DI212" s="79">
        <v>1638537.5819890823</v>
      </c>
    </row>
    <row r="213" spans="1:119" outlineLevel="1">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45"/>
      <c r="AO213" s="45"/>
      <c r="AP213" s="45"/>
      <c r="AQ213" s="55"/>
      <c r="AR213" s="55"/>
      <c r="AS213" s="55"/>
      <c r="AT213" s="55"/>
      <c r="AU213" s="55"/>
      <c r="AV213" s="55"/>
      <c r="AW213" s="56"/>
      <c r="AX213" s="55"/>
      <c r="AY213" s="55"/>
      <c r="AZ213" s="55"/>
      <c r="BA213" s="55"/>
      <c r="BB213" s="55"/>
      <c r="BC213" s="55"/>
      <c r="BD213" s="55"/>
      <c r="BE213" s="55"/>
      <c r="BF213" s="55"/>
      <c r="BG213" s="55"/>
      <c r="BH213" s="55"/>
      <c r="BI213" s="55"/>
      <c r="BJ213" s="55"/>
      <c r="BK213" s="55"/>
      <c r="BL213" s="55"/>
      <c r="BM213" s="55"/>
      <c r="BN213" s="55"/>
      <c r="BO213" s="55"/>
      <c r="BP213" s="55"/>
      <c r="BQ213" s="55"/>
      <c r="BR213" s="55"/>
      <c r="BS213" s="55"/>
      <c r="BT213" s="55"/>
      <c r="BU213" s="55"/>
      <c r="BV213" s="55"/>
      <c r="BW213" s="55"/>
      <c r="BX213" s="55"/>
      <c r="BY213" s="55"/>
      <c r="BZ213" s="55"/>
      <c r="CA213" s="55"/>
      <c r="CB213" s="55"/>
      <c r="CC213" s="55"/>
      <c r="CD213" s="55"/>
      <c r="CE213" s="55"/>
      <c r="CF213" s="55"/>
      <c r="CG213" s="55"/>
      <c r="CH213" s="55"/>
      <c r="CI213" s="55"/>
      <c r="CJ213" s="55"/>
      <c r="CK213" s="55"/>
      <c r="CL213" s="55"/>
      <c r="CM213" s="55"/>
      <c r="CN213" s="55"/>
      <c r="CO213" s="55"/>
      <c r="CP213" s="55"/>
      <c r="CQ213" s="55"/>
      <c r="CR213" s="55"/>
      <c r="CS213" s="55"/>
      <c r="CT213" s="55"/>
      <c r="CU213" s="55"/>
      <c r="CV213" s="55"/>
      <c r="CW213" s="55"/>
      <c r="CX213" s="55"/>
      <c r="CY213" s="43"/>
      <c r="CZ213" s="42"/>
      <c r="DA213" s="42"/>
      <c r="DB213" s="42"/>
    </row>
    <row r="214" spans="1:119" s="24" customFormat="1" outlineLevel="1">
      <c r="A214" s="1"/>
      <c r="B214" s="24" t="s">
        <v>440</v>
      </c>
      <c r="C214" s="82"/>
      <c r="D214" s="82"/>
      <c r="E214" s="82"/>
      <c r="F214" s="82"/>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c r="AV214" s="82"/>
      <c r="AW214" s="83"/>
      <c r="AX214" s="82"/>
      <c r="AY214" s="82"/>
      <c r="AZ214" s="82"/>
      <c r="BA214" s="82"/>
      <c r="BB214" s="82"/>
      <c r="BC214" s="82"/>
      <c r="BD214" s="82"/>
      <c r="BE214" s="82"/>
      <c r="BF214" s="82"/>
      <c r="BG214" s="82"/>
      <c r="BH214" s="82"/>
      <c r="BI214" s="82"/>
      <c r="BJ214" s="82"/>
      <c r="BK214" s="82"/>
      <c r="BL214" s="82"/>
      <c r="BM214" s="82"/>
      <c r="BN214" s="82"/>
      <c r="BO214" s="82"/>
      <c r="BP214" s="82"/>
      <c r="BQ214" s="82"/>
      <c r="BR214" s="82"/>
      <c r="BS214" s="82"/>
      <c r="BT214" s="82"/>
      <c r="BU214" s="82"/>
      <c r="BV214" s="82"/>
      <c r="BW214" s="82"/>
      <c r="BX214" s="82"/>
      <c r="BY214" s="82"/>
      <c r="BZ214" s="82"/>
      <c r="CA214" s="82"/>
      <c r="CB214" s="82"/>
      <c r="CC214" s="82"/>
      <c r="CD214" s="82"/>
      <c r="CE214" s="82"/>
      <c r="CF214" s="82"/>
      <c r="CG214" s="82"/>
      <c r="CH214" s="82"/>
      <c r="CI214" s="82"/>
      <c r="CJ214" s="82"/>
      <c r="CK214" s="82"/>
      <c r="CL214" s="82"/>
      <c r="CM214" s="82"/>
      <c r="CN214" s="82"/>
      <c r="CO214" s="82"/>
      <c r="CP214" s="82"/>
      <c r="CQ214" s="82"/>
      <c r="CR214" s="55"/>
      <c r="CS214" s="55"/>
      <c r="CT214" s="55"/>
      <c r="CU214" s="55"/>
      <c r="CV214" s="55"/>
      <c r="CW214" s="55"/>
      <c r="CX214" s="55"/>
      <c r="CY214" s="56"/>
      <c r="CZ214" s="55"/>
      <c r="DA214" s="55"/>
      <c r="DO214" s="781"/>
    </row>
    <row r="215" spans="1:119" outlineLevel="1">
      <c r="A215" s="1" t="s">
        <v>191</v>
      </c>
      <c r="B215" s="19" t="s">
        <v>164</v>
      </c>
      <c r="C215" s="55">
        <v>65012.562896603209</v>
      </c>
      <c r="D215" s="55">
        <v>67840.901596714015</v>
      </c>
      <c r="E215" s="55">
        <v>72281.057155470349</v>
      </c>
      <c r="F215" s="55">
        <v>77988.943106508086</v>
      </c>
      <c r="G215" s="55">
        <v>83455.045478285174</v>
      </c>
      <c r="H215" s="55">
        <v>91926.891459099235</v>
      </c>
      <c r="I215" s="55">
        <v>104380.86774801454</v>
      </c>
      <c r="J215" s="55">
        <v>119126.04688530066</v>
      </c>
      <c r="K215" s="55">
        <v>125268.73710887975</v>
      </c>
      <c r="L215" s="55">
        <v>131765.98271199997</v>
      </c>
      <c r="M215" s="55">
        <v>138821.80868981205</v>
      </c>
      <c r="N215" s="55">
        <v>148359.62260864128</v>
      </c>
      <c r="O215" s="55">
        <v>163105.02516731212</v>
      </c>
      <c r="P215" s="55">
        <v>168314.23526192663</v>
      </c>
      <c r="Q215" s="55">
        <v>180084.49375315954</v>
      </c>
      <c r="R215" s="55">
        <v>226585.71074968006</v>
      </c>
      <c r="S215" s="55">
        <v>247721.06035450418</v>
      </c>
      <c r="T215" s="55">
        <v>273127.65111097379</v>
      </c>
      <c r="U215" s="55">
        <v>286017.68116509839</v>
      </c>
      <c r="V215" s="55">
        <v>295358.07380036608</v>
      </c>
      <c r="W215" s="55">
        <v>302928.32100504258</v>
      </c>
      <c r="X215" s="55">
        <v>311413.59011646447</v>
      </c>
      <c r="Y215" s="55">
        <v>319024.66979449324</v>
      </c>
      <c r="Z215" s="55">
        <v>326611.65868642653</v>
      </c>
      <c r="AA215" s="55">
        <v>331226.67804408498</v>
      </c>
      <c r="AB215" s="55">
        <v>341649.95961722865</v>
      </c>
      <c r="AC215" s="55">
        <v>352537.37317077373</v>
      </c>
      <c r="AD215" s="55">
        <v>363647.91108531575</v>
      </c>
      <c r="AE215" s="55">
        <v>375394.28080906509</v>
      </c>
      <c r="AF215" s="55">
        <v>371606.45338991197</v>
      </c>
      <c r="AG215" s="55">
        <v>379483.60525437753</v>
      </c>
      <c r="AH215" s="55">
        <v>392612.66019171936</v>
      </c>
      <c r="AI215" s="55">
        <v>402729.90760914324</v>
      </c>
      <c r="AJ215" s="55">
        <v>412688.04335623112</v>
      </c>
      <c r="AK215" s="55">
        <v>417578.6744665521</v>
      </c>
      <c r="AL215" s="55">
        <v>423893.90395503392</v>
      </c>
      <c r="AM215" s="55">
        <v>430611.83719378925</v>
      </c>
      <c r="AN215" s="55">
        <v>439051.7553851704</v>
      </c>
      <c r="AO215" s="55">
        <v>447002.17366901477</v>
      </c>
      <c r="AP215" s="55">
        <v>450682.87487452425</v>
      </c>
      <c r="AQ215" s="55">
        <v>462098.23634209315</v>
      </c>
      <c r="AR215" s="55">
        <v>480937.34389866411</v>
      </c>
      <c r="AS215" s="55">
        <v>497368.39724274894</v>
      </c>
      <c r="AT215" s="55">
        <v>512258.69216228806</v>
      </c>
      <c r="AU215" s="55">
        <v>524265.27952082857</v>
      </c>
      <c r="AV215" s="55">
        <v>525592.52578575024</v>
      </c>
      <c r="AW215" s="56">
        <v>529130.02935536066</v>
      </c>
      <c r="AX215" s="55">
        <v>541774.50925764267</v>
      </c>
      <c r="AY215" s="55">
        <v>554298.80338679475</v>
      </c>
      <c r="AZ215" s="55">
        <v>568819.01132975973</v>
      </c>
      <c r="BA215" s="55">
        <v>582217.88343118154</v>
      </c>
      <c r="BB215" s="55">
        <v>592744.96498150064</v>
      </c>
      <c r="BC215" s="55">
        <v>603462.38669333106</v>
      </c>
      <c r="BD215" s="55">
        <v>614373.59010713303</v>
      </c>
      <c r="BE215" s="55">
        <v>625482.07898986002</v>
      </c>
      <c r="BF215" s="55">
        <v>636791.42046007561</v>
      </c>
      <c r="BG215" s="55">
        <v>648305.24613341421</v>
      </c>
      <c r="BH215" s="55">
        <v>660027.2532887524</v>
      </c>
      <c r="BI215" s="55">
        <v>671961.2060554662</v>
      </c>
      <c r="BJ215" s="55">
        <v>684110.93662215502</v>
      </c>
      <c r="BK215" s="55">
        <v>696480.34646722011</v>
      </c>
      <c r="BL215" s="55">
        <v>709073.4076116936</v>
      </c>
      <c r="BM215" s="55">
        <v>721894.16389472038</v>
      </c>
      <c r="BN215" s="55">
        <v>734946.73227210075</v>
      </c>
      <c r="BO215" s="55">
        <v>748235.30413831258</v>
      </c>
      <c r="BP215" s="55">
        <v>761764.14667243732</v>
      </c>
      <c r="BQ215" s="55">
        <v>775537.60420842143</v>
      </c>
      <c r="BR215" s="55"/>
      <c r="BS215" s="55">
        <v>19862.590919744136</v>
      </c>
      <c r="BT215" s="55">
        <v>19840.789617295366</v>
      </c>
      <c r="BU215" s="55">
        <v>22212.928954213989</v>
      </c>
      <c r="BV215" s="55">
        <v>24900.714606277696</v>
      </c>
      <c r="BW215" s="55">
        <v>29198.820772113497</v>
      </c>
      <c r="BX215" s="55">
        <v>35112.700556686221</v>
      </c>
      <c r="BY215" s="55">
        <v>38608.518615479923</v>
      </c>
      <c r="BZ215" s="55">
        <v>42897.829793554134</v>
      </c>
      <c r="CA215" s="55">
        <v>49742.397004573941</v>
      </c>
      <c r="CB215" s="55">
        <v>64215.777647945724</v>
      </c>
      <c r="CC215" s="55">
        <v>70079.226590717211</v>
      </c>
      <c r="CD215" s="55">
        <v>80744.457726801178</v>
      </c>
      <c r="CE215" s="55">
        <v>98187.906861176874</v>
      </c>
      <c r="CF215" s="55">
        <v>122222.63592951588</v>
      </c>
      <c r="CG215" s="55">
        <v>135669.05609347858</v>
      </c>
      <c r="CH215" s="55">
        <v>158566.92130757394</v>
      </c>
      <c r="CI215" s="55">
        <v>176249.13466798997</v>
      </c>
      <c r="CJ215" s="55">
        <v>240808.76221657137</v>
      </c>
      <c r="CK215" s="55">
        <v>279269.46808789769</v>
      </c>
      <c r="CL215" s="55">
        <v>305876.50077005493</v>
      </c>
      <c r="CM215" s="55">
        <v>321833.39085417718</v>
      </c>
      <c r="CN215" s="55">
        <v>334363.4418977364</v>
      </c>
      <c r="CO215" s="55">
        <v>350891.39340278832</v>
      </c>
      <c r="CP215" s="55">
        <v>371552.7624343824</v>
      </c>
      <c r="CQ215" s="55">
        <v>377821.29524943215</v>
      </c>
      <c r="CR215" s="55">
        <v>397630.65808061638</v>
      </c>
      <c r="CS215" s="55">
        <v>415534.6717504781</v>
      </c>
      <c r="CT215" s="55">
        <v>428098.45429693174</v>
      </c>
      <c r="CU215" s="55">
        <v>442230.32756188279</v>
      </c>
      <c r="CV215" s="55">
        <v>456283.69993158628</v>
      </c>
      <c r="CW215" s="55">
        <v>489220.39544746303</v>
      </c>
      <c r="CX215" s="55">
        <v>518311.32798138791</v>
      </c>
      <c r="CY215" s="56">
        <v>527370.94288085494</v>
      </c>
      <c r="CZ215" s="55">
        <v>548088.12602411932</v>
      </c>
      <c r="DA215" s="55">
        <v>575573.51123842166</v>
      </c>
      <c r="DB215" s="55">
        <v>598147.72003623168</v>
      </c>
      <c r="DC215" s="55">
        <v>619958.18561101775</v>
      </c>
      <c r="DD215" s="55">
        <v>642595.65038855316</v>
      </c>
      <c r="DE215" s="55">
        <v>666043.27331361629</v>
      </c>
      <c r="DF215" s="55">
        <v>690346.47473583173</v>
      </c>
      <c r="DG215" s="55">
        <v>715518.81514195842</v>
      </c>
      <c r="DH215" s="55">
        <v>741645.62877451989</v>
      </c>
      <c r="DI215" s="55">
        <v>768707.47869057721</v>
      </c>
      <c r="DJ215" s="134"/>
    </row>
    <row r="216" spans="1:119" outlineLevel="1">
      <c r="A216" s="1" t="s">
        <v>394</v>
      </c>
      <c r="B216" s="19" t="s">
        <v>165</v>
      </c>
      <c r="C216" s="55">
        <v>28864.211845136637</v>
      </c>
      <c r="D216" s="55">
        <v>27231.650314932351</v>
      </c>
      <c r="E216" s="55">
        <v>25043.410569112853</v>
      </c>
      <c r="F216" s="55">
        <v>24328.796936696453</v>
      </c>
      <c r="G216" s="55">
        <v>23559.335796553609</v>
      </c>
      <c r="H216" s="55">
        <v>24396.919365208683</v>
      </c>
      <c r="I216" s="55">
        <v>25688.254850407306</v>
      </c>
      <c r="J216" s="55">
        <v>27557.765876689162</v>
      </c>
      <c r="K216" s="55">
        <v>28597.573665329321</v>
      </c>
      <c r="L216" s="55">
        <v>32029.612981056318</v>
      </c>
      <c r="M216" s="55">
        <v>36142.343872108766</v>
      </c>
      <c r="N216" s="55">
        <v>40456.062366894621</v>
      </c>
      <c r="O216" s="55">
        <v>46045.794038433487</v>
      </c>
      <c r="P216" s="55">
        <v>49847.848779399828</v>
      </c>
      <c r="Q216" s="55">
        <v>54353.698976508451</v>
      </c>
      <c r="R216" s="55">
        <v>61498.681998191016</v>
      </c>
      <c r="S216" s="55">
        <v>60099.067459244405</v>
      </c>
      <c r="T216" s="55">
        <v>63580.855842535188</v>
      </c>
      <c r="U216" s="55">
        <v>65907.167306545947</v>
      </c>
      <c r="V216" s="55">
        <v>77206.242437234541</v>
      </c>
      <c r="W216" s="55">
        <v>77685.494228890282</v>
      </c>
      <c r="X216" s="55">
        <v>79377.080906103074</v>
      </c>
      <c r="Y216" s="55">
        <v>79693.972157732322</v>
      </c>
      <c r="Z216" s="55">
        <v>80380.596019150937</v>
      </c>
      <c r="AA216" s="55">
        <v>79427.694527821004</v>
      </c>
      <c r="AB216" s="55">
        <v>78323.906051367288</v>
      </c>
      <c r="AC216" s="55">
        <v>77573.752159190291</v>
      </c>
      <c r="AD216" s="55">
        <v>78196.667962882682</v>
      </c>
      <c r="AE216" s="55">
        <v>79277.824527163859</v>
      </c>
      <c r="AF216" s="55">
        <v>77084.18919773103</v>
      </c>
      <c r="AG216" s="55">
        <v>77808.799011128547</v>
      </c>
      <c r="AH216" s="55">
        <v>80306.209102862529</v>
      </c>
      <c r="AI216" s="55">
        <v>81490.327519810598</v>
      </c>
      <c r="AJ216" s="55">
        <v>82641.866515695743</v>
      </c>
      <c r="AK216" s="55">
        <v>83524.200082227879</v>
      </c>
      <c r="AL216" s="55">
        <v>83804.106523133232</v>
      </c>
      <c r="AM216" s="55">
        <v>84308.496005119785</v>
      </c>
      <c r="AN216" s="55">
        <v>84892.544144925807</v>
      </c>
      <c r="AO216" s="55">
        <v>85060.668161928552</v>
      </c>
      <c r="AP216" s="55">
        <v>86275.476186095664</v>
      </c>
      <c r="AQ216" s="55">
        <v>90876.286292489531</v>
      </c>
      <c r="AR216" s="55">
        <v>96726.111390203776</v>
      </c>
      <c r="AS216" s="55">
        <v>102765.99907962876</v>
      </c>
      <c r="AT216" s="55">
        <v>109055.08201429274</v>
      </c>
      <c r="AU216" s="55">
        <v>114802.0026140581</v>
      </c>
      <c r="AV216" s="55">
        <v>119805.08036352157</v>
      </c>
      <c r="AW216" s="56">
        <v>125918.56904621891</v>
      </c>
      <c r="AX216" s="55">
        <v>131695.35530630709</v>
      </c>
      <c r="AY216" s="55">
        <v>134608.58826103786</v>
      </c>
      <c r="AZ216" s="55">
        <v>137586.26484196025</v>
      </c>
      <c r="BA216" s="55">
        <v>140629.81060652924</v>
      </c>
      <c r="BB216" s="55">
        <v>143740.68264695624</v>
      </c>
      <c r="BC216" s="55">
        <v>146920.37028778956</v>
      </c>
      <c r="BD216" s="55">
        <v>150170.39579892569</v>
      </c>
      <c r="BE216" s="55">
        <v>153492.3151243937</v>
      </c>
      <c r="BF216" s="55">
        <v>156887.71862726042</v>
      </c>
      <c r="BG216" s="55">
        <v>160358.23185101402</v>
      </c>
      <c r="BH216" s="55">
        <v>163905.51629779031</v>
      </c>
      <c r="BI216" s="55">
        <v>167531.27022381368</v>
      </c>
      <c r="BJ216" s="55">
        <v>171237.22945243464</v>
      </c>
      <c r="BK216" s="55">
        <v>175025.16820515192</v>
      </c>
      <c r="BL216" s="55">
        <v>178896.89995101807</v>
      </c>
      <c r="BM216" s="55">
        <v>182854.27827483445</v>
      </c>
      <c r="BN216" s="55">
        <v>186899.19776455205</v>
      </c>
      <c r="BO216" s="55">
        <v>191033.59491830171</v>
      </c>
      <c r="BP216" s="55">
        <v>195259.44907148942</v>
      </c>
      <c r="BQ216" s="55">
        <v>199578.7833443998</v>
      </c>
      <c r="BR216" s="55"/>
      <c r="BS216" s="55">
        <v>14586.987129515403</v>
      </c>
      <c r="BT216" s="55">
        <v>13686.879373773245</v>
      </c>
      <c r="BU216" s="55">
        <v>12654.337220177737</v>
      </c>
      <c r="BV216" s="55">
        <v>11451.510650688451</v>
      </c>
      <c r="BW216" s="55">
        <v>11951.579655123271</v>
      </c>
      <c r="BX216" s="55">
        <v>14091.603982376531</v>
      </c>
      <c r="BY216" s="55">
        <v>15355.93902378538</v>
      </c>
      <c r="BZ216" s="55">
        <v>17342.757251152339</v>
      </c>
      <c r="CA216" s="55">
        <v>20682.892165375051</v>
      </c>
      <c r="CB216" s="55">
        <v>25737.612277841574</v>
      </c>
      <c r="CC216" s="55">
        <v>26128.537675943891</v>
      </c>
      <c r="CD216" s="55">
        <v>23940.904197555952</v>
      </c>
      <c r="CE216" s="55">
        <v>25046.115346838593</v>
      </c>
      <c r="CF216" s="55">
        <v>28081.942953702284</v>
      </c>
      <c r="CG216" s="55">
        <v>33446.665050764299</v>
      </c>
      <c r="CH216" s="55">
        <v>43366.983226181728</v>
      </c>
      <c r="CI216" s="55">
        <v>51004.115648395025</v>
      </c>
      <c r="CJ216" s="55">
        <v>62478.791118798144</v>
      </c>
      <c r="CK216" s="55">
        <v>64612.912217154611</v>
      </c>
      <c r="CL216" s="55">
        <v>69215.150367485912</v>
      </c>
      <c r="CM216" s="55">
        <v>71075.267704020807</v>
      </c>
      <c r="CN216" s="55">
        <v>72916.455020841851</v>
      </c>
      <c r="CO216" s="55">
        <v>73826.339868784737</v>
      </c>
      <c r="CP216" s="55">
        <v>75784.109414913342</v>
      </c>
      <c r="CQ216" s="55">
        <v>76642.511164905329</v>
      </c>
      <c r="CR216" s="55">
        <v>79642.227678116978</v>
      </c>
      <c r="CS216" s="55">
        <v>82791.895236150725</v>
      </c>
      <c r="CT216" s="55">
        <v>84568.954831403244</v>
      </c>
      <c r="CU216" s="55">
        <v>85310.409391243986</v>
      </c>
      <c r="CV216" s="55">
        <v>89090.374639340851</v>
      </c>
      <c r="CW216" s="55">
        <v>99770.876691174184</v>
      </c>
      <c r="CX216" s="55">
        <v>111952.15979609228</v>
      </c>
      <c r="CY216" s="56">
        <v>122878.52822586121</v>
      </c>
      <c r="CZ216" s="55">
        <v>133163.94397389737</v>
      </c>
      <c r="DA216" s="55">
        <v>139120.54544656491</v>
      </c>
      <c r="DB216" s="55">
        <v>145343.59367685576</v>
      </c>
      <c r="DC216" s="55">
        <v>151840.4317439697</v>
      </c>
      <c r="DD216" s="55">
        <v>158637.2376222485</v>
      </c>
      <c r="DE216" s="55">
        <v>165733.2936194021</v>
      </c>
      <c r="DF216" s="55">
        <v>173146.76570037979</v>
      </c>
      <c r="DG216" s="55">
        <v>180886.40162200775</v>
      </c>
      <c r="DH216" s="55">
        <v>188983.38701466145</v>
      </c>
      <c r="DI216" s="55">
        <v>197436.8668967374</v>
      </c>
    </row>
    <row r="217" spans="1:119" outlineLevel="1">
      <c r="A217" s="1" t="s">
        <v>395</v>
      </c>
      <c r="B217" s="19" t="s">
        <v>166</v>
      </c>
      <c r="C217" s="55">
        <v>18574.918842101553</v>
      </c>
      <c r="D217" s="55">
        <v>17524.320333090429</v>
      </c>
      <c r="E217" s="55">
        <v>16116.127519659885</v>
      </c>
      <c r="F217" s="55">
        <v>15656.253877628307</v>
      </c>
      <c r="G217" s="55">
        <v>15161.084347034928</v>
      </c>
      <c r="H217" s="55">
        <v>15700.092544962466</v>
      </c>
      <c r="I217" s="55">
        <v>12381.860844841047</v>
      </c>
      <c r="J217" s="55">
        <v>13065.502024664776</v>
      </c>
      <c r="K217" s="55">
        <v>17496.813017457374</v>
      </c>
      <c r="L217" s="55">
        <v>17822.911480903615</v>
      </c>
      <c r="M217" s="55">
        <v>17961.456682730764</v>
      </c>
      <c r="N217" s="55">
        <v>18538.449009786538</v>
      </c>
      <c r="O217" s="55">
        <v>27043.137610587397</v>
      </c>
      <c r="P217" s="55">
        <v>37507.712647284454</v>
      </c>
      <c r="Q217" s="55">
        <v>43266.750579352025</v>
      </c>
      <c r="R217" s="55">
        <v>64204.042496801834</v>
      </c>
      <c r="S217" s="55">
        <v>71990.61127088168</v>
      </c>
      <c r="T217" s="55">
        <v>68513.000661337603</v>
      </c>
      <c r="U217" s="55">
        <v>64747.188876480708</v>
      </c>
      <c r="V217" s="55">
        <v>62490.691175505068</v>
      </c>
      <c r="W217" s="55">
        <v>60034.606640523722</v>
      </c>
      <c r="X217" s="55">
        <v>59306.566039415004</v>
      </c>
      <c r="Y217" s="55">
        <v>60676.283800548525</v>
      </c>
      <c r="Z217" s="55">
        <v>61472.741926074923</v>
      </c>
      <c r="AA217" s="55">
        <v>61530.330571918079</v>
      </c>
      <c r="AB217" s="55">
        <v>64562.037913738757</v>
      </c>
      <c r="AC217" s="55">
        <v>67837.766507672844</v>
      </c>
      <c r="AD217" s="55">
        <v>69805.428960789519</v>
      </c>
      <c r="AE217" s="55">
        <v>72965.74106854992</v>
      </c>
      <c r="AF217" s="55">
        <v>76895.076742328223</v>
      </c>
      <c r="AG217" s="55">
        <v>81936.03246407742</v>
      </c>
      <c r="AH217" s="55">
        <v>81584.888625381209</v>
      </c>
      <c r="AI217" s="55">
        <v>80594.322401554629</v>
      </c>
      <c r="AJ217" s="55">
        <v>80053.355473269301</v>
      </c>
      <c r="AK217" s="55">
        <v>76069.563496871502</v>
      </c>
      <c r="AL217" s="55">
        <v>73777.235791869316</v>
      </c>
      <c r="AM217" s="55">
        <v>70183.3042935212</v>
      </c>
      <c r="AN217" s="55">
        <v>67413.112450851899</v>
      </c>
      <c r="AO217" s="55">
        <v>70214.195981886136</v>
      </c>
      <c r="AP217" s="55">
        <v>69865.691842529006</v>
      </c>
      <c r="AQ217" s="55">
        <v>65324.106092794413</v>
      </c>
      <c r="AR217" s="55">
        <v>62612.079393709631</v>
      </c>
      <c r="AS217" s="55">
        <v>66905.840588638006</v>
      </c>
      <c r="AT217" s="55">
        <v>74641.94703574208</v>
      </c>
      <c r="AU217" s="55">
        <v>76936.032192389699</v>
      </c>
      <c r="AV217" s="55">
        <v>72515.85550208202</v>
      </c>
      <c r="AW217" s="56">
        <v>67273.834181091355</v>
      </c>
      <c r="AX217" s="55">
        <v>66501.019408660213</v>
      </c>
      <c r="AY217" s="55">
        <v>67972.088458999162</v>
      </c>
      <c r="AZ217" s="55">
        <v>69475.699027800671</v>
      </c>
      <c r="BA217" s="55">
        <v>71012.570965994615</v>
      </c>
      <c r="BB217" s="55">
        <v>72583.440048333388</v>
      </c>
      <c r="BC217" s="55">
        <v>74189.05832564256</v>
      </c>
      <c r="BD217" s="55">
        <v>75830.194484864071</v>
      </c>
      <c r="BE217" s="55">
        <v>77507.634217063736</v>
      </c>
      <c r="BF217" s="55">
        <v>79222.180593579411</v>
      </c>
      <c r="BG217" s="55">
        <v>80974.654450489936</v>
      </c>
      <c r="BH217" s="55">
        <v>82765.894781589246</v>
      </c>
      <c r="BI217" s="55">
        <v>84596.75914005276</v>
      </c>
      <c r="BJ217" s="55">
        <v>86468.124048989863</v>
      </c>
      <c r="BK217" s="55">
        <v>88380.885421077546</v>
      </c>
      <c r="BL217" s="55">
        <v>90335.958987477206</v>
      </c>
      <c r="BM217" s="55">
        <v>92334.280736239147</v>
      </c>
      <c r="BN217" s="55">
        <v>94376.807360405481</v>
      </c>
      <c r="BO217" s="55">
        <v>96464.516716024998</v>
      </c>
      <c r="BP217" s="55">
        <v>98598.408290300184</v>
      </c>
      <c r="BQ217" s="55">
        <v>100779.5036800899</v>
      </c>
      <c r="BR217" s="55"/>
      <c r="BS217" s="55">
        <v>11730.590823987683</v>
      </c>
      <c r="BT217" s="55">
        <v>11006.740471179433</v>
      </c>
      <c r="BU217" s="55">
        <v>10176.388774505911</v>
      </c>
      <c r="BV217" s="55">
        <v>9209.0974350661454</v>
      </c>
      <c r="BW217" s="55">
        <v>9611.2438702895124</v>
      </c>
      <c r="BX217" s="55">
        <v>11332.212670323099</v>
      </c>
      <c r="BY217" s="55">
        <v>12348.968008729256</v>
      </c>
      <c r="BZ217" s="55">
        <v>13946.731238376842</v>
      </c>
      <c r="CA217" s="55">
        <v>16632.80723390447</v>
      </c>
      <c r="CB217" s="55">
        <v>21800.79944473664</v>
      </c>
      <c r="CC217" s="55">
        <v>16814.43683262133</v>
      </c>
      <c r="CD217" s="55">
        <v>15406.634169055205</v>
      </c>
      <c r="CE217" s="55">
        <v>14031.910488070824</v>
      </c>
      <c r="CF217" s="55">
        <v>15299.368388154744</v>
      </c>
      <c r="CG217" s="55">
        <v>18025.181411675429</v>
      </c>
      <c r="CH217" s="55">
        <v>26763.535251264264</v>
      </c>
      <c r="CI217" s="55">
        <v>39566.730282755067</v>
      </c>
      <c r="CJ217" s="55">
        <v>61696.969997620319</v>
      </c>
      <c r="CK217" s="55">
        <v>67245.673037964167</v>
      </c>
      <c r="CL217" s="55">
        <v>62305.764323822521</v>
      </c>
      <c r="CM217" s="55">
        <v>61274.448189726572</v>
      </c>
      <c r="CN217" s="55">
        <v>62738.454128870319</v>
      </c>
      <c r="CO217" s="55">
        <v>66270.707787868669</v>
      </c>
      <c r="CP217" s="55">
        <v>72341.786467243292</v>
      </c>
      <c r="CQ217" s="55">
        <v>77991.249857439092</v>
      </c>
      <c r="CR217" s="55">
        <v>82393.831305394153</v>
      </c>
      <c r="CS217" s="55">
        <v>77975.90274171553</v>
      </c>
      <c r="CT217" s="55">
        <v>70574.378300116441</v>
      </c>
      <c r="CU217" s="55">
        <v>69701.909011761687</v>
      </c>
      <c r="CV217" s="55">
        <v>67088.383116689962</v>
      </c>
      <c r="CW217" s="55">
        <v>64776.605585125581</v>
      </c>
      <c r="CX217" s="55">
        <v>75798.417361284985</v>
      </c>
      <c r="CY217" s="56">
        <v>69880.522378961032</v>
      </c>
      <c r="CZ217" s="55">
        <v>67242.599423077656</v>
      </c>
      <c r="DA217" s="55">
        <v>70250.450908972416</v>
      </c>
      <c r="DB217" s="55">
        <v>73392.847618264583</v>
      </c>
      <c r="DC217" s="55">
        <v>76673.497519631113</v>
      </c>
      <c r="DD217" s="55">
        <v>80105.619469391837</v>
      </c>
      <c r="DE217" s="55">
        <v>83688.85106092428</v>
      </c>
      <c r="DF217" s="55">
        <v>87432.365398206675</v>
      </c>
      <c r="DG217" s="55">
        <v>91340.579757346597</v>
      </c>
      <c r="DH217" s="55">
        <v>95429.241665704089</v>
      </c>
      <c r="DI217" s="55">
        <v>99697.919390906507</v>
      </c>
    </row>
    <row r="218" spans="1:119" outlineLevel="1">
      <c r="A218" s="1" t="s">
        <v>396</v>
      </c>
      <c r="B218" s="19" t="s">
        <v>167</v>
      </c>
      <c r="C218" s="55">
        <v>7268.3064161585999</v>
      </c>
      <c r="D218" s="55">
        <v>9083.1277552632037</v>
      </c>
      <c r="E218" s="55">
        <v>10978.404755756907</v>
      </c>
      <c r="F218" s="55">
        <v>11534.006079167162</v>
      </c>
      <c r="G218" s="55">
        <v>11845.534378126287</v>
      </c>
      <c r="H218" s="55">
        <v>12080.096630729618</v>
      </c>
      <c r="I218" s="55">
        <v>12478.016556737111</v>
      </c>
      <c r="J218" s="55">
        <v>13859.685213345405</v>
      </c>
      <c r="K218" s="55">
        <v>14765.876208333557</v>
      </c>
      <c r="L218" s="55">
        <v>15238.397966088052</v>
      </c>
      <c r="M218" s="55">
        <v>15961.660615849578</v>
      </c>
      <c r="N218" s="55">
        <v>17320.866014677573</v>
      </c>
      <c r="O218" s="55">
        <v>19313.04318366701</v>
      </c>
      <c r="P218" s="55">
        <v>19864.203311389083</v>
      </c>
      <c r="Q218" s="55">
        <v>19984.056690979996</v>
      </c>
      <c r="R218" s="55">
        <v>20663.564755327083</v>
      </c>
      <c r="S218" s="55">
        <v>18672.260915369749</v>
      </c>
      <c r="T218" s="55">
        <v>19499.492385153426</v>
      </c>
      <c r="U218" s="55">
        <v>19973.962651874968</v>
      </c>
      <c r="V218" s="55">
        <v>20035.141758165064</v>
      </c>
      <c r="W218" s="55">
        <v>20263.578125543383</v>
      </c>
      <c r="X218" s="55">
        <v>20347.762938017426</v>
      </c>
      <c r="Y218" s="55">
        <v>20343.074247225883</v>
      </c>
      <c r="Z218" s="55">
        <v>20724.003368347592</v>
      </c>
      <c r="AA218" s="55">
        <v>20979.296856175952</v>
      </c>
      <c r="AB218" s="55">
        <v>21485.096417665311</v>
      </c>
      <c r="AC218" s="55">
        <v>21932.108162363147</v>
      </c>
      <c r="AD218" s="55">
        <v>22444.991991012033</v>
      </c>
      <c r="AE218" s="55">
        <v>22676.153595221105</v>
      </c>
      <c r="AF218" s="55">
        <v>21907.280670028755</v>
      </c>
      <c r="AG218" s="55">
        <v>21766.563270416511</v>
      </c>
      <c r="AH218" s="55">
        <v>21619.242080036929</v>
      </c>
      <c r="AI218" s="55">
        <v>21330.442469491547</v>
      </c>
      <c r="AJ218" s="55">
        <v>21195.734654803822</v>
      </c>
      <c r="AK218" s="55">
        <v>20946.561954348523</v>
      </c>
      <c r="AL218" s="55">
        <v>20458.753729963559</v>
      </c>
      <c r="AM218" s="55">
        <v>19773.362507569771</v>
      </c>
      <c r="AN218" s="55">
        <v>19040.58801905188</v>
      </c>
      <c r="AO218" s="55">
        <v>17335.962187170549</v>
      </c>
      <c r="AP218" s="55">
        <v>15470.957096851111</v>
      </c>
      <c r="AQ218" s="55">
        <v>14832.371272622891</v>
      </c>
      <c r="AR218" s="55">
        <v>14510.4653174225</v>
      </c>
      <c r="AS218" s="55">
        <v>14258.763088984315</v>
      </c>
      <c r="AT218" s="55">
        <v>14413.278787677124</v>
      </c>
      <c r="AU218" s="55">
        <v>14631.685672723655</v>
      </c>
      <c r="AV218" s="55">
        <v>14757.538348646209</v>
      </c>
      <c r="AW218" s="56">
        <v>14579.567417329121</v>
      </c>
      <c r="AX218" s="55">
        <v>14348.013961514078</v>
      </c>
      <c r="AY218" s="55">
        <v>14491.852801478251</v>
      </c>
      <c r="AZ218" s="55">
        <v>14637.133625813067</v>
      </c>
      <c r="BA218" s="55">
        <v>14783.870890411839</v>
      </c>
      <c r="BB218" s="55">
        <v>14932.079196088212</v>
      </c>
      <c r="BC218" s="55">
        <v>15081.773290028994</v>
      </c>
      <c r="BD218" s="55">
        <v>15232.968067261529</v>
      </c>
      <c r="BE218" s="55">
        <v>15385.678572135821</v>
      </c>
      <c r="BF218" s="55">
        <v>15539.919999821483</v>
      </c>
      <c r="BG218" s="55">
        <v>15695.707697819689</v>
      </c>
      <c r="BH218" s="55">
        <v>15853.057167490326</v>
      </c>
      <c r="BI218" s="55">
        <v>16011.984065594412</v>
      </c>
      <c r="BJ218" s="55">
        <v>16172.504205851996</v>
      </c>
      <c r="BK218" s="55">
        <v>16334.633560515655</v>
      </c>
      <c r="BL218" s="55">
        <v>16498.388261959819</v>
      </c>
      <c r="BM218" s="55">
        <v>16663.78460428596</v>
      </c>
      <c r="BN218" s="55">
        <v>16830.839044943921</v>
      </c>
      <c r="BO218" s="55">
        <v>16999.56820636948</v>
      </c>
      <c r="BP218" s="55">
        <v>17169.988877638338</v>
      </c>
      <c r="BQ218" s="55">
        <v>17342.118016136654</v>
      </c>
      <c r="BR218" s="55"/>
      <c r="BS218" s="55">
        <v>7052.7311267527803</v>
      </c>
      <c r="BT218" s="55">
        <v>6785.3905377519568</v>
      </c>
      <c r="BU218" s="55">
        <v>6811.3450511023611</v>
      </c>
      <c r="BV218" s="55">
        <v>7648.677307967705</v>
      </c>
      <c r="BW218" s="55">
        <v>7542.3557024737202</v>
      </c>
      <c r="BX218" s="55">
        <v>6755.4827906141509</v>
      </c>
      <c r="BY218" s="55">
        <v>7483.5743520054357</v>
      </c>
      <c r="BZ218" s="55">
        <v>9162.6817169166789</v>
      </c>
      <c r="CA218" s="55">
        <v>7854.9035961465388</v>
      </c>
      <c r="CB218" s="55">
        <v>7162.8106294760646</v>
      </c>
      <c r="CC218" s="55">
        <v>10038.555065101125</v>
      </c>
      <c r="CD218" s="55">
        <v>11691.050481930119</v>
      </c>
      <c r="CE218" s="55">
        <v>12280.143806645954</v>
      </c>
      <c r="CF218" s="55">
        <v>14316.504783421624</v>
      </c>
      <c r="CG218" s="55">
        <v>15832.097444081684</v>
      </c>
      <c r="CH218" s="55">
        <v>18668.560214980072</v>
      </c>
      <c r="CI218" s="55">
        <v>19731.019400859921</v>
      </c>
      <c r="CJ218" s="55">
        <v>20628.476667010174</v>
      </c>
      <c r="CK218" s="55">
        <v>19505.946656983553</v>
      </c>
      <c r="CL218" s="55">
        <v>20627.584538636667</v>
      </c>
      <c r="CM218" s="55">
        <v>20882.893252075413</v>
      </c>
      <c r="CN218" s="55">
        <v>21141.648952551441</v>
      </c>
      <c r="CO218" s="55">
        <v>21906.558940558272</v>
      </c>
      <c r="CP218" s="55">
        <v>22459.341683460956</v>
      </c>
      <c r="CQ218" s="55">
        <v>21750.943728223447</v>
      </c>
      <c r="CR218" s="55">
        <v>21426.282935872467</v>
      </c>
      <c r="CS218" s="55">
        <v>21040.53027165564</v>
      </c>
      <c r="CT218" s="55">
        <v>20152.2125715486</v>
      </c>
      <c r="CU218" s="55">
        <v>17737.354035111544</v>
      </c>
      <c r="CV218" s="55">
        <v>15206.542312382879</v>
      </c>
      <c r="CW218" s="55">
        <v>14383.579810483798</v>
      </c>
      <c r="CX218" s="55">
        <v>14523.379792741676</v>
      </c>
      <c r="CY218" s="56">
        <v>14668.066623612483</v>
      </c>
      <c r="CZ218" s="55">
        <v>14420.524500016567</v>
      </c>
      <c r="DA218" s="55">
        <v>14711.10528796697</v>
      </c>
      <c r="DB218" s="55">
        <v>15007.541424266579</v>
      </c>
      <c r="DC218" s="55">
        <v>15309.740561515273</v>
      </c>
      <c r="DD218" s="55">
        <v>15618.454072237018</v>
      </c>
      <c r="DE218" s="55">
        <v>15933.173740781154</v>
      </c>
      <c r="DF218" s="55">
        <v>16254.235168202989</v>
      </c>
      <c r="DG218" s="55">
        <v>16581.538335697551</v>
      </c>
      <c r="DH218" s="55">
        <v>16915.897033169407</v>
      </c>
      <c r="DI218" s="55">
        <v>17256.760826908721</v>
      </c>
    </row>
    <row r="219" spans="1:119" s="24" customFormat="1" outlineLevel="1">
      <c r="A219" s="1" t="s">
        <v>1122</v>
      </c>
      <c r="B219" s="24" t="s">
        <v>168</v>
      </c>
      <c r="C219" s="81">
        <v>119720</v>
      </c>
      <c r="D219" s="81">
        <v>121680</v>
      </c>
      <c r="E219" s="81">
        <v>124419</v>
      </c>
      <c r="F219" s="81">
        <v>129508</v>
      </c>
      <c r="G219" s="81">
        <v>134021</v>
      </c>
      <c r="H219" s="81">
        <v>144104</v>
      </c>
      <c r="I219" s="81">
        <v>154929</v>
      </c>
      <c r="J219" s="81">
        <v>173609</v>
      </c>
      <c r="K219" s="81">
        <v>186129</v>
      </c>
      <c r="L219" s="81">
        <v>197007</v>
      </c>
      <c r="M219" s="81">
        <v>209037</v>
      </c>
      <c r="N219" s="81">
        <v>224675</v>
      </c>
      <c r="O219" s="81">
        <v>255507</v>
      </c>
      <c r="P219" s="81">
        <v>275534</v>
      </c>
      <c r="Q219" s="81">
        <v>297689</v>
      </c>
      <c r="R219" s="81">
        <v>372952</v>
      </c>
      <c r="S219" s="81">
        <v>398483</v>
      </c>
      <c r="T219" s="81">
        <v>424721</v>
      </c>
      <c r="U219" s="81">
        <v>436646</v>
      </c>
      <c r="V219" s="81">
        <v>455090.14917127078</v>
      </c>
      <c r="W219" s="81">
        <v>460912</v>
      </c>
      <c r="X219" s="81">
        <v>470445</v>
      </c>
      <c r="Y219" s="81">
        <v>479738</v>
      </c>
      <c r="Z219" s="81">
        <v>489189</v>
      </c>
      <c r="AA219" s="166">
        <v>493164</v>
      </c>
      <c r="AB219" s="166">
        <v>506021</v>
      </c>
      <c r="AC219" s="166">
        <v>519881</v>
      </c>
      <c r="AD219" s="166">
        <v>534095</v>
      </c>
      <c r="AE219" s="166">
        <v>550314</v>
      </c>
      <c r="AF219" s="166">
        <v>547493</v>
      </c>
      <c r="AG219" s="166">
        <v>560995</v>
      </c>
      <c r="AH219" s="166">
        <v>576123</v>
      </c>
      <c r="AI219" s="166">
        <v>586145</v>
      </c>
      <c r="AJ219" s="166">
        <v>596579</v>
      </c>
      <c r="AK219" s="166">
        <v>598119</v>
      </c>
      <c r="AL219" s="166">
        <v>601934</v>
      </c>
      <c r="AM219" s="166">
        <v>604877</v>
      </c>
      <c r="AN219" s="166">
        <v>610398</v>
      </c>
      <c r="AO219" s="166">
        <v>619613</v>
      </c>
      <c r="AP219" s="166">
        <v>622295</v>
      </c>
      <c r="AQ219" s="166">
        <v>633131</v>
      </c>
      <c r="AR219" s="166">
        <v>654786</v>
      </c>
      <c r="AS219" s="166">
        <v>681299</v>
      </c>
      <c r="AT219" s="166">
        <v>710369</v>
      </c>
      <c r="AU219" s="166">
        <v>730635</v>
      </c>
      <c r="AV219" s="166">
        <v>732671</v>
      </c>
      <c r="AW219" s="167">
        <v>736902</v>
      </c>
      <c r="AX219" s="82">
        <v>754318.89793412399</v>
      </c>
      <c r="AY219" s="82">
        <v>771371.33290831</v>
      </c>
      <c r="AZ219" s="82">
        <v>790518.10882533377</v>
      </c>
      <c r="BA219" s="82">
        <v>808644.13589411718</v>
      </c>
      <c r="BB219" s="82">
        <v>824001.16687287844</v>
      </c>
      <c r="BC219" s="82">
        <v>839653.58859679208</v>
      </c>
      <c r="BD219" s="82">
        <v>855607.14845818433</v>
      </c>
      <c r="BE219" s="82">
        <v>871867.70690345322</v>
      </c>
      <c r="BF219" s="82">
        <v>888441.23968073691</v>
      </c>
      <c r="BG219" s="82">
        <v>905333.84013273788</v>
      </c>
      <c r="BH219" s="82">
        <v>922551.72153562226</v>
      </c>
      <c r="BI219" s="82">
        <v>940101.21948492713</v>
      </c>
      <c r="BJ219" s="82">
        <v>957988.79432943161</v>
      </c>
      <c r="BK219" s="82">
        <v>976221.0336539651</v>
      </c>
      <c r="BL219" s="82">
        <v>994804.65481214877</v>
      </c>
      <c r="BM219" s="82">
        <v>1013746.5075100801</v>
      </c>
      <c r="BN219" s="82">
        <v>1033053.5764420022</v>
      </c>
      <c r="BO219" s="82">
        <v>1052732.9839790089</v>
      </c>
      <c r="BP219" s="82">
        <v>1072791.9929118652</v>
      </c>
      <c r="BQ219" s="82">
        <v>1093238.0092490478</v>
      </c>
      <c r="BR219" s="82"/>
      <c r="BS219" s="81">
        <v>53232.9</v>
      </c>
      <c r="BT219" s="81">
        <v>51319.8</v>
      </c>
      <c r="BU219" s="81">
        <v>51855</v>
      </c>
      <c r="BV219" s="81">
        <v>53210</v>
      </c>
      <c r="BW219" s="81">
        <v>58304</v>
      </c>
      <c r="BX219" s="81">
        <v>67292</v>
      </c>
      <c r="BY219" s="81">
        <v>73797</v>
      </c>
      <c r="BZ219" s="81">
        <v>83350</v>
      </c>
      <c r="CA219" s="81">
        <v>94913</v>
      </c>
      <c r="CB219" s="81">
        <v>118917</v>
      </c>
      <c r="CC219" s="82">
        <v>123060.75616438357</v>
      </c>
      <c r="CD219" s="82">
        <v>131783.04657534248</v>
      </c>
      <c r="CE219" s="82">
        <v>149546.07650273226</v>
      </c>
      <c r="CF219" s="82">
        <v>179920.45205479453</v>
      </c>
      <c r="CG219" s="166">
        <v>202973</v>
      </c>
      <c r="CH219" s="166">
        <v>247366</v>
      </c>
      <c r="CI219" s="166">
        <v>286551</v>
      </c>
      <c r="CJ219" s="166">
        <v>385613</v>
      </c>
      <c r="CK219" s="166">
        <v>430634</v>
      </c>
      <c r="CL219" s="166">
        <v>458025</v>
      </c>
      <c r="CM219" s="166">
        <v>475066</v>
      </c>
      <c r="CN219" s="166">
        <v>491160</v>
      </c>
      <c r="CO219" s="166">
        <v>512895</v>
      </c>
      <c r="CP219" s="166">
        <v>542138</v>
      </c>
      <c r="CQ219" s="166">
        <v>554206</v>
      </c>
      <c r="CR219" s="166">
        <v>581093</v>
      </c>
      <c r="CS219" s="166">
        <v>597343</v>
      </c>
      <c r="CT219" s="166">
        <v>603394</v>
      </c>
      <c r="CU219" s="166">
        <v>614980</v>
      </c>
      <c r="CV219" s="166">
        <v>627669</v>
      </c>
      <c r="CW219" s="166">
        <v>667934</v>
      </c>
      <c r="CX219" s="166">
        <v>720419</v>
      </c>
      <c r="CY219" s="167">
        <v>734774</v>
      </c>
      <c r="CZ219" s="82">
        <v>762915.19392111094</v>
      </c>
      <c r="DA219" s="82">
        <v>799655.612881926</v>
      </c>
      <c r="DB219" s="82">
        <v>831891.70275561849</v>
      </c>
      <c r="DC219" s="82">
        <v>863781.8554361338</v>
      </c>
      <c r="DD219" s="82">
        <v>896956.96155243053</v>
      </c>
      <c r="DE219" s="82">
        <v>931398.59173472389</v>
      </c>
      <c r="DF219" s="82">
        <v>967179.84100262111</v>
      </c>
      <c r="DG219" s="82">
        <v>1004327.3348570105</v>
      </c>
      <c r="DH219" s="82">
        <v>1042974.1544880549</v>
      </c>
      <c r="DI219" s="82">
        <v>1083099.0258051297</v>
      </c>
    </row>
    <row r="220" spans="1:119" outlineLevel="1">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5"/>
      <c r="AU220" s="55"/>
      <c r="AV220" s="55"/>
      <c r="AW220" s="56"/>
      <c r="AX220" s="55"/>
      <c r="AY220" s="55"/>
      <c r="AZ220" s="55"/>
      <c r="BA220" s="55"/>
      <c r="BB220" s="55"/>
      <c r="BC220" s="55"/>
      <c r="BD220" s="55"/>
      <c r="BE220" s="55"/>
      <c r="BF220" s="55"/>
      <c r="BG220" s="55"/>
      <c r="BH220" s="55"/>
      <c r="BI220" s="55"/>
      <c r="BJ220" s="55"/>
      <c r="BK220" s="55"/>
      <c r="BL220" s="55"/>
      <c r="BM220" s="55"/>
      <c r="BN220" s="55"/>
      <c r="BO220" s="55"/>
      <c r="BP220" s="55"/>
      <c r="BQ220" s="55"/>
      <c r="BR220" s="55"/>
      <c r="BS220" s="55"/>
      <c r="BT220" s="55"/>
      <c r="BU220" s="55"/>
      <c r="BV220" s="55"/>
      <c r="BW220" s="55"/>
      <c r="BX220" s="55"/>
      <c r="BY220" s="55"/>
      <c r="BZ220" s="55"/>
      <c r="CA220" s="55"/>
      <c r="CB220" s="55"/>
      <c r="CC220" s="55"/>
      <c r="CD220" s="55"/>
      <c r="CE220" s="55"/>
      <c r="CF220" s="55"/>
      <c r="CG220" s="55"/>
      <c r="CH220" s="55"/>
      <c r="CI220" s="55"/>
      <c r="CJ220" s="55"/>
      <c r="CK220" s="55"/>
      <c r="CL220" s="55"/>
      <c r="CM220" s="55"/>
      <c r="CN220" s="55"/>
      <c r="CO220" s="55"/>
      <c r="CP220" s="55"/>
      <c r="CQ220" s="55"/>
      <c r="CR220" s="55"/>
      <c r="CS220" s="55"/>
      <c r="CT220" s="55"/>
      <c r="CU220" s="55"/>
      <c r="CV220" s="55"/>
      <c r="CW220" s="55"/>
      <c r="CX220" s="55"/>
      <c r="CY220" s="56"/>
      <c r="CZ220" s="55"/>
      <c r="DA220" s="55"/>
      <c r="DB220" s="55"/>
    </row>
    <row r="221" spans="1:119" s="24" customFormat="1" outlineLevel="1">
      <c r="A221" s="1"/>
      <c r="B221" s="24" t="s">
        <v>406</v>
      </c>
      <c r="C221" s="82"/>
      <c r="D221" s="82"/>
      <c r="E221" s="82"/>
      <c r="F221" s="82"/>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c r="AV221" s="82"/>
      <c r="AW221" s="83"/>
      <c r="AX221" s="82"/>
      <c r="AY221" s="82"/>
      <c r="AZ221" s="82"/>
      <c r="BA221" s="82"/>
      <c r="BB221" s="82"/>
      <c r="BC221" s="82"/>
      <c r="BD221" s="82"/>
      <c r="BE221" s="82"/>
      <c r="BF221" s="82"/>
      <c r="BG221" s="82"/>
      <c r="BH221" s="82"/>
      <c r="BI221" s="82"/>
      <c r="BJ221" s="82"/>
      <c r="BK221" s="82"/>
      <c r="BL221" s="82"/>
      <c r="BM221" s="82"/>
      <c r="BN221" s="82"/>
      <c r="BO221" s="82"/>
      <c r="BP221" s="82"/>
      <c r="BQ221" s="82"/>
      <c r="BR221" s="82"/>
      <c r="BS221" s="82"/>
      <c r="BT221" s="82"/>
      <c r="BU221" s="82"/>
      <c r="BV221" s="82"/>
      <c r="BW221" s="82"/>
      <c r="BX221" s="82"/>
      <c r="BY221" s="82"/>
      <c r="BZ221" s="82"/>
      <c r="CA221" s="82"/>
      <c r="CB221" s="82"/>
      <c r="CC221" s="82"/>
      <c r="CD221" s="82"/>
      <c r="CE221" s="82"/>
      <c r="CF221" s="82"/>
      <c r="CG221" s="82"/>
      <c r="CH221" s="82"/>
      <c r="CI221" s="82"/>
      <c r="CJ221" s="82"/>
      <c r="CK221" s="82"/>
      <c r="CL221" s="82"/>
      <c r="CM221" s="82"/>
      <c r="CN221" s="82"/>
      <c r="CO221" s="82"/>
      <c r="CP221" s="82"/>
      <c r="CQ221" s="82"/>
      <c r="CR221" s="82"/>
      <c r="CS221" s="82"/>
      <c r="CT221" s="82"/>
      <c r="CU221" s="82"/>
      <c r="CV221" s="82"/>
      <c r="CW221" s="82"/>
      <c r="CX221" s="82"/>
      <c r="CY221" s="83"/>
      <c r="CZ221" s="82"/>
      <c r="DA221" s="82"/>
      <c r="DB221" s="82"/>
    </row>
    <row r="222" spans="1:119" outlineLevel="1">
      <c r="A222" s="1" t="s">
        <v>480</v>
      </c>
      <c r="B222" s="19" t="s">
        <v>164</v>
      </c>
      <c r="C222" s="55">
        <v>8453.9166083099899</v>
      </c>
      <c r="D222" s="55">
        <v>8739.7682619647348</v>
      </c>
      <c r="E222" s="55">
        <v>9580.9263802172954</v>
      </c>
      <c r="F222" s="55">
        <v>11398.869138940583</v>
      </c>
      <c r="G222" s="55">
        <v>12534.424527485835</v>
      </c>
      <c r="H222" s="55">
        <v>13794.742265933302</v>
      </c>
      <c r="I222" s="55">
        <v>15801.84424327245</v>
      </c>
      <c r="J222" s="55">
        <v>18467.102908977165</v>
      </c>
      <c r="K222" s="55">
        <v>20044.390930414385</v>
      </c>
      <c r="L222" s="55">
        <v>21587.773269327943</v>
      </c>
      <c r="M222" s="55">
        <v>22919.706671724594</v>
      </c>
      <c r="N222" s="55">
        <v>24460.60456605089</v>
      </c>
      <c r="O222" s="55">
        <v>27331.776547167978</v>
      </c>
      <c r="P222" s="55">
        <v>29151.773269362577</v>
      </c>
      <c r="Q222" s="55">
        <v>29593.027908054995</v>
      </c>
      <c r="R222" s="55">
        <v>31154.320652173912</v>
      </c>
      <c r="S222" s="55">
        <v>30711.409317240603</v>
      </c>
      <c r="T222" s="55">
        <v>27041.373688361091</v>
      </c>
      <c r="U222" s="55">
        <v>29775.252107118431</v>
      </c>
      <c r="V222" s="55">
        <v>29297.186090361214</v>
      </c>
      <c r="W222" s="55">
        <v>28179.839498161367</v>
      </c>
      <c r="X222" s="55">
        <v>29048.907193320487</v>
      </c>
      <c r="Y222" s="55">
        <v>29121.58473223685</v>
      </c>
      <c r="Z222" s="55">
        <v>29771.388985105645</v>
      </c>
      <c r="AA222" s="55">
        <v>32190.359854352329</v>
      </c>
      <c r="AB222" s="55">
        <v>35825.762946687973</v>
      </c>
      <c r="AC222" s="55">
        <v>38252.709809322216</v>
      </c>
      <c r="AD222" s="55">
        <v>38263.039318703879</v>
      </c>
      <c r="AE222" s="55">
        <v>40617.276079966003</v>
      </c>
      <c r="AF222" s="55">
        <v>40585.49161326146</v>
      </c>
      <c r="AG222" s="55">
        <v>43008.552719721803</v>
      </c>
      <c r="AH222" s="55">
        <v>46751.941678969262</v>
      </c>
      <c r="AI222" s="55">
        <v>47482.848622693957</v>
      </c>
      <c r="AJ222" s="55">
        <v>47326.233842797592</v>
      </c>
      <c r="AK222" s="55">
        <v>49236.416697815301</v>
      </c>
      <c r="AL222" s="55">
        <v>50303.86911084671</v>
      </c>
      <c r="AM222" s="55">
        <v>53534.542427290056</v>
      </c>
      <c r="AN222" s="55">
        <v>54800.352674539477</v>
      </c>
      <c r="AO222" s="55">
        <v>56854.315171930459</v>
      </c>
      <c r="AP222" s="55">
        <v>58021.910473769793</v>
      </c>
      <c r="AQ222" s="55">
        <v>61133.576121208265</v>
      </c>
      <c r="AR222" s="55">
        <v>65617.052725647896</v>
      </c>
      <c r="AS222" s="55">
        <v>65340.655876740406</v>
      </c>
      <c r="AT222" s="55">
        <v>65956.085268661831</v>
      </c>
      <c r="AU222" s="55">
        <v>67813.599968867653</v>
      </c>
      <c r="AV222" s="55">
        <v>68199.07485896349</v>
      </c>
      <c r="AW222" s="56">
        <v>68564.835775311993</v>
      </c>
      <c r="AX222" s="55">
        <v>69544.637944982765</v>
      </c>
      <c r="AY222" s="55">
        <v>70891.71417553538</v>
      </c>
      <c r="AZ222" s="55">
        <v>71096.536909485338</v>
      </c>
      <c r="BA222" s="55">
        <v>70541.190788085485</v>
      </c>
      <c r="BB222" s="55">
        <v>69673.844393722611</v>
      </c>
      <c r="BC222" s="55">
        <v>69433.17588877902</v>
      </c>
      <c r="BD222" s="55">
        <v>69780.091826808275</v>
      </c>
      <c r="BE222" s="55">
        <v>70132.501271946065</v>
      </c>
      <c r="BF222" s="55">
        <v>70490.334386169503</v>
      </c>
      <c r="BG222" s="55">
        <v>70853.52232120221</v>
      </c>
      <c r="BH222" s="55">
        <v>71221.997082037895</v>
      </c>
      <c r="BI222" s="55">
        <v>71595.691394625552</v>
      </c>
      <c r="BJ222" s="55">
        <v>71974.538577375395</v>
      </c>
      <c r="BK222" s="55">
        <v>72890.502767108454</v>
      </c>
      <c r="BL222" s="55">
        <v>74355.601872727348</v>
      </c>
      <c r="BM222" s="55">
        <v>75850.149470369157</v>
      </c>
      <c r="BN222" s="55">
        <v>77374.737474723574</v>
      </c>
      <c r="BO222" s="55">
        <v>78929.969697965527</v>
      </c>
      <c r="BP222" s="55">
        <v>80516.462088894637</v>
      </c>
      <c r="BQ222" s="55">
        <v>82134.842976881424</v>
      </c>
      <c r="BR222" s="55"/>
      <c r="BS222" s="55">
        <v>1751.3092328284811</v>
      </c>
      <c r="BT222" s="55">
        <v>2262.2319912737489</v>
      </c>
      <c r="BU222" s="55">
        <v>2687.8728850084781</v>
      </c>
      <c r="BV222" s="55">
        <v>3518.481055774379</v>
      </c>
      <c r="BW222" s="55">
        <v>4333.9633449230951</v>
      </c>
      <c r="BX222" s="55">
        <v>5310.0102615694168</v>
      </c>
      <c r="BY222" s="55">
        <v>6199.8743278147094</v>
      </c>
      <c r="BZ222" s="55">
        <v>6859.7006029417416</v>
      </c>
      <c r="CA222" s="55">
        <v>6931.25</v>
      </c>
      <c r="CB222" s="55">
        <v>7890.2287325993993</v>
      </c>
      <c r="CC222" s="55">
        <v>9163.8041352756136</v>
      </c>
      <c r="CD222" s="55">
        <v>11971.313499193531</v>
      </c>
      <c r="CE222" s="55">
        <v>14803.777139786864</v>
      </c>
      <c r="CF222" s="55">
        <v>19262.228925263327</v>
      </c>
      <c r="CG222" s="55">
        <v>22024.216607773851</v>
      </c>
      <c r="CH222" s="55">
        <v>26236.106678666361</v>
      </c>
      <c r="CI222" s="55">
        <v>28872.15263826559</v>
      </c>
      <c r="CJ222" s="55">
        <v>31455.618770821169</v>
      </c>
      <c r="CK222" s="55">
        <v>26684.960017769881</v>
      </c>
      <c r="CL222" s="55">
        <v>28812.359778355811</v>
      </c>
      <c r="CM222" s="55">
        <v>29075.687863678824</v>
      </c>
      <c r="CN222" s="55">
        <v>31092.432188717357</v>
      </c>
      <c r="CO222" s="55">
        <v>37088.041037317249</v>
      </c>
      <c r="CP222" s="55">
        <v>39482.105750394687</v>
      </c>
      <c r="CQ222" s="55">
        <v>41874.283278056653</v>
      </c>
      <c r="CR222" s="55">
        <v>47017.631258867492</v>
      </c>
      <c r="CS222" s="55">
        <v>48250.856247844582</v>
      </c>
      <c r="CT222" s="55">
        <v>52037.550011466366</v>
      </c>
      <c r="CU222" s="55">
        <v>55918.541188063224</v>
      </c>
      <c r="CV222" s="55">
        <v>59398.911687392858</v>
      </c>
      <c r="CW222" s="55">
        <v>65477.718423732884</v>
      </c>
      <c r="CX222" s="55">
        <v>66892.476240820382</v>
      </c>
      <c r="CY222" s="56">
        <v>68382.954663903714</v>
      </c>
      <c r="CZ222" s="55">
        <v>70223.711989973672</v>
      </c>
      <c r="DA222" s="55">
        <v>70816.581604450883</v>
      </c>
      <c r="DB222" s="55">
        <v>69552.521092600349</v>
      </c>
      <c r="DC222" s="55">
        <v>69957.259416713612</v>
      </c>
      <c r="DD222" s="55">
        <v>70673.420906843516</v>
      </c>
      <c r="DE222" s="55">
        <v>71410.379968383451</v>
      </c>
      <c r="DF222" s="55">
        <v>72436.284908638088</v>
      </c>
      <c r="DG222" s="55">
        <v>75106.959134929784</v>
      </c>
      <c r="DH222" s="55">
        <v>78158.744951645538</v>
      </c>
      <c r="DI222" s="55">
        <v>81332.303413249625</v>
      </c>
    </row>
    <row r="223" spans="1:119" outlineLevel="1">
      <c r="A223" s="1" t="s">
        <v>1060</v>
      </c>
      <c r="B223" s="19" t="s">
        <v>343</v>
      </c>
      <c r="C223" s="55">
        <v>9553.0833916900101</v>
      </c>
      <c r="D223" s="55">
        <v>10117.231738035265</v>
      </c>
      <c r="E223" s="55">
        <v>10396.073619782706</v>
      </c>
      <c r="F223" s="55">
        <v>11148.130861059417</v>
      </c>
      <c r="G223" s="55">
        <v>11178.575472514163</v>
      </c>
      <c r="H223" s="55">
        <v>11091.257734066698</v>
      </c>
      <c r="I223" s="55">
        <v>12545.155756727549</v>
      </c>
      <c r="J223" s="55">
        <v>14412.897091022833</v>
      </c>
      <c r="K223" s="55">
        <v>15463.609069585615</v>
      </c>
      <c r="L223" s="55">
        <v>17150.226730672057</v>
      </c>
      <c r="M223" s="55">
        <v>19446.293328275406</v>
      </c>
      <c r="N223" s="55">
        <v>22155.39543394911</v>
      </c>
      <c r="O223" s="55">
        <v>23988.223452832022</v>
      </c>
      <c r="P223" s="55">
        <v>24418.226730637423</v>
      </c>
      <c r="Q223" s="55">
        <v>26250.972091945005</v>
      </c>
      <c r="R223" s="55">
        <v>30690.679347826088</v>
      </c>
      <c r="S223" s="55">
        <v>30544.590682759401</v>
      </c>
      <c r="T223" s="55">
        <v>20615.626311638909</v>
      </c>
      <c r="U223" s="55">
        <v>16516.747892881569</v>
      </c>
      <c r="V223" s="55">
        <v>16082.476893064195</v>
      </c>
      <c r="W223" s="55">
        <v>14929.160501838633</v>
      </c>
      <c r="X223" s="55">
        <v>15107.092806679511</v>
      </c>
      <c r="Y223" s="55">
        <v>15419.41526776315</v>
      </c>
      <c r="Z223" s="55">
        <v>16068.611014894355</v>
      </c>
      <c r="AA223" s="55">
        <v>17301.640145647671</v>
      </c>
      <c r="AB223" s="55">
        <v>19208.237053312027</v>
      </c>
      <c r="AC223" s="55">
        <v>20684.290190677788</v>
      </c>
      <c r="AD223" s="55">
        <v>21193.960681296125</v>
      </c>
      <c r="AE223" s="55">
        <v>23391.723920034001</v>
      </c>
      <c r="AF223" s="55">
        <v>23910.50838673854</v>
      </c>
      <c r="AG223" s="55">
        <v>25349.447280278193</v>
      </c>
      <c r="AH223" s="55">
        <v>27375.058321030734</v>
      </c>
      <c r="AI223" s="55">
        <v>28005.151377306043</v>
      </c>
      <c r="AJ223" s="55">
        <v>28131.766157202404</v>
      </c>
      <c r="AK223" s="55">
        <v>29284.583302184699</v>
      </c>
      <c r="AL223" s="55">
        <v>30070.130889153286</v>
      </c>
      <c r="AM223" s="55">
        <v>31788.457572709944</v>
      </c>
      <c r="AN223" s="55">
        <v>31931.647325460526</v>
      </c>
      <c r="AO223" s="55">
        <v>32232.684828069541</v>
      </c>
      <c r="AP223" s="55">
        <v>31505.089526230211</v>
      </c>
      <c r="AQ223" s="55">
        <v>32223.423878791735</v>
      </c>
      <c r="AR223" s="55">
        <v>34172.947274352096</v>
      </c>
      <c r="AS223" s="55">
        <v>33597.344123259594</v>
      </c>
      <c r="AT223" s="55">
        <v>33451.914731338169</v>
      </c>
      <c r="AU223" s="55">
        <v>34241.40003113234</v>
      </c>
      <c r="AV223" s="55">
        <v>34394.92514103651</v>
      </c>
      <c r="AW223" s="56">
        <v>34430.164224688015</v>
      </c>
      <c r="AX223" s="55">
        <v>34349.886699952578</v>
      </c>
      <c r="AY223" s="55">
        <v>34242.646580193177</v>
      </c>
      <c r="AZ223" s="55">
        <v>34002.358556256084</v>
      </c>
      <c r="BA223" s="55">
        <v>33652.928463450997</v>
      </c>
      <c r="BB223" s="55">
        <v>33239.145454737511</v>
      </c>
      <c r="BC223" s="55">
        <v>33124.330268180725</v>
      </c>
      <c r="BD223" s="55">
        <v>33289.832680528736</v>
      </c>
      <c r="BE223" s="55">
        <v>33457.955868053243</v>
      </c>
      <c r="BF223" s="55">
        <v>33628.666513284501</v>
      </c>
      <c r="BG223" s="55">
        <v>33801.931770928953</v>
      </c>
      <c r="BH223" s="55">
        <v>33977.719202760694</v>
      </c>
      <c r="BI223" s="55">
        <v>34155.996714498353</v>
      </c>
      <c r="BJ223" s="55">
        <v>34336.732494504693</v>
      </c>
      <c r="BK223" s="55">
        <v>34773.709486355758</v>
      </c>
      <c r="BL223" s="55">
        <v>35472.661047031506</v>
      </c>
      <c r="BM223" s="55">
        <v>36185.66153407684</v>
      </c>
      <c r="BN223" s="55">
        <v>36912.993330911784</v>
      </c>
      <c r="BO223" s="55">
        <v>37654.944496863107</v>
      </c>
      <c r="BP223" s="55">
        <v>38411.808881250057</v>
      </c>
      <c r="BQ223" s="55">
        <v>39183.886239763182</v>
      </c>
      <c r="BR223" s="55"/>
      <c r="BS223" s="55">
        <v>4771.1907671715189</v>
      </c>
      <c r="BT223" s="55">
        <v>4902.368008726251</v>
      </c>
      <c r="BU223" s="55">
        <v>3631.4271149915221</v>
      </c>
      <c r="BV223" s="55">
        <v>3544.5189442256201</v>
      </c>
      <c r="BW223" s="55">
        <v>3852.0366550769049</v>
      </c>
      <c r="BX223" s="55">
        <v>4421.9897384305832</v>
      </c>
      <c r="BY223" s="55">
        <v>5747.1256721852906</v>
      </c>
      <c r="BZ223" s="55">
        <v>6446.2993970582584</v>
      </c>
      <c r="CA223" s="55">
        <v>7168.75</v>
      </c>
      <c r="CB223" s="55">
        <v>9101.7712674006016</v>
      </c>
      <c r="CC223" s="55">
        <v>10257.798604450414</v>
      </c>
      <c r="CD223" s="55">
        <v>11163.478281628386</v>
      </c>
      <c r="CE223" s="55">
        <v>11822.179144366144</v>
      </c>
      <c r="CF223" s="55">
        <v>14942.571074736672</v>
      </c>
      <c r="CG223" s="55">
        <v>18512.783392226149</v>
      </c>
      <c r="CH223" s="55">
        <v>22712.893321333642</v>
      </c>
      <c r="CI223" s="55">
        <v>25828.84736173441</v>
      </c>
      <c r="CJ223" s="55">
        <v>30097.381229178831</v>
      </c>
      <c r="CK223" s="55">
        <v>20295.039982230119</v>
      </c>
      <c r="CL223" s="55">
        <v>15422.640221644189</v>
      </c>
      <c r="CM223" s="55">
        <v>15271.312136321174</v>
      </c>
      <c r="CN223" s="55">
        <v>16558.567811282643</v>
      </c>
      <c r="CO223" s="55">
        <v>19880.958962682755</v>
      </c>
      <c r="CP223" s="55">
        <v>22231.894249605317</v>
      </c>
      <c r="CQ223" s="55">
        <v>24542.716721943347</v>
      </c>
      <c r="CR223" s="55">
        <v>27784.368741132508</v>
      </c>
      <c r="CS223" s="55">
        <v>28726.143752155418</v>
      </c>
      <c r="CT223" s="55">
        <v>30790.449988533634</v>
      </c>
      <c r="CU223" s="55">
        <v>31984.458811936776</v>
      </c>
      <c r="CV223" s="55">
        <v>32027.088312607146</v>
      </c>
      <c r="CW223" s="55">
        <v>33882.780206404095</v>
      </c>
      <c r="CX223" s="55">
        <v>33849.9018413714</v>
      </c>
      <c r="CY223" s="56">
        <v>34412.640964511585</v>
      </c>
      <c r="CZ223" s="55">
        <v>34295.825927251943</v>
      </c>
      <c r="DA223" s="55">
        <v>33826.207495773517</v>
      </c>
      <c r="DB223" s="55">
        <v>33181.266018226692</v>
      </c>
      <c r="DC223" s="55">
        <v>33374.353627262368</v>
      </c>
      <c r="DD223" s="55">
        <v>33716.011191110738</v>
      </c>
      <c r="DE223" s="55">
        <v>34067.590605938029</v>
      </c>
      <c r="DF223" s="55">
        <v>34557.016786287146</v>
      </c>
      <c r="DG223" s="55">
        <v>35831.109379316593</v>
      </c>
      <c r="DH223" s="55">
        <v>37287.018028268067</v>
      </c>
      <c r="DI223" s="55">
        <v>38801.020481158041</v>
      </c>
    </row>
    <row r="224" spans="1:119" s="24" customFormat="1" outlineLevel="1">
      <c r="A224" s="1" t="s">
        <v>1121</v>
      </c>
      <c r="B224" s="24" t="s">
        <v>168</v>
      </c>
      <c r="C224" s="81">
        <v>18007</v>
      </c>
      <c r="D224" s="81">
        <v>18857</v>
      </c>
      <c r="E224" s="81">
        <v>19977</v>
      </c>
      <c r="F224" s="81">
        <v>22547</v>
      </c>
      <c r="G224" s="81">
        <v>23713</v>
      </c>
      <c r="H224" s="81">
        <v>24886</v>
      </c>
      <c r="I224" s="81">
        <v>28347</v>
      </c>
      <c r="J224" s="81">
        <v>32880</v>
      </c>
      <c r="K224" s="81">
        <v>35508</v>
      </c>
      <c r="L224" s="81">
        <v>38738</v>
      </c>
      <c r="M224" s="81">
        <v>42366</v>
      </c>
      <c r="N224" s="81">
        <v>46616</v>
      </c>
      <c r="O224" s="81">
        <v>51320</v>
      </c>
      <c r="P224" s="81">
        <v>53570</v>
      </c>
      <c r="Q224" s="81">
        <v>55844</v>
      </c>
      <c r="R224" s="81">
        <v>61845</v>
      </c>
      <c r="S224" s="81">
        <v>61256</v>
      </c>
      <c r="T224" s="81">
        <v>47657</v>
      </c>
      <c r="U224" s="81">
        <v>46292</v>
      </c>
      <c r="V224" s="81">
        <v>45379.662983425413</v>
      </c>
      <c r="W224" s="81">
        <v>43109</v>
      </c>
      <c r="X224" s="81">
        <v>44156</v>
      </c>
      <c r="Y224" s="81">
        <v>44541</v>
      </c>
      <c r="Z224" s="81">
        <v>45840</v>
      </c>
      <c r="AA224" s="166">
        <v>49492</v>
      </c>
      <c r="AB224" s="166">
        <v>55034</v>
      </c>
      <c r="AC224" s="166">
        <v>58937</v>
      </c>
      <c r="AD224" s="166">
        <v>59457</v>
      </c>
      <c r="AE224" s="166">
        <v>64009</v>
      </c>
      <c r="AF224" s="166">
        <v>64496</v>
      </c>
      <c r="AG224" s="166">
        <v>68358</v>
      </c>
      <c r="AH224" s="166">
        <v>74127</v>
      </c>
      <c r="AI224" s="166">
        <v>75488</v>
      </c>
      <c r="AJ224" s="166">
        <v>75458</v>
      </c>
      <c r="AK224" s="166">
        <v>78521</v>
      </c>
      <c r="AL224" s="166">
        <v>80374</v>
      </c>
      <c r="AM224" s="166">
        <v>85323</v>
      </c>
      <c r="AN224" s="166">
        <v>86732</v>
      </c>
      <c r="AO224" s="166">
        <v>89087</v>
      </c>
      <c r="AP224" s="166">
        <v>89527</v>
      </c>
      <c r="AQ224" s="166">
        <v>93357</v>
      </c>
      <c r="AR224" s="166">
        <v>99790</v>
      </c>
      <c r="AS224" s="166">
        <v>98938</v>
      </c>
      <c r="AT224" s="166">
        <v>99408</v>
      </c>
      <c r="AU224" s="166">
        <v>102055</v>
      </c>
      <c r="AV224" s="166">
        <v>102594</v>
      </c>
      <c r="AW224" s="167">
        <v>102995</v>
      </c>
      <c r="AX224" s="82">
        <v>103894.52464493534</v>
      </c>
      <c r="AY224" s="82">
        <v>105134.36075572856</v>
      </c>
      <c r="AZ224" s="82">
        <v>105098.89546574141</v>
      </c>
      <c r="BA224" s="82">
        <v>104194.1192515365</v>
      </c>
      <c r="BB224" s="82">
        <v>102912.98984846013</v>
      </c>
      <c r="BC224" s="82">
        <v>102557.50615695973</v>
      </c>
      <c r="BD224" s="82">
        <v>103069.92450733701</v>
      </c>
      <c r="BE224" s="82">
        <v>103590.45713999929</v>
      </c>
      <c r="BF224" s="82">
        <v>104119.000899454</v>
      </c>
      <c r="BG224" s="82">
        <v>104655.45409213117</v>
      </c>
      <c r="BH224" s="82">
        <v>105199.71628479859</v>
      </c>
      <c r="BI224" s="82">
        <v>105751.6881091239</v>
      </c>
      <c r="BJ224" s="82">
        <v>106311.2710718801</v>
      </c>
      <c r="BK224" s="82">
        <v>107664.21225346421</v>
      </c>
      <c r="BL224" s="82">
        <v>109828.26291975885</v>
      </c>
      <c r="BM224" s="82">
        <v>112035.811004446</v>
      </c>
      <c r="BN224" s="82">
        <v>114287.73080563536</v>
      </c>
      <c r="BO224" s="82">
        <v>116584.91419482864</v>
      </c>
      <c r="BP224" s="82">
        <v>118928.2709701447</v>
      </c>
      <c r="BQ224" s="82">
        <v>121318.72921664461</v>
      </c>
      <c r="BR224" s="82"/>
      <c r="BS224" s="81">
        <v>6522.5</v>
      </c>
      <c r="BT224" s="81">
        <v>7164.6</v>
      </c>
      <c r="BU224" s="81">
        <v>6319.3</v>
      </c>
      <c r="BV224" s="81">
        <v>7063</v>
      </c>
      <c r="BW224" s="81">
        <v>8186</v>
      </c>
      <c r="BX224" s="81">
        <v>9732</v>
      </c>
      <c r="BY224" s="81">
        <v>11947</v>
      </c>
      <c r="BZ224" s="81">
        <v>13306</v>
      </c>
      <c r="CA224" s="81">
        <v>14100</v>
      </c>
      <c r="CB224" s="81">
        <v>16992</v>
      </c>
      <c r="CC224" s="82">
        <v>19421.602739726026</v>
      </c>
      <c r="CD224" s="82">
        <v>23134.791780821917</v>
      </c>
      <c r="CE224" s="82">
        <v>26625.956284153006</v>
      </c>
      <c r="CF224" s="82">
        <v>34204.799999999996</v>
      </c>
      <c r="CG224" s="166">
        <v>40537</v>
      </c>
      <c r="CH224" s="166">
        <v>48949</v>
      </c>
      <c r="CI224" s="166">
        <v>54701</v>
      </c>
      <c r="CJ224" s="166">
        <v>61553</v>
      </c>
      <c r="CK224" s="166">
        <v>46980</v>
      </c>
      <c r="CL224" s="166">
        <v>44235</v>
      </c>
      <c r="CM224" s="166">
        <v>44347</v>
      </c>
      <c r="CN224" s="166">
        <v>47651</v>
      </c>
      <c r="CO224" s="166">
        <v>56969</v>
      </c>
      <c r="CP224" s="166">
        <v>61714</v>
      </c>
      <c r="CQ224" s="166">
        <v>66417</v>
      </c>
      <c r="CR224" s="166">
        <v>74802</v>
      </c>
      <c r="CS224" s="166">
        <v>76977</v>
      </c>
      <c r="CT224" s="166">
        <v>82828</v>
      </c>
      <c r="CU224" s="166">
        <v>87903</v>
      </c>
      <c r="CV224" s="166">
        <v>91426</v>
      </c>
      <c r="CW224" s="166">
        <v>99368</v>
      </c>
      <c r="CX224" s="166">
        <v>100720</v>
      </c>
      <c r="CY224" s="167">
        <v>102794</v>
      </c>
      <c r="CZ224" s="82">
        <v>104519.53791722562</v>
      </c>
      <c r="DA224" s="82">
        <v>104642.7891002244</v>
      </c>
      <c r="DB224" s="82">
        <v>102733.78711082705</v>
      </c>
      <c r="DC224" s="82">
        <v>103331.61304397597</v>
      </c>
      <c r="DD224" s="82">
        <v>104389.43209795427</v>
      </c>
      <c r="DE224" s="82">
        <v>105477.97057432149</v>
      </c>
      <c r="DF224" s="82">
        <v>106993.30169492523</v>
      </c>
      <c r="DG224" s="82">
        <v>110938.06851424638</v>
      </c>
      <c r="DH224" s="82">
        <v>115445.76297991362</v>
      </c>
      <c r="DI224" s="82">
        <v>120133.32389440767</v>
      </c>
    </row>
    <row r="225" spans="1:114" outlineLevel="1">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5"/>
      <c r="AU225" s="55"/>
      <c r="AV225" s="55"/>
      <c r="AW225" s="56"/>
      <c r="AX225" s="55"/>
      <c r="AY225" s="55"/>
      <c r="AZ225" s="55"/>
      <c r="BA225" s="55"/>
      <c r="BB225" s="55"/>
      <c r="BC225" s="55"/>
      <c r="BD225" s="55"/>
      <c r="BE225" s="55"/>
      <c r="BF225" s="55"/>
      <c r="BG225" s="55"/>
      <c r="BH225" s="55"/>
      <c r="BI225" s="55"/>
      <c r="BJ225" s="55"/>
      <c r="BK225" s="55"/>
      <c r="BL225" s="55"/>
      <c r="BM225" s="55"/>
      <c r="BN225" s="55"/>
      <c r="BO225" s="55"/>
      <c r="BP225" s="55"/>
      <c r="BQ225" s="55"/>
      <c r="BR225" s="55"/>
      <c r="BS225" s="55"/>
      <c r="BT225" s="55"/>
      <c r="BU225" s="55"/>
      <c r="BV225" s="55"/>
      <c r="BW225" s="55"/>
      <c r="BX225" s="55"/>
      <c r="BY225" s="55"/>
      <c r="BZ225" s="55"/>
      <c r="CA225" s="55"/>
      <c r="CB225" s="55"/>
      <c r="CC225" s="55"/>
      <c r="CD225" s="55"/>
      <c r="CE225" s="55"/>
      <c r="CF225" s="55"/>
      <c r="CG225" s="55"/>
      <c r="CH225" s="55"/>
      <c r="CI225" s="55"/>
      <c r="CJ225" s="55"/>
      <c r="CK225" s="55"/>
      <c r="CL225" s="55"/>
      <c r="CM225" s="55"/>
      <c r="CN225" s="55"/>
      <c r="CO225" s="55"/>
      <c r="CP225" s="55"/>
      <c r="CQ225" s="55"/>
      <c r="CR225" s="55"/>
      <c r="CS225" s="55"/>
      <c r="CT225" s="55"/>
      <c r="CU225" s="55"/>
      <c r="CV225" s="55"/>
      <c r="CW225" s="55"/>
      <c r="CX225" s="55"/>
      <c r="CY225" s="56"/>
      <c r="CZ225" s="55"/>
      <c r="DA225" s="55"/>
      <c r="DB225" s="55"/>
      <c r="DC225" s="55"/>
      <c r="DD225" s="55"/>
      <c r="DE225" s="55"/>
      <c r="DF225" s="55"/>
      <c r="DG225" s="55"/>
      <c r="DH225" s="55"/>
      <c r="DI225" s="55"/>
    </row>
    <row r="226" spans="1:114" s="24" customFormat="1" outlineLevel="1">
      <c r="A226" s="1"/>
      <c r="B226" s="24" t="s">
        <v>341</v>
      </c>
      <c r="C226" s="82"/>
      <c r="D226" s="82"/>
      <c r="E226" s="82"/>
      <c r="F226" s="82"/>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c r="AV226" s="82"/>
      <c r="AW226" s="83"/>
      <c r="AX226" s="82"/>
      <c r="AY226" s="82"/>
      <c r="AZ226" s="82"/>
      <c r="BA226" s="82"/>
      <c r="BB226" s="82"/>
      <c r="BC226" s="82"/>
      <c r="BD226" s="82"/>
      <c r="BE226" s="82"/>
      <c r="BF226" s="82"/>
      <c r="BG226" s="82"/>
      <c r="BH226" s="82"/>
      <c r="BI226" s="82"/>
      <c r="BJ226" s="82"/>
      <c r="BK226" s="82"/>
      <c r="BL226" s="82"/>
      <c r="BM226" s="82"/>
      <c r="BN226" s="82"/>
      <c r="BO226" s="82"/>
      <c r="BP226" s="82"/>
      <c r="BQ226" s="82"/>
      <c r="BR226" s="82"/>
      <c r="BS226" s="82"/>
      <c r="BT226" s="82"/>
      <c r="BU226" s="82"/>
      <c r="BV226" s="82"/>
      <c r="BW226" s="82"/>
      <c r="BX226" s="82"/>
      <c r="BY226" s="82"/>
      <c r="BZ226" s="82"/>
      <c r="CA226" s="82"/>
      <c r="CB226" s="82"/>
      <c r="CC226" s="82"/>
      <c r="CD226" s="82"/>
      <c r="CE226" s="82"/>
      <c r="CF226" s="82"/>
      <c r="CG226" s="82"/>
      <c r="CH226" s="82"/>
      <c r="CI226" s="82"/>
      <c r="CJ226" s="82"/>
      <c r="CK226" s="82"/>
      <c r="CL226" s="82"/>
      <c r="CM226" s="82"/>
      <c r="CN226" s="82"/>
      <c r="CO226" s="82"/>
      <c r="CP226" s="82"/>
      <c r="CQ226" s="82"/>
      <c r="CR226" s="82"/>
      <c r="CS226" s="82"/>
      <c r="CT226" s="82"/>
      <c r="CU226" s="82"/>
      <c r="CV226" s="82"/>
      <c r="CW226" s="82"/>
      <c r="CX226" s="82"/>
      <c r="CY226" s="83"/>
      <c r="CZ226" s="82"/>
      <c r="DA226" s="82"/>
      <c r="DB226" s="82"/>
      <c r="DC226" s="82"/>
      <c r="DD226" s="82"/>
      <c r="DE226" s="82"/>
      <c r="DF226" s="82"/>
      <c r="DG226" s="82"/>
      <c r="DH226" s="82"/>
      <c r="DI226" s="82"/>
    </row>
    <row r="227" spans="1:114" outlineLevel="1">
      <c r="A227" s="1" t="s">
        <v>399</v>
      </c>
      <c r="B227" s="19" t="s">
        <v>164</v>
      </c>
      <c r="C227" s="55">
        <v>0</v>
      </c>
      <c r="D227" s="55">
        <v>0</v>
      </c>
      <c r="E227" s="55">
        <v>0</v>
      </c>
      <c r="F227" s="55">
        <v>0</v>
      </c>
      <c r="G227" s="55">
        <v>0</v>
      </c>
      <c r="H227" s="55">
        <v>0</v>
      </c>
      <c r="I227" s="55">
        <v>0</v>
      </c>
      <c r="J227" s="55">
        <v>0</v>
      </c>
      <c r="K227" s="55">
        <v>0</v>
      </c>
      <c r="L227" s="55">
        <v>0</v>
      </c>
      <c r="M227" s="55">
        <v>0</v>
      </c>
      <c r="N227" s="55">
        <v>0</v>
      </c>
      <c r="O227" s="55">
        <v>0</v>
      </c>
      <c r="P227" s="55">
        <v>0</v>
      </c>
      <c r="Q227" s="55">
        <v>0</v>
      </c>
      <c r="R227" s="55">
        <v>0</v>
      </c>
      <c r="S227" s="55">
        <v>0</v>
      </c>
      <c r="T227" s="55">
        <v>860.32398361172397</v>
      </c>
      <c r="U227" s="55">
        <v>723.2713131424174</v>
      </c>
      <c r="V227" s="55">
        <v>714.70470115210458</v>
      </c>
      <c r="W227" s="55">
        <v>710.09274611398962</v>
      </c>
      <c r="X227" s="55">
        <v>726.0348493797992</v>
      </c>
      <c r="Y227" s="55">
        <v>756.58303118201593</v>
      </c>
      <c r="Z227" s="55">
        <v>742.22235473714341</v>
      </c>
      <c r="AA227" s="55">
        <v>788.40251780685776</v>
      </c>
      <c r="AB227" s="55">
        <v>796.04785505629036</v>
      </c>
      <c r="AC227" s="55">
        <v>842.877594028977</v>
      </c>
      <c r="AD227" s="55">
        <v>884.80253353204171</v>
      </c>
      <c r="AE227" s="55">
        <v>929.93152537547155</v>
      </c>
      <c r="AF227" s="55">
        <v>981.37057879580573</v>
      </c>
      <c r="AG227" s="55">
        <v>984.54725038919514</v>
      </c>
      <c r="AH227" s="55">
        <v>1010.3508720626631</v>
      </c>
      <c r="AI227" s="55">
        <v>980.63382983064685</v>
      </c>
      <c r="AJ227" s="55">
        <v>926.807447683634</v>
      </c>
      <c r="AK227" s="55">
        <v>889.28675941472773</v>
      </c>
      <c r="AL227" s="55">
        <v>874.90572431077692</v>
      </c>
      <c r="AM227" s="55">
        <v>858.17459799377684</v>
      </c>
      <c r="AN227" s="55">
        <v>865.93681291472717</v>
      </c>
      <c r="AO227" s="55">
        <v>843.49196349244812</v>
      </c>
      <c r="AP227" s="55">
        <v>647.53394039735099</v>
      </c>
      <c r="AQ227" s="55">
        <v>541.22551910554125</v>
      </c>
      <c r="AR227" s="55">
        <v>513.43900414937764</v>
      </c>
      <c r="AS227" s="55">
        <v>446.5285638952364</v>
      </c>
      <c r="AT227" s="55">
        <v>394.02093265557414</v>
      </c>
      <c r="AU227" s="55">
        <v>347.38076622361217</v>
      </c>
      <c r="AV227" s="55">
        <v>221.43592177066739</v>
      </c>
      <c r="AW227" s="56">
        <v>93.066816414107549</v>
      </c>
      <c r="AX227" s="55">
        <v>85.419230902026911</v>
      </c>
      <c r="AY227" s="55">
        <v>85.121894346158228</v>
      </c>
      <c r="AZ227" s="55">
        <v>81.712361965716482</v>
      </c>
      <c r="BA227" s="55">
        <v>79.144438531704353</v>
      </c>
      <c r="BB227" s="55">
        <v>78.093930883223365</v>
      </c>
      <c r="BC227" s="55">
        <v>77.966072362570188</v>
      </c>
      <c r="BD227" s="55">
        <v>78.719928144982561</v>
      </c>
      <c r="BE227" s="55">
        <v>79.487867072484917</v>
      </c>
      <c r="BF227" s="55">
        <v>80.270033316928959</v>
      </c>
      <c r="BG227" s="55">
        <v>81.066575845833796</v>
      </c>
      <c r="BH227" s="55">
        <v>81.877648397485785</v>
      </c>
      <c r="BI227" s="55">
        <v>82.703409460933003</v>
      </c>
      <c r="BJ227" s="55">
        <v>83.544022260642038</v>
      </c>
      <c r="BK227" s="55">
        <v>84.769558439779559</v>
      </c>
      <c r="BL227" s="55">
        <v>86.387851695174149</v>
      </c>
      <c r="BM227" s="55">
        <v>88.037038977960862</v>
      </c>
      <c r="BN227" s="55">
        <v>89.717710070569623</v>
      </c>
      <c r="BO227" s="55">
        <v>91.430466014671822</v>
      </c>
      <c r="BP227" s="55">
        <v>93.17591932612487</v>
      </c>
      <c r="BQ227" s="55">
        <v>94.954694214020222</v>
      </c>
      <c r="BR227" s="55"/>
      <c r="BS227" s="55">
        <v>0</v>
      </c>
      <c r="BT227" s="55">
        <v>0</v>
      </c>
      <c r="BU227" s="55">
        <v>0</v>
      </c>
      <c r="BV227" s="55">
        <v>0</v>
      </c>
      <c r="BW227" s="55">
        <v>0</v>
      </c>
      <c r="BX227" s="55">
        <v>0</v>
      </c>
      <c r="BY227" s="55">
        <v>0</v>
      </c>
      <c r="BZ227" s="55">
        <v>0</v>
      </c>
      <c r="CA227" s="55">
        <v>0</v>
      </c>
      <c r="CB227" s="55">
        <v>0</v>
      </c>
      <c r="CC227" s="55">
        <v>0</v>
      </c>
      <c r="CD227" s="55">
        <v>0</v>
      </c>
      <c r="CE227" s="55">
        <v>0</v>
      </c>
      <c r="CF227" s="55">
        <v>0</v>
      </c>
      <c r="CG227" s="55">
        <v>0</v>
      </c>
      <c r="CH227" s="55">
        <v>0</v>
      </c>
      <c r="CI227" s="55">
        <v>0</v>
      </c>
      <c r="CJ227" s="55">
        <v>0</v>
      </c>
      <c r="CK227" s="55">
        <v>899.16831911459531</v>
      </c>
      <c r="CL227" s="55">
        <v>688.37038603274334</v>
      </c>
      <c r="CM227" s="55">
        <v>726.99955883974849</v>
      </c>
      <c r="CN227" s="55">
        <v>739.63685854152595</v>
      </c>
      <c r="CO227" s="55">
        <v>869.88070634401572</v>
      </c>
      <c r="CP227" s="55">
        <v>919.02411902494271</v>
      </c>
      <c r="CQ227" s="55">
        <v>1006.073158392539</v>
      </c>
      <c r="CR227" s="55">
        <v>963.05851031023212</v>
      </c>
      <c r="CS227" s="55">
        <v>933.15369373336273</v>
      </c>
      <c r="CT227" s="55">
        <v>895.02509084616713</v>
      </c>
      <c r="CU227" s="55">
        <v>837.7006834062812</v>
      </c>
      <c r="CV227" s="55">
        <v>585.32000231508277</v>
      </c>
      <c r="CW227" s="55">
        <v>479.70880961030372</v>
      </c>
      <c r="CX227" s="55">
        <v>370.5091775227495</v>
      </c>
      <c r="CY227" s="56">
        <v>156.90063383185043</v>
      </c>
      <c r="CZ227" s="55">
        <v>85.269340693041045</v>
      </c>
      <c r="DA227" s="55">
        <v>80.417847138707629</v>
      </c>
      <c r="DB227" s="55">
        <v>78.029476176921492</v>
      </c>
      <c r="DC227" s="55">
        <v>79.105995802524745</v>
      </c>
      <c r="DD227" s="55">
        <v>80.67157804382893</v>
      </c>
      <c r="DE227" s="55">
        <v>82.293922467826292</v>
      </c>
      <c r="DF227" s="55">
        <v>84.161826800262048</v>
      </c>
      <c r="DG227" s="55">
        <v>87.216951312749984</v>
      </c>
      <c r="DH227" s="55">
        <v>90.581126765678675</v>
      </c>
      <c r="DI227" s="55">
        <v>94.072616803858423</v>
      </c>
    </row>
    <row r="228" spans="1:114" outlineLevel="1">
      <c r="A228" s="1" t="s">
        <v>1061</v>
      </c>
      <c r="B228" s="19" t="s">
        <v>343</v>
      </c>
      <c r="C228" s="55">
        <v>0</v>
      </c>
      <c r="D228" s="55">
        <v>0</v>
      </c>
      <c r="E228" s="55">
        <v>0</v>
      </c>
      <c r="F228" s="55">
        <v>0</v>
      </c>
      <c r="G228" s="55">
        <v>0</v>
      </c>
      <c r="H228" s="55">
        <v>0</v>
      </c>
      <c r="I228" s="55">
        <v>0</v>
      </c>
      <c r="J228" s="55">
        <v>0</v>
      </c>
      <c r="K228" s="55">
        <v>0</v>
      </c>
      <c r="L228" s="55">
        <v>0</v>
      </c>
      <c r="M228" s="55">
        <v>0</v>
      </c>
      <c r="N228" s="55">
        <v>0</v>
      </c>
      <c r="O228" s="55">
        <v>0</v>
      </c>
      <c r="P228" s="55">
        <v>0</v>
      </c>
      <c r="Q228" s="55">
        <v>0</v>
      </c>
      <c r="R228" s="55">
        <v>0</v>
      </c>
      <c r="S228" s="55">
        <v>0</v>
      </c>
      <c r="T228" s="55">
        <v>10641.676016388277</v>
      </c>
      <c r="U228" s="55">
        <v>8197.7286868575829</v>
      </c>
      <c r="V228" s="55">
        <v>7216.4168458092208</v>
      </c>
      <c r="W228" s="55">
        <v>7327.90725388601</v>
      </c>
      <c r="X228" s="55">
        <v>8116.9651506202008</v>
      </c>
      <c r="Y228" s="55">
        <v>9227.4169688179845</v>
      </c>
      <c r="Z228" s="55">
        <v>9664.7776452628568</v>
      </c>
      <c r="AA228" s="55">
        <v>11215.597482193143</v>
      </c>
      <c r="AB228" s="55">
        <v>13893.952144943709</v>
      </c>
      <c r="AC228" s="55">
        <v>16578.122405971022</v>
      </c>
      <c r="AD228" s="55">
        <v>18400.197466467958</v>
      </c>
      <c r="AE228" s="55">
        <v>20748.068474624528</v>
      </c>
      <c r="AF228" s="55">
        <v>23007.629421204194</v>
      </c>
      <c r="AG228" s="55">
        <v>23276.452749610806</v>
      </c>
      <c r="AH228" s="55">
        <v>23126.649127937337</v>
      </c>
      <c r="AI228" s="55">
        <v>23403.366170169353</v>
      </c>
      <c r="AJ228" s="55">
        <v>24594.192552316366</v>
      </c>
      <c r="AK228" s="55">
        <v>24767.713240585272</v>
      </c>
      <c r="AL228" s="55">
        <v>23792.094275689222</v>
      </c>
      <c r="AM228" s="55">
        <v>21076.825402006223</v>
      </c>
      <c r="AN228" s="55">
        <v>19280.063187085274</v>
      </c>
      <c r="AO228" s="55">
        <v>19265.508036507552</v>
      </c>
      <c r="AP228" s="55">
        <v>15995.46605960265</v>
      </c>
      <c r="AQ228" s="55">
        <v>15275.774480894459</v>
      </c>
      <c r="AR228" s="55">
        <v>16914.560995850621</v>
      </c>
      <c r="AS228" s="55">
        <v>16602.471436104763</v>
      </c>
      <c r="AT228" s="55">
        <v>15708.979067344426</v>
      </c>
      <c r="AU228" s="55">
        <v>14462.619233776388</v>
      </c>
      <c r="AV228" s="55">
        <v>14762.564078229332</v>
      </c>
      <c r="AW228" s="56">
        <v>15243.933183585892</v>
      </c>
      <c r="AX228" s="55">
        <v>15531.039868146596</v>
      </c>
      <c r="AY228" s="55">
        <v>15300.392674990908</v>
      </c>
      <c r="AZ228" s="55">
        <v>14586.272684408337</v>
      </c>
      <c r="BA228" s="55">
        <v>14098.811178797539</v>
      </c>
      <c r="BB228" s="55">
        <v>13939.255809904374</v>
      </c>
      <c r="BC228" s="55">
        <v>13944.173239001513</v>
      </c>
      <c r="BD228" s="55">
        <v>14106.907203892606</v>
      </c>
      <c r="BE228" s="55">
        <v>14272.760267659687</v>
      </c>
      <c r="BF228" s="55">
        <v>14441.775107395102</v>
      </c>
      <c r="BG228" s="55">
        <v>14613.995534403321</v>
      </c>
      <c r="BH228" s="55">
        <v>14789.466499498683</v>
      </c>
      <c r="BI228" s="55">
        <v>14968.234099191097</v>
      </c>
      <c r="BJ228" s="55">
        <v>15150.345582729735</v>
      </c>
      <c r="BK228" s="55">
        <v>15403.128962213044</v>
      </c>
      <c r="BL228" s="55">
        <v>15728.296716169838</v>
      </c>
      <c r="BM228" s="55">
        <v>16060.32892399654</v>
      </c>
      <c r="BN228" s="55">
        <v>16399.370497746564</v>
      </c>
      <c r="BO228" s="55">
        <v>16745.569408639243</v>
      </c>
      <c r="BP228" s="55">
        <v>17099.076751640314</v>
      </c>
      <c r="BQ228" s="55">
        <v>17460.046811405813</v>
      </c>
      <c r="BR228" s="55"/>
      <c r="BS228" s="55">
        <v>0</v>
      </c>
      <c r="BT228" s="55">
        <v>0</v>
      </c>
      <c r="BU228" s="55">
        <v>0</v>
      </c>
      <c r="BV228" s="55">
        <v>0</v>
      </c>
      <c r="BW228" s="55">
        <v>0</v>
      </c>
      <c r="BX228" s="55">
        <v>0</v>
      </c>
      <c r="BY228" s="55">
        <v>0</v>
      </c>
      <c r="BZ228" s="55">
        <v>0</v>
      </c>
      <c r="CA228" s="55">
        <v>0</v>
      </c>
      <c r="CB228" s="55">
        <v>0</v>
      </c>
      <c r="CC228" s="55">
        <v>0</v>
      </c>
      <c r="CD228" s="55">
        <v>0</v>
      </c>
      <c r="CE228" s="55">
        <v>0</v>
      </c>
      <c r="CF228" s="55">
        <v>0</v>
      </c>
      <c r="CG228" s="55">
        <v>0</v>
      </c>
      <c r="CH228" s="55">
        <v>0</v>
      </c>
      <c r="CI228" s="55">
        <v>0</v>
      </c>
      <c r="CJ228" s="55">
        <v>0</v>
      </c>
      <c r="CK228" s="55">
        <v>9322.8316808854033</v>
      </c>
      <c r="CL228" s="55">
        <v>7296.6296139672559</v>
      </c>
      <c r="CM228" s="55">
        <v>8683.0004411602513</v>
      </c>
      <c r="CN228" s="55">
        <v>10459.363141458474</v>
      </c>
      <c r="CO228" s="55">
        <v>15174.119293655986</v>
      </c>
      <c r="CP228" s="55">
        <v>19552.975880975056</v>
      </c>
      <c r="CQ228" s="55">
        <v>23117.926841607459</v>
      </c>
      <c r="CR228" s="55">
        <v>23295.941489689769</v>
      </c>
      <c r="CS228" s="55">
        <v>24655.846306266638</v>
      </c>
      <c r="CT228" s="55">
        <v>22416.974909153832</v>
      </c>
      <c r="CU228" s="55">
        <v>19290.299316593719</v>
      </c>
      <c r="CV228" s="55">
        <v>15647.679997684918</v>
      </c>
      <c r="CW228" s="55">
        <v>16757.233656143122</v>
      </c>
      <c r="CX228" s="55">
        <v>15080.677123847114</v>
      </c>
      <c r="CY228" s="56">
        <v>15004.563847042467</v>
      </c>
      <c r="CZ228" s="55">
        <v>15414.7684063914</v>
      </c>
      <c r="DA228" s="55">
        <v>14340.538665141525</v>
      </c>
      <c r="DB228" s="55">
        <v>13941.734733065672</v>
      </c>
      <c r="DC228" s="55">
        <v>14190.286886223597</v>
      </c>
      <c r="DD228" s="55">
        <v>14528.593076078698</v>
      </c>
      <c r="DE228" s="55">
        <v>14879.58496071349</v>
      </c>
      <c r="DF228" s="55">
        <v>15277.776108277485</v>
      </c>
      <c r="DG228" s="55">
        <v>15895.220011907853</v>
      </c>
      <c r="DH228" s="55">
        <v>16573.892688443146</v>
      </c>
      <c r="DI228" s="55">
        <v>17281.045220124841</v>
      </c>
    </row>
    <row r="229" spans="1:114" s="24" customFormat="1" outlineLevel="1">
      <c r="A229" s="1" t="s">
        <v>400</v>
      </c>
      <c r="B229" s="24" t="s">
        <v>168</v>
      </c>
      <c r="C229" s="81">
        <v>0</v>
      </c>
      <c r="D229" s="81">
        <v>0</v>
      </c>
      <c r="E229" s="81">
        <v>0</v>
      </c>
      <c r="F229" s="81">
        <v>0</v>
      </c>
      <c r="G229" s="81">
        <v>0</v>
      </c>
      <c r="H229" s="81">
        <v>0</v>
      </c>
      <c r="I229" s="81">
        <v>0</v>
      </c>
      <c r="J229" s="81">
        <v>0</v>
      </c>
      <c r="K229" s="81">
        <v>0</v>
      </c>
      <c r="L229" s="81">
        <v>0</v>
      </c>
      <c r="M229" s="81">
        <v>0</v>
      </c>
      <c r="N229" s="81">
        <v>0</v>
      </c>
      <c r="O229" s="81">
        <v>0</v>
      </c>
      <c r="P229" s="81">
        <v>0</v>
      </c>
      <c r="Q229" s="81">
        <v>0</v>
      </c>
      <c r="R229" s="81">
        <v>0</v>
      </c>
      <c r="S229" s="81">
        <v>0</v>
      </c>
      <c r="T229" s="81">
        <v>11502</v>
      </c>
      <c r="U229" s="81">
        <v>8921</v>
      </c>
      <c r="V229" s="81">
        <v>7931.1215469613253</v>
      </c>
      <c r="W229" s="81">
        <v>8038</v>
      </c>
      <c r="X229" s="81">
        <v>8843</v>
      </c>
      <c r="Y229" s="81">
        <v>9984</v>
      </c>
      <c r="Z229" s="81">
        <v>10407</v>
      </c>
      <c r="AA229" s="166">
        <v>12004</v>
      </c>
      <c r="AB229" s="166">
        <v>14690</v>
      </c>
      <c r="AC229" s="166">
        <v>17421</v>
      </c>
      <c r="AD229" s="166">
        <v>19285</v>
      </c>
      <c r="AE229" s="166">
        <v>21678</v>
      </c>
      <c r="AF229" s="166">
        <v>23989</v>
      </c>
      <c r="AG229" s="166">
        <v>24261</v>
      </c>
      <c r="AH229" s="166">
        <v>24137</v>
      </c>
      <c r="AI229" s="166">
        <v>24384</v>
      </c>
      <c r="AJ229" s="166">
        <v>25521</v>
      </c>
      <c r="AK229" s="166">
        <v>25657</v>
      </c>
      <c r="AL229" s="166">
        <v>24667</v>
      </c>
      <c r="AM229" s="166">
        <v>21935</v>
      </c>
      <c r="AN229" s="166">
        <v>20146</v>
      </c>
      <c r="AO229" s="166">
        <v>20109</v>
      </c>
      <c r="AP229" s="166">
        <v>16643</v>
      </c>
      <c r="AQ229" s="166">
        <v>15817</v>
      </c>
      <c r="AR229" s="166">
        <v>17428</v>
      </c>
      <c r="AS229" s="166">
        <v>17049</v>
      </c>
      <c r="AT229" s="166">
        <v>16103</v>
      </c>
      <c r="AU229" s="166">
        <v>14810</v>
      </c>
      <c r="AV229" s="166">
        <v>14984</v>
      </c>
      <c r="AW229" s="167">
        <v>15337</v>
      </c>
      <c r="AX229" s="82">
        <v>15616.459099048621</v>
      </c>
      <c r="AY229" s="82">
        <v>15385.514569337065</v>
      </c>
      <c r="AZ229" s="82">
        <v>14667.985046374053</v>
      </c>
      <c r="BA229" s="82">
        <v>14177.955617329244</v>
      </c>
      <c r="BB229" s="82">
        <v>14017.349740787598</v>
      </c>
      <c r="BC229" s="82">
        <v>14022.139311364081</v>
      </c>
      <c r="BD229" s="82">
        <v>14185.627132037589</v>
      </c>
      <c r="BE229" s="82">
        <v>14352.248134732174</v>
      </c>
      <c r="BF229" s="82">
        <v>14522.045140712033</v>
      </c>
      <c r="BG229" s="82">
        <v>14695.062110249157</v>
      </c>
      <c r="BH229" s="82">
        <v>14871.344147896169</v>
      </c>
      <c r="BI229" s="82">
        <v>15050.93750865203</v>
      </c>
      <c r="BJ229" s="82">
        <v>15233.889604990376</v>
      </c>
      <c r="BK229" s="82">
        <v>15487.898520652823</v>
      </c>
      <c r="BL229" s="82">
        <v>15814.684567865013</v>
      </c>
      <c r="BM229" s="82">
        <v>16148.3659629745</v>
      </c>
      <c r="BN229" s="82">
        <v>16489.088207817134</v>
      </c>
      <c r="BO229" s="82">
        <v>16836.999874653913</v>
      </c>
      <c r="BP229" s="82">
        <v>17192.252670966442</v>
      </c>
      <c r="BQ229" s="82">
        <v>17555.001505619835</v>
      </c>
      <c r="BR229" s="82"/>
      <c r="BS229" s="81">
        <v>0</v>
      </c>
      <c r="BT229" s="81">
        <v>0</v>
      </c>
      <c r="BU229" s="81">
        <v>0</v>
      </c>
      <c r="BV229" s="81">
        <v>0</v>
      </c>
      <c r="BW229" s="81">
        <v>0</v>
      </c>
      <c r="BX229" s="81">
        <v>0</v>
      </c>
      <c r="BY229" s="81">
        <v>0</v>
      </c>
      <c r="BZ229" s="81">
        <v>0</v>
      </c>
      <c r="CA229" s="81">
        <v>0</v>
      </c>
      <c r="CB229" s="81">
        <v>0</v>
      </c>
      <c r="CC229" s="82">
        <v>0</v>
      </c>
      <c r="CD229" s="82">
        <v>0</v>
      </c>
      <c r="CE229" s="82">
        <v>0</v>
      </c>
      <c r="CF229" s="82">
        <v>0</v>
      </c>
      <c r="CG229" s="82">
        <v>0</v>
      </c>
      <c r="CH229" s="82">
        <v>0</v>
      </c>
      <c r="CI229" s="82">
        <v>0</v>
      </c>
      <c r="CJ229" s="82">
        <v>0</v>
      </c>
      <c r="CK229" s="166">
        <v>10222</v>
      </c>
      <c r="CL229" s="166">
        <v>7985</v>
      </c>
      <c r="CM229" s="166">
        <v>9410</v>
      </c>
      <c r="CN229" s="166">
        <v>11199</v>
      </c>
      <c r="CO229" s="166">
        <v>16044</v>
      </c>
      <c r="CP229" s="166">
        <v>20472</v>
      </c>
      <c r="CQ229" s="166">
        <v>24124</v>
      </c>
      <c r="CR229" s="166">
        <v>24259</v>
      </c>
      <c r="CS229" s="166">
        <v>25589</v>
      </c>
      <c r="CT229" s="166">
        <v>23312</v>
      </c>
      <c r="CU229" s="166">
        <v>20128</v>
      </c>
      <c r="CV229" s="166">
        <v>16233</v>
      </c>
      <c r="CW229" s="166">
        <v>17240</v>
      </c>
      <c r="CX229" s="166">
        <v>15462</v>
      </c>
      <c r="CY229" s="167">
        <v>15160</v>
      </c>
      <c r="CZ229" s="82">
        <v>15500.03774708444</v>
      </c>
      <c r="DA229" s="82">
        <v>14420.956512280232</v>
      </c>
      <c r="DB229" s="82">
        <v>14019.764209242592</v>
      </c>
      <c r="DC229" s="82">
        <v>14269.392882026124</v>
      </c>
      <c r="DD229" s="82">
        <v>14609.264654122526</v>
      </c>
      <c r="DE229" s="82">
        <v>14961.878883181314</v>
      </c>
      <c r="DF229" s="82">
        <v>15361.937935077745</v>
      </c>
      <c r="DG229" s="82">
        <v>15982.436963220602</v>
      </c>
      <c r="DH229" s="82">
        <v>16664.473815208828</v>
      </c>
      <c r="DI229" s="82">
        <v>17375.117836928704</v>
      </c>
    </row>
    <row r="230" spans="1:114" outlineLevel="1">
      <c r="C230" s="55"/>
      <c r="D230" s="55"/>
      <c r="E230" s="55"/>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5"/>
      <c r="AU230" s="55"/>
      <c r="AV230" s="55"/>
      <c r="AW230" s="56"/>
      <c r="AX230" s="55"/>
      <c r="AY230" s="55"/>
      <c r="AZ230" s="55"/>
      <c r="BA230" s="55"/>
      <c r="BB230" s="55"/>
      <c r="BC230" s="55"/>
      <c r="BD230" s="55"/>
      <c r="BE230" s="55"/>
      <c r="BF230" s="55"/>
      <c r="BG230" s="55"/>
      <c r="BH230" s="55"/>
      <c r="BI230" s="55"/>
      <c r="BJ230" s="55"/>
      <c r="BK230" s="55"/>
      <c r="BL230" s="55"/>
      <c r="BM230" s="55"/>
      <c r="BN230" s="55"/>
      <c r="BO230" s="55"/>
      <c r="BP230" s="55"/>
      <c r="BQ230" s="55"/>
      <c r="BR230" s="55"/>
      <c r="BS230" s="55"/>
      <c r="BT230" s="55"/>
      <c r="BU230" s="55"/>
      <c r="BV230" s="55"/>
      <c r="BW230" s="55"/>
      <c r="BX230" s="55"/>
      <c r="BY230" s="55"/>
      <c r="BZ230" s="55"/>
      <c r="CA230" s="55"/>
      <c r="CB230" s="55"/>
      <c r="CC230" s="55"/>
      <c r="CD230" s="55"/>
      <c r="CE230" s="55"/>
      <c r="CF230" s="55"/>
      <c r="CG230" s="55"/>
      <c r="CH230" s="55"/>
      <c r="CI230" s="55"/>
      <c r="CJ230" s="55"/>
      <c r="CK230" s="55"/>
      <c r="CL230" s="55"/>
      <c r="CM230" s="55"/>
      <c r="CN230" s="55"/>
      <c r="CO230" s="55"/>
      <c r="CP230" s="55"/>
      <c r="CQ230" s="55"/>
      <c r="CR230" s="55"/>
      <c r="CS230" s="55"/>
      <c r="CT230" s="55"/>
      <c r="CU230" s="55"/>
      <c r="CV230" s="55"/>
      <c r="CW230" s="55"/>
      <c r="CX230" s="55"/>
      <c r="CY230" s="56"/>
      <c r="CZ230" s="55"/>
      <c r="DA230" s="55"/>
      <c r="DB230" s="55"/>
      <c r="DC230" s="55"/>
      <c r="DD230" s="55"/>
      <c r="DE230" s="55"/>
      <c r="DF230" s="55"/>
      <c r="DG230" s="55"/>
      <c r="DH230" s="55"/>
      <c r="DI230" s="55"/>
    </row>
    <row r="231" spans="1:114" s="24" customFormat="1" outlineLevel="1">
      <c r="A231" s="1"/>
      <c r="B231" s="24" t="s">
        <v>342</v>
      </c>
      <c r="C231" s="82"/>
      <c r="D231" s="82"/>
      <c r="E231" s="82"/>
      <c r="F231" s="82"/>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G231" s="82"/>
      <c r="AH231" s="82"/>
      <c r="AI231" s="82"/>
      <c r="AJ231" s="82"/>
      <c r="AK231" s="82"/>
      <c r="AL231" s="82"/>
      <c r="AM231" s="82"/>
      <c r="AN231" s="82"/>
      <c r="AO231" s="82"/>
      <c r="AP231" s="82"/>
      <c r="AQ231" s="82"/>
      <c r="AR231" s="82"/>
      <c r="AS231" s="82"/>
      <c r="AT231" s="82"/>
      <c r="AU231" s="82"/>
      <c r="AV231" s="82"/>
      <c r="AW231" s="83"/>
      <c r="AX231" s="82"/>
      <c r="AY231" s="82"/>
      <c r="AZ231" s="82"/>
      <c r="BA231" s="82"/>
      <c r="BB231" s="82"/>
      <c r="BC231" s="82"/>
      <c r="BD231" s="82"/>
      <c r="BE231" s="82"/>
      <c r="BF231" s="82"/>
      <c r="BG231" s="82"/>
      <c r="BH231" s="82"/>
      <c r="BI231" s="82"/>
      <c r="BJ231" s="82"/>
      <c r="BK231" s="82"/>
      <c r="BL231" s="82"/>
      <c r="BM231" s="82"/>
      <c r="BN231" s="82"/>
      <c r="BO231" s="82"/>
      <c r="BP231" s="82"/>
      <c r="BQ231" s="82"/>
      <c r="BR231" s="82"/>
      <c r="BS231" s="82"/>
      <c r="BT231" s="82"/>
      <c r="BU231" s="82"/>
      <c r="BV231" s="82"/>
      <c r="BW231" s="82"/>
      <c r="BX231" s="82"/>
      <c r="BY231" s="82"/>
      <c r="BZ231" s="82"/>
      <c r="CA231" s="82"/>
      <c r="CB231" s="82"/>
      <c r="CC231" s="82"/>
      <c r="CD231" s="82"/>
      <c r="CE231" s="82"/>
      <c r="CF231" s="82"/>
      <c r="CG231" s="82"/>
      <c r="CH231" s="82"/>
      <c r="CI231" s="82"/>
      <c r="CJ231" s="82"/>
      <c r="CK231" s="82"/>
      <c r="CL231" s="82"/>
      <c r="CM231" s="82"/>
      <c r="CN231" s="82"/>
      <c r="CO231" s="82"/>
      <c r="CP231" s="82"/>
      <c r="CQ231" s="82"/>
      <c r="CR231" s="82"/>
      <c r="CS231" s="82"/>
      <c r="CT231" s="82"/>
      <c r="CU231" s="82"/>
      <c r="CV231" s="82"/>
      <c r="CW231" s="82"/>
      <c r="CX231" s="82"/>
      <c r="CY231" s="83"/>
      <c r="CZ231" s="82"/>
      <c r="DA231" s="82"/>
      <c r="DB231" s="82"/>
      <c r="DC231" s="82"/>
      <c r="DD231" s="82"/>
      <c r="DE231" s="82"/>
      <c r="DF231" s="82"/>
      <c r="DG231" s="82"/>
      <c r="DH231" s="82"/>
      <c r="DI231" s="82"/>
    </row>
    <row r="232" spans="1:114" outlineLevel="1">
      <c r="A232" s="1" t="s">
        <v>403</v>
      </c>
      <c r="B232" s="19" t="s">
        <v>164</v>
      </c>
      <c r="C232" s="55">
        <v>73466.479504913194</v>
      </c>
      <c r="D232" s="55">
        <v>76580.669858678753</v>
      </c>
      <c r="E232" s="55">
        <v>81861.983535687643</v>
      </c>
      <c r="F232" s="55">
        <v>89387.812245448673</v>
      </c>
      <c r="G232" s="55">
        <v>95989.470005771014</v>
      </c>
      <c r="H232" s="55">
        <v>105721.63372503253</v>
      </c>
      <c r="I232" s="55">
        <v>120182.711991287</v>
      </c>
      <c r="J232" s="55">
        <v>137593.14979427782</v>
      </c>
      <c r="K232" s="55">
        <v>145313.12803929413</v>
      </c>
      <c r="L232" s="55">
        <v>153353.75598132791</v>
      </c>
      <c r="M232" s="55">
        <v>161741.51536153664</v>
      </c>
      <c r="N232" s="55">
        <v>172820.22717469218</v>
      </c>
      <c r="O232" s="55">
        <v>190436.8017144801</v>
      </c>
      <c r="P232" s="55">
        <v>197466.0085312892</v>
      </c>
      <c r="Q232" s="55">
        <v>209677.52166121453</v>
      </c>
      <c r="R232" s="55">
        <v>257740.03140185398</v>
      </c>
      <c r="S232" s="55">
        <v>278432.4696717448</v>
      </c>
      <c r="T232" s="55">
        <v>301029.34878294659</v>
      </c>
      <c r="U232" s="55">
        <v>316516.20458535926</v>
      </c>
      <c r="V232" s="55">
        <v>325369.9645918794</v>
      </c>
      <c r="W232" s="55">
        <v>331818.25324931799</v>
      </c>
      <c r="X232" s="55">
        <v>341188.53215916478</v>
      </c>
      <c r="Y232" s="55">
        <v>348902.83755791211</v>
      </c>
      <c r="Z232" s="55">
        <v>357125.27002626931</v>
      </c>
      <c r="AA232" s="55">
        <v>364205.44041624415</v>
      </c>
      <c r="AB232" s="55">
        <v>378271.77041897294</v>
      </c>
      <c r="AC232" s="55">
        <v>391632.96057412488</v>
      </c>
      <c r="AD232" s="55">
        <v>402795.75293755165</v>
      </c>
      <c r="AE232" s="55">
        <v>416941.48841440654</v>
      </c>
      <c r="AF232" s="55">
        <v>413173.31558196922</v>
      </c>
      <c r="AG232" s="55">
        <v>423476.70522448851</v>
      </c>
      <c r="AH232" s="55">
        <v>440374.95274275128</v>
      </c>
      <c r="AI232" s="55">
        <v>451193.39006166783</v>
      </c>
      <c r="AJ232" s="55">
        <v>460941.08464671235</v>
      </c>
      <c r="AK232" s="55">
        <v>467704.3779237821</v>
      </c>
      <c r="AL232" s="55">
        <v>475072.67879019142</v>
      </c>
      <c r="AM232" s="55">
        <v>485004.55421907309</v>
      </c>
      <c r="AN232" s="55">
        <v>494718.04487262462</v>
      </c>
      <c r="AO232" s="55">
        <v>504699.98080443771</v>
      </c>
      <c r="AP232" s="55">
        <v>509352.31928869145</v>
      </c>
      <c r="AQ232" s="55">
        <v>523773.03798240697</v>
      </c>
      <c r="AR232" s="55">
        <v>547067.83562846144</v>
      </c>
      <c r="AS232" s="55">
        <v>563155.5816833846</v>
      </c>
      <c r="AT232" s="55">
        <v>578608.7983636054</v>
      </c>
      <c r="AU232" s="55">
        <v>592426.26025591989</v>
      </c>
      <c r="AV232" s="55">
        <v>594013.03656648437</v>
      </c>
      <c r="AW232" s="56">
        <v>597787.93194708682</v>
      </c>
      <c r="AX232" s="55">
        <v>611404.56643352739</v>
      </c>
      <c r="AY232" s="55">
        <v>625275.63945667632</v>
      </c>
      <c r="AZ232" s="55">
        <v>639997.26060121076</v>
      </c>
      <c r="BA232" s="55">
        <v>652838.21865779872</v>
      </c>
      <c r="BB232" s="55">
        <v>662496.90330610645</v>
      </c>
      <c r="BC232" s="55">
        <v>672973.52865447267</v>
      </c>
      <c r="BD232" s="55">
        <v>684232.40186208626</v>
      </c>
      <c r="BE232" s="55">
        <v>695694.06812887848</v>
      </c>
      <c r="BF232" s="55">
        <v>707362.02487956197</v>
      </c>
      <c r="BG232" s="55">
        <v>719239.83503046224</v>
      </c>
      <c r="BH232" s="55">
        <v>731331.12801918772</v>
      </c>
      <c r="BI232" s="55">
        <v>743639.60085955274</v>
      </c>
      <c r="BJ232" s="55">
        <v>756169.01922179107</v>
      </c>
      <c r="BK232" s="55">
        <v>769455.61879276833</v>
      </c>
      <c r="BL232" s="55">
        <v>783515.39733611618</v>
      </c>
      <c r="BM232" s="55">
        <v>797832.35040406743</v>
      </c>
      <c r="BN232" s="55">
        <v>812411.1874568949</v>
      </c>
      <c r="BO232" s="55">
        <v>827256.70430229278</v>
      </c>
      <c r="BP232" s="55">
        <v>842373.78468065814</v>
      </c>
      <c r="BQ232" s="55">
        <v>857767.4018795169</v>
      </c>
      <c r="BR232" s="55"/>
      <c r="BS232" s="55">
        <v>21613.900152572616</v>
      </c>
      <c r="BT232" s="55">
        <v>22103.021608569114</v>
      </c>
      <c r="BU232" s="55">
        <v>24900.801839222466</v>
      </c>
      <c r="BV232" s="55">
        <v>28419.195662052076</v>
      </c>
      <c r="BW232" s="55">
        <v>33532.784117036594</v>
      </c>
      <c r="BX232" s="55">
        <v>40422.71081825564</v>
      </c>
      <c r="BY232" s="55">
        <v>44808.392943294632</v>
      </c>
      <c r="BZ232" s="55">
        <v>49757.530396495873</v>
      </c>
      <c r="CA232" s="55">
        <v>56673.647004573941</v>
      </c>
      <c r="CB232" s="55">
        <v>72106.006380545121</v>
      </c>
      <c r="CC232" s="55">
        <v>79243.030725992823</v>
      </c>
      <c r="CD232" s="55">
        <v>92715.771225994729</v>
      </c>
      <c r="CE232" s="55">
        <v>112991.68400096374</v>
      </c>
      <c r="CF232" s="55">
        <v>141484.86485477918</v>
      </c>
      <c r="CG232" s="55">
        <v>157693.27270125243</v>
      </c>
      <c r="CH232" s="55">
        <v>184803.02798624031</v>
      </c>
      <c r="CI232" s="55">
        <v>205121.28730625557</v>
      </c>
      <c r="CJ232" s="55">
        <v>272264.38098739256</v>
      </c>
      <c r="CK232" s="55">
        <v>306853.59642478218</v>
      </c>
      <c r="CL232" s="55">
        <v>335377.23093444348</v>
      </c>
      <c r="CM232" s="55">
        <v>351636.0782766958</v>
      </c>
      <c r="CN232" s="55">
        <v>366195.51094499527</v>
      </c>
      <c r="CO232" s="55">
        <v>388849.3151464496</v>
      </c>
      <c r="CP232" s="55">
        <v>411953.89230380201</v>
      </c>
      <c r="CQ232" s="55">
        <v>420701.65168588137</v>
      </c>
      <c r="CR232" s="55">
        <v>445611.34784979414</v>
      </c>
      <c r="CS232" s="55">
        <v>464718.68169205607</v>
      </c>
      <c r="CT232" s="55">
        <v>481031.02939924429</v>
      </c>
      <c r="CU232" s="55">
        <v>498986.56943335227</v>
      </c>
      <c r="CV232" s="55">
        <v>516621.94186305767</v>
      </c>
      <c r="CW232" s="55">
        <v>555177.82268080628</v>
      </c>
      <c r="CX232" s="55">
        <v>585574.31339973107</v>
      </c>
      <c r="CY232" s="56">
        <v>595910.7981785906</v>
      </c>
      <c r="CZ232" s="55">
        <v>618397.10735478601</v>
      </c>
      <c r="DA232" s="55">
        <v>646470.5106900112</v>
      </c>
      <c r="DB232" s="55">
        <v>667778.27060500882</v>
      </c>
      <c r="DC232" s="55">
        <v>689994.5510235338</v>
      </c>
      <c r="DD232" s="55">
        <v>713349.74287344038</v>
      </c>
      <c r="DE232" s="55">
        <v>737535.94720446761</v>
      </c>
      <c r="DF232" s="55">
        <v>762866.92147127003</v>
      </c>
      <c r="DG232" s="55">
        <v>790712.99122820108</v>
      </c>
      <c r="DH232" s="55">
        <v>819894.9548529312</v>
      </c>
      <c r="DI232" s="55">
        <v>850133.85472063068</v>
      </c>
    </row>
    <row r="233" spans="1:114" outlineLevel="1">
      <c r="A233" s="1" t="s">
        <v>334</v>
      </c>
      <c r="B233" s="19" t="s">
        <v>343</v>
      </c>
      <c r="C233" s="55">
        <v>64260.520495086806</v>
      </c>
      <c r="D233" s="55">
        <v>63956.330141321247</v>
      </c>
      <c r="E233" s="55">
        <v>62534.016464312357</v>
      </c>
      <c r="F233" s="55">
        <v>62667.187754551327</v>
      </c>
      <c r="G233" s="55">
        <v>61744.529994228986</v>
      </c>
      <c r="H233" s="55">
        <v>63268.36627496747</v>
      </c>
      <c r="I233" s="55">
        <v>63093.288008713003</v>
      </c>
      <c r="J233" s="55">
        <v>68895.850205722178</v>
      </c>
      <c r="K233" s="55">
        <v>76323.871960705874</v>
      </c>
      <c r="L233" s="55">
        <v>82391.244018672092</v>
      </c>
      <c r="M233" s="55">
        <v>89661.484638463357</v>
      </c>
      <c r="N233" s="55">
        <v>98470.772825307824</v>
      </c>
      <c r="O233" s="55">
        <v>116390.1982855199</v>
      </c>
      <c r="P233" s="55">
        <v>131637.9914687108</v>
      </c>
      <c r="Q233" s="55">
        <v>143855.47833878547</v>
      </c>
      <c r="R233" s="55">
        <v>177056.96859814602</v>
      </c>
      <c r="S233" s="55">
        <v>181306.5303282552</v>
      </c>
      <c r="T233" s="55">
        <v>182850.65121705341</v>
      </c>
      <c r="U233" s="55">
        <v>175342.79541464074</v>
      </c>
      <c r="V233" s="55">
        <v>183030.96910977812</v>
      </c>
      <c r="W233" s="55">
        <v>180240.74675068201</v>
      </c>
      <c r="X233" s="55">
        <v>182255.46784083522</v>
      </c>
      <c r="Y233" s="55">
        <v>185360.16244208789</v>
      </c>
      <c r="Z233" s="55">
        <v>188310.72997373069</v>
      </c>
      <c r="AA233" s="55">
        <v>190454.55958375585</v>
      </c>
      <c r="AB233" s="55">
        <v>197473.22958102706</v>
      </c>
      <c r="AC233" s="55">
        <v>204606.03942587512</v>
      </c>
      <c r="AD233" s="55">
        <v>210041.24706244835</v>
      </c>
      <c r="AE233" s="55">
        <v>219059.51158559346</v>
      </c>
      <c r="AF233" s="55">
        <v>222804.68441803078</v>
      </c>
      <c r="AG233" s="55">
        <v>230137.29477551149</v>
      </c>
      <c r="AH233" s="55">
        <v>234012.04725724872</v>
      </c>
      <c r="AI233" s="55">
        <v>234823.60993833217</v>
      </c>
      <c r="AJ233" s="55">
        <v>236616.91535328765</v>
      </c>
      <c r="AK233" s="55">
        <v>234592.6220762179</v>
      </c>
      <c r="AL233" s="55">
        <v>231902.32120980858</v>
      </c>
      <c r="AM233" s="55">
        <v>227130.44578092691</v>
      </c>
      <c r="AN233" s="55">
        <v>222557.95512737538</v>
      </c>
      <c r="AO233" s="55">
        <v>224109.01919556229</v>
      </c>
      <c r="AP233" s="55">
        <v>219112.68071130855</v>
      </c>
      <c r="AQ233" s="55">
        <v>218531.96201759303</v>
      </c>
      <c r="AR233" s="55">
        <v>224936.16437153856</v>
      </c>
      <c r="AS233" s="55">
        <v>234130.4183166154</v>
      </c>
      <c r="AT233" s="55">
        <v>247271.2016363946</v>
      </c>
      <c r="AU233" s="55">
        <v>255073.73974408011</v>
      </c>
      <c r="AV233" s="55">
        <v>256235.96343351563</v>
      </c>
      <c r="AW233" s="56">
        <v>257446.06805291318</v>
      </c>
      <c r="AX233" s="55">
        <v>262425.31524458062</v>
      </c>
      <c r="AY233" s="55">
        <v>266615.56877669925</v>
      </c>
      <c r="AZ233" s="55">
        <v>270287.72873623844</v>
      </c>
      <c r="BA233" s="55">
        <v>274177.99210518412</v>
      </c>
      <c r="BB233" s="55">
        <v>278434.60315601982</v>
      </c>
      <c r="BC233" s="55">
        <v>283259.70541064313</v>
      </c>
      <c r="BD233" s="55">
        <v>288630.29823547264</v>
      </c>
      <c r="BE233" s="55">
        <v>294116.34404930612</v>
      </c>
      <c r="BF233" s="55">
        <v>299720.26084134099</v>
      </c>
      <c r="BG233" s="55">
        <v>305444.52130465594</v>
      </c>
      <c r="BH233" s="55">
        <v>311291.65394912928</v>
      </c>
      <c r="BI233" s="55">
        <v>317264.24424315023</v>
      </c>
      <c r="BJ233" s="55">
        <v>323364.93578451104</v>
      </c>
      <c r="BK233" s="55">
        <v>329917.52563531394</v>
      </c>
      <c r="BL233" s="55">
        <v>336932.20496365649</v>
      </c>
      <c r="BM233" s="55">
        <v>344098.33407343319</v>
      </c>
      <c r="BN233" s="55">
        <v>351419.20799855981</v>
      </c>
      <c r="BO233" s="55">
        <v>358898.19374619867</v>
      </c>
      <c r="BP233" s="55">
        <v>366538.73187231843</v>
      </c>
      <c r="BQ233" s="55">
        <v>374344.33809179533</v>
      </c>
      <c r="BR233" s="55"/>
      <c r="BS233" s="55">
        <v>38141.499847427389</v>
      </c>
      <c r="BT233" s="55">
        <v>36381.378391430888</v>
      </c>
      <c r="BU233" s="55">
        <v>33273.498160777541</v>
      </c>
      <c r="BV233" s="55">
        <v>31853.804337947924</v>
      </c>
      <c r="BW233" s="55">
        <v>32957.215882963406</v>
      </c>
      <c r="BX233" s="55">
        <v>36601.28918174436</v>
      </c>
      <c r="BY233" s="55">
        <v>40935.607056705368</v>
      </c>
      <c r="BZ233" s="55">
        <v>46898.469603504127</v>
      </c>
      <c r="CA233" s="55">
        <v>52339.352995426059</v>
      </c>
      <c r="CB233" s="55">
        <v>63802.993619454879</v>
      </c>
      <c r="CC233" s="55">
        <v>63239.328178116768</v>
      </c>
      <c r="CD233" s="55">
        <v>62202.067130169649</v>
      </c>
      <c r="CE233" s="55">
        <v>63180.348785921509</v>
      </c>
      <c r="CF233" s="55">
        <v>72640.387200015335</v>
      </c>
      <c r="CG233" s="55">
        <v>85816.727298747574</v>
      </c>
      <c r="CH233" s="55">
        <v>111511.97201375969</v>
      </c>
      <c r="CI233" s="55">
        <v>136130.71269374443</v>
      </c>
      <c r="CJ233" s="55">
        <v>174901.61901260744</v>
      </c>
      <c r="CK233" s="55">
        <v>180982.40357521782</v>
      </c>
      <c r="CL233" s="55">
        <v>174867.76906555652</v>
      </c>
      <c r="CM233" s="55">
        <v>177186.9217233042</v>
      </c>
      <c r="CN233" s="55">
        <v>183814.48905500473</v>
      </c>
      <c r="CO233" s="55">
        <v>197058.6848535504</v>
      </c>
      <c r="CP233" s="55">
        <v>212370.10769619799</v>
      </c>
      <c r="CQ233" s="55">
        <v>224045.34831411863</v>
      </c>
      <c r="CR233" s="55">
        <v>234542.65215020586</v>
      </c>
      <c r="CS233" s="55">
        <v>235190.31830794393</v>
      </c>
      <c r="CT233" s="55">
        <v>228502.97060075571</v>
      </c>
      <c r="CU233" s="55">
        <v>224024.43056664773</v>
      </c>
      <c r="CV233" s="55">
        <v>218819.93484927114</v>
      </c>
      <c r="CW233" s="55">
        <v>229571.07594933073</v>
      </c>
      <c r="CX233" s="55">
        <v>251204.53591533742</v>
      </c>
      <c r="CY233" s="56">
        <v>256844.32203998874</v>
      </c>
      <c r="CZ233" s="55">
        <v>264537.66223063489</v>
      </c>
      <c r="DA233" s="55">
        <v>272248.84780441929</v>
      </c>
      <c r="DB233" s="55">
        <v>280866.98347067926</v>
      </c>
      <c r="DC233" s="55">
        <v>291388.31033860205</v>
      </c>
      <c r="DD233" s="55">
        <v>302605.91543106694</v>
      </c>
      <c r="DE233" s="55">
        <v>314302.49398775899</v>
      </c>
      <c r="DF233" s="55">
        <v>326668.15916135412</v>
      </c>
      <c r="DG233" s="55">
        <v>340534.84910627647</v>
      </c>
      <c r="DH233" s="55">
        <v>355189.43643024628</v>
      </c>
      <c r="DI233" s="55">
        <v>370473.61281583551</v>
      </c>
    </row>
    <row r="234" spans="1:114" s="24" customFormat="1" outlineLevel="1">
      <c r="A234" s="1" t="s">
        <v>335</v>
      </c>
      <c r="B234" s="24" t="s">
        <v>168</v>
      </c>
      <c r="C234" s="82">
        <v>137727</v>
      </c>
      <c r="D234" s="82">
        <v>140537</v>
      </c>
      <c r="E234" s="82">
        <v>144396</v>
      </c>
      <c r="F234" s="82">
        <v>152055</v>
      </c>
      <c r="G234" s="82">
        <v>157734</v>
      </c>
      <c r="H234" s="82">
        <v>168990</v>
      </c>
      <c r="I234" s="82">
        <v>183276</v>
      </c>
      <c r="J234" s="82">
        <v>206489</v>
      </c>
      <c r="K234" s="82">
        <v>221637</v>
      </c>
      <c r="L234" s="82">
        <v>235745</v>
      </c>
      <c r="M234" s="82">
        <v>251403</v>
      </c>
      <c r="N234" s="82">
        <v>271291</v>
      </c>
      <c r="O234" s="82">
        <v>306827</v>
      </c>
      <c r="P234" s="82">
        <v>329104</v>
      </c>
      <c r="Q234" s="82">
        <v>353533</v>
      </c>
      <c r="R234" s="82">
        <v>434797</v>
      </c>
      <c r="S234" s="82">
        <v>459739</v>
      </c>
      <c r="T234" s="82">
        <v>483880</v>
      </c>
      <c r="U234" s="82">
        <v>491859</v>
      </c>
      <c r="V234" s="82">
        <v>508400.93370165752</v>
      </c>
      <c r="W234" s="82">
        <v>512059</v>
      </c>
      <c r="X234" s="82">
        <v>523444</v>
      </c>
      <c r="Y234" s="82">
        <v>534263</v>
      </c>
      <c r="Z234" s="82">
        <v>545436</v>
      </c>
      <c r="AA234" s="82">
        <v>554660</v>
      </c>
      <c r="AB234" s="82">
        <v>575745</v>
      </c>
      <c r="AC234" s="82">
        <v>596239</v>
      </c>
      <c r="AD234" s="82">
        <v>612837</v>
      </c>
      <c r="AE234" s="82">
        <v>636001</v>
      </c>
      <c r="AF234" s="82">
        <v>635978</v>
      </c>
      <c r="AG234" s="82">
        <v>653614</v>
      </c>
      <c r="AH234" s="82">
        <v>674387</v>
      </c>
      <c r="AI234" s="82">
        <v>686017</v>
      </c>
      <c r="AJ234" s="82">
        <v>697558</v>
      </c>
      <c r="AK234" s="82">
        <v>702297</v>
      </c>
      <c r="AL234" s="82">
        <v>706975</v>
      </c>
      <c r="AM234" s="82">
        <v>712135</v>
      </c>
      <c r="AN234" s="82">
        <v>717276</v>
      </c>
      <c r="AO234" s="82">
        <v>728809</v>
      </c>
      <c r="AP234" s="82">
        <v>728465</v>
      </c>
      <c r="AQ234" s="82">
        <v>742305</v>
      </c>
      <c r="AR234" s="82">
        <v>772004</v>
      </c>
      <c r="AS234" s="82">
        <v>797286</v>
      </c>
      <c r="AT234" s="82">
        <v>825880</v>
      </c>
      <c r="AU234" s="82">
        <v>847500</v>
      </c>
      <c r="AV234" s="82">
        <v>850249</v>
      </c>
      <c r="AW234" s="83">
        <v>855234</v>
      </c>
      <c r="AX234" s="82">
        <v>873829.88167810801</v>
      </c>
      <c r="AY234" s="82">
        <v>891891.20823337557</v>
      </c>
      <c r="AZ234" s="82">
        <v>910284.98933744919</v>
      </c>
      <c r="BA234" s="82">
        <v>927016.21076298284</v>
      </c>
      <c r="BB234" s="82">
        <v>940931.50646212627</v>
      </c>
      <c r="BC234" s="82">
        <v>956233.2340651158</v>
      </c>
      <c r="BD234" s="82">
        <v>972862.7000975589</v>
      </c>
      <c r="BE234" s="82">
        <v>989810.4121781846</v>
      </c>
      <c r="BF234" s="82">
        <v>1007082.285720903</v>
      </c>
      <c r="BG234" s="82">
        <v>1024684.3563351182</v>
      </c>
      <c r="BH234" s="82">
        <v>1042622.781968317</v>
      </c>
      <c r="BI234" s="82">
        <v>1060903.845102703</v>
      </c>
      <c r="BJ234" s="82">
        <v>1079533.9550063021</v>
      </c>
      <c r="BK234" s="82">
        <v>1099373.1444280823</v>
      </c>
      <c r="BL234" s="82">
        <v>1120447.6022997727</v>
      </c>
      <c r="BM234" s="82">
        <v>1141930.6844775006</v>
      </c>
      <c r="BN234" s="82">
        <v>1163830.3954554547</v>
      </c>
      <c r="BO234" s="82">
        <v>1186154.8980484915</v>
      </c>
      <c r="BP234" s="82">
        <v>1208912.5165529766</v>
      </c>
      <c r="BQ234" s="82">
        <v>1232111.7399713122</v>
      </c>
      <c r="BR234" s="82"/>
      <c r="BS234" s="82">
        <v>59755.4</v>
      </c>
      <c r="BT234" s="82">
        <v>58484.4</v>
      </c>
      <c r="BU234" s="82">
        <v>58174.3</v>
      </c>
      <c r="BV234" s="82">
        <v>60273</v>
      </c>
      <c r="BW234" s="82">
        <v>66490</v>
      </c>
      <c r="BX234" s="82">
        <v>77024</v>
      </c>
      <c r="BY234" s="82">
        <v>85744</v>
      </c>
      <c r="BZ234" s="82">
        <v>96656</v>
      </c>
      <c r="CA234" s="82">
        <v>109013</v>
      </c>
      <c r="CB234" s="82">
        <v>135909</v>
      </c>
      <c r="CC234" s="82">
        <v>142482.3589041096</v>
      </c>
      <c r="CD234" s="82">
        <v>154917.8383561644</v>
      </c>
      <c r="CE234" s="82">
        <v>176172.03278688525</v>
      </c>
      <c r="CF234" s="82">
        <v>214125.25205479455</v>
      </c>
      <c r="CG234" s="82">
        <v>243510</v>
      </c>
      <c r="CH234" s="82">
        <v>296315</v>
      </c>
      <c r="CI234" s="82">
        <v>341252</v>
      </c>
      <c r="CJ234" s="82">
        <v>447166</v>
      </c>
      <c r="CK234" s="82">
        <v>487836</v>
      </c>
      <c r="CL234" s="82">
        <v>510245</v>
      </c>
      <c r="CM234" s="82">
        <v>528823</v>
      </c>
      <c r="CN234" s="82">
        <v>550010</v>
      </c>
      <c r="CO234" s="82">
        <v>585908</v>
      </c>
      <c r="CP234" s="82">
        <v>624324</v>
      </c>
      <c r="CQ234" s="82">
        <v>644747</v>
      </c>
      <c r="CR234" s="82">
        <v>680154</v>
      </c>
      <c r="CS234" s="82">
        <v>699909</v>
      </c>
      <c r="CT234" s="82">
        <v>709534</v>
      </c>
      <c r="CU234" s="82">
        <v>723011</v>
      </c>
      <c r="CV234" s="82">
        <v>735441.87671232875</v>
      </c>
      <c r="CW234" s="82">
        <v>784748.89863013697</v>
      </c>
      <c r="CX234" s="82">
        <v>836778.84931506857</v>
      </c>
      <c r="CY234" s="83">
        <v>852755.12021857931</v>
      </c>
      <c r="CZ234" s="82">
        <v>882934.76958542096</v>
      </c>
      <c r="DA234" s="82">
        <v>918719.35849443055</v>
      </c>
      <c r="DB234" s="82">
        <v>948645.25407568808</v>
      </c>
      <c r="DC234" s="82">
        <v>981382.86136213585</v>
      </c>
      <c r="DD234" s="82">
        <v>1015955.6583045073</v>
      </c>
      <c r="DE234" s="82">
        <v>1051838.4411922265</v>
      </c>
      <c r="DF234" s="82">
        <v>1089535.080632624</v>
      </c>
      <c r="DG234" s="82">
        <v>1131247.8403344776</v>
      </c>
      <c r="DH234" s="82">
        <v>1175084.3912831771</v>
      </c>
      <c r="DI234" s="82">
        <v>1220607.4675364664</v>
      </c>
    </row>
    <row r="235" spans="1:114" outlineLevel="1">
      <c r="A235" s="1" t="s">
        <v>336</v>
      </c>
      <c r="B235" s="19" t="s">
        <v>344</v>
      </c>
      <c r="C235" s="53">
        <v>0</v>
      </c>
      <c r="D235" s="53">
        <v>0</v>
      </c>
      <c r="E235" s="53">
        <v>0</v>
      </c>
      <c r="F235" s="53">
        <v>0</v>
      </c>
      <c r="G235" s="53">
        <v>0</v>
      </c>
      <c r="H235" s="53">
        <v>0</v>
      </c>
      <c r="I235" s="53">
        <v>0</v>
      </c>
      <c r="J235" s="53">
        <v>0</v>
      </c>
      <c r="K235" s="53">
        <v>0</v>
      </c>
      <c r="L235" s="53">
        <v>0</v>
      </c>
      <c r="M235" s="53">
        <v>0</v>
      </c>
      <c r="N235" s="53">
        <v>0</v>
      </c>
      <c r="O235" s="53">
        <v>0</v>
      </c>
      <c r="P235" s="53">
        <v>0</v>
      </c>
      <c r="Q235" s="53">
        <v>0</v>
      </c>
      <c r="R235" s="53">
        <v>0</v>
      </c>
      <c r="S235" s="53">
        <v>0</v>
      </c>
      <c r="T235" s="53">
        <v>0</v>
      </c>
      <c r="U235" s="53">
        <v>0</v>
      </c>
      <c r="V235" s="53">
        <v>0</v>
      </c>
      <c r="W235" s="53">
        <v>0</v>
      </c>
      <c r="X235" s="53">
        <v>0</v>
      </c>
      <c r="Y235" s="53">
        <v>0</v>
      </c>
      <c r="Z235" s="53">
        <v>0</v>
      </c>
      <c r="AA235" s="164">
        <v>0</v>
      </c>
      <c r="AB235" s="164">
        <v>0</v>
      </c>
      <c r="AC235" s="164">
        <v>0</v>
      </c>
      <c r="AD235" s="164">
        <v>0</v>
      </c>
      <c r="AE235" s="164">
        <v>0</v>
      </c>
      <c r="AF235" s="164">
        <v>0</v>
      </c>
      <c r="AG235" s="164">
        <v>0</v>
      </c>
      <c r="AH235" s="164">
        <v>0</v>
      </c>
      <c r="AI235" s="164">
        <v>0</v>
      </c>
      <c r="AJ235" s="164">
        <v>0</v>
      </c>
      <c r="AK235" s="164">
        <v>0</v>
      </c>
      <c r="AL235" s="164">
        <v>0</v>
      </c>
      <c r="AM235" s="164">
        <v>0</v>
      </c>
      <c r="AN235" s="164">
        <v>0</v>
      </c>
      <c r="AO235" s="164">
        <v>0</v>
      </c>
      <c r="AP235" s="164">
        <v>0</v>
      </c>
      <c r="AQ235" s="164">
        <v>0</v>
      </c>
      <c r="AR235" s="164">
        <v>0</v>
      </c>
      <c r="AS235" s="164">
        <v>0</v>
      </c>
      <c r="AT235" s="164">
        <v>0</v>
      </c>
      <c r="AU235" s="164">
        <v>0</v>
      </c>
      <c r="AV235" s="164">
        <v>0</v>
      </c>
      <c r="AW235" s="171">
        <v>0</v>
      </c>
      <c r="AX235" s="54">
        <v>0</v>
      </c>
      <c r="AY235" s="54">
        <v>0</v>
      </c>
      <c r="AZ235" s="54">
        <v>0</v>
      </c>
      <c r="BA235" s="54">
        <v>0</v>
      </c>
      <c r="BB235" s="54">
        <v>0</v>
      </c>
      <c r="BC235" s="54">
        <v>0</v>
      </c>
      <c r="BD235" s="54">
        <v>0</v>
      </c>
      <c r="BE235" s="54">
        <v>0</v>
      </c>
      <c r="BF235" s="54">
        <v>0</v>
      </c>
      <c r="BG235" s="54">
        <v>0</v>
      </c>
      <c r="BH235" s="54">
        <v>0</v>
      </c>
      <c r="BI235" s="54">
        <v>0</v>
      </c>
      <c r="BJ235" s="54">
        <v>0</v>
      </c>
      <c r="BK235" s="54">
        <v>0</v>
      </c>
      <c r="BL235" s="54">
        <v>0</v>
      </c>
      <c r="BM235" s="54">
        <v>0</v>
      </c>
      <c r="BN235" s="54">
        <v>0</v>
      </c>
      <c r="BO235" s="54">
        <v>0</v>
      </c>
      <c r="BP235" s="54">
        <v>0</v>
      </c>
      <c r="BQ235" s="54">
        <v>0</v>
      </c>
      <c r="BR235" s="55"/>
      <c r="BS235" s="53">
        <v>0</v>
      </c>
      <c r="BT235" s="53">
        <v>0</v>
      </c>
      <c r="BU235" s="53">
        <v>0</v>
      </c>
      <c r="BV235" s="53">
        <v>0</v>
      </c>
      <c r="BW235" s="53">
        <v>0</v>
      </c>
      <c r="BX235" s="53">
        <v>0</v>
      </c>
      <c r="BY235" s="53">
        <v>0</v>
      </c>
      <c r="BZ235" s="53">
        <v>0</v>
      </c>
      <c r="CA235" s="53">
        <v>0</v>
      </c>
      <c r="CB235" s="53">
        <v>0</v>
      </c>
      <c r="CC235" s="55">
        <v>0</v>
      </c>
      <c r="CD235" s="55">
        <v>0</v>
      </c>
      <c r="CE235" s="55">
        <v>0</v>
      </c>
      <c r="CF235" s="55">
        <v>0</v>
      </c>
      <c r="CG235" s="55">
        <v>0</v>
      </c>
      <c r="CH235" s="164">
        <v>0</v>
      </c>
      <c r="CI235" s="164">
        <v>0</v>
      </c>
      <c r="CJ235" s="164">
        <v>0</v>
      </c>
      <c r="CK235" s="164">
        <v>0</v>
      </c>
      <c r="CL235" s="164">
        <v>0</v>
      </c>
      <c r="CM235" s="164">
        <v>0</v>
      </c>
      <c r="CN235" s="164">
        <v>0</v>
      </c>
      <c r="CO235" s="164">
        <v>0</v>
      </c>
      <c r="CP235" s="164">
        <v>0</v>
      </c>
      <c r="CQ235" s="164">
        <v>0</v>
      </c>
      <c r="CR235" s="164">
        <v>0</v>
      </c>
      <c r="CS235" s="164">
        <v>0</v>
      </c>
      <c r="CT235" s="164">
        <v>0</v>
      </c>
      <c r="CU235" s="164">
        <v>0</v>
      </c>
      <c r="CV235" s="164">
        <v>0</v>
      </c>
      <c r="CW235" s="164">
        <v>0</v>
      </c>
      <c r="CX235" s="164">
        <v>0</v>
      </c>
      <c r="CY235" s="171">
        <v>0</v>
      </c>
      <c r="CZ235" s="55">
        <v>0</v>
      </c>
      <c r="DA235" s="55">
        <v>0</v>
      </c>
      <c r="DB235" s="55">
        <v>0</v>
      </c>
      <c r="DC235" s="55">
        <v>0</v>
      </c>
      <c r="DD235" s="55">
        <v>0</v>
      </c>
      <c r="DE235" s="55">
        <v>0</v>
      </c>
      <c r="DF235" s="55">
        <v>0</v>
      </c>
      <c r="DG235" s="55">
        <v>0</v>
      </c>
      <c r="DH235" s="55">
        <v>0</v>
      </c>
      <c r="DI235" s="55">
        <v>0</v>
      </c>
    </row>
    <row r="236" spans="1:114" outlineLevel="1">
      <c r="A236" s="1" t="s">
        <v>337</v>
      </c>
      <c r="B236" s="19" t="s">
        <v>586</v>
      </c>
      <c r="C236" s="53">
        <v>0</v>
      </c>
      <c r="D236" s="53">
        <v>0</v>
      </c>
      <c r="E236" s="53">
        <v>0</v>
      </c>
      <c r="F236" s="53">
        <v>0</v>
      </c>
      <c r="G236" s="53">
        <v>0</v>
      </c>
      <c r="H236" s="53">
        <v>0</v>
      </c>
      <c r="I236" s="53">
        <v>0</v>
      </c>
      <c r="J236" s="53">
        <v>0</v>
      </c>
      <c r="K236" s="53">
        <v>0</v>
      </c>
      <c r="L236" s="53">
        <v>0</v>
      </c>
      <c r="M236" s="53">
        <v>0</v>
      </c>
      <c r="N236" s="53">
        <v>0</v>
      </c>
      <c r="O236" s="53">
        <v>0</v>
      </c>
      <c r="P236" s="53">
        <v>0</v>
      </c>
      <c r="Q236" s="53">
        <v>0</v>
      </c>
      <c r="R236" s="53">
        <v>0</v>
      </c>
      <c r="S236" s="53">
        <v>0</v>
      </c>
      <c r="T236" s="53">
        <v>0</v>
      </c>
      <c r="U236" s="53">
        <v>0</v>
      </c>
      <c r="V236" s="53">
        <v>0</v>
      </c>
      <c r="W236" s="53">
        <v>0</v>
      </c>
      <c r="X236" s="53">
        <v>0</v>
      </c>
      <c r="Y236" s="53">
        <v>0</v>
      </c>
      <c r="Z236" s="53">
        <v>0</v>
      </c>
      <c r="AA236" s="164">
        <v>0</v>
      </c>
      <c r="AB236" s="164">
        <v>0</v>
      </c>
      <c r="AC236" s="164">
        <v>0</v>
      </c>
      <c r="AD236" s="164">
        <v>0</v>
      </c>
      <c r="AE236" s="164">
        <v>0</v>
      </c>
      <c r="AF236" s="164">
        <v>0</v>
      </c>
      <c r="AG236" s="164">
        <v>0</v>
      </c>
      <c r="AH236" s="164">
        <v>0</v>
      </c>
      <c r="AI236" s="164">
        <v>0</v>
      </c>
      <c r="AJ236" s="164">
        <v>0</v>
      </c>
      <c r="AK236" s="164">
        <v>0</v>
      </c>
      <c r="AL236" s="164">
        <v>0</v>
      </c>
      <c r="AM236" s="164">
        <v>0</v>
      </c>
      <c r="AN236" s="164">
        <v>0</v>
      </c>
      <c r="AO236" s="164">
        <v>0</v>
      </c>
      <c r="AP236" s="164">
        <v>0</v>
      </c>
      <c r="AQ236" s="164">
        <v>0</v>
      </c>
      <c r="AR236" s="164">
        <v>0</v>
      </c>
      <c r="AS236" s="164">
        <v>0</v>
      </c>
      <c r="AT236" s="164">
        <v>0</v>
      </c>
      <c r="AU236" s="164">
        <v>0</v>
      </c>
      <c r="AV236" s="164">
        <v>0</v>
      </c>
      <c r="AW236" s="171">
        <v>0</v>
      </c>
      <c r="AX236" s="54">
        <v>0</v>
      </c>
      <c r="AY236" s="54">
        <v>0</v>
      </c>
      <c r="AZ236" s="54">
        <v>0</v>
      </c>
      <c r="BA236" s="54">
        <v>0</v>
      </c>
      <c r="BB236" s="54">
        <v>0</v>
      </c>
      <c r="BC236" s="54">
        <v>0</v>
      </c>
      <c r="BD236" s="54">
        <v>0</v>
      </c>
      <c r="BE236" s="54">
        <v>0</v>
      </c>
      <c r="BF236" s="54">
        <v>0</v>
      </c>
      <c r="BG236" s="54">
        <v>0</v>
      </c>
      <c r="BH236" s="54">
        <v>0</v>
      </c>
      <c r="BI236" s="54">
        <v>0</v>
      </c>
      <c r="BJ236" s="54">
        <v>0</v>
      </c>
      <c r="BK236" s="54">
        <v>0</v>
      </c>
      <c r="BL236" s="54">
        <v>0</v>
      </c>
      <c r="BM236" s="54">
        <v>0</v>
      </c>
      <c r="BN236" s="54">
        <v>0</v>
      </c>
      <c r="BO236" s="54">
        <v>0</v>
      </c>
      <c r="BP236" s="54">
        <v>0</v>
      </c>
      <c r="BQ236" s="54">
        <v>0</v>
      </c>
      <c r="BR236" s="55"/>
      <c r="BS236" s="53">
        <v>0</v>
      </c>
      <c r="BT236" s="53">
        <v>0</v>
      </c>
      <c r="BU236" s="53">
        <v>0</v>
      </c>
      <c r="BV236" s="53">
        <v>0</v>
      </c>
      <c r="BW236" s="53">
        <v>0</v>
      </c>
      <c r="BX236" s="53">
        <v>0</v>
      </c>
      <c r="BY236" s="53">
        <v>0</v>
      </c>
      <c r="BZ236" s="53">
        <v>0</v>
      </c>
      <c r="CA236" s="53">
        <v>0</v>
      </c>
      <c r="CB236" s="53">
        <v>0</v>
      </c>
      <c r="CC236" s="55">
        <v>0</v>
      </c>
      <c r="CD236" s="55">
        <v>0</v>
      </c>
      <c r="CE236" s="55">
        <v>0</v>
      </c>
      <c r="CF236" s="55">
        <v>0</v>
      </c>
      <c r="CG236" s="55">
        <v>0</v>
      </c>
      <c r="CH236" s="164">
        <v>0</v>
      </c>
      <c r="CI236" s="164">
        <v>0</v>
      </c>
      <c r="CJ236" s="164">
        <v>0</v>
      </c>
      <c r="CK236" s="164">
        <v>0</v>
      </c>
      <c r="CL236" s="164">
        <v>0</v>
      </c>
      <c r="CM236" s="164">
        <v>0</v>
      </c>
      <c r="CN236" s="164">
        <v>0</v>
      </c>
      <c r="CO236" s="164">
        <v>0</v>
      </c>
      <c r="CP236" s="164">
        <v>0</v>
      </c>
      <c r="CQ236" s="164">
        <v>0</v>
      </c>
      <c r="CR236" s="164">
        <v>0</v>
      </c>
      <c r="CS236" s="164">
        <v>0</v>
      </c>
      <c r="CT236" s="164">
        <v>0</v>
      </c>
      <c r="CU236" s="164">
        <v>0</v>
      </c>
      <c r="CV236" s="164">
        <v>0</v>
      </c>
      <c r="CW236" s="164">
        <v>0</v>
      </c>
      <c r="CX236" s="164">
        <v>0</v>
      </c>
      <c r="CY236" s="171">
        <v>0</v>
      </c>
      <c r="CZ236" s="55">
        <v>0</v>
      </c>
      <c r="DA236" s="55">
        <v>0</v>
      </c>
      <c r="DB236" s="55">
        <v>0</v>
      </c>
      <c r="DC236" s="55">
        <v>0</v>
      </c>
      <c r="DD236" s="55">
        <v>0</v>
      </c>
      <c r="DE236" s="55">
        <v>0</v>
      </c>
      <c r="DF236" s="55">
        <v>0</v>
      </c>
      <c r="DG236" s="55">
        <v>0</v>
      </c>
      <c r="DH236" s="55">
        <v>0</v>
      </c>
      <c r="DI236" s="55">
        <v>0</v>
      </c>
    </row>
    <row r="237" spans="1:114" s="24" customFormat="1" outlineLevel="1">
      <c r="A237" s="1" t="s">
        <v>338</v>
      </c>
      <c r="B237" s="24" t="s">
        <v>587</v>
      </c>
      <c r="C237" s="82">
        <v>137727</v>
      </c>
      <c r="D237" s="82">
        <v>140537</v>
      </c>
      <c r="E237" s="82">
        <v>144396</v>
      </c>
      <c r="F237" s="82">
        <v>152055</v>
      </c>
      <c r="G237" s="82">
        <v>157734</v>
      </c>
      <c r="H237" s="82">
        <v>168990</v>
      </c>
      <c r="I237" s="82">
        <v>183276</v>
      </c>
      <c r="J237" s="82">
        <v>206489</v>
      </c>
      <c r="K237" s="82">
        <v>221637</v>
      </c>
      <c r="L237" s="82">
        <v>235745</v>
      </c>
      <c r="M237" s="82">
        <v>251403</v>
      </c>
      <c r="N237" s="82">
        <v>271291</v>
      </c>
      <c r="O237" s="82">
        <v>306827</v>
      </c>
      <c r="P237" s="82">
        <v>329104</v>
      </c>
      <c r="Q237" s="82">
        <v>353533</v>
      </c>
      <c r="R237" s="82">
        <v>434797</v>
      </c>
      <c r="S237" s="82">
        <v>459739</v>
      </c>
      <c r="T237" s="82">
        <v>483880</v>
      </c>
      <c r="U237" s="82">
        <v>491859</v>
      </c>
      <c r="V237" s="82">
        <v>508400.93370165752</v>
      </c>
      <c r="W237" s="82">
        <v>512059</v>
      </c>
      <c r="X237" s="82">
        <v>523444</v>
      </c>
      <c r="Y237" s="82">
        <v>534263</v>
      </c>
      <c r="Z237" s="82">
        <v>545436</v>
      </c>
      <c r="AA237" s="82">
        <v>554660</v>
      </c>
      <c r="AB237" s="82">
        <v>575745</v>
      </c>
      <c r="AC237" s="82">
        <v>596239</v>
      </c>
      <c r="AD237" s="82">
        <v>612837</v>
      </c>
      <c r="AE237" s="82">
        <v>636001</v>
      </c>
      <c r="AF237" s="82">
        <v>635978</v>
      </c>
      <c r="AG237" s="82">
        <v>653614</v>
      </c>
      <c r="AH237" s="82">
        <v>674387</v>
      </c>
      <c r="AI237" s="82">
        <v>686017</v>
      </c>
      <c r="AJ237" s="82">
        <v>697558</v>
      </c>
      <c r="AK237" s="82">
        <v>702297</v>
      </c>
      <c r="AL237" s="82">
        <v>706975</v>
      </c>
      <c r="AM237" s="82">
        <v>712135</v>
      </c>
      <c r="AN237" s="82">
        <v>717276</v>
      </c>
      <c r="AO237" s="82">
        <v>728809</v>
      </c>
      <c r="AP237" s="82">
        <v>728465</v>
      </c>
      <c r="AQ237" s="82">
        <v>742305</v>
      </c>
      <c r="AR237" s="82">
        <v>772004</v>
      </c>
      <c r="AS237" s="82">
        <v>797286</v>
      </c>
      <c r="AT237" s="82">
        <v>825880</v>
      </c>
      <c r="AU237" s="82">
        <v>847500</v>
      </c>
      <c r="AV237" s="82">
        <v>850249</v>
      </c>
      <c r="AW237" s="83">
        <v>855234</v>
      </c>
      <c r="AX237" s="82">
        <v>873829.88167810801</v>
      </c>
      <c r="AY237" s="82">
        <v>891891.20823337557</v>
      </c>
      <c r="AZ237" s="82">
        <v>910284.98933744919</v>
      </c>
      <c r="BA237" s="82">
        <v>927016.21076298284</v>
      </c>
      <c r="BB237" s="82">
        <v>940931.50646212627</v>
      </c>
      <c r="BC237" s="82">
        <v>956233.2340651158</v>
      </c>
      <c r="BD237" s="82">
        <v>972862.7000975589</v>
      </c>
      <c r="BE237" s="82">
        <v>989810.4121781846</v>
      </c>
      <c r="BF237" s="82">
        <v>1007082.285720903</v>
      </c>
      <c r="BG237" s="82">
        <v>1024684.3563351182</v>
      </c>
      <c r="BH237" s="82">
        <v>1042622.781968317</v>
      </c>
      <c r="BI237" s="82">
        <v>1060903.845102703</v>
      </c>
      <c r="BJ237" s="82">
        <v>1079533.9550063021</v>
      </c>
      <c r="BK237" s="82">
        <v>1099373.1444280823</v>
      </c>
      <c r="BL237" s="82">
        <v>1120447.6022997727</v>
      </c>
      <c r="BM237" s="82">
        <v>1141930.6844775006</v>
      </c>
      <c r="BN237" s="82">
        <v>1163830.3954554547</v>
      </c>
      <c r="BO237" s="82">
        <v>1186154.8980484915</v>
      </c>
      <c r="BP237" s="82">
        <v>1208912.5165529766</v>
      </c>
      <c r="BQ237" s="82">
        <v>1232111.7399713122</v>
      </c>
      <c r="BR237" s="82"/>
      <c r="BS237" s="82">
        <v>59755.4</v>
      </c>
      <c r="BT237" s="82">
        <v>58484.4</v>
      </c>
      <c r="BU237" s="82">
        <v>58174.3</v>
      </c>
      <c r="BV237" s="82">
        <v>60273</v>
      </c>
      <c r="BW237" s="82">
        <v>66490</v>
      </c>
      <c r="BX237" s="82">
        <v>77024</v>
      </c>
      <c r="BY237" s="82">
        <v>85744</v>
      </c>
      <c r="BZ237" s="82">
        <v>96656</v>
      </c>
      <c r="CA237" s="82">
        <v>109013</v>
      </c>
      <c r="CB237" s="82">
        <v>135909</v>
      </c>
      <c r="CC237" s="82">
        <v>142482.3589041096</v>
      </c>
      <c r="CD237" s="82">
        <v>154917.8383561644</v>
      </c>
      <c r="CE237" s="82">
        <v>176172.03278688525</v>
      </c>
      <c r="CF237" s="82">
        <v>214125.25205479455</v>
      </c>
      <c r="CG237" s="82">
        <v>243510</v>
      </c>
      <c r="CH237" s="82">
        <v>296315</v>
      </c>
      <c r="CI237" s="82">
        <v>341252</v>
      </c>
      <c r="CJ237" s="82">
        <v>447166</v>
      </c>
      <c r="CK237" s="82">
        <v>487836</v>
      </c>
      <c r="CL237" s="82">
        <v>510245</v>
      </c>
      <c r="CM237" s="82">
        <v>528823</v>
      </c>
      <c r="CN237" s="82">
        <v>550010</v>
      </c>
      <c r="CO237" s="82">
        <v>585908</v>
      </c>
      <c r="CP237" s="82">
        <v>624324</v>
      </c>
      <c r="CQ237" s="82">
        <v>644747</v>
      </c>
      <c r="CR237" s="82">
        <v>680154</v>
      </c>
      <c r="CS237" s="82">
        <v>699909</v>
      </c>
      <c r="CT237" s="82">
        <v>709534</v>
      </c>
      <c r="CU237" s="82">
        <v>723011</v>
      </c>
      <c r="CV237" s="82">
        <v>735441.87671232875</v>
      </c>
      <c r="CW237" s="82">
        <v>784748.89863013697</v>
      </c>
      <c r="CX237" s="82">
        <v>836778.84931506857</v>
      </c>
      <c r="CY237" s="83">
        <v>852755.12021857931</v>
      </c>
      <c r="CZ237" s="82">
        <v>882934.76958542096</v>
      </c>
      <c r="DA237" s="82">
        <v>918719.35849443055</v>
      </c>
      <c r="DB237" s="82">
        <v>948645.25407568808</v>
      </c>
      <c r="DC237" s="82">
        <v>981382.86136213585</v>
      </c>
      <c r="DD237" s="82">
        <v>1015955.6583045073</v>
      </c>
      <c r="DE237" s="82">
        <v>1051838.4411922265</v>
      </c>
      <c r="DF237" s="82">
        <v>1089535.080632624</v>
      </c>
      <c r="DG237" s="82">
        <v>1131247.8403344776</v>
      </c>
      <c r="DH237" s="82">
        <v>1175084.3912831771</v>
      </c>
      <c r="DI237" s="82">
        <v>1220607.4675364664</v>
      </c>
      <c r="DJ237" s="134"/>
    </row>
    <row r="238" spans="1:114" outlineLevel="1">
      <c r="A238" s="1" t="s">
        <v>919</v>
      </c>
      <c r="B238" s="19" t="s">
        <v>388</v>
      </c>
      <c r="C238" s="55">
        <v>25636</v>
      </c>
      <c r="D238" s="55">
        <v>27685</v>
      </c>
      <c r="E238" s="55">
        <v>28688</v>
      </c>
      <c r="F238" s="55">
        <v>31620</v>
      </c>
      <c r="G238" s="55">
        <v>35208</v>
      </c>
      <c r="H238" s="55">
        <v>35333</v>
      </c>
      <c r="I238" s="55">
        <v>40884</v>
      </c>
      <c r="J238" s="55">
        <v>39888</v>
      </c>
      <c r="K238" s="55">
        <v>38652</v>
      </c>
      <c r="L238" s="55">
        <v>41437</v>
      </c>
      <c r="M238" s="55">
        <v>42925</v>
      </c>
      <c r="N238" s="55">
        <v>47224</v>
      </c>
      <c r="O238" s="55">
        <v>51856</v>
      </c>
      <c r="P238" s="55">
        <v>56120</v>
      </c>
      <c r="Q238" s="55">
        <v>59583</v>
      </c>
      <c r="R238" s="55">
        <v>77740</v>
      </c>
      <c r="S238" s="55">
        <v>80540</v>
      </c>
      <c r="T238" s="55">
        <v>75279</v>
      </c>
      <c r="U238" s="55">
        <v>78479</v>
      </c>
      <c r="V238" s="55">
        <v>85756.093922651897</v>
      </c>
      <c r="W238" s="55">
        <v>88543</v>
      </c>
      <c r="X238" s="55">
        <v>99454</v>
      </c>
      <c r="Y238" s="55">
        <v>102284</v>
      </c>
      <c r="Z238" s="55">
        <v>103958</v>
      </c>
      <c r="AA238" s="55">
        <v>103291</v>
      </c>
      <c r="AB238" s="55">
        <v>114361</v>
      </c>
      <c r="AC238" s="55">
        <v>124650</v>
      </c>
      <c r="AD238" s="55">
        <v>126435</v>
      </c>
      <c r="AE238" s="55">
        <v>136746</v>
      </c>
      <c r="AF238" s="55">
        <v>144943</v>
      </c>
      <c r="AG238" s="55">
        <v>146765</v>
      </c>
      <c r="AH238" s="55">
        <v>148671</v>
      </c>
      <c r="AI238" s="55">
        <v>160602</v>
      </c>
      <c r="AJ238" s="55">
        <v>153964</v>
      </c>
      <c r="AK238" s="55">
        <v>154753</v>
      </c>
      <c r="AL238" s="55">
        <v>163928.72488873766</v>
      </c>
      <c r="AM238" s="55">
        <v>159805.34217183117</v>
      </c>
      <c r="AN238" s="55">
        <v>164574</v>
      </c>
      <c r="AO238" s="55">
        <v>184330</v>
      </c>
      <c r="AP238" s="55">
        <v>194459</v>
      </c>
      <c r="AQ238" s="55">
        <v>194578</v>
      </c>
      <c r="AR238" s="55">
        <v>236066</v>
      </c>
      <c r="AS238" s="55">
        <v>248776</v>
      </c>
      <c r="AT238" s="55">
        <v>274147</v>
      </c>
      <c r="AU238" s="55">
        <v>275167</v>
      </c>
      <c r="AV238" s="55">
        <v>290444</v>
      </c>
      <c r="AW238" s="56">
        <v>292828</v>
      </c>
      <c r="AX238" s="55">
        <v>299195.14026808686</v>
      </c>
      <c r="AY238" s="55">
        <v>305379.25143827643</v>
      </c>
      <c r="AZ238" s="55">
        <v>311677.19344379037</v>
      </c>
      <c r="BA238" s="55">
        <v>317405.88302768924</v>
      </c>
      <c r="BB238" s="55">
        <v>322170.41321356676</v>
      </c>
      <c r="BC238" s="55">
        <v>327409.65100173728</v>
      </c>
      <c r="BD238" s="55">
        <v>333103.50002942822</v>
      </c>
      <c r="BE238" s="55">
        <v>338906.31497030461</v>
      </c>
      <c r="BF238" s="55">
        <v>344820.12123358127</v>
      </c>
      <c r="BG238" s="55">
        <v>350846.98538283096</v>
      </c>
      <c r="BH238" s="55">
        <v>356989.01586959639</v>
      </c>
      <c r="BI238" s="55">
        <v>363248.3637855071</v>
      </c>
      <c r="BJ238" s="55">
        <v>369627.22363304719</v>
      </c>
      <c r="BK238" s="55">
        <v>376420.06648073689</v>
      </c>
      <c r="BL238" s="55">
        <v>383635.85929258878</v>
      </c>
      <c r="BM238" s="55">
        <v>390991.5630975588</v>
      </c>
      <c r="BN238" s="55">
        <v>398489.91859588132</v>
      </c>
      <c r="BO238" s="55">
        <v>406133.72069602442</v>
      </c>
      <c r="BP238" s="55">
        <v>413925.81959694671</v>
      </c>
      <c r="BQ238" s="55">
        <v>421869.12189215998</v>
      </c>
      <c r="BR238" s="55"/>
      <c r="BS238" s="55">
        <v>12113.999999999993</v>
      </c>
      <c r="BT238" s="55">
        <v>13858.700000000004</v>
      </c>
      <c r="BU238" s="55">
        <v>16559</v>
      </c>
      <c r="BV238" s="55">
        <v>18188</v>
      </c>
      <c r="BW238" s="55">
        <v>19305</v>
      </c>
      <c r="BX238" s="55">
        <v>19139</v>
      </c>
      <c r="BY238" s="55">
        <v>16421</v>
      </c>
      <c r="BZ238" s="55">
        <v>17615</v>
      </c>
      <c r="CA238" s="55">
        <v>20150</v>
      </c>
      <c r="CB238" s="55">
        <v>24698</v>
      </c>
      <c r="CC238" s="55">
        <v>28190.621917808217</v>
      </c>
      <c r="CD238" s="55">
        <v>33428.745205479456</v>
      </c>
      <c r="CE238" s="55">
        <v>38123.666666666664</v>
      </c>
      <c r="CF238" s="55">
        <v>39264.920547945207</v>
      </c>
      <c r="CG238" s="55">
        <v>42187.115068493149</v>
      </c>
      <c r="CH238" s="55">
        <v>49521</v>
      </c>
      <c r="CI238" s="55">
        <v>57842</v>
      </c>
      <c r="CJ238" s="55">
        <v>79128</v>
      </c>
      <c r="CK238" s="55">
        <v>76866</v>
      </c>
      <c r="CL238" s="55">
        <v>87161</v>
      </c>
      <c r="CM238" s="55">
        <v>100862</v>
      </c>
      <c r="CN238" s="55">
        <v>103627</v>
      </c>
      <c r="CO238" s="55">
        <v>119463</v>
      </c>
      <c r="CP238" s="55">
        <v>131548</v>
      </c>
      <c r="CQ238" s="55">
        <v>145849</v>
      </c>
      <c r="CR238" s="55">
        <v>154587</v>
      </c>
      <c r="CS238" s="55">
        <v>154355</v>
      </c>
      <c r="CT238" s="55">
        <v>161884</v>
      </c>
      <c r="CU238" s="55">
        <v>174398</v>
      </c>
      <c r="CV238" s="55">
        <v>194518.98904109589</v>
      </c>
      <c r="CW238" s="55">
        <v>242473.23287671234</v>
      </c>
      <c r="CX238" s="55">
        <v>274661.19178082194</v>
      </c>
      <c r="CY238" s="56">
        <v>291642.51366120222</v>
      </c>
      <c r="CZ238" s="55">
        <v>302312.61000867555</v>
      </c>
      <c r="DA238" s="55">
        <v>314565.0807956736</v>
      </c>
      <c r="DB238" s="55">
        <v>324811.56322184997</v>
      </c>
      <c r="DC238" s="55">
        <v>336020.76218549727</v>
      </c>
      <c r="DD238" s="55">
        <v>347858.32124306605</v>
      </c>
      <c r="DE238" s="55">
        <v>360144.41317515139</v>
      </c>
      <c r="DF238" s="55">
        <v>373051.56084941677</v>
      </c>
      <c r="DG238" s="55">
        <v>387333.80874645355</v>
      </c>
      <c r="DH238" s="55">
        <v>402343.23253129591</v>
      </c>
      <c r="DI238" s="55">
        <v>417930.1144526159</v>
      </c>
      <c r="DJ238" s="134"/>
    </row>
    <row r="239" spans="1:114" s="24" customFormat="1" outlineLevel="1">
      <c r="A239" s="1" t="s">
        <v>920</v>
      </c>
      <c r="B239" s="24" t="s">
        <v>470</v>
      </c>
      <c r="C239" s="81">
        <v>163363</v>
      </c>
      <c r="D239" s="81">
        <v>168222</v>
      </c>
      <c r="E239" s="81">
        <v>173084</v>
      </c>
      <c r="F239" s="81">
        <v>183675</v>
      </c>
      <c r="G239" s="81">
        <v>192942</v>
      </c>
      <c r="H239" s="81">
        <v>204323</v>
      </c>
      <c r="I239" s="81">
        <v>224160</v>
      </c>
      <c r="J239" s="81">
        <v>246377</v>
      </c>
      <c r="K239" s="81">
        <v>260289</v>
      </c>
      <c r="L239" s="81">
        <v>277182</v>
      </c>
      <c r="M239" s="81">
        <v>294328</v>
      </c>
      <c r="N239" s="81">
        <v>318515</v>
      </c>
      <c r="O239" s="81">
        <v>358683</v>
      </c>
      <c r="P239" s="81">
        <v>385224</v>
      </c>
      <c r="Q239" s="81">
        <v>413116</v>
      </c>
      <c r="R239" s="81">
        <v>512537</v>
      </c>
      <c r="S239" s="81">
        <v>540279</v>
      </c>
      <c r="T239" s="81">
        <v>559159</v>
      </c>
      <c r="U239" s="81">
        <v>570338</v>
      </c>
      <c r="V239" s="81">
        <v>594157.02762430941</v>
      </c>
      <c r="W239" s="81">
        <v>600602</v>
      </c>
      <c r="X239" s="81">
        <v>622898</v>
      </c>
      <c r="Y239" s="81">
        <v>636547</v>
      </c>
      <c r="Z239" s="81">
        <v>649394</v>
      </c>
      <c r="AA239" s="166">
        <v>657951</v>
      </c>
      <c r="AB239" s="166">
        <v>690106</v>
      </c>
      <c r="AC239" s="166">
        <v>720889</v>
      </c>
      <c r="AD239" s="166">
        <v>739272</v>
      </c>
      <c r="AE239" s="166">
        <v>772747</v>
      </c>
      <c r="AF239" s="166">
        <v>780921</v>
      </c>
      <c r="AG239" s="166">
        <v>800379</v>
      </c>
      <c r="AH239" s="166">
        <v>823058</v>
      </c>
      <c r="AI239" s="166">
        <v>846619</v>
      </c>
      <c r="AJ239" s="166">
        <v>851522</v>
      </c>
      <c r="AK239" s="166">
        <v>857050</v>
      </c>
      <c r="AL239" s="166">
        <v>870903.72488873766</v>
      </c>
      <c r="AM239" s="166">
        <v>871940.34217183117</v>
      </c>
      <c r="AN239" s="166">
        <v>881850</v>
      </c>
      <c r="AO239" s="166">
        <v>913139</v>
      </c>
      <c r="AP239" s="166">
        <v>922924</v>
      </c>
      <c r="AQ239" s="166">
        <v>936883</v>
      </c>
      <c r="AR239" s="166">
        <v>1008070</v>
      </c>
      <c r="AS239" s="166">
        <v>1046062</v>
      </c>
      <c r="AT239" s="166">
        <v>1100027</v>
      </c>
      <c r="AU239" s="166">
        <v>1122667</v>
      </c>
      <c r="AV239" s="166">
        <v>1140693</v>
      </c>
      <c r="AW239" s="167">
        <v>1148062</v>
      </c>
      <c r="AX239" s="82">
        <v>1173025.0219461948</v>
      </c>
      <c r="AY239" s="82">
        <v>1197270.4596716519</v>
      </c>
      <c r="AZ239" s="82">
        <v>1221962.1827812395</v>
      </c>
      <c r="BA239" s="82">
        <v>1244422.093790672</v>
      </c>
      <c r="BB239" s="82">
        <v>1263101.9196756929</v>
      </c>
      <c r="BC239" s="82">
        <v>1283642.8850668531</v>
      </c>
      <c r="BD239" s="82">
        <v>1305966.2001269872</v>
      </c>
      <c r="BE239" s="82">
        <v>1328716.7271484891</v>
      </c>
      <c r="BF239" s="82">
        <v>1351902.4069544843</v>
      </c>
      <c r="BG239" s="82">
        <v>1375531.3417179491</v>
      </c>
      <c r="BH239" s="82">
        <v>1399611.7978379135</v>
      </c>
      <c r="BI239" s="82">
        <v>1424152.2088882101</v>
      </c>
      <c r="BJ239" s="82">
        <v>1449161.1786393493</v>
      </c>
      <c r="BK239" s="82">
        <v>1475793.2109088192</v>
      </c>
      <c r="BL239" s="82">
        <v>1504083.4615923613</v>
      </c>
      <c r="BM239" s="82">
        <v>1532922.2475750595</v>
      </c>
      <c r="BN239" s="82">
        <v>1562320.3140513361</v>
      </c>
      <c r="BO239" s="82">
        <v>1592288.6187445158</v>
      </c>
      <c r="BP239" s="82">
        <v>1622838.3361499233</v>
      </c>
      <c r="BQ239" s="82">
        <v>1653980.8618634723</v>
      </c>
      <c r="BR239" s="82"/>
      <c r="BS239" s="81">
        <v>71869.399999999994</v>
      </c>
      <c r="BT239" s="81">
        <v>72343.100000000006</v>
      </c>
      <c r="BU239" s="81">
        <v>74733.3</v>
      </c>
      <c r="BV239" s="81">
        <v>78461</v>
      </c>
      <c r="BW239" s="81">
        <v>85795</v>
      </c>
      <c r="BX239" s="81">
        <v>96163</v>
      </c>
      <c r="BY239" s="81">
        <v>102165</v>
      </c>
      <c r="BZ239" s="81">
        <v>114271</v>
      </c>
      <c r="CA239" s="81">
        <v>129163</v>
      </c>
      <c r="CB239" s="81">
        <v>160607</v>
      </c>
      <c r="CC239" s="82">
        <v>170672.98082191779</v>
      </c>
      <c r="CD239" s="82">
        <v>188346.58356164381</v>
      </c>
      <c r="CE239" s="82">
        <v>214295.69945355193</v>
      </c>
      <c r="CF239" s="82">
        <v>253390.17260273971</v>
      </c>
      <c r="CG239" s="166">
        <v>285685</v>
      </c>
      <c r="CH239" s="166">
        <v>345836</v>
      </c>
      <c r="CI239" s="166">
        <v>399094</v>
      </c>
      <c r="CJ239" s="166">
        <v>526294</v>
      </c>
      <c r="CK239" s="166">
        <v>564702</v>
      </c>
      <c r="CL239" s="166">
        <v>597406</v>
      </c>
      <c r="CM239" s="166">
        <v>629685</v>
      </c>
      <c r="CN239" s="166">
        <v>653637</v>
      </c>
      <c r="CO239" s="166">
        <v>705371</v>
      </c>
      <c r="CP239" s="166">
        <v>755872</v>
      </c>
      <c r="CQ239" s="166">
        <v>790596</v>
      </c>
      <c r="CR239" s="166">
        <v>834741</v>
      </c>
      <c r="CS239" s="166">
        <v>854264</v>
      </c>
      <c r="CT239" s="166">
        <v>871418</v>
      </c>
      <c r="CU239" s="166">
        <v>897409</v>
      </c>
      <c r="CV239" s="166">
        <v>929846</v>
      </c>
      <c r="CW239" s="166">
        <v>1026910</v>
      </c>
      <c r="CX239" s="166">
        <v>1111254</v>
      </c>
      <c r="CY239" s="167">
        <v>1144357</v>
      </c>
      <c r="CZ239" s="82">
        <v>1185247.3795940964</v>
      </c>
      <c r="DA239" s="82">
        <v>1233284.4392901042</v>
      </c>
      <c r="DB239" s="82">
        <v>1273456.8172975383</v>
      </c>
      <c r="DC239" s="82">
        <v>1317403.6235476332</v>
      </c>
      <c r="DD239" s="82">
        <v>1363813.9795475737</v>
      </c>
      <c r="DE239" s="82">
        <v>1411982.8543673782</v>
      </c>
      <c r="DF239" s="82">
        <v>1462586.6414820408</v>
      </c>
      <c r="DG239" s="82">
        <v>1518581.649080931</v>
      </c>
      <c r="DH239" s="82">
        <v>1577427.6238144734</v>
      </c>
      <c r="DI239" s="82">
        <v>1638537.5819890823</v>
      </c>
      <c r="DJ239" s="134"/>
    </row>
    <row r="240" spans="1:114" outlineLevel="1">
      <c r="C240" s="55"/>
      <c r="D240" s="55"/>
      <c r="E240" s="55"/>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5"/>
      <c r="AU240" s="55"/>
      <c r="AV240" s="55"/>
      <c r="AW240" s="56"/>
      <c r="AX240" s="55"/>
      <c r="AY240" s="55"/>
      <c r="AZ240" s="55"/>
      <c r="BA240" s="55"/>
      <c r="BB240" s="55"/>
      <c r="BC240" s="55"/>
      <c r="BD240" s="55"/>
      <c r="BE240" s="55"/>
      <c r="BF240" s="55"/>
      <c r="BG240" s="55"/>
      <c r="BH240" s="55"/>
      <c r="BI240" s="55"/>
      <c r="BJ240" s="55"/>
      <c r="BK240" s="55"/>
      <c r="BL240" s="55"/>
      <c r="BM240" s="55"/>
      <c r="BN240" s="55"/>
      <c r="BO240" s="55"/>
      <c r="BP240" s="55"/>
      <c r="BQ240" s="55"/>
      <c r="BR240" s="55"/>
      <c r="BS240" s="55"/>
      <c r="BT240" s="55"/>
      <c r="BU240" s="55"/>
      <c r="BV240" s="55"/>
      <c r="BW240" s="55"/>
      <c r="BX240" s="55"/>
      <c r="BY240" s="55"/>
      <c r="BZ240" s="55"/>
      <c r="CA240" s="55"/>
      <c r="CB240" s="55"/>
      <c r="CC240" s="55"/>
      <c r="CD240" s="55"/>
      <c r="CE240" s="55"/>
      <c r="CF240" s="55"/>
      <c r="CG240" s="55"/>
      <c r="CH240" s="55"/>
      <c r="CI240" s="55"/>
      <c r="CJ240" s="55"/>
      <c r="CK240" s="55"/>
      <c r="CL240" s="55"/>
      <c r="CM240" s="55"/>
      <c r="CN240" s="55"/>
      <c r="CO240" s="55"/>
      <c r="CP240" s="55"/>
      <c r="CQ240" s="55"/>
      <c r="CR240" s="55"/>
      <c r="CS240" s="55"/>
      <c r="CT240" s="55"/>
      <c r="CU240" s="55"/>
      <c r="CV240" s="55"/>
      <c r="CW240" s="55"/>
      <c r="CX240" s="55"/>
      <c r="CY240" s="56"/>
      <c r="CZ240" s="55"/>
      <c r="DA240" s="55"/>
      <c r="DB240" s="55"/>
    </row>
    <row r="241" spans="1:113" s="24" customFormat="1" outlineLevel="1">
      <c r="A241" s="19"/>
      <c r="B241" s="24" t="s">
        <v>588</v>
      </c>
      <c r="C241" s="82"/>
      <c r="D241" s="82"/>
      <c r="E241" s="82"/>
      <c r="F241" s="82"/>
      <c r="G241" s="82"/>
      <c r="H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c r="AV241" s="82"/>
      <c r="AW241" s="83"/>
      <c r="AX241" s="82"/>
      <c r="AY241" s="82"/>
      <c r="AZ241" s="82"/>
      <c r="BA241" s="82"/>
      <c r="BB241" s="82"/>
      <c r="BC241" s="82"/>
      <c r="BD241" s="82"/>
      <c r="BE241" s="82"/>
      <c r="BF241" s="82"/>
      <c r="BG241" s="82"/>
      <c r="BH241" s="82"/>
      <c r="BI241" s="82"/>
      <c r="BJ241" s="82"/>
      <c r="BK241" s="82"/>
      <c r="BL241" s="82"/>
      <c r="BM241" s="82"/>
      <c r="BN241" s="82"/>
      <c r="BO241" s="82"/>
      <c r="BP241" s="82"/>
      <c r="BQ241" s="82"/>
      <c r="BR241" s="82"/>
      <c r="BS241" s="82"/>
      <c r="BT241" s="82"/>
      <c r="BU241" s="82"/>
      <c r="BV241" s="82"/>
      <c r="BW241" s="82"/>
      <c r="BX241" s="82"/>
      <c r="BY241" s="82"/>
      <c r="BZ241" s="82"/>
      <c r="CA241" s="82"/>
      <c r="CB241" s="82"/>
      <c r="CC241" s="82"/>
      <c r="CD241" s="82"/>
      <c r="CE241" s="82"/>
      <c r="CF241" s="82"/>
      <c r="CG241" s="82"/>
      <c r="CH241" s="82" t="s">
        <v>2260</v>
      </c>
      <c r="CI241" s="82"/>
      <c r="CJ241" s="82"/>
      <c r="CK241" s="82"/>
      <c r="CL241" s="82"/>
      <c r="CM241" s="82"/>
      <c r="CN241" s="82"/>
      <c r="CO241" s="82"/>
      <c r="CP241" s="82"/>
      <c r="CQ241" s="82"/>
      <c r="CR241" s="82"/>
      <c r="CS241" s="82"/>
      <c r="CT241" s="82"/>
      <c r="CU241" s="82"/>
      <c r="CV241" s="82"/>
      <c r="CW241" s="82"/>
      <c r="CX241" s="82"/>
      <c r="CY241" s="83"/>
      <c r="CZ241" s="82"/>
      <c r="DA241" s="82"/>
      <c r="DB241" s="82"/>
    </row>
    <row r="242" spans="1:113" outlineLevel="1">
      <c r="A242" s="1" t="s">
        <v>339</v>
      </c>
      <c r="B242" s="19" t="s">
        <v>589</v>
      </c>
      <c r="C242" s="55">
        <v>60195.537517160228</v>
      </c>
      <c r="D242" s="55">
        <v>65464.022829871072</v>
      </c>
      <c r="E242" s="55">
        <v>66882.624200548962</v>
      </c>
      <c r="F242" s="55">
        <v>71216.139040548995</v>
      </c>
      <c r="G242" s="55">
        <v>73579.918296381729</v>
      </c>
      <c r="H242" s="55">
        <v>76389.735537920642</v>
      </c>
      <c r="I242" s="55">
        <v>79757.999738130777</v>
      </c>
      <c r="J242" s="55">
        <v>78855.215125288727</v>
      </c>
      <c r="K242" s="55">
        <v>81591.813906454845</v>
      </c>
      <c r="L242" s="55">
        <v>81818.220984838321</v>
      </c>
      <c r="M242" s="55">
        <v>85419.168841135834</v>
      </c>
      <c r="N242" s="55">
        <v>90335.718797527588</v>
      </c>
      <c r="O242" s="55">
        <v>111279.25689509294</v>
      </c>
      <c r="P242" s="55">
        <v>122037.22098684259</v>
      </c>
      <c r="Q242" s="55">
        <v>124223.95056742619</v>
      </c>
      <c r="R242" s="55">
        <v>147556.58360466693</v>
      </c>
      <c r="S242" s="55">
        <v>165231.82163245583</v>
      </c>
      <c r="T242" s="55">
        <v>165380.22140963568</v>
      </c>
      <c r="U242" s="55">
        <v>166225.58190264655</v>
      </c>
      <c r="V242" s="55">
        <v>168608.46856516955</v>
      </c>
      <c r="W242" s="55">
        <v>174115.26715817128</v>
      </c>
      <c r="X242" s="55">
        <v>182812.1568779856</v>
      </c>
      <c r="Y242" s="55">
        <v>183710.68165415383</v>
      </c>
      <c r="Z242" s="55">
        <v>193294.81701667796</v>
      </c>
      <c r="AA242" s="55">
        <v>201785.64881547881</v>
      </c>
      <c r="AB242" s="55">
        <v>217606.13598910783</v>
      </c>
      <c r="AC242" s="55">
        <v>236749.14859433973</v>
      </c>
      <c r="AD242" s="55">
        <v>252296.05136961411</v>
      </c>
      <c r="AE242" s="55">
        <v>273742.28923920495</v>
      </c>
      <c r="AF242" s="55">
        <v>283051.60593173752</v>
      </c>
      <c r="AG242" s="55">
        <v>296604.92565783212</v>
      </c>
      <c r="AH242" s="55">
        <v>284472.12676390115</v>
      </c>
      <c r="AI242" s="55">
        <v>293962.42234004766</v>
      </c>
      <c r="AJ242" s="55">
        <v>303404.43421027937</v>
      </c>
      <c r="AK242" s="55">
        <v>301517.58328139095</v>
      </c>
      <c r="AL242" s="55">
        <v>306454.57544282166</v>
      </c>
      <c r="AM242" s="55">
        <v>306897.91458181059</v>
      </c>
      <c r="AN242" s="55">
        <v>336304.35709004197</v>
      </c>
      <c r="AO242" s="55">
        <v>353054.03690650803</v>
      </c>
      <c r="AP242" s="55">
        <v>422467.03806472954</v>
      </c>
      <c r="AQ242" s="55">
        <v>436297.61975595559</v>
      </c>
      <c r="AR242" s="55">
        <v>472075.32803922647</v>
      </c>
      <c r="AS242" s="55">
        <v>488542.7573192101</v>
      </c>
      <c r="AT242" s="55">
        <v>497385.28586782538</v>
      </c>
      <c r="AU242" s="55">
        <v>503504.62552503822</v>
      </c>
      <c r="AV242" s="55">
        <v>501456.54064065096</v>
      </c>
      <c r="AW242" s="56">
        <v>505153.34830044594</v>
      </c>
      <c r="AX242" s="55">
        <v>513045.61200147535</v>
      </c>
      <c r="AY242" s="55">
        <v>524643.72648781119</v>
      </c>
      <c r="AZ242" s="55">
        <v>537666.29478764778</v>
      </c>
      <c r="BA242" s="55">
        <v>549994.60669409484</v>
      </c>
      <c r="BB242" s="55">
        <v>560439.60201186058</v>
      </c>
      <c r="BC242" s="55">
        <v>571085.50562721968</v>
      </c>
      <c r="BD242" s="55">
        <v>581936.22659564076</v>
      </c>
      <c r="BE242" s="55">
        <v>592995.75086566294</v>
      </c>
      <c r="BF242" s="55">
        <v>604268.14280763245</v>
      </c>
      <c r="BG242" s="55">
        <v>615757.54677315545</v>
      </c>
      <c r="BH242" s="55">
        <v>627468.1886858854</v>
      </c>
      <c r="BI242" s="55">
        <v>639404.37766428501</v>
      </c>
      <c r="BJ242" s="55">
        <v>651570.50767700851</v>
      </c>
      <c r="BK242" s="55">
        <v>663971.05923157092</v>
      </c>
      <c r="BL242" s="55">
        <v>676610.60109697515</v>
      </c>
      <c r="BM242" s="55">
        <v>689493.79206099187</v>
      </c>
      <c r="BN242" s="55">
        <v>702625.38272279419</v>
      </c>
      <c r="BO242" s="55">
        <v>716010.21732166363</v>
      </c>
      <c r="BP242" s="55">
        <v>729653.23560250644</v>
      </c>
      <c r="BQ242" s="55">
        <v>743559.47471892065</v>
      </c>
      <c r="BR242" s="55"/>
      <c r="BS242" s="55"/>
      <c r="BT242" s="55"/>
      <c r="BU242" s="55"/>
      <c r="BV242" s="55"/>
      <c r="BW242" s="55"/>
      <c r="BX242" s="55"/>
      <c r="BY242" s="55"/>
      <c r="BZ242" s="55"/>
      <c r="CA242" s="55"/>
      <c r="CB242" s="55"/>
      <c r="CC242" s="55">
        <v>66179.153383856639</v>
      </c>
      <c r="CD242" s="55">
        <v>72407.742829790688</v>
      </c>
      <c r="CE242" s="55">
        <v>78083.070545676557</v>
      </c>
      <c r="CF242" s="55">
        <v>80234.760812232751</v>
      </c>
      <c r="CG242" s="55">
        <v>83805.655763434799</v>
      </c>
      <c r="CH242" s="55">
        <v>107140.75061643204</v>
      </c>
      <c r="CI242" s="55">
        <v>123966.66662538375</v>
      </c>
      <c r="CJ242" s="55">
        <v>157301.32720199088</v>
      </c>
      <c r="CK242" s="55">
        <v>167463.43044330814</v>
      </c>
      <c r="CL242" s="55">
        <v>174811.11844577373</v>
      </c>
      <c r="CM242" s="55">
        <v>184392.73577661806</v>
      </c>
      <c r="CN242" s="55">
        <v>198757.4269184781</v>
      </c>
      <c r="CO242" s="55">
        <v>226076.94226589813</v>
      </c>
      <c r="CP242" s="55">
        <v>264252.9659917723</v>
      </c>
      <c r="CQ242" s="55">
        <v>290737.58008965699</v>
      </c>
      <c r="CR242" s="55">
        <v>289373.5</v>
      </c>
      <c r="CS242" s="55">
        <v>302475.5</v>
      </c>
      <c r="CT242" s="55">
        <v>306557</v>
      </c>
      <c r="CU242" s="55">
        <v>345597.5</v>
      </c>
      <c r="CV242" s="55">
        <v>430206.5</v>
      </c>
      <c r="CW242" s="55">
        <v>480376.7170461223</v>
      </c>
      <c r="CX242" s="55">
        <v>500470.10366762581</v>
      </c>
      <c r="CY242" s="56">
        <v>503315.04503792495</v>
      </c>
      <c r="CZ242" s="55">
        <v>518892.33272883366</v>
      </c>
      <c r="DA242" s="55">
        <v>543881.11503637733</v>
      </c>
      <c r="DB242" s="55">
        <v>565806.30410837033</v>
      </c>
      <c r="DC242" s="55">
        <v>587496.2060100782</v>
      </c>
      <c r="DD242" s="55">
        <v>610060.06151901942</v>
      </c>
      <c r="DE242" s="55">
        <v>633485.33600650332</v>
      </c>
      <c r="DF242" s="55">
        <v>657821.74462506187</v>
      </c>
      <c r="DG242" s="55">
        <v>683087.39655429509</v>
      </c>
      <c r="DH242" s="55">
        <v>709372.80619181332</v>
      </c>
      <c r="DI242" s="55">
        <v>736663.50408858911</v>
      </c>
    </row>
    <row r="243" spans="1:113" outlineLevel="1">
      <c r="A243" s="1" t="s">
        <v>340</v>
      </c>
      <c r="B243" s="19" t="s">
        <v>471</v>
      </c>
      <c r="C243" s="55">
        <v>40520.462482839772</v>
      </c>
      <c r="D243" s="55">
        <v>42174.977170128928</v>
      </c>
      <c r="E243" s="55">
        <v>42115.375799451031</v>
      </c>
      <c r="F243" s="55">
        <v>45020.860959451005</v>
      </c>
      <c r="G243" s="55">
        <v>44762.081703618263</v>
      </c>
      <c r="H243" s="55">
        <v>50166.264462079358</v>
      </c>
      <c r="I243" s="55">
        <v>59374.000261869223</v>
      </c>
      <c r="J243" s="55">
        <v>60134.784874711266</v>
      </c>
      <c r="K243" s="55">
        <v>59664.186093545162</v>
      </c>
      <c r="L243" s="55">
        <v>58379.779015161679</v>
      </c>
      <c r="M243" s="55">
        <v>60628.331158864159</v>
      </c>
      <c r="N243" s="55">
        <v>64330.781202472412</v>
      </c>
      <c r="O243" s="55">
        <v>73411.243104907058</v>
      </c>
      <c r="P243" s="55">
        <v>84696.779013157415</v>
      </c>
      <c r="Q243" s="55">
        <v>102470.04943257381</v>
      </c>
      <c r="R243" s="55">
        <v>136061.41639533307</v>
      </c>
      <c r="S243" s="55">
        <v>159484.67836754417</v>
      </c>
      <c r="T243" s="55">
        <v>164352.77859036432</v>
      </c>
      <c r="U243" s="55">
        <v>166276.91809735345</v>
      </c>
      <c r="V243" s="55">
        <v>175045.38778842165</v>
      </c>
      <c r="W243" s="55">
        <v>184825.23284182872</v>
      </c>
      <c r="X243" s="55">
        <v>193406.3431220144</v>
      </c>
      <c r="Y243" s="55">
        <v>198169.81834584617</v>
      </c>
      <c r="Z243" s="55">
        <v>205698.68298332204</v>
      </c>
      <c r="AA243" s="55">
        <v>205146.35118452119</v>
      </c>
      <c r="AB243" s="55">
        <v>201631.86401089217</v>
      </c>
      <c r="AC243" s="55">
        <v>200280.85140566027</v>
      </c>
      <c r="AD243" s="55">
        <v>199372.44863038589</v>
      </c>
      <c r="AE243" s="55">
        <v>197257.71076079507</v>
      </c>
      <c r="AF243" s="55">
        <v>180713.89406826251</v>
      </c>
      <c r="AG243" s="55">
        <v>174042.57434216788</v>
      </c>
      <c r="AH243" s="55">
        <v>203986.37323609885</v>
      </c>
      <c r="AI243" s="55">
        <v>210791.57765995237</v>
      </c>
      <c r="AJ243" s="55">
        <v>204319.56578972063</v>
      </c>
      <c r="AK243" s="55">
        <v>203048.91671860908</v>
      </c>
      <c r="AL243" s="55">
        <v>203681.92455717834</v>
      </c>
      <c r="AM243" s="55">
        <v>203976.58541818944</v>
      </c>
      <c r="AN243" s="55">
        <v>187487.142909958</v>
      </c>
      <c r="AO243" s="55">
        <v>196824.96309349197</v>
      </c>
      <c r="AP243" s="55">
        <v>163814.96193527043</v>
      </c>
      <c r="AQ243" s="55">
        <v>169177.88024404441</v>
      </c>
      <c r="AR243" s="55">
        <v>155822.67196077353</v>
      </c>
      <c r="AS243" s="55">
        <v>161258.24268078987</v>
      </c>
      <c r="AT243" s="55">
        <v>191348.21413217462</v>
      </c>
      <c r="AU243" s="55">
        <v>193702.37447496175</v>
      </c>
      <c r="AV243" s="55">
        <v>192914.45935934904</v>
      </c>
      <c r="AW243" s="56">
        <v>194336.65169955406</v>
      </c>
      <c r="AX243" s="55">
        <v>197372.87051736095</v>
      </c>
      <c r="AY243" s="55">
        <v>201834.76064020349</v>
      </c>
      <c r="AZ243" s="55">
        <v>206844.64987172809</v>
      </c>
      <c r="BA243" s="55">
        <v>211587.45295334145</v>
      </c>
      <c r="BB243" s="55">
        <v>215605.72863913351</v>
      </c>
      <c r="BC243" s="55">
        <v>219701.29540096075</v>
      </c>
      <c r="BD243" s="55">
        <v>223875.65708464288</v>
      </c>
      <c r="BE243" s="55">
        <v>228130.34711739657</v>
      </c>
      <c r="BF243" s="55">
        <v>232466.92909595347</v>
      </c>
      <c r="BG243" s="55">
        <v>236886.99738649424</v>
      </c>
      <c r="BH243" s="55">
        <v>241392.17773663782</v>
      </c>
      <c r="BI243" s="55">
        <v>245984.12789973096</v>
      </c>
      <c r="BJ243" s="55">
        <v>250664.53827168778</v>
      </c>
      <c r="BK243" s="55">
        <v>255435.13254063451</v>
      </c>
      <c r="BL243" s="55">
        <v>260297.66834961833</v>
      </c>
      <c r="BM243" s="55">
        <v>265253.93797264749</v>
      </c>
      <c r="BN243" s="55">
        <v>270305.76900433248</v>
      </c>
      <c r="BO243" s="55">
        <v>275455.02506340464</v>
      </c>
      <c r="BP243" s="55">
        <v>280703.60651039501</v>
      </c>
      <c r="BQ243" s="55">
        <v>286053.45117976057</v>
      </c>
      <c r="BR243" s="55"/>
      <c r="BS243" s="55"/>
      <c r="BT243" s="55"/>
      <c r="BU243" s="55"/>
      <c r="BV243" s="55"/>
      <c r="BW243" s="55"/>
      <c r="BX243" s="55"/>
      <c r="BY243" s="55"/>
      <c r="BZ243" s="55"/>
      <c r="CA243" s="55"/>
      <c r="CB243" s="55"/>
      <c r="CC243" s="55">
        <v>42144.931547650209</v>
      </c>
      <c r="CD243" s="55">
        <v>44890.407855140802</v>
      </c>
      <c r="CE243" s="55">
        <v>54795.290110061149</v>
      </c>
      <c r="CF243" s="55">
        <v>59897.551516534382</v>
      </c>
      <c r="CG243" s="55">
        <v>59142.844236565194</v>
      </c>
      <c r="CH243" s="55">
        <v>69643.249383567963</v>
      </c>
      <c r="CI243" s="55">
        <v>92729.333374616253</v>
      </c>
      <c r="CJ243" s="55">
        <v>146326.17279800912</v>
      </c>
      <c r="CK243" s="55">
        <v>163817.06955669186</v>
      </c>
      <c r="CL243" s="55">
        <v>176548.88155422627</v>
      </c>
      <c r="CM243" s="55">
        <v>194552.26422338194</v>
      </c>
      <c r="CN243" s="55">
        <v>204072.0730815219</v>
      </c>
      <c r="CO243" s="55">
        <v>202103.05773410187</v>
      </c>
      <c r="CP243" s="55">
        <v>196601.5340082277</v>
      </c>
      <c r="CQ243" s="55">
        <v>181563.41991034304</v>
      </c>
      <c r="CR243" s="164">
        <v>207501</v>
      </c>
      <c r="CS243" s="164">
        <v>203694</v>
      </c>
      <c r="CT243" s="164">
        <v>203750</v>
      </c>
      <c r="CU243" s="164">
        <v>192668</v>
      </c>
      <c r="CV243" s="164">
        <v>166816</v>
      </c>
      <c r="CW243" s="164">
        <v>157909</v>
      </c>
      <c r="CX243" s="164">
        <v>189801</v>
      </c>
      <c r="CY243" s="171">
        <v>204049</v>
      </c>
      <c r="CZ243" s="55">
        <v>199622.15211353361</v>
      </c>
      <c r="DA243" s="55">
        <v>209235.54238410306</v>
      </c>
      <c r="DB243" s="55">
        <v>217670.34311632861</v>
      </c>
      <c r="DC243" s="55">
        <v>226014.62693717479</v>
      </c>
      <c r="DD243" s="55">
        <v>234695.12790543158</v>
      </c>
      <c r="DE243" s="55">
        <v>243707.02384625189</v>
      </c>
      <c r="DF243" s="55">
        <v>253069.4405880883</v>
      </c>
      <c r="DG243" s="55">
        <v>262789.34488141444</v>
      </c>
      <c r="DH243" s="55">
        <v>272901.55836013873</v>
      </c>
      <c r="DI243" s="55">
        <v>283400.51450810261</v>
      </c>
    </row>
    <row r="244" spans="1:113" s="24" customFormat="1" outlineLevel="1">
      <c r="A244" s="1" t="s">
        <v>253</v>
      </c>
      <c r="B244" s="24" t="s">
        <v>168</v>
      </c>
      <c r="C244" s="166">
        <v>100716</v>
      </c>
      <c r="D244" s="166">
        <v>107639</v>
      </c>
      <c r="E244" s="166">
        <v>108998</v>
      </c>
      <c r="F244" s="166">
        <v>116237</v>
      </c>
      <c r="G244" s="166">
        <v>118342</v>
      </c>
      <c r="H244" s="166">
        <v>126556</v>
      </c>
      <c r="I244" s="166">
        <v>139132</v>
      </c>
      <c r="J244" s="166">
        <v>138990</v>
      </c>
      <c r="K244" s="166">
        <v>141256</v>
      </c>
      <c r="L244" s="166">
        <v>140198</v>
      </c>
      <c r="M244" s="166">
        <v>146047.5</v>
      </c>
      <c r="N244" s="166">
        <v>154666.5</v>
      </c>
      <c r="O244" s="166">
        <v>184690.5</v>
      </c>
      <c r="P244" s="166">
        <v>206734</v>
      </c>
      <c r="Q244" s="166">
        <v>226694</v>
      </c>
      <c r="R244" s="166">
        <v>283618</v>
      </c>
      <c r="S244" s="166">
        <v>324716.5</v>
      </c>
      <c r="T244" s="166">
        <v>329733</v>
      </c>
      <c r="U244" s="166">
        <v>332502.5</v>
      </c>
      <c r="V244" s="81">
        <v>343653.8563535912</v>
      </c>
      <c r="W244" s="81">
        <v>358940.5</v>
      </c>
      <c r="X244" s="166">
        <v>376218.5</v>
      </c>
      <c r="Y244" s="166">
        <v>381880.5</v>
      </c>
      <c r="Z244" s="166">
        <v>398993.5</v>
      </c>
      <c r="AA244" s="166">
        <v>406932</v>
      </c>
      <c r="AB244" s="166">
        <v>419238</v>
      </c>
      <c r="AC244" s="166">
        <v>437030</v>
      </c>
      <c r="AD244" s="166">
        <v>451668.5</v>
      </c>
      <c r="AE244" s="166">
        <v>471000</v>
      </c>
      <c r="AF244" s="166">
        <v>463765.5</v>
      </c>
      <c r="AG244" s="166">
        <v>470647.5</v>
      </c>
      <c r="AH244" s="166">
        <v>488458.5</v>
      </c>
      <c r="AI244" s="166">
        <v>504754</v>
      </c>
      <c r="AJ244" s="166">
        <v>507724</v>
      </c>
      <c r="AK244" s="166">
        <v>504566.5</v>
      </c>
      <c r="AL244" s="166">
        <v>510136.5</v>
      </c>
      <c r="AM244" s="166">
        <v>510874.5</v>
      </c>
      <c r="AN244" s="166">
        <v>523791.5</v>
      </c>
      <c r="AO244" s="166">
        <v>549879</v>
      </c>
      <c r="AP244" s="166">
        <v>586282</v>
      </c>
      <c r="AQ244" s="166">
        <v>605475.5</v>
      </c>
      <c r="AR244" s="166">
        <v>627898</v>
      </c>
      <c r="AS244" s="166">
        <v>649801</v>
      </c>
      <c r="AT244" s="166">
        <v>688733.5</v>
      </c>
      <c r="AU244" s="166">
        <v>697207</v>
      </c>
      <c r="AV244" s="166">
        <v>694371</v>
      </c>
      <c r="AW244" s="167">
        <v>699490</v>
      </c>
      <c r="AX244" s="82">
        <v>710418.48251883627</v>
      </c>
      <c r="AY244" s="82">
        <v>726478.48712801468</v>
      </c>
      <c r="AZ244" s="82">
        <v>744510.94465937582</v>
      </c>
      <c r="BA244" s="82">
        <v>761582.05964743625</v>
      </c>
      <c r="BB244" s="82">
        <v>776045.33065099409</v>
      </c>
      <c r="BC244" s="82">
        <v>790786.8010281804</v>
      </c>
      <c r="BD244" s="82">
        <v>805811.88368028367</v>
      </c>
      <c r="BE244" s="82">
        <v>821126.09798305947</v>
      </c>
      <c r="BF244" s="82">
        <v>836735.07190358592</v>
      </c>
      <c r="BG244" s="82">
        <v>852644.54415964964</v>
      </c>
      <c r="BH244" s="82">
        <v>868860.36642252316</v>
      </c>
      <c r="BI244" s="82">
        <v>885388.50556401582</v>
      </c>
      <c r="BJ244" s="82">
        <v>902235.04594869609</v>
      </c>
      <c r="BK244" s="82">
        <v>919406.19177220517</v>
      </c>
      <c r="BL244" s="82">
        <v>936908.26944659324</v>
      </c>
      <c r="BM244" s="82">
        <v>954747.73003363912</v>
      </c>
      <c r="BN244" s="82">
        <v>972931.15172712645</v>
      </c>
      <c r="BO244" s="82">
        <v>991465.24238506809</v>
      </c>
      <c r="BP244" s="82">
        <v>1010356.8421129013</v>
      </c>
      <c r="BQ244" s="82">
        <v>1029612.925898681</v>
      </c>
      <c r="BR244" s="82"/>
      <c r="BS244" s="81">
        <v>48735</v>
      </c>
      <c r="BT244" s="81">
        <v>53031.400000000009</v>
      </c>
      <c r="BU244" s="81">
        <v>55023.9</v>
      </c>
      <c r="BV244" s="81">
        <v>54782</v>
      </c>
      <c r="BW244" s="81">
        <v>57431</v>
      </c>
      <c r="BX244" s="81">
        <v>64616</v>
      </c>
      <c r="BY244" s="81">
        <v>68628</v>
      </c>
      <c r="BZ244" s="81">
        <v>76696</v>
      </c>
      <c r="CA244" s="81">
        <v>85784</v>
      </c>
      <c r="CB244" s="81">
        <v>99908</v>
      </c>
      <c r="CC244" s="82">
        <v>108324.08493150685</v>
      </c>
      <c r="CD244" s="82">
        <v>117298.1506849315</v>
      </c>
      <c r="CE244" s="82">
        <v>132878.36065573772</v>
      </c>
      <c r="CF244" s="82">
        <v>140132.31232876712</v>
      </c>
      <c r="CG244" s="166">
        <v>142948.5</v>
      </c>
      <c r="CH244" s="166">
        <v>176784</v>
      </c>
      <c r="CI244" s="166">
        <v>216696</v>
      </c>
      <c r="CJ244" s="166">
        <v>303627.5</v>
      </c>
      <c r="CK244" s="166">
        <v>331280.5</v>
      </c>
      <c r="CL244" s="166">
        <v>351360</v>
      </c>
      <c r="CM244" s="166">
        <v>378945</v>
      </c>
      <c r="CN244" s="166">
        <v>402829.5</v>
      </c>
      <c r="CO244" s="166">
        <v>428180</v>
      </c>
      <c r="CP244" s="166">
        <v>460854.5</v>
      </c>
      <c r="CQ244" s="166">
        <v>472301</v>
      </c>
      <c r="CR244" s="166">
        <v>496874.5</v>
      </c>
      <c r="CS244" s="166">
        <v>506169.5</v>
      </c>
      <c r="CT244" s="166">
        <v>510307</v>
      </c>
      <c r="CU244" s="166">
        <v>538265.5</v>
      </c>
      <c r="CV244" s="166">
        <v>597022.5</v>
      </c>
      <c r="CW244" s="166">
        <v>636305</v>
      </c>
      <c r="CX244" s="166">
        <v>683164.5</v>
      </c>
      <c r="CY244" s="167">
        <v>694867</v>
      </c>
      <c r="CZ244" s="82">
        <v>718514.48484236735</v>
      </c>
      <c r="DA244" s="82">
        <v>753116.65742048016</v>
      </c>
      <c r="DB244" s="82">
        <v>783476.64722469891</v>
      </c>
      <c r="DC244" s="82">
        <v>813510.8329472529</v>
      </c>
      <c r="DD244" s="82">
        <v>844755.18942445086</v>
      </c>
      <c r="DE244" s="82">
        <v>877192.35985275509</v>
      </c>
      <c r="DF244" s="82">
        <v>910891.18521314999</v>
      </c>
      <c r="DG244" s="82">
        <v>945876.74143570929</v>
      </c>
      <c r="DH244" s="82">
        <v>982274.36455195188</v>
      </c>
      <c r="DI244" s="82">
        <v>1020064.0185966917</v>
      </c>
    </row>
    <row r="245" spans="1:113" outlineLevel="1">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c r="AR245" s="55"/>
      <c r="AS245" s="55"/>
      <c r="AT245" s="55"/>
      <c r="AU245" s="55"/>
      <c r="AV245" s="55"/>
      <c r="AW245" s="56"/>
      <c r="AX245" s="55"/>
      <c r="AY245" s="55"/>
      <c r="AZ245" s="55"/>
      <c r="BA245" s="55"/>
      <c r="BB245" s="55"/>
      <c r="BC245" s="55"/>
      <c r="BD245" s="55"/>
      <c r="BE245" s="55"/>
      <c r="BF245" s="55"/>
      <c r="BG245" s="55"/>
      <c r="BH245" s="55"/>
      <c r="BI245" s="55"/>
      <c r="BJ245" s="55"/>
      <c r="BK245" s="55"/>
      <c r="BL245" s="55"/>
      <c r="BM245" s="55"/>
      <c r="BN245" s="55"/>
      <c r="BO245" s="55"/>
      <c r="BP245" s="55"/>
      <c r="BQ245" s="55"/>
      <c r="BR245" s="55"/>
      <c r="BS245" s="55"/>
      <c r="BT245" s="55"/>
      <c r="BU245" s="55"/>
      <c r="BV245" s="55"/>
      <c r="BW245" s="55"/>
      <c r="BX245" s="55"/>
      <c r="BY245" s="55"/>
      <c r="BZ245" s="55"/>
      <c r="CA245" s="55"/>
      <c r="CB245" s="55"/>
      <c r="CC245" s="55"/>
      <c r="CD245" s="55"/>
      <c r="CE245" s="55"/>
      <c r="CF245" s="55"/>
      <c r="CG245" s="55"/>
      <c r="CH245" s="55"/>
      <c r="CI245" s="55"/>
      <c r="CJ245" s="55"/>
      <c r="CK245" s="55"/>
      <c r="CL245" s="55"/>
      <c r="CM245" s="55"/>
      <c r="CN245" s="55"/>
      <c r="CO245" s="55"/>
      <c r="CP245" s="55"/>
      <c r="CQ245" s="55"/>
      <c r="CR245" s="55"/>
      <c r="CS245" s="55"/>
      <c r="CT245" s="55"/>
      <c r="CU245" s="55"/>
      <c r="CV245" s="55"/>
      <c r="CW245" s="55"/>
      <c r="CX245" s="55"/>
      <c r="CY245" s="56"/>
      <c r="CZ245" s="55"/>
      <c r="DA245" s="55"/>
      <c r="DB245" s="55"/>
      <c r="DC245" s="55"/>
      <c r="DD245" s="55"/>
      <c r="DE245" s="55"/>
      <c r="DF245" s="55"/>
      <c r="DG245" s="55"/>
      <c r="DH245" s="55"/>
      <c r="DI245" s="55"/>
    </row>
    <row r="246" spans="1:113" s="24" customFormat="1" outlineLevel="1">
      <c r="A246" s="19"/>
      <c r="B246" s="24" t="s">
        <v>591</v>
      </c>
      <c r="C246" s="82"/>
      <c r="D246" s="82"/>
      <c r="E246" s="82"/>
      <c r="F246" s="8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c r="AV246" s="82"/>
      <c r="AW246" s="83"/>
      <c r="AX246" s="82"/>
      <c r="AY246" s="82"/>
      <c r="AZ246" s="82"/>
      <c r="BA246" s="82"/>
      <c r="BB246" s="82"/>
      <c r="BC246" s="82"/>
      <c r="BD246" s="82"/>
      <c r="BE246" s="82"/>
      <c r="BF246" s="82"/>
      <c r="BG246" s="82"/>
      <c r="BH246" s="82"/>
      <c r="BI246" s="82"/>
      <c r="BJ246" s="82"/>
      <c r="BK246" s="82"/>
      <c r="BL246" s="82"/>
      <c r="BM246" s="82"/>
      <c r="BN246" s="82"/>
      <c r="BO246" s="82"/>
      <c r="BP246" s="82"/>
      <c r="BQ246" s="82"/>
      <c r="BR246" s="82"/>
      <c r="BS246" s="82"/>
      <c r="BT246" s="82"/>
      <c r="BU246" s="82"/>
      <c r="BV246" s="82"/>
      <c r="BW246" s="82"/>
      <c r="BX246" s="82"/>
      <c r="BY246" s="82"/>
      <c r="BZ246" s="82"/>
      <c r="CA246" s="82"/>
      <c r="CB246" s="82"/>
      <c r="CC246" s="82"/>
      <c r="CD246" s="82"/>
      <c r="CE246" s="82"/>
      <c r="CF246" s="82"/>
      <c r="CG246" s="82"/>
      <c r="CH246" s="82"/>
      <c r="CI246" s="82"/>
      <c r="CJ246" s="82"/>
      <c r="CK246" s="82"/>
      <c r="CL246" s="82"/>
      <c r="CM246" s="82"/>
      <c r="CN246" s="82"/>
      <c r="CO246" s="82"/>
      <c r="CP246" s="82"/>
      <c r="CQ246" s="82"/>
      <c r="CR246" s="82"/>
      <c r="CS246" s="82"/>
      <c r="CT246" s="82"/>
      <c r="CU246" s="82"/>
      <c r="CV246" s="82"/>
      <c r="CW246" s="82"/>
      <c r="CX246" s="82"/>
      <c r="CY246" s="83"/>
      <c r="CZ246" s="82"/>
      <c r="DA246" s="82"/>
      <c r="DB246" s="82"/>
      <c r="DC246" s="82"/>
      <c r="DD246" s="82"/>
      <c r="DE246" s="82"/>
      <c r="DF246" s="82"/>
      <c r="DG246" s="82"/>
      <c r="DH246" s="82"/>
      <c r="DI246" s="82"/>
    </row>
    <row r="247" spans="1:113" outlineLevel="1">
      <c r="A247" s="1" t="s">
        <v>254</v>
      </c>
      <c r="B247" s="19" t="s">
        <v>589</v>
      </c>
      <c r="C247" s="55">
        <v>4890.293801985511</v>
      </c>
      <c r="D247" s="55">
        <v>5103.3787582611931</v>
      </c>
      <c r="E247" s="55">
        <v>6441.4524779656122</v>
      </c>
      <c r="F247" s="55">
        <v>6997.0650196752922</v>
      </c>
      <c r="G247" s="55">
        <v>6781.5864694577567</v>
      </c>
      <c r="H247" s="55">
        <v>7779.9274678617758</v>
      </c>
      <c r="I247" s="55">
        <v>7967.9701917413786</v>
      </c>
      <c r="J247" s="55">
        <v>8848.9683191671065</v>
      </c>
      <c r="K247" s="55">
        <v>9758.4934318869437</v>
      </c>
      <c r="L247" s="55">
        <v>8623.8912505283497</v>
      </c>
      <c r="M247" s="55">
        <v>8777.0595114345106</v>
      </c>
      <c r="N247" s="55">
        <v>9869.0073373391242</v>
      </c>
      <c r="O247" s="55">
        <v>11048.31113662457</v>
      </c>
      <c r="P247" s="55">
        <v>11316.734539423838</v>
      </c>
      <c r="Q247" s="55">
        <v>11601.378792120953</v>
      </c>
      <c r="R247" s="55">
        <v>13400.284368140703</v>
      </c>
      <c r="S247" s="55">
        <v>12494.688084112149</v>
      </c>
      <c r="T247" s="55">
        <v>7848.9597465901034</v>
      </c>
      <c r="U247" s="55">
        <v>10039.549531329003</v>
      </c>
      <c r="V247" s="55">
        <v>9540.9685209177169</v>
      </c>
      <c r="W247" s="55">
        <v>9513.4001571709232</v>
      </c>
      <c r="X247" s="55">
        <v>11461.820429307592</v>
      </c>
      <c r="Y247" s="55">
        <v>12689.136242986258</v>
      </c>
      <c r="Z247" s="55">
        <v>13035.378175706252</v>
      </c>
      <c r="AA247" s="55">
        <v>14673.598816657817</v>
      </c>
      <c r="AB247" s="55">
        <v>17834.26892209582</v>
      </c>
      <c r="AC247" s="55">
        <v>20424.231199224865</v>
      </c>
      <c r="AD247" s="55">
        <v>20920.29870409362</v>
      </c>
      <c r="AE247" s="55">
        <v>23395.673292485728</v>
      </c>
      <c r="AF247" s="55">
        <v>24638.171705766737</v>
      </c>
      <c r="AG247" s="55">
        <v>26150.312229756288</v>
      </c>
      <c r="AH247" s="55">
        <v>23620.848298966263</v>
      </c>
      <c r="AI247" s="55">
        <v>24264.737780107695</v>
      </c>
      <c r="AJ247" s="55">
        <v>24429.683460344939</v>
      </c>
      <c r="AK247" s="55">
        <v>25328.398794796205</v>
      </c>
      <c r="AL247" s="55">
        <v>23802.864901130728</v>
      </c>
      <c r="AM247" s="55">
        <v>24734.945084786028</v>
      </c>
      <c r="AN247" s="55">
        <v>25901.246630221554</v>
      </c>
      <c r="AO247" s="55">
        <v>27605.408382035188</v>
      </c>
      <c r="AP247" s="55">
        <v>39864.533611929495</v>
      </c>
      <c r="AQ247" s="55">
        <v>40646.317866071899</v>
      </c>
      <c r="AR247" s="55">
        <v>43043.810683566851</v>
      </c>
      <c r="AS247" s="55">
        <v>43540.600997889662</v>
      </c>
      <c r="AT247" s="55">
        <v>33383.582561104755</v>
      </c>
      <c r="AU247" s="55">
        <v>34687.023262570117</v>
      </c>
      <c r="AV247" s="55">
        <v>35645.491291713573</v>
      </c>
      <c r="AW247" s="56">
        <v>36001.415477442519</v>
      </c>
      <c r="AX247" s="55">
        <v>36276.249018222246</v>
      </c>
      <c r="AY247" s="55">
        <v>36709.155407183833</v>
      </c>
      <c r="AZ247" s="55">
        <v>36696.7721974288</v>
      </c>
      <c r="BA247" s="55">
        <v>36380.856730618281</v>
      </c>
      <c r="BB247" s="55">
        <v>35933.532202117931</v>
      </c>
      <c r="BC247" s="55">
        <v>35809.410021869669</v>
      </c>
      <c r="BD247" s="55">
        <v>35988.328167395819</v>
      </c>
      <c r="BE247" s="55">
        <v>36170.079529838658</v>
      </c>
      <c r="BF247" s="55">
        <v>36354.628090992701</v>
      </c>
      <c r="BG247" s="55">
        <v>36541.938343103524</v>
      </c>
      <c r="BH247" s="55">
        <v>36731.97521848153</v>
      </c>
      <c r="BI247" s="55">
        <v>36924.704021262034</v>
      </c>
      <c r="BJ247" s="55">
        <v>37120.090361135786</v>
      </c>
      <c r="BK247" s="55">
        <v>37592.488992130879</v>
      </c>
      <c r="BL247" s="55">
        <v>38348.098020872705</v>
      </c>
      <c r="BM247" s="55">
        <v>39118.894791092251</v>
      </c>
      <c r="BN247" s="55">
        <v>39905.1845763932</v>
      </c>
      <c r="BO247" s="55">
        <v>40707.278786378709</v>
      </c>
      <c r="BP247" s="55">
        <v>41525.495089984914</v>
      </c>
      <c r="BQ247" s="55">
        <v>42360.157541293614</v>
      </c>
      <c r="BR247" s="55"/>
      <c r="BS247" s="55"/>
      <c r="BT247" s="55"/>
      <c r="BU247" s="55"/>
      <c r="BV247" s="55"/>
      <c r="BW247" s="55"/>
      <c r="BX247" s="55"/>
      <c r="BY247" s="55"/>
      <c r="BZ247" s="55"/>
      <c r="CA247" s="55"/>
      <c r="CB247" s="55"/>
      <c r="CC247" s="55">
        <v>5777.9145512080786</v>
      </c>
      <c r="CD247" s="55">
        <v>6888.4402162779597</v>
      </c>
      <c r="CE247" s="55">
        <v>7874.4626077356752</v>
      </c>
      <c r="CF247" s="55">
        <v>9307.4686499628588</v>
      </c>
      <c r="CG247" s="55">
        <v>8791.4348352957804</v>
      </c>
      <c r="CH247" s="55">
        <v>10566.370243360676</v>
      </c>
      <c r="CI247" s="55">
        <v>11589.734149918055</v>
      </c>
      <c r="CJ247" s="55">
        <v>12114.889658274607</v>
      </c>
      <c r="CK247" s="55">
        <v>7596.9339653762854</v>
      </c>
      <c r="CL247" s="55">
        <v>9480.4712104878145</v>
      </c>
      <c r="CM247" s="55">
        <v>11571.720746003552</v>
      </c>
      <c r="CN247" s="55">
        <v>13832.289191234382</v>
      </c>
      <c r="CO247" s="55">
        <v>18634.500318809776</v>
      </c>
      <c r="CP247" s="55">
        <v>22131.396692499307</v>
      </c>
      <c r="CQ247" s="55">
        <v>25017.985991776113</v>
      </c>
      <c r="CR247" s="55">
        <v>23996.972891566264</v>
      </c>
      <c r="CS247" s="55">
        <v>24851.01857647171</v>
      </c>
      <c r="CT247" s="55">
        <v>24351.332514476228</v>
      </c>
      <c r="CU247" s="55">
        <v>26772.039081443443</v>
      </c>
      <c r="CV247" s="55">
        <v>40258.63855100402</v>
      </c>
      <c r="CW247" s="55">
        <v>43294.24744475972</v>
      </c>
      <c r="CX247" s="55">
        <v>34040.659517459892</v>
      </c>
      <c r="CY247" s="56">
        <v>35824.425855030866</v>
      </c>
      <c r="CZ247" s="55">
        <v>36494.481280054933</v>
      </c>
      <c r="DA247" s="55">
        <v>36537.516181283223</v>
      </c>
      <c r="DB247" s="55">
        <v>35870.961020842093</v>
      </c>
      <c r="DC247" s="55">
        <v>36079.700437039217</v>
      </c>
      <c r="DD247" s="55">
        <v>36449.052985207476</v>
      </c>
      <c r="DE247" s="55">
        <v>36829.13165604759</v>
      </c>
      <c r="DF247" s="55">
        <v>37358.231040870298</v>
      </c>
      <c r="DG247" s="55">
        <v>38735.602408086903</v>
      </c>
      <c r="DH247" s="55">
        <v>40309.527958961233</v>
      </c>
      <c r="DI247" s="55">
        <v>41946.256435302181</v>
      </c>
    </row>
    <row r="248" spans="1:113" outlineLevel="1">
      <c r="A248" s="1" t="s">
        <v>255</v>
      </c>
      <c r="B248" s="19" t="s">
        <v>471</v>
      </c>
      <c r="C248" s="55">
        <v>10409.706198014488</v>
      </c>
      <c r="D248" s="55">
        <v>11218.621241738807</v>
      </c>
      <c r="E248" s="55">
        <v>13279.547522034389</v>
      </c>
      <c r="F248" s="55">
        <v>14064.934980324708</v>
      </c>
      <c r="G248" s="55">
        <v>13793.413530542244</v>
      </c>
      <c r="H248" s="55">
        <v>15495.072532138223</v>
      </c>
      <c r="I248" s="55">
        <v>15743.529808258621</v>
      </c>
      <c r="J248" s="55">
        <v>17045.031680832893</v>
      </c>
      <c r="K248" s="55">
        <v>17687.006568113055</v>
      </c>
      <c r="L248" s="55">
        <v>15134.60874947165</v>
      </c>
      <c r="M248" s="55">
        <v>15785.940488565489</v>
      </c>
      <c r="N248" s="55">
        <v>17359.992662660876</v>
      </c>
      <c r="O248" s="55">
        <v>18245.688863375432</v>
      </c>
      <c r="P248" s="55">
        <v>19333.765460576164</v>
      </c>
      <c r="Q248" s="55">
        <v>22351.121207879049</v>
      </c>
      <c r="R248" s="55">
        <v>28042.215631859297</v>
      </c>
      <c r="S248" s="55">
        <v>31071.311915887851</v>
      </c>
      <c r="T248" s="55">
        <v>17096.040253409898</v>
      </c>
      <c r="U248" s="55">
        <v>15274.450468670997</v>
      </c>
      <c r="V248" s="55">
        <v>15574.365733225928</v>
      </c>
      <c r="W248" s="55">
        <v>15804.599842829077</v>
      </c>
      <c r="X248" s="55">
        <v>17210.679570692409</v>
      </c>
      <c r="Y248" s="55">
        <v>17797.363757013743</v>
      </c>
      <c r="Z248" s="55">
        <v>18118.62182429375</v>
      </c>
      <c r="AA248" s="55">
        <v>18848.401183342183</v>
      </c>
      <c r="AB248" s="55">
        <v>19780.73107790418</v>
      </c>
      <c r="AC248" s="55">
        <v>20390.768800775135</v>
      </c>
      <c r="AD248" s="55">
        <v>21073.20129590638</v>
      </c>
      <c r="AE248" s="55">
        <v>24132.326707514272</v>
      </c>
      <c r="AF248" s="55">
        <v>24061.828294233263</v>
      </c>
      <c r="AG248" s="55">
        <v>24042.187770243712</v>
      </c>
      <c r="AH248" s="55">
        <v>29131.651701033737</v>
      </c>
      <c r="AI248" s="55">
        <v>29925.762219892305</v>
      </c>
      <c r="AJ248" s="55">
        <v>30710.816539655061</v>
      </c>
      <c r="AK248" s="55">
        <v>31840.601205203795</v>
      </c>
      <c r="AL248" s="55">
        <v>36695.135098869272</v>
      </c>
      <c r="AM248" s="55">
        <v>38132.054915213972</v>
      </c>
      <c r="AN248" s="55">
        <v>38465.753369778446</v>
      </c>
      <c r="AO248" s="55">
        <v>40996.591617964812</v>
      </c>
      <c r="AP248" s="55">
        <v>31064.966388070505</v>
      </c>
      <c r="AQ248" s="55">
        <v>31674.182133928098</v>
      </c>
      <c r="AR248" s="55">
        <v>34069.189316433149</v>
      </c>
      <c r="AS248" s="55">
        <v>34462.399002110338</v>
      </c>
      <c r="AT248" s="55">
        <v>45872.417438895245</v>
      </c>
      <c r="AU248" s="55">
        <v>47663.476737429883</v>
      </c>
      <c r="AV248" s="55">
        <v>48980.508708286427</v>
      </c>
      <c r="AW248" s="56">
        <v>49469.584522557481</v>
      </c>
      <c r="AX248" s="55">
        <v>49847.233592599056</v>
      </c>
      <c r="AY248" s="55">
        <v>50442.09073682742</v>
      </c>
      <c r="AZ248" s="55">
        <v>50425.074954711272</v>
      </c>
      <c r="BA248" s="55">
        <v>49990.97516501943</v>
      </c>
      <c r="BB248" s="55">
        <v>49376.306039425552</v>
      </c>
      <c r="BC248" s="55">
        <v>49205.749615310437</v>
      </c>
      <c r="BD248" s="55">
        <v>49451.601235457732</v>
      </c>
      <c r="BE248" s="55">
        <v>49701.345982079976</v>
      </c>
      <c r="BF248" s="55">
        <v>49954.934362521482</v>
      </c>
      <c r="BG248" s="55">
        <v>50212.317585537923</v>
      </c>
      <c r="BH248" s="55">
        <v>50473.447464578523</v>
      </c>
      <c r="BI248" s="55">
        <v>50738.276324017541</v>
      </c>
      <c r="BJ248" s="55">
        <v>51006.756908093295</v>
      </c>
      <c r="BK248" s="55">
        <v>51655.880385446435</v>
      </c>
      <c r="BL248" s="55">
        <v>52694.163581193905</v>
      </c>
      <c r="BM248" s="55">
        <v>53753.316269175906</v>
      </c>
      <c r="BN248" s="55">
        <v>54833.757926186328</v>
      </c>
      <c r="BO248" s="55">
        <v>55935.916460502682</v>
      </c>
      <c r="BP248" s="55">
        <v>57060.228381358786</v>
      </c>
      <c r="BQ248" s="55">
        <v>58207.138971824104</v>
      </c>
      <c r="BR248" s="55"/>
      <c r="BS248" s="55"/>
      <c r="BT248" s="55"/>
      <c r="BU248" s="55"/>
      <c r="BV248" s="55"/>
      <c r="BW248" s="55"/>
      <c r="BX248" s="55"/>
      <c r="BY248" s="55"/>
      <c r="BZ248" s="55"/>
      <c r="CA248" s="55"/>
      <c r="CB248" s="55"/>
      <c r="CC248" s="55">
        <v>12257.553941942608</v>
      </c>
      <c r="CD248" s="55">
        <v>13928.058413859027</v>
      </c>
      <c r="CE248" s="55">
        <v>15619.980015215146</v>
      </c>
      <c r="CF248" s="55">
        <v>17368.6573774344</v>
      </c>
      <c r="CG248" s="55">
        <v>15335.06516470422</v>
      </c>
      <c r="CH248" s="55">
        <v>17597.629756639322</v>
      </c>
      <c r="CI248" s="55">
        <v>20677.265850081945</v>
      </c>
      <c r="CJ248" s="55">
        <v>30087.610341725394</v>
      </c>
      <c r="CK248" s="55">
        <v>17479.566034623713</v>
      </c>
      <c r="CL248" s="55">
        <v>15737.028789512186</v>
      </c>
      <c r="CM248" s="55">
        <v>17986.279253996447</v>
      </c>
      <c r="CN248" s="55">
        <v>18445.710808765616</v>
      </c>
      <c r="CO248" s="55">
        <v>20436.499681190224</v>
      </c>
      <c r="CP248" s="55">
        <v>22477.103307500693</v>
      </c>
      <c r="CQ248" s="55">
        <v>24324.514008223887</v>
      </c>
      <c r="CR248" s="164">
        <v>29595.527108433736</v>
      </c>
      <c r="CS248" s="164">
        <v>31240.48142352829</v>
      </c>
      <c r="CT248" s="164">
        <v>37540.667485523772</v>
      </c>
      <c r="CU248" s="164">
        <v>39758.960918556557</v>
      </c>
      <c r="CV248" s="164">
        <v>31239.059313288617</v>
      </c>
      <c r="CW248" s="164">
        <v>33887.164158569096</v>
      </c>
      <c r="CX248" s="164">
        <v>46610.082675923004</v>
      </c>
      <c r="CY248" s="171">
        <v>43941.434256286782</v>
      </c>
      <c r="CZ248" s="55">
        <v>50147.106783114177</v>
      </c>
      <c r="DA248" s="55">
        <v>50206.241088126888</v>
      </c>
      <c r="DB248" s="55">
        <v>49290.326910556563</v>
      </c>
      <c r="DC248" s="55">
        <v>49577.155971464548</v>
      </c>
      <c r="DD248" s="55">
        <v>50084.683713302373</v>
      </c>
      <c r="DE248" s="55">
        <v>50606.950232076546</v>
      </c>
      <c r="DF248" s="55">
        <v>51333.986277498712</v>
      </c>
      <c r="DG248" s="55">
        <v>53226.633784988138</v>
      </c>
      <c r="DH248" s="55">
        <v>55389.366611978679</v>
      </c>
      <c r="DI248" s="55">
        <v>57638.397007785141</v>
      </c>
    </row>
    <row r="249" spans="1:113" s="24" customFormat="1" outlineLevel="1">
      <c r="A249" s="1" t="s">
        <v>256</v>
      </c>
      <c r="B249" s="24" t="s">
        <v>168</v>
      </c>
      <c r="C249" s="166">
        <v>15300</v>
      </c>
      <c r="D249" s="166">
        <v>16322</v>
      </c>
      <c r="E249" s="166">
        <v>19721</v>
      </c>
      <c r="F249" s="166">
        <v>21062</v>
      </c>
      <c r="G249" s="166">
        <v>20575</v>
      </c>
      <c r="H249" s="166">
        <v>23275</v>
      </c>
      <c r="I249" s="166">
        <v>23711.5</v>
      </c>
      <c r="J249" s="166">
        <v>25894</v>
      </c>
      <c r="K249" s="166">
        <v>27445.5</v>
      </c>
      <c r="L249" s="166">
        <v>23758.5</v>
      </c>
      <c r="M249" s="166">
        <v>24563</v>
      </c>
      <c r="N249" s="166">
        <v>27229</v>
      </c>
      <c r="O249" s="166">
        <v>29294</v>
      </c>
      <c r="P249" s="166">
        <v>30650.5</v>
      </c>
      <c r="Q249" s="166">
        <v>33952.5</v>
      </c>
      <c r="R249" s="166">
        <v>41442.5</v>
      </c>
      <c r="S249" s="166">
        <v>43566</v>
      </c>
      <c r="T249" s="166">
        <v>24945</v>
      </c>
      <c r="U249" s="166">
        <v>25314</v>
      </c>
      <c r="V249" s="81">
        <v>25115.334254143647</v>
      </c>
      <c r="W249" s="81">
        <v>25318</v>
      </c>
      <c r="X249" s="166">
        <v>28672.5</v>
      </c>
      <c r="Y249" s="166">
        <v>30486.5</v>
      </c>
      <c r="Z249" s="166">
        <v>31154</v>
      </c>
      <c r="AA249" s="166">
        <v>33522</v>
      </c>
      <c r="AB249" s="166">
        <v>37615</v>
      </c>
      <c r="AC249" s="166">
        <v>40815</v>
      </c>
      <c r="AD249" s="166">
        <v>41993.5</v>
      </c>
      <c r="AE249" s="166">
        <v>47528</v>
      </c>
      <c r="AF249" s="166">
        <v>48700</v>
      </c>
      <c r="AG249" s="166">
        <v>50192.5</v>
      </c>
      <c r="AH249" s="166">
        <v>52752.5</v>
      </c>
      <c r="AI249" s="166">
        <v>54190.5</v>
      </c>
      <c r="AJ249" s="166">
        <v>55140.5</v>
      </c>
      <c r="AK249" s="166">
        <v>57169</v>
      </c>
      <c r="AL249" s="166">
        <v>60498</v>
      </c>
      <c r="AM249" s="166">
        <v>62867</v>
      </c>
      <c r="AN249" s="166">
        <v>64367</v>
      </c>
      <c r="AO249" s="166">
        <v>68602</v>
      </c>
      <c r="AP249" s="166">
        <v>70929.5</v>
      </c>
      <c r="AQ249" s="166">
        <v>72320.5</v>
      </c>
      <c r="AR249" s="166">
        <v>77113</v>
      </c>
      <c r="AS249" s="166">
        <v>78003</v>
      </c>
      <c r="AT249" s="166">
        <v>79256</v>
      </c>
      <c r="AU249" s="166">
        <v>82350.5</v>
      </c>
      <c r="AV249" s="166">
        <v>84626</v>
      </c>
      <c r="AW249" s="167">
        <v>85471</v>
      </c>
      <c r="AX249" s="82">
        <v>86123.482610821302</v>
      </c>
      <c r="AY249" s="82">
        <v>87151.246144011253</v>
      </c>
      <c r="AZ249" s="82">
        <v>87121.847152140064</v>
      </c>
      <c r="BA249" s="82">
        <v>86371.831895637704</v>
      </c>
      <c r="BB249" s="82">
        <v>85309.838241543475</v>
      </c>
      <c r="BC249" s="82">
        <v>85015.159637180099</v>
      </c>
      <c r="BD249" s="82">
        <v>85439.929402853551</v>
      </c>
      <c r="BE249" s="82">
        <v>85871.425511918627</v>
      </c>
      <c r="BF249" s="82">
        <v>86309.562453514183</v>
      </c>
      <c r="BG249" s="82">
        <v>86754.255928641447</v>
      </c>
      <c r="BH249" s="82">
        <v>87205.422683060053</v>
      </c>
      <c r="BI249" s="82">
        <v>87662.980345279575</v>
      </c>
      <c r="BJ249" s="82">
        <v>88126.847269229082</v>
      </c>
      <c r="BK249" s="82">
        <v>89248.369377577314</v>
      </c>
      <c r="BL249" s="82">
        <v>91042.261602066617</v>
      </c>
      <c r="BM249" s="82">
        <v>92872.211060268164</v>
      </c>
      <c r="BN249" s="82">
        <v>94738.942502579535</v>
      </c>
      <c r="BO249" s="82">
        <v>96643.195246881398</v>
      </c>
      <c r="BP249" s="82">
        <v>98585.723471343706</v>
      </c>
      <c r="BQ249" s="82">
        <v>100567.29651311773</v>
      </c>
      <c r="BR249" s="82"/>
      <c r="BS249" s="81">
        <v>4556.1000000000004</v>
      </c>
      <c r="BT249" s="81">
        <v>5708.3</v>
      </c>
      <c r="BU249" s="81">
        <v>6124.9000000000005</v>
      </c>
      <c r="BV249" s="81">
        <v>7525</v>
      </c>
      <c r="BW249" s="81">
        <v>8216</v>
      </c>
      <c r="BX249" s="81">
        <v>9557</v>
      </c>
      <c r="BY249" s="81">
        <v>11413</v>
      </c>
      <c r="BZ249" s="81">
        <v>13079</v>
      </c>
      <c r="CA249" s="81">
        <v>12708</v>
      </c>
      <c r="CB249" s="81">
        <v>14428</v>
      </c>
      <c r="CC249" s="82">
        <v>18035.468493150689</v>
      </c>
      <c r="CD249" s="82">
        <v>20816.498630136986</v>
      </c>
      <c r="CE249" s="82">
        <v>23494.442622950821</v>
      </c>
      <c r="CF249" s="82">
        <v>26676.126027397258</v>
      </c>
      <c r="CG249" s="166">
        <v>24126.5</v>
      </c>
      <c r="CH249" s="166">
        <v>28164</v>
      </c>
      <c r="CI249" s="166">
        <v>32267</v>
      </c>
      <c r="CJ249" s="166">
        <v>42202.5</v>
      </c>
      <c r="CK249" s="166">
        <v>25076.5</v>
      </c>
      <c r="CL249" s="166">
        <v>25217.5</v>
      </c>
      <c r="CM249" s="166">
        <v>29558</v>
      </c>
      <c r="CN249" s="166">
        <v>32278</v>
      </c>
      <c r="CO249" s="166">
        <v>39071</v>
      </c>
      <c r="CP249" s="166">
        <v>44608.5</v>
      </c>
      <c r="CQ249" s="166">
        <v>49342.5</v>
      </c>
      <c r="CR249" s="166">
        <v>53592.5</v>
      </c>
      <c r="CS249" s="166">
        <v>56091.5</v>
      </c>
      <c r="CT249" s="166">
        <v>61892</v>
      </c>
      <c r="CU249" s="166">
        <v>66531</v>
      </c>
      <c r="CV249" s="166">
        <v>71327</v>
      </c>
      <c r="CW249" s="166">
        <v>76701</v>
      </c>
      <c r="CX249" s="166">
        <v>80530.5</v>
      </c>
      <c r="CY249" s="167">
        <v>84839</v>
      </c>
      <c r="CZ249" s="82">
        <v>86641.588063169111</v>
      </c>
      <c r="DA249" s="82">
        <v>86743.757269410111</v>
      </c>
      <c r="DB249" s="82">
        <v>85161.287931398649</v>
      </c>
      <c r="DC249" s="82">
        <v>85656.856408503765</v>
      </c>
      <c r="DD249" s="82">
        <v>86533.736698509849</v>
      </c>
      <c r="DE249" s="82">
        <v>87436.081888124128</v>
      </c>
      <c r="DF249" s="82">
        <v>88692.217318369017</v>
      </c>
      <c r="DG249" s="82">
        <v>91962.236193075063</v>
      </c>
      <c r="DH249" s="82">
        <v>95698.894570939927</v>
      </c>
      <c r="DI249" s="82">
        <v>99584.653443087329</v>
      </c>
    </row>
    <row r="250" spans="1:113" outlineLevel="1">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c r="AR250" s="55"/>
      <c r="AS250" s="55"/>
      <c r="AT250" s="55"/>
      <c r="AU250" s="55"/>
      <c r="AV250" s="55"/>
      <c r="AW250" s="56"/>
      <c r="AX250" s="55"/>
      <c r="AY250" s="55"/>
      <c r="AZ250" s="55"/>
      <c r="BA250" s="55"/>
      <c r="BB250" s="55"/>
      <c r="BC250" s="55"/>
      <c r="BD250" s="55"/>
      <c r="BE250" s="55"/>
      <c r="BF250" s="55"/>
      <c r="BG250" s="55"/>
      <c r="BH250" s="55"/>
      <c r="BI250" s="55"/>
      <c r="BJ250" s="55"/>
      <c r="BK250" s="55"/>
      <c r="BL250" s="55"/>
      <c r="BM250" s="55"/>
      <c r="BN250" s="55"/>
      <c r="BO250" s="55"/>
      <c r="BP250" s="55"/>
      <c r="BQ250" s="55"/>
      <c r="BR250" s="55"/>
      <c r="BS250" s="55"/>
      <c r="BT250" s="55"/>
      <c r="BU250" s="55"/>
      <c r="BV250" s="55"/>
      <c r="BW250" s="55"/>
      <c r="BX250" s="55"/>
      <c r="BY250" s="55"/>
      <c r="BZ250" s="55"/>
      <c r="CA250" s="55"/>
      <c r="CB250" s="55"/>
      <c r="CC250" s="55"/>
      <c r="CD250" s="55"/>
      <c r="CE250" s="55"/>
      <c r="CF250" s="55"/>
      <c r="CG250" s="55"/>
      <c r="CH250" s="55"/>
      <c r="CI250" s="55"/>
      <c r="CJ250" s="55"/>
      <c r="CK250" s="55"/>
      <c r="CL250" s="55"/>
      <c r="CM250" s="55"/>
      <c r="CN250" s="55"/>
      <c r="CO250" s="55"/>
      <c r="CP250" s="55"/>
      <c r="CQ250" s="55"/>
      <c r="CR250" s="55"/>
      <c r="CS250" s="55"/>
      <c r="CT250" s="55"/>
      <c r="CU250" s="55"/>
      <c r="CV250" s="55"/>
      <c r="CW250" s="55"/>
      <c r="CX250" s="55"/>
      <c r="CY250" s="56"/>
      <c r="CZ250" s="55"/>
      <c r="DA250" s="55"/>
      <c r="DB250" s="55"/>
      <c r="DC250" s="55"/>
      <c r="DD250" s="55"/>
      <c r="DE250" s="55"/>
      <c r="DF250" s="55"/>
      <c r="DG250" s="55"/>
      <c r="DH250" s="55"/>
      <c r="DI250" s="55"/>
    </row>
    <row r="251" spans="1:113" s="24" customFormat="1" outlineLevel="1">
      <c r="A251" s="1"/>
      <c r="B251" s="24" t="s">
        <v>491</v>
      </c>
      <c r="C251" s="82"/>
      <c r="D251" s="82"/>
      <c r="E251" s="82"/>
      <c r="F251" s="8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c r="AV251" s="82"/>
      <c r="AW251" s="83"/>
      <c r="AX251" s="82"/>
      <c r="AY251" s="82"/>
      <c r="AZ251" s="82"/>
      <c r="BA251" s="82"/>
      <c r="BB251" s="82"/>
      <c r="BC251" s="82"/>
      <c r="BD251" s="82"/>
      <c r="BE251" s="82"/>
      <c r="BF251" s="82"/>
      <c r="BG251" s="82"/>
      <c r="BH251" s="82"/>
      <c r="BI251" s="82"/>
      <c r="BJ251" s="82"/>
      <c r="BK251" s="82"/>
      <c r="BL251" s="82"/>
      <c r="BM251" s="82"/>
      <c r="BN251" s="82"/>
      <c r="BO251" s="82"/>
      <c r="BP251" s="82"/>
      <c r="BQ251" s="82"/>
      <c r="BR251" s="82"/>
      <c r="BS251" s="82"/>
      <c r="BT251" s="82"/>
      <c r="BU251" s="82"/>
      <c r="BV251" s="82"/>
      <c r="BW251" s="82"/>
      <c r="BX251" s="82"/>
      <c r="BY251" s="82"/>
      <c r="BZ251" s="82"/>
      <c r="CA251" s="82"/>
      <c r="CB251" s="82"/>
      <c r="CC251" s="82"/>
      <c r="CD251" s="82"/>
      <c r="CE251" s="82"/>
      <c r="CF251" s="82"/>
      <c r="CG251" s="82"/>
      <c r="CH251" s="82"/>
      <c r="CI251" s="82"/>
      <c r="CJ251" s="82"/>
      <c r="CK251" s="82"/>
      <c r="CL251" s="82"/>
      <c r="CM251" s="82"/>
      <c r="CN251" s="82"/>
      <c r="CO251" s="82"/>
      <c r="CP251" s="82"/>
      <c r="CQ251" s="82"/>
      <c r="CR251" s="82"/>
      <c r="CS251" s="82"/>
      <c r="CT251" s="82"/>
      <c r="CU251" s="82"/>
      <c r="CV251" s="82"/>
      <c r="CW251" s="82"/>
      <c r="CX251" s="82"/>
      <c r="CY251" s="83"/>
      <c r="CZ251" s="82"/>
      <c r="DA251" s="82"/>
      <c r="DB251" s="82"/>
      <c r="DC251" s="82"/>
      <c r="DD251" s="82"/>
      <c r="DE251" s="82"/>
      <c r="DF251" s="82"/>
      <c r="DG251" s="82"/>
      <c r="DH251" s="82"/>
      <c r="DI251" s="82"/>
    </row>
    <row r="252" spans="1:113" outlineLevel="1">
      <c r="A252" s="1" t="s">
        <v>257</v>
      </c>
      <c r="B252" s="19" t="s">
        <v>589</v>
      </c>
      <c r="C252" s="55">
        <v>0</v>
      </c>
      <c r="D252" s="55">
        <v>0</v>
      </c>
      <c r="E252" s="55">
        <v>0</v>
      </c>
      <c r="F252" s="55">
        <v>0</v>
      </c>
      <c r="G252" s="55">
        <v>0</v>
      </c>
      <c r="H252" s="55">
        <v>0</v>
      </c>
      <c r="I252" s="55">
        <v>0</v>
      </c>
      <c r="J252" s="55">
        <v>0</v>
      </c>
      <c r="K252" s="55">
        <v>0</v>
      </c>
      <c r="L252" s="55">
        <v>0</v>
      </c>
      <c r="M252" s="55">
        <v>0</v>
      </c>
      <c r="N252" s="55">
        <v>0</v>
      </c>
      <c r="O252" s="55">
        <v>0</v>
      </c>
      <c r="P252" s="55">
        <v>0</v>
      </c>
      <c r="Q252" s="55">
        <v>0</v>
      </c>
      <c r="R252" s="55">
        <v>0</v>
      </c>
      <c r="S252" s="55">
        <v>0</v>
      </c>
      <c r="T252" s="55">
        <v>1196.2835070508891</v>
      </c>
      <c r="U252" s="55">
        <v>1239.764721836119</v>
      </c>
      <c r="V252" s="55">
        <v>1328.1548216402211</v>
      </c>
      <c r="W252" s="55">
        <v>1054.9458537257876</v>
      </c>
      <c r="X252" s="55">
        <v>1164.5039424301897</v>
      </c>
      <c r="Y252" s="55">
        <v>1048.8543680069693</v>
      </c>
      <c r="Z252" s="55">
        <v>1097.492756834612</v>
      </c>
      <c r="AA252" s="55">
        <v>1162.2747225339817</v>
      </c>
      <c r="AB252" s="55">
        <v>1255.1156703605432</v>
      </c>
      <c r="AC252" s="55">
        <v>1235.6637288135594</v>
      </c>
      <c r="AD252" s="55">
        <v>1561.7918692064209</v>
      </c>
      <c r="AE252" s="55">
        <v>2051.7954744206386</v>
      </c>
      <c r="AF252" s="55">
        <v>2303.6645880270357</v>
      </c>
      <c r="AG252" s="55">
        <v>3137.600257546866</v>
      </c>
      <c r="AH252" s="55">
        <v>4138.9849511373504</v>
      </c>
      <c r="AI252" s="55">
        <v>4193.0585971902656</v>
      </c>
      <c r="AJ252" s="55">
        <v>1803.8958946808052</v>
      </c>
      <c r="AK252" s="55">
        <v>1966.8711060066889</v>
      </c>
      <c r="AL252" s="55">
        <v>4212.5916084581077</v>
      </c>
      <c r="AM252" s="55">
        <v>3778.6064179683362</v>
      </c>
      <c r="AN252" s="55">
        <v>5118.3981358786441</v>
      </c>
      <c r="AO252" s="55">
        <v>5575.1846748418648</v>
      </c>
      <c r="AP252" s="55">
        <v>1768.7310241381783</v>
      </c>
      <c r="AQ252" s="55">
        <v>1794.1021658778664</v>
      </c>
      <c r="AR252" s="55">
        <v>4842.939275544617</v>
      </c>
      <c r="AS252" s="55">
        <v>6365.6471373199565</v>
      </c>
      <c r="AT252" s="55">
        <v>-317.55472664233457</v>
      </c>
      <c r="AU252" s="55">
        <v>-331.41557750745778</v>
      </c>
      <c r="AV252" s="55">
        <v>-325.9175197952718</v>
      </c>
      <c r="AW252" s="56">
        <v>-331.15224528031467</v>
      </c>
      <c r="AX252" s="55">
        <v>-356.11682911221806</v>
      </c>
      <c r="AY252" s="55">
        <v>-350.85038342820889</v>
      </c>
      <c r="AZ252" s="55">
        <v>-334.48788173103742</v>
      </c>
      <c r="BA252" s="55">
        <v>-323.31327900347429</v>
      </c>
      <c r="BB252" s="55">
        <v>-319.65083189379084</v>
      </c>
      <c r="BC252" s="55">
        <v>-319.76005298390407</v>
      </c>
      <c r="BD252" s="55">
        <v>-323.48821978070782</v>
      </c>
      <c r="BE252" s="55">
        <v>-327.28783547891101</v>
      </c>
      <c r="BF252" s="55">
        <v>-331.15987657214322</v>
      </c>
      <c r="BG252" s="55">
        <v>-335.10534552790153</v>
      </c>
      <c r="BH252" s="55">
        <v>-339.12527090779253</v>
      </c>
      <c r="BI252" s="55">
        <v>-343.2207075081343</v>
      </c>
      <c r="BJ252" s="55">
        <v>-347.39273652023053</v>
      </c>
      <c r="BK252" s="55">
        <v>-353.18514112605152</v>
      </c>
      <c r="BL252" s="55">
        <v>-360.63715122598575</v>
      </c>
      <c r="BM252" s="55">
        <v>-368.24640244013392</v>
      </c>
      <c r="BN252" s="55">
        <v>-376.01621278393645</v>
      </c>
      <c r="BO252" s="55">
        <v>-383.94997029063057</v>
      </c>
      <c r="BP252" s="55">
        <v>-392.05113448884333</v>
      </c>
      <c r="BQ252" s="55">
        <v>-400.32323791136565</v>
      </c>
      <c r="BR252" s="55"/>
      <c r="BS252" s="55"/>
      <c r="BT252" s="55"/>
      <c r="BU252" s="55"/>
      <c r="BV252" s="55"/>
      <c r="BW252" s="55"/>
      <c r="BX252" s="55"/>
      <c r="BY252" s="55"/>
      <c r="BZ252" s="55"/>
      <c r="CA252" s="55"/>
      <c r="CB252" s="55"/>
      <c r="CC252" s="55">
        <v>0</v>
      </c>
      <c r="CD252" s="55">
        <v>0</v>
      </c>
      <c r="CE252" s="55">
        <v>0</v>
      </c>
      <c r="CF252" s="55">
        <v>0</v>
      </c>
      <c r="CG252" s="55">
        <v>0</v>
      </c>
      <c r="CH252" s="55">
        <v>0</v>
      </c>
      <c r="CI252" s="55">
        <v>0</v>
      </c>
      <c r="CJ252" s="55">
        <v>0</v>
      </c>
      <c r="CK252" s="55">
        <v>1923.1813149313718</v>
      </c>
      <c r="CL252" s="55">
        <v>1640.6891853705797</v>
      </c>
      <c r="CM252" s="55">
        <v>1129.0677900194426</v>
      </c>
      <c r="CN252" s="55">
        <v>1131.93221910031</v>
      </c>
      <c r="CO252" s="55">
        <v>1244.0905017631264</v>
      </c>
      <c r="CP252" s="55">
        <v>1801.9102323722875</v>
      </c>
      <c r="CQ252" s="55">
        <v>3126.7117049865633</v>
      </c>
      <c r="CR252" s="55">
        <v>4165.0271084337364</v>
      </c>
      <c r="CS252" s="55">
        <v>1884.4814235282902</v>
      </c>
      <c r="CT252" s="55">
        <v>3997.6674855237725</v>
      </c>
      <c r="CU252" s="55">
        <v>5355.9609185565569</v>
      </c>
      <c r="CV252" s="55">
        <v>1781.5208599740758</v>
      </c>
      <c r="CW252" s="55">
        <v>5610.5509099738301</v>
      </c>
      <c r="CX252" s="55">
        <v>-324.54211447571174</v>
      </c>
      <c r="CY252" s="56">
        <v>-328.54918506644094</v>
      </c>
      <c r="CZ252" s="55">
        <v>-353.46196334274498</v>
      </c>
      <c r="DA252" s="55">
        <v>-328.85465734234799</v>
      </c>
      <c r="DB252" s="55">
        <v>-319.70589129264243</v>
      </c>
      <c r="DC252" s="55">
        <v>-325.39840909346577</v>
      </c>
      <c r="DD252" s="55">
        <v>-333.14882530600494</v>
      </c>
      <c r="DE252" s="55">
        <v>-341.18981976933469</v>
      </c>
      <c r="DF252" s="55">
        <v>-350.3127432256307</v>
      </c>
      <c r="DG252" s="55">
        <v>-364.46256713692367</v>
      </c>
      <c r="DH252" s="55">
        <v>-380.01569602018776</v>
      </c>
      <c r="DI252" s="55">
        <v>-396.2211811456765</v>
      </c>
    </row>
    <row r="253" spans="1:113" outlineLevel="1">
      <c r="A253" s="1" t="s">
        <v>158</v>
      </c>
      <c r="B253" s="19" t="s">
        <v>471</v>
      </c>
      <c r="C253" s="55">
        <v>0</v>
      </c>
      <c r="D253" s="55">
        <v>0</v>
      </c>
      <c r="E253" s="55">
        <v>0</v>
      </c>
      <c r="F253" s="55">
        <v>0</v>
      </c>
      <c r="G253" s="55">
        <v>0</v>
      </c>
      <c r="H253" s="55">
        <v>0</v>
      </c>
      <c r="I253" s="55">
        <v>0</v>
      </c>
      <c r="J253" s="55">
        <v>0</v>
      </c>
      <c r="K253" s="55">
        <v>0</v>
      </c>
      <c r="L253" s="55">
        <v>0</v>
      </c>
      <c r="M253" s="55">
        <v>0</v>
      </c>
      <c r="N253" s="55">
        <v>0</v>
      </c>
      <c r="O253" s="55">
        <v>0</v>
      </c>
      <c r="P253" s="55">
        <v>0</v>
      </c>
      <c r="Q253" s="55">
        <v>0</v>
      </c>
      <c r="R253" s="55">
        <v>0</v>
      </c>
      <c r="S253" s="55">
        <v>0</v>
      </c>
      <c r="T253" s="55">
        <v>20315.716492949112</v>
      </c>
      <c r="U253" s="55">
        <v>15027.735278163882</v>
      </c>
      <c r="V253" s="55">
        <v>17401.825841343201</v>
      </c>
      <c r="W253" s="55">
        <v>16886.554146274211</v>
      </c>
      <c r="X253" s="55">
        <v>16748.99605756981</v>
      </c>
      <c r="Y253" s="55">
        <v>18033.645631993029</v>
      </c>
      <c r="Z253" s="55">
        <v>18081.007243165386</v>
      </c>
      <c r="AA253" s="55">
        <v>15570.725277466017</v>
      </c>
      <c r="AB253" s="55">
        <v>15876.384329639457</v>
      </c>
      <c r="AC253" s="55">
        <v>17090.336271186439</v>
      </c>
      <c r="AD253" s="55">
        <v>16316.708130793579</v>
      </c>
      <c r="AE253" s="55">
        <v>14873.204525579362</v>
      </c>
      <c r="AF253" s="55">
        <v>15445.835411972965</v>
      </c>
      <c r="AG253" s="55">
        <v>17551.399742453134</v>
      </c>
      <c r="AH253" s="55">
        <v>18747.51504886265</v>
      </c>
      <c r="AI253" s="55">
        <v>18992.441402809734</v>
      </c>
      <c r="AJ253" s="55">
        <v>19193.104105319195</v>
      </c>
      <c r="AK253" s="55">
        <v>20927.128893993311</v>
      </c>
      <c r="AL253" s="55">
        <v>17171.408391541892</v>
      </c>
      <c r="AM253" s="55">
        <v>15402.393582031664</v>
      </c>
      <c r="AN253" s="55">
        <v>16093.101864121356</v>
      </c>
      <c r="AO253" s="55">
        <v>17529.315325158135</v>
      </c>
      <c r="AP253" s="55">
        <v>17507.268975861822</v>
      </c>
      <c r="AQ253" s="55">
        <v>17758.397834122134</v>
      </c>
      <c r="AR253" s="55">
        <v>22022.560724455383</v>
      </c>
      <c r="AS253" s="55">
        <v>28946.852862680043</v>
      </c>
      <c r="AT253" s="55">
        <v>20215.054726642335</v>
      </c>
      <c r="AU253" s="55">
        <v>21097.415577507458</v>
      </c>
      <c r="AV253" s="55">
        <v>20747.417519795272</v>
      </c>
      <c r="AW253" s="56">
        <v>21080.652245280315</v>
      </c>
      <c r="AX253" s="55">
        <v>22669.859981930342</v>
      </c>
      <c r="AY253" s="55">
        <v>22334.605996443155</v>
      </c>
      <c r="AZ253" s="55">
        <v>21292.993828454077</v>
      </c>
      <c r="BA253" s="55">
        <v>20581.635480635792</v>
      </c>
      <c r="BB253" s="55">
        <v>20348.48962405066</v>
      </c>
      <c r="BC253" s="55">
        <v>20355.442473839066</v>
      </c>
      <c r="BD253" s="55">
        <v>20592.771946539135</v>
      </c>
      <c r="BE253" s="55">
        <v>20834.649748490101</v>
      </c>
      <c r="BF253" s="55">
        <v>21081.138041802951</v>
      </c>
      <c r="BG253" s="55">
        <v>21332.300642045888</v>
      </c>
      <c r="BH253" s="55">
        <v>21588.20302589874</v>
      </c>
      <c r="BI253" s="55">
        <v>21848.912340103503</v>
      </c>
      <c r="BJ253" s="55">
        <v>22114.497411667111</v>
      </c>
      <c r="BK253" s="55">
        <v>22483.233148475752</v>
      </c>
      <c r="BL253" s="55">
        <v>22957.616866792541</v>
      </c>
      <c r="BM253" s="55">
        <v>23442.010317172597</v>
      </c>
      <c r="BN253" s="55">
        <v>23936.624719472169</v>
      </c>
      <c r="BO253" s="55">
        <v>24441.67575077479</v>
      </c>
      <c r="BP253" s="55">
        <v>24957.38363945263</v>
      </c>
      <c r="BQ253" s="55">
        <v>25483.973261212785</v>
      </c>
      <c r="BR253" s="55"/>
      <c r="BS253" s="55"/>
      <c r="BT253" s="55"/>
      <c r="BU253" s="55"/>
      <c r="BV253" s="55"/>
      <c r="BW253" s="55"/>
      <c r="BX253" s="55"/>
      <c r="BY253" s="55"/>
      <c r="BZ253" s="55"/>
      <c r="CA253" s="55"/>
      <c r="CB253" s="55"/>
      <c r="CC253" s="55">
        <v>0</v>
      </c>
      <c r="CD253" s="55">
        <v>0</v>
      </c>
      <c r="CE253" s="55">
        <v>0</v>
      </c>
      <c r="CF253" s="55">
        <v>0</v>
      </c>
      <c r="CG253" s="55">
        <v>0</v>
      </c>
      <c r="CH253" s="55">
        <v>0</v>
      </c>
      <c r="CI253" s="55">
        <v>0</v>
      </c>
      <c r="CJ253" s="55">
        <v>0</v>
      </c>
      <c r="CK253" s="55">
        <v>16988.818685068629</v>
      </c>
      <c r="CL253" s="55">
        <v>16691.810814629422</v>
      </c>
      <c r="CM253" s="55">
        <v>17374.932209980558</v>
      </c>
      <c r="CN253" s="55">
        <v>16826.567780899692</v>
      </c>
      <c r="CO253" s="55">
        <v>16404.409498236873</v>
      </c>
      <c r="CP253" s="55">
        <v>15619.589767627713</v>
      </c>
      <c r="CQ253" s="55">
        <v>16086.788295013437</v>
      </c>
      <c r="CR253" s="164">
        <v>18865.472891566264</v>
      </c>
      <c r="CS253" s="164">
        <v>20050.51857647171</v>
      </c>
      <c r="CT253" s="164">
        <v>16295.332514476228</v>
      </c>
      <c r="CU253" s="164">
        <v>16840.039081443443</v>
      </c>
      <c r="CV253" s="164">
        <v>17663.940686711383</v>
      </c>
      <c r="CW253" s="164">
        <v>25456.835841430904</v>
      </c>
      <c r="CX253" s="164">
        <v>20651.917324076996</v>
      </c>
      <c r="CY253" s="171">
        <v>20758.565743713218</v>
      </c>
      <c r="CZ253" s="55">
        <v>22500.855233082009</v>
      </c>
      <c r="DA253" s="55">
        <v>20934.391264074449</v>
      </c>
      <c r="DB253" s="55">
        <v>20351.994622300157</v>
      </c>
      <c r="DC253" s="55">
        <v>20714.371715825957</v>
      </c>
      <c r="DD253" s="55">
        <v>21207.751516993914</v>
      </c>
      <c r="DE253" s="55">
        <v>21719.629091141687</v>
      </c>
      <c r="DF253" s="55">
        <v>22300.380632414479</v>
      </c>
      <c r="DG253" s="55">
        <v>23201.137071355195</v>
      </c>
      <c r="DH253" s="55">
        <v>24191.225787306914</v>
      </c>
      <c r="DI253" s="55">
        <v>25222.842517271445</v>
      </c>
    </row>
    <row r="254" spans="1:113" s="24" customFormat="1" outlineLevel="1">
      <c r="A254" s="1" t="s">
        <v>159</v>
      </c>
      <c r="B254" s="24" t="s">
        <v>168</v>
      </c>
      <c r="C254" s="166">
        <v>0</v>
      </c>
      <c r="D254" s="166">
        <v>0</v>
      </c>
      <c r="E254" s="166">
        <v>0</v>
      </c>
      <c r="F254" s="166">
        <v>0</v>
      </c>
      <c r="G254" s="166">
        <v>0</v>
      </c>
      <c r="H254" s="166">
        <v>0</v>
      </c>
      <c r="I254" s="166">
        <v>0</v>
      </c>
      <c r="J254" s="166">
        <v>0</v>
      </c>
      <c r="K254" s="166">
        <v>0</v>
      </c>
      <c r="L254" s="166">
        <v>0</v>
      </c>
      <c r="M254" s="166">
        <v>0</v>
      </c>
      <c r="N254" s="166">
        <v>0</v>
      </c>
      <c r="O254" s="166">
        <v>0</v>
      </c>
      <c r="P254" s="166">
        <v>0</v>
      </c>
      <c r="Q254" s="166">
        <v>0</v>
      </c>
      <c r="R254" s="166">
        <v>0</v>
      </c>
      <c r="S254" s="166">
        <v>0</v>
      </c>
      <c r="T254" s="166">
        <v>21512</v>
      </c>
      <c r="U254" s="166">
        <v>16267.5</v>
      </c>
      <c r="V254" s="81">
        <v>18729.980662983424</v>
      </c>
      <c r="W254" s="81">
        <v>17941.5</v>
      </c>
      <c r="X254" s="166">
        <v>17913.5</v>
      </c>
      <c r="Y254" s="166">
        <v>19082.5</v>
      </c>
      <c r="Z254" s="166">
        <v>19178.5</v>
      </c>
      <c r="AA254" s="166">
        <v>16733</v>
      </c>
      <c r="AB254" s="166">
        <v>17131.5</v>
      </c>
      <c r="AC254" s="166">
        <v>18326</v>
      </c>
      <c r="AD254" s="166">
        <v>17878.5</v>
      </c>
      <c r="AE254" s="166">
        <v>16925</v>
      </c>
      <c r="AF254" s="166">
        <v>17749.5</v>
      </c>
      <c r="AG254" s="166">
        <v>20689</v>
      </c>
      <c r="AH254" s="166">
        <v>22886.5</v>
      </c>
      <c r="AI254" s="166">
        <v>23185.5</v>
      </c>
      <c r="AJ254" s="166">
        <v>20997</v>
      </c>
      <c r="AK254" s="166">
        <v>22894</v>
      </c>
      <c r="AL254" s="166">
        <v>21384</v>
      </c>
      <c r="AM254" s="166">
        <v>19181</v>
      </c>
      <c r="AN254" s="166">
        <v>21211.5</v>
      </c>
      <c r="AO254" s="166">
        <v>23104.5</v>
      </c>
      <c r="AP254" s="166">
        <v>19276</v>
      </c>
      <c r="AQ254" s="166">
        <v>19552.5</v>
      </c>
      <c r="AR254" s="166">
        <v>26865.5</v>
      </c>
      <c r="AS254" s="166">
        <v>35312.5</v>
      </c>
      <c r="AT254" s="166">
        <v>19897.5</v>
      </c>
      <c r="AU254" s="166">
        <v>20766</v>
      </c>
      <c r="AV254" s="166">
        <v>20421.5</v>
      </c>
      <c r="AW254" s="167">
        <v>20749.5</v>
      </c>
      <c r="AX254" s="82">
        <v>22313.743152818122</v>
      </c>
      <c r="AY254" s="82">
        <v>21983.755613014946</v>
      </c>
      <c r="AZ254" s="82">
        <v>20958.505946723039</v>
      </c>
      <c r="BA254" s="82">
        <v>20258.322201632316</v>
      </c>
      <c r="BB254" s="82">
        <v>20028.838792156868</v>
      </c>
      <c r="BC254" s="82">
        <v>20035.682420855162</v>
      </c>
      <c r="BD254" s="82">
        <v>20269.283726758425</v>
      </c>
      <c r="BE254" s="82">
        <v>20507.361913011187</v>
      </c>
      <c r="BF254" s="82">
        <v>20749.978165230805</v>
      </c>
      <c r="BG254" s="82">
        <v>20997.195296517984</v>
      </c>
      <c r="BH254" s="82">
        <v>21249.077754990947</v>
      </c>
      <c r="BI254" s="82">
        <v>21505.691632595368</v>
      </c>
      <c r="BJ254" s="82">
        <v>21767.104675146878</v>
      </c>
      <c r="BK254" s="82">
        <v>22130.048007349698</v>
      </c>
      <c r="BL254" s="82">
        <v>22596.979715566555</v>
      </c>
      <c r="BM254" s="82">
        <v>23073.763914732463</v>
      </c>
      <c r="BN254" s="82">
        <v>23560.60850668823</v>
      </c>
      <c r="BO254" s="82">
        <v>24057.725780484157</v>
      </c>
      <c r="BP254" s="82">
        <v>24565.332504963786</v>
      </c>
      <c r="BQ254" s="82">
        <v>25083.650023301416</v>
      </c>
      <c r="BR254" s="82"/>
      <c r="BS254" s="81">
        <v>0</v>
      </c>
      <c r="BT254" s="81">
        <v>0</v>
      </c>
      <c r="BU254" s="81">
        <v>0</v>
      </c>
      <c r="BV254" s="81">
        <v>0</v>
      </c>
      <c r="BW254" s="81">
        <v>0</v>
      </c>
      <c r="BX254" s="81">
        <v>0</v>
      </c>
      <c r="BY254" s="81">
        <v>0</v>
      </c>
      <c r="BZ254" s="81">
        <v>0</v>
      </c>
      <c r="CA254" s="81">
        <v>0</v>
      </c>
      <c r="CB254" s="81">
        <v>0</v>
      </c>
      <c r="CC254" s="82">
        <v>0</v>
      </c>
      <c r="CD254" s="82">
        <v>0</v>
      </c>
      <c r="CE254" s="82">
        <v>0</v>
      </c>
      <c r="CF254" s="82">
        <v>0</v>
      </c>
      <c r="CG254" s="82">
        <v>0</v>
      </c>
      <c r="CH254" s="82">
        <v>0</v>
      </c>
      <c r="CI254" s="82">
        <v>0</v>
      </c>
      <c r="CJ254" s="82">
        <v>0</v>
      </c>
      <c r="CK254" s="166">
        <v>18912</v>
      </c>
      <c r="CL254" s="166">
        <v>18332.5</v>
      </c>
      <c r="CM254" s="166">
        <v>18504</v>
      </c>
      <c r="CN254" s="166">
        <v>17958.5</v>
      </c>
      <c r="CO254" s="166">
        <v>17648.5</v>
      </c>
      <c r="CP254" s="166">
        <v>17421.5</v>
      </c>
      <c r="CQ254" s="166">
        <v>19213.5</v>
      </c>
      <c r="CR254" s="166">
        <v>23030.5</v>
      </c>
      <c r="CS254" s="166">
        <v>21935</v>
      </c>
      <c r="CT254" s="166">
        <v>20293</v>
      </c>
      <c r="CU254" s="166">
        <v>22196</v>
      </c>
      <c r="CV254" s="166">
        <v>19448.5</v>
      </c>
      <c r="CW254" s="166">
        <v>31055</v>
      </c>
      <c r="CX254" s="166">
        <v>20327.5</v>
      </c>
      <c r="CY254" s="167">
        <v>20587.5</v>
      </c>
      <c r="CZ254" s="82">
        <v>22147.393269739259</v>
      </c>
      <c r="DA254" s="82">
        <v>20605.536606732097</v>
      </c>
      <c r="DB254" s="82">
        <v>20032.288731007513</v>
      </c>
      <c r="DC254" s="82">
        <v>20388.973306732489</v>
      </c>
      <c r="DD254" s="82">
        <v>20874.602691687902</v>
      </c>
      <c r="DE254" s="82">
        <v>21378.439271372354</v>
      </c>
      <c r="DF254" s="82">
        <v>21950.067889188849</v>
      </c>
      <c r="DG254" s="82">
        <v>22836.67450421827</v>
      </c>
      <c r="DH254" s="82">
        <v>23811.210091286721</v>
      </c>
      <c r="DI254" s="82">
        <v>24826.621336125769</v>
      </c>
    </row>
    <row r="255" spans="1:113" outlineLevel="1">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c r="AR255" s="55"/>
      <c r="AS255" s="55"/>
      <c r="AT255" s="55"/>
      <c r="AU255" s="55"/>
      <c r="AV255" s="55"/>
      <c r="AW255" s="56"/>
      <c r="AX255" s="55"/>
      <c r="AY255" s="55"/>
      <c r="AZ255" s="55"/>
      <c r="BA255" s="55"/>
      <c r="BB255" s="55"/>
      <c r="BC255" s="55"/>
      <c r="BD255" s="55"/>
      <c r="BE255" s="55"/>
      <c r="BF255" s="55"/>
      <c r="BG255" s="55"/>
      <c r="BH255" s="55"/>
      <c r="BI255" s="55"/>
      <c r="BJ255" s="55"/>
      <c r="BK255" s="55"/>
      <c r="BL255" s="55"/>
      <c r="BM255" s="55"/>
      <c r="BN255" s="55"/>
      <c r="BO255" s="55"/>
      <c r="BP255" s="55"/>
      <c r="BQ255" s="55"/>
      <c r="BR255" s="55"/>
      <c r="BS255" s="55"/>
      <c r="BT255" s="55"/>
      <c r="BU255" s="55"/>
      <c r="BV255" s="55"/>
      <c r="BW255" s="55"/>
      <c r="BX255" s="55"/>
      <c r="BY255" s="55"/>
      <c r="BZ255" s="55"/>
      <c r="CA255" s="55"/>
      <c r="CB255" s="55"/>
      <c r="CC255" s="55"/>
      <c r="CD255" s="55"/>
      <c r="CE255" s="55"/>
      <c r="CF255" s="55"/>
      <c r="CG255" s="55"/>
      <c r="CH255" s="55"/>
      <c r="CI255" s="55"/>
      <c r="CJ255" s="55"/>
      <c r="CK255" s="55"/>
      <c r="CL255" s="55"/>
      <c r="CM255" s="55"/>
      <c r="CN255" s="55"/>
      <c r="CO255" s="55"/>
      <c r="CP255" s="55"/>
      <c r="CQ255" s="55"/>
      <c r="CR255" s="55"/>
      <c r="CS255" s="55"/>
      <c r="CT255" s="55"/>
      <c r="CU255" s="55"/>
      <c r="CV255" s="55"/>
      <c r="CW255" s="55"/>
      <c r="CX255" s="55"/>
      <c r="CY255" s="56"/>
      <c r="CZ255" s="55"/>
      <c r="DA255" s="55"/>
      <c r="DB255" s="55"/>
      <c r="DC255" s="55"/>
      <c r="DD255" s="55"/>
      <c r="DE255" s="55"/>
      <c r="DF255" s="55"/>
      <c r="DG255" s="55"/>
      <c r="DH255" s="55"/>
      <c r="DI255" s="55"/>
    </row>
    <row r="256" spans="1:113" s="24" customFormat="1" outlineLevel="1">
      <c r="A256" s="19"/>
      <c r="B256" s="24" t="s">
        <v>496</v>
      </c>
      <c r="C256" s="82"/>
      <c r="D256" s="82"/>
      <c r="E256" s="82"/>
      <c r="F256" s="8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c r="AV256" s="82"/>
      <c r="AW256" s="83"/>
      <c r="AX256" s="82"/>
      <c r="AY256" s="82"/>
      <c r="AZ256" s="82"/>
      <c r="BA256" s="82"/>
      <c r="BB256" s="82"/>
      <c r="BC256" s="82"/>
      <c r="BD256" s="82"/>
      <c r="BE256" s="82"/>
      <c r="BF256" s="82"/>
      <c r="BG256" s="82"/>
      <c r="BH256" s="82"/>
      <c r="BI256" s="82"/>
      <c r="BJ256" s="82"/>
      <c r="BK256" s="82"/>
      <c r="BL256" s="82"/>
      <c r="BM256" s="82"/>
      <c r="BN256" s="82"/>
      <c r="BO256" s="82"/>
      <c r="BP256" s="82"/>
      <c r="BQ256" s="82"/>
      <c r="BR256" s="82"/>
      <c r="BS256" s="82"/>
      <c r="BT256" s="82"/>
      <c r="BU256" s="82"/>
      <c r="BV256" s="82"/>
      <c r="BW256" s="82"/>
      <c r="BX256" s="82"/>
      <c r="BY256" s="82"/>
      <c r="BZ256" s="82"/>
      <c r="CA256" s="82"/>
      <c r="CB256" s="82"/>
      <c r="CC256" s="82"/>
      <c r="CD256" s="82"/>
      <c r="CE256" s="82"/>
      <c r="CF256" s="82"/>
      <c r="CG256" s="82"/>
      <c r="CH256" s="82"/>
      <c r="CI256" s="82"/>
      <c r="CJ256" s="82"/>
      <c r="CK256" s="82"/>
      <c r="CL256" s="82"/>
      <c r="CM256" s="82"/>
      <c r="CN256" s="82"/>
      <c r="CO256" s="82"/>
      <c r="CP256" s="82"/>
      <c r="CQ256" s="82"/>
      <c r="CR256" s="82"/>
      <c r="CS256" s="82"/>
      <c r="CT256" s="82"/>
      <c r="CU256" s="82"/>
      <c r="CV256" s="82"/>
      <c r="CW256" s="82"/>
      <c r="CX256" s="82"/>
      <c r="CY256" s="83"/>
      <c r="CZ256" s="82"/>
      <c r="DA256" s="82"/>
      <c r="DB256" s="82"/>
      <c r="DC256" s="82"/>
      <c r="DD256" s="82"/>
      <c r="DE256" s="82"/>
      <c r="DF256" s="82"/>
      <c r="DG256" s="82"/>
      <c r="DH256" s="82"/>
      <c r="DI256" s="82"/>
    </row>
    <row r="257" spans="1:113" outlineLevel="1">
      <c r="A257" s="1" t="s">
        <v>289</v>
      </c>
      <c r="B257" s="19" t="s">
        <v>589</v>
      </c>
      <c r="C257" s="55">
        <v>65085.831319145742</v>
      </c>
      <c r="D257" s="55">
        <v>70567.40158813227</v>
      </c>
      <c r="E257" s="55">
        <v>73324.076678514568</v>
      </c>
      <c r="F257" s="55">
        <v>78213.204060224292</v>
      </c>
      <c r="G257" s="55">
        <v>80361.504765839491</v>
      </c>
      <c r="H257" s="55">
        <v>84169.663005782422</v>
      </c>
      <c r="I257" s="55">
        <v>87725.969929872153</v>
      </c>
      <c r="J257" s="55">
        <v>87704.183444455834</v>
      </c>
      <c r="K257" s="55">
        <v>91350.307338341794</v>
      </c>
      <c r="L257" s="55">
        <v>90442.112235366672</v>
      </c>
      <c r="M257" s="55">
        <v>94196.228352570339</v>
      </c>
      <c r="N257" s="55">
        <v>100204.72613486671</v>
      </c>
      <c r="O257" s="55">
        <v>122327.56803171751</v>
      </c>
      <c r="P257" s="55">
        <v>133353.95552626642</v>
      </c>
      <c r="Q257" s="55">
        <v>135825.32935954715</v>
      </c>
      <c r="R257" s="55">
        <v>160956.86797280764</v>
      </c>
      <c r="S257" s="55">
        <v>177726.50971656799</v>
      </c>
      <c r="T257" s="55">
        <v>174425.46466327668</v>
      </c>
      <c r="U257" s="55">
        <v>177504.89615581167</v>
      </c>
      <c r="V257" s="55">
        <v>179477.5919077275</v>
      </c>
      <c r="W257" s="55">
        <v>184683.61316906798</v>
      </c>
      <c r="X257" s="55">
        <v>195438.48124972338</v>
      </c>
      <c r="Y257" s="55">
        <v>197448.67226514703</v>
      </c>
      <c r="Z257" s="55">
        <v>207427.68794921882</v>
      </c>
      <c r="AA257" s="55">
        <v>217621.5223546706</v>
      </c>
      <c r="AB257" s="55">
        <v>236695.5205815642</v>
      </c>
      <c r="AC257" s="55">
        <v>258409.04352237814</v>
      </c>
      <c r="AD257" s="55">
        <v>274778.14194291417</v>
      </c>
      <c r="AE257" s="55">
        <v>299189.75800611131</v>
      </c>
      <c r="AF257" s="55">
        <v>309993.44222553133</v>
      </c>
      <c r="AG257" s="55">
        <v>325892.83814513526</v>
      </c>
      <c r="AH257" s="55">
        <v>312231.96001400473</v>
      </c>
      <c r="AI257" s="55">
        <v>322420.21871734562</v>
      </c>
      <c r="AJ257" s="55">
        <v>329638.0135653051</v>
      </c>
      <c r="AK257" s="55">
        <v>328812.85318219382</v>
      </c>
      <c r="AL257" s="55">
        <v>334470.03195241047</v>
      </c>
      <c r="AM257" s="55">
        <v>335411.46608456498</v>
      </c>
      <c r="AN257" s="55">
        <v>367324.00185614219</v>
      </c>
      <c r="AO257" s="55">
        <v>386234.62996338512</v>
      </c>
      <c r="AP257" s="55">
        <v>464100.30270079721</v>
      </c>
      <c r="AQ257" s="55">
        <v>478738.03978790535</v>
      </c>
      <c r="AR257" s="55">
        <v>519962.07799833792</v>
      </c>
      <c r="AS257" s="55">
        <v>538449.00545441965</v>
      </c>
      <c r="AT257" s="55">
        <v>530451.31370228785</v>
      </c>
      <c r="AU257" s="55">
        <v>537860.23321010091</v>
      </c>
      <c r="AV257" s="55">
        <v>536776.11441256932</v>
      </c>
      <c r="AW257" s="56">
        <v>540823.61153260816</v>
      </c>
      <c r="AX257" s="55">
        <v>548965.74419058545</v>
      </c>
      <c r="AY257" s="55">
        <v>561002.03151156683</v>
      </c>
      <c r="AZ257" s="55">
        <v>574028.57910334552</v>
      </c>
      <c r="BA257" s="55">
        <v>586052.15014570963</v>
      </c>
      <c r="BB257" s="55">
        <v>596053.48338208476</v>
      </c>
      <c r="BC257" s="55">
        <v>606575.1555961055</v>
      </c>
      <c r="BD257" s="55">
        <v>617601.06654325582</v>
      </c>
      <c r="BE257" s="55">
        <v>628838.54256002267</v>
      </c>
      <c r="BF257" s="55">
        <v>640291.61102205294</v>
      </c>
      <c r="BG257" s="55">
        <v>651964.37977073109</v>
      </c>
      <c r="BH257" s="55">
        <v>663861.03863345913</v>
      </c>
      <c r="BI257" s="55">
        <v>675985.86097803887</v>
      </c>
      <c r="BJ257" s="55">
        <v>688343.20530162402</v>
      </c>
      <c r="BK257" s="55">
        <v>701210.36308257573</v>
      </c>
      <c r="BL257" s="55">
        <v>714598.0619666219</v>
      </c>
      <c r="BM257" s="55">
        <v>728244.440449644</v>
      </c>
      <c r="BN257" s="55">
        <v>742154.55108640343</v>
      </c>
      <c r="BO257" s="55">
        <v>756333.54613775166</v>
      </c>
      <c r="BP257" s="55">
        <v>770786.67955800251</v>
      </c>
      <c r="BQ257" s="55">
        <v>785519.30902230297</v>
      </c>
      <c r="BR257" s="55"/>
      <c r="BS257" s="55"/>
      <c r="BT257" s="55"/>
      <c r="BU257" s="55"/>
      <c r="BV257" s="55"/>
      <c r="BW257" s="55"/>
      <c r="BX257" s="55"/>
      <c r="BY257" s="55"/>
      <c r="BZ257" s="55"/>
      <c r="CA257" s="55"/>
      <c r="CB257" s="55"/>
      <c r="CC257" s="55">
        <v>71957.067935064726</v>
      </c>
      <c r="CD257" s="55">
        <v>79296.183046068661</v>
      </c>
      <c r="CE257" s="55">
        <v>85957.533153412238</v>
      </c>
      <c r="CF257" s="55">
        <v>89542.229462195595</v>
      </c>
      <c r="CG257" s="55">
        <v>92597.090598730574</v>
      </c>
      <c r="CH257" s="55">
        <v>117707.12085979272</v>
      </c>
      <c r="CI257" s="55">
        <v>135556.40077530179</v>
      </c>
      <c r="CJ257" s="55">
        <v>169416.21686026547</v>
      </c>
      <c r="CK257" s="55">
        <v>176983.5457236158</v>
      </c>
      <c r="CL257" s="55">
        <v>185932.27884163213</v>
      </c>
      <c r="CM257" s="55">
        <v>197093.52431264106</v>
      </c>
      <c r="CN257" s="55">
        <v>213721.64832881279</v>
      </c>
      <c r="CO257" s="55">
        <v>245955.53308647106</v>
      </c>
      <c r="CP257" s="55">
        <v>288186.27291664388</v>
      </c>
      <c r="CQ257" s="55">
        <v>318882.27778641967</v>
      </c>
      <c r="CR257" s="55">
        <v>317535.5</v>
      </c>
      <c r="CS257" s="55">
        <v>329211</v>
      </c>
      <c r="CT257" s="55">
        <v>334906</v>
      </c>
      <c r="CU257" s="55">
        <v>377725.5</v>
      </c>
      <c r="CV257" s="55">
        <v>471479.32632827089</v>
      </c>
      <c r="CW257" s="55">
        <v>529281.5154008558</v>
      </c>
      <c r="CX257" s="55">
        <v>534186.22107060999</v>
      </c>
      <c r="CY257" s="56">
        <v>538810.92170788941</v>
      </c>
      <c r="CZ257" s="55">
        <v>555033.35204554582</v>
      </c>
      <c r="DA257" s="55">
        <v>580089.77656031819</v>
      </c>
      <c r="DB257" s="55">
        <v>601357.55923791975</v>
      </c>
      <c r="DC257" s="55">
        <v>623250.50803802384</v>
      </c>
      <c r="DD257" s="55">
        <v>646175.96567892085</v>
      </c>
      <c r="DE257" s="55">
        <v>669973.27784278151</v>
      </c>
      <c r="DF257" s="55">
        <v>694829.66292270657</v>
      </c>
      <c r="DG257" s="55">
        <v>721458.536395245</v>
      </c>
      <c r="DH257" s="55">
        <v>749302.31845475442</v>
      </c>
      <c r="DI257" s="55">
        <v>778213.53934274567</v>
      </c>
    </row>
    <row r="258" spans="1:113" outlineLevel="1">
      <c r="A258" s="1" t="s">
        <v>290</v>
      </c>
      <c r="B258" s="19" t="s">
        <v>590</v>
      </c>
      <c r="C258" s="55">
        <v>50930.168680854258</v>
      </c>
      <c r="D258" s="55">
        <v>53393.598411867737</v>
      </c>
      <c r="E258" s="55">
        <v>55394.923321485418</v>
      </c>
      <c r="F258" s="55">
        <v>59085.795939775715</v>
      </c>
      <c r="G258" s="55">
        <v>58555.495234160509</v>
      </c>
      <c r="H258" s="55">
        <v>65661.336994217578</v>
      </c>
      <c r="I258" s="55">
        <v>75117.530070127847</v>
      </c>
      <c r="J258" s="55">
        <v>77179.816555544152</v>
      </c>
      <c r="K258" s="55">
        <v>77351.19266165822</v>
      </c>
      <c r="L258" s="55">
        <v>73514.387764633328</v>
      </c>
      <c r="M258" s="55">
        <v>76414.271647429647</v>
      </c>
      <c r="N258" s="55">
        <v>81690.773865133291</v>
      </c>
      <c r="O258" s="55">
        <v>91656.931968282486</v>
      </c>
      <c r="P258" s="55">
        <v>104030.54447373358</v>
      </c>
      <c r="Q258" s="55">
        <v>124821.17064045285</v>
      </c>
      <c r="R258" s="55">
        <v>164103.63202719236</v>
      </c>
      <c r="S258" s="55">
        <v>190555.99028343201</v>
      </c>
      <c r="T258" s="55">
        <v>201764.53533672332</v>
      </c>
      <c r="U258" s="55">
        <v>196579.10384418833</v>
      </c>
      <c r="V258" s="55">
        <v>208021.57936299077</v>
      </c>
      <c r="W258" s="55">
        <v>217516.386830932</v>
      </c>
      <c r="X258" s="55">
        <v>227366.01875027662</v>
      </c>
      <c r="Y258" s="55">
        <v>234000.82773485297</v>
      </c>
      <c r="Z258" s="55">
        <v>241898.31205078118</v>
      </c>
      <c r="AA258" s="55">
        <v>239565.4776453294</v>
      </c>
      <c r="AB258" s="55">
        <v>237288.9794184358</v>
      </c>
      <c r="AC258" s="55">
        <v>237761.95647762186</v>
      </c>
      <c r="AD258" s="55">
        <v>236762.35805708586</v>
      </c>
      <c r="AE258" s="55">
        <v>236263.24199388869</v>
      </c>
      <c r="AF258" s="55">
        <v>220221.55777446876</v>
      </c>
      <c r="AG258" s="55">
        <v>215636.16185486471</v>
      </c>
      <c r="AH258" s="55">
        <v>251865.53998599522</v>
      </c>
      <c r="AI258" s="55">
        <v>259709.78128265441</v>
      </c>
      <c r="AJ258" s="55">
        <v>254223.48643469487</v>
      </c>
      <c r="AK258" s="55">
        <v>255816.64681780618</v>
      </c>
      <c r="AL258" s="55">
        <v>257548.4680475895</v>
      </c>
      <c r="AM258" s="55">
        <v>257511.03391543508</v>
      </c>
      <c r="AN258" s="55">
        <v>242045.99814385781</v>
      </c>
      <c r="AO258" s="55">
        <v>255350.87003661491</v>
      </c>
      <c r="AP258" s="55">
        <v>212387.19729920279</v>
      </c>
      <c r="AQ258" s="55">
        <v>218610.46021209462</v>
      </c>
      <c r="AR258" s="55">
        <v>211914.42200166208</v>
      </c>
      <c r="AS258" s="55">
        <v>224667.49454558024</v>
      </c>
      <c r="AT258" s="55">
        <v>257435.68629771218</v>
      </c>
      <c r="AU258" s="55">
        <v>262463.26678989909</v>
      </c>
      <c r="AV258" s="55">
        <v>262642.38558743073</v>
      </c>
      <c r="AW258" s="56">
        <v>264886.88846739184</v>
      </c>
      <c r="AX258" s="55">
        <v>269889.96409189032</v>
      </c>
      <c r="AY258" s="55">
        <v>274611.45737347403</v>
      </c>
      <c r="AZ258" s="55">
        <v>278562.71865489346</v>
      </c>
      <c r="BA258" s="55">
        <v>282160.06359899667</v>
      </c>
      <c r="BB258" s="55">
        <v>285330.52430260973</v>
      </c>
      <c r="BC258" s="55">
        <v>289262.48749011022</v>
      </c>
      <c r="BD258" s="55">
        <v>293920.03026663972</v>
      </c>
      <c r="BE258" s="55">
        <v>298666.34284796659</v>
      </c>
      <c r="BF258" s="55">
        <v>303503.00150027795</v>
      </c>
      <c r="BG258" s="55">
        <v>308431.61561407807</v>
      </c>
      <c r="BH258" s="55">
        <v>313453.82822711504</v>
      </c>
      <c r="BI258" s="55">
        <v>318571.31656385201</v>
      </c>
      <c r="BJ258" s="55">
        <v>323785.79259144823</v>
      </c>
      <c r="BK258" s="55">
        <v>329574.24607455672</v>
      </c>
      <c r="BL258" s="55">
        <v>335949.44879760477</v>
      </c>
      <c r="BM258" s="55">
        <v>342449.26455899602</v>
      </c>
      <c r="BN258" s="55">
        <v>349076.15164999099</v>
      </c>
      <c r="BO258" s="55">
        <v>355832.6172746821</v>
      </c>
      <c r="BP258" s="55">
        <v>362721.21853120642</v>
      </c>
      <c r="BQ258" s="55">
        <v>369744.5634127974</v>
      </c>
      <c r="BR258" s="55"/>
      <c r="BS258" s="55"/>
      <c r="BT258" s="55"/>
      <c r="BU258" s="55"/>
      <c r="BV258" s="55"/>
      <c r="BW258" s="55"/>
      <c r="BX258" s="55"/>
      <c r="BY258" s="55"/>
      <c r="BZ258" s="55"/>
      <c r="CA258" s="55"/>
      <c r="CB258" s="55"/>
      <c r="CC258" s="55">
        <v>54402.485489592807</v>
      </c>
      <c r="CD258" s="55">
        <v>58818.466268999829</v>
      </c>
      <c r="CE258" s="55">
        <v>70415.270125276293</v>
      </c>
      <c r="CF258" s="55">
        <v>77266.208893968782</v>
      </c>
      <c r="CG258" s="55">
        <v>74477.909401269411</v>
      </c>
      <c r="CH258" s="55">
        <v>87240.879140207282</v>
      </c>
      <c r="CI258" s="55">
        <v>113406.59922469821</v>
      </c>
      <c r="CJ258" s="55">
        <v>176413.78313973453</v>
      </c>
      <c r="CK258" s="55">
        <v>198285.4542763842</v>
      </c>
      <c r="CL258" s="55">
        <v>208977.72115836787</v>
      </c>
      <c r="CM258" s="55">
        <v>229913.47568735894</v>
      </c>
      <c r="CN258" s="55">
        <v>239344.35167118721</v>
      </c>
      <c r="CO258" s="55">
        <v>238943.96691352894</v>
      </c>
      <c r="CP258" s="55">
        <v>234698.22708335609</v>
      </c>
      <c r="CQ258" s="55">
        <v>221974.72221358039</v>
      </c>
      <c r="CR258" s="55">
        <v>255962</v>
      </c>
      <c r="CS258" s="55">
        <v>254985</v>
      </c>
      <c r="CT258" s="55">
        <v>257586</v>
      </c>
      <c r="CU258" s="55">
        <v>249267</v>
      </c>
      <c r="CV258" s="55">
        <v>215524.40380871537</v>
      </c>
      <c r="CW258" s="55">
        <v>218343.36816078794</v>
      </c>
      <c r="CX258" s="55">
        <v>259970.13783349958</v>
      </c>
      <c r="CY258" s="56">
        <v>263770.76954894123</v>
      </c>
      <c r="CZ258" s="55">
        <v>272270.1141297298</v>
      </c>
      <c r="DA258" s="55">
        <v>280376.17473630438</v>
      </c>
      <c r="DB258" s="55">
        <v>287312.66464918532</v>
      </c>
      <c r="DC258" s="55">
        <v>296306.15462446527</v>
      </c>
      <c r="DD258" s="55">
        <v>305987.56313572789</v>
      </c>
      <c r="DE258" s="55">
        <v>316033.60316947009</v>
      </c>
      <c r="DF258" s="55">
        <v>326703.80749800155</v>
      </c>
      <c r="DG258" s="55">
        <v>339217.11573775776</v>
      </c>
      <c r="DH258" s="55">
        <v>352482.15075942432</v>
      </c>
      <c r="DI258" s="55">
        <v>366261.75403315912</v>
      </c>
    </row>
    <row r="259" spans="1:113" s="24" customFormat="1" outlineLevel="1">
      <c r="A259" s="1" t="s">
        <v>291</v>
      </c>
      <c r="B259" s="24" t="s">
        <v>168</v>
      </c>
      <c r="C259" s="82">
        <v>116016</v>
      </c>
      <c r="D259" s="82">
        <v>123961</v>
      </c>
      <c r="E259" s="82">
        <v>128718.99999999999</v>
      </c>
      <c r="F259" s="82">
        <v>137299</v>
      </c>
      <c r="G259" s="82">
        <v>138917</v>
      </c>
      <c r="H259" s="82">
        <v>149831</v>
      </c>
      <c r="I259" s="82">
        <v>162843.5</v>
      </c>
      <c r="J259" s="82">
        <v>164884</v>
      </c>
      <c r="K259" s="82">
        <v>168701.5</v>
      </c>
      <c r="L259" s="82">
        <v>163956.5</v>
      </c>
      <c r="M259" s="82">
        <v>170610.5</v>
      </c>
      <c r="N259" s="82">
        <v>181895.5</v>
      </c>
      <c r="O259" s="82">
        <v>213984.5</v>
      </c>
      <c r="P259" s="82">
        <v>237384.5</v>
      </c>
      <c r="Q259" s="82">
        <v>260646.5</v>
      </c>
      <c r="R259" s="82">
        <v>325060.5</v>
      </c>
      <c r="S259" s="82">
        <v>368282.5</v>
      </c>
      <c r="T259" s="82">
        <v>376190</v>
      </c>
      <c r="U259" s="82">
        <v>374084</v>
      </c>
      <c r="V259" s="82">
        <v>387499.17127071827</v>
      </c>
      <c r="W259" s="82">
        <v>402200</v>
      </c>
      <c r="X259" s="82">
        <v>422804.5</v>
      </c>
      <c r="Y259" s="82">
        <v>431449.5</v>
      </c>
      <c r="Z259" s="82">
        <v>449326</v>
      </c>
      <c r="AA259" s="82">
        <v>457187</v>
      </c>
      <c r="AB259" s="82">
        <v>473984.5</v>
      </c>
      <c r="AC259" s="82">
        <v>496171</v>
      </c>
      <c r="AD259" s="82">
        <v>511540.5</v>
      </c>
      <c r="AE259" s="82">
        <v>535453</v>
      </c>
      <c r="AF259" s="82">
        <v>530215.00000000012</v>
      </c>
      <c r="AG259" s="82">
        <v>541529</v>
      </c>
      <c r="AH259" s="82">
        <v>564097.5</v>
      </c>
      <c r="AI259" s="82">
        <v>582130</v>
      </c>
      <c r="AJ259" s="82">
        <v>583861.5</v>
      </c>
      <c r="AK259" s="82">
        <v>584629.5</v>
      </c>
      <c r="AL259" s="82">
        <v>592018.5</v>
      </c>
      <c r="AM259" s="82">
        <v>592922.5</v>
      </c>
      <c r="AN259" s="82">
        <v>609370</v>
      </c>
      <c r="AO259" s="82">
        <v>641585.5</v>
      </c>
      <c r="AP259" s="82">
        <v>676487.5</v>
      </c>
      <c r="AQ259" s="82">
        <v>697348.5</v>
      </c>
      <c r="AR259" s="82">
        <v>731876.5</v>
      </c>
      <c r="AS259" s="82">
        <v>763116.49999999988</v>
      </c>
      <c r="AT259" s="82">
        <v>787887</v>
      </c>
      <c r="AU259" s="82">
        <v>800323.5</v>
      </c>
      <c r="AV259" s="82">
        <v>799418.5</v>
      </c>
      <c r="AW259" s="83">
        <v>805710.5</v>
      </c>
      <c r="AX259" s="82">
        <v>818855.70828247583</v>
      </c>
      <c r="AY259" s="82">
        <v>835613.48888504086</v>
      </c>
      <c r="AZ259" s="82">
        <v>852591.29775823897</v>
      </c>
      <c r="BA259" s="82">
        <v>868212.21374470624</v>
      </c>
      <c r="BB259" s="82">
        <v>881384.00768469449</v>
      </c>
      <c r="BC259" s="82">
        <v>895837.64308621571</v>
      </c>
      <c r="BD259" s="82">
        <v>911521.09680989548</v>
      </c>
      <c r="BE259" s="82">
        <v>927504.88540798926</v>
      </c>
      <c r="BF259" s="82">
        <v>943794.61252233083</v>
      </c>
      <c r="BG259" s="82">
        <v>960395.9953848091</v>
      </c>
      <c r="BH259" s="82">
        <v>977314.86686057411</v>
      </c>
      <c r="BI259" s="82">
        <v>994557.17754189088</v>
      </c>
      <c r="BJ259" s="82">
        <v>1012128.9978930722</v>
      </c>
      <c r="BK259" s="82">
        <v>1030784.6091571325</v>
      </c>
      <c r="BL259" s="82">
        <v>1050547.5107642268</v>
      </c>
      <c r="BM259" s="82">
        <v>1070693.70500864</v>
      </c>
      <c r="BN259" s="82">
        <v>1091230.7027363945</v>
      </c>
      <c r="BO259" s="82">
        <v>1112166.1634124338</v>
      </c>
      <c r="BP259" s="82">
        <v>1133507.8980892089</v>
      </c>
      <c r="BQ259" s="82">
        <v>1155263.8724351004</v>
      </c>
      <c r="BR259" s="82"/>
      <c r="BS259" s="82">
        <v>53291.1</v>
      </c>
      <c r="BT259" s="82">
        <v>58739.700000000012</v>
      </c>
      <c r="BU259" s="82">
        <v>61148.800000000003</v>
      </c>
      <c r="BV259" s="82">
        <v>62307</v>
      </c>
      <c r="BW259" s="82">
        <v>65647</v>
      </c>
      <c r="BX259" s="82">
        <v>74173</v>
      </c>
      <c r="BY259" s="82">
        <v>80041</v>
      </c>
      <c r="BZ259" s="82">
        <v>89775</v>
      </c>
      <c r="CA259" s="82">
        <v>98492</v>
      </c>
      <c r="CB259" s="82">
        <v>114336</v>
      </c>
      <c r="CC259" s="82">
        <v>126359.55342465751</v>
      </c>
      <c r="CD259" s="82">
        <v>138114.6493150685</v>
      </c>
      <c r="CE259" s="82">
        <v>156372.80327868855</v>
      </c>
      <c r="CF259" s="82">
        <v>166808.43835616438</v>
      </c>
      <c r="CG259" s="82">
        <v>167075</v>
      </c>
      <c r="CH259" s="82">
        <v>204948</v>
      </c>
      <c r="CI259" s="82">
        <v>248963</v>
      </c>
      <c r="CJ259" s="82">
        <v>345830</v>
      </c>
      <c r="CK259" s="82">
        <v>375269</v>
      </c>
      <c r="CL259" s="82">
        <v>394910</v>
      </c>
      <c r="CM259" s="82">
        <v>427007</v>
      </c>
      <c r="CN259" s="82">
        <v>453066</v>
      </c>
      <c r="CO259" s="82">
        <v>484899.5</v>
      </c>
      <c r="CP259" s="82">
        <v>522884.5</v>
      </c>
      <c r="CQ259" s="82">
        <v>540857</v>
      </c>
      <c r="CR259" s="82">
        <v>573497.5</v>
      </c>
      <c r="CS259" s="82">
        <v>584196</v>
      </c>
      <c r="CT259" s="82">
        <v>592492</v>
      </c>
      <c r="CU259" s="82">
        <v>626992.5</v>
      </c>
      <c r="CV259" s="82">
        <v>687003.73013698636</v>
      </c>
      <c r="CW259" s="82">
        <v>747624.88356164377</v>
      </c>
      <c r="CX259" s="82">
        <v>794156.35890410957</v>
      </c>
      <c r="CY259" s="83">
        <v>802581.69125683059</v>
      </c>
      <c r="CZ259" s="82">
        <v>827303.46617527574</v>
      </c>
      <c r="DA259" s="82">
        <v>860465.9512966224</v>
      </c>
      <c r="DB259" s="82">
        <v>888670.22388710524</v>
      </c>
      <c r="DC259" s="82">
        <v>919556.66266248911</v>
      </c>
      <c r="DD259" s="82">
        <v>952163.52881464874</v>
      </c>
      <c r="DE259" s="82">
        <v>986006.88101225172</v>
      </c>
      <c r="DF259" s="82">
        <v>1021533.4704207081</v>
      </c>
      <c r="DG259" s="82">
        <v>1060675.6521330029</v>
      </c>
      <c r="DH259" s="82">
        <v>1101784.4692141786</v>
      </c>
      <c r="DI259" s="82">
        <v>1144475.2933759051</v>
      </c>
    </row>
    <row r="260" spans="1:113" outlineLevel="1">
      <c r="A260" s="1" t="s">
        <v>921</v>
      </c>
      <c r="B260" s="19" t="s">
        <v>277</v>
      </c>
      <c r="C260" s="53">
        <v>39458</v>
      </c>
      <c r="D260" s="53">
        <v>37131</v>
      </c>
      <c r="E260" s="53">
        <v>36691.000000000015</v>
      </c>
      <c r="F260" s="53">
        <v>39711</v>
      </c>
      <c r="G260" s="53">
        <v>44194</v>
      </c>
      <c r="H260" s="53">
        <v>45124</v>
      </c>
      <c r="I260" s="53">
        <v>50306</v>
      </c>
      <c r="J260" s="53">
        <v>71534</v>
      </c>
      <c r="K260" s="53">
        <v>79785</v>
      </c>
      <c r="L260" s="53">
        <v>101578</v>
      </c>
      <c r="M260" s="53">
        <v>111653</v>
      </c>
      <c r="N260" s="53">
        <v>124118</v>
      </c>
      <c r="O260" s="53">
        <v>131759</v>
      </c>
      <c r="P260" s="53">
        <v>134665</v>
      </c>
      <c r="Q260" s="53">
        <v>136014</v>
      </c>
      <c r="R260" s="53">
        <v>167195</v>
      </c>
      <c r="S260" s="53">
        <v>151997</v>
      </c>
      <c r="T260" s="53">
        <v>156398</v>
      </c>
      <c r="U260" s="53">
        <v>173143</v>
      </c>
      <c r="V260" s="53">
        <v>178067.94475138126</v>
      </c>
      <c r="W260" s="53">
        <v>168463</v>
      </c>
      <c r="X260" s="53">
        <v>172071</v>
      </c>
      <c r="Y260" s="53">
        <v>173804</v>
      </c>
      <c r="Z260" s="53">
        <v>165942</v>
      </c>
      <c r="AA260" s="164">
        <v>167287</v>
      </c>
      <c r="AB260" s="164">
        <v>185382</v>
      </c>
      <c r="AC260" s="164">
        <v>191762</v>
      </c>
      <c r="AD260" s="164">
        <v>196515</v>
      </c>
      <c r="AE260" s="164">
        <v>211721</v>
      </c>
      <c r="AF260" s="164">
        <v>223096.99999999988</v>
      </c>
      <c r="AG260" s="164">
        <v>216472</v>
      </c>
      <c r="AH260" s="164">
        <v>223266</v>
      </c>
      <c r="AI260" s="164">
        <v>225678</v>
      </c>
      <c r="AJ260" s="164">
        <v>235088</v>
      </c>
      <c r="AK260" s="164">
        <v>241419</v>
      </c>
      <c r="AL260" s="164">
        <v>224529</v>
      </c>
      <c r="AM260" s="164">
        <v>217522.5</v>
      </c>
      <c r="AN260" s="164">
        <v>212280</v>
      </c>
      <c r="AO260" s="164">
        <v>209225</v>
      </c>
      <c r="AP260" s="164">
        <v>185305</v>
      </c>
      <c r="AQ260" s="164">
        <v>183772</v>
      </c>
      <c r="AR260" s="164">
        <v>220890</v>
      </c>
      <c r="AS260" s="164">
        <v>232648.00000000012</v>
      </c>
      <c r="AT260" s="164">
        <v>252055</v>
      </c>
      <c r="AU260" s="164">
        <v>261092</v>
      </c>
      <c r="AV260" s="164">
        <v>281182</v>
      </c>
      <c r="AW260" s="171">
        <v>284002</v>
      </c>
      <c r="AX260" s="55">
        <v>295544.97064670967</v>
      </c>
      <c r="AY260" s="55">
        <v>302286.68645274034</v>
      </c>
      <c r="AZ260" s="55">
        <v>309691.03572813526</v>
      </c>
      <c r="BA260" s="55">
        <v>315527.12043225253</v>
      </c>
      <c r="BB260" s="55">
        <v>320667.75681665295</v>
      </c>
      <c r="BC260" s="55">
        <v>325554.44397130399</v>
      </c>
      <c r="BD260" s="55">
        <v>331626.23422766663</v>
      </c>
      <c r="BE260" s="55">
        <v>337082.59873432072</v>
      </c>
      <c r="BF260" s="55">
        <v>343241.02414073911</v>
      </c>
      <c r="BG260" s="55">
        <v>348815.36666148761</v>
      </c>
      <c r="BH260" s="55">
        <v>355166.49355856329</v>
      </c>
      <c r="BI260" s="55">
        <v>361039.412238013</v>
      </c>
      <c r="BJ260" s="55">
        <v>367562.2619115829</v>
      </c>
      <c r="BK260" s="55">
        <v>374367.69531519432</v>
      </c>
      <c r="BL260" s="55">
        <v>382445.68860670482</v>
      </c>
      <c r="BM260" s="55">
        <v>390302.08443265338</v>
      </c>
      <c r="BN260" s="55">
        <v>398056.9251896427</v>
      </c>
      <c r="BO260" s="55">
        <v>405727.99050409487</v>
      </c>
      <c r="BP260" s="55">
        <v>414133.50567194424</v>
      </c>
      <c r="BQ260" s="55">
        <v>422100.99332234543</v>
      </c>
      <c r="BR260" s="55"/>
      <c r="BS260" s="53">
        <v>13957.799999999996</v>
      </c>
      <c r="BT260" s="53">
        <v>9813.8999999999942</v>
      </c>
      <c r="BU260" s="53">
        <v>9253</v>
      </c>
      <c r="BV260" s="53">
        <v>10830</v>
      </c>
      <c r="BW260" s="53">
        <v>12912</v>
      </c>
      <c r="BX260" s="53">
        <v>14742</v>
      </c>
      <c r="BY260" s="53">
        <v>15405</v>
      </c>
      <c r="BZ260" s="53">
        <v>17383</v>
      </c>
      <c r="CA260" s="53">
        <v>23353</v>
      </c>
      <c r="CB260" s="53">
        <v>38284</v>
      </c>
      <c r="CC260" s="55">
        <v>36909.19178082193</v>
      </c>
      <c r="CD260" s="55">
        <v>41970.923287671234</v>
      </c>
      <c r="CE260" s="55">
        <v>47729.15846994536</v>
      </c>
      <c r="CF260" s="55">
        <v>75693.408219178091</v>
      </c>
      <c r="CG260" s="164">
        <v>106574</v>
      </c>
      <c r="CH260" s="164">
        <v>127908</v>
      </c>
      <c r="CI260" s="164">
        <v>135336</v>
      </c>
      <c r="CJ260" s="164">
        <v>159658</v>
      </c>
      <c r="CK260" s="164">
        <v>164701</v>
      </c>
      <c r="CL260" s="164">
        <v>173226</v>
      </c>
      <c r="CM260" s="164">
        <v>172932</v>
      </c>
      <c r="CN260" s="164">
        <v>166608</v>
      </c>
      <c r="CO260" s="164">
        <v>188547</v>
      </c>
      <c r="CP260" s="164">
        <v>203440.5</v>
      </c>
      <c r="CQ260" s="164">
        <v>219802</v>
      </c>
      <c r="CR260" s="164">
        <v>224462</v>
      </c>
      <c r="CS260" s="164">
        <v>238228</v>
      </c>
      <c r="CT260" s="164">
        <v>221213</v>
      </c>
      <c r="CU260" s="164">
        <v>210761</v>
      </c>
      <c r="CV260" s="164">
        <v>185631.26986301364</v>
      </c>
      <c r="CW260" s="164">
        <v>223156.11643835623</v>
      </c>
      <c r="CX260" s="164">
        <v>256238.14109589043</v>
      </c>
      <c r="CY260" s="171">
        <v>280295.80874316941</v>
      </c>
      <c r="CZ260" s="55">
        <v>298943.53423111967</v>
      </c>
      <c r="DA260" s="55">
        <v>312633.06198993686</v>
      </c>
      <c r="DB260" s="55">
        <v>323131.18266995653</v>
      </c>
      <c r="DC260" s="55">
        <v>334369.32458073861</v>
      </c>
      <c r="DD260" s="55">
        <v>346051.10365804791</v>
      </c>
      <c r="DE260" s="55">
        <v>358127.08818053245</v>
      </c>
      <c r="DF260" s="55">
        <v>370992.946147924</v>
      </c>
      <c r="DG260" s="55">
        <v>386395.35208204511</v>
      </c>
      <c r="DH260" s="55">
        <v>401923.98277281859</v>
      </c>
      <c r="DI260" s="55">
        <v>418149.99259707797</v>
      </c>
    </row>
    <row r="261" spans="1:113" outlineLevel="1">
      <c r="A261" s="1" t="s">
        <v>922</v>
      </c>
      <c r="B261" s="19" t="s">
        <v>278</v>
      </c>
      <c r="C261" s="55">
        <v>7889</v>
      </c>
      <c r="D261" s="55">
        <v>7130</v>
      </c>
      <c r="E261" s="55">
        <v>7674</v>
      </c>
      <c r="F261" s="55">
        <v>6665</v>
      </c>
      <c r="G261" s="55">
        <v>9831</v>
      </c>
      <c r="H261" s="55">
        <v>9368</v>
      </c>
      <c r="I261" s="55">
        <v>11010.5</v>
      </c>
      <c r="J261" s="55">
        <v>9959</v>
      </c>
      <c r="K261" s="55">
        <v>11802.5</v>
      </c>
      <c r="L261" s="55">
        <v>11647.5</v>
      </c>
      <c r="M261" s="55">
        <v>12064.5</v>
      </c>
      <c r="N261" s="55">
        <v>12501.5</v>
      </c>
      <c r="O261" s="55">
        <v>12939.5</v>
      </c>
      <c r="P261" s="55">
        <v>13174.5</v>
      </c>
      <c r="Q261" s="55">
        <v>16455.5</v>
      </c>
      <c r="R261" s="55">
        <v>20281.5</v>
      </c>
      <c r="S261" s="55">
        <v>19999.5</v>
      </c>
      <c r="T261" s="55">
        <v>26571</v>
      </c>
      <c r="U261" s="55">
        <v>23111</v>
      </c>
      <c r="V261" s="55">
        <v>28589.911602209875</v>
      </c>
      <c r="W261" s="55">
        <v>29939</v>
      </c>
      <c r="X261" s="55">
        <v>28022.5</v>
      </c>
      <c r="Y261" s="55">
        <v>31293.5</v>
      </c>
      <c r="Z261" s="55">
        <v>34126</v>
      </c>
      <c r="AA261" s="55">
        <v>33477</v>
      </c>
      <c r="AB261" s="55">
        <v>30739.5</v>
      </c>
      <c r="AC261" s="55">
        <v>32956</v>
      </c>
      <c r="AD261" s="55">
        <v>31216.5</v>
      </c>
      <c r="AE261" s="55">
        <v>25573</v>
      </c>
      <c r="AF261" s="55">
        <v>27609</v>
      </c>
      <c r="AG261" s="55">
        <v>42378</v>
      </c>
      <c r="AH261" s="55">
        <v>35694.5</v>
      </c>
      <c r="AI261" s="55">
        <v>38811</v>
      </c>
      <c r="AJ261" s="55">
        <v>32572.5</v>
      </c>
      <c r="AK261" s="55">
        <v>31001.5</v>
      </c>
      <c r="AL261" s="55">
        <v>54356.224888737663</v>
      </c>
      <c r="AM261" s="55">
        <v>61495.342171831173</v>
      </c>
      <c r="AN261" s="55">
        <v>60200</v>
      </c>
      <c r="AO261" s="55">
        <v>62328.5</v>
      </c>
      <c r="AP261" s="55">
        <v>61131.5</v>
      </c>
      <c r="AQ261" s="55">
        <v>55762.5</v>
      </c>
      <c r="AR261" s="55">
        <v>55303.5</v>
      </c>
      <c r="AS261" s="55">
        <v>50297.5</v>
      </c>
      <c r="AT261" s="55">
        <v>60085</v>
      </c>
      <c r="AU261" s="55">
        <v>61251.5</v>
      </c>
      <c r="AV261" s="55">
        <v>60092.5</v>
      </c>
      <c r="AW261" s="56">
        <v>58349.5</v>
      </c>
      <c r="AX261" s="55">
        <v>58624.343017009422</v>
      </c>
      <c r="AY261" s="55">
        <v>59370.28433387063</v>
      </c>
      <c r="AZ261" s="55">
        <v>59679.849294865366</v>
      </c>
      <c r="BA261" s="55">
        <v>60682.759613713344</v>
      </c>
      <c r="BB261" s="55">
        <v>61050.155174345578</v>
      </c>
      <c r="BC261" s="55">
        <v>62250.798009333441</v>
      </c>
      <c r="BD261" s="55">
        <v>62818.869089425018</v>
      </c>
      <c r="BE261" s="55">
        <v>64129.243006179109</v>
      </c>
      <c r="BF261" s="55">
        <v>64866.770291414257</v>
      </c>
      <c r="BG261" s="55">
        <v>66319.979671652371</v>
      </c>
      <c r="BH261" s="55">
        <v>67130.437418776084</v>
      </c>
      <c r="BI261" s="55">
        <v>68555.619108306186</v>
      </c>
      <c r="BJ261" s="55">
        <v>69469.918834694123</v>
      </c>
      <c r="BK261" s="55">
        <v>70640.906436492412</v>
      </c>
      <c r="BL261" s="55">
        <v>71090.26222142973</v>
      </c>
      <c r="BM261" s="55">
        <v>71926.458133766282</v>
      </c>
      <c r="BN261" s="55">
        <v>73032.686125298977</v>
      </c>
      <c r="BO261" s="55">
        <v>74394.464827987162</v>
      </c>
      <c r="BP261" s="55">
        <v>75196.932388770205</v>
      </c>
      <c r="BQ261" s="55">
        <v>76615.996106026534</v>
      </c>
      <c r="BR261" s="55"/>
      <c r="BS261" s="55">
        <v>4620.5</v>
      </c>
      <c r="BT261" s="55">
        <v>3789.5</v>
      </c>
      <c r="BU261" s="55">
        <v>4331.5</v>
      </c>
      <c r="BV261" s="55">
        <v>5324</v>
      </c>
      <c r="BW261" s="55">
        <v>7236</v>
      </c>
      <c r="BX261" s="55">
        <v>7248</v>
      </c>
      <c r="BY261" s="55">
        <v>6719</v>
      </c>
      <c r="BZ261" s="55">
        <v>7113</v>
      </c>
      <c r="CA261" s="55">
        <v>7318</v>
      </c>
      <c r="CB261" s="55">
        <v>7987</v>
      </c>
      <c r="CC261" s="55">
        <v>7404.2356164383564</v>
      </c>
      <c r="CD261" s="55">
        <v>8261.0109589041094</v>
      </c>
      <c r="CE261" s="55">
        <v>10193.737704918034</v>
      </c>
      <c r="CF261" s="55">
        <v>10888.326027397259</v>
      </c>
      <c r="CG261" s="55">
        <v>12036</v>
      </c>
      <c r="CH261" s="55">
        <v>12980</v>
      </c>
      <c r="CI261" s="55">
        <v>14795</v>
      </c>
      <c r="CJ261" s="55">
        <v>20806</v>
      </c>
      <c r="CK261" s="55">
        <v>24732</v>
      </c>
      <c r="CL261" s="55">
        <v>29270</v>
      </c>
      <c r="CM261" s="55">
        <v>29746</v>
      </c>
      <c r="CN261" s="55">
        <v>33963</v>
      </c>
      <c r="CO261" s="55">
        <v>31924.5</v>
      </c>
      <c r="CP261" s="55">
        <v>29547</v>
      </c>
      <c r="CQ261" s="55">
        <v>29937</v>
      </c>
      <c r="CR261" s="55">
        <v>36781.5</v>
      </c>
      <c r="CS261" s="55">
        <v>31840</v>
      </c>
      <c r="CT261" s="55">
        <v>57713</v>
      </c>
      <c r="CU261" s="55">
        <v>59655.5</v>
      </c>
      <c r="CV261" s="55">
        <v>58424.935616438357</v>
      </c>
      <c r="CW261" s="55">
        <v>52779.927397260275</v>
      </c>
      <c r="CX261" s="55">
        <v>60673.043835616438</v>
      </c>
      <c r="CY261" s="56">
        <v>59216.237704918036</v>
      </c>
      <c r="CZ261" s="55">
        <v>59000.379187701103</v>
      </c>
      <c r="DA261" s="55">
        <v>60185.426003544897</v>
      </c>
      <c r="DB261" s="55">
        <v>61655.410740476451</v>
      </c>
      <c r="DC261" s="55">
        <v>63477.63630440522</v>
      </c>
      <c r="DD261" s="55">
        <v>65599.347074876743</v>
      </c>
      <c r="DE261" s="55">
        <v>67848.88517459399</v>
      </c>
      <c r="DF261" s="55">
        <v>70060.224913408863</v>
      </c>
      <c r="DG261" s="55">
        <v>71510.644865883092</v>
      </c>
      <c r="DH261" s="55">
        <v>73719.171827476035</v>
      </c>
      <c r="DI261" s="55">
        <v>75912.296016099412</v>
      </c>
    </row>
    <row r="262" spans="1:113" s="24" customFormat="1" outlineLevel="1">
      <c r="A262" s="1" t="s">
        <v>923</v>
      </c>
      <c r="B262" s="24" t="s">
        <v>579</v>
      </c>
      <c r="C262" s="82">
        <v>163363</v>
      </c>
      <c r="D262" s="82">
        <v>168222</v>
      </c>
      <c r="E262" s="82">
        <v>173084</v>
      </c>
      <c r="F262" s="82">
        <v>183675</v>
      </c>
      <c r="G262" s="82">
        <v>192942</v>
      </c>
      <c r="H262" s="82">
        <v>204323</v>
      </c>
      <c r="I262" s="82">
        <v>224160</v>
      </c>
      <c r="J262" s="82">
        <v>246377</v>
      </c>
      <c r="K262" s="82">
        <v>260289</v>
      </c>
      <c r="L262" s="82">
        <v>277182</v>
      </c>
      <c r="M262" s="82">
        <v>294328</v>
      </c>
      <c r="N262" s="82">
        <v>318515</v>
      </c>
      <c r="O262" s="82">
        <v>358683</v>
      </c>
      <c r="P262" s="82">
        <v>385224</v>
      </c>
      <c r="Q262" s="82">
        <v>413116</v>
      </c>
      <c r="R262" s="82">
        <v>512537</v>
      </c>
      <c r="S262" s="82">
        <v>540279</v>
      </c>
      <c r="T262" s="82">
        <v>559159</v>
      </c>
      <c r="U262" s="82">
        <v>570338</v>
      </c>
      <c r="V262" s="82">
        <v>594157.02762430941</v>
      </c>
      <c r="W262" s="82">
        <v>600602</v>
      </c>
      <c r="X262" s="82">
        <v>622898</v>
      </c>
      <c r="Y262" s="82">
        <v>636547</v>
      </c>
      <c r="Z262" s="82">
        <v>649394</v>
      </c>
      <c r="AA262" s="82">
        <v>657951</v>
      </c>
      <c r="AB262" s="82">
        <v>690106</v>
      </c>
      <c r="AC262" s="82">
        <v>720889</v>
      </c>
      <c r="AD262" s="82">
        <v>739272</v>
      </c>
      <c r="AE262" s="82">
        <v>772747</v>
      </c>
      <c r="AF262" s="82">
        <v>780921</v>
      </c>
      <c r="AG262" s="82">
        <v>800379</v>
      </c>
      <c r="AH262" s="82">
        <v>823058</v>
      </c>
      <c r="AI262" s="82">
        <v>846619</v>
      </c>
      <c r="AJ262" s="82">
        <v>851522</v>
      </c>
      <c r="AK262" s="82">
        <v>857050</v>
      </c>
      <c r="AL262" s="82">
        <v>870903.72488873766</v>
      </c>
      <c r="AM262" s="82">
        <v>871940.34217183117</v>
      </c>
      <c r="AN262" s="82">
        <v>881850</v>
      </c>
      <c r="AO262" s="82">
        <v>913139</v>
      </c>
      <c r="AP262" s="82">
        <v>922924</v>
      </c>
      <c r="AQ262" s="82">
        <v>936883</v>
      </c>
      <c r="AR262" s="82">
        <v>1008070</v>
      </c>
      <c r="AS262" s="82">
        <v>1046062</v>
      </c>
      <c r="AT262" s="82">
        <v>1100027</v>
      </c>
      <c r="AU262" s="82">
        <v>1122667</v>
      </c>
      <c r="AV262" s="82">
        <v>1140693</v>
      </c>
      <c r="AW262" s="83">
        <v>1148062</v>
      </c>
      <c r="AX262" s="82">
        <v>1173025.0219461948</v>
      </c>
      <c r="AY262" s="82">
        <v>1197270.4596716519</v>
      </c>
      <c r="AZ262" s="82">
        <v>1221962.1827812395</v>
      </c>
      <c r="BA262" s="82">
        <v>1244422.093790672</v>
      </c>
      <c r="BB262" s="82">
        <v>1263101.9196756929</v>
      </c>
      <c r="BC262" s="82">
        <v>1283642.8850668531</v>
      </c>
      <c r="BD262" s="82">
        <v>1305966.2001269872</v>
      </c>
      <c r="BE262" s="82">
        <v>1328716.7271484891</v>
      </c>
      <c r="BF262" s="82">
        <v>1351902.4069544843</v>
      </c>
      <c r="BG262" s="82">
        <v>1375531.3417179491</v>
      </c>
      <c r="BH262" s="82">
        <v>1399611.7978379135</v>
      </c>
      <c r="BI262" s="82">
        <v>1424152.2088882101</v>
      </c>
      <c r="BJ262" s="82">
        <v>1449161.1786393493</v>
      </c>
      <c r="BK262" s="82">
        <v>1475793.2109088192</v>
      </c>
      <c r="BL262" s="82">
        <v>1504083.4615923613</v>
      </c>
      <c r="BM262" s="82">
        <v>1532922.2475750595</v>
      </c>
      <c r="BN262" s="82">
        <v>1562320.3140513361</v>
      </c>
      <c r="BO262" s="82">
        <v>1592288.6187445158</v>
      </c>
      <c r="BP262" s="82">
        <v>1622838.3361499233</v>
      </c>
      <c r="BQ262" s="82">
        <v>1653980.8618634723</v>
      </c>
      <c r="BR262" s="82"/>
      <c r="BS262" s="82">
        <v>71869.399999999994</v>
      </c>
      <c r="BT262" s="82">
        <v>72343.100000000006</v>
      </c>
      <c r="BU262" s="82">
        <v>74733.3</v>
      </c>
      <c r="BV262" s="82">
        <v>78461</v>
      </c>
      <c r="BW262" s="82">
        <v>85795</v>
      </c>
      <c r="BX262" s="82">
        <v>96163</v>
      </c>
      <c r="BY262" s="82">
        <v>102165</v>
      </c>
      <c r="BZ262" s="82">
        <v>114271</v>
      </c>
      <c r="CA262" s="82">
        <v>129163</v>
      </c>
      <c r="CB262" s="82">
        <v>160607</v>
      </c>
      <c r="CC262" s="82">
        <v>170672.98082191779</v>
      </c>
      <c r="CD262" s="82">
        <v>188346.58356164381</v>
      </c>
      <c r="CE262" s="82">
        <v>214295.69945355193</v>
      </c>
      <c r="CF262" s="82">
        <v>253390.17260273971</v>
      </c>
      <c r="CG262" s="82">
        <v>285685</v>
      </c>
      <c r="CH262" s="82">
        <v>345836</v>
      </c>
      <c r="CI262" s="82">
        <v>399094</v>
      </c>
      <c r="CJ262" s="82">
        <v>526294</v>
      </c>
      <c r="CK262" s="82">
        <v>564702</v>
      </c>
      <c r="CL262" s="82">
        <v>597406</v>
      </c>
      <c r="CM262" s="82">
        <v>629685</v>
      </c>
      <c r="CN262" s="82">
        <v>653637</v>
      </c>
      <c r="CO262" s="82">
        <v>705371</v>
      </c>
      <c r="CP262" s="82">
        <v>755872</v>
      </c>
      <c r="CQ262" s="82">
        <v>790596</v>
      </c>
      <c r="CR262" s="82">
        <v>834741</v>
      </c>
      <c r="CS262" s="82">
        <v>854264</v>
      </c>
      <c r="CT262" s="82">
        <v>871418</v>
      </c>
      <c r="CU262" s="82">
        <v>897409</v>
      </c>
      <c r="CV262" s="82">
        <v>929960.8657534247</v>
      </c>
      <c r="CW262" s="82">
        <v>1027222.1315068492</v>
      </c>
      <c r="CX262" s="82">
        <v>1111440.0410958906</v>
      </c>
      <c r="CY262" s="83">
        <v>1144397.6338797815</v>
      </c>
      <c r="CZ262" s="82">
        <v>1185247.3795940964</v>
      </c>
      <c r="DA262" s="82">
        <v>1233284.4392901042</v>
      </c>
      <c r="DB262" s="82">
        <v>1273456.8172975383</v>
      </c>
      <c r="DC262" s="82">
        <v>1317403.6235476332</v>
      </c>
      <c r="DD262" s="82">
        <v>1363813.9795475737</v>
      </c>
      <c r="DE262" s="82">
        <v>1411982.8543673782</v>
      </c>
      <c r="DF262" s="82">
        <v>1462586.6414820408</v>
      </c>
      <c r="DG262" s="82">
        <v>1518581.649080931</v>
      </c>
      <c r="DH262" s="82">
        <v>1577427.6238144734</v>
      </c>
      <c r="DI262" s="82">
        <v>1638537.5819890823</v>
      </c>
    </row>
    <row r="263" spans="1:113" outlineLevel="1">
      <c r="C263" s="55"/>
      <c r="D263" s="55"/>
      <c r="E263" s="55"/>
      <c r="F263" s="55"/>
      <c r="G263" s="55"/>
      <c r="H263" s="55"/>
      <c r="I263" s="55"/>
      <c r="J263" s="55"/>
      <c r="K263" s="55"/>
      <c r="L263" s="55"/>
      <c r="M263" s="55"/>
      <c r="N263" s="55"/>
      <c r="O263" s="55"/>
      <c r="P263" s="55"/>
      <c r="Q263" s="55"/>
      <c r="R263" s="55"/>
      <c r="S263" s="55"/>
      <c r="T263" s="55"/>
      <c r="U263" s="55"/>
      <c r="V263" s="55"/>
      <c r="W263" s="55"/>
      <c r="X263" s="55"/>
      <c r="Y263" s="55"/>
      <c r="Z263" s="55"/>
      <c r="AA263" s="55"/>
      <c r="AB263" s="55"/>
      <c r="AC263" s="55"/>
      <c r="AD263" s="55"/>
      <c r="AE263" s="55"/>
      <c r="AF263" s="55"/>
      <c r="AG263" s="55"/>
      <c r="AH263" s="55"/>
      <c r="AI263" s="55"/>
      <c r="AJ263" s="55"/>
      <c r="AK263" s="55"/>
      <c r="AL263" s="55"/>
      <c r="AM263" s="55"/>
      <c r="AN263" s="55"/>
      <c r="AO263" s="55"/>
      <c r="AP263" s="55"/>
      <c r="AQ263" s="55"/>
      <c r="AR263" s="55"/>
      <c r="AS263" s="55"/>
      <c r="AT263" s="55"/>
      <c r="AU263" s="55"/>
      <c r="AV263" s="55"/>
      <c r="AW263" s="56"/>
      <c r="AX263" s="55"/>
      <c r="AY263" s="55"/>
      <c r="AZ263" s="55"/>
      <c r="BA263" s="55"/>
      <c r="BB263" s="55"/>
      <c r="BC263" s="55"/>
      <c r="BD263" s="55"/>
      <c r="BE263" s="55"/>
      <c r="BF263" s="55"/>
      <c r="BG263" s="55"/>
      <c r="BH263" s="55"/>
      <c r="BI263" s="55"/>
      <c r="BJ263" s="55"/>
      <c r="BK263" s="55"/>
      <c r="BL263" s="55"/>
      <c r="BM263" s="55"/>
      <c r="BN263" s="55"/>
      <c r="BO263" s="55"/>
      <c r="BP263" s="55"/>
      <c r="BQ263" s="55"/>
      <c r="BR263" s="55"/>
      <c r="BS263" s="55"/>
      <c r="BT263" s="55"/>
      <c r="BU263" s="55"/>
      <c r="BV263" s="55"/>
      <c r="BW263" s="55"/>
      <c r="BX263" s="55"/>
      <c r="BY263" s="55"/>
      <c r="BZ263" s="55"/>
      <c r="CA263" s="55"/>
      <c r="CB263" s="55"/>
      <c r="CC263" s="55"/>
      <c r="CD263" s="55"/>
      <c r="CE263" s="55"/>
      <c r="CF263" s="55"/>
      <c r="CG263" s="55"/>
      <c r="CH263" s="55"/>
      <c r="CI263" s="55"/>
      <c r="CJ263" s="55"/>
      <c r="CK263" s="55"/>
      <c r="CL263" s="55"/>
      <c r="CM263" s="55"/>
      <c r="CN263" s="55"/>
      <c r="CO263" s="55"/>
      <c r="CP263" s="55"/>
      <c r="CQ263" s="55"/>
      <c r="CR263" s="55"/>
      <c r="CS263" s="55"/>
      <c r="CT263" s="55"/>
      <c r="CU263" s="55"/>
      <c r="CV263" s="55"/>
      <c r="CW263" s="55"/>
      <c r="CX263" s="55"/>
      <c r="CY263" s="56"/>
      <c r="CZ263" s="55"/>
      <c r="DA263" s="55"/>
      <c r="DB263" s="55"/>
      <c r="DC263" s="55"/>
      <c r="DD263" s="55"/>
      <c r="DE263" s="55"/>
      <c r="DF263" s="55"/>
      <c r="DG263" s="55"/>
      <c r="DH263" s="55"/>
      <c r="DI263" s="55"/>
    </row>
    <row r="264" spans="1:113" s="24" customFormat="1" outlineLevel="1">
      <c r="A264" s="19"/>
      <c r="B264" s="24" t="s">
        <v>497</v>
      </c>
      <c r="C264" s="82"/>
      <c r="D264" s="82"/>
      <c r="E264" s="82"/>
      <c r="F264" s="82"/>
      <c r="G264" s="82"/>
      <c r="H264" s="82"/>
      <c r="I264" s="82"/>
      <c r="J264" s="82"/>
      <c r="K264" s="82"/>
      <c r="L264" s="82"/>
      <c r="M264" s="82"/>
      <c r="N264" s="82"/>
      <c r="O264" s="82"/>
      <c r="P264" s="82"/>
      <c r="Q264" s="82"/>
      <c r="R264" s="82"/>
      <c r="S264" s="82"/>
      <c r="T264" s="82"/>
      <c r="U264" s="82"/>
      <c r="V264" s="82"/>
      <c r="W264" s="82"/>
      <c r="X264" s="82"/>
      <c r="Y264" s="82"/>
      <c r="Z264" s="82"/>
      <c r="AA264" s="494"/>
      <c r="AB264" s="494"/>
      <c r="AC264" s="494"/>
      <c r="AD264" s="494"/>
      <c r="AE264" s="494"/>
      <c r="AF264" s="494"/>
      <c r="AG264" s="494"/>
      <c r="AH264" s="494"/>
      <c r="AI264" s="494"/>
      <c r="AJ264" s="494"/>
      <c r="AK264" s="494"/>
      <c r="AL264" s="494"/>
      <c r="AM264" s="494"/>
      <c r="AN264" s="494"/>
      <c r="AO264" s="494"/>
      <c r="AP264" s="494"/>
      <c r="AQ264" s="494"/>
      <c r="AR264" s="494"/>
      <c r="AS264" s="494"/>
      <c r="AT264" s="494"/>
      <c r="AU264" s="494"/>
      <c r="AV264" s="494"/>
      <c r="AW264" s="389"/>
      <c r="AX264" s="384"/>
      <c r="AY264" s="384"/>
      <c r="AZ264" s="384"/>
      <c r="BA264" s="384"/>
      <c r="BB264" s="384"/>
      <c r="BC264" s="384"/>
      <c r="BD264" s="384"/>
      <c r="BE264" s="384"/>
      <c r="BF264" s="384"/>
      <c r="BG264" s="384"/>
      <c r="BH264" s="384"/>
      <c r="BI264" s="384"/>
      <c r="BJ264" s="384"/>
      <c r="BK264" s="384"/>
      <c r="BL264" s="795"/>
      <c r="BM264" s="795"/>
      <c r="BN264" s="795"/>
      <c r="BO264" s="795"/>
      <c r="BP264" s="795"/>
      <c r="BQ264" s="795"/>
      <c r="BR264" s="82"/>
      <c r="BS264" s="82"/>
      <c r="BT264" s="82"/>
      <c r="BU264" s="82"/>
      <c r="BV264" s="82"/>
      <c r="BW264" s="82"/>
      <c r="BX264" s="82"/>
      <c r="BY264" s="82"/>
      <c r="BZ264" s="82"/>
      <c r="CA264" s="82"/>
      <c r="CB264" s="82"/>
      <c r="CC264" s="82"/>
      <c r="CD264" s="82"/>
      <c r="CE264" s="82"/>
      <c r="CF264" s="82"/>
      <c r="CG264" s="82"/>
      <c r="CH264" s="82"/>
      <c r="CI264" s="82"/>
      <c r="CJ264" s="82"/>
      <c r="CK264" s="82"/>
      <c r="CL264" s="82"/>
      <c r="CM264" s="82"/>
      <c r="CN264" s="82"/>
      <c r="CO264" s="82"/>
      <c r="CP264" s="82"/>
      <c r="CQ264" s="82"/>
      <c r="CR264" s="82"/>
      <c r="CS264" s="82"/>
      <c r="CT264" s="82"/>
      <c r="CU264" s="82"/>
      <c r="CV264" s="82"/>
      <c r="CW264" s="82"/>
      <c r="CX264" s="82"/>
      <c r="CY264" s="83"/>
      <c r="CZ264" s="82"/>
      <c r="DA264" s="82"/>
      <c r="DB264" s="82"/>
      <c r="DC264" s="82"/>
      <c r="DD264" s="82"/>
      <c r="DE264" s="82"/>
      <c r="DF264" s="82"/>
      <c r="DG264" s="82"/>
      <c r="DH264" s="82"/>
      <c r="DI264" s="82"/>
    </row>
    <row r="265" spans="1:113" outlineLevel="1">
      <c r="A265" s="1" t="s">
        <v>292</v>
      </c>
      <c r="B265" s="19" t="s">
        <v>433</v>
      </c>
      <c r="C265" s="55">
        <v>21378</v>
      </c>
      <c r="D265" s="55">
        <v>25098.5</v>
      </c>
      <c r="E265" s="55">
        <v>30180</v>
      </c>
      <c r="F265" s="55">
        <v>27735</v>
      </c>
      <c r="G265" s="55">
        <v>23393.5</v>
      </c>
      <c r="H265" s="55">
        <v>25073</v>
      </c>
      <c r="I265" s="55">
        <v>25390</v>
      </c>
      <c r="J265" s="55">
        <v>23356.5</v>
      </c>
      <c r="K265" s="55">
        <v>23090</v>
      </c>
      <c r="L265" s="55">
        <v>22088</v>
      </c>
      <c r="M265" s="55">
        <v>21004.5</v>
      </c>
      <c r="N265" s="55">
        <v>21760.5</v>
      </c>
      <c r="O265" s="55">
        <v>22171</v>
      </c>
      <c r="P265" s="55">
        <v>21142</v>
      </c>
      <c r="Q265" s="55">
        <v>19583</v>
      </c>
      <c r="R265" s="55">
        <v>17696</v>
      </c>
      <c r="S265" s="55">
        <v>16476.5</v>
      </c>
      <c r="T265" s="55">
        <v>16164</v>
      </c>
      <c r="U265" s="55">
        <v>15432</v>
      </c>
      <c r="V265" s="55">
        <v>14345.5</v>
      </c>
      <c r="W265" s="55">
        <v>13875.5</v>
      </c>
      <c r="X265" s="55">
        <v>13266.5</v>
      </c>
      <c r="Y265" s="55">
        <v>12937.5</v>
      </c>
      <c r="Z265" s="55">
        <v>13013</v>
      </c>
      <c r="AA265" s="55">
        <v>13018</v>
      </c>
      <c r="AB265" s="55">
        <v>13072</v>
      </c>
      <c r="AC265" s="55">
        <v>13153</v>
      </c>
      <c r="AD265" s="55">
        <v>13171.5</v>
      </c>
      <c r="AE265" s="55">
        <v>13044</v>
      </c>
      <c r="AF265" s="55">
        <v>12761</v>
      </c>
      <c r="AG265" s="55">
        <v>12623.5</v>
      </c>
      <c r="AH265" s="55">
        <v>12512</v>
      </c>
      <c r="AI265" s="55">
        <v>12203</v>
      </c>
      <c r="AJ265" s="55">
        <v>6249.5</v>
      </c>
      <c r="AK265" s="55">
        <v>466</v>
      </c>
      <c r="AL265" s="164">
        <v>0</v>
      </c>
      <c r="AM265" s="164">
        <v>0</v>
      </c>
      <c r="AN265" s="164">
        <v>0</v>
      </c>
      <c r="AO265" s="164">
        <v>0</v>
      </c>
      <c r="AP265" s="164">
        <v>0</v>
      </c>
      <c r="AQ265" s="164">
        <v>0</v>
      </c>
      <c r="AR265" s="164">
        <v>0</v>
      </c>
      <c r="AS265" s="164">
        <v>0</v>
      </c>
      <c r="AT265" s="164">
        <v>0</v>
      </c>
      <c r="AU265" s="164">
        <v>0</v>
      </c>
      <c r="AV265" s="164">
        <v>0</v>
      </c>
      <c r="AW265" s="171">
        <v>0</v>
      </c>
      <c r="AX265" s="55">
        <v>0</v>
      </c>
      <c r="AY265" s="55">
        <v>0</v>
      </c>
      <c r="AZ265" s="55">
        <v>0</v>
      </c>
      <c r="BA265" s="55">
        <v>0</v>
      </c>
      <c r="BB265" s="55">
        <v>0</v>
      </c>
      <c r="BC265" s="55">
        <v>0</v>
      </c>
      <c r="BD265" s="55">
        <v>0</v>
      </c>
      <c r="BE265" s="55">
        <v>0</v>
      </c>
      <c r="BF265" s="55">
        <v>0</v>
      </c>
      <c r="BG265" s="55">
        <v>0</v>
      </c>
      <c r="BH265" s="55">
        <v>0</v>
      </c>
      <c r="BI265" s="55">
        <v>0</v>
      </c>
      <c r="BJ265" s="55">
        <v>0</v>
      </c>
      <c r="BK265" s="55">
        <v>0</v>
      </c>
      <c r="BL265" s="55">
        <v>0</v>
      </c>
      <c r="BM265" s="55">
        <v>0</v>
      </c>
      <c r="BN265" s="55">
        <v>0</v>
      </c>
      <c r="BO265" s="55">
        <v>0</v>
      </c>
      <c r="BP265" s="55">
        <v>0</v>
      </c>
      <c r="BQ265" s="55">
        <v>0</v>
      </c>
      <c r="BR265" s="55"/>
      <c r="BS265" s="55">
        <v>0</v>
      </c>
      <c r="BT265" s="55">
        <v>0</v>
      </c>
      <c r="BU265" s="55">
        <v>0</v>
      </c>
      <c r="BV265" s="55">
        <v>0</v>
      </c>
      <c r="BW265" s="55">
        <v>0</v>
      </c>
      <c r="BX265" s="55">
        <v>0</v>
      </c>
      <c r="BY265" s="55">
        <v>0</v>
      </c>
      <c r="BZ265" s="55">
        <v>0</v>
      </c>
      <c r="CA265" s="55">
        <v>12641</v>
      </c>
      <c r="CB265" s="55">
        <v>26155.5</v>
      </c>
      <c r="CC265" s="55">
        <v>27660.13287671233</v>
      </c>
      <c r="CD265" s="55">
        <v>25546.40821917808</v>
      </c>
      <c r="CE265" s="55">
        <v>25232.366120218579</v>
      </c>
      <c r="CF265" s="55">
        <v>23222.154794520549</v>
      </c>
      <c r="CG265" s="55">
        <v>21541.797260273972</v>
      </c>
      <c r="CH265" s="55">
        <v>21967.436986301367</v>
      </c>
      <c r="CI265" s="55">
        <v>20358.240437158471</v>
      </c>
      <c r="CJ265" s="55">
        <v>17081.238356164384</v>
      </c>
      <c r="CK265" s="55">
        <v>15794.991780821918</v>
      </c>
      <c r="CL265" s="55">
        <v>14108.568493150686</v>
      </c>
      <c r="CM265" s="55">
        <v>13101.101092896175</v>
      </c>
      <c r="CN265" s="55">
        <v>13015.520547945205</v>
      </c>
      <c r="CO265" s="55">
        <v>13112.832876712329</v>
      </c>
      <c r="CP265" s="55">
        <v>13107.226027397259</v>
      </c>
      <c r="CQ265" s="55">
        <v>12903.469454147489</v>
      </c>
      <c r="CR265" s="55">
        <v>12691.874316939891</v>
      </c>
      <c r="CS265" s="55">
        <v>12568.130907351204</v>
      </c>
      <c r="CT265" s="164">
        <v>0</v>
      </c>
      <c r="CU265" s="164">
        <v>0</v>
      </c>
      <c r="CV265" s="55">
        <v>0</v>
      </c>
      <c r="CW265" s="55">
        <v>0</v>
      </c>
      <c r="CX265" s="55">
        <v>0</v>
      </c>
      <c r="CY265" s="56">
        <v>0</v>
      </c>
      <c r="CZ265" s="55">
        <v>0</v>
      </c>
      <c r="DA265" s="55">
        <v>0</v>
      </c>
      <c r="DB265" s="55">
        <v>0</v>
      </c>
      <c r="DC265" s="55">
        <v>0</v>
      </c>
      <c r="DD265" s="55">
        <v>0</v>
      </c>
      <c r="DE265" s="55">
        <v>0</v>
      </c>
      <c r="DF265" s="55">
        <v>0</v>
      </c>
      <c r="DG265" s="55">
        <v>0</v>
      </c>
      <c r="DH265" s="55">
        <v>0</v>
      </c>
      <c r="DI265" s="55">
        <v>0</v>
      </c>
    </row>
    <row r="266" spans="1:113" outlineLevel="1">
      <c r="A266" s="1" t="s">
        <v>293</v>
      </c>
      <c r="B266" s="19" t="s">
        <v>434</v>
      </c>
      <c r="C266" s="55">
        <v>78528.5</v>
      </c>
      <c r="D266" s="55">
        <v>78793</v>
      </c>
      <c r="E266" s="55">
        <v>74390</v>
      </c>
      <c r="F266" s="55">
        <v>71297</v>
      </c>
      <c r="G266" s="55">
        <v>76422</v>
      </c>
      <c r="H266" s="55">
        <v>77330</v>
      </c>
      <c r="I266" s="55">
        <v>82314.5</v>
      </c>
      <c r="J266" s="55">
        <v>90305</v>
      </c>
      <c r="K266" s="55">
        <v>97162</v>
      </c>
      <c r="L266" s="55">
        <v>107931</v>
      </c>
      <c r="M266" s="55">
        <v>123239</v>
      </c>
      <c r="N266" s="55">
        <v>134368</v>
      </c>
      <c r="O266" s="55">
        <v>142606</v>
      </c>
      <c r="P266" s="55">
        <v>163180</v>
      </c>
      <c r="Q266" s="55">
        <v>172819</v>
      </c>
      <c r="R266" s="55">
        <v>154172.5</v>
      </c>
      <c r="S266" s="55">
        <v>147512</v>
      </c>
      <c r="T266" s="55">
        <v>161290.5</v>
      </c>
      <c r="U266" s="55">
        <v>167224.5</v>
      </c>
      <c r="V266" s="55">
        <v>171188.5</v>
      </c>
      <c r="W266" s="55">
        <v>176107</v>
      </c>
      <c r="X266" s="55">
        <v>173011.5</v>
      </c>
      <c r="Y266" s="55">
        <v>177184.5</v>
      </c>
      <c r="Z266" s="55">
        <v>167169.5</v>
      </c>
      <c r="AA266" s="55">
        <v>189241</v>
      </c>
      <c r="AB266" s="55">
        <v>237314</v>
      </c>
      <c r="AC266" s="55">
        <v>243798.5</v>
      </c>
      <c r="AD266" s="55">
        <v>177624.5</v>
      </c>
      <c r="AE266" s="55">
        <v>116962</v>
      </c>
      <c r="AF266" s="55">
        <v>120928.5</v>
      </c>
      <c r="AG266" s="55">
        <v>123015</v>
      </c>
      <c r="AH266" s="55">
        <v>125798.5</v>
      </c>
      <c r="AI266" s="55">
        <v>131596</v>
      </c>
      <c r="AJ266" s="55">
        <v>138973.5</v>
      </c>
      <c r="AK266" s="55">
        <v>145367.5</v>
      </c>
      <c r="AL266" s="55">
        <v>14202.978632747992</v>
      </c>
      <c r="AM266" s="55">
        <v>14463.901143368588</v>
      </c>
      <c r="AN266" s="55">
        <v>15332</v>
      </c>
      <c r="AO266" s="55">
        <v>0</v>
      </c>
      <c r="AP266" s="55">
        <v>0</v>
      </c>
      <c r="AQ266" s="55">
        <v>0</v>
      </c>
      <c r="AR266" s="55">
        <v>0</v>
      </c>
      <c r="AS266" s="55">
        <v>0</v>
      </c>
      <c r="AT266" s="55">
        <v>0</v>
      </c>
      <c r="AU266" s="55">
        <v>0</v>
      </c>
      <c r="AV266" s="55">
        <v>0</v>
      </c>
      <c r="AW266" s="56">
        <v>0</v>
      </c>
      <c r="AX266" s="55">
        <v>0</v>
      </c>
      <c r="AY266" s="55">
        <v>0</v>
      </c>
      <c r="AZ266" s="55">
        <v>0</v>
      </c>
      <c r="BA266" s="55">
        <v>0</v>
      </c>
      <c r="BB266" s="55">
        <v>0</v>
      </c>
      <c r="BC266" s="55">
        <v>0</v>
      </c>
      <c r="BD266" s="55">
        <v>0</v>
      </c>
      <c r="BE266" s="55">
        <v>0</v>
      </c>
      <c r="BF266" s="55">
        <v>0</v>
      </c>
      <c r="BG266" s="55">
        <v>0</v>
      </c>
      <c r="BH266" s="55">
        <v>0</v>
      </c>
      <c r="BI266" s="55">
        <v>0</v>
      </c>
      <c r="BJ266" s="55">
        <v>0</v>
      </c>
      <c r="BK266" s="55">
        <v>0</v>
      </c>
      <c r="BL266" s="55">
        <v>0</v>
      </c>
      <c r="BM266" s="55">
        <v>0</v>
      </c>
      <c r="BN266" s="55">
        <v>0</v>
      </c>
      <c r="BO266" s="55">
        <v>0</v>
      </c>
      <c r="BP266" s="55">
        <v>0</v>
      </c>
      <c r="BQ266" s="55">
        <v>0</v>
      </c>
      <c r="BR266" s="55"/>
      <c r="BS266" s="55">
        <v>11900</v>
      </c>
      <c r="BT266" s="55">
        <v>12400</v>
      </c>
      <c r="BU266" s="55">
        <v>13600</v>
      </c>
      <c r="BV266" s="55">
        <v>14250</v>
      </c>
      <c r="BW266" s="55">
        <v>14271.5</v>
      </c>
      <c r="BX266" s="55">
        <v>18171.5</v>
      </c>
      <c r="BY266" s="55">
        <v>24600</v>
      </c>
      <c r="BZ266" s="55">
        <v>27365.5</v>
      </c>
      <c r="CA266" s="55">
        <v>45215.5</v>
      </c>
      <c r="CB266" s="55">
        <v>68676</v>
      </c>
      <c r="CC266" s="55">
        <v>76573.405479452049</v>
      </c>
      <c r="CD266" s="55">
        <v>73880.561643835608</v>
      </c>
      <c r="CE266" s="55">
        <v>79835.868852459025</v>
      </c>
      <c r="CF266" s="55">
        <v>93761.679452054799</v>
      </c>
      <c r="CG266" s="55">
        <v>115647.9095890411</v>
      </c>
      <c r="CH266" s="55">
        <v>138520.85479452054</v>
      </c>
      <c r="CI266" s="55">
        <v>168025.83606557376</v>
      </c>
      <c r="CJ266" s="55">
        <v>150814.87808219178</v>
      </c>
      <c r="CK266" s="55">
        <v>164281.88630136987</v>
      </c>
      <c r="CL266" s="55">
        <v>173667.96301369864</v>
      </c>
      <c r="CM266" s="55">
        <v>175109.40163934429</v>
      </c>
      <c r="CN266" s="55">
        <v>178295.95479452054</v>
      </c>
      <c r="CO266" s="55">
        <v>240582.89863013697</v>
      </c>
      <c r="CP266" s="55">
        <v>147043.9520547945</v>
      </c>
      <c r="CQ266" s="55">
        <v>118931.66222658652</v>
      </c>
      <c r="CR266" s="55">
        <v>121977.45081967214</v>
      </c>
      <c r="CS266" s="55">
        <v>124397.24098105759</v>
      </c>
      <c r="CT266" s="55">
        <v>14205</v>
      </c>
      <c r="CU266" s="55">
        <v>15332</v>
      </c>
      <c r="CV266" s="55">
        <v>0</v>
      </c>
      <c r="CW266" s="55">
        <v>0</v>
      </c>
      <c r="CX266" s="55">
        <v>0</v>
      </c>
      <c r="CY266" s="56">
        <v>0</v>
      </c>
      <c r="CZ266" s="55">
        <v>0</v>
      </c>
      <c r="DA266" s="55">
        <v>0</v>
      </c>
      <c r="DB266" s="55">
        <v>0</v>
      </c>
      <c r="DC266" s="55">
        <v>0</v>
      </c>
      <c r="DD266" s="55">
        <v>0</v>
      </c>
      <c r="DE266" s="55">
        <v>0</v>
      </c>
      <c r="DF266" s="55">
        <v>0</v>
      </c>
      <c r="DG266" s="55">
        <v>0</v>
      </c>
      <c r="DH266" s="55">
        <v>0</v>
      </c>
      <c r="DI266" s="55">
        <v>0</v>
      </c>
    </row>
    <row r="267" spans="1:113" s="24" customFormat="1" outlineLevel="1">
      <c r="A267" s="1" t="s">
        <v>294</v>
      </c>
      <c r="B267" s="24" t="s">
        <v>386</v>
      </c>
      <c r="C267" s="82">
        <v>101481</v>
      </c>
      <c r="D267" s="82">
        <v>103891.5</v>
      </c>
      <c r="E267" s="82">
        <v>104570</v>
      </c>
      <c r="F267" s="82">
        <v>99032</v>
      </c>
      <c r="G267" s="82">
        <v>97253</v>
      </c>
      <c r="H267" s="82">
        <v>102403</v>
      </c>
      <c r="I267" s="82">
        <v>107704.5</v>
      </c>
      <c r="J267" s="82">
        <v>113661.5</v>
      </c>
      <c r="K267" s="82">
        <v>120252</v>
      </c>
      <c r="L267" s="82">
        <v>130019</v>
      </c>
      <c r="M267" s="82">
        <v>144243.5</v>
      </c>
      <c r="N267" s="82">
        <v>156128.5</v>
      </c>
      <c r="O267" s="82">
        <v>164777</v>
      </c>
      <c r="P267" s="82">
        <v>184322</v>
      </c>
      <c r="Q267" s="82">
        <v>192402</v>
      </c>
      <c r="R267" s="82">
        <v>171868.5</v>
      </c>
      <c r="S267" s="82">
        <v>163988.5</v>
      </c>
      <c r="T267" s="82">
        <v>177454.5</v>
      </c>
      <c r="U267" s="82">
        <v>182656.5</v>
      </c>
      <c r="V267" s="82">
        <v>185534</v>
      </c>
      <c r="W267" s="82">
        <v>189982.5</v>
      </c>
      <c r="X267" s="82">
        <v>186278</v>
      </c>
      <c r="Y267" s="82">
        <v>190122</v>
      </c>
      <c r="Z267" s="82">
        <v>180182.5</v>
      </c>
      <c r="AA267" s="82">
        <v>202259</v>
      </c>
      <c r="AB267" s="82">
        <v>250386</v>
      </c>
      <c r="AC267" s="82">
        <v>256951.5</v>
      </c>
      <c r="AD267" s="82">
        <v>190796</v>
      </c>
      <c r="AE267" s="82">
        <v>130006</v>
      </c>
      <c r="AF267" s="82">
        <v>133689.5</v>
      </c>
      <c r="AG267" s="82">
        <v>135638.5</v>
      </c>
      <c r="AH267" s="82">
        <v>138310.5</v>
      </c>
      <c r="AI267" s="82">
        <v>143799</v>
      </c>
      <c r="AJ267" s="82">
        <v>145223</v>
      </c>
      <c r="AK267" s="82">
        <v>145833.5</v>
      </c>
      <c r="AL267" s="166">
        <v>14202.978632747992</v>
      </c>
      <c r="AM267" s="166">
        <v>14463.901143368588</v>
      </c>
      <c r="AN267" s="166">
        <v>15332</v>
      </c>
      <c r="AO267" s="166">
        <v>0</v>
      </c>
      <c r="AP267" s="166">
        <v>0</v>
      </c>
      <c r="AQ267" s="166">
        <v>0</v>
      </c>
      <c r="AR267" s="166">
        <v>0</v>
      </c>
      <c r="AS267" s="166">
        <v>0</v>
      </c>
      <c r="AT267" s="166">
        <v>0</v>
      </c>
      <c r="AU267" s="166">
        <v>0</v>
      </c>
      <c r="AV267" s="166">
        <v>0</v>
      </c>
      <c r="AW267" s="167">
        <v>0</v>
      </c>
      <c r="AX267" s="82">
        <v>0</v>
      </c>
      <c r="AY267" s="82">
        <v>0</v>
      </c>
      <c r="AZ267" s="82">
        <v>0</v>
      </c>
      <c r="BA267" s="82">
        <v>0</v>
      </c>
      <c r="BB267" s="82">
        <v>0</v>
      </c>
      <c r="BC267" s="82">
        <v>0</v>
      </c>
      <c r="BD267" s="82">
        <v>0</v>
      </c>
      <c r="BE267" s="82">
        <v>0</v>
      </c>
      <c r="BF267" s="82">
        <v>0</v>
      </c>
      <c r="BG267" s="82">
        <v>0</v>
      </c>
      <c r="BH267" s="82">
        <v>0</v>
      </c>
      <c r="BI267" s="82">
        <v>0</v>
      </c>
      <c r="BJ267" s="82">
        <v>0</v>
      </c>
      <c r="BK267" s="82">
        <v>0</v>
      </c>
      <c r="BL267" s="82">
        <v>0</v>
      </c>
      <c r="BM267" s="82">
        <v>0</v>
      </c>
      <c r="BN267" s="82">
        <v>0</v>
      </c>
      <c r="BO267" s="82">
        <v>0</v>
      </c>
      <c r="BP267" s="82">
        <v>0</v>
      </c>
      <c r="BQ267" s="82">
        <v>0</v>
      </c>
      <c r="BR267" s="82"/>
      <c r="BS267" s="82">
        <v>11900</v>
      </c>
      <c r="BT267" s="82">
        <v>12400</v>
      </c>
      <c r="BU267" s="82">
        <v>13600</v>
      </c>
      <c r="BV267" s="82">
        <v>14250</v>
      </c>
      <c r="BW267" s="82">
        <v>14271.5</v>
      </c>
      <c r="BX267" s="82">
        <v>18171.5</v>
      </c>
      <c r="BY267" s="82">
        <v>24600</v>
      </c>
      <c r="BZ267" s="82">
        <v>27365.5</v>
      </c>
      <c r="CA267" s="82">
        <v>57856.5</v>
      </c>
      <c r="CB267" s="82">
        <v>94831.5</v>
      </c>
      <c r="CC267" s="82">
        <v>104233.53835616438</v>
      </c>
      <c r="CD267" s="82">
        <v>98135.189041095902</v>
      </c>
      <c r="CE267" s="82">
        <v>105068.2349726776</v>
      </c>
      <c r="CF267" s="82">
        <v>116983.83424657534</v>
      </c>
      <c r="CG267" s="82">
        <v>137189.70684931506</v>
      </c>
      <c r="CH267" s="82">
        <v>160488.29178082195</v>
      </c>
      <c r="CI267" s="82">
        <v>188384.07650273226</v>
      </c>
      <c r="CJ267" s="82">
        <v>167896.11643835617</v>
      </c>
      <c r="CK267" s="82">
        <v>180076.8780821918</v>
      </c>
      <c r="CL267" s="82">
        <v>187776.53150684934</v>
      </c>
      <c r="CM267" s="82">
        <v>188210.50273224045</v>
      </c>
      <c r="CN267" s="82">
        <v>191311.47534246574</v>
      </c>
      <c r="CO267" s="82">
        <v>253695.73150684932</v>
      </c>
      <c r="CP267" s="82">
        <v>160151.17808219179</v>
      </c>
      <c r="CQ267" s="82">
        <v>131835.13168073402</v>
      </c>
      <c r="CR267" s="82">
        <v>134669.32513661202</v>
      </c>
      <c r="CS267" s="82">
        <v>136965.37188840882</v>
      </c>
      <c r="CT267" s="166">
        <v>14205</v>
      </c>
      <c r="CU267" s="166">
        <v>15332</v>
      </c>
      <c r="CV267" s="166">
        <v>0</v>
      </c>
      <c r="CW267" s="166">
        <v>0</v>
      </c>
      <c r="CX267" s="166">
        <v>0</v>
      </c>
      <c r="CY267" s="167">
        <v>0</v>
      </c>
      <c r="CZ267" s="82">
        <v>0</v>
      </c>
      <c r="DA267" s="82">
        <v>0</v>
      </c>
      <c r="DB267" s="82">
        <v>0</v>
      </c>
      <c r="DC267" s="82">
        <v>0</v>
      </c>
      <c r="DD267" s="82">
        <v>0</v>
      </c>
      <c r="DE267" s="82">
        <v>0</v>
      </c>
      <c r="DF267" s="82">
        <v>0</v>
      </c>
      <c r="DG267" s="82">
        <v>0</v>
      </c>
      <c r="DH267" s="82">
        <v>0</v>
      </c>
      <c r="DI267" s="82">
        <v>0</v>
      </c>
    </row>
    <row r="268" spans="1:113">
      <c r="AW268" s="22"/>
      <c r="CY268" s="22"/>
    </row>
    <row r="269" spans="1:113" s="36" customFormat="1" collapsed="1">
      <c r="A269" s="1" t="s">
        <v>924</v>
      </c>
      <c r="B269" s="2" t="s">
        <v>580</v>
      </c>
      <c r="C269" s="560">
        <v>2.7811331460835462E-2</v>
      </c>
      <c r="D269" s="560">
        <v>2.769971280187207E-2</v>
      </c>
      <c r="E269" s="560">
        <v>2.750764135728942E-2</v>
      </c>
      <c r="F269" s="560">
        <v>2.6503275516182284E-2</v>
      </c>
      <c r="G269" s="560">
        <v>2.6881808182013987E-2</v>
      </c>
      <c r="H269" s="560">
        <v>2.6002786721535741E-2</v>
      </c>
      <c r="I269" s="560">
        <v>2.4572175682989382E-2</v>
      </c>
      <c r="J269" s="560">
        <v>2.3816231787587447E-2</v>
      </c>
      <c r="K269" s="560">
        <v>2.3769159775208638E-2</v>
      </c>
      <c r="L269" s="560">
        <v>2.3294908572079318E-2</v>
      </c>
      <c r="M269" s="89">
        <v>2.2328886733799153E-2</v>
      </c>
      <c r="N269" s="89">
        <v>2.1704407477908687E-2</v>
      </c>
      <c r="O269" s="89">
        <v>1.9964303726664377E-2</v>
      </c>
      <c r="P269" s="89">
        <v>2.0132752801532067E-2</v>
      </c>
      <c r="Q269" s="89">
        <v>1.9510365021069037E-2</v>
      </c>
      <c r="R269" s="89">
        <v>1.9634266489011058E-2</v>
      </c>
      <c r="S269" s="89">
        <v>2.1062322220075799E-2</v>
      </c>
      <c r="T269" s="90">
        <v>2.1505802541814154E-2</v>
      </c>
      <c r="U269" s="89">
        <v>2.0528584881594585E-2</v>
      </c>
      <c r="V269" s="89">
        <v>2.0622979235762097E-2</v>
      </c>
      <c r="W269" s="89">
        <v>2.1716884758774542E-2</v>
      </c>
      <c r="X269" s="89">
        <v>2.1216607869499735E-2</v>
      </c>
      <c r="Y269" s="90">
        <v>2.0575969140647007E-2</v>
      </c>
      <c r="Z269" s="90">
        <v>2.0961264756399645E-2</v>
      </c>
      <c r="AA269" s="90">
        <v>2.170584316380645E-2</v>
      </c>
      <c r="AB269" s="90">
        <v>2.1397626501990435E-2</v>
      </c>
      <c r="AC269" s="90">
        <v>2.1391290276802099E-2</v>
      </c>
      <c r="AD269" s="90">
        <v>2.1200829123551396E-2</v>
      </c>
      <c r="AE269" s="90">
        <v>2.0683833344866894E-2</v>
      </c>
      <c r="AF269" s="90">
        <v>2.1464914087229111E-2</v>
      </c>
      <c r="AG269" s="90">
        <v>2.1376740900866345E-2</v>
      </c>
      <c r="AH269" s="90">
        <v>2.0992432040554593E-2</v>
      </c>
      <c r="AI269" s="90">
        <v>2.1018018900646467E-2</v>
      </c>
      <c r="AJ269" s="90">
        <v>2.1564998499362213E-2</v>
      </c>
      <c r="AK269" s="90">
        <v>2.1376325897552353E-2</v>
      </c>
      <c r="AL269" s="90">
        <v>2.0924322934170993E-2</v>
      </c>
      <c r="AM269" s="90">
        <v>2.090159582687582E-2</v>
      </c>
      <c r="AN269" s="90">
        <v>2.1090173572849563E-2</v>
      </c>
      <c r="AO269" s="90">
        <v>2.0393125517318002E-2</v>
      </c>
      <c r="AP269" s="90">
        <v>2.0633853124276284E-2</v>
      </c>
      <c r="AQ269" s="90">
        <v>2.0882870785182625E-2</v>
      </c>
      <c r="AR269" s="90">
        <v>1.9182264344134142E-2</v>
      </c>
      <c r="AS269" s="90">
        <v>1.8747634313552988E-2</v>
      </c>
      <c r="AT269" s="90">
        <v>2.0985181549496357E-2</v>
      </c>
      <c r="AU269" s="90">
        <v>2.0511215875562538E-2</v>
      </c>
      <c r="AV269" s="90">
        <v>1.9886195039560052E-2</v>
      </c>
      <c r="AW269" s="91">
        <v>2.0003705815099276E-2</v>
      </c>
      <c r="AX269" s="89">
        <v>1.9925201917354501E-2</v>
      </c>
      <c r="AY269" s="89">
        <v>1.9740311029551635E-2</v>
      </c>
      <c r="AZ269" s="89">
        <v>1.9522870144168376E-2</v>
      </c>
      <c r="BA269" s="89">
        <v>1.9301937136599286E-2</v>
      </c>
      <c r="BB269" s="89">
        <v>1.9107810437942713E-2</v>
      </c>
      <c r="BC269" s="89">
        <v>1.89771404003308E-2</v>
      </c>
      <c r="BD269" s="89">
        <v>1.8847968849333985E-2</v>
      </c>
      <c r="BE269" s="89">
        <v>1.8720978229228306E-2</v>
      </c>
      <c r="BF269" s="89">
        <v>1.8598338954541403E-2</v>
      </c>
      <c r="BG269" s="89">
        <v>1.8476533586727399E-2</v>
      </c>
      <c r="BH269" s="89">
        <v>1.8444880771736265E-2</v>
      </c>
      <c r="BI269" s="89">
        <v>1.8431626935302908E-2</v>
      </c>
      <c r="BJ269" s="89">
        <v>1.8402069533648969E-2</v>
      </c>
      <c r="BK269" s="89">
        <v>1.837836201395119E-2</v>
      </c>
      <c r="BL269" s="560">
        <v>1.8331948016634521E-2</v>
      </c>
      <c r="BM269" s="560">
        <v>1.8296740558989368E-2</v>
      </c>
      <c r="BN269" s="560">
        <v>1.826887248838803E-2</v>
      </c>
      <c r="BO269" s="560">
        <v>1.8247536191132559E-2</v>
      </c>
      <c r="BP269" s="560">
        <v>1.8210541452357194E-2</v>
      </c>
      <c r="BQ269" s="560">
        <v>1.8189648521005297E-2</v>
      </c>
      <c r="BR269" s="89"/>
      <c r="BS269" s="560">
        <v>4.5207000475863166E-2</v>
      </c>
      <c r="BT269" s="560">
        <v>4.1206417750967256E-2</v>
      </c>
      <c r="BU269" s="560">
        <v>3.8055324734756792E-2</v>
      </c>
      <c r="BV269" s="560">
        <v>4.0325766941537833E-2</v>
      </c>
      <c r="BW269" s="560">
        <v>3.9594381956990499E-2</v>
      </c>
      <c r="BX269" s="560">
        <v>3.5273441968324611E-2</v>
      </c>
      <c r="BY269" s="560">
        <v>3.3250134586208582E-2</v>
      </c>
      <c r="BZ269" s="560">
        <v>3.0865223897576809E-2</v>
      </c>
      <c r="CA269" s="560">
        <v>2.8793075416334392E-2</v>
      </c>
      <c r="CB269" s="560">
        <v>2.7856818195969045E-2</v>
      </c>
      <c r="CC269" s="89">
        <v>2.7596635257190881E-2</v>
      </c>
      <c r="CD269" s="89">
        <v>2.6684848246026419E-2</v>
      </c>
      <c r="CE269" s="89">
        <v>2.5245490291197388E-2</v>
      </c>
      <c r="CF269" s="89">
        <v>2.3781506354816087E-2</v>
      </c>
      <c r="CG269" s="89">
        <v>2.2801337137056552E-2</v>
      </c>
      <c r="CH269" s="89">
        <v>2.0344903364600556E-2</v>
      </c>
      <c r="CI269" s="89">
        <v>1.9812375029441692E-2</v>
      </c>
      <c r="CJ269" s="89">
        <v>2.036124295545836E-2</v>
      </c>
      <c r="CK269" s="89">
        <v>2.1016394487712101E-2</v>
      </c>
      <c r="CL269" s="89">
        <v>2.116650987770461E-2</v>
      </c>
      <c r="CM269" s="90">
        <v>2.0894574271262616E-2</v>
      </c>
      <c r="CN269" s="90">
        <v>2.1332941678638147E-2</v>
      </c>
      <c r="CO269" s="90">
        <v>2.1394415137565907E-2</v>
      </c>
      <c r="CP269" s="90">
        <v>2.0938730367046274E-2</v>
      </c>
      <c r="CQ269" s="90">
        <v>2.1420548548183899E-2</v>
      </c>
      <c r="CR269" s="90">
        <v>2.1005317817143286E-2</v>
      </c>
      <c r="CS269" s="90">
        <v>2.1471114315949169E-2</v>
      </c>
      <c r="CT269" s="90">
        <v>2.0913040584426765E-2</v>
      </c>
      <c r="CU269" s="90">
        <v>2.0737478674717993E-2</v>
      </c>
      <c r="CV269" s="90">
        <v>2.0758954386203156E-2</v>
      </c>
      <c r="CW269" s="90">
        <v>1.8963197030748068E-2</v>
      </c>
      <c r="CX269" s="90">
        <v>2.0745552972352962E-2</v>
      </c>
      <c r="CY269" s="91">
        <v>1.9944478137979935E-2</v>
      </c>
      <c r="CZ269" s="89">
        <v>1.9829236188853953E-2</v>
      </c>
      <c r="DA269" s="89">
        <v>1.9409399926671345E-2</v>
      </c>
      <c r="DB269" s="89">
        <v>1.9039960878182959E-2</v>
      </c>
      <c r="DC269" s="89">
        <v>1.8782499594717755E-2</v>
      </c>
      <c r="DD269" s="89">
        <v>1.8534769440407588E-2</v>
      </c>
      <c r="DE269" s="89">
        <v>1.8435616821250563E-2</v>
      </c>
      <c r="DF269" s="89">
        <v>1.8387452959327293E-2</v>
      </c>
      <c r="DG269" s="560">
        <v>1.8312372776144947E-2</v>
      </c>
      <c r="DH269" s="560">
        <v>1.8255339665520363E-2</v>
      </c>
      <c r="DI269" s="560">
        <v>1.8197238419027657E-2</v>
      </c>
    </row>
    <row r="270" spans="1:113" outlineLevel="1">
      <c r="AI270" s="234"/>
      <c r="AW270" s="22"/>
      <c r="CV270" s="234"/>
      <c r="CW270" s="234"/>
      <c r="CX270" s="234"/>
      <c r="CY270" s="22"/>
    </row>
    <row r="271" spans="1:113" s="24" customFormat="1" outlineLevel="1">
      <c r="A271" s="1"/>
      <c r="B271" s="24" t="s">
        <v>440</v>
      </c>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c r="AD271" s="13"/>
      <c r="AE271" s="13"/>
      <c r="AF271" s="13"/>
      <c r="AG271" s="13"/>
      <c r="AH271" s="13"/>
      <c r="AI271" s="13"/>
      <c r="AJ271" s="13"/>
      <c r="AK271" s="13"/>
      <c r="AL271" s="13"/>
      <c r="AM271" s="13"/>
      <c r="AN271" s="13"/>
      <c r="AO271" s="13"/>
      <c r="AP271" s="13"/>
      <c r="AQ271" s="13"/>
      <c r="AR271" s="13"/>
      <c r="AS271" s="13"/>
      <c r="AT271" s="13"/>
      <c r="AU271" s="13"/>
      <c r="AV271" s="13"/>
      <c r="AW271" s="23"/>
      <c r="AX271" s="13"/>
      <c r="AY271" s="13"/>
      <c r="AZ271" s="13"/>
      <c r="BA271" s="13"/>
      <c r="BB271" s="13"/>
      <c r="BC271" s="13"/>
      <c r="BD271" s="13"/>
      <c r="BE271" s="13"/>
      <c r="BF271" s="13"/>
      <c r="BG271" s="13"/>
      <c r="BH271" s="13"/>
      <c r="BI271" s="13"/>
      <c r="BJ271" s="13"/>
      <c r="BK271" s="13"/>
      <c r="BL271" s="13"/>
      <c r="BM271" s="13"/>
      <c r="BN271" s="13"/>
      <c r="BO271" s="13"/>
      <c r="BP271" s="13"/>
      <c r="BQ271" s="13"/>
      <c r="BR271" s="13"/>
      <c r="BS271" s="13"/>
      <c r="BT271" s="13"/>
      <c r="BU271" s="13"/>
      <c r="BV271" s="13"/>
      <c r="BW271" s="13"/>
      <c r="BX271" s="13"/>
      <c r="BY271" s="13"/>
      <c r="BZ271" s="13"/>
      <c r="CA271" s="13"/>
      <c r="CB271" s="13"/>
      <c r="CC271" s="13"/>
      <c r="CD271" s="13"/>
      <c r="CE271" s="13"/>
      <c r="CF271" s="13"/>
      <c r="CG271" s="13"/>
      <c r="CH271" s="13"/>
      <c r="CI271" s="13"/>
      <c r="CJ271" s="13"/>
      <c r="CK271" s="13"/>
      <c r="CL271" s="13"/>
      <c r="CM271" s="13"/>
      <c r="CN271" s="13"/>
      <c r="CO271" s="13"/>
      <c r="CP271" s="13"/>
      <c r="CQ271" s="13"/>
      <c r="CR271" s="13"/>
      <c r="CS271" s="13"/>
      <c r="CT271" s="13"/>
      <c r="CU271" s="13"/>
      <c r="CV271" s="13"/>
      <c r="CW271" s="13"/>
      <c r="CX271" s="13"/>
      <c r="CY271" s="23"/>
      <c r="CZ271" s="13"/>
      <c r="DA271" s="13"/>
      <c r="DB271" s="13"/>
    </row>
    <row r="272" spans="1:113" outlineLevel="1">
      <c r="A272" s="1" t="s">
        <v>175</v>
      </c>
      <c r="B272" s="19" t="s">
        <v>164</v>
      </c>
      <c r="C272" s="235">
        <v>1.6435933333333326E-2</v>
      </c>
      <c r="D272" s="235">
        <v>1.5919752777777671E-2</v>
      </c>
      <c r="E272" s="235">
        <v>1.2329127777777829E-2</v>
      </c>
      <c r="F272" s="235">
        <v>1.339829444444442E-2</v>
      </c>
      <c r="G272" s="235">
        <v>1.4326245833333247E-2</v>
      </c>
      <c r="H272" s="235">
        <v>1.2691176388888933E-2</v>
      </c>
      <c r="I272" s="235">
        <v>2.9787097222221982E-3</v>
      </c>
      <c r="J272" s="235">
        <v>9.817905555555546E-3</v>
      </c>
      <c r="K272" s="235">
        <v>8.4945652777777235E-3</v>
      </c>
      <c r="L272" s="235">
        <v>8.8003430555555311E-3</v>
      </c>
      <c r="M272" s="48">
        <v>8.1543013888888613E-3</v>
      </c>
      <c r="N272" s="48">
        <v>7.6080930555555218E-3</v>
      </c>
      <c r="O272" s="48">
        <v>8.3322527777777416E-3</v>
      </c>
      <c r="P272" s="48">
        <v>5.800669444444408E-3</v>
      </c>
      <c r="Q272" s="48">
        <v>6.5584333333332905E-3</v>
      </c>
      <c r="R272" s="48">
        <v>1.5186329166666658E-2</v>
      </c>
      <c r="S272" s="48">
        <v>1.7912606944444413E-2</v>
      </c>
      <c r="T272" s="50">
        <v>1.5119099999999958E-2</v>
      </c>
      <c r="U272" s="48">
        <v>1.6638620833333319E-2</v>
      </c>
      <c r="V272" s="48">
        <v>1.8763197222222194E-2</v>
      </c>
      <c r="W272" s="48">
        <v>2.0380273611111093E-2</v>
      </c>
      <c r="X272" s="48">
        <v>2.0964238888888844E-2</v>
      </c>
      <c r="Y272" s="50">
        <v>2.3648926388888832E-2</v>
      </c>
      <c r="Z272" s="50">
        <v>2.4509891666666665E-2</v>
      </c>
      <c r="AA272" s="50">
        <v>2.3896943749999969E-2</v>
      </c>
      <c r="AB272" s="50">
        <v>2.3450377777777733E-2</v>
      </c>
      <c r="AC272" s="50">
        <v>2.2563849999999955E-2</v>
      </c>
      <c r="AD272" s="50">
        <v>2.2263086111111042E-2</v>
      </c>
      <c r="AE272" s="50">
        <v>2.3435030555555517E-2</v>
      </c>
      <c r="AF272" s="50">
        <v>2.3350794444444423E-2</v>
      </c>
      <c r="AG272" s="50">
        <v>2.3983711111111066E-2</v>
      </c>
      <c r="AH272" s="50">
        <v>2.491537777777773E-2</v>
      </c>
      <c r="AI272" s="50">
        <v>2.5169683333333182E-2</v>
      </c>
      <c r="AJ272" s="50">
        <v>2.4891072222222196E-2</v>
      </c>
      <c r="AK272" s="50">
        <v>2.3145447222222105E-2</v>
      </c>
      <c r="AL272" s="50">
        <v>2.3711488888888865E-2</v>
      </c>
      <c r="AM272" s="50">
        <v>2.677534444444445E-2</v>
      </c>
      <c r="AN272" s="50">
        <v>2.8250269273151052E-2</v>
      </c>
      <c r="AO272" s="50">
        <v>2.9505419585783208E-2</v>
      </c>
      <c r="AP272" s="50">
        <v>2.9879089617949012E-2</v>
      </c>
      <c r="AQ272" s="50">
        <v>2.8448043234391363E-2</v>
      </c>
      <c r="AR272" s="50">
        <v>2.6836724461759387E-2</v>
      </c>
      <c r="AS272" s="50">
        <v>2.2974869087428487E-2</v>
      </c>
      <c r="AT272" s="50">
        <v>2.0719381799387596E-2</v>
      </c>
      <c r="AU272" s="50">
        <v>2.0952050218593823E-2</v>
      </c>
      <c r="AV272" s="50">
        <v>2.0858823983164562E-2</v>
      </c>
      <c r="AW272" s="49">
        <v>2.0805326121862575E-2</v>
      </c>
      <c r="AX272" s="48">
        <v>2.0205326121862575E-2</v>
      </c>
      <c r="AY272" s="48">
        <v>2.0105326121862575E-2</v>
      </c>
      <c r="AZ272" s="48">
        <v>1.9905326121862577E-2</v>
      </c>
      <c r="BA272" s="48">
        <v>1.9805799491253263E-2</v>
      </c>
      <c r="BB272" s="48">
        <v>1.9706770493796995E-2</v>
      </c>
      <c r="BC272" s="48">
        <v>1.9509702788859024E-2</v>
      </c>
      <c r="BD272" s="48">
        <v>1.9314605760970435E-2</v>
      </c>
      <c r="BE272" s="48">
        <v>1.9073173188958306E-2</v>
      </c>
      <c r="BF272" s="48">
        <v>1.8882441457068723E-2</v>
      </c>
      <c r="BG272" s="48">
        <v>1.8646410938855364E-2</v>
      </c>
      <c r="BH272" s="48">
        <v>1.8646410938855364E-2</v>
      </c>
      <c r="BI272" s="48">
        <v>1.8646410938855364E-2</v>
      </c>
      <c r="BJ272" s="48">
        <v>1.8646410938855364E-2</v>
      </c>
      <c r="BK272" s="48">
        <v>1.8646410938855364E-2</v>
      </c>
      <c r="BL272" s="235">
        <v>1.8646410938855364E-2</v>
      </c>
      <c r="BM272" s="235">
        <v>1.8646410938855364E-2</v>
      </c>
      <c r="BN272" s="235">
        <v>1.8646410938855364E-2</v>
      </c>
      <c r="BO272" s="235">
        <v>1.8646410938855364E-2</v>
      </c>
      <c r="BP272" s="235">
        <v>1.8646410938855364E-2</v>
      </c>
      <c r="BQ272" s="235">
        <v>1.8646410938855364E-2</v>
      </c>
      <c r="BR272" s="48"/>
      <c r="BS272" s="235"/>
      <c r="BT272" s="235"/>
      <c r="BU272" s="235"/>
      <c r="BV272" s="235"/>
      <c r="BW272" s="235"/>
      <c r="BX272" s="235"/>
      <c r="BY272" s="235"/>
      <c r="BZ272" s="235"/>
      <c r="CA272" s="235"/>
      <c r="CB272" s="235"/>
      <c r="CC272" s="48">
        <v>1.4074962313884821E-2</v>
      </c>
      <c r="CD272" s="48">
        <v>1.3866449344575675E-2</v>
      </c>
      <c r="CE272" s="48">
        <v>7.5480622955385011E-3</v>
      </c>
      <c r="CF272" s="48">
        <v>9.1412632334729651E-3</v>
      </c>
      <c r="CG272" s="48">
        <v>8.4463162032808528E-3</v>
      </c>
      <c r="CH272" s="48">
        <v>7.8385618789786303E-3</v>
      </c>
      <c r="CI272" s="48">
        <v>6.1171608341674946E-3</v>
      </c>
      <c r="CJ272" s="48">
        <v>1.634107108585571E-2</v>
      </c>
      <c r="CK272" s="48">
        <v>1.5904370327032222E-2</v>
      </c>
      <c r="CL272" s="48">
        <v>1.9142415527415486E-2</v>
      </c>
      <c r="CM272" s="50">
        <v>2.1855388667174874E-2</v>
      </c>
      <c r="CN272" s="50">
        <v>2.3808315541300352E-2</v>
      </c>
      <c r="CO272" s="50">
        <v>2.2751899350804804E-2</v>
      </c>
      <c r="CP272" s="50">
        <v>2.2725622779412057E-2</v>
      </c>
      <c r="CQ272" s="50">
        <v>2.3524896160076653E-2</v>
      </c>
      <c r="CR272" s="50">
        <v>2.5043043033720278E-2</v>
      </c>
      <c r="CS272" s="50">
        <v>2.3995932381176917E-2</v>
      </c>
      <c r="CT272" s="50">
        <v>2.5191381282101761E-2</v>
      </c>
      <c r="CU272" s="50">
        <v>2.8930652428540708E-2</v>
      </c>
      <c r="CV272" s="50">
        <v>2.9164329589702501E-2</v>
      </c>
      <c r="CW272" s="50">
        <v>2.4882363693418855E-2</v>
      </c>
      <c r="CX272" s="50">
        <v>2.0832140326799069E-2</v>
      </c>
      <c r="CY272" s="49">
        <v>2.08313679121565E-2</v>
      </c>
      <c r="CZ272" s="48">
        <v>2.0151380289137415E-2</v>
      </c>
      <c r="DA272" s="48">
        <v>1.9851593480242045E-2</v>
      </c>
      <c r="DB272" s="48">
        <v>1.9605276021544216E-2</v>
      </c>
      <c r="DC272" s="48">
        <v>1.9191588253465414E-2</v>
      </c>
      <c r="DD272" s="48">
        <v>1.8761575423507565E-2</v>
      </c>
      <c r="DE272" s="48">
        <v>1.864366490738828E-2</v>
      </c>
      <c r="DF272" s="48">
        <v>1.864366490738828E-2</v>
      </c>
      <c r="DG272" s="235">
        <v>1.864458520803243E-2</v>
      </c>
      <c r="DH272" s="235">
        <v>1.864366490738828E-2</v>
      </c>
      <c r="DI272" s="235">
        <v>1.8643664907388283E-2</v>
      </c>
    </row>
    <row r="273" spans="1:113" outlineLevel="1">
      <c r="A273" s="1" t="s">
        <v>228</v>
      </c>
      <c r="B273" s="19" t="s">
        <v>165</v>
      </c>
      <c r="C273" s="235">
        <v>2.6515636183866487E-2</v>
      </c>
      <c r="D273" s="235">
        <v>2.6298422710389069E-2</v>
      </c>
      <c r="E273" s="235">
        <v>2.2058940843833752E-2</v>
      </c>
      <c r="F273" s="235">
        <v>2.254133001474401E-2</v>
      </c>
      <c r="G273" s="235">
        <v>2.2587906391744017E-2</v>
      </c>
      <c r="H273" s="235">
        <v>1.9929990342290704E-2</v>
      </c>
      <c r="I273" s="235">
        <v>1.9661709918541215E-2</v>
      </c>
      <c r="J273" s="235">
        <v>1.9244571097848051E-2</v>
      </c>
      <c r="K273" s="235">
        <v>1.6857532300595168E-2</v>
      </c>
      <c r="L273" s="235">
        <v>1.7149227409423817E-2</v>
      </c>
      <c r="M273" s="48">
        <v>1.5897354058396207E-2</v>
      </c>
      <c r="N273" s="48">
        <v>1.4866969304818678E-2</v>
      </c>
      <c r="O273" s="48">
        <v>1.4207438097186831E-2</v>
      </c>
      <c r="P273" s="48">
        <v>1.2143238194871731E-2</v>
      </c>
      <c r="Q273" s="48">
        <v>1.1687509333655033E-2</v>
      </c>
      <c r="R273" s="48">
        <v>2.1997480030668592E-2</v>
      </c>
      <c r="S273" s="48">
        <v>2.7080497684543237E-2</v>
      </c>
      <c r="T273" s="50">
        <v>2.6171740771211427E-2</v>
      </c>
      <c r="U273" s="48">
        <v>2.6545840605477822E-2</v>
      </c>
      <c r="V273" s="48">
        <v>2.8502241144599427E-2</v>
      </c>
      <c r="W273" s="48">
        <v>3.0917115179291077E-2</v>
      </c>
      <c r="X273" s="48">
        <v>3.23548112542974E-2</v>
      </c>
      <c r="Y273" s="50">
        <v>3.4073607247926296E-2</v>
      </c>
      <c r="Z273" s="50">
        <v>3.530143649481654E-2</v>
      </c>
      <c r="AA273" s="50">
        <v>3.5320725378313433E-2</v>
      </c>
      <c r="AB273" s="50">
        <v>3.5629129458359943E-2</v>
      </c>
      <c r="AC273" s="50">
        <v>3.5403413111693149E-2</v>
      </c>
      <c r="AD273" s="50">
        <v>3.4256548680391408E-2</v>
      </c>
      <c r="AE273" s="50">
        <v>3.494003822147751E-2</v>
      </c>
      <c r="AF273" s="50">
        <v>3.2946400854567903E-2</v>
      </c>
      <c r="AG273" s="50">
        <v>3.3033057755038397E-2</v>
      </c>
      <c r="AH273" s="50">
        <v>3.3172997416979877E-2</v>
      </c>
      <c r="AI273" s="50">
        <v>3.2888242512773447E-2</v>
      </c>
      <c r="AJ273" s="50">
        <v>3.2556594473240219E-2</v>
      </c>
      <c r="AK273" s="50">
        <v>3.0373643242260773E-2</v>
      </c>
      <c r="AL273" s="50">
        <v>3.0589779429510022E-2</v>
      </c>
      <c r="AM273" s="50">
        <v>3.3323039406147892E-2</v>
      </c>
      <c r="AN273" s="50">
        <v>3.3672120612451943E-2</v>
      </c>
      <c r="AO273" s="50">
        <v>3.4699984042093325E-2</v>
      </c>
      <c r="AP273" s="50">
        <v>3.4129720277799501E-2</v>
      </c>
      <c r="AQ273" s="50">
        <v>3.2712703587712798E-2</v>
      </c>
      <c r="AR273" s="50">
        <v>3.1015078852221999E-2</v>
      </c>
      <c r="AS273" s="50">
        <v>2.5428800563193955E-2</v>
      </c>
      <c r="AT273" s="50">
        <v>2.0634596626374107E-2</v>
      </c>
      <c r="AU273" s="50">
        <v>2.0650919426219706E-2</v>
      </c>
      <c r="AV273" s="50">
        <v>2.0848663812578726E-2</v>
      </c>
      <c r="AW273" s="49">
        <v>2.1617185607577083E-2</v>
      </c>
      <c r="AX273" s="48">
        <v>2.1117185607577083E-2</v>
      </c>
      <c r="AY273" s="48">
        <v>2.1117185607577083E-2</v>
      </c>
      <c r="AZ273" s="48">
        <v>2.1117185607577083E-2</v>
      </c>
      <c r="BA273" s="48">
        <v>2.0367185607577082E-2</v>
      </c>
      <c r="BB273" s="48">
        <v>1.9617185607577081E-2</v>
      </c>
      <c r="BC273" s="48">
        <v>1.9617185607577081E-2</v>
      </c>
      <c r="BD273" s="48">
        <v>1.9617185607577081E-2</v>
      </c>
      <c r="BE273" s="48">
        <v>1.9617185607577081E-2</v>
      </c>
      <c r="BF273" s="48">
        <v>1.9617185607577081E-2</v>
      </c>
      <c r="BG273" s="48">
        <v>1.9617185607577081E-2</v>
      </c>
      <c r="BH273" s="48">
        <v>1.9617185607577081E-2</v>
      </c>
      <c r="BI273" s="48">
        <v>1.9617185607577081E-2</v>
      </c>
      <c r="BJ273" s="48">
        <v>1.9617185607577081E-2</v>
      </c>
      <c r="BK273" s="48">
        <v>1.9617185607577081E-2</v>
      </c>
      <c r="BL273" s="235">
        <v>1.9617185607577081E-2</v>
      </c>
      <c r="BM273" s="235">
        <v>1.9617185607577081E-2</v>
      </c>
      <c r="BN273" s="235">
        <v>1.9617185607577081E-2</v>
      </c>
      <c r="BO273" s="235">
        <v>1.9617185607577081E-2</v>
      </c>
      <c r="BP273" s="235">
        <v>1.9617185607577081E-2</v>
      </c>
      <c r="BQ273" s="235">
        <v>1.9617185607577081E-2</v>
      </c>
      <c r="BR273" s="48"/>
      <c r="BS273" s="235"/>
      <c r="BT273" s="235"/>
      <c r="BU273" s="235"/>
      <c r="BV273" s="235"/>
      <c r="BW273" s="235"/>
      <c r="BX273" s="235"/>
      <c r="BY273" s="235"/>
      <c r="BZ273" s="235"/>
      <c r="CA273" s="235"/>
      <c r="CB273" s="235"/>
      <c r="CC273" s="48">
        <v>2.4301516779997711E-2</v>
      </c>
      <c r="CD273" s="48">
        <v>2.2570013298941836E-2</v>
      </c>
      <c r="CE273" s="48">
        <v>1.9787547740808924E-2</v>
      </c>
      <c r="CF273" s="48">
        <v>1.8033269760517084E-2</v>
      </c>
      <c r="CG273" s="48">
        <v>1.6797533239915185E-2</v>
      </c>
      <c r="CH273" s="48">
        <v>1.447205090755764E-2</v>
      </c>
      <c r="CI273" s="48">
        <v>1.2159901366238872E-2</v>
      </c>
      <c r="CJ273" s="48">
        <v>2.3832654669759971E-2</v>
      </c>
      <c r="CK273" s="48">
        <v>2.6410199245496761E-2</v>
      </c>
      <c r="CL273" s="48">
        <v>3.3234834374285531E-2</v>
      </c>
      <c r="CM273" s="50">
        <v>3.7164031945437249E-2</v>
      </c>
      <c r="CN273" s="50">
        <v>3.8696739857080671E-2</v>
      </c>
      <c r="CO273" s="50">
        <v>3.750254844191394E-2</v>
      </c>
      <c r="CP273" s="50">
        <v>3.5944002323838424E-2</v>
      </c>
      <c r="CQ273" s="50">
        <v>3.3334906245108029E-2</v>
      </c>
      <c r="CR273" s="50">
        <v>3.3549659178630141E-2</v>
      </c>
      <c r="CS273" s="50">
        <v>3.1577574528835139E-2</v>
      </c>
      <c r="CT273" s="50">
        <v>3.1754818663066418E-2</v>
      </c>
      <c r="CU273" s="50">
        <v>3.4049813828341158E-2</v>
      </c>
      <c r="CV273" s="50">
        <v>3.3208608160223717E-2</v>
      </c>
      <c r="CW273" s="50">
        <v>2.8146303991298648E-2</v>
      </c>
      <c r="CX273" s="50">
        <v>2.0634190825463753E-2</v>
      </c>
      <c r="CY273" s="49">
        <v>2.1234611534785518E-2</v>
      </c>
      <c r="CZ273" s="48">
        <v>2.1113388499207294E-2</v>
      </c>
      <c r="DA273" s="48">
        <v>2.0737435898078735E-2</v>
      </c>
      <c r="DB273" s="48">
        <v>1.9613658216141191E-2</v>
      </c>
      <c r="DC273" s="48">
        <v>1.9614840367740007E-2</v>
      </c>
      <c r="DD273" s="48">
        <v>1.9613658216141194E-2</v>
      </c>
      <c r="DE273" s="48">
        <v>1.9613658216141187E-2</v>
      </c>
      <c r="DF273" s="48">
        <v>1.9613658216141191E-2</v>
      </c>
      <c r="DG273" s="235">
        <v>1.9614840367740003E-2</v>
      </c>
      <c r="DH273" s="235">
        <v>1.9613658216141191E-2</v>
      </c>
      <c r="DI273" s="235">
        <v>1.9613658216141187E-2</v>
      </c>
    </row>
    <row r="274" spans="1:113" outlineLevel="1">
      <c r="A274" s="1" t="s">
        <v>229</v>
      </c>
      <c r="B274" s="19" t="s">
        <v>166</v>
      </c>
      <c r="C274" s="235">
        <v>3.39303757320931E-2</v>
      </c>
      <c r="D274" s="235">
        <v>3.4516506905834354E-2</v>
      </c>
      <c r="E274" s="235">
        <v>2.6900528243176597E-2</v>
      </c>
      <c r="F274" s="235">
        <v>1.5755539273944456E-2</v>
      </c>
      <c r="G274" s="235">
        <v>1.8086284576542277E-2</v>
      </c>
      <c r="H274" s="235">
        <v>7.8925199510965684E-3</v>
      </c>
      <c r="I274" s="235">
        <v>7.5737037341146868E-2</v>
      </c>
      <c r="J274" s="235">
        <v>4.0563592001387906E-2</v>
      </c>
      <c r="K274" s="235">
        <v>3.3310747314499671E-2</v>
      </c>
      <c r="L274" s="235">
        <v>4.3510499168092964E-2</v>
      </c>
      <c r="M274" s="48">
        <v>-4.334733219168891E-2</v>
      </c>
      <c r="N274" s="48">
        <v>1.9556631900052229E-2</v>
      </c>
      <c r="O274" s="48">
        <v>-3.2499122202661754E-2</v>
      </c>
      <c r="P274" s="48">
        <v>-8.5928376789993988E-2</v>
      </c>
      <c r="Q274" s="48">
        <v>-5.0903381544537052E-2</v>
      </c>
      <c r="R274" s="48">
        <v>-6.6411564745017691E-3</v>
      </c>
      <c r="S274" s="48">
        <v>5.3403734112461083E-2</v>
      </c>
      <c r="T274" s="50">
        <v>3.6842291989933267E-2</v>
      </c>
      <c r="U274" s="48">
        <v>1.8303066874104455E-2</v>
      </c>
      <c r="V274" s="48">
        <v>-2.8398278928327956E-3</v>
      </c>
      <c r="W274" s="48">
        <v>-6.1260881856963836E-3</v>
      </c>
      <c r="X274" s="48">
        <v>-4.9145407770998725E-3</v>
      </c>
      <c r="Y274" s="50">
        <v>6.1232575115524731E-3</v>
      </c>
      <c r="Z274" s="50">
        <v>1.475368095745784E-2</v>
      </c>
      <c r="AA274" s="385">
        <v>2.9739813538248928E-2</v>
      </c>
      <c r="AB274" s="50">
        <v>3.0152302011222976E-2</v>
      </c>
      <c r="AC274" s="50">
        <v>2.0419040171043821E-2</v>
      </c>
      <c r="AD274" s="50">
        <v>1.2059590866059355E-2</v>
      </c>
      <c r="AE274" s="50">
        <v>1.4972778201126E-2</v>
      </c>
      <c r="AF274" s="50">
        <v>2.2820349503912624E-2</v>
      </c>
      <c r="AG274" s="50">
        <v>1.8977478715678321E-2</v>
      </c>
      <c r="AH274" s="50">
        <v>2.5509682113281983E-2</v>
      </c>
      <c r="AI274" s="50">
        <v>2.1745718730295825E-2</v>
      </c>
      <c r="AJ274" s="50">
        <v>2.9166737544287318E-2</v>
      </c>
      <c r="AK274" s="50">
        <v>2.2555129804926174E-2</v>
      </c>
      <c r="AL274" s="50">
        <v>1.2649176557063624E-2</v>
      </c>
      <c r="AM274" s="50">
        <v>4.5764364183766681E-3</v>
      </c>
      <c r="AN274" s="50">
        <v>3.3989028213481778E-2</v>
      </c>
      <c r="AO274" s="50">
        <v>3.4142954372679599E-2</v>
      </c>
      <c r="AP274" s="50">
        <v>4.0165330951836366E-2</v>
      </c>
      <c r="AQ274" s="50">
        <v>4.4845762030612253E-2</v>
      </c>
      <c r="AR274" s="50">
        <v>3.7377422896205388E-2</v>
      </c>
      <c r="AS274" s="50">
        <v>1.1517985450468044E-2</v>
      </c>
      <c r="AT274" s="50">
        <v>-8.0110454130549277E-2</v>
      </c>
      <c r="AU274" s="50">
        <v>-0.10026988182795027</v>
      </c>
      <c r="AV274" s="50">
        <v>-0.10219482865861285</v>
      </c>
      <c r="AW274" s="49">
        <v>-7.854213847030346E-2</v>
      </c>
      <c r="AX274" s="48">
        <v>-7.854213847030346E-2</v>
      </c>
      <c r="AY274" s="48">
        <v>-7.854213847030346E-2</v>
      </c>
      <c r="AZ274" s="48">
        <v>-7.854213847030346E-2</v>
      </c>
      <c r="BA274" s="48">
        <v>-7.854213847030346E-2</v>
      </c>
      <c r="BB274" s="48">
        <v>-7.854213847030346E-2</v>
      </c>
      <c r="BC274" s="48">
        <v>-7.854213847030346E-2</v>
      </c>
      <c r="BD274" s="48">
        <v>-7.854213847030346E-2</v>
      </c>
      <c r="BE274" s="48">
        <v>-7.854213847030346E-2</v>
      </c>
      <c r="BF274" s="48">
        <v>-7.854213847030346E-2</v>
      </c>
      <c r="BG274" s="48">
        <v>-7.854213847030346E-2</v>
      </c>
      <c r="BH274" s="48">
        <v>-7.854213847030346E-2</v>
      </c>
      <c r="BI274" s="48">
        <v>-7.854213847030346E-2</v>
      </c>
      <c r="BJ274" s="48">
        <v>-7.854213847030346E-2</v>
      </c>
      <c r="BK274" s="48">
        <v>-7.854213847030346E-2</v>
      </c>
      <c r="BL274" s="235">
        <v>-7.854213847030346E-2</v>
      </c>
      <c r="BM274" s="235">
        <v>-7.854213847030346E-2</v>
      </c>
      <c r="BN274" s="235">
        <v>-7.854213847030346E-2</v>
      </c>
      <c r="BO274" s="235">
        <v>-7.854213847030346E-2</v>
      </c>
      <c r="BP274" s="235">
        <v>-7.854213847030346E-2</v>
      </c>
      <c r="BQ274" s="235">
        <v>-7.854213847030346E-2</v>
      </c>
      <c r="BR274" s="48"/>
      <c r="BS274" s="235"/>
      <c r="BT274" s="235"/>
      <c r="BU274" s="235"/>
      <c r="BV274" s="235"/>
      <c r="BW274" s="235"/>
      <c r="BX274" s="235"/>
      <c r="BY274" s="235"/>
      <c r="BZ274" s="235"/>
      <c r="CA274" s="235"/>
      <c r="CB274" s="235"/>
      <c r="CC274" s="48">
        <v>3.0920422752985285E-2</v>
      </c>
      <c r="CD274" s="48">
        <v>1.6897074609634424E-2</v>
      </c>
      <c r="CE274" s="48">
        <v>3.7672399354334189E-2</v>
      </c>
      <c r="CF274" s="48">
        <v>3.6353828912106763E-2</v>
      </c>
      <c r="CG274" s="48">
        <v>2.6839349056500427E-4</v>
      </c>
      <c r="CH274" s="48">
        <v>-9.4554977375214608E-3</v>
      </c>
      <c r="CI274" s="48">
        <v>-6.8630608734859197E-2</v>
      </c>
      <c r="CJ274" s="48">
        <v>2.7416861946438116E-2</v>
      </c>
      <c r="CK274" s="48">
        <v>2.7661664076745043E-2</v>
      </c>
      <c r="CL274" s="48">
        <v>-4.3629660879621699E-3</v>
      </c>
      <c r="CM274" s="50">
        <v>6.2382460485631091E-4</v>
      </c>
      <c r="CN274" s="50">
        <v>2.1751124701873865E-2</v>
      </c>
      <c r="CO274" s="50">
        <v>2.5173198110084033E-2</v>
      </c>
      <c r="CP274" s="50">
        <v>1.3355105832699865E-2</v>
      </c>
      <c r="CQ274" s="50">
        <v>2.1225482533960369E-2</v>
      </c>
      <c r="CR274" s="50">
        <v>2.3281397353095184E-2</v>
      </c>
      <c r="CS274" s="50">
        <v>2.6006386182471485E-2</v>
      </c>
      <c r="CT274" s="50">
        <v>8.9227928057660812E-3</v>
      </c>
      <c r="CU274" s="50">
        <v>3.3629257980632328E-2</v>
      </c>
      <c r="CV274" s="50">
        <v>4.273969656508133E-2</v>
      </c>
      <c r="CW274" s="50">
        <v>2.4112099855135349E-2</v>
      </c>
      <c r="CX274" s="50">
        <v>-9.023743008902467E-2</v>
      </c>
      <c r="CY274" s="49">
        <v>-9.0913735898753859E-2</v>
      </c>
      <c r="CZ274" s="48">
        <v>-7.8528015707123311E-2</v>
      </c>
      <c r="DA274" s="48">
        <v>-7.8528015707123311E-2</v>
      </c>
      <c r="DB274" s="48">
        <v>-7.8528015707123325E-2</v>
      </c>
      <c r="DC274" s="48">
        <v>-7.8532748736438757E-2</v>
      </c>
      <c r="DD274" s="48">
        <v>-7.8528015707123311E-2</v>
      </c>
      <c r="DE274" s="48">
        <v>-7.8528015707123325E-2</v>
      </c>
      <c r="DF274" s="48">
        <v>-7.8528015707123311E-2</v>
      </c>
      <c r="DG274" s="235">
        <v>-7.8532748736438757E-2</v>
      </c>
      <c r="DH274" s="235">
        <v>-7.8528015707123311E-2</v>
      </c>
      <c r="DI274" s="235">
        <v>-7.8528015707123311E-2</v>
      </c>
    </row>
    <row r="275" spans="1:113" outlineLevel="1">
      <c r="A275" s="1" t="s">
        <v>230</v>
      </c>
      <c r="B275" s="19" t="s">
        <v>167</v>
      </c>
      <c r="C275" s="235">
        <v>1.8635766098308963E-2</v>
      </c>
      <c r="D275" s="235">
        <v>2.095898584894347E-2</v>
      </c>
      <c r="E275" s="235">
        <v>1.9173711396496998E-2</v>
      </c>
      <c r="F275" s="235">
        <v>2.0128833264515748E-2</v>
      </c>
      <c r="G275" s="235">
        <v>2.247326063061994E-2</v>
      </c>
      <c r="H275" s="235">
        <v>1.7603788034111403E-2</v>
      </c>
      <c r="I275" s="235">
        <v>1.5193249894360321E-2</v>
      </c>
      <c r="J275" s="235">
        <v>1.5666062258918416E-2</v>
      </c>
      <c r="K275" s="235">
        <v>1.4007067780205176E-2</v>
      </c>
      <c r="L275" s="235">
        <v>1.4801320878503013E-2</v>
      </c>
      <c r="M275" s="48">
        <v>1.3926433757629177E-2</v>
      </c>
      <c r="N275" s="48">
        <v>1.1254514139820294E-2</v>
      </c>
      <c r="O275" s="48">
        <v>9.7096577564007164E-3</v>
      </c>
      <c r="P275" s="48">
        <v>8.0553150180827232E-3</v>
      </c>
      <c r="Q275" s="48">
        <v>1.0201520200173654E-2</v>
      </c>
      <c r="R275" s="48">
        <v>3.017232629464317E-2</v>
      </c>
      <c r="S275" s="48">
        <v>5.0699940408169525E-2</v>
      </c>
      <c r="T275" s="50">
        <v>4.6205490430322627E-2</v>
      </c>
      <c r="U275" s="48">
        <v>4.5607568128101406E-2</v>
      </c>
      <c r="V275" s="48">
        <v>4.5919721677392111E-2</v>
      </c>
      <c r="W275" s="48">
        <v>4.5852977655322924E-2</v>
      </c>
      <c r="X275" s="48">
        <v>4.7479169678848201E-2</v>
      </c>
      <c r="Y275" s="50">
        <v>5.2863213445058982E-2</v>
      </c>
      <c r="Z275" s="50">
        <v>5.719106706515209E-2</v>
      </c>
      <c r="AA275" s="50">
        <v>6.0971445207642042E-2</v>
      </c>
      <c r="AB275" s="50">
        <v>6.3403021973661502E-2</v>
      </c>
      <c r="AC275" s="50">
        <v>6.2475750323156554E-2</v>
      </c>
      <c r="AD275" s="50">
        <v>6.0691182513120445E-2</v>
      </c>
      <c r="AE275" s="50">
        <v>6.3061193138813046E-2</v>
      </c>
      <c r="AF275" s="50">
        <v>6.2745247817979966E-2</v>
      </c>
      <c r="AG275" s="50">
        <v>6.2559540615919979E-2</v>
      </c>
      <c r="AH275" s="50">
        <v>6.5622224154752523E-2</v>
      </c>
      <c r="AI275" s="50">
        <v>6.6534907280107497E-2</v>
      </c>
      <c r="AJ275" s="50">
        <v>6.3516017403794756E-2</v>
      </c>
      <c r="AK275" s="50">
        <v>6.0883479145981717E-2</v>
      </c>
      <c r="AL275" s="50">
        <v>5.991977299858231E-2</v>
      </c>
      <c r="AM275" s="50">
        <v>6.3927599172305755E-2</v>
      </c>
      <c r="AN275" s="50">
        <v>6.5064945839474642E-2</v>
      </c>
      <c r="AO275" s="50">
        <v>6.7192655931039E-2</v>
      </c>
      <c r="AP275" s="50">
        <v>6.543315368452092E-2</v>
      </c>
      <c r="AQ275" s="50">
        <v>6.4049455243246622E-2</v>
      </c>
      <c r="AR275" s="50">
        <v>6.1699692125150675E-2</v>
      </c>
      <c r="AS275" s="50">
        <v>5.5344288326760784E-2</v>
      </c>
      <c r="AT275" s="50">
        <v>4.3797034590042229E-2</v>
      </c>
      <c r="AU275" s="50">
        <v>4.090926467368753E-2</v>
      </c>
      <c r="AV275" s="50">
        <v>3.9797449907440212E-2</v>
      </c>
      <c r="AW275" s="49">
        <v>4.0862480625620173E-2</v>
      </c>
      <c r="AX275" s="48">
        <v>3.8538072933312476E-2</v>
      </c>
      <c r="AY275" s="48">
        <v>4.2288072933312472E-2</v>
      </c>
      <c r="AZ275" s="48">
        <v>4.778807293331247E-2</v>
      </c>
      <c r="BA275" s="48">
        <v>4.9538072933312471E-2</v>
      </c>
      <c r="BB275" s="48">
        <v>4.9538072933312471E-2</v>
      </c>
      <c r="BC275" s="48">
        <v>4.9538072933312471E-2</v>
      </c>
      <c r="BD275" s="48">
        <v>4.9538072933312471E-2</v>
      </c>
      <c r="BE275" s="48">
        <v>4.9538072933312471E-2</v>
      </c>
      <c r="BF275" s="48">
        <v>4.9538072933312471E-2</v>
      </c>
      <c r="BG275" s="48">
        <v>4.9538072933312471E-2</v>
      </c>
      <c r="BH275" s="48">
        <v>4.9538072933312471E-2</v>
      </c>
      <c r="BI275" s="48">
        <v>4.9538072933312471E-2</v>
      </c>
      <c r="BJ275" s="48">
        <v>4.9538072933312471E-2</v>
      </c>
      <c r="BK275" s="48">
        <v>4.9538072933312471E-2</v>
      </c>
      <c r="BL275" s="235">
        <v>4.9538072933312471E-2</v>
      </c>
      <c r="BM275" s="235">
        <v>4.9538072933312471E-2</v>
      </c>
      <c r="BN275" s="235">
        <v>4.9538072933312471E-2</v>
      </c>
      <c r="BO275" s="235">
        <v>4.9538072933312471E-2</v>
      </c>
      <c r="BP275" s="235">
        <v>4.9538072933312471E-2</v>
      </c>
      <c r="BQ275" s="235">
        <v>4.9538072933312471E-2</v>
      </c>
      <c r="BR275" s="48"/>
      <c r="BS275" s="235"/>
      <c r="BT275" s="235"/>
      <c r="BU275" s="235"/>
      <c r="BV275" s="235"/>
      <c r="BW275" s="235"/>
      <c r="BX275" s="235"/>
      <c r="BY275" s="235"/>
      <c r="BZ275" s="235"/>
      <c r="CA275" s="235"/>
      <c r="CB275" s="235"/>
      <c r="CC275" s="48">
        <v>1.995827627913033E-2</v>
      </c>
      <c r="CD275" s="48">
        <v>2.1302365969382318E-2</v>
      </c>
      <c r="CE275" s="48">
        <v>1.6382673408656657E-2</v>
      </c>
      <c r="CF275" s="48">
        <v>1.4809410005749906E-2</v>
      </c>
      <c r="CG275" s="48">
        <v>1.4144184573191134E-2</v>
      </c>
      <c r="CH275" s="48">
        <v>1.0245083470186126E-2</v>
      </c>
      <c r="CI275" s="48">
        <v>9.2149452393053537E-3</v>
      </c>
      <c r="CJ275" s="48">
        <v>3.7993444694164567E-2</v>
      </c>
      <c r="CK275" s="48">
        <v>4.6443924860762292E-2</v>
      </c>
      <c r="CL275" s="48">
        <v>4.4820527194177673E-2</v>
      </c>
      <c r="CM275" s="50">
        <v>4.8865304327015704E-2</v>
      </c>
      <c r="CN275" s="50">
        <v>5.8263999564937531E-2</v>
      </c>
      <c r="CO275" s="50">
        <v>6.2364408025522157E-2</v>
      </c>
      <c r="CP275" s="50">
        <v>6.2148780105447464E-2</v>
      </c>
      <c r="CQ275" s="50">
        <v>6.2901967018166555E-2</v>
      </c>
      <c r="CR275" s="50">
        <v>6.6225148034933165E-2</v>
      </c>
      <c r="CS275" s="50">
        <v>6.2311916401998346E-2</v>
      </c>
      <c r="CT275" s="50">
        <v>6.1770727588934794E-2</v>
      </c>
      <c r="CU275" s="50">
        <v>6.7770217496346763E-2</v>
      </c>
      <c r="CV275" s="50">
        <v>6.4539028508980134E-2</v>
      </c>
      <c r="CW275" s="50">
        <v>5.8584331140966846E-2</v>
      </c>
      <c r="CX275" s="50">
        <v>4.2348924708948306E-2</v>
      </c>
      <c r="CY275" s="49">
        <v>4.0326498634123013E-2</v>
      </c>
      <c r="CZ275" s="48">
        <v>4.0403700602921158E-2</v>
      </c>
      <c r="DA275" s="48">
        <v>4.8656255789095347E-2</v>
      </c>
      <c r="DB275" s="48">
        <v>4.9534011656293619E-2</v>
      </c>
      <c r="DC275" s="48">
        <v>4.9535372775794013E-2</v>
      </c>
      <c r="DD275" s="48">
        <v>4.9534011656293619E-2</v>
      </c>
      <c r="DE275" s="48">
        <v>4.9534011656293613E-2</v>
      </c>
      <c r="DF275" s="48">
        <v>4.9534011656293619E-2</v>
      </c>
      <c r="DG275" s="235">
        <v>4.9535372775794013E-2</v>
      </c>
      <c r="DH275" s="235">
        <v>4.9534011656293619E-2</v>
      </c>
      <c r="DI275" s="235">
        <v>4.9534011656293619E-2</v>
      </c>
    </row>
    <row r="276" spans="1:113" s="24" customFormat="1" outlineLevel="1">
      <c r="A276" s="1" t="s">
        <v>231</v>
      </c>
      <c r="B276" s="24" t="s">
        <v>168</v>
      </c>
      <c r="C276" s="561">
        <v>2.1713995351030857E-2</v>
      </c>
      <c r="D276" s="561">
        <v>2.1296937069433731E-2</v>
      </c>
      <c r="E276" s="561">
        <v>1.6778969528356738E-2</v>
      </c>
      <c r="F276" s="561">
        <v>1.600025536534478E-2</v>
      </c>
      <c r="G276" s="561">
        <v>1.6923982335277095E-2</v>
      </c>
      <c r="H276" s="561">
        <v>1.3805720284544888E-2</v>
      </c>
      <c r="I276" s="561">
        <v>1.254343861800148E-2</v>
      </c>
      <c r="J276" s="561">
        <v>1.4094983826307673E-2</v>
      </c>
      <c r="K276" s="561">
        <v>1.2549610928635047E-2</v>
      </c>
      <c r="L276" s="561">
        <v>1.3755354687392911E-2</v>
      </c>
      <c r="M276" s="174">
        <v>5.5027114061053511E-3</v>
      </c>
      <c r="N276" s="174">
        <v>1.0182176061664619E-2</v>
      </c>
      <c r="O276" s="174">
        <v>5.1735172541449714E-3</v>
      </c>
      <c r="P276" s="174">
        <v>-5.3761601357767697E-3</v>
      </c>
      <c r="Q276" s="174">
        <v>-6.1213092914026712E-4</v>
      </c>
      <c r="R276" s="174">
        <v>1.3382150900831211E-2</v>
      </c>
      <c r="S276" s="174">
        <v>2.7243552728129554E-2</v>
      </c>
      <c r="T276" s="174">
        <v>2.1705132384092975E-2</v>
      </c>
      <c r="U276" s="174">
        <v>1.9705978978310716E-2</v>
      </c>
      <c r="V276" s="174">
        <v>1.8644565413285963E-2</v>
      </c>
      <c r="W276" s="174">
        <v>1.982361392197643E-2</v>
      </c>
      <c r="X276" s="93">
        <v>2.0770567694524913E-2</v>
      </c>
      <c r="Y276" s="174">
        <v>2.4402879959798604E-2</v>
      </c>
      <c r="Z276" s="174">
        <v>2.6441608387995724E-2</v>
      </c>
      <c r="AA276" s="175">
        <v>2.8042978981607406E-2</v>
      </c>
      <c r="AB276" s="175">
        <v>2.7886880811439949E-2</v>
      </c>
      <c r="AC276" s="175">
        <v>2.5883582964142917E-2</v>
      </c>
      <c r="AD276" s="175">
        <v>2.4300378659717584E-2</v>
      </c>
      <c r="AE276" s="495">
        <v>2.5603258901372192E-2</v>
      </c>
      <c r="AF276" s="495">
        <v>2.6203627781987645E-2</v>
      </c>
      <c r="AG276" s="175">
        <v>2.6004390810127464E-2</v>
      </c>
      <c r="AH276" s="175">
        <v>2.7678113423808284E-2</v>
      </c>
      <c r="AI276" s="175">
        <v>2.7277309156361999E-2</v>
      </c>
      <c r="AJ276" s="175">
        <v>2.7898986533115962E-2</v>
      </c>
      <c r="AK276" s="175">
        <v>2.5401363061844626E-2</v>
      </c>
      <c r="AL276" s="175">
        <v>2.454390329884024E-2</v>
      </c>
      <c r="AM276" s="175">
        <v>2.6326755058919269E-2</v>
      </c>
      <c r="AN276" s="175">
        <v>3.078650865384313E-2</v>
      </c>
      <c r="AO276" s="175">
        <v>3.1798493494955893E-2</v>
      </c>
      <c r="AP276" s="175">
        <v>3.2507161434874594E-2</v>
      </c>
      <c r="AQ276" s="175">
        <v>3.158606076674686E-2</v>
      </c>
      <c r="AR276" s="175">
        <v>2.923446800328957E-2</v>
      </c>
      <c r="AS276" s="175">
        <v>2.2897364452583266E-2</v>
      </c>
      <c r="AT276" s="175">
        <v>1.0579923456379141E-2</v>
      </c>
      <c r="AU276" s="175">
        <v>8.5397004193646167E-3</v>
      </c>
      <c r="AV276" s="175">
        <v>9.0594343039225797E-3</v>
      </c>
      <c r="AW276" s="169">
        <v>1.2271176345786339E-2</v>
      </c>
      <c r="AX276" s="92">
        <v>1.2007624976934523E-2</v>
      </c>
      <c r="AY276" s="92">
        <v>1.2005984281474574E-2</v>
      </c>
      <c r="AZ276" s="92">
        <v>1.1980336625697906E-2</v>
      </c>
      <c r="BA276" s="92">
        <v>1.181039839724313E-2</v>
      </c>
      <c r="BB276" s="92">
        <v>1.1577319122772208E-2</v>
      </c>
      <c r="BC276" s="92">
        <v>1.1404334841616863E-2</v>
      </c>
      <c r="BD276" s="92">
        <v>1.1233017951039781E-2</v>
      </c>
      <c r="BE276" s="92">
        <v>1.1028710785147527E-2</v>
      </c>
      <c r="BF276" s="92">
        <v>1.086105641466794E-2</v>
      </c>
      <c r="BG276" s="92">
        <v>1.0661211802231627E-2</v>
      </c>
      <c r="BH276" s="92">
        <v>1.0630540961200545E-2</v>
      </c>
      <c r="BI276" s="92">
        <v>1.0599868464721293E-2</v>
      </c>
      <c r="BJ276" s="92">
        <v>1.0569194071571204E-2</v>
      </c>
      <c r="BK276" s="92">
        <v>1.0538517543536319E-2</v>
      </c>
      <c r="BL276" s="562">
        <v>1.0507838645403498E-2</v>
      </c>
      <c r="BM276" s="562">
        <v>1.0477157144952514E-2</v>
      </c>
      <c r="BN276" s="562">
        <v>1.0446472812948053E-2</v>
      </c>
      <c r="BO276" s="562">
        <v>1.0415785423131638E-2</v>
      </c>
      <c r="BP276" s="562">
        <v>1.0385094752213567E-2</v>
      </c>
      <c r="BQ276" s="562">
        <v>1.0354400579864732E-2</v>
      </c>
      <c r="BR276" s="92"/>
      <c r="BS276" s="572">
        <v>4.044525936967551E-2</v>
      </c>
      <c r="BT276" s="572">
        <v>4.4032516299751745E-2</v>
      </c>
      <c r="BU276" s="572">
        <v>3.9206542281361494E-2</v>
      </c>
      <c r="BV276" s="572">
        <v>1.9663899173087751E-2</v>
      </c>
      <c r="BW276" s="572">
        <v>2.3211657519209658E-2</v>
      </c>
      <c r="BX276" s="572">
        <v>2.6446526768907637E-2</v>
      </c>
      <c r="BY276" s="572">
        <v>2.5307653708822854E-2</v>
      </c>
      <c r="BZ276" s="572">
        <v>2.142809523095382E-2</v>
      </c>
      <c r="CA276" s="572">
        <v>1.4512948595833443E-2</v>
      </c>
      <c r="CB276" s="572">
        <v>1.7397005655528347E-2</v>
      </c>
      <c r="CC276" s="92">
        <v>1.9027896411931592E-2</v>
      </c>
      <c r="CD276" s="92">
        <v>1.6461598046161884E-2</v>
      </c>
      <c r="CE276" s="92">
        <v>1.3149973625517583E-2</v>
      </c>
      <c r="CF276" s="92">
        <v>1.3294142625369779E-2</v>
      </c>
      <c r="CG276" s="92">
        <v>9.5406540008162437E-3</v>
      </c>
      <c r="CH276" s="92">
        <v>7.31201630070145E-3</v>
      </c>
      <c r="CI276" s="92">
        <v>-2.9150803956545504E-3</v>
      </c>
      <c r="CJ276" s="92">
        <v>2.0485286415933866E-2</v>
      </c>
      <c r="CK276" s="92">
        <v>2.0699956032398405E-2</v>
      </c>
      <c r="CL276" s="92">
        <v>1.9230981744231511E-2</v>
      </c>
      <c r="CM276" s="170">
        <v>2.259456750240298E-2</v>
      </c>
      <c r="CN276" s="170">
        <v>2.7238961613632966E-2</v>
      </c>
      <c r="CO276" s="170">
        <v>2.6879881436211756E-2</v>
      </c>
      <c r="CP276" s="170">
        <v>2.495620124146819E-2</v>
      </c>
      <c r="CQ276" s="170">
        <v>2.6103392454318142E-2</v>
      </c>
      <c r="CR276" s="170">
        <v>2.7477621588968326E-2</v>
      </c>
      <c r="CS276" s="170">
        <v>2.6658814668508866E-2</v>
      </c>
      <c r="CT276" s="170">
        <v>2.5430151114707495E-2</v>
      </c>
      <c r="CU276" s="170">
        <v>3.1293543331673015E-2</v>
      </c>
      <c r="CV276" s="170">
        <v>3.2046394132465121E-2</v>
      </c>
      <c r="CW276" s="170">
        <v>2.6029059181513901E-2</v>
      </c>
      <c r="CX276" s="170">
        <v>9.5538452982192861E-3</v>
      </c>
      <c r="CY276" s="94">
        <v>1.0661167056549105E-2</v>
      </c>
      <c r="CZ276" s="92">
        <v>1.200459640390884E-2</v>
      </c>
      <c r="DA276" s="92">
        <v>1.1892886628469343E-2</v>
      </c>
      <c r="DB276" s="92">
        <v>1.1488947098373998E-2</v>
      </c>
      <c r="DC276" s="92">
        <v>1.1129316033325521E-2</v>
      </c>
      <c r="DD276" s="92">
        <v>1.075934863820153E-2</v>
      </c>
      <c r="DE276" s="92">
        <v>1.0613542331353637E-2</v>
      </c>
      <c r="DF276" s="92">
        <v>1.0552202090000025E-2</v>
      </c>
      <c r="DG276" s="562">
        <v>1.0491355683359892E-2</v>
      </c>
      <c r="DH276" s="562">
        <v>1.0429492763461107E-2</v>
      </c>
      <c r="DI276" s="562">
        <v>1.036812001081293E-2</v>
      </c>
    </row>
    <row r="277" spans="1:113" outlineLevel="1">
      <c r="C277" s="235"/>
      <c r="D277" s="235"/>
      <c r="E277" s="235"/>
      <c r="F277" s="235"/>
      <c r="G277" s="235"/>
      <c r="H277" s="235"/>
      <c r="I277" s="235"/>
      <c r="J277" s="235"/>
      <c r="K277" s="235"/>
      <c r="L277" s="235"/>
      <c r="M277" s="48"/>
      <c r="N277" s="48"/>
      <c r="O277" s="48"/>
      <c r="P277" s="48"/>
      <c r="Q277" s="48"/>
      <c r="R277" s="48"/>
      <c r="S277" s="48"/>
      <c r="T277" s="48"/>
      <c r="U277" s="48"/>
      <c r="V277" s="48"/>
      <c r="W277" s="48"/>
      <c r="X277" s="48"/>
      <c r="Y277" s="50"/>
      <c r="Z277" s="50"/>
      <c r="AA277" s="50"/>
      <c r="AB277" s="50"/>
      <c r="AC277" s="50"/>
      <c r="AD277" s="50"/>
      <c r="AE277" s="385"/>
      <c r="AF277" s="385"/>
      <c r="AG277" s="50"/>
      <c r="AH277" s="50"/>
      <c r="AI277" s="50"/>
      <c r="AJ277" s="50"/>
      <c r="AK277" s="50"/>
      <c r="AL277" s="50"/>
      <c r="AM277" s="50"/>
      <c r="AN277" s="50"/>
      <c r="AO277" s="50"/>
      <c r="AP277" s="175"/>
      <c r="AQ277" s="175"/>
      <c r="AR277" s="175"/>
      <c r="AS277" s="175"/>
      <c r="AT277" s="175"/>
      <c r="AU277" s="175"/>
      <c r="AV277" s="175"/>
      <c r="AW277" s="169"/>
      <c r="AX277" s="48"/>
      <c r="AY277" s="48"/>
      <c r="AZ277" s="48"/>
      <c r="BA277" s="48"/>
      <c r="BB277" s="48"/>
      <c r="BC277" s="48"/>
      <c r="BD277" s="48"/>
      <c r="BE277" s="48"/>
      <c r="BF277" s="48"/>
      <c r="BG277" s="48"/>
      <c r="BH277" s="48"/>
      <c r="BI277" s="48"/>
      <c r="BJ277" s="48"/>
      <c r="BK277" s="48"/>
      <c r="BL277" s="235"/>
      <c r="BM277" s="235"/>
      <c r="BN277" s="235"/>
      <c r="BO277" s="235"/>
      <c r="BP277" s="235"/>
      <c r="BQ277" s="235"/>
      <c r="BR277" s="48"/>
      <c r="BS277" s="235"/>
      <c r="BT277" s="235"/>
      <c r="BU277" s="235"/>
      <c r="BV277" s="235"/>
      <c r="BW277" s="235"/>
      <c r="BX277" s="235"/>
      <c r="BY277" s="235"/>
      <c r="BZ277" s="235"/>
      <c r="CA277" s="235"/>
      <c r="CB277" s="235"/>
      <c r="CC277" s="48"/>
      <c r="CD277" s="48"/>
      <c r="CE277" s="48"/>
      <c r="CF277" s="48"/>
      <c r="CG277" s="48"/>
      <c r="CH277" s="48"/>
      <c r="CI277" s="48"/>
      <c r="CJ277" s="48"/>
      <c r="CK277" s="48"/>
      <c r="CL277" s="48"/>
      <c r="CM277" s="50"/>
      <c r="CN277" s="50"/>
      <c r="CO277" s="50"/>
      <c r="CP277" s="50"/>
      <c r="CQ277" s="50"/>
      <c r="CR277" s="50"/>
      <c r="CS277" s="50"/>
      <c r="CT277" s="50"/>
      <c r="CU277" s="50"/>
      <c r="CV277" s="50"/>
      <c r="CW277" s="50"/>
      <c r="CX277" s="50"/>
      <c r="CY277" s="49"/>
      <c r="CZ277" s="48"/>
      <c r="DA277" s="48"/>
      <c r="DB277" s="48"/>
    </row>
    <row r="278" spans="1:113" s="24" customFormat="1" outlineLevel="1">
      <c r="A278" s="1"/>
      <c r="B278" s="24" t="s">
        <v>406</v>
      </c>
      <c r="C278" s="562"/>
      <c r="D278" s="562"/>
      <c r="E278" s="562"/>
      <c r="F278" s="562"/>
      <c r="G278" s="562"/>
      <c r="H278" s="562"/>
      <c r="I278" s="562"/>
      <c r="J278" s="562"/>
      <c r="K278" s="562"/>
      <c r="L278" s="562"/>
      <c r="M278" s="92"/>
      <c r="N278" s="92"/>
      <c r="O278" s="92"/>
      <c r="P278" s="92"/>
      <c r="Q278" s="92"/>
      <c r="R278" s="92"/>
      <c r="S278" s="92"/>
      <c r="T278" s="92"/>
      <c r="U278" s="92"/>
      <c r="V278" s="92"/>
      <c r="W278" s="92"/>
      <c r="X278" s="92"/>
      <c r="Y278" s="170"/>
      <c r="Z278" s="170"/>
      <c r="AA278" s="170"/>
      <c r="AB278" s="170"/>
      <c r="AC278" s="170"/>
      <c r="AD278" s="170"/>
      <c r="AE278" s="496"/>
      <c r="AF278" s="496"/>
      <c r="AG278" s="170"/>
      <c r="AH278" s="170"/>
      <c r="AI278" s="170"/>
      <c r="AJ278" s="170"/>
      <c r="AK278" s="170"/>
      <c r="AL278" s="170"/>
      <c r="AM278" s="170"/>
      <c r="AN278" s="170"/>
      <c r="AO278" s="170"/>
      <c r="AP278" s="170"/>
      <c r="AQ278" s="170"/>
      <c r="AR278" s="170"/>
      <c r="AS278" s="170"/>
      <c r="AT278" s="170"/>
      <c r="AU278" s="170"/>
      <c r="AV278" s="170"/>
      <c r="AW278" s="94"/>
      <c r="AX278" s="92"/>
      <c r="AY278" s="92"/>
      <c r="AZ278" s="92"/>
      <c r="BA278" s="92"/>
      <c r="BB278" s="92"/>
      <c r="BC278" s="92"/>
      <c r="BD278" s="92"/>
      <c r="BE278" s="92"/>
      <c r="BF278" s="92"/>
      <c r="BG278" s="92"/>
      <c r="BH278" s="92"/>
      <c r="BI278" s="92"/>
      <c r="BJ278" s="92"/>
      <c r="BK278" s="92"/>
      <c r="BL278" s="562"/>
      <c r="BM278" s="562"/>
      <c r="BN278" s="562"/>
      <c r="BO278" s="562"/>
      <c r="BP278" s="562"/>
      <c r="BQ278" s="562"/>
      <c r="BR278" s="92"/>
      <c r="BS278" s="562"/>
      <c r="BT278" s="562"/>
      <c r="BU278" s="562"/>
      <c r="BV278" s="562"/>
      <c r="BW278" s="562"/>
      <c r="BX278" s="562"/>
      <c r="BY278" s="562"/>
      <c r="BZ278" s="562"/>
      <c r="CA278" s="562"/>
      <c r="CB278" s="562"/>
      <c r="CC278" s="92"/>
      <c r="CD278" s="92"/>
      <c r="CE278" s="92"/>
      <c r="CF278" s="92"/>
      <c r="CG278" s="92"/>
      <c r="CH278" s="92"/>
      <c r="CI278" s="92"/>
      <c r="CJ278" s="92"/>
      <c r="CK278" s="92"/>
      <c r="CL278" s="92"/>
      <c r="CM278" s="170"/>
      <c r="CN278" s="170"/>
      <c r="CO278" s="170"/>
      <c r="CP278" s="170"/>
      <c r="CQ278" s="170"/>
      <c r="CR278" s="170"/>
      <c r="CS278" s="170"/>
      <c r="CT278" s="170"/>
      <c r="CU278" s="170"/>
      <c r="CV278" s="170"/>
      <c r="CW278" s="170"/>
      <c r="CX278" s="170"/>
      <c r="CY278" s="94"/>
      <c r="CZ278" s="92"/>
      <c r="DA278" s="92"/>
      <c r="DB278" s="92"/>
    </row>
    <row r="279" spans="1:113" outlineLevel="1">
      <c r="A279" s="1" t="s">
        <v>144</v>
      </c>
      <c r="B279" s="19" t="s">
        <v>164</v>
      </c>
      <c r="C279" s="235"/>
      <c r="D279" s="235"/>
      <c r="E279" s="235"/>
      <c r="F279" s="235"/>
      <c r="G279" s="235"/>
      <c r="H279" s="235"/>
      <c r="I279" s="235"/>
      <c r="J279" s="235"/>
      <c r="K279" s="235"/>
      <c r="L279" s="235"/>
      <c r="M279" s="48"/>
      <c r="N279" s="48"/>
      <c r="O279" s="48"/>
      <c r="P279" s="48"/>
      <c r="Q279" s="48"/>
      <c r="R279" s="48"/>
      <c r="S279" s="48"/>
      <c r="T279" s="48"/>
      <c r="U279" s="48"/>
      <c r="V279" s="48"/>
      <c r="W279" s="48"/>
      <c r="X279" s="48"/>
      <c r="Y279" s="50"/>
      <c r="Z279" s="50"/>
      <c r="AA279" s="50"/>
      <c r="AB279" s="50"/>
      <c r="AC279" s="50"/>
      <c r="AD279" s="50"/>
      <c r="AE279" s="385"/>
      <c r="AF279" s="385"/>
      <c r="AG279" s="50"/>
      <c r="AH279" s="50"/>
      <c r="AI279" s="50"/>
      <c r="AJ279" s="50"/>
      <c r="AK279" s="50"/>
      <c r="AL279" s="50"/>
      <c r="AM279" s="50"/>
      <c r="AN279" s="50"/>
      <c r="AO279" s="50"/>
      <c r="AP279" s="50"/>
      <c r="AQ279" s="50"/>
      <c r="AR279" s="50"/>
      <c r="AS279" s="50"/>
      <c r="AT279" s="50"/>
      <c r="AU279" s="50"/>
      <c r="AV279" s="50"/>
      <c r="AW279" s="49"/>
      <c r="AX279" s="48"/>
      <c r="AY279" s="48"/>
      <c r="AZ279" s="48"/>
      <c r="BA279" s="48"/>
      <c r="BB279" s="48"/>
      <c r="BC279" s="48"/>
      <c r="BD279" s="48"/>
      <c r="BE279" s="48"/>
      <c r="BF279" s="48"/>
      <c r="BG279" s="48"/>
      <c r="BH279" s="48"/>
      <c r="BI279" s="48"/>
      <c r="BJ279" s="48"/>
      <c r="BK279" s="48"/>
      <c r="BL279" s="235"/>
      <c r="BM279" s="235"/>
      <c r="BN279" s="235"/>
      <c r="BO279" s="235"/>
      <c r="BP279" s="235"/>
      <c r="BQ279" s="235"/>
      <c r="BR279" s="48"/>
      <c r="BS279" s="235"/>
      <c r="BT279" s="235"/>
      <c r="BU279" s="235"/>
      <c r="BV279" s="235"/>
      <c r="BW279" s="235"/>
      <c r="BX279" s="235"/>
      <c r="BY279" s="235"/>
      <c r="BZ279" s="235"/>
      <c r="CA279" s="235"/>
      <c r="CB279" s="235"/>
      <c r="CC279" s="48"/>
      <c r="CD279" s="48"/>
      <c r="CE279" s="48"/>
      <c r="CF279" s="48"/>
      <c r="CG279" s="48"/>
      <c r="CH279" s="48"/>
      <c r="CI279" s="48"/>
      <c r="CJ279" s="48"/>
      <c r="CK279" s="48"/>
      <c r="CL279" s="48"/>
      <c r="CM279" s="50"/>
      <c r="CN279" s="50"/>
      <c r="CO279" s="50"/>
      <c r="CP279" s="50"/>
      <c r="CQ279" s="50"/>
      <c r="CR279" s="50"/>
      <c r="CS279" s="50"/>
      <c r="CT279" s="50"/>
      <c r="CU279" s="50"/>
      <c r="CV279" s="50"/>
      <c r="CW279" s="50"/>
      <c r="CX279" s="50"/>
      <c r="CY279" s="49"/>
      <c r="CZ279" s="48"/>
      <c r="DA279" s="48"/>
      <c r="DB279" s="48"/>
    </row>
    <row r="280" spans="1:113" outlineLevel="1">
      <c r="A280" s="1" t="s">
        <v>145</v>
      </c>
      <c r="B280" s="19" t="s">
        <v>343</v>
      </c>
      <c r="C280" s="235"/>
      <c r="D280" s="235"/>
      <c r="E280" s="235"/>
      <c r="F280" s="235"/>
      <c r="G280" s="235"/>
      <c r="H280" s="235"/>
      <c r="I280" s="235"/>
      <c r="J280" s="235"/>
      <c r="K280" s="235"/>
      <c r="L280" s="235"/>
      <c r="M280" s="48"/>
      <c r="N280" s="48"/>
      <c r="O280" s="48"/>
      <c r="P280" s="48"/>
      <c r="Q280" s="48"/>
      <c r="R280" s="48"/>
      <c r="S280" s="48"/>
      <c r="T280" s="48"/>
      <c r="U280" s="48"/>
      <c r="V280" s="48"/>
      <c r="W280" s="48"/>
      <c r="X280" s="48"/>
      <c r="Y280" s="50"/>
      <c r="Z280" s="50"/>
      <c r="AA280" s="50"/>
      <c r="AB280" s="50"/>
      <c r="AC280" s="50"/>
      <c r="AD280" s="50"/>
      <c r="AE280" s="385"/>
      <c r="AF280" s="385"/>
      <c r="AG280" s="50"/>
      <c r="AH280" s="50"/>
      <c r="AI280" s="50"/>
      <c r="AJ280" s="50"/>
      <c r="AK280" s="50"/>
      <c r="AL280" s="50"/>
      <c r="AM280" s="50"/>
      <c r="AN280" s="50"/>
      <c r="AO280" s="50"/>
      <c r="AP280" s="50"/>
      <c r="AQ280" s="50"/>
      <c r="AR280" s="50"/>
      <c r="AS280" s="50"/>
      <c r="AT280" s="50"/>
      <c r="AU280" s="50"/>
      <c r="AV280" s="50"/>
      <c r="AW280" s="49"/>
      <c r="AX280" s="48"/>
      <c r="AY280" s="48"/>
      <c r="AZ280" s="48"/>
      <c r="BA280" s="48"/>
      <c r="BB280" s="48"/>
      <c r="BC280" s="48"/>
      <c r="BD280" s="48"/>
      <c r="BE280" s="48"/>
      <c r="BF280" s="48"/>
      <c r="BG280" s="48"/>
      <c r="BH280" s="48"/>
      <c r="BI280" s="48"/>
      <c r="BJ280" s="48"/>
      <c r="BK280" s="48"/>
      <c r="BL280" s="235"/>
      <c r="BM280" s="235"/>
      <c r="BN280" s="235"/>
      <c r="BO280" s="235"/>
      <c r="BP280" s="235"/>
      <c r="BQ280" s="235"/>
      <c r="BR280" s="48"/>
      <c r="BS280" s="235"/>
      <c r="BT280" s="235"/>
      <c r="BU280" s="235"/>
      <c r="BV280" s="235"/>
      <c r="BW280" s="235"/>
      <c r="BX280" s="235"/>
      <c r="BY280" s="235"/>
      <c r="BZ280" s="235"/>
      <c r="CA280" s="235"/>
      <c r="CB280" s="235"/>
      <c r="CC280" s="48"/>
      <c r="CD280" s="48"/>
      <c r="CE280" s="48"/>
      <c r="CF280" s="48"/>
      <c r="CG280" s="48"/>
      <c r="CH280" s="48"/>
      <c r="CI280" s="48"/>
      <c r="CJ280" s="48"/>
      <c r="CK280" s="48"/>
      <c r="CL280" s="48"/>
      <c r="CM280" s="50"/>
      <c r="CN280" s="50"/>
      <c r="CO280" s="50"/>
      <c r="CP280" s="50"/>
      <c r="CQ280" s="50"/>
      <c r="CR280" s="50"/>
      <c r="CS280" s="50"/>
      <c r="CT280" s="50"/>
      <c r="CU280" s="50"/>
      <c r="CV280" s="50"/>
      <c r="CW280" s="50"/>
      <c r="CX280" s="50"/>
      <c r="CY280" s="49"/>
      <c r="CZ280" s="48"/>
      <c r="DA280" s="48"/>
      <c r="DB280" s="48"/>
    </row>
    <row r="281" spans="1:113" s="24" customFormat="1" outlineLevel="1">
      <c r="A281" s="1" t="s">
        <v>146</v>
      </c>
      <c r="B281" s="24" t="s">
        <v>168</v>
      </c>
      <c r="C281" s="561">
        <v>2.3797615125272037E-2</v>
      </c>
      <c r="D281" s="561">
        <v>2.3241906024979768E-2</v>
      </c>
      <c r="E281" s="561">
        <v>1.7522124712341838E-2</v>
      </c>
      <c r="F281" s="561">
        <v>1.7274127079151234E-2</v>
      </c>
      <c r="G281" s="561">
        <v>2.6779151535019106E-2</v>
      </c>
      <c r="H281" s="561">
        <v>1.5693341078215205E-2</v>
      </c>
      <c r="I281" s="561">
        <v>1.1135351900718606E-2</v>
      </c>
      <c r="J281" s="561">
        <v>1.4783421929546188E-2</v>
      </c>
      <c r="K281" s="561">
        <v>1.5654913191766914E-2</v>
      </c>
      <c r="L281" s="561">
        <v>1.4574892771928007E-2</v>
      </c>
      <c r="M281" s="174">
        <v>1.2266433175541755E-2</v>
      </c>
      <c r="N281" s="174">
        <v>1.1448750451322126E-2</v>
      </c>
      <c r="O281" s="174">
        <v>1.2328280198178207E-2</v>
      </c>
      <c r="P281" s="174">
        <v>2.6543188784551308E-3</v>
      </c>
      <c r="Q281" s="174">
        <v>7.1221325883485537E-3</v>
      </c>
      <c r="R281" s="174">
        <v>1.945647083090872E-2</v>
      </c>
      <c r="S281" s="174">
        <v>3.3885726634702948E-2</v>
      </c>
      <c r="T281" s="174">
        <v>2.9852522247041845E-2</v>
      </c>
      <c r="U281" s="174">
        <v>2.1362061909004658E-2</v>
      </c>
      <c r="V281" s="174">
        <v>1.5964650472483466E-2</v>
      </c>
      <c r="W281" s="174">
        <v>1.3352990002729534E-2</v>
      </c>
      <c r="X281" s="93">
        <v>1.3380172067130533E-2</v>
      </c>
      <c r="Y281" s="174">
        <v>1.960118569852054E-2</v>
      </c>
      <c r="Z281" s="174">
        <v>2.463733523260752E-2</v>
      </c>
      <c r="AA281" s="175">
        <v>2.8955623080771781E-2</v>
      </c>
      <c r="AB281" s="175">
        <v>3.0770656929626907E-2</v>
      </c>
      <c r="AC281" s="175">
        <v>3.1014545908667781E-2</v>
      </c>
      <c r="AD281" s="175">
        <v>3.3819018482334304E-2</v>
      </c>
      <c r="AE281" s="495">
        <v>3.6983173565968905E-2</v>
      </c>
      <c r="AF281" s="495">
        <v>3.5856910246642573E-2</v>
      </c>
      <c r="AG281" s="175">
        <v>3.0651607503354158E-2</v>
      </c>
      <c r="AH281" s="175">
        <v>3.2717245522180353E-2</v>
      </c>
      <c r="AI281" s="175">
        <v>3.2017820423252664E-2</v>
      </c>
      <c r="AJ281" s="175">
        <v>3.1760016256136094E-2</v>
      </c>
      <c r="AK281" s="175">
        <v>2.9512978424004816E-2</v>
      </c>
      <c r="AL281" s="175">
        <v>2.8960385948264045E-2</v>
      </c>
      <c r="AM281" s="175">
        <v>3.0219642145350018E-2</v>
      </c>
      <c r="AN281" s="175">
        <v>3.5532057704812006E-2</v>
      </c>
      <c r="AO281" s="175">
        <v>3.71964953582231E-2</v>
      </c>
      <c r="AP281" s="175">
        <v>3.6813617788668672E-2</v>
      </c>
      <c r="AQ281" s="175">
        <v>3.3787169785559998E-2</v>
      </c>
      <c r="AR281" s="175">
        <v>3.1916661861435658E-2</v>
      </c>
      <c r="AS281" s="175">
        <v>2.8680663340154913E-2</v>
      </c>
      <c r="AT281" s="175">
        <v>1.689560392868629E-2</v>
      </c>
      <c r="AU281" s="175">
        <v>1.4432976411332336E-2</v>
      </c>
      <c r="AV281" s="175">
        <v>8.0244531026574806E-3</v>
      </c>
      <c r="AW281" s="169">
        <v>1.9097645910955897E-2</v>
      </c>
      <c r="AX281" s="92">
        <v>1.9097645910955897E-2</v>
      </c>
      <c r="AY281" s="92">
        <v>1.9097645910955897E-2</v>
      </c>
      <c r="AZ281" s="92">
        <v>1.9097645910955897E-2</v>
      </c>
      <c r="BA281" s="92">
        <v>1.9097645910955897E-2</v>
      </c>
      <c r="BB281" s="92">
        <v>1.9097645910955897E-2</v>
      </c>
      <c r="BC281" s="92">
        <v>1.9097645910955897E-2</v>
      </c>
      <c r="BD281" s="92">
        <v>1.9097645910955897E-2</v>
      </c>
      <c r="BE281" s="92">
        <v>1.9097645910955897E-2</v>
      </c>
      <c r="BF281" s="92">
        <v>1.9097645910955897E-2</v>
      </c>
      <c r="BG281" s="92">
        <v>1.9097645910955897E-2</v>
      </c>
      <c r="BH281" s="92">
        <v>1.9097645910955897E-2</v>
      </c>
      <c r="BI281" s="92">
        <v>1.9097645910955897E-2</v>
      </c>
      <c r="BJ281" s="92">
        <v>1.9097645910955897E-2</v>
      </c>
      <c r="BK281" s="92">
        <v>1.9097645910955897E-2</v>
      </c>
      <c r="BL281" s="562">
        <v>1.9097645910955897E-2</v>
      </c>
      <c r="BM281" s="562">
        <v>1.9097645910955897E-2</v>
      </c>
      <c r="BN281" s="562">
        <v>1.9097645910955897E-2</v>
      </c>
      <c r="BO281" s="562">
        <v>1.9097645910955897E-2</v>
      </c>
      <c r="BP281" s="562">
        <v>1.9097645910955897E-2</v>
      </c>
      <c r="BQ281" s="562">
        <v>1.9097645910955897E-2</v>
      </c>
      <c r="BR281" s="92"/>
      <c r="BS281" s="572">
        <v>6.1702344448703039E-3</v>
      </c>
      <c r="BT281" s="572">
        <v>1.460145856014293E-2</v>
      </c>
      <c r="BU281" s="572">
        <v>2.1634840620532871E-2</v>
      </c>
      <c r="BV281" s="572">
        <v>1.0675077516635975E-2</v>
      </c>
      <c r="BW281" s="572">
        <v>1.880803444905936E-2</v>
      </c>
      <c r="BX281" s="572">
        <v>2.8521019934237564E-2</v>
      </c>
      <c r="BY281" s="572">
        <v>4.270158895538629E-2</v>
      </c>
      <c r="BZ281" s="572">
        <v>2.1975458477378626E-2</v>
      </c>
      <c r="CA281" s="572">
        <v>1.3840528395863826E-2</v>
      </c>
      <c r="CB281" s="572">
        <v>1.9363985223815758E-2</v>
      </c>
      <c r="CC281" s="92">
        <v>2.0313393331320793E-2</v>
      </c>
      <c r="CD281" s="92">
        <v>2.2098225117859013E-2</v>
      </c>
      <c r="CE281" s="92">
        <v>1.3269148673418774E-2</v>
      </c>
      <c r="CF281" s="92">
        <v>1.5222715920027894E-2</v>
      </c>
      <c r="CG281" s="92">
        <v>1.3378532329045689E-2</v>
      </c>
      <c r="CH281" s="92">
        <v>1.1905949608138783E-2</v>
      </c>
      <c r="CI281" s="92">
        <v>4.9224315845349661E-3</v>
      </c>
      <c r="CJ281" s="92">
        <v>2.6577250054202542E-2</v>
      </c>
      <c r="CK281" s="92">
        <v>2.5703912434449267E-2</v>
      </c>
      <c r="CL281" s="92">
        <v>1.4709255307934904E-2</v>
      </c>
      <c r="CM281" s="170">
        <v>1.6487349612457933E-2</v>
      </c>
      <c r="CN281" s="170">
        <v>2.6861461574898073E-2</v>
      </c>
      <c r="CO281" s="170">
        <v>3.0896025704402211E-2</v>
      </c>
      <c r="CP281" s="170">
        <v>3.5446603508108611E-2</v>
      </c>
      <c r="CQ281" s="170">
        <v>3.3192537640398215E-2</v>
      </c>
      <c r="CR281" s="170">
        <v>3.236718576901907E-2</v>
      </c>
      <c r="CS281" s="170">
        <v>3.0623345318520769E-2</v>
      </c>
      <c r="CT281" s="170">
        <v>2.9603705729278767E-2</v>
      </c>
      <c r="CU281" s="170">
        <v>3.6370903621754547E-2</v>
      </c>
      <c r="CV281" s="170">
        <v>3.528123807433857E-2</v>
      </c>
      <c r="CW281" s="170">
        <v>3.0318745166005946E-2</v>
      </c>
      <c r="CX281" s="170">
        <v>1.5658328493185398E-2</v>
      </c>
      <c r="CY281" s="94">
        <v>1.3541515304097078E-2</v>
      </c>
      <c r="CZ281" s="92">
        <v>1.9095783930889513E-2</v>
      </c>
      <c r="DA281" s="92">
        <v>1.9099003099219265E-2</v>
      </c>
      <c r="DB281" s="92">
        <v>1.9098189054485949E-2</v>
      </c>
      <c r="DC281" s="92">
        <v>1.9097120204271449E-2</v>
      </c>
      <c r="DD281" s="92">
        <v>1.9096839263949353E-2</v>
      </c>
      <c r="DE281" s="92">
        <v>1.9096824494552408E-2</v>
      </c>
      <c r="DF281" s="92">
        <v>1.9095661047874923E-2</v>
      </c>
      <c r="DG281" s="562">
        <v>1.9095569284804367E-2</v>
      </c>
      <c r="DH281" s="562">
        <v>1.9094522523253561E-2</v>
      </c>
      <c r="DI281" s="562">
        <v>1.9094522523253558E-2</v>
      </c>
    </row>
    <row r="282" spans="1:113" outlineLevel="1">
      <c r="C282" s="235"/>
      <c r="D282" s="235"/>
      <c r="E282" s="235"/>
      <c r="F282" s="235"/>
      <c r="G282" s="235"/>
      <c r="H282" s="235"/>
      <c r="I282" s="235"/>
      <c r="J282" s="235"/>
      <c r="K282" s="235"/>
      <c r="L282" s="235"/>
      <c r="M282" s="48"/>
      <c r="N282" s="48"/>
      <c r="O282" s="48"/>
      <c r="P282" s="48"/>
      <c r="Q282" s="48"/>
      <c r="R282" s="48"/>
      <c r="S282" s="48"/>
      <c r="T282" s="48"/>
      <c r="U282" s="48"/>
      <c r="V282" s="48"/>
      <c r="W282" s="48"/>
      <c r="X282" s="48"/>
      <c r="Y282" s="50"/>
      <c r="Z282" s="50"/>
      <c r="AA282" s="50"/>
      <c r="AB282" s="50"/>
      <c r="AC282" s="50"/>
      <c r="AD282" s="50"/>
      <c r="AE282" s="385"/>
      <c r="AF282" s="385"/>
      <c r="AG282" s="50"/>
      <c r="AH282" s="50"/>
      <c r="AI282" s="50"/>
      <c r="AJ282" s="50"/>
      <c r="AK282" s="175"/>
      <c r="AL282" s="175"/>
      <c r="AM282" s="175"/>
      <c r="AN282" s="175"/>
      <c r="AO282" s="175"/>
      <c r="AP282" s="175"/>
      <c r="AQ282" s="175"/>
      <c r="AR282" s="175"/>
      <c r="AS282" s="175"/>
      <c r="AT282" s="175"/>
      <c r="AU282" s="175"/>
      <c r="AV282" s="175"/>
      <c r="AW282" s="169"/>
      <c r="AX282" s="48"/>
      <c r="AY282" s="48"/>
      <c r="AZ282" s="48"/>
      <c r="BA282" s="48"/>
      <c r="BB282" s="48"/>
      <c r="BC282" s="48"/>
      <c r="BD282" s="48"/>
      <c r="BE282" s="48"/>
      <c r="BF282" s="48"/>
      <c r="BG282" s="48"/>
      <c r="BH282" s="48"/>
      <c r="BI282" s="48"/>
      <c r="BJ282" s="48"/>
      <c r="BK282" s="48"/>
      <c r="BL282" s="235"/>
      <c r="BM282" s="235"/>
      <c r="BN282" s="235"/>
      <c r="BO282" s="235"/>
      <c r="BP282" s="235"/>
      <c r="BQ282" s="235"/>
      <c r="BR282" s="48"/>
      <c r="BS282" s="235"/>
      <c r="BT282" s="235"/>
      <c r="BU282" s="235"/>
      <c r="BV282" s="235"/>
      <c r="BW282" s="235"/>
      <c r="BX282" s="235"/>
      <c r="BY282" s="235"/>
      <c r="BZ282" s="235"/>
      <c r="CA282" s="235"/>
      <c r="CB282" s="235"/>
      <c r="CC282" s="48"/>
      <c r="CD282" s="48"/>
      <c r="CE282" s="48"/>
      <c r="CF282" s="48"/>
      <c r="CG282" s="48"/>
      <c r="CH282" s="48"/>
      <c r="CI282" s="48"/>
      <c r="CJ282" s="48"/>
      <c r="CK282" s="48"/>
      <c r="CL282" s="48"/>
      <c r="CM282" s="50"/>
      <c r="CN282" s="50"/>
      <c r="CO282" s="50"/>
      <c r="CP282" s="50"/>
      <c r="CQ282" s="50"/>
      <c r="CR282" s="50"/>
      <c r="CS282" s="50"/>
      <c r="CT282" s="50"/>
      <c r="CU282" s="50"/>
      <c r="CV282" s="50"/>
      <c r="CW282" s="50"/>
      <c r="CX282" s="50"/>
      <c r="CY282" s="49"/>
      <c r="CZ282" s="48"/>
      <c r="DA282" s="48"/>
      <c r="DB282" s="48"/>
      <c r="DC282" s="48"/>
      <c r="DD282" s="48"/>
      <c r="DE282" s="48"/>
      <c r="DF282" s="48"/>
      <c r="DG282" s="235"/>
      <c r="DH282" s="235"/>
      <c r="DI282" s="235"/>
    </row>
    <row r="283" spans="1:113" s="24" customFormat="1" outlineLevel="1">
      <c r="A283" s="1"/>
      <c r="B283" s="24" t="s">
        <v>341</v>
      </c>
      <c r="C283" s="562"/>
      <c r="D283" s="562"/>
      <c r="E283" s="562"/>
      <c r="F283" s="562"/>
      <c r="G283" s="562"/>
      <c r="H283" s="562"/>
      <c r="I283" s="562"/>
      <c r="J283" s="562"/>
      <c r="K283" s="562"/>
      <c r="L283" s="562"/>
      <c r="M283" s="92"/>
      <c r="N283" s="92"/>
      <c r="O283" s="92"/>
      <c r="P283" s="92"/>
      <c r="Q283" s="92"/>
      <c r="R283" s="92"/>
      <c r="S283" s="92"/>
      <c r="T283" s="92"/>
      <c r="U283" s="92"/>
      <c r="V283" s="92"/>
      <c r="W283" s="92"/>
      <c r="X283" s="92"/>
      <c r="Y283" s="170"/>
      <c r="Z283" s="170"/>
      <c r="AA283" s="170"/>
      <c r="AB283" s="170"/>
      <c r="AC283" s="170"/>
      <c r="AD283" s="170"/>
      <c r="AE283" s="170"/>
      <c r="AF283" s="170"/>
      <c r="AG283" s="170"/>
      <c r="AH283" s="170"/>
      <c r="AI283" s="170"/>
      <c r="AJ283" s="170"/>
      <c r="AK283" s="170"/>
      <c r="AL283" s="170"/>
      <c r="AM283" s="170"/>
      <c r="AN283" s="170"/>
      <c r="AO283" s="170"/>
      <c r="AP283" s="170"/>
      <c r="AQ283" s="170"/>
      <c r="AR283" s="170"/>
      <c r="AS283" s="170"/>
      <c r="AT283" s="170"/>
      <c r="AU283" s="170"/>
      <c r="AV283" s="170"/>
      <c r="AW283" s="94"/>
      <c r="AX283" s="92"/>
      <c r="AY283" s="92"/>
      <c r="AZ283" s="92"/>
      <c r="BA283" s="92"/>
      <c r="BB283" s="92"/>
      <c r="BC283" s="92"/>
      <c r="BD283" s="92"/>
      <c r="BE283" s="92"/>
      <c r="BF283" s="92"/>
      <c r="BG283" s="92"/>
      <c r="BH283" s="92"/>
      <c r="BI283" s="92"/>
      <c r="BJ283" s="92"/>
      <c r="BK283" s="92"/>
      <c r="BL283" s="562"/>
      <c r="BM283" s="562"/>
      <c r="BN283" s="562"/>
      <c r="BO283" s="562"/>
      <c r="BP283" s="562"/>
      <c r="BQ283" s="562"/>
      <c r="BR283" s="92"/>
      <c r="BS283" s="562"/>
      <c r="BT283" s="562"/>
      <c r="BU283" s="562"/>
      <c r="BV283" s="562"/>
      <c r="BW283" s="562"/>
      <c r="BX283" s="562"/>
      <c r="BY283" s="562"/>
      <c r="BZ283" s="562"/>
      <c r="CA283" s="562"/>
      <c r="CB283" s="562"/>
      <c r="CC283" s="92"/>
      <c r="CD283" s="92"/>
      <c r="CE283" s="92"/>
      <c r="CF283" s="92"/>
      <c r="CG283" s="92"/>
      <c r="CH283" s="92"/>
      <c r="CI283" s="92"/>
      <c r="CJ283" s="92"/>
      <c r="CK283" s="92"/>
      <c r="CL283" s="92"/>
      <c r="CM283" s="170"/>
      <c r="CN283" s="170"/>
      <c r="CO283" s="170"/>
      <c r="CP283" s="170"/>
      <c r="CQ283" s="170"/>
      <c r="CR283" s="170"/>
      <c r="CS283" s="170"/>
      <c r="CT283" s="170"/>
      <c r="CU283" s="170"/>
      <c r="CV283" s="170"/>
      <c r="CW283" s="170"/>
      <c r="CX283" s="170"/>
      <c r="CY283" s="94"/>
      <c r="CZ283" s="92"/>
      <c r="DA283" s="92"/>
      <c r="DB283" s="92"/>
      <c r="DC283" s="92"/>
      <c r="DD283" s="92"/>
      <c r="DE283" s="92"/>
      <c r="DF283" s="92"/>
      <c r="DG283" s="562"/>
      <c r="DH283" s="562"/>
      <c r="DI283" s="562"/>
    </row>
    <row r="284" spans="1:113" outlineLevel="1">
      <c r="A284" s="1" t="s">
        <v>147</v>
      </c>
      <c r="B284" s="19" t="s">
        <v>164</v>
      </c>
      <c r="C284" s="235"/>
      <c r="D284" s="235"/>
      <c r="E284" s="235"/>
      <c r="F284" s="235"/>
      <c r="G284" s="235"/>
      <c r="H284" s="235"/>
      <c r="I284" s="235"/>
      <c r="J284" s="235"/>
      <c r="K284" s="235"/>
      <c r="L284" s="235"/>
      <c r="M284" s="48"/>
      <c r="N284" s="48"/>
      <c r="O284" s="48"/>
      <c r="P284" s="48"/>
      <c r="Q284" s="48"/>
      <c r="R284" s="48"/>
      <c r="S284" s="48"/>
      <c r="T284" s="48"/>
      <c r="U284" s="48"/>
      <c r="V284" s="48"/>
      <c r="W284" s="48"/>
      <c r="X284" s="48"/>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49"/>
      <c r="AX284" s="48"/>
      <c r="AY284" s="48"/>
      <c r="AZ284" s="48"/>
      <c r="BA284" s="48"/>
      <c r="BB284" s="48"/>
      <c r="BC284" s="48"/>
      <c r="BD284" s="48"/>
      <c r="BE284" s="48"/>
      <c r="BF284" s="48"/>
      <c r="BG284" s="48"/>
      <c r="BH284" s="48"/>
      <c r="BI284" s="48"/>
      <c r="BJ284" s="48"/>
      <c r="BK284" s="48"/>
      <c r="BL284" s="235"/>
      <c r="BM284" s="235"/>
      <c r="BN284" s="235"/>
      <c r="BO284" s="235"/>
      <c r="BP284" s="235"/>
      <c r="BQ284" s="235"/>
      <c r="BR284" s="48"/>
      <c r="BS284" s="235"/>
      <c r="BT284" s="235"/>
      <c r="BU284" s="235"/>
      <c r="BV284" s="235"/>
      <c r="BW284" s="235"/>
      <c r="BX284" s="235"/>
      <c r="BY284" s="235"/>
      <c r="BZ284" s="235"/>
      <c r="CA284" s="235"/>
      <c r="CB284" s="235"/>
      <c r="CC284" s="48"/>
      <c r="CD284" s="48"/>
      <c r="CE284" s="48"/>
      <c r="CF284" s="48"/>
      <c r="CG284" s="48"/>
      <c r="CH284" s="48"/>
      <c r="CI284" s="48"/>
      <c r="CJ284" s="48"/>
      <c r="CK284" s="48"/>
      <c r="CL284" s="48"/>
      <c r="CM284" s="50"/>
      <c r="CN284" s="50"/>
      <c r="CO284" s="50"/>
      <c r="CP284" s="50"/>
      <c r="CQ284" s="50"/>
      <c r="CR284" s="50"/>
      <c r="CS284" s="50"/>
      <c r="CT284" s="50"/>
      <c r="CU284" s="50"/>
      <c r="CV284" s="50"/>
      <c r="CW284" s="50"/>
      <c r="CX284" s="50"/>
      <c r="CY284" s="49"/>
      <c r="CZ284" s="48"/>
      <c r="DA284" s="48"/>
      <c r="DB284" s="48"/>
      <c r="DC284" s="48"/>
      <c r="DD284" s="48"/>
      <c r="DE284" s="48"/>
      <c r="DF284" s="48"/>
      <c r="DG284" s="235"/>
      <c r="DH284" s="235"/>
      <c r="DI284" s="235"/>
    </row>
    <row r="285" spans="1:113" outlineLevel="1">
      <c r="A285" s="1" t="s">
        <v>148</v>
      </c>
      <c r="B285" s="19" t="s">
        <v>343</v>
      </c>
      <c r="C285" s="235"/>
      <c r="D285" s="235"/>
      <c r="E285" s="235"/>
      <c r="F285" s="235"/>
      <c r="G285" s="235"/>
      <c r="H285" s="235"/>
      <c r="I285" s="235"/>
      <c r="J285" s="235"/>
      <c r="K285" s="235"/>
      <c r="L285" s="235"/>
      <c r="M285" s="48"/>
      <c r="N285" s="48"/>
      <c r="O285" s="48"/>
      <c r="P285" s="48"/>
      <c r="Q285" s="48"/>
      <c r="R285" s="48"/>
      <c r="S285" s="48"/>
      <c r="T285" s="48"/>
      <c r="U285" s="48"/>
      <c r="V285" s="48"/>
      <c r="W285" s="48"/>
      <c r="X285" s="48"/>
      <c r="Y285" s="50"/>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49"/>
      <c r="AX285" s="48"/>
      <c r="AY285" s="48"/>
      <c r="AZ285" s="48"/>
      <c r="BA285" s="48"/>
      <c r="BB285" s="48"/>
      <c r="BC285" s="48"/>
      <c r="BD285" s="48"/>
      <c r="BE285" s="48"/>
      <c r="BF285" s="48"/>
      <c r="BG285" s="48"/>
      <c r="BH285" s="48"/>
      <c r="BI285" s="48"/>
      <c r="BJ285" s="48"/>
      <c r="BK285" s="48"/>
      <c r="BL285" s="235"/>
      <c r="BM285" s="235"/>
      <c r="BN285" s="235"/>
      <c r="BO285" s="235"/>
      <c r="BP285" s="235"/>
      <c r="BQ285" s="235"/>
      <c r="BR285" s="48"/>
      <c r="BS285" s="235"/>
      <c r="BT285" s="235"/>
      <c r="BU285" s="235"/>
      <c r="BV285" s="235"/>
      <c r="BW285" s="235"/>
      <c r="BX285" s="235"/>
      <c r="BY285" s="235"/>
      <c r="BZ285" s="235"/>
      <c r="CA285" s="235"/>
      <c r="CB285" s="235"/>
      <c r="CC285" s="48"/>
      <c r="CD285" s="48"/>
      <c r="CE285" s="48"/>
      <c r="CF285" s="48"/>
      <c r="CG285" s="48"/>
      <c r="CH285" s="48"/>
      <c r="CI285" s="48"/>
      <c r="CJ285" s="48"/>
      <c r="CK285" s="48"/>
      <c r="CL285" s="48"/>
      <c r="CM285" s="50"/>
      <c r="CN285" s="50"/>
      <c r="CO285" s="50"/>
      <c r="CP285" s="50"/>
      <c r="CQ285" s="50"/>
      <c r="CR285" s="50"/>
      <c r="CS285" s="50"/>
      <c r="CT285" s="50"/>
      <c r="CU285" s="50"/>
      <c r="CV285" s="50"/>
      <c r="CW285" s="50"/>
      <c r="CX285" s="50"/>
      <c r="CY285" s="49"/>
      <c r="CZ285" s="48"/>
      <c r="DA285" s="48"/>
      <c r="DB285" s="48"/>
      <c r="DC285" s="48"/>
      <c r="DD285" s="48"/>
      <c r="DE285" s="48"/>
      <c r="DF285" s="48"/>
      <c r="DG285" s="235"/>
      <c r="DH285" s="235"/>
      <c r="DI285" s="235"/>
    </row>
    <row r="286" spans="1:113" s="24" customFormat="1" outlineLevel="1">
      <c r="A286" s="1" t="s">
        <v>149</v>
      </c>
      <c r="B286" s="24" t="s">
        <v>168</v>
      </c>
      <c r="C286" s="561">
        <v>0</v>
      </c>
      <c r="D286" s="561">
        <v>0</v>
      </c>
      <c r="E286" s="561">
        <v>0</v>
      </c>
      <c r="F286" s="561">
        <v>0</v>
      </c>
      <c r="G286" s="561">
        <v>0</v>
      </c>
      <c r="H286" s="561">
        <v>0</v>
      </c>
      <c r="I286" s="561">
        <v>0</v>
      </c>
      <c r="J286" s="561">
        <v>0</v>
      </c>
      <c r="K286" s="561">
        <v>0</v>
      </c>
      <c r="L286" s="561">
        <v>0</v>
      </c>
      <c r="M286" s="174">
        <v>0</v>
      </c>
      <c r="N286" s="174">
        <v>0</v>
      </c>
      <c r="O286" s="174">
        <v>0</v>
      </c>
      <c r="P286" s="174">
        <v>0</v>
      </c>
      <c r="Q286" s="174">
        <v>0</v>
      </c>
      <c r="R286" s="174">
        <v>0</v>
      </c>
      <c r="S286" s="174">
        <v>0</v>
      </c>
      <c r="T286" s="174">
        <v>-1.0225373968301005E-3</v>
      </c>
      <c r="U286" s="174">
        <v>-9.7194511327892349E-3</v>
      </c>
      <c r="V286" s="174">
        <v>-1.2464327349977773E-2</v>
      </c>
      <c r="W286" s="174">
        <v>-1.5350843251930507E-2</v>
      </c>
      <c r="X286" s="93">
        <v>-1.2343957859265592E-2</v>
      </c>
      <c r="Y286" s="174">
        <v>-5.2922981825866133E-3</v>
      </c>
      <c r="Z286" s="174">
        <v>3.9405753728972703E-3</v>
      </c>
      <c r="AA286" s="175">
        <v>5.0464526715430259E-3</v>
      </c>
      <c r="AB286" s="175">
        <v>6.9037973633395248E-3</v>
      </c>
      <c r="AC286" s="175">
        <v>4.5122876483294251E-3</v>
      </c>
      <c r="AD286" s="175">
        <v>3.5112051510984149E-3</v>
      </c>
      <c r="AE286" s="175">
        <v>7.724965051408253E-3</v>
      </c>
      <c r="AF286" s="175">
        <v>5.7553647090446032E-3</v>
      </c>
      <c r="AG286" s="175">
        <v>7.1750828558111573E-3</v>
      </c>
      <c r="AH286" s="175">
        <v>1.0026812741194029E-2</v>
      </c>
      <c r="AI286" s="175">
        <v>1.3478974253563612E-2</v>
      </c>
      <c r="AJ286" s="175">
        <v>1.4989766301055224E-2</v>
      </c>
      <c r="AK286" s="175">
        <v>1.4252646465837456E-2</v>
      </c>
      <c r="AL286" s="175">
        <v>1.9076465317901688E-2</v>
      </c>
      <c r="AM286" s="175">
        <v>2.4840955587617137E-2</v>
      </c>
      <c r="AN286" s="175">
        <v>3.1297055359511931E-2</v>
      </c>
      <c r="AO286" s="175">
        <v>3.0927720800756744E-2</v>
      </c>
      <c r="AP286" s="175">
        <v>2.7809752751080448E-2</v>
      </c>
      <c r="AQ286" s="175">
        <v>2.5135321483264493E-2</v>
      </c>
      <c r="AR286" s="175">
        <v>2.6985318042839386E-2</v>
      </c>
      <c r="AS286" s="175">
        <v>2.5285533638020042E-2</v>
      </c>
      <c r="AT286" s="175">
        <v>2.2792665947673922E-2</v>
      </c>
      <c r="AU286" s="175">
        <v>3.4266756235191022E-2</v>
      </c>
      <c r="AV286" s="175">
        <v>2.7037159229287101E-2</v>
      </c>
      <c r="AW286" s="169">
        <v>3.5652069663250623E-2</v>
      </c>
      <c r="AX286" s="92">
        <v>3.5652069663250623E-2</v>
      </c>
      <c r="AY286" s="92">
        <v>3.5652069663250623E-2</v>
      </c>
      <c r="AZ286" s="92">
        <v>3.5652069663250623E-2</v>
      </c>
      <c r="BA286" s="92">
        <v>3.5652069663250623E-2</v>
      </c>
      <c r="BB286" s="92">
        <v>3.5652069663250623E-2</v>
      </c>
      <c r="BC286" s="92">
        <v>3.5652069663250623E-2</v>
      </c>
      <c r="BD286" s="92">
        <v>3.5652069663250623E-2</v>
      </c>
      <c r="BE286" s="92">
        <v>3.5652069663250623E-2</v>
      </c>
      <c r="BF286" s="92">
        <v>3.5652069663250623E-2</v>
      </c>
      <c r="BG286" s="92">
        <v>3.5652069663250623E-2</v>
      </c>
      <c r="BH286" s="92">
        <v>3.5652069663250623E-2</v>
      </c>
      <c r="BI286" s="92">
        <v>3.5652069663250623E-2</v>
      </c>
      <c r="BJ286" s="92">
        <v>3.5652069663250623E-2</v>
      </c>
      <c r="BK286" s="92">
        <v>3.5652069663250623E-2</v>
      </c>
      <c r="BL286" s="562">
        <v>3.5652069663250623E-2</v>
      </c>
      <c r="BM286" s="562">
        <v>3.5652069663250623E-2</v>
      </c>
      <c r="BN286" s="562">
        <v>3.5652069663250623E-2</v>
      </c>
      <c r="BO286" s="562">
        <v>3.5652069663250623E-2</v>
      </c>
      <c r="BP286" s="562">
        <v>3.5652069663250623E-2</v>
      </c>
      <c r="BQ286" s="562">
        <v>3.5652069663250623E-2</v>
      </c>
      <c r="BR286" s="92"/>
      <c r="BS286" s="572">
        <v>0</v>
      </c>
      <c r="BT286" s="572">
        <v>0</v>
      </c>
      <c r="BU286" s="572">
        <v>0</v>
      </c>
      <c r="BV286" s="572">
        <v>0</v>
      </c>
      <c r="BW286" s="572">
        <v>0</v>
      </c>
      <c r="BX286" s="572">
        <v>0</v>
      </c>
      <c r="BY286" s="572">
        <v>0</v>
      </c>
      <c r="BZ286" s="572">
        <v>0</v>
      </c>
      <c r="CA286" s="572">
        <v>0</v>
      </c>
      <c r="CB286" s="572">
        <v>0</v>
      </c>
      <c r="CC286" s="92" t="e">
        <v>#DIV/0!</v>
      </c>
      <c r="CD286" s="92" t="e">
        <v>#DIV/0!</v>
      </c>
      <c r="CE286" s="92" t="e">
        <v>#DIV/0!</v>
      </c>
      <c r="CF286" s="92" t="e">
        <v>#DIV/0!</v>
      </c>
      <c r="CG286" s="92">
        <v>0</v>
      </c>
      <c r="CH286" s="92">
        <v>0</v>
      </c>
      <c r="CI286" s="92">
        <v>0</v>
      </c>
      <c r="CJ286" s="92">
        <v>0</v>
      </c>
      <c r="CK286" s="92">
        <v>-4.7863653974962511E-3</v>
      </c>
      <c r="CL286" s="92">
        <v>-1.3903852479570138E-2</v>
      </c>
      <c r="CM286" s="170">
        <v>-8.624000011702845E-3</v>
      </c>
      <c r="CN286" s="170">
        <v>4.5283664830598029E-3</v>
      </c>
      <c r="CO286" s="170">
        <v>5.6162057844715034E-3</v>
      </c>
      <c r="CP286" s="170">
        <v>5.7238065527449649E-3</v>
      </c>
      <c r="CQ286" s="170">
        <v>6.4654152992971812E-3</v>
      </c>
      <c r="CR286" s="170">
        <v>1.1747727886861689E-2</v>
      </c>
      <c r="CS286" s="170">
        <v>1.4622936884719931E-2</v>
      </c>
      <c r="CT286" s="170">
        <v>2.1766356863276062E-2</v>
      </c>
      <c r="CU286" s="170">
        <v>3.1112950295456319E-2</v>
      </c>
      <c r="CV286" s="170">
        <v>2.6518190719008964E-2</v>
      </c>
      <c r="CW286" s="170">
        <v>2.6151839781097568E-2</v>
      </c>
      <c r="CX286" s="170">
        <v>2.8242351923603734E-2</v>
      </c>
      <c r="CY286" s="94">
        <v>3.1370264770942624E-2</v>
      </c>
      <c r="CZ286" s="92">
        <v>3.5656435706773529E-2</v>
      </c>
      <c r="DA286" s="92">
        <v>3.5662026955000058E-2</v>
      </c>
      <c r="DB286" s="92">
        <v>3.5651969555200044E-2</v>
      </c>
      <c r="DC286" s="92">
        <v>3.5649794786329667E-2</v>
      </c>
      <c r="DD286" s="92">
        <v>3.5648599311624458E-2</v>
      </c>
      <c r="DE286" s="92">
        <v>3.5648552299532767E-2</v>
      </c>
      <c r="DF286" s="92">
        <v>3.5647224414356513E-2</v>
      </c>
      <c r="DG286" s="562">
        <v>3.564800220925942E-2</v>
      </c>
      <c r="DH286" s="562">
        <v>3.5645951930177965E-2</v>
      </c>
      <c r="DI286" s="562">
        <v>3.5645951917782144E-2</v>
      </c>
    </row>
    <row r="287" spans="1:113" outlineLevel="1">
      <c r="C287" s="235"/>
      <c r="D287" s="235"/>
      <c r="E287" s="235"/>
      <c r="F287" s="235"/>
      <c r="G287" s="235"/>
      <c r="H287" s="235"/>
      <c r="I287" s="235"/>
      <c r="J287" s="235"/>
      <c r="K287" s="235"/>
      <c r="L287" s="235"/>
      <c r="M287" s="48"/>
      <c r="N287" s="48"/>
      <c r="O287" s="48"/>
      <c r="P287" s="48"/>
      <c r="Q287" s="48"/>
      <c r="R287" s="48"/>
      <c r="S287" s="48"/>
      <c r="T287" s="48"/>
      <c r="U287" s="48"/>
      <c r="V287" s="48"/>
      <c r="W287" s="48"/>
      <c r="X287" s="48"/>
      <c r="Y287" s="50"/>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49"/>
      <c r="AX287" s="48"/>
      <c r="AY287" s="48"/>
      <c r="AZ287" s="48"/>
      <c r="BA287" s="48"/>
      <c r="BB287" s="48"/>
      <c r="BC287" s="48"/>
      <c r="BD287" s="48"/>
      <c r="BE287" s="48"/>
      <c r="BF287" s="48"/>
      <c r="BG287" s="48"/>
      <c r="BH287" s="48"/>
      <c r="BI287" s="48"/>
      <c r="BJ287" s="48"/>
      <c r="BK287" s="48"/>
      <c r="BL287" s="235"/>
      <c r="BM287" s="235"/>
      <c r="BN287" s="235"/>
      <c r="BO287" s="235"/>
      <c r="BP287" s="235"/>
      <c r="BQ287" s="235"/>
      <c r="BR287" s="48"/>
      <c r="BS287" s="235"/>
      <c r="BT287" s="235"/>
      <c r="BU287" s="235"/>
      <c r="BV287" s="235"/>
      <c r="BW287" s="235"/>
      <c r="BX287" s="235"/>
      <c r="BY287" s="235"/>
      <c r="BZ287" s="235"/>
      <c r="CA287" s="235"/>
      <c r="CB287" s="235"/>
      <c r="CC287" s="48"/>
      <c r="CD287" s="48"/>
      <c r="CE287" s="48"/>
      <c r="CF287" s="48"/>
      <c r="CG287" s="48"/>
      <c r="CH287" s="48"/>
      <c r="CI287" s="48"/>
      <c r="CJ287" s="48"/>
      <c r="CK287" s="48"/>
      <c r="CL287" s="48"/>
      <c r="CM287" s="50"/>
      <c r="CN287" s="50"/>
      <c r="CO287" s="50"/>
      <c r="CP287" s="50"/>
      <c r="CQ287" s="50"/>
      <c r="CR287" s="50"/>
      <c r="CS287" s="50"/>
      <c r="CT287" s="50"/>
      <c r="CU287" s="50"/>
      <c r="CV287" s="50"/>
      <c r="CW287" s="50"/>
      <c r="CX287" s="50"/>
      <c r="CY287" s="49"/>
      <c r="CZ287" s="48"/>
      <c r="DA287" s="48"/>
      <c r="DB287" s="48"/>
    </row>
    <row r="288" spans="1:113" s="24" customFormat="1" outlineLevel="1">
      <c r="A288" s="1"/>
      <c r="B288" s="24" t="s">
        <v>342</v>
      </c>
      <c r="C288" s="562"/>
      <c r="D288" s="562"/>
      <c r="E288" s="562"/>
      <c r="F288" s="562"/>
      <c r="G288" s="562"/>
      <c r="H288" s="562"/>
      <c r="I288" s="562"/>
      <c r="J288" s="562"/>
      <c r="K288" s="562"/>
      <c r="L288" s="562"/>
      <c r="M288" s="92"/>
      <c r="N288" s="92"/>
      <c r="O288" s="92"/>
      <c r="P288" s="92"/>
      <c r="Q288" s="92"/>
      <c r="R288" s="92"/>
      <c r="S288" s="92"/>
      <c r="T288" s="92"/>
      <c r="U288" s="92"/>
      <c r="V288" s="92"/>
      <c r="W288" s="92"/>
      <c r="X288" s="92"/>
      <c r="Y288" s="170"/>
      <c r="Z288" s="170"/>
      <c r="AA288" s="170"/>
      <c r="AB288" s="170"/>
      <c r="AC288" s="170"/>
      <c r="AD288" s="170"/>
      <c r="AE288" s="170"/>
      <c r="AF288" s="170"/>
      <c r="AG288" s="170"/>
      <c r="AH288" s="170"/>
      <c r="AI288" s="170"/>
      <c r="AJ288" s="170"/>
      <c r="AK288" s="170"/>
      <c r="AL288" s="170"/>
      <c r="AM288" s="170"/>
      <c r="AN288" s="170"/>
      <c r="AO288" s="170"/>
      <c r="AP288" s="170"/>
      <c r="AQ288" s="170"/>
      <c r="AR288" s="170"/>
      <c r="AS288" s="170"/>
      <c r="AT288" s="170"/>
      <c r="AU288" s="170"/>
      <c r="AV288" s="170"/>
      <c r="AW288" s="94"/>
      <c r="AX288" s="92"/>
      <c r="AY288" s="92"/>
      <c r="AZ288" s="92"/>
      <c r="BA288" s="92"/>
      <c r="BB288" s="92"/>
      <c r="BC288" s="92"/>
      <c r="BD288" s="92"/>
      <c r="BE288" s="92"/>
      <c r="BF288" s="92"/>
      <c r="BG288" s="92"/>
      <c r="BH288" s="92"/>
      <c r="BI288" s="92"/>
      <c r="BJ288" s="92"/>
      <c r="BK288" s="92"/>
      <c r="BL288" s="562"/>
      <c r="BM288" s="562"/>
      <c r="BN288" s="562"/>
      <c r="BO288" s="562"/>
      <c r="BP288" s="562"/>
      <c r="BQ288" s="562"/>
      <c r="BR288" s="92"/>
      <c r="BS288" s="562"/>
      <c r="BT288" s="562"/>
      <c r="BU288" s="562"/>
      <c r="BV288" s="562"/>
      <c r="BW288" s="562"/>
      <c r="BX288" s="562"/>
      <c r="BY288" s="562"/>
      <c r="BZ288" s="562"/>
      <c r="CA288" s="562"/>
      <c r="CB288" s="562"/>
      <c r="CC288" s="92"/>
      <c r="CD288" s="92"/>
      <c r="CE288" s="92"/>
      <c r="CF288" s="92"/>
      <c r="CG288" s="92"/>
      <c r="CH288" s="92"/>
      <c r="CI288" s="92"/>
      <c r="CJ288" s="92"/>
      <c r="CK288" s="92"/>
      <c r="CL288" s="92"/>
      <c r="CM288" s="170"/>
      <c r="CN288" s="170"/>
      <c r="CO288" s="170"/>
      <c r="CP288" s="170"/>
      <c r="CQ288" s="170"/>
      <c r="CR288" s="170"/>
      <c r="CS288" s="170"/>
      <c r="CT288" s="170"/>
      <c r="CU288" s="170"/>
      <c r="CV288" s="170"/>
      <c r="CW288" s="170"/>
      <c r="CX288" s="170"/>
      <c r="CY288" s="94"/>
      <c r="CZ288" s="92"/>
      <c r="DA288" s="92"/>
      <c r="DB288" s="92"/>
    </row>
    <row r="289" spans="1:113" outlineLevel="1">
      <c r="A289" s="1" t="s">
        <v>150</v>
      </c>
      <c r="B289" s="19" t="s">
        <v>164</v>
      </c>
      <c r="C289" s="235"/>
      <c r="D289" s="235"/>
      <c r="E289" s="235"/>
      <c r="F289" s="235"/>
      <c r="G289" s="235"/>
      <c r="H289" s="235"/>
      <c r="I289" s="235"/>
      <c r="J289" s="235"/>
      <c r="K289" s="235"/>
      <c r="L289" s="235"/>
      <c r="M289" s="48"/>
      <c r="N289" s="48"/>
      <c r="O289" s="48"/>
      <c r="P289" s="48"/>
      <c r="Q289" s="48"/>
      <c r="R289" s="48"/>
      <c r="S289" s="48"/>
      <c r="T289" s="48"/>
      <c r="U289" s="48"/>
      <c r="V289" s="48"/>
      <c r="W289" s="48"/>
      <c r="X289" s="48"/>
      <c r="Y289" s="50"/>
      <c r="Z289" s="50"/>
      <c r="AA289" s="50"/>
      <c r="AB289" s="50"/>
      <c r="AC289" s="50"/>
      <c r="AD289" s="50"/>
      <c r="AE289" s="50"/>
      <c r="AF289" s="50"/>
      <c r="AG289" s="50"/>
      <c r="AH289" s="50"/>
      <c r="AI289" s="50"/>
      <c r="AJ289" s="50"/>
      <c r="AK289" s="50"/>
      <c r="AL289" s="50"/>
      <c r="AM289" s="50"/>
      <c r="AN289" s="50"/>
      <c r="AO289" s="50"/>
      <c r="AP289" s="50"/>
      <c r="AQ289" s="50"/>
      <c r="AR289" s="50"/>
      <c r="AS289" s="50"/>
      <c r="AT289" s="50"/>
      <c r="AU289" s="50"/>
      <c r="AV289" s="50"/>
      <c r="AW289" s="49"/>
      <c r="AX289" s="48"/>
      <c r="AY289" s="48"/>
      <c r="AZ289" s="48"/>
      <c r="BA289" s="48"/>
      <c r="BB289" s="48"/>
      <c r="BC289" s="48"/>
      <c r="BD289" s="48"/>
      <c r="BE289" s="48"/>
      <c r="BF289" s="48"/>
      <c r="BG289" s="48"/>
      <c r="BH289" s="48"/>
      <c r="BI289" s="48"/>
      <c r="BJ289" s="48"/>
      <c r="BK289" s="48"/>
      <c r="BL289" s="235"/>
      <c r="BM289" s="235"/>
      <c r="BN289" s="235"/>
      <c r="BO289" s="235"/>
      <c r="BP289" s="235"/>
      <c r="BQ289" s="235"/>
      <c r="BR289" s="48"/>
      <c r="BS289" s="235"/>
      <c r="BT289" s="235"/>
      <c r="BU289" s="235"/>
      <c r="BV289" s="235"/>
      <c r="BW289" s="235"/>
      <c r="BX289" s="235"/>
      <c r="BY289" s="235"/>
      <c r="BZ289" s="235"/>
      <c r="CA289" s="235"/>
      <c r="CB289" s="235"/>
      <c r="CC289" s="48"/>
      <c r="CD289" s="48"/>
      <c r="CE289" s="48"/>
      <c r="CF289" s="48"/>
      <c r="CG289" s="48"/>
      <c r="CH289" s="48"/>
      <c r="CI289" s="48"/>
      <c r="CJ289" s="48"/>
      <c r="CK289" s="48"/>
      <c r="CL289" s="48"/>
      <c r="CM289" s="50"/>
      <c r="CN289" s="50"/>
      <c r="CO289" s="50"/>
      <c r="CP289" s="50"/>
      <c r="CQ289" s="50"/>
      <c r="CR289" s="50"/>
      <c r="CS289" s="50"/>
      <c r="CT289" s="50"/>
      <c r="CU289" s="50"/>
      <c r="CV289" s="50"/>
      <c r="CW289" s="50"/>
      <c r="CX289" s="50"/>
      <c r="CY289" s="49"/>
      <c r="CZ289" s="48"/>
      <c r="DA289" s="48"/>
      <c r="DB289" s="48"/>
    </row>
    <row r="290" spans="1:113" outlineLevel="1">
      <c r="A290" s="1" t="s">
        <v>151</v>
      </c>
      <c r="B290" s="19" t="s">
        <v>343</v>
      </c>
      <c r="C290" s="235"/>
      <c r="D290" s="235"/>
      <c r="E290" s="235"/>
      <c r="F290" s="235"/>
      <c r="G290" s="235"/>
      <c r="H290" s="235"/>
      <c r="I290" s="235"/>
      <c r="J290" s="235"/>
      <c r="K290" s="235"/>
      <c r="L290" s="235"/>
      <c r="M290" s="48"/>
      <c r="N290" s="48"/>
      <c r="O290" s="48"/>
      <c r="P290" s="48"/>
      <c r="Q290" s="48"/>
      <c r="R290" s="48"/>
      <c r="S290" s="48"/>
      <c r="T290" s="48"/>
      <c r="U290" s="48"/>
      <c r="V290" s="48"/>
      <c r="W290" s="48"/>
      <c r="X290" s="48"/>
      <c r="Y290" s="50"/>
      <c r="Z290" s="50"/>
      <c r="AA290" s="50"/>
      <c r="AB290" s="50"/>
      <c r="AC290" s="50"/>
      <c r="AD290" s="50"/>
      <c r="AE290" s="50"/>
      <c r="AF290" s="50"/>
      <c r="AG290" s="50"/>
      <c r="AH290" s="50"/>
      <c r="AI290" s="50"/>
      <c r="AJ290" s="50"/>
      <c r="AK290" s="50"/>
      <c r="AL290" s="50"/>
      <c r="AM290" s="50"/>
      <c r="AN290" s="50"/>
      <c r="AO290" s="50"/>
      <c r="AP290" s="50"/>
      <c r="AQ290" s="50"/>
      <c r="AR290" s="50"/>
      <c r="AS290" s="50"/>
      <c r="AT290" s="50"/>
      <c r="AU290" s="50"/>
      <c r="AV290" s="50"/>
      <c r="AW290" s="49"/>
      <c r="AX290" s="48"/>
      <c r="AY290" s="48"/>
      <c r="AZ290" s="48"/>
      <c r="BA290" s="48"/>
      <c r="BB290" s="48"/>
      <c r="BC290" s="48"/>
      <c r="BD290" s="48"/>
      <c r="BE290" s="48"/>
      <c r="BF290" s="48"/>
      <c r="BG290" s="48"/>
      <c r="BH290" s="48"/>
      <c r="BI290" s="48"/>
      <c r="BJ290" s="48"/>
      <c r="BK290" s="48"/>
      <c r="BL290" s="235"/>
      <c r="BM290" s="235"/>
      <c r="BN290" s="235"/>
      <c r="BO290" s="235"/>
      <c r="BP290" s="235"/>
      <c r="BQ290" s="235"/>
      <c r="BR290" s="48"/>
      <c r="BS290" s="235"/>
      <c r="BT290" s="235"/>
      <c r="BU290" s="235"/>
      <c r="BV290" s="235"/>
      <c r="BW290" s="235"/>
      <c r="BX290" s="235"/>
      <c r="BY290" s="235"/>
      <c r="BZ290" s="235"/>
      <c r="CA290" s="235"/>
      <c r="CB290" s="235"/>
      <c r="CC290" s="48"/>
      <c r="CD290" s="48"/>
      <c r="CE290" s="48"/>
      <c r="CF290" s="48"/>
      <c r="CG290" s="48"/>
      <c r="CH290" s="48"/>
      <c r="CI290" s="48"/>
      <c r="CJ290" s="48"/>
      <c r="CK290" s="48"/>
      <c r="CL290" s="48"/>
      <c r="CM290" s="50"/>
      <c r="CN290" s="50"/>
      <c r="CO290" s="50"/>
      <c r="CP290" s="50"/>
      <c r="CQ290" s="50"/>
      <c r="CR290" s="50"/>
      <c r="CS290" s="50"/>
      <c r="CT290" s="50"/>
      <c r="CU290" s="50"/>
      <c r="CV290" s="50"/>
      <c r="CW290" s="50"/>
      <c r="CX290" s="50"/>
      <c r="CY290" s="49"/>
      <c r="CZ290" s="48"/>
      <c r="DA290" s="48"/>
      <c r="DB290" s="48"/>
    </row>
    <row r="291" spans="1:113" s="24" customFormat="1" outlineLevel="1">
      <c r="A291" s="1" t="s">
        <v>69</v>
      </c>
      <c r="B291" s="24" t="s">
        <v>581</v>
      </c>
      <c r="C291" s="562">
        <v>2.1986416454189722E-2</v>
      </c>
      <c r="D291" s="562">
        <v>2.1557909479508884E-2</v>
      </c>
      <c r="E291" s="562">
        <v>1.6881784087696819E-2</v>
      </c>
      <c r="F291" s="562">
        <v>1.6189147447362433E-2</v>
      </c>
      <c r="G291" s="562">
        <v>1.8405562890093954E-2</v>
      </c>
      <c r="H291" s="562">
        <v>1.408369727177064E-2</v>
      </c>
      <c r="I291" s="562">
        <v>1.2325652142004527E-2</v>
      </c>
      <c r="J291" s="562">
        <v>1.4204606347771201E-2</v>
      </c>
      <c r="K291" s="562">
        <v>1.304710490644239E-2</v>
      </c>
      <c r="L291" s="562">
        <v>1.3890022512028515E-2</v>
      </c>
      <c r="M291" s="92">
        <v>6.6425221342348599E-3</v>
      </c>
      <c r="N291" s="92">
        <v>1.0399811854036184E-2</v>
      </c>
      <c r="O291" s="92">
        <v>6.370225608650232E-3</v>
      </c>
      <c r="P291" s="92">
        <v>-4.0689965619751653E-3</v>
      </c>
      <c r="Q291" s="92">
        <v>6.0957174605736849E-4</v>
      </c>
      <c r="R291" s="92">
        <v>1.4246154829275158E-2</v>
      </c>
      <c r="S291" s="92">
        <v>2.8128561406577674E-2</v>
      </c>
      <c r="T291" s="92">
        <v>2.1967318258438635E-2</v>
      </c>
      <c r="U291" s="92">
        <v>1.9328145349174233E-2</v>
      </c>
      <c r="V291" s="92">
        <v>1.7920054457232437E-2</v>
      </c>
      <c r="W291" s="92">
        <v>1.8726719983389904E-2</v>
      </c>
      <c r="X291" s="92">
        <v>1.958770561415835E-2</v>
      </c>
      <c r="Y291" s="170">
        <v>2.3447640831007803E-2</v>
      </c>
      <c r="Z291" s="170">
        <v>2.5860649059988174E-2</v>
      </c>
      <c r="AA291" s="170">
        <v>2.7626720877417146E-2</v>
      </c>
      <c r="AB291" s="170">
        <v>2.7627155132598981E-2</v>
      </c>
      <c r="AC291" s="170">
        <v>2.5766338415169562E-2</v>
      </c>
      <c r="AD291" s="170">
        <v>2.4569668139333863E-2</v>
      </c>
      <c r="AE291" s="170">
        <v>2.6139187781494475E-2</v>
      </c>
      <c r="AF291" s="170">
        <v>2.6411283900569661E-2</v>
      </c>
      <c r="AG291" s="170">
        <v>2.5791507668756441E-2</v>
      </c>
      <c r="AH291" s="170">
        <v>2.7600244634047755E-2</v>
      </c>
      <c r="AI291" s="170">
        <v>2.7308493684216568E-2</v>
      </c>
      <c r="AJ291" s="170">
        <v>2.7844352181989933E-2</v>
      </c>
      <c r="AK291" s="170">
        <v>2.5453770416779112E-2</v>
      </c>
      <c r="AL291" s="170">
        <v>2.4855236915713508E-2</v>
      </c>
      <c r="AM291" s="170">
        <v>2.6747408156256876E-2</v>
      </c>
      <c r="AN291" s="170">
        <v>3.1374673368989095E-2</v>
      </c>
      <c r="AO291" s="170">
        <v>3.2434299891261696E-2</v>
      </c>
      <c r="AP291" s="170">
        <v>3.2929096799321392E-2</v>
      </c>
      <c r="AQ291" s="170">
        <v>3.1725434193333638E-2</v>
      </c>
      <c r="AR291" s="170">
        <v>2.9530396443548521E-2</v>
      </c>
      <c r="AS291" s="170">
        <v>2.366610229795002E-2</v>
      </c>
      <c r="AT291" s="170">
        <v>1.157824156158623E-2</v>
      </c>
      <c r="AU291" s="170">
        <v>9.6989405113913491E-3</v>
      </c>
      <c r="AV291" s="170">
        <v>9.2513726289533294E-3</v>
      </c>
      <c r="AW291" s="94">
        <v>1.3512573429712595E-2</v>
      </c>
      <c r="AX291" s="92">
        <v>1.3273153749998073E-2</v>
      </c>
      <c r="AY291" s="92">
        <v>1.3249840587063659E-2</v>
      </c>
      <c r="AZ291" s="92">
        <v>1.3183518028900471E-2</v>
      </c>
      <c r="BA291" s="92">
        <v>1.2994104227595886E-2</v>
      </c>
      <c r="BB291" s="92">
        <v>1.2758492784217973E-2</v>
      </c>
      <c r="BC291" s="92">
        <v>1.2585021595428462E-2</v>
      </c>
      <c r="BD291" s="92">
        <v>1.242229797225777E-2</v>
      </c>
      <c r="BE291" s="92">
        <v>1.223021889236927E-2</v>
      </c>
      <c r="BF291" s="92">
        <v>1.2070095338216028E-2</v>
      </c>
      <c r="BG291" s="92">
        <v>1.188125682711547E-2</v>
      </c>
      <c r="BH291" s="92">
        <v>1.1841756392843492E-2</v>
      </c>
      <c r="BI291" s="92">
        <v>1.1802346361937978E-2</v>
      </c>
      <c r="BJ291" s="92">
        <v>1.1763024341645598E-2</v>
      </c>
      <c r="BK291" s="92">
        <v>1.1730531343963929E-2</v>
      </c>
      <c r="BL291" s="562">
        <v>1.17047278977767E-2</v>
      </c>
      <c r="BM291" s="562">
        <v>1.1678926367235193E-2</v>
      </c>
      <c r="BN291" s="562">
        <v>1.1653126512195886E-2</v>
      </c>
      <c r="BO291" s="562">
        <v>1.1627328095152311E-2</v>
      </c>
      <c r="BP291" s="562">
        <v>1.1601530881225413E-2</v>
      </c>
      <c r="BQ291" s="562">
        <v>1.1575734638153869E-2</v>
      </c>
      <c r="BR291" s="92"/>
      <c r="BS291" s="562">
        <v>3.6704026776938417E-2</v>
      </c>
      <c r="BT291" s="562">
        <v>4.0427080383828841E-2</v>
      </c>
      <c r="BU291" s="562">
        <v>3.7297780950236337E-2</v>
      </c>
      <c r="BV291" s="562">
        <v>1.861055775388647E-2</v>
      </c>
      <c r="BW291" s="562">
        <v>2.2669499924800718E-2</v>
      </c>
      <c r="BX291" s="562">
        <v>2.6708639454369194E-2</v>
      </c>
      <c r="BY291" s="562">
        <v>2.7731209227467808E-2</v>
      </c>
      <c r="BZ291" s="562">
        <v>2.1503447152789283E-2</v>
      </c>
      <c r="CA291" s="562">
        <v>1.4425976172181479E-2</v>
      </c>
      <c r="CB291" s="562">
        <v>1.7642926947159805E-2</v>
      </c>
      <c r="CC291" s="92" t="e">
        <v>#DIV/0!</v>
      </c>
      <c r="CD291" s="92" t="e">
        <v>#DIV/0!</v>
      </c>
      <c r="CE291" s="92" t="e">
        <v>#DIV/0!</v>
      </c>
      <c r="CF291" s="92" t="e">
        <v>#DIV/0!</v>
      </c>
      <c r="CG291" s="92">
        <v>1.0179543877172193E-2</v>
      </c>
      <c r="CH291" s="92">
        <v>8.0708993861535877E-3</v>
      </c>
      <c r="CI291" s="92">
        <v>-1.6587661679625613E-3</v>
      </c>
      <c r="CJ291" s="92">
        <v>2.1323853386200728E-2</v>
      </c>
      <c r="CK291" s="92">
        <v>2.0647816981799363E-2</v>
      </c>
      <c r="CL291" s="92">
        <v>1.8320438338246866E-2</v>
      </c>
      <c r="CM291" s="170">
        <v>2.1526906844539895E-2</v>
      </c>
      <c r="CN291" s="170">
        <v>2.6743835690080587E-2</v>
      </c>
      <c r="CO291" s="170">
        <v>2.6688112951497468E-2</v>
      </c>
      <c r="CP291" s="170">
        <v>2.5362527285983386E-2</v>
      </c>
      <c r="CQ291" s="170">
        <v>2.6098884011372545E-2</v>
      </c>
      <c r="CR291" s="170">
        <v>2.7454329347030109E-2</v>
      </c>
      <c r="CS291" s="170">
        <v>2.6654802145790326E-2</v>
      </c>
      <c r="CT291" s="170">
        <v>2.5796978934130299E-2</v>
      </c>
      <c r="CU291" s="170">
        <v>3.1905816485118907E-2</v>
      </c>
      <c r="CV291" s="170">
        <v>3.2321548681887718E-2</v>
      </c>
      <c r="CW291" s="170">
        <v>2.6568070932271107E-2</v>
      </c>
      <c r="CX291" s="170">
        <v>1.0631915200122907E-2</v>
      </c>
      <c r="CY291" s="94">
        <v>1.1376194491120798E-2</v>
      </c>
      <c r="CZ291" s="92">
        <v>1.3259244067299582E-2</v>
      </c>
      <c r="DA291" s="92">
        <v>1.3086767931744585E-2</v>
      </c>
      <c r="DB291" s="92">
        <v>1.2670090540358597E-2</v>
      </c>
      <c r="DC291" s="92">
        <v>1.2324790754328855E-2</v>
      </c>
      <c r="DD291" s="92">
        <v>1.1973928774242091E-2</v>
      </c>
      <c r="DE291" s="92">
        <v>1.18203533050312E-2</v>
      </c>
      <c r="DF291" s="92">
        <v>1.1745005406135272E-2</v>
      </c>
      <c r="DG291" s="562">
        <v>1.1690561822779669E-2</v>
      </c>
      <c r="DH291" s="562">
        <v>1.1638393167463327E-2</v>
      </c>
      <c r="DI291" s="562">
        <v>1.1586805859514101E-2</v>
      </c>
    </row>
    <row r="292" spans="1:113" outlineLevel="1">
      <c r="A292" s="1" t="s">
        <v>70</v>
      </c>
      <c r="B292" s="19" t="s">
        <v>344</v>
      </c>
      <c r="C292" s="553">
        <v>0</v>
      </c>
      <c r="D292" s="553">
        <v>0</v>
      </c>
      <c r="E292" s="553">
        <v>0</v>
      </c>
      <c r="F292" s="553">
        <v>0</v>
      </c>
      <c r="G292" s="553">
        <v>0</v>
      </c>
      <c r="H292" s="553">
        <v>0</v>
      </c>
      <c r="I292" s="553">
        <v>0</v>
      </c>
      <c r="J292" s="553">
        <v>0</v>
      </c>
      <c r="K292" s="553">
        <v>0</v>
      </c>
      <c r="L292" s="553">
        <v>0</v>
      </c>
      <c r="M292" s="51">
        <v>0</v>
      </c>
      <c r="N292" s="51">
        <v>0</v>
      </c>
      <c r="O292" s="51">
        <v>0</v>
      </c>
      <c r="P292" s="51">
        <v>0</v>
      </c>
      <c r="Q292" s="51">
        <v>0</v>
      </c>
      <c r="R292" s="51">
        <v>0</v>
      </c>
      <c r="S292" s="51">
        <v>0</v>
      </c>
      <c r="T292" s="51">
        <v>0</v>
      </c>
      <c r="U292" s="51">
        <v>0</v>
      </c>
      <c r="V292" s="51">
        <v>0</v>
      </c>
      <c r="W292" s="51">
        <v>0</v>
      </c>
      <c r="X292" s="51">
        <v>0</v>
      </c>
      <c r="Y292" s="95">
        <v>0</v>
      </c>
      <c r="Z292" s="95">
        <v>0</v>
      </c>
      <c r="AA292" s="178">
        <v>0</v>
      </c>
      <c r="AB292" s="178">
        <v>0</v>
      </c>
      <c r="AC292" s="178">
        <v>0</v>
      </c>
      <c r="AD292" s="178">
        <v>0</v>
      </c>
      <c r="AE292" s="178">
        <v>0</v>
      </c>
      <c r="AF292" s="178">
        <v>0</v>
      </c>
      <c r="AG292" s="178">
        <v>0</v>
      </c>
      <c r="AH292" s="178">
        <v>0</v>
      </c>
      <c r="AI292" s="178">
        <v>0</v>
      </c>
      <c r="AJ292" s="178">
        <v>0</v>
      </c>
      <c r="AK292" s="178">
        <v>0</v>
      </c>
      <c r="AL292" s="178">
        <v>0</v>
      </c>
      <c r="AM292" s="178">
        <v>0</v>
      </c>
      <c r="AN292" s="178">
        <v>0</v>
      </c>
      <c r="AO292" s="178">
        <v>0</v>
      </c>
      <c r="AP292" s="178">
        <v>0</v>
      </c>
      <c r="AQ292" s="178">
        <v>0</v>
      </c>
      <c r="AR292" s="178">
        <v>0</v>
      </c>
      <c r="AS292" s="178">
        <v>0</v>
      </c>
      <c r="AT292" s="178">
        <v>0</v>
      </c>
      <c r="AU292" s="178">
        <v>0</v>
      </c>
      <c r="AV292" s="178">
        <v>0</v>
      </c>
      <c r="AW292" s="391">
        <v>0</v>
      </c>
      <c r="AX292" s="48">
        <v>-5.0000000000000044E-4</v>
      </c>
      <c r="AY292" s="48">
        <v>-5.0000000000000044E-4</v>
      </c>
      <c r="AZ292" s="48">
        <v>-5.0000000000000044E-4</v>
      </c>
      <c r="BA292" s="48">
        <v>-1.2500000000000011E-3</v>
      </c>
      <c r="BB292" s="48">
        <v>-2.0000000000000018E-3</v>
      </c>
      <c r="BC292" s="48">
        <v>-2.0000000000000018E-3</v>
      </c>
      <c r="BD292" s="48">
        <v>-2.0000000000000018E-3</v>
      </c>
      <c r="BE292" s="48">
        <v>-2.0000000000000018E-3</v>
      </c>
      <c r="BF292" s="48">
        <v>-2.0000000000000018E-3</v>
      </c>
      <c r="BG292" s="48">
        <v>-2.0000000000000018E-3</v>
      </c>
      <c r="BH292" s="48">
        <v>-2.0000000000000018E-3</v>
      </c>
      <c r="BI292" s="48">
        <v>-2.0000000000000018E-3</v>
      </c>
      <c r="BJ292" s="48">
        <v>-2.0000000000000018E-3</v>
      </c>
      <c r="BK292" s="48">
        <v>-2.0000000000000018E-3</v>
      </c>
      <c r="BL292" s="235">
        <v>-2.0000000000000018E-3</v>
      </c>
      <c r="BM292" s="235">
        <v>-2.0000000000000018E-3</v>
      </c>
      <c r="BN292" s="235">
        <v>-2.0000000000000018E-3</v>
      </c>
      <c r="BO292" s="235">
        <v>-2.0000000000000018E-3</v>
      </c>
      <c r="BP292" s="235">
        <v>-2.0000000000000018E-3</v>
      </c>
      <c r="BQ292" s="235">
        <v>-2.0000000000000018E-3</v>
      </c>
      <c r="BR292" s="48"/>
      <c r="BS292" s="553">
        <v>0</v>
      </c>
      <c r="BT292" s="553">
        <v>0</v>
      </c>
      <c r="BU292" s="553">
        <v>0</v>
      </c>
      <c r="BV292" s="553">
        <v>0</v>
      </c>
      <c r="BW292" s="553">
        <v>0</v>
      </c>
      <c r="BX292" s="553">
        <v>0</v>
      </c>
      <c r="BY292" s="553">
        <v>0</v>
      </c>
      <c r="BZ292" s="553">
        <v>0</v>
      </c>
      <c r="CA292" s="553">
        <v>0</v>
      </c>
      <c r="CB292" s="553">
        <v>0</v>
      </c>
      <c r="CC292" s="48">
        <v>0</v>
      </c>
      <c r="CD292" s="48">
        <v>0</v>
      </c>
      <c r="CE292" s="48">
        <v>0</v>
      </c>
      <c r="CF292" s="48">
        <v>0</v>
      </c>
      <c r="CG292" s="48">
        <v>0</v>
      </c>
      <c r="CH292" s="48">
        <v>0</v>
      </c>
      <c r="CI292" s="48">
        <v>0</v>
      </c>
      <c r="CJ292" s="48">
        <v>0</v>
      </c>
      <c r="CK292" s="48">
        <v>0</v>
      </c>
      <c r="CL292" s="48">
        <v>0</v>
      </c>
      <c r="CM292" s="50">
        <v>0</v>
      </c>
      <c r="CN292" s="50">
        <v>0</v>
      </c>
      <c r="CO292" s="50">
        <v>0</v>
      </c>
      <c r="CP292" s="50">
        <v>0</v>
      </c>
      <c r="CQ292" s="50">
        <v>0</v>
      </c>
      <c r="CR292" s="50">
        <v>0</v>
      </c>
      <c r="CS292" s="50">
        <v>0</v>
      </c>
      <c r="CT292" s="50">
        <v>0</v>
      </c>
      <c r="CU292" s="50">
        <v>0</v>
      </c>
      <c r="CV292" s="50">
        <v>0</v>
      </c>
      <c r="CW292" s="50">
        <v>0</v>
      </c>
      <c r="CX292" s="50">
        <v>0</v>
      </c>
      <c r="CY292" s="49">
        <v>0</v>
      </c>
      <c r="CZ292" s="48">
        <v>0</v>
      </c>
      <c r="DA292" s="48">
        <v>0</v>
      </c>
      <c r="DB292" s="48">
        <v>0</v>
      </c>
      <c r="DC292" s="48">
        <v>0</v>
      </c>
      <c r="DD292" s="48">
        <v>0</v>
      </c>
      <c r="DE292" s="48">
        <v>0</v>
      </c>
      <c r="DF292" s="48">
        <v>0</v>
      </c>
      <c r="DG292" s="235">
        <v>0</v>
      </c>
      <c r="DH292" s="235">
        <v>0</v>
      </c>
      <c r="DI292" s="235">
        <v>0</v>
      </c>
    </row>
    <row r="293" spans="1:113" outlineLevel="1">
      <c r="A293" s="1" t="s">
        <v>71</v>
      </c>
      <c r="B293" s="19" t="s">
        <v>586</v>
      </c>
      <c r="C293" s="553">
        <v>0</v>
      </c>
      <c r="D293" s="553">
        <v>0</v>
      </c>
      <c r="E293" s="553">
        <v>0</v>
      </c>
      <c r="F293" s="553">
        <v>0</v>
      </c>
      <c r="G293" s="553">
        <v>0</v>
      </c>
      <c r="H293" s="553">
        <v>0</v>
      </c>
      <c r="I293" s="553">
        <v>0</v>
      </c>
      <c r="J293" s="553">
        <v>0</v>
      </c>
      <c r="K293" s="553">
        <v>0</v>
      </c>
      <c r="L293" s="553">
        <v>0</v>
      </c>
      <c r="M293" s="51">
        <v>0</v>
      </c>
      <c r="N293" s="51">
        <v>0</v>
      </c>
      <c r="O293" s="51">
        <v>0</v>
      </c>
      <c r="P293" s="51">
        <v>0</v>
      </c>
      <c r="Q293" s="51">
        <v>0</v>
      </c>
      <c r="R293" s="51">
        <v>0</v>
      </c>
      <c r="S293" s="51">
        <v>0</v>
      </c>
      <c r="T293" s="51">
        <v>0</v>
      </c>
      <c r="U293" s="51">
        <v>0</v>
      </c>
      <c r="V293" s="51">
        <v>0</v>
      </c>
      <c r="W293" s="51">
        <v>0</v>
      </c>
      <c r="X293" s="51">
        <v>0</v>
      </c>
      <c r="Y293" s="95">
        <v>0</v>
      </c>
      <c r="Z293" s="95">
        <v>0</v>
      </c>
      <c r="AA293" s="178">
        <v>0</v>
      </c>
      <c r="AB293" s="178">
        <v>0</v>
      </c>
      <c r="AC293" s="178">
        <v>0</v>
      </c>
      <c r="AD293" s="178">
        <v>0</v>
      </c>
      <c r="AE293" s="178">
        <v>0</v>
      </c>
      <c r="AF293" s="178">
        <v>0</v>
      </c>
      <c r="AG293" s="178">
        <v>0</v>
      </c>
      <c r="AH293" s="178">
        <v>0</v>
      </c>
      <c r="AI293" s="178">
        <v>0</v>
      </c>
      <c r="AJ293" s="178">
        <v>0</v>
      </c>
      <c r="AK293" s="178">
        <v>0</v>
      </c>
      <c r="AL293" s="178">
        <v>0</v>
      </c>
      <c r="AM293" s="178">
        <v>0</v>
      </c>
      <c r="AN293" s="178">
        <v>0</v>
      </c>
      <c r="AO293" s="178">
        <v>0</v>
      </c>
      <c r="AP293" s="178">
        <v>0</v>
      </c>
      <c r="AQ293" s="178">
        <v>0</v>
      </c>
      <c r="AR293" s="178">
        <v>0</v>
      </c>
      <c r="AS293" s="178">
        <v>0</v>
      </c>
      <c r="AT293" s="178">
        <v>0</v>
      </c>
      <c r="AU293" s="178">
        <v>0</v>
      </c>
      <c r="AV293" s="178">
        <v>0</v>
      </c>
      <c r="AW293" s="391">
        <v>0</v>
      </c>
      <c r="AX293" s="48">
        <v>-5.9999999999999984E-4</v>
      </c>
      <c r="AY293" s="48">
        <v>-6.9999999999999923E-4</v>
      </c>
      <c r="AZ293" s="48">
        <v>-8.9999999999999802E-4</v>
      </c>
      <c r="BA293" s="48">
        <v>-9.9952663060931188E-4</v>
      </c>
      <c r="BB293" s="48">
        <v>-1.0985556280655798E-3</v>
      </c>
      <c r="BC293" s="48">
        <v>-1.295623333003551E-3</v>
      </c>
      <c r="BD293" s="48">
        <v>-1.49072036089214E-3</v>
      </c>
      <c r="BE293" s="48">
        <v>-1.7321529329042684E-3</v>
      </c>
      <c r="BF293" s="48">
        <v>-1.9228846647938516E-3</v>
      </c>
      <c r="BG293" s="48">
        <v>-2.1589151830072109E-3</v>
      </c>
      <c r="BH293" s="48">
        <v>-2.1589151830072109E-3</v>
      </c>
      <c r="BI293" s="48">
        <v>-2.1589151830072109E-3</v>
      </c>
      <c r="BJ293" s="48">
        <v>-2.1589151830072109E-3</v>
      </c>
      <c r="BK293" s="48">
        <v>-2.1589151830072109E-3</v>
      </c>
      <c r="BL293" s="235">
        <v>-2.1589151830072109E-3</v>
      </c>
      <c r="BM293" s="235">
        <v>-2.1589151830072109E-3</v>
      </c>
      <c r="BN293" s="235">
        <v>-2.1589151830072109E-3</v>
      </c>
      <c r="BO293" s="235">
        <v>-2.1589151830072109E-3</v>
      </c>
      <c r="BP293" s="235">
        <v>-2.1589151830072109E-3</v>
      </c>
      <c r="BQ293" s="235">
        <v>-2.1589151830072109E-3</v>
      </c>
      <c r="BR293" s="48"/>
      <c r="BS293" s="553">
        <v>0</v>
      </c>
      <c r="BT293" s="553">
        <v>0</v>
      </c>
      <c r="BU293" s="553">
        <v>0</v>
      </c>
      <c r="BV293" s="553">
        <v>0</v>
      </c>
      <c r="BW293" s="553">
        <v>0</v>
      </c>
      <c r="BX293" s="553">
        <v>0</v>
      </c>
      <c r="BY293" s="553">
        <v>0</v>
      </c>
      <c r="BZ293" s="553">
        <v>0</v>
      </c>
      <c r="CA293" s="553">
        <v>0</v>
      </c>
      <c r="CB293" s="553">
        <v>0</v>
      </c>
      <c r="CC293" s="48">
        <v>0</v>
      </c>
      <c r="CD293" s="48">
        <v>0</v>
      </c>
      <c r="CE293" s="48">
        <v>0</v>
      </c>
      <c r="CF293" s="48">
        <v>0</v>
      </c>
      <c r="CG293" s="48">
        <v>0</v>
      </c>
      <c r="CH293" s="48">
        <v>0</v>
      </c>
      <c r="CI293" s="48">
        <v>0</v>
      </c>
      <c r="CJ293" s="48">
        <v>0</v>
      </c>
      <c r="CK293" s="48">
        <v>0</v>
      </c>
      <c r="CL293" s="48">
        <v>0</v>
      </c>
      <c r="CM293" s="50">
        <v>0</v>
      </c>
      <c r="CN293" s="50">
        <v>0</v>
      </c>
      <c r="CO293" s="50">
        <v>0</v>
      </c>
      <c r="CP293" s="50">
        <v>0</v>
      </c>
      <c r="CQ293" s="50">
        <v>0</v>
      </c>
      <c r="CR293" s="50">
        <v>0</v>
      </c>
      <c r="CS293" s="50">
        <v>0</v>
      </c>
      <c r="CT293" s="50">
        <v>0</v>
      </c>
      <c r="CU293" s="50">
        <v>0</v>
      </c>
      <c r="CV293" s="50">
        <v>0</v>
      </c>
      <c r="CW293" s="50">
        <v>0</v>
      </c>
      <c r="CX293" s="50">
        <v>0</v>
      </c>
      <c r="CY293" s="49">
        <v>0</v>
      </c>
      <c r="CZ293" s="48">
        <v>0</v>
      </c>
      <c r="DA293" s="48">
        <v>0</v>
      </c>
      <c r="DB293" s="48">
        <v>0</v>
      </c>
      <c r="DC293" s="48">
        <v>0</v>
      </c>
      <c r="DD293" s="48">
        <v>0</v>
      </c>
      <c r="DE293" s="48">
        <v>0</v>
      </c>
      <c r="DF293" s="48">
        <v>0</v>
      </c>
      <c r="DG293" s="235">
        <v>0</v>
      </c>
      <c r="DH293" s="235">
        <v>0</v>
      </c>
      <c r="DI293" s="235">
        <v>0</v>
      </c>
    </row>
    <row r="294" spans="1:113" s="24" customFormat="1" outlineLevel="1">
      <c r="A294" s="1" t="s">
        <v>72</v>
      </c>
      <c r="B294" s="24" t="s">
        <v>587</v>
      </c>
      <c r="C294" s="562">
        <v>2.1986416454189722E-2</v>
      </c>
      <c r="D294" s="562">
        <v>2.1557909479508884E-2</v>
      </c>
      <c r="E294" s="562">
        <v>1.6881784087696819E-2</v>
      </c>
      <c r="F294" s="562">
        <v>1.6189147447362433E-2</v>
      </c>
      <c r="G294" s="562">
        <v>1.8405562890093954E-2</v>
      </c>
      <c r="H294" s="562">
        <v>1.408369727177064E-2</v>
      </c>
      <c r="I294" s="562">
        <v>1.2325652142004527E-2</v>
      </c>
      <c r="J294" s="562">
        <v>1.4204606347771201E-2</v>
      </c>
      <c r="K294" s="562">
        <v>1.304710490644239E-2</v>
      </c>
      <c r="L294" s="562">
        <v>1.3890022512028515E-2</v>
      </c>
      <c r="M294" s="92">
        <v>6.6425221342348599E-3</v>
      </c>
      <c r="N294" s="92">
        <v>1.0399811854036184E-2</v>
      </c>
      <c r="O294" s="92">
        <v>6.370225608650232E-3</v>
      </c>
      <c r="P294" s="92">
        <v>-4.0689965619751653E-3</v>
      </c>
      <c r="Q294" s="92">
        <v>6.0957174605736849E-4</v>
      </c>
      <c r="R294" s="92">
        <v>1.4246154829275158E-2</v>
      </c>
      <c r="S294" s="92">
        <v>2.8128561406577674E-2</v>
      </c>
      <c r="T294" s="92">
        <v>2.1967318258438635E-2</v>
      </c>
      <c r="U294" s="92">
        <v>1.9328145349174233E-2</v>
      </c>
      <c r="V294" s="92">
        <v>1.7920054457232437E-2</v>
      </c>
      <c r="W294" s="92">
        <v>1.8726719983389904E-2</v>
      </c>
      <c r="X294" s="92">
        <v>1.958770561415835E-2</v>
      </c>
      <c r="Y294" s="170">
        <v>2.3447640831007803E-2</v>
      </c>
      <c r="Z294" s="170">
        <v>2.5860649059988174E-2</v>
      </c>
      <c r="AA294" s="170">
        <v>2.7626720877417146E-2</v>
      </c>
      <c r="AB294" s="170">
        <v>2.7627155132598981E-2</v>
      </c>
      <c r="AC294" s="170">
        <v>2.5766338415169562E-2</v>
      </c>
      <c r="AD294" s="170">
        <v>2.4569668139333863E-2</v>
      </c>
      <c r="AE294" s="170">
        <v>2.6139187781494475E-2</v>
      </c>
      <c r="AF294" s="170">
        <v>2.6411283900569661E-2</v>
      </c>
      <c r="AG294" s="170">
        <v>2.5791507668756441E-2</v>
      </c>
      <c r="AH294" s="170">
        <v>2.7600244634047755E-2</v>
      </c>
      <c r="AI294" s="170">
        <v>2.7308493684216568E-2</v>
      </c>
      <c r="AJ294" s="170">
        <v>2.7844352181989933E-2</v>
      </c>
      <c r="AK294" s="170">
        <v>2.5453770416779112E-2</v>
      </c>
      <c r="AL294" s="170">
        <v>2.4855236915713508E-2</v>
      </c>
      <c r="AM294" s="170">
        <v>2.6747408156256876E-2</v>
      </c>
      <c r="AN294" s="170">
        <v>3.1374673368989095E-2</v>
      </c>
      <c r="AO294" s="170">
        <v>3.2434299891261696E-2</v>
      </c>
      <c r="AP294" s="170">
        <v>3.2929096799321392E-2</v>
      </c>
      <c r="AQ294" s="170">
        <v>3.1725434193333638E-2</v>
      </c>
      <c r="AR294" s="170">
        <v>2.9530396443548521E-2</v>
      </c>
      <c r="AS294" s="170">
        <v>2.366610229795002E-2</v>
      </c>
      <c r="AT294" s="170">
        <v>1.157824156158623E-2</v>
      </c>
      <c r="AU294" s="170">
        <v>9.6989405113913491E-3</v>
      </c>
      <c r="AV294" s="170">
        <v>9.2513726289533294E-3</v>
      </c>
      <c r="AW294" s="94">
        <v>1.3512573429712595E-2</v>
      </c>
      <c r="AX294" s="92">
        <v>1.3273153749998073E-2</v>
      </c>
      <c r="AY294" s="92">
        <v>1.3249840587063659E-2</v>
      </c>
      <c r="AZ294" s="92">
        <v>1.3183518028900471E-2</v>
      </c>
      <c r="BA294" s="92">
        <v>1.2994104227595886E-2</v>
      </c>
      <c r="BB294" s="92">
        <v>1.2758492784217973E-2</v>
      </c>
      <c r="BC294" s="92">
        <v>1.2585021595428462E-2</v>
      </c>
      <c r="BD294" s="92">
        <v>1.242229797225777E-2</v>
      </c>
      <c r="BE294" s="92">
        <v>1.223021889236927E-2</v>
      </c>
      <c r="BF294" s="92">
        <v>1.2070095338216028E-2</v>
      </c>
      <c r="BG294" s="92">
        <v>1.188125682711547E-2</v>
      </c>
      <c r="BH294" s="92">
        <v>1.1841756392843492E-2</v>
      </c>
      <c r="BI294" s="92">
        <v>1.1802346361937978E-2</v>
      </c>
      <c r="BJ294" s="92">
        <v>1.1763024341645598E-2</v>
      </c>
      <c r="BK294" s="92">
        <v>1.1730531343963929E-2</v>
      </c>
      <c r="BL294" s="562">
        <v>1.17047278977767E-2</v>
      </c>
      <c r="BM294" s="562">
        <v>1.1678926367235193E-2</v>
      </c>
      <c r="BN294" s="562">
        <v>1.1653126512195886E-2</v>
      </c>
      <c r="BO294" s="562">
        <v>1.1627328095152311E-2</v>
      </c>
      <c r="BP294" s="562">
        <v>1.1601530881225413E-2</v>
      </c>
      <c r="BQ294" s="562">
        <v>1.1575734638153869E-2</v>
      </c>
      <c r="BR294" s="92"/>
      <c r="BS294" s="562">
        <v>3.6704026776938417E-2</v>
      </c>
      <c r="BT294" s="562">
        <v>4.0427080383828841E-2</v>
      </c>
      <c r="BU294" s="562">
        <v>3.7297780950236337E-2</v>
      </c>
      <c r="BV294" s="562">
        <v>1.861055775388647E-2</v>
      </c>
      <c r="BW294" s="562">
        <v>2.2669499924800718E-2</v>
      </c>
      <c r="BX294" s="562">
        <v>2.6708639454369194E-2</v>
      </c>
      <c r="BY294" s="562">
        <v>2.7731209227467808E-2</v>
      </c>
      <c r="BZ294" s="562">
        <v>2.1503447152789283E-2</v>
      </c>
      <c r="CA294" s="562">
        <v>1.4425976172181479E-2</v>
      </c>
      <c r="CB294" s="562">
        <v>1.7642926947159805E-2</v>
      </c>
      <c r="CC294" s="92" t="e">
        <v>#DIV/0!</v>
      </c>
      <c r="CD294" s="92" t="e">
        <v>#DIV/0!</v>
      </c>
      <c r="CE294" s="92" t="e">
        <v>#DIV/0!</v>
      </c>
      <c r="CF294" s="92" t="e">
        <v>#DIV/0!</v>
      </c>
      <c r="CG294" s="92">
        <v>1.0179543877172193E-2</v>
      </c>
      <c r="CH294" s="92">
        <v>8.0708993861535877E-3</v>
      </c>
      <c r="CI294" s="92">
        <v>-1.6587661679625613E-3</v>
      </c>
      <c r="CJ294" s="92">
        <v>2.1323853386200728E-2</v>
      </c>
      <c r="CK294" s="92">
        <v>2.0647816981799363E-2</v>
      </c>
      <c r="CL294" s="92">
        <v>1.8320438338246866E-2</v>
      </c>
      <c r="CM294" s="170">
        <v>2.1526906844539895E-2</v>
      </c>
      <c r="CN294" s="170">
        <v>2.6743835690080587E-2</v>
      </c>
      <c r="CO294" s="170">
        <v>2.6688112951497468E-2</v>
      </c>
      <c r="CP294" s="170">
        <v>2.5362527285983386E-2</v>
      </c>
      <c r="CQ294" s="170">
        <v>2.6098884011372545E-2</v>
      </c>
      <c r="CR294" s="170">
        <v>2.7454329347030109E-2</v>
      </c>
      <c r="CS294" s="170">
        <v>2.6654802145790326E-2</v>
      </c>
      <c r="CT294" s="170">
        <v>2.5796978934130299E-2</v>
      </c>
      <c r="CU294" s="170">
        <v>3.1905816485118907E-2</v>
      </c>
      <c r="CV294" s="170">
        <v>3.2321548681887718E-2</v>
      </c>
      <c r="CW294" s="170">
        <v>2.6568070932271107E-2</v>
      </c>
      <c r="CX294" s="170">
        <v>1.0631915200122907E-2</v>
      </c>
      <c r="CY294" s="94">
        <v>1.1376194491120798E-2</v>
      </c>
      <c r="CZ294" s="92">
        <v>1.3259244067299582E-2</v>
      </c>
      <c r="DA294" s="92">
        <v>1.3086767931744585E-2</v>
      </c>
      <c r="DB294" s="92">
        <v>1.2670090540358597E-2</v>
      </c>
      <c r="DC294" s="92">
        <v>1.2324790754328855E-2</v>
      </c>
      <c r="DD294" s="92">
        <v>1.1973928774242091E-2</v>
      </c>
      <c r="DE294" s="92">
        <v>1.18203533050312E-2</v>
      </c>
      <c r="DF294" s="92">
        <v>1.1745005406135272E-2</v>
      </c>
      <c r="DG294" s="562">
        <v>1.1690561822779669E-2</v>
      </c>
      <c r="DH294" s="562">
        <v>1.1638393167463327E-2</v>
      </c>
      <c r="DI294" s="562">
        <v>1.1586805859514101E-2</v>
      </c>
    </row>
    <row r="295" spans="1:113" outlineLevel="1">
      <c r="A295" s="1" t="s">
        <v>73</v>
      </c>
      <c r="B295" s="19" t="s">
        <v>388</v>
      </c>
      <c r="C295" s="235">
        <v>1.1900226818036447E-2</v>
      </c>
      <c r="D295" s="235">
        <v>1.0081213653603128E-3</v>
      </c>
      <c r="E295" s="235">
        <v>-8.4788572661845408E-3</v>
      </c>
      <c r="F295" s="235">
        <v>-6.0013677501856598E-3</v>
      </c>
      <c r="G295" s="235">
        <v>-8.3107556544783894E-3</v>
      </c>
      <c r="H295" s="235">
        <v>-9.8241869162424677E-3</v>
      </c>
      <c r="I295" s="235">
        <v>-1.3248597264197453E-2</v>
      </c>
      <c r="J295" s="235">
        <v>-7.3705353249969565E-3</v>
      </c>
      <c r="K295" s="235">
        <v>-5.4403177793292063E-3</v>
      </c>
      <c r="L295" s="235">
        <v>-1.7477625637732572E-3</v>
      </c>
      <c r="M295" s="48">
        <v>-3.5274652198051572E-3</v>
      </c>
      <c r="N295" s="48">
        <v>4.1530774509847147E-3</v>
      </c>
      <c r="O295" s="48">
        <v>-3.3954871040442047E-3</v>
      </c>
      <c r="P295" s="48">
        <v>-1.210264363865503E-2</v>
      </c>
      <c r="Q295" s="48">
        <v>-1.5432734665817458E-2</v>
      </c>
      <c r="R295" s="48">
        <v>-9.0456331381284488E-3</v>
      </c>
      <c r="S295" s="48">
        <v>-2.6929471947475993E-3</v>
      </c>
      <c r="T295" s="48">
        <v>-6.8765147233319718E-3</v>
      </c>
      <c r="U295" s="48">
        <v>-1.2786205770314491E-2</v>
      </c>
      <c r="V295" s="48">
        <v>-1.4102706451045338E-2</v>
      </c>
      <c r="W295" s="48">
        <v>-1.2870976784987253E-2</v>
      </c>
      <c r="X295" s="48">
        <v>-1.0373411457824241E-2</v>
      </c>
      <c r="Y295" s="50">
        <v>-7.4417805842040431E-3</v>
      </c>
      <c r="Z295" s="50">
        <v>-6.0941083306722439E-3</v>
      </c>
      <c r="AA295" s="50">
        <v>-4.4607111516225748E-3</v>
      </c>
      <c r="AB295" s="50">
        <v>-5.1570597005421211E-3</v>
      </c>
      <c r="AC295" s="50">
        <v>-6.033961334831469E-3</v>
      </c>
      <c r="AD295" s="50">
        <v>-5.2060885689595455E-3</v>
      </c>
      <c r="AE295" s="50">
        <v>-4.1797945265952697E-3</v>
      </c>
      <c r="AF295" s="50">
        <v>-2.9597440680351615E-3</v>
      </c>
      <c r="AG295" s="50">
        <v>-1.8045449236145535E-3</v>
      </c>
      <c r="AH295" s="50">
        <v>-1.4221382765164674E-3</v>
      </c>
      <c r="AI295" s="50">
        <v>-8.161065081374382E-4</v>
      </c>
      <c r="AJ295" s="50">
        <v>1.395696987411968E-4</v>
      </c>
      <c r="AK295" s="50">
        <v>2.9429714586097667E-5</v>
      </c>
      <c r="AL295" s="50">
        <v>1.7218627864923016E-4</v>
      </c>
      <c r="AM295" s="50">
        <v>2.2782776536301335E-3</v>
      </c>
      <c r="AN295" s="50">
        <v>4.6584001029175079E-3</v>
      </c>
      <c r="AO295" s="50">
        <v>4.6903201198519057E-3</v>
      </c>
      <c r="AP295" s="50">
        <v>3.8625954399476438E-3</v>
      </c>
      <c r="AQ295" s="50">
        <v>2.683464292150778E-3</v>
      </c>
      <c r="AR295" s="50">
        <v>2.3523809653057536E-3</v>
      </c>
      <c r="AS295" s="50">
        <v>-1.7583434108816676E-4</v>
      </c>
      <c r="AT295" s="50">
        <v>-2.5981117597895292E-3</v>
      </c>
      <c r="AU295" s="50">
        <v>3.912702123965173E-4</v>
      </c>
      <c r="AV295" s="50">
        <v>8.2282407298036112E-3</v>
      </c>
      <c r="AW295" s="49">
        <v>5.1178185788244516E-3</v>
      </c>
      <c r="AX295" s="47">
        <v>5.1178185788244516E-3</v>
      </c>
      <c r="AY295" s="47">
        <v>5.1178185788244516E-3</v>
      </c>
      <c r="AZ295" s="47">
        <v>5.1178185788244516E-3</v>
      </c>
      <c r="BA295" s="47">
        <v>5.1178185788244516E-3</v>
      </c>
      <c r="BB295" s="47">
        <v>5.1178185788244516E-3</v>
      </c>
      <c r="BC295" s="47">
        <v>5.1178185788244516E-3</v>
      </c>
      <c r="BD295" s="47">
        <v>5.1178185788244516E-3</v>
      </c>
      <c r="BE295" s="47">
        <v>5.1178185788244516E-3</v>
      </c>
      <c r="BF295" s="47">
        <v>5.1178185788244516E-3</v>
      </c>
      <c r="BG295" s="47">
        <v>5.1178185788244516E-3</v>
      </c>
      <c r="BH295" s="47">
        <v>5.1178185788244516E-3</v>
      </c>
      <c r="BI295" s="47">
        <v>5.1178185788244516E-3</v>
      </c>
      <c r="BJ295" s="47">
        <v>5.1178185788244516E-3</v>
      </c>
      <c r="BK295" s="47">
        <v>5.1178185788244516E-3</v>
      </c>
      <c r="BL295" s="510">
        <v>5.1178185788244516E-3</v>
      </c>
      <c r="BM295" s="510">
        <v>5.1178185788244516E-3</v>
      </c>
      <c r="BN295" s="510">
        <v>5.1178185788244516E-3</v>
      </c>
      <c r="BO295" s="510">
        <v>5.1178185788244516E-3</v>
      </c>
      <c r="BP295" s="510">
        <v>5.1178185788244516E-3</v>
      </c>
      <c r="BQ295" s="510">
        <v>5.1178185788244516E-3</v>
      </c>
      <c r="BR295" s="48"/>
      <c r="BS295" s="235">
        <v>4.5183547961036409E-3</v>
      </c>
      <c r="BT295" s="235">
        <v>5.4640198335100809E-3</v>
      </c>
      <c r="BU295" s="235">
        <v>5.5363920929202689E-3</v>
      </c>
      <c r="BV295" s="235">
        <v>-1.2307894765779624E-2</v>
      </c>
      <c r="BW295" s="235">
        <v>-1.2835937580937545E-2</v>
      </c>
      <c r="BX295" s="235">
        <v>-2.1255981068324628E-3</v>
      </c>
      <c r="BY295" s="235">
        <v>8.5496805767005489E-3</v>
      </c>
      <c r="BZ295" s="235">
        <v>1.5767592250922936E-3</v>
      </c>
      <c r="CA295" s="235">
        <v>1.2315496372625253E-3</v>
      </c>
      <c r="CB295" s="235">
        <v>6.6394965646549425E-3</v>
      </c>
      <c r="CC295" s="48" t="e">
        <v>#DIV/0!</v>
      </c>
      <c r="CD295" s="48" t="e">
        <v>#DIV/0!</v>
      </c>
      <c r="CE295" s="48" t="e">
        <v>#DIV/0!</v>
      </c>
      <c r="CF295" s="48" t="e">
        <v>#DIV/0!</v>
      </c>
      <c r="CG295" s="48">
        <v>-2.6452296210884851E-3</v>
      </c>
      <c r="CH295" s="48">
        <v>2.3331252516650829E-4</v>
      </c>
      <c r="CI295" s="48">
        <v>-1.3808441282869214E-2</v>
      </c>
      <c r="CJ295" s="48">
        <v>-5.839239067058734E-3</v>
      </c>
      <c r="CK295" s="48">
        <v>-9.8685568894738562E-3</v>
      </c>
      <c r="CL295" s="48">
        <v>-1.3478512585192349E-2</v>
      </c>
      <c r="CM295" s="50">
        <v>-8.8949778032287215E-3</v>
      </c>
      <c r="CN295" s="50">
        <v>-5.2867628078452581E-3</v>
      </c>
      <c r="CO295" s="50">
        <v>-5.6107969134965687E-3</v>
      </c>
      <c r="CP295" s="50">
        <v>-4.6770542991387831E-3</v>
      </c>
      <c r="CQ295" s="50">
        <v>-2.3816934484151933E-3</v>
      </c>
      <c r="CR295" s="50">
        <v>-1.1099237641554679E-3</v>
      </c>
      <c r="CS295" s="50">
        <v>8.4811740278654767E-5</v>
      </c>
      <c r="CT295" s="50">
        <v>1.2031663654808488E-3</v>
      </c>
      <c r="CU295" s="50">
        <v>4.6751774408556974E-3</v>
      </c>
      <c r="CV295" s="50">
        <v>3.2776788029012117E-3</v>
      </c>
      <c r="CW295" s="50">
        <v>1.065061037788364E-3</v>
      </c>
      <c r="CX295" s="50">
        <v>-1.1128966458320022E-3</v>
      </c>
      <c r="CY295" s="49">
        <v>6.674873357555647E-3</v>
      </c>
      <c r="CZ295" s="48">
        <v>5.1169581116600298E-3</v>
      </c>
      <c r="DA295" s="48">
        <v>5.1170525271678731E-3</v>
      </c>
      <c r="DB295" s="48">
        <v>5.1171400787416851E-3</v>
      </c>
      <c r="DC295" s="48">
        <v>5.1173356241156097E-3</v>
      </c>
      <c r="DD295" s="48">
        <v>5.1170897890301884E-3</v>
      </c>
      <c r="DE295" s="48">
        <v>5.1170874975057408E-3</v>
      </c>
      <c r="DF295" s="48">
        <v>5.1170526366511974E-3</v>
      </c>
      <c r="DG295" s="235">
        <v>5.1172874833222389E-3</v>
      </c>
      <c r="DH295" s="235">
        <v>5.1170194330443144E-3</v>
      </c>
      <c r="DI295" s="235">
        <v>5.1170190931218032E-3</v>
      </c>
    </row>
    <row r="296" spans="1:113" s="24" customFormat="1" outlineLevel="1">
      <c r="A296" s="1" t="s">
        <v>74</v>
      </c>
      <c r="B296" s="24" t="s">
        <v>470</v>
      </c>
      <c r="C296" s="561">
        <v>2.0403625017252194E-2</v>
      </c>
      <c r="D296" s="561">
        <v>1.8175944671456411E-2</v>
      </c>
      <c r="E296" s="561">
        <v>1.2678356392703934E-2</v>
      </c>
      <c r="F296" s="561">
        <v>1.2369008122214913E-2</v>
      </c>
      <c r="G296" s="561">
        <v>1.3530376858450752E-2</v>
      </c>
      <c r="H296" s="561">
        <v>9.9493743026723633E-3</v>
      </c>
      <c r="I296" s="561">
        <v>7.6612266748241134E-3</v>
      </c>
      <c r="J296" s="561">
        <v>1.0711629117577733E-2</v>
      </c>
      <c r="K296" s="561">
        <v>1.0301787733413781E-2</v>
      </c>
      <c r="L296" s="561">
        <v>1.1552270059899596E-2</v>
      </c>
      <c r="M296" s="174">
        <v>5.1593241130742235E-3</v>
      </c>
      <c r="N296" s="174">
        <v>9.4736520642312999E-3</v>
      </c>
      <c r="O296" s="174">
        <v>4.9583638855424106E-3</v>
      </c>
      <c r="P296" s="174">
        <v>-5.2393501067783815E-3</v>
      </c>
      <c r="Q296" s="174">
        <v>-1.7041821219572761E-3</v>
      </c>
      <c r="R296" s="174">
        <v>1.0713329693556262E-2</v>
      </c>
      <c r="S296" s="174">
        <v>2.3533964350703325E-2</v>
      </c>
      <c r="T296" s="174">
        <v>1.8084102745436592E-2</v>
      </c>
      <c r="U296" s="174">
        <v>1.4909182976850531E-2</v>
      </c>
      <c r="V296" s="174">
        <v>1.3298133375034438E-2</v>
      </c>
      <c r="W296" s="174">
        <v>1.4068468986952298E-2</v>
      </c>
      <c r="X296" s="93">
        <v>1.4804012397488915E-2</v>
      </c>
      <c r="Y296" s="174">
        <v>1.8484152541795022E-2</v>
      </c>
      <c r="Z296" s="174">
        <v>2.0745183458491585E-2</v>
      </c>
      <c r="AA296" s="175">
        <v>2.2589350401938667E-2</v>
      </c>
      <c r="AB296" s="175">
        <v>2.219431497103996E-2</v>
      </c>
      <c r="AC296" s="175">
        <v>2.0267700810992457E-2</v>
      </c>
      <c r="AD296" s="175">
        <v>1.9477228821446702E-2</v>
      </c>
      <c r="AE296" s="175">
        <v>2.0773913565351233E-2</v>
      </c>
      <c r="AF296" s="175">
        <v>2.0959868319667768E-2</v>
      </c>
      <c r="AG296" s="175">
        <v>2.0731236648753006E-2</v>
      </c>
      <c r="AH296" s="175">
        <v>2.2357859905758261E-2</v>
      </c>
      <c r="AI296" s="175">
        <v>2.1973310986813793E-2</v>
      </c>
      <c r="AJ296" s="175">
        <v>2.2835040466906931E-2</v>
      </c>
      <c r="AK296" s="175">
        <v>2.0863031257235942E-2</v>
      </c>
      <c r="AL296" s="175">
        <v>2.0209188332312372E-2</v>
      </c>
      <c r="AM296" s="175">
        <v>2.2262814906586059E-2</v>
      </c>
      <c r="AN296" s="175">
        <v>2.6388786929696172E-2</v>
      </c>
      <c r="AO296" s="175">
        <v>2.6833785849846352E-2</v>
      </c>
      <c r="AP296" s="175">
        <v>2.6804819190501535E-2</v>
      </c>
      <c r="AQ296" s="175">
        <v>2.5693807598089237E-2</v>
      </c>
      <c r="AR296" s="175">
        <v>2.3165952107453945E-2</v>
      </c>
      <c r="AS296" s="175">
        <v>1.7995977936952904E-2</v>
      </c>
      <c r="AT296" s="175">
        <v>8.0452330681627035E-3</v>
      </c>
      <c r="AU296" s="175">
        <v>7.4176195915072601E-3</v>
      </c>
      <c r="AV296" s="175">
        <v>8.9908621135765879E-3</v>
      </c>
      <c r="AW296" s="169">
        <v>1.1371383081564261E-2</v>
      </c>
      <c r="AX296" s="92">
        <v>1.1193030474857507E-2</v>
      </c>
      <c r="AY296" s="92">
        <v>1.117566363440024E-2</v>
      </c>
      <c r="AZ296" s="92">
        <v>1.1126257498923117E-2</v>
      </c>
      <c r="BA296" s="92">
        <v>1.0985156127268168E-2</v>
      </c>
      <c r="BB296" s="92">
        <v>1.0809640417170746E-2</v>
      </c>
      <c r="BC296" s="92">
        <v>1.0680415289369973E-2</v>
      </c>
      <c r="BD296" s="92">
        <v>1.0559196422149593E-2</v>
      </c>
      <c r="BE296" s="92">
        <v>1.0416109585542024E-2</v>
      </c>
      <c r="BF296" s="92">
        <v>1.0296827606247618E-2</v>
      </c>
      <c r="BG296" s="92">
        <v>1.0156154789620489E-2</v>
      </c>
      <c r="BH296" s="92">
        <v>1.0126729449870404E-2</v>
      </c>
      <c r="BI296" s="92">
        <v>1.0097371454943783E-2</v>
      </c>
      <c r="BJ296" s="92">
        <v>1.0068079022389851E-2</v>
      </c>
      <c r="BK296" s="92">
        <v>1.004387378227278E-2</v>
      </c>
      <c r="BL296" s="562">
        <v>1.0024651837380879E-2</v>
      </c>
      <c r="BM296" s="562">
        <v>1.0005431319524579E-2</v>
      </c>
      <c r="BN296" s="562">
        <v>9.9862120498120672E-3</v>
      </c>
      <c r="BO296" s="562">
        <v>9.9669938513159539E-3</v>
      </c>
      <c r="BP296" s="562">
        <v>9.9477765490661139E-3</v>
      </c>
      <c r="BQ296" s="562">
        <v>9.9285599700424648E-3</v>
      </c>
      <c r="BR296" s="92"/>
      <c r="BS296" s="572">
        <v>3.1278946974187427E-2</v>
      </c>
      <c r="BT296" s="572">
        <v>3.3729239577328943E-2</v>
      </c>
      <c r="BU296" s="572">
        <v>3.0260264366754851E-2</v>
      </c>
      <c r="BV296" s="572">
        <v>1.144336877557002E-2</v>
      </c>
      <c r="BW296" s="572">
        <v>1.4680310915554523E-2</v>
      </c>
      <c r="BX296" s="572">
        <v>2.0969857670483101E-2</v>
      </c>
      <c r="BY296" s="572">
        <v>2.4648158456907938E-2</v>
      </c>
      <c r="BZ296" s="572">
        <v>1.8431726350080085E-2</v>
      </c>
      <c r="CA296" s="572">
        <v>1.2367587201047199E-2</v>
      </c>
      <c r="CB296" s="572">
        <v>1.5950829320113005E-2</v>
      </c>
      <c r="CC296" s="92">
        <v>1.5406975816305679E-2</v>
      </c>
      <c r="CD296" s="92">
        <v>1.2953969239715361E-2</v>
      </c>
      <c r="CE296" s="92">
        <v>8.7541441070238986E-3</v>
      </c>
      <c r="CF296" s="92">
        <v>1.0498025624477854E-2</v>
      </c>
      <c r="CG296" s="92">
        <v>8.2861407603575764E-3</v>
      </c>
      <c r="CH296" s="92">
        <v>6.948618481496637E-3</v>
      </c>
      <c r="CI296" s="92">
        <v>-3.4196583587658069E-3</v>
      </c>
      <c r="CJ296" s="92">
        <v>1.7239898069131725E-2</v>
      </c>
      <c r="CK296" s="92">
        <v>1.6493994976583715E-2</v>
      </c>
      <c r="CL296" s="92">
        <v>1.3680999896989354E-2</v>
      </c>
      <c r="CM296" s="170">
        <v>1.6653974935183252E-2</v>
      </c>
      <c r="CN296" s="170">
        <v>2.1665734495465591E-2</v>
      </c>
      <c r="CO296" s="170">
        <v>2.1217906961739193E-2</v>
      </c>
      <c r="CP296" s="170">
        <v>2.013459599819967E-2</v>
      </c>
      <c r="CQ296" s="170">
        <v>2.0844792488100755E-2</v>
      </c>
      <c r="CR296" s="170">
        <v>2.2164470342022752E-2</v>
      </c>
      <c r="CS296" s="170">
        <v>2.185393160806106E-2</v>
      </c>
      <c r="CT296" s="170">
        <v>2.1228167234276445E-2</v>
      </c>
      <c r="CU296" s="170">
        <v>2.6613949579347495E-2</v>
      </c>
      <c r="CV296" s="170">
        <v>2.6249713595582678E-2</v>
      </c>
      <c r="CW296" s="170">
        <v>2.0554394441451223E-2</v>
      </c>
      <c r="CX296" s="170">
        <v>7.7308088412740344E-3</v>
      </c>
      <c r="CY296" s="94">
        <v>1.0178453878705137E-2</v>
      </c>
      <c r="CZ296" s="92">
        <v>1.1182449162653301E-2</v>
      </c>
      <c r="DA296" s="92">
        <v>1.1053989368834751E-2</v>
      </c>
      <c r="DB296" s="92">
        <v>1.0743613244032823E-2</v>
      </c>
      <c r="DC296" s="92">
        <v>1.0486436492215759E-2</v>
      </c>
      <c r="DD296" s="92">
        <v>1.0225003675805217E-2</v>
      </c>
      <c r="DE296" s="92">
        <v>1.0110599023567248E-2</v>
      </c>
      <c r="DF296" s="92">
        <v>1.0054460685046618E-2</v>
      </c>
      <c r="DG296" s="562">
        <v>1.001396353952089E-2</v>
      </c>
      <c r="DH296" s="562">
        <v>9.9750328019931229E-3</v>
      </c>
      <c r="DI296" s="562">
        <v>9.9366034146730359E-3</v>
      </c>
    </row>
    <row r="297" spans="1:113" outlineLevel="1">
      <c r="C297" s="235"/>
      <c r="D297" s="235"/>
      <c r="E297" s="235"/>
      <c r="F297" s="235"/>
      <c r="G297" s="235"/>
      <c r="H297" s="235"/>
      <c r="I297" s="235"/>
      <c r="J297" s="235"/>
      <c r="K297" s="235"/>
      <c r="L297" s="235"/>
      <c r="M297" s="48"/>
      <c r="N297" s="48"/>
      <c r="O297" s="48"/>
      <c r="P297" s="48"/>
      <c r="Q297" s="48"/>
      <c r="R297" s="48"/>
      <c r="S297" s="48"/>
      <c r="T297" s="48"/>
      <c r="U297" s="177"/>
      <c r="V297" s="48"/>
      <c r="W297" s="48"/>
      <c r="X297" s="48"/>
      <c r="Y297" s="50"/>
      <c r="Z297" s="50"/>
      <c r="AA297" s="50"/>
      <c r="AB297" s="50"/>
      <c r="AC297" s="50"/>
      <c r="AD297" s="50"/>
      <c r="AE297" s="50"/>
      <c r="AF297" s="50"/>
      <c r="AG297" s="50"/>
      <c r="AH297" s="50"/>
      <c r="AI297" s="50"/>
      <c r="AJ297" s="50"/>
      <c r="AK297" s="50"/>
      <c r="AL297" s="385"/>
      <c r="AM297" s="50"/>
      <c r="AN297" s="50"/>
      <c r="AO297" s="50"/>
      <c r="AP297" s="50"/>
      <c r="AQ297" s="50"/>
      <c r="AR297" s="50"/>
      <c r="AS297" s="50"/>
      <c r="AT297" s="50"/>
      <c r="AU297" s="50"/>
      <c r="AV297" s="50"/>
      <c r="AW297" s="49"/>
      <c r="AX297" s="48"/>
      <c r="AY297" s="48"/>
      <c r="AZ297" s="48"/>
      <c r="BA297" s="48"/>
      <c r="BB297" s="48"/>
      <c r="BC297" s="48"/>
      <c r="BD297" s="48"/>
      <c r="BE297" s="48"/>
      <c r="BF297" s="48"/>
      <c r="BG297" s="48"/>
      <c r="BH297" s="48"/>
      <c r="BI297" s="48"/>
      <c r="BJ297" s="48"/>
      <c r="BK297" s="48"/>
      <c r="BL297" s="235"/>
      <c r="BM297" s="235"/>
      <c r="BN297" s="235"/>
      <c r="BO297" s="235"/>
      <c r="BP297" s="235"/>
      <c r="BQ297" s="235"/>
      <c r="BR297" s="48"/>
      <c r="BS297" s="235"/>
      <c r="BT297" s="235"/>
      <c r="BU297" s="235"/>
      <c r="BV297" s="235"/>
      <c r="BW297" s="235"/>
      <c r="BX297" s="235"/>
      <c r="BY297" s="235"/>
      <c r="BZ297" s="235"/>
      <c r="CA297" s="235"/>
      <c r="CB297" s="235"/>
      <c r="CC297" s="48"/>
      <c r="CD297" s="48"/>
      <c r="CE297" s="48"/>
      <c r="CF297" s="48"/>
      <c r="CG297" s="48"/>
      <c r="CH297" s="48"/>
      <c r="CI297" s="48"/>
      <c r="CJ297" s="48"/>
      <c r="CK297" s="48"/>
      <c r="CL297" s="48"/>
      <c r="CM297" s="50"/>
      <c r="CN297" s="50"/>
      <c r="CO297" s="50"/>
      <c r="CP297" s="50"/>
      <c r="CQ297" s="50"/>
      <c r="CR297" s="50"/>
      <c r="CS297" s="50"/>
      <c r="CT297" s="50"/>
      <c r="CU297" s="50"/>
      <c r="CV297" s="50"/>
      <c r="CW297" s="50"/>
      <c r="CX297" s="50"/>
      <c r="CY297" s="49"/>
      <c r="CZ297" s="48"/>
      <c r="DA297" s="48"/>
      <c r="DB297" s="48"/>
    </row>
    <row r="298" spans="1:113" s="24" customFormat="1" outlineLevel="1">
      <c r="A298" s="19"/>
      <c r="B298" s="24" t="s">
        <v>588</v>
      </c>
      <c r="C298" s="562"/>
      <c r="D298" s="562"/>
      <c r="E298" s="562"/>
      <c r="F298" s="562"/>
      <c r="G298" s="562"/>
      <c r="H298" s="562"/>
      <c r="I298" s="562"/>
      <c r="J298" s="562"/>
      <c r="K298" s="562"/>
      <c r="L298" s="562"/>
      <c r="M298" s="92"/>
      <c r="N298" s="92"/>
      <c r="O298" s="92"/>
      <c r="P298" s="92"/>
      <c r="Q298" s="92"/>
      <c r="R298" s="92"/>
      <c r="S298" s="92"/>
      <c r="T298" s="92"/>
      <c r="U298" s="92"/>
      <c r="V298" s="92"/>
      <c r="W298" s="92"/>
      <c r="X298" s="92"/>
      <c r="Y298" s="170"/>
      <c r="Z298" s="399"/>
      <c r="AA298" s="399"/>
      <c r="AB298" s="399"/>
      <c r="AC298" s="399"/>
      <c r="AD298" s="399"/>
      <c r="AE298" s="170"/>
      <c r="AF298" s="170"/>
      <c r="AG298" s="170"/>
      <c r="AH298" s="170"/>
      <c r="AI298" s="170"/>
      <c r="AJ298" s="170"/>
      <c r="AK298" s="170"/>
      <c r="AL298" s="496"/>
      <c r="AM298" s="170"/>
      <c r="AN298" s="170"/>
      <c r="AO298" s="170"/>
      <c r="AP298" s="170"/>
      <c r="AQ298" s="170"/>
      <c r="AR298" s="170"/>
      <c r="AS298" s="170"/>
      <c r="AT298" s="50"/>
      <c r="AU298" s="170"/>
      <c r="AV298" s="170"/>
      <c r="AW298" s="94"/>
      <c r="AX298" s="92"/>
      <c r="AY298" s="92"/>
      <c r="AZ298" s="92"/>
      <c r="BA298" s="92"/>
      <c r="BB298" s="92"/>
      <c r="BC298" s="92"/>
      <c r="BD298" s="92"/>
      <c r="BE298" s="92"/>
      <c r="BF298" s="92"/>
      <c r="BG298" s="92"/>
      <c r="BH298" s="92"/>
      <c r="BI298" s="92"/>
      <c r="BJ298" s="92"/>
      <c r="BK298" s="92"/>
      <c r="BL298" s="562"/>
      <c r="BM298" s="562"/>
      <c r="BN298" s="562"/>
      <c r="BO298" s="562"/>
      <c r="BP298" s="562"/>
      <c r="BQ298" s="562"/>
      <c r="BR298" s="92"/>
      <c r="BS298" s="562"/>
      <c r="BT298" s="562"/>
      <c r="BU298" s="562"/>
      <c r="BV298" s="562"/>
      <c r="BW298" s="562"/>
      <c r="BX298" s="562"/>
      <c r="BY298" s="562"/>
      <c r="BZ298" s="562"/>
      <c r="CA298" s="562"/>
      <c r="CB298" s="562"/>
      <c r="CC298" s="92"/>
      <c r="CD298" s="92"/>
      <c r="CE298" s="92"/>
      <c r="CF298" s="92"/>
      <c r="CG298" s="92"/>
      <c r="CH298" s="92"/>
      <c r="CI298" s="92"/>
      <c r="CJ298" s="92"/>
      <c r="CK298" s="92"/>
      <c r="CL298" s="92"/>
      <c r="CM298" s="170"/>
      <c r="CN298" s="170"/>
      <c r="CO298" s="170"/>
      <c r="CP298" s="170"/>
      <c r="CQ298" s="170"/>
      <c r="CR298" s="170"/>
      <c r="CS298" s="170"/>
      <c r="CT298" s="170"/>
      <c r="CU298" s="170"/>
      <c r="CV298" s="170"/>
      <c r="CW298" s="170"/>
      <c r="CX298" s="170"/>
      <c r="CY298" s="94"/>
      <c r="CZ298" s="92"/>
      <c r="DA298" s="92"/>
      <c r="DB298" s="92"/>
    </row>
    <row r="299" spans="1:113" outlineLevel="1">
      <c r="A299" s="1" t="s">
        <v>75</v>
      </c>
      <c r="B299" s="19" t="s">
        <v>589</v>
      </c>
      <c r="C299" s="563">
        <v>3.8864497831949417E-2</v>
      </c>
      <c r="D299" s="563">
        <v>3.4187479334667648E-2</v>
      </c>
      <c r="E299" s="563">
        <v>3.6085342553598541E-2</v>
      </c>
      <c r="F299" s="563">
        <v>3.708257765788571E-2</v>
      </c>
      <c r="G299" s="563">
        <v>3.6234343703498442E-2</v>
      </c>
      <c r="H299" s="563">
        <v>3.7916529164263933E-2</v>
      </c>
      <c r="I299" s="563">
        <v>4.2858749767581611E-2</v>
      </c>
      <c r="J299" s="563">
        <v>4.0461905313266808E-2</v>
      </c>
      <c r="K299" s="563">
        <v>4.3337271085435662E-2</v>
      </c>
      <c r="L299" s="553">
        <v>4.2426914206533516E-2</v>
      </c>
      <c r="M299" s="51">
        <v>4.9180738215857556E-2</v>
      </c>
      <c r="N299" s="51">
        <v>4.603596520148065E-2</v>
      </c>
      <c r="O299" s="51">
        <v>4.7660754397017939E-2</v>
      </c>
      <c r="P299" s="51">
        <v>5.8470364178324449E-2</v>
      </c>
      <c r="Q299" s="51">
        <v>5.8999033175993448E-2</v>
      </c>
      <c r="R299" s="51">
        <v>5.0539846047940207E-2</v>
      </c>
      <c r="S299" s="51">
        <v>2.0368866484867618E-2</v>
      </c>
      <c r="T299" s="51">
        <v>2.4896846666633658E-2</v>
      </c>
      <c r="U299" s="51">
        <v>3.367433785761325E-2</v>
      </c>
      <c r="V299" s="51">
        <v>3.4261680510358425E-2</v>
      </c>
      <c r="W299" s="51">
        <v>3.5001162539956734E-2</v>
      </c>
      <c r="X299" s="51">
        <v>3.3678046025847411E-2</v>
      </c>
      <c r="Y299" s="95">
        <v>2.7187541034655354E-2</v>
      </c>
      <c r="Z299" s="400">
        <v>2.3257602165803436E-2</v>
      </c>
      <c r="AA299" s="180">
        <v>1.9039562222611512E-2</v>
      </c>
      <c r="AB299" s="180">
        <v>1.7629725691774269E-2</v>
      </c>
      <c r="AC299" s="180">
        <v>1.8191089328137934E-2</v>
      </c>
      <c r="AD299" s="180">
        <v>1.8953669376424079E-2</v>
      </c>
      <c r="AE299" s="180">
        <v>1.5176699855634778E-2</v>
      </c>
      <c r="AF299" s="529">
        <v>1.5038755747616858E-2</v>
      </c>
      <c r="AG299" s="529">
        <v>1.5018592577453756E-2</v>
      </c>
      <c r="AH299" s="180">
        <v>7.6052564078537398E-3</v>
      </c>
      <c r="AI299" s="385">
        <v>7.2401724943008802E-3</v>
      </c>
      <c r="AJ299" s="180">
        <v>8.3729465337628213E-3</v>
      </c>
      <c r="AK299" s="385">
        <v>8.618588120354511E-3</v>
      </c>
      <c r="AL299" s="180">
        <v>9.514819069428658E-3</v>
      </c>
      <c r="AM299" s="385">
        <v>9.6445979357601807E-3</v>
      </c>
      <c r="AN299" s="180">
        <v>2.8228171434187856E-3</v>
      </c>
      <c r="AO299" s="385">
        <v>2.5894754974260577E-3</v>
      </c>
      <c r="AP299" s="180">
        <v>-1.057726166471068E-3</v>
      </c>
      <c r="AQ299" s="385">
        <v>-1.0081669792114758E-3</v>
      </c>
      <c r="AR299" s="180">
        <v>1.7438928319488062E-3</v>
      </c>
      <c r="AS299" s="385">
        <v>1.6552991401352836E-3</v>
      </c>
      <c r="AT299" s="180">
        <v>2.1519713408245988E-2</v>
      </c>
      <c r="AU299" s="385">
        <v>2.1347875874082812E-2</v>
      </c>
      <c r="AV299" s="180">
        <v>2.1351541149620436E-2</v>
      </c>
      <c r="AW299" s="52">
        <v>2.1042546596459245E-2</v>
      </c>
      <c r="AX299" s="48">
        <v>2.1274987365690015E-2</v>
      </c>
      <c r="AY299" s="48">
        <v>2.1274987365690015E-2</v>
      </c>
      <c r="AZ299" s="48">
        <v>2.1274987365690015E-2</v>
      </c>
      <c r="BA299" s="48">
        <v>2.1274987365690015E-2</v>
      </c>
      <c r="BB299" s="48">
        <v>2.1274987365690015E-2</v>
      </c>
      <c r="BC299" s="48">
        <v>2.1274987365690015E-2</v>
      </c>
      <c r="BD299" s="48">
        <v>2.1274987365690015E-2</v>
      </c>
      <c r="BE299" s="48">
        <v>2.1274987365690015E-2</v>
      </c>
      <c r="BF299" s="48">
        <v>2.1274987365690015E-2</v>
      </c>
      <c r="BG299" s="48">
        <v>2.1274987365690015E-2</v>
      </c>
      <c r="BH299" s="48">
        <v>2.1274987365690015E-2</v>
      </c>
      <c r="BI299" s="48">
        <v>2.1274987365690015E-2</v>
      </c>
      <c r="BJ299" s="48">
        <v>2.1274987365690015E-2</v>
      </c>
      <c r="BK299" s="48">
        <v>2.1274987365690015E-2</v>
      </c>
      <c r="BL299" s="235">
        <v>2.1274987365690015E-2</v>
      </c>
      <c r="BM299" s="235">
        <v>2.1274987365690015E-2</v>
      </c>
      <c r="BN299" s="235">
        <v>2.1274987365690015E-2</v>
      </c>
      <c r="BO299" s="235">
        <v>2.1274987365690015E-2</v>
      </c>
      <c r="BP299" s="235">
        <v>2.1274987365690015E-2</v>
      </c>
      <c r="BQ299" s="235">
        <v>2.1274987365690015E-2</v>
      </c>
      <c r="BR299" s="48"/>
      <c r="BS299" s="235"/>
      <c r="BT299" s="235"/>
      <c r="BU299" s="235"/>
      <c r="BV299" s="235"/>
      <c r="BW299" s="235"/>
      <c r="BX299" s="235"/>
      <c r="BY299" s="235"/>
      <c r="BZ299" s="235"/>
      <c r="CA299" s="235"/>
      <c r="CB299" s="235"/>
      <c r="CC299" s="48">
        <v>3.5132592246043912E-2</v>
      </c>
      <c r="CD299" s="48">
        <v>3.6645187237243887E-2</v>
      </c>
      <c r="CE299" s="48">
        <v>4.0417915569883403E-2</v>
      </c>
      <c r="CF299" s="48">
        <v>4.1900545182769748E-2</v>
      </c>
      <c r="CG299" s="48">
        <v>4.5738410839616037E-2</v>
      </c>
      <c r="CH299" s="48">
        <v>4.4114562591525214E-2</v>
      </c>
      <c r="CI299" s="48">
        <v>5.8336634257296113E-2</v>
      </c>
      <c r="CJ299" s="48">
        <v>3.4509257479997106E-2</v>
      </c>
      <c r="CK299" s="48">
        <v>2.8969958597848785E-2</v>
      </c>
      <c r="CL299" s="48">
        <v>3.3946459933291977E-2</v>
      </c>
      <c r="CM299" s="50">
        <v>3.0255390037649574E-2</v>
      </c>
      <c r="CN299" s="50">
        <v>2.098753510124118E-2</v>
      </c>
      <c r="CO299" s="50">
        <v>1.8000940540359882E-2</v>
      </c>
      <c r="CP299" s="50">
        <v>1.69186321919059E-2</v>
      </c>
      <c r="CQ299" s="50">
        <v>1.4979576049212026E-2</v>
      </c>
      <c r="CR299" s="180">
        <v>7.4162129065869428E-3</v>
      </c>
      <c r="CS299" s="180">
        <v>8.4941855823954283E-3</v>
      </c>
      <c r="CT299" s="180">
        <v>9.582891273710677E-3</v>
      </c>
      <c r="CU299" s="180">
        <v>2.6964059213100949E-3</v>
      </c>
      <c r="CV299" s="180">
        <v>-1.0306361892700941E-3</v>
      </c>
      <c r="CW299" s="180">
        <v>1.6987218948093538E-3</v>
      </c>
      <c r="CX299" s="180">
        <v>2.1431821474516936E-2</v>
      </c>
      <c r="CY299" s="598">
        <v>2.1196469950597211E-2</v>
      </c>
      <c r="CZ299" s="48">
        <v>2.1271078886184746E-2</v>
      </c>
      <c r="DA299" s="48">
        <v>2.127102369709781E-2</v>
      </c>
      <c r="DB299" s="48">
        <v>2.1271697240304879E-2</v>
      </c>
      <c r="DC299" s="48">
        <v>2.1272798850321087E-2</v>
      </c>
      <c r="DD299" s="48">
        <v>2.1271694131569902E-2</v>
      </c>
      <c r="DE299" s="48">
        <v>2.1271692582656047E-2</v>
      </c>
      <c r="DF299" s="48">
        <v>2.127169103724488E-2</v>
      </c>
      <c r="DG299" s="235">
        <v>2.1272794735482513E-2</v>
      </c>
      <c r="DH299" s="235">
        <v>2.1271687956542305E-2</v>
      </c>
      <c r="DI299" s="235">
        <v>2.1271686421061243E-2</v>
      </c>
    </row>
    <row r="300" spans="1:113" outlineLevel="1">
      <c r="A300" s="1" t="s">
        <v>38</v>
      </c>
      <c r="B300" s="19" t="s">
        <v>471</v>
      </c>
      <c r="C300" s="512">
        <v>-2.7645945464916596E-2</v>
      </c>
      <c r="D300" s="512">
        <v>-2.0886291086632289E-2</v>
      </c>
      <c r="E300" s="512">
        <v>-1.2652444282183786E-2</v>
      </c>
      <c r="F300" s="512">
        <v>-1.4652010418995009E-2</v>
      </c>
      <c r="G300" s="512">
        <v>-1.4815766683819122E-2</v>
      </c>
      <c r="H300" s="512">
        <v>-1.1915960140955835E-2</v>
      </c>
      <c r="I300" s="512">
        <v>-1.6106810528206426E-2</v>
      </c>
      <c r="J300" s="512">
        <v>-1.522899530546906E-2</v>
      </c>
      <c r="K300" s="512">
        <v>-1.7372987037857907E-2</v>
      </c>
      <c r="L300" s="235">
        <v>-2.3326480395098031E-2</v>
      </c>
      <c r="M300" s="48">
        <v>-1.6007654689998221E-2</v>
      </c>
      <c r="N300" s="48">
        <v>-2.3289765887986445E-2</v>
      </c>
      <c r="O300" s="48">
        <v>-1.7944901651276844E-2</v>
      </c>
      <c r="P300" s="48">
        <v>-5.6609189950600405E-3</v>
      </c>
      <c r="Q300" s="48">
        <v>-1.5282230986071399E-2</v>
      </c>
      <c r="R300" s="48">
        <v>-3.4623167405734449E-2</v>
      </c>
      <c r="S300" s="48">
        <v>-2.8088095270120652E-2</v>
      </c>
      <c r="T300" s="48">
        <v>-2.0850680151021577E-2</v>
      </c>
      <c r="U300" s="48">
        <v>-2.5611027173005774E-2</v>
      </c>
      <c r="V300" s="48">
        <v>-2.3243053532467348E-2</v>
      </c>
      <c r="W300" s="48">
        <v>-2.3802334586678964E-2</v>
      </c>
      <c r="X300" s="48">
        <v>-2.5193464280991687E-2</v>
      </c>
      <c r="Y300" s="50">
        <v>-2.5933394232035802E-2</v>
      </c>
      <c r="Z300" s="50">
        <v>-2.6578810697144368E-2</v>
      </c>
      <c r="AA300" s="385">
        <v>-2.4496879959506827E-2</v>
      </c>
      <c r="AB300" s="50">
        <v>-2.4693296211248644E-2</v>
      </c>
      <c r="AC300" s="50">
        <v>-2.1579679820687758E-2</v>
      </c>
      <c r="AD300" s="50">
        <v>-2.1526726134975607E-2</v>
      </c>
      <c r="AE300" s="50">
        <v>-2.0804507279577569E-2</v>
      </c>
      <c r="AF300" s="756">
        <v>-2.2485634036430658E-2</v>
      </c>
      <c r="AG300" s="756">
        <v>-2.2117710681280496E-2</v>
      </c>
      <c r="AH300" s="385">
        <v>-1.0865211281218879E-2</v>
      </c>
      <c r="AI300" s="385">
        <v>-7.6978056074296797E-3</v>
      </c>
      <c r="AJ300" s="385">
        <v>-8.9804127887118754E-3</v>
      </c>
      <c r="AK300" s="385">
        <v>-4.0553290530742653E-3</v>
      </c>
      <c r="AL300" s="385">
        <v>-3.9297426244377393E-3</v>
      </c>
      <c r="AM300" s="385">
        <v>-9.9311800042400852E-3</v>
      </c>
      <c r="AN300" s="385">
        <v>-1.1730890916087687E-2</v>
      </c>
      <c r="AO300" s="385">
        <v>-1.4366461026365986E-2</v>
      </c>
      <c r="AP300" s="385">
        <v>-1.4515258788520499E-2</v>
      </c>
      <c r="AQ300" s="385">
        <v>-8.2492603118301255E-3</v>
      </c>
      <c r="AR300" s="385">
        <v>-1.4727603392858373E-2</v>
      </c>
      <c r="AS300" s="385">
        <v>6.9143758066170366E-3</v>
      </c>
      <c r="AT300" s="385">
        <v>7.2181519150643966E-3</v>
      </c>
      <c r="AU300" s="385">
        <v>6.1815517015888092E-3</v>
      </c>
      <c r="AV300" s="385">
        <v>1.7223702731058079E-3</v>
      </c>
      <c r="AW300" s="52">
        <v>-7.6794141894406132E-3</v>
      </c>
      <c r="AX300" s="48">
        <v>-7.1794141894406128E-3</v>
      </c>
      <c r="AY300" s="48">
        <v>-6.6794141894406123E-3</v>
      </c>
      <c r="AZ300" s="48">
        <v>-5.9294141894406125E-3</v>
      </c>
      <c r="BA300" s="48">
        <v>-5.9294141894406125E-3</v>
      </c>
      <c r="BB300" s="48">
        <v>-5.9294141894406125E-3</v>
      </c>
      <c r="BC300" s="48">
        <v>-5.9294141894406125E-3</v>
      </c>
      <c r="BD300" s="48">
        <v>-5.9294141894406125E-3</v>
      </c>
      <c r="BE300" s="48">
        <v>-5.9294141894406125E-3</v>
      </c>
      <c r="BF300" s="48">
        <v>-5.9294141894406125E-3</v>
      </c>
      <c r="BG300" s="48">
        <v>-5.9294141894406125E-3</v>
      </c>
      <c r="BH300" s="48">
        <v>-5.9294141894406125E-3</v>
      </c>
      <c r="BI300" s="48">
        <v>-5.9294141894406125E-3</v>
      </c>
      <c r="BJ300" s="48">
        <v>-5.9294141894406125E-3</v>
      </c>
      <c r="BK300" s="48">
        <v>-5.9294141894406125E-3</v>
      </c>
      <c r="BL300" s="235">
        <v>-5.9294141894406125E-3</v>
      </c>
      <c r="BM300" s="235">
        <v>-5.9294141894406125E-3</v>
      </c>
      <c r="BN300" s="235">
        <v>-5.9294141894406125E-3</v>
      </c>
      <c r="BO300" s="235">
        <v>-5.9294141894406125E-3</v>
      </c>
      <c r="BP300" s="235">
        <v>-5.9294141894406125E-3</v>
      </c>
      <c r="BQ300" s="235">
        <v>-5.9294141894406125E-3</v>
      </c>
      <c r="BR300" s="48"/>
      <c r="BS300" s="235"/>
      <c r="BT300" s="235"/>
      <c r="BU300" s="235"/>
      <c r="BV300" s="235"/>
      <c r="BW300" s="235"/>
      <c r="BX300" s="235"/>
      <c r="BY300" s="235"/>
      <c r="BZ300" s="235"/>
      <c r="CA300" s="235"/>
      <c r="CB300" s="235"/>
      <c r="CC300" s="48">
        <v>-1.6806311604417944E-2</v>
      </c>
      <c r="CD300" s="48">
        <v>-1.4733677670009887E-2</v>
      </c>
      <c r="CE300" s="48">
        <v>-1.4163130684289116E-2</v>
      </c>
      <c r="CF300" s="48">
        <v>-1.6289021422511343E-2</v>
      </c>
      <c r="CG300" s="48">
        <v>-1.9744807414247431E-2</v>
      </c>
      <c r="CH300" s="48">
        <v>-2.0225170234893321E-2</v>
      </c>
      <c r="CI300" s="48">
        <v>-1.0997034519082188E-2</v>
      </c>
      <c r="CJ300" s="48">
        <v>-3.141064444875806E-2</v>
      </c>
      <c r="CK300" s="48">
        <v>-2.3436368329907389E-2</v>
      </c>
      <c r="CL300" s="48">
        <v>-2.3973936669860595E-2</v>
      </c>
      <c r="CM300" s="50">
        <v>-2.5726595397783585E-2</v>
      </c>
      <c r="CN300" s="50">
        <v>-2.5717146916460536E-2</v>
      </c>
      <c r="CO300" s="50">
        <v>-2.3023777462971122E-2</v>
      </c>
      <c r="CP300" s="50">
        <v>-2.1355964280435465E-2</v>
      </c>
      <c r="CQ300" s="50">
        <v>-2.1794201253820158E-2</v>
      </c>
      <c r="CR300" s="50">
        <v>-9.2622867909073186E-3</v>
      </c>
      <c r="CS300" s="385">
        <v>-6.545645551802131E-3</v>
      </c>
      <c r="CT300" s="385">
        <v>-6.9106127136081275E-3</v>
      </c>
      <c r="CU300" s="385">
        <v>-1.3037027739372703E-2</v>
      </c>
      <c r="CV300" s="385">
        <v>-1.1334290519542401E-2</v>
      </c>
      <c r="CW300" s="385">
        <v>-3.8247375115934325E-3</v>
      </c>
      <c r="CX300" s="385">
        <v>6.7967829449522349E-3</v>
      </c>
      <c r="CY300" s="49">
        <v>-2.8183198182528163E-3</v>
      </c>
      <c r="CZ300" s="48">
        <v>-6.9274018159502298E-3</v>
      </c>
      <c r="DA300" s="48">
        <v>-5.9283095009917365E-3</v>
      </c>
      <c r="DB300" s="48">
        <v>-5.9284972198646339E-3</v>
      </c>
      <c r="DC300" s="48">
        <v>-5.9288042424705256E-3</v>
      </c>
      <c r="DD300" s="48">
        <v>-5.9284963534492058E-3</v>
      </c>
      <c r="DE300" s="48">
        <v>-5.9284959217614387E-3</v>
      </c>
      <c r="DF300" s="48">
        <v>-5.9284954910498828E-3</v>
      </c>
      <c r="DG300" s="235">
        <v>-5.9288030956504683E-3</v>
      </c>
      <c r="DH300" s="235">
        <v>-5.9284946324471843E-3</v>
      </c>
      <c r="DI300" s="235">
        <v>-5.9284942045031838E-3</v>
      </c>
    </row>
    <row r="301" spans="1:113" s="24" customFormat="1" outlineLevel="1">
      <c r="A301" s="1" t="s">
        <v>39</v>
      </c>
      <c r="B301" s="24" t="s">
        <v>168</v>
      </c>
      <c r="C301" s="564">
        <v>1.2105751234311492E-2</v>
      </c>
      <c r="D301" s="564">
        <v>1.2608544095662762E-2</v>
      </c>
      <c r="E301" s="564">
        <v>1.7253710705101229E-2</v>
      </c>
      <c r="F301" s="564">
        <v>1.7044760985021487E-2</v>
      </c>
      <c r="G301" s="564">
        <v>1.6924975836335135E-2</v>
      </c>
      <c r="H301" s="564">
        <v>1.8163140646221355E-2</v>
      </c>
      <c r="I301" s="564">
        <v>1.7695443034095537E-2</v>
      </c>
      <c r="J301" s="564">
        <v>1.6366932090829178E-2</v>
      </c>
      <c r="K301" s="564">
        <v>1.769426733015908E-2</v>
      </c>
      <c r="L301" s="565">
        <v>1.5046576068043847E-2</v>
      </c>
      <c r="M301" s="168">
        <v>2.2119244709906581E-2</v>
      </c>
      <c r="N301" s="168">
        <v>1.7201159743169075E-2</v>
      </c>
      <c r="O301" s="168">
        <v>2.1583653705762651E-2</v>
      </c>
      <c r="P301" s="168">
        <v>3.2196441559082495E-2</v>
      </c>
      <c r="Q301" s="168">
        <v>2.5422472655640647E-2</v>
      </c>
      <c r="R301" s="168">
        <v>9.6841872568839971E-3</v>
      </c>
      <c r="S301" s="168">
        <v>-3.4307955592930359E-3</v>
      </c>
      <c r="T301" s="168">
        <v>2.094357543255515E-3</v>
      </c>
      <c r="U301" s="168">
        <v>4.0270787074777117E-3</v>
      </c>
      <c r="V301" s="168">
        <v>4.9707580193287387E-3</v>
      </c>
      <c r="W301" s="168">
        <v>4.7221328725209066E-3</v>
      </c>
      <c r="X301" s="168">
        <v>3.4133899217065194E-3</v>
      </c>
      <c r="Y301" s="175">
        <v>-3.7858525920264618E-4</v>
      </c>
      <c r="Z301" s="175">
        <v>-2.4352587217083971E-3</v>
      </c>
      <c r="AA301" s="495">
        <v>-2.9084346348915886E-3</v>
      </c>
      <c r="AB301" s="175">
        <v>-2.7254658626180497E-3</v>
      </c>
      <c r="AC301" s="175">
        <v>-3.494436791216804E-5</v>
      </c>
      <c r="AD301" s="175">
        <v>1.0850874969389329E-3</v>
      </c>
      <c r="AE301" s="495">
        <v>1.0754794501487835E-4</v>
      </c>
      <c r="AF301" s="757">
        <v>4.1675691326942613E-4</v>
      </c>
      <c r="AG301" s="757">
        <v>1.2858141802423659E-3</v>
      </c>
      <c r="AH301" s="495">
        <v>-1.0824170072349162E-4</v>
      </c>
      <c r="AI301" s="496">
        <v>1.0018861783655832E-3</v>
      </c>
      <c r="AJ301" s="495">
        <v>1.3895641414374028E-3</v>
      </c>
      <c r="AK301" s="496">
        <v>3.5183185768035848E-3</v>
      </c>
      <c r="AL301" s="495">
        <v>4.1468161905238443E-3</v>
      </c>
      <c r="AM301" s="496">
        <v>1.8285876610136963E-3</v>
      </c>
      <c r="AN301" s="495">
        <v>-2.3865708340922998E-3</v>
      </c>
      <c r="AO301" s="496">
        <v>-3.4797717015230957E-3</v>
      </c>
      <c r="AP301" s="495">
        <v>-4.8179391599173747E-3</v>
      </c>
      <c r="AQ301" s="496">
        <v>-3.0314244366341234E-3</v>
      </c>
      <c r="AR301" s="495">
        <v>-2.3437655981485162E-3</v>
      </c>
      <c r="AS301" s="496">
        <v>2.9604209564458063E-3</v>
      </c>
      <c r="AT301" s="495">
        <v>1.7546364861933412E-2</v>
      </c>
      <c r="AU301" s="496">
        <v>1.7134273594890122E-2</v>
      </c>
      <c r="AV301" s="495">
        <v>1.5898043109934017E-2</v>
      </c>
      <c r="AW301" s="633">
        <v>1.306283324905232E-2</v>
      </c>
      <c r="AX301" s="92">
        <v>1.3369608983813692E-2</v>
      </c>
      <c r="AY301" s="92">
        <v>1.350852208600211E-2</v>
      </c>
      <c r="AZ301" s="92">
        <v>1.3716891739284739E-2</v>
      </c>
      <c r="BA301" s="92">
        <v>1.3716891739284736E-2</v>
      </c>
      <c r="BB301" s="92">
        <v>1.3716891739284738E-2</v>
      </c>
      <c r="BC301" s="92">
        <v>1.3716891739284736E-2</v>
      </c>
      <c r="BD301" s="92">
        <v>1.3716891739284738E-2</v>
      </c>
      <c r="BE301" s="92">
        <v>1.3716891739284738E-2</v>
      </c>
      <c r="BF301" s="92">
        <v>1.3716891739284738E-2</v>
      </c>
      <c r="BG301" s="92">
        <v>1.3716891739284739E-2</v>
      </c>
      <c r="BH301" s="92">
        <v>1.3716891739284739E-2</v>
      </c>
      <c r="BI301" s="92">
        <v>1.3716891739284741E-2</v>
      </c>
      <c r="BJ301" s="92">
        <v>1.3716891739284743E-2</v>
      </c>
      <c r="BK301" s="92">
        <v>1.3716891739284746E-2</v>
      </c>
      <c r="BL301" s="562">
        <v>1.3716891739284743E-2</v>
      </c>
      <c r="BM301" s="562">
        <v>1.3716891739284743E-2</v>
      </c>
      <c r="BN301" s="562">
        <v>1.3716891739284743E-2</v>
      </c>
      <c r="BO301" s="562">
        <v>1.3716891739284743E-2</v>
      </c>
      <c r="BP301" s="562">
        <v>1.3716891739284741E-2</v>
      </c>
      <c r="BQ301" s="562">
        <v>1.3716891739284743E-2</v>
      </c>
      <c r="BR301" s="92"/>
      <c r="BS301" s="572">
        <v>1.1523296911870332E-2</v>
      </c>
      <c r="BT301" s="572">
        <v>8.599653727162912E-3</v>
      </c>
      <c r="BU301" s="572">
        <v>9.3103279665745289E-3</v>
      </c>
      <c r="BV301" s="572">
        <v>2.9705518874812903E-2</v>
      </c>
      <c r="BW301" s="572">
        <v>2.5386462102348906E-2</v>
      </c>
      <c r="BX301" s="572">
        <v>1.5648751991250882E-2</v>
      </c>
      <c r="BY301" s="572">
        <v>1.3405683933671392E-2</v>
      </c>
      <c r="BZ301" s="572">
        <v>1.4911098909982261E-2</v>
      </c>
      <c r="CA301" s="572">
        <v>1.9042014133847943E-2</v>
      </c>
      <c r="CB301" s="572">
        <v>1.6244530260147001E-2</v>
      </c>
      <c r="CC301" s="92">
        <v>1.4925068233062146E-2</v>
      </c>
      <c r="CD301" s="92">
        <v>1.6982317981820125E-2</v>
      </c>
      <c r="CE301" s="92">
        <v>1.7910230727528991E-2</v>
      </c>
      <c r="CF301" s="92">
        <v>1.7028247669492163E-2</v>
      </c>
      <c r="CG301" s="92">
        <v>1.8645690193388551E-2</v>
      </c>
      <c r="CH301" s="92">
        <v>1.8768218700096127E-2</v>
      </c>
      <c r="CI301" s="92">
        <v>2.8667120809655153E-2</v>
      </c>
      <c r="CJ301" s="92">
        <v>2.7407023904388729E-3</v>
      </c>
      <c r="CK301" s="92">
        <v>3.0552099074339649E-3</v>
      </c>
      <c r="CL301" s="92">
        <v>4.843029720792565E-3</v>
      </c>
      <c r="CM301" s="170">
        <v>1.513957845157495E-3</v>
      </c>
      <c r="CN301" s="170">
        <v>-2.672900100167025E-3</v>
      </c>
      <c r="CO301" s="170">
        <v>-1.3629273449978047E-3</v>
      </c>
      <c r="CP301" s="170">
        <v>5.90605927633311E-4</v>
      </c>
      <c r="CQ301" s="170">
        <v>8.4288616255103171E-4</v>
      </c>
      <c r="CR301" s="495">
        <v>4.510630232064175E-4</v>
      </c>
      <c r="CS301" s="495">
        <v>2.4418190074650195E-3</v>
      </c>
      <c r="CT301" s="495">
        <v>2.997538853665084E-3</v>
      </c>
      <c r="CU301" s="495">
        <v>-2.9352557708036174E-3</v>
      </c>
      <c r="CV301" s="495">
        <v>-3.9096137835126984E-3</v>
      </c>
      <c r="CW301" s="495">
        <v>3.3327723542118676E-4</v>
      </c>
      <c r="CX301" s="495">
        <v>1.7588768319888429E-2</v>
      </c>
      <c r="CY301" s="632">
        <v>1.4525696122042332E-2</v>
      </c>
      <c r="CZ301" s="92">
        <v>1.3436802023517085E-2</v>
      </c>
      <c r="DA301" s="92">
        <v>1.3714336193091687E-2</v>
      </c>
      <c r="DB301" s="92">
        <v>1.3714770455124101E-2</v>
      </c>
      <c r="DC301" s="92">
        <v>1.3715480710085552E-2</v>
      </c>
      <c r="DD301" s="92">
        <v>1.3714768450790076E-2</v>
      </c>
      <c r="DE301" s="92">
        <v>1.3714767452139252E-2</v>
      </c>
      <c r="DF301" s="92">
        <v>1.3714766455746763E-2</v>
      </c>
      <c r="DG301" s="562">
        <v>1.3715478057073623E-2</v>
      </c>
      <c r="DH301" s="562">
        <v>1.3714764469486419E-2</v>
      </c>
      <c r="DI301" s="562">
        <v>1.3714763479496288E-2</v>
      </c>
    </row>
    <row r="302" spans="1:113" outlineLevel="1">
      <c r="C302" s="512"/>
      <c r="D302" s="512"/>
      <c r="E302" s="512"/>
      <c r="F302" s="512"/>
      <c r="G302" s="512"/>
      <c r="H302" s="512"/>
      <c r="I302" s="512"/>
      <c r="J302" s="512"/>
      <c r="K302" s="512"/>
      <c r="L302" s="235"/>
      <c r="M302" s="48"/>
      <c r="N302" s="48"/>
      <c r="O302" s="48"/>
      <c r="P302" s="48"/>
      <c r="Q302" s="48"/>
      <c r="R302" s="48"/>
      <c r="S302" s="48"/>
      <c r="T302" s="48"/>
      <c r="U302" s="48"/>
      <c r="V302" s="48"/>
      <c r="W302" s="48"/>
      <c r="X302" s="50"/>
      <c r="Y302" s="50"/>
      <c r="Z302" s="50"/>
      <c r="AA302" s="385"/>
      <c r="AB302" s="50"/>
      <c r="AC302" s="50"/>
      <c r="AD302" s="50"/>
      <c r="AE302" s="50"/>
      <c r="AF302" s="756"/>
      <c r="AG302" s="756"/>
      <c r="AH302" s="385"/>
      <c r="AI302" s="385"/>
      <c r="AJ302" s="385"/>
      <c r="AK302" s="385"/>
      <c r="AL302" s="496"/>
      <c r="AM302" s="496"/>
      <c r="AN302" s="496"/>
      <c r="AO302" s="496"/>
      <c r="AP302" s="496"/>
      <c r="AQ302" s="496"/>
      <c r="AR302" s="496"/>
      <c r="AS302" s="496"/>
      <c r="AT302" s="496"/>
      <c r="AU302" s="496"/>
      <c r="AV302" s="496"/>
      <c r="AW302" s="633"/>
      <c r="AX302" s="48"/>
      <c r="AY302" s="48"/>
      <c r="AZ302" s="48"/>
      <c r="BA302" s="48"/>
      <c r="BB302" s="48"/>
      <c r="BC302" s="48"/>
      <c r="BD302" s="48"/>
      <c r="BE302" s="48"/>
      <c r="BF302" s="48"/>
      <c r="BG302" s="48"/>
      <c r="BH302" s="48"/>
      <c r="BI302" s="48"/>
      <c r="BJ302" s="48"/>
      <c r="BK302" s="48"/>
      <c r="BL302" s="235"/>
      <c r="BM302" s="235"/>
      <c r="BN302" s="235"/>
      <c r="BO302" s="235"/>
      <c r="BP302" s="235"/>
      <c r="BQ302" s="235"/>
      <c r="BR302" s="48"/>
      <c r="BS302" s="235"/>
      <c r="BT302" s="235"/>
      <c r="BU302" s="235"/>
      <c r="BV302" s="235"/>
      <c r="BW302" s="235"/>
      <c r="BX302" s="235"/>
      <c r="BY302" s="235"/>
      <c r="BZ302" s="235"/>
      <c r="CA302" s="235"/>
      <c r="CB302" s="235"/>
      <c r="CC302" s="48"/>
      <c r="CD302" s="48"/>
      <c r="CE302" s="48"/>
      <c r="CF302" s="48"/>
      <c r="CG302" s="48"/>
      <c r="CH302" s="48"/>
      <c r="CI302" s="48"/>
      <c r="CJ302" s="48"/>
      <c r="CK302" s="48"/>
      <c r="CL302" s="48"/>
      <c r="CM302" s="50"/>
      <c r="CN302" s="50"/>
      <c r="CO302" s="50"/>
      <c r="CP302" s="50"/>
      <c r="CQ302" s="50"/>
      <c r="CR302" s="385"/>
      <c r="CS302" s="761"/>
      <c r="CT302" s="761"/>
      <c r="CU302" s="761"/>
      <c r="CV302" s="50"/>
      <c r="CW302" s="50"/>
      <c r="CX302" s="50"/>
      <c r="CY302" s="52"/>
      <c r="CZ302" s="48"/>
      <c r="DA302" s="48"/>
      <c r="DB302" s="48"/>
      <c r="DC302" s="48"/>
      <c r="DD302" s="48"/>
      <c r="DE302" s="48"/>
      <c r="DF302" s="48"/>
      <c r="DG302" s="235"/>
      <c r="DH302" s="235"/>
      <c r="DI302" s="235"/>
    </row>
    <row r="303" spans="1:113" s="24" customFormat="1" outlineLevel="1">
      <c r="A303" s="19"/>
      <c r="B303" s="24" t="s">
        <v>591</v>
      </c>
      <c r="C303" s="566"/>
      <c r="D303" s="566"/>
      <c r="E303" s="566"/>
      <c r="F303" s="566"/>
      <c r="G303" s="566"/>
      <c r="H303" s="566"/>
      <c r="I303" s="566"/>
      <c r="J303" s="566"/>
      <c r="K303" s="566"/>
      <c r="L303" s="562"/>
      <c r="M303" s="92"/>
      <c r="N303" s="92"/>
      <c r="O303" s="92"/>
      <c r="P303" s="92"/>
      <c r="Q303" s="92"/>
      <c r="R303" s="92"/>
      <c r="S303" s="92"/>
      <c r="T303" s="92"/>
      <c r="U303" s="92"/>
      <c r="V303" s="92"/>
      <c r="W303" s="92"/>
      <c r="X303" s="170"/>
      <c r="Y303" s="170"/>
      <c r="Z303" s="170"/>
      <c r="AA303" s="496"/>
      <c r="AB303" s="170"/>
      <c r="AC303" s="170"/>
      <c r="AD303" s="170"/>
      <c r="AE303" s="170"/>
      <c r="AF303" s="758"/>
      <c r="AG303" s="758"/>
      <c r="AH303" s="496"/>
      <c r="AI303" s="496"/>
      <c r="AJ303" s="496"/>
      <c r="AK303" s="496"/>
      <c r="AL303" s="496"/>
      <c r="AM303" s="496"/>
      <c r="AN303" s="496"/>
      <c r="AO303" s="496"/>
      <c r="AP303" s="496"/>
      <c r="AQ303" s="496"/>
      <c r="AR303" s="496"/>
      <c r="AS303" s="496"/>
      <c r="AT303" s="496"/>
      <c r="AU303" s="496"/>
      <c r="AV303" s="496"/>
      <c r="AW303" s="633"/>
      <c r="AX303" s="92"/>
      <c r="AY303" s="92"/>
      <c r="AZ303" s="92"/>
      <c r="BA303" s="92"/>
      <c r="BB303" s="92"/>
      <c r="BC303" s="92"/>
      <c r="BD303" s="92"/>
      <c r="BE303" s="92"/>
      <c r="BF303" s="92"/>
      <c r="BG303" s="92"/>
      <c r="BH303" s="92"/>
      <c r="BI303" s="92"/>
      <c r="BJ303" s="92"/>
      <c r="BK303" s="92"/>
      <c r="BL303" s="562"/>
      <c r="BM303" s="562"/>
      <c r="BN303" s="562"/>
      <c r="BO303" s="562"/>
      <c r="BP303" s="562"/>
      <c r="BQ303" s="562"/>
      <c r="BR303" s="92"/>
      <c r="BS303" s="562"/>
      <c r="BT303" s="562"/>
      <c r="BU303" s="562"/>
      <c r="BV303" s="562"/>
      <c r="BW303" s="562"/>
      <c r="BX303" s="562"/>
      <c r="BY303" s="562"/>
      <c r="BZ303" s="562"/>
      <c r="CA303" s="562"/>
      <c r="CB303" s="562"/>
      <c r="CC303" s="92"/>
      <c r="CD303" s="92"/>
      <c r="CE303" s="92"/>
      <c r="CF303" s="92"/>
      <c r="CG303" s="92"/>
      <c r="CH303" s="92"/>
      <c r="CI303" s="92"/>
      <c r="CJ303" s="92"/>
      <c r="CK303" s="92"/>
      <c r="CL303" s="92"/>
      <c r="CM303" s="170"/>
      <c r="CN303" s="170"/>
      <c r="CO303" s="170"/>
      <c r="CP303" s="170"/>
      <c r="CQ303" s="170"/>
      <c r="CR303" s="170"/>
      <c r="CS303" s="385"/>
      <c r="CT303" s="385"/>
      <c r="CU303" s="385"/>
      <c r="CV303" s="170"/>
      <c r="CW303" s="170"/>
      <c r="CX303" s="170"/>
      <c r="CY303" s="633"/>
      <c r="CZ303" s="92"/>
      <c r="DA303" s="92"/>
      <c r="DB303" s="92"/>
      <c r="DC303" s="92"/>
      <c r="DD303" s="92"/>
      <c r="DE303" s="92"/>
      <c r="DF303" s="92"/>
      <c r="DG303" s="562"/>
      <c r="DH303" s="562"/>
      <c r="DI303" s="562"/>
    </row>
    <row r="304" spans="1:113" outlineLevel="1">
      <c r="A304" s="1" t="s">
        <v>78</v>
      </c>
      <c r="B304" s="19" t="s">
        <v>589</v>
      </c>
      <c r="C304" s="563">
        <v>3.762131940339053E-2</v>
      </c>
      <c r="D304" s="563">
        <v>3.2576266814381749E-2</v>
      </c>
      <c r="E304" s="563">
        <v>3.5787952676820875E-2</v>
      </c>
      <c r="F304" s="563">
        <v>3.6056631050871105E-2</v>
      </c>
      <c r="G304" s="563">
        <v>3.5492662983656345E-2</v>
      </c>
      <c r="H304" s="563">
        <v>3.8679563590336218E-2</v>
      </c>
      <c r="I304" s="563">
        <v>4.4192403617275167E-2</v>
      </c>
      <c r="J304" s="563">
        <v>3.9100230507185869E-2</v>
      </c>
      <c r="K304" s="563">
        <v>4.153502677107325E-2</v>
      </c>
      <c r="L304" s="553">
        <v>3.3746693425871763E-2</v>
      </c>
      <c r="M304" s="51">
        <v>4.0500517435195803E-2</v>
      </c>
      <c r="N304" s="51">
        <v>3.6736666830714283E-2</v>
      </c>
      <c r="O304" s="51">
        <v>3.8361456026251586E-2</v>
      </c>
      <c r="P304" s="51">
        <v>4.8472974980310155E-2</v>
      </c>
      <c r="Q304" s="51">
        <v>4.9001643977979153E-2</v>
      </c>
      <c r="R304" s="51">
        <v>4.339854298145434E-2</v>
      </c>
      <c r="S304" s="51">
        <v>1.3227563418381754E-2</v>
      </c>
      <c r="T304" s="51">
        <v>2.1937001227202105E-2</v>
      </c>
      <c r="U304" s="51">
        <v>3.0714492418181701E-2</v>
      </c>
      <c r="V304" s="51">
        <v>3.5483228256192614E-2</v>
      </c>
      <c r="W304" s="51">
        <v>3.6222710285790924E-2</v>
      </c>
      <c r="X304" s="51">
        <v>3.4727781669615446E-2</v>
      </c>
      <c r="Y304" s="95">
        <v>2.8237276678423393E-2</v>
      </c>
      <c r="Z304" s="400">
        <v>2.2064561784636096E-2</v>
      </c>
      <c r="AA304" s="180">
        <v>1.7846521841444168E-2</v>
      </c>
      <c r="AB304" s="180">
        <v>1.4155550549622815E-2</v>
      </c>
      <c r="AC304" s="180">
        <v>1.4716914185986481E-2</v>
      </c>
      <c r="AD304" s="180">
        <v>1.4897477275169907E-2</v>
      </c>
      <c r="AE304" s="180">
        <v>1.1120507754380605E-2</v>
      </c>
      <c r="AF304" s="529">
        <v>1.4452253962315966E-2</v>
      </c>
      <c r="AG304" s="529">
        <v>1.4432090792152866E-2</v>
      </c>
      <c r="AH304" s="180">
        <v>8.423277969782119E-3</v>
      </c>
      <c r="AI304" s="385">
        <v>8.114469961589748E-3</v>
      </c>
      <c r="AJ304" s="180">
        <v>1.0191007698501533E-2</v>
      </c>
      <c r="AK304" s="385">
        <v>9.6377706307986134E-3</v>
      </c>
      <c r="AL304" s="180">
        <v>8.2429908969575676E-3</v>
      </c>
      <c r="AM304" s="385">
        <v>7.7599805141401442E-3</v>
      </c>
      <c r="AN304" s="180">
        <v>-1.227649333178055E-3</v>
      </c>
      <c r="AO304" s="385">
        <v>-1.0926315813805641E-3</v>
      </c>
      <c r="AP304" s="180">
        <v>-5.9123001122258012E-3</v>
      </c>
      <c r="AQ304" s="385">
        <v>-5.7813155717227165E-3</v>
      </c>
      <c r="AR304" s="180">
        <v>-5.4687535621606852E-4</v>
      </c>
      <c r="AS304" s="385">
        <v>-5.4332562447004587E-4</v>
      </c>
      <c r="AT304" s="180">
        <v>2.2667746850546556E-2</v>
      </c>
      <c r="AU304" s="385">
        <v>2.1344177369245411E-2</v>
      </c>
      <c r="AV304" s="180">
        <v>2.0991314068825404E-2</v>
      </c>
      <c r="AW304" s="52">
        <v>1.1409591652344415E-2</v>
      </c>
      <c r="AX304" s="48"/>
      <c r="AY304" s="48"/>
      <c r="AZ304" s="48"/>
      <c r="BA304" s="48"/>
      <c r="BB304" s="48"/>
      <c r="BC304" s="48"/>
      <c r="BD304" s="48"/>
      <c r="BE304" s="48"/>
      <c r="BF304" s="48"/>
      <c r="BG304" s="48"/>
      <c r="BH304" s="48"/>
      <c r="BI304" s="48"/>
      <c r="BJ304" s="48"/>
      <c r="BK304" s="48"/>
      <c r="BL304" s="235"/>
      <c r="BM304" s="235"/>
      <c r="BN304" s="235"/>
      <c r="BO304" s="235"/>
      <c r="BP304" s="235"/>
      <c r="BQ304" s="235"/>
      <c r="BR304" s="48"/>
      <c r="BS304" s="235"/>
      <c r="BT304" s="235"/>
      <c r="BU304" s="235"/>
      <c r="BV304" s="235"/>
      <c r="BW304" s="235"/>
      <c r="BX304" s="235"/>
      <c r="BY304" s="235"/>
      <c r="BZ304" s="235"/>
      <c r="CA304" s="235"/>
      <c r="CB304" s="235"/>
      <c r="CC304" s="48">
        <v>3.42898042093122E-2</v>
      </c>
      <c r="CD304" s="48">
        <v>3.5790573251297531E-2</v>
      </c>
      <c r="CE304" s="48">
        <v>4.144842686230648E-2</v>
      </c>
      <c r="CF304" s="48">
        <v>4.0334726460900971E-2</v>
      </c>
      <c r="CG304" s="48">
        <v>3.6738801540014722E-2</v>
      </c>
      <c r="CH304" s="48">
        <v>3.718779908270415E-2</v>
      </c>
      <c r="CI304" s="48">
        <v>4.8186330128668457E-2</v>
      </c>
      <c r="CJ304" s="48">
        <v>3.0963904118758389E-2</v>
      </c>
      <c r="CK304" s="48">
        <v>3.1553719335545023E-2</v>
      </c>
      <c r="CL304" s="48">
        <v>3.6026464543228533E-2</v>
      </c>
      <c r="CM304" s="50">
        <v>3.2690358102281339E-2</v>
      </c>
      <c r="CN304" s="50">
        <v>1.987032739788458E-2</v>
      </c>
      <c r="CO304" s="50">
        <v>1.4828408946024467E-2</v>
      </c>
      <c r="CP304" s="50">
        <v>1.2928570144944983E-2</v>
      </c>
      <c r="CQ304" s="50">
        <v>1.465674048727687E-2</v>
      </c>
      <c r="CR304" s="180">
        <v>8.248487594737822E-3</v>
      </c>
      <c r="CS304" s="180">
        <v>9.9213696800265795E-3</v>
      </c>
      <c r="CT304" s="180">
        <v>7.9704988998115477E-3</v>
      </c>
      <c r="CU304" s="180">
        <v>-1.1573478581956851E-3</v>
      </c>
      <c r="CV304" s="180">
        <v>-5.8457769923462247E-3</v>
      </c>
      <c r="CW304" s="180">
        <v>-5.4505348449630786E-4</v>
      </c>
      <c r="CX304" s="180">
        <v>2.1991804805625924E-2</v>
      </c>
      <c r="CY304" s="598">
        <v>1.6201953009536932E-2</v>
      </c>
      <c r="CZ304" s="48">
        <v>0</v>
      </c>
      <c r="DA304" s="48">
        <v>0</v>
      </c>
      <c r="DB304" s="48">
        <v>0</v>
      </c>
      <c r="DC304" s="48">
        <v>0</v>
      </c>
      <c r="DD304" s="48">
        <v>0</v>
      </c>
      <c r="DE304" s="48">
        <v>0</v>
      </c>
      <c r="DF304" s="48">
        <v>0</v>
      </c>
      <c r="DG304" s="235">
        <v>0</v>
      </c>
      <c r="DH304" s="235">
        <v>0</v>
      </c>
      <c r="DI304" s="235">
        <v>0</v>
      </c>
    </row>
    <row r="305" spans="1:113" outlineLevel="1">
      <c r="A305" s="1" t="s">
        <v>79</v>
      </c>
      <c r="B305" s="19" t="s">
        <v>471</v>
      </c>
      <c r="C305" s="235">
        <v>-2.5709250956056372E-2</v>
      </c>
      <c r="D305" s="235">
        <v>-2.7128914697675314E-2</v>
      </c>
      <c r="E305" s="235">
        <v>-1.6675273237952919E-2</v>
      </c>
      <c r="F305" s="235">
        <v>-1.5258311080669544E-2</v>
      </c>
      <c r="G305" s="235">
        <v>-2.7121052480326015E-2</v>
      </c>
      <c r="H305" s="235">
        <v>-1.9226658491780044E-2</v>
      </c>
      <c r="I305" s="235">
        <v>-2.3006446545843752E-2</v>
      </c>
      <c r="J305" s="235">
        <v>-2.7360517183083993E-2</v>
      </c>
      <c r="K305" s="235">
        <v>-3.359954092022082E-2</v>
      </c>
      <c r="L305" s="235">
        <v>-1.1397124427269187E-2</v>
      </c>
      <c r="M305" s="48">
        <v>-1.4506799940276816E-2</v>
      </c>
      <c r="N305" s="48">
        <v>-1.0643539656202678E-2</v>
      </c>
      <c r="O305" s="48">
        <v>-7.3932174326376806E-3</v>
      </c>
      <c r="P305" s="48">
        <v>-3.4520428520585259E-3</v>
      </c>
      <c r="Q305" s="48">
        <v>-3.769109169356888E-3</v>
      </c>
      <c r="R305" s="48">
        <v>-1.38295354027945E-2</v>
      </c>
      <c r="S305" s="48">
        <v>-1.8845817185570751E-2</v>
      </c>
      <c r="T305" s="48">
        <v>-3.4869476114054554E-2</v>
      </c>
      <c r="U305" s="48">
        <v>-3.4225972818037707E-2</v>
      </c>
      <c r="V305" s="48">
        <v>-2.4796926423289605E-2</v>
      </c>
      <c r="W305" s="48">
        <v>-1.7580438504809545E-2</v>
      </c>
      <c r="X305" s="48">
        <v>-1.7031487184631735E-2</v>
      </c>
      <c r="Y305" s="50">
        <v>-2.2651558101757903E-2</v>
      </c>
      <c r="Z305" s="50">
        <v>-2.0708542956192004E-2</v>
      </c>
      <c r="AA305" s="385">
        <v>-2.6562398809941799E-2</v>
      </c>
      <c r="AB305" s="50">
        <v>-2.7059834967095162E-2</v>
      </c>
      <c r="AC305" s="50">
        <v>-2.8166742164574259E-2</v>
      </c>
      <c r="AD305" s="50">
        <v>-3.0018644127217546E-2</v>
      </c>
      <c r="AE305" s="50">
        <v>-3.4778125037021698E-2</v>
      </c>
      <c r="AF305" s="756">
        <v>-3.8842793589147245E-2</v>
      </c>
      <c r="AG305" s="756">
        <v>-3.0160931475958958E-2</v>
      </c>
      <c r="AH305" s="385">
        <v>-2.3291191043005342E-2</v>
      </c>
      <c r="AI305" s="385">
        <v>-2.3269482152899652E-2</v>
      </c>
      <c r="AJ305" s="385">
        <v>-2.3168602921314233E-2</v>
      </c>
      <c r="AK305" s="385">
        <v>-1.7081198881963036E-2</v>
      </c>
      <c r="AL305" s="385">
        <v>-1.2679436915992307E-2</v>
      </c>
      <c r="AM305" s="385">
        <v>-1.4302552995796561E-2</v>
      </c>
      <c r="AN305" s="385">
        <v>-2.0530913468121578E-2</v>
      </c>
      <c r="AO305" s="385">
        <v>-2.1632754139233677E-2</v>
      </c>
      <c r="AP305" s="385">
        <v>-2.4455879601831539E-2</v>
      </c>
      <c r="AQ305" s="385">
        <v>-8.7818990968166911E-3</v>
      </c>
      <c r="AR305" s="385">
        <v>-1.3438514910296746E-2</v>
      </c>
      <c r="AS305" s="385">
        <v>-3.7908349035722707E-3</v>
      </c>
      <c r="AT305" s="385">
        <v>7.7428952788290428E-3</v>
      </c>
      <c r="AU305" s="385">
        <v>6.4907644812205137E-2</v>
      </c>
      <c r="AV305" s="385">
        <v>4.6958379572147151E-3</v>
      </c>
      <c r="AW305" s="52">
        <v>3.7331887962494537E-3</v>
      </c>
      <c r="AX305" s="48"/>
      <c r="AY305" s="48"/>
      <c r="AZ305" s="48"/>
      <c r="BA305" s="48"/>
      <c r="BB305" s="48"/>
      <c r="BC305" s="48"/>
      <c r="BD305" s="48"/>
      <c r="BE305" s="48"/>
      <c r="BF305" s="48"/>
      <c r="BG305" s="48"/>
      <c r="BH305" s="48"/>
      <c r="BI305" s="48"/>
      <c r="BJ305" s="48"/>
      <c r="BK305" s="48"/>
      <c r="BL305" s="235"/>
      <c r="BM305" s="235"/>
      <c r="BN305" s="235"/>
      <c r="BO305" s="235"/>
      <c r="BP305" s="235"/>
      <c r="BQ305" s="235"/>
      <c r="BR305" s="48"/>
      <c r="BS305" s="235"/>
      <c r="BT305" s="235"/>
      <c r="BU305" s="235"/>
      <c r="BV305" s="235"/>
      <c r="BW305" s="235"/>
      <c r="BX305" s="235"/>
      <c r="BY305" s="235"/>
      <c r="BZ305" s="235"/>
      <c r="CA305" s="235"/>
      <c r="CB305" s="235"/>
      <c r="CC305" s="48">
        <v>-2.1475350950780785E-2</v>
      </c>
      <c r="CD305" s="48">
        <v>-2.1086507342913986E-2</v>
      </c>
      <c r="CE305" s="48">
        <v>-2.111942090782408E-2</v>
      </c>
      <c r="CF305" s="48">
        <v>-3.0502784663159793E-2</v>
      </c>
      <c r="CG305" s="48">
        <v>-1.3075588832544251E-2</v>
      </c>
      <c r="CH305" s="48">
        <v>-9.0942948334327301E-3</v>
      </c>
      <c r="CI305" s="48">
        <v>-3.6486728944511689E-3</v>
      </c>
      <c r="CJ305" s="48">
        <v>-1.6148668772222902E-2</v>
      </c>
      <c r="CK305" s="48">
        <v>-3.2023556648495641E-2</v>
      </c>
      <c r="CL305" s="48">
        <v>-2.1126564274209041E-2</v>
      </c>
      <c r="CM305" s="50">
        <v>-1.9338638790028131E-2</v>
      </c>
      <c r="CN305" s="50">
        <v>-2.3713857739092559E-2</v>
      </c>
      <c r="CO305" s="50">
        <v>-2.7139766407961521E-2</v>
      </c>
      <c r="CP305" s="50">
        <v>-3.2703662460512706E-2</v>
      </c>
      <c r="CQ305" s="50">
        <v>-3.4140624192256011E-2</v>
      </c>
      <c r="CR305" s="50">
        <v>-2.3225151042940293E-2</v>
      </c>
      <c r="CS305" s="385">
        <v>-2.0114611751382978E-2</v>
      </c>
      <c r="CT305" s="385">
        <v>-1.3452090746180118E-2</v>
      </c>
      <c r="CU305" s="385">
        <v>-2.1077958597670112E-2</v>
      </c>
      <c r="CV305" s="385">
        <v>-1.667525547820959E-2</v>
      </c>
      <c r="CW305" s="385">
        <v>-8.7226223745215641E-3</v>
      </c>
      <c r="CX305" s="385">
        <v>3.6756004378013851E-2</v>
      </c>
      <c r="CY305" s="52">
        <v>4.7214151807266026E-3</v>
      </c>
      <c r="CZ305" s="48">
        <v>0</v>
      </c>
      <c r="DA305" s="48">
        <v>0</v>
      </c>
      <c r="DB305" s="48">
        <v>0</v>
      </c>
      <c r="DC305" s="48">
        <v>0</v>
      </c>
      <c r="DD305" s="48">
        <v>0</v>
      </c>
      <c r="DE305" s="48">
        <v>0</v>
      </c>
      <c r="DF305" s="48">
        <v>0</v>
      </c>
      <c r="DG305" s="235">
        <v>0</v>
      </c>
      <c r="DH305" s="235">
        <v>0</v>
      </c>
      <c r="DI305" s="235">
        <v>0</v>
      </c>
    </row>
    <row r="306" spans="1:113" s="24" customFormat="1" outlineLevel="1">
      <c r="A306" s="1" t="s">
        <v>80</v>
      </c>
      <c r="B306" s="24" t="s">
        <v>168</v>
      </c>
      <c r="C306" s="565">
        <v>-5.4670878380818286E-3</v>
      </c>
      <c r="D306" s="565">
        <v>-8.4609723446082349E-3</v>
      </c>
      <c r="E306" s="565">
        <v>4.6074301734799761E-4</v>
      </c>
      <c r="F306" s="565">
        <v>1.7891671538411841E-3</v>
      </c>
      <c r="G306" s="565">
        <v>-6.4833695839459082E-3</v>
      </c>
      <c r="H306" s="565">
        <v>1.2913990722147883E-4</v>
      </c>
      <c r="I306" s="565">
        <v>-4.2506472609270957E-4</v>
      </c>
      <c r="J306" s="565">
        <v>-4.6483425179354443E-3</v>
      </c>
      <c r="K306" s="565">
        <v>-6.884772184976129E-3</v>
      </c>
      <c r="L306" s="565">
        <v>4.9892373295398612E-3</v>
      </c>
      <c r="M306" s="168">
        <v>5.1488812944619697E-3</v>
      </c>
      <c r="N306" s="168">
        <v>6.5291661157326208E-3</v>
      </c>
      <c r="O306" s="168">
        <v>9.8632811106977095E-3</v>
      </c>
      <c r="P306" s="168">
        <v>1.5719639266137439E-2</v>
      </c>
      <c r="Q306" s="168">
        <v>1.4262361161480441E-2</v>
      </c>
      <c r="R306" s="168">
        <v>4.6749593596156006E-3</v>
      </c>
      <c r="S306" s="168">
        <v>-9.6472016034792329E-3</v>
      </c>
      <c r="T306" s="168">
        <v>-1.6995282728722569E-2</v>
      </c>
      <c r="U306" s="168">
        <v>-8.4705403566892809E-3</v>
      </c>
      <c r="V306" s="168">
        <v>-1.8973284162233511E-3</v>
      </c>
      <c r="W306" s="168">
        <v>2.6364381900632339E-3</v>
      </c>
      <c r="X306" s="168">
        <v>3.6592598782206331E-3</v>
      </c>
      <c r="Y306" s="175">
        <v>-1.4705318188937486E-3</v>
      </c>
      <c r="Z306" s="175">
        <v>-2.8115282535602984E-3</v>
      </c>
      <c r="AA306" s="495">
        <v>-7.1232637488109589E-3</v>
      </c>
      <c r="AB306" s="175">
        <v>-7.5185278015228764E-3</v>
      </c>
      <c r="AC306" s="175">
        <v>-6.7073347905215776E-3</v>
      </c>
      <c r="AD306" s="175">
        <v>-7.6423555023761303E-3</v>
      </c>
      <c r="AE306" s="175">
        <v>-1.2184508277229143E-2</v>
      </c>
      <c r="AF306" s="757">
        <v>-1.1879907908655379E-2</v>
      </c>
      <c r="AG306" s="757">
        <v>-6.9279493455689789E-3</v>
      </c>
      <c r="AH306" s="495">
        <v>-9.0904865942433126E-3</v>
      </c>
      <c r="AI306" s="496">
        <v>-9.2167723871373567E-3</v>
      </c>
      <c r="AJ306" s="495">
        <v>-8.3888180480820237E-3</v>
      </c>
      <c r="AK306" s="496">
        <v>-5.2435121075708182E-3</v>
      </c>
      <c r="AL306" s="495">
        <v>-4.4475330078415261E-3</v>
      </c>
      <c r="AM306" s="496">
        <v>-5.6220758806242782E-3</v>
      </c>
      <c r="AN306" s="495">
        <v>-1.2763290227524959E-2</v>
      </c>
      <c r="AO306" s="496">
        <v>-1.3367419725855229E-2</v>
      </c>
      <c r="AP306" s="495">
        <v>-1.4033824633886265E-2</v>
      </c>
      <c r="AQ306" s="496">
        <v>-7.0954800075588983E-3</v>
      </c>
      <c r="AR306" s="495">
        <v>-6.2425130381528679E-3</v>
      </c>
      <c r="AS306" s="496">
        <v>-1.9781032681437066E-3</v>
      </c>
      <c r="AT306" s="495">
        <v>1.402942266674498E-2</v>
      </c>
      <c r="AU306" s="496">
        <v>4.6558187206092727E-2</v>
      </c>
      <c r="AV306" s="495">
        <v>1.1559688923002361E-2</v>
      </c>
      <c r="AW306" s="633">
        <v>6.9665822114955726E-3</v>
      </c>
      <c r="AX306" s="92">
        <v>7.4665822114955722E-3</v>
      </c>
      <c r="AY306" s="92">
        <v>7.4665822114955722E-3</v>
      </c>
      <c r="AZ306" s="92">
        <v>7.4665822114955722E-3</v>
      </c>
      <c r="BA306" s="92">
        <v>7.4665822114955722E-3</v>
      </c>
      <c r="BB306" s="92">
        <v>7.4665822114955722E-3</v>
      </c>
      <c r="BC306" s="92">
        <v>7.4665822114955722E-3</v>
      </c>
      <c r="BD306" s="92">
        <v>7.4665822114955722E-3</v>
      </c>
      <c r="BE306" s="92">
        <v>7.4665822114955722E-3</v>
      </c>
      <c r="BF306" s="92">
        <v>7.4665822114955722E-3</v>
      </c>
      <c r="BG306" s="92">
        <v>7.4665822114955722E-3</v>
      </c>
      <c r="BH306" s="92">
        <v>7.4665822114955722E-3</v>
      </c>
      <c r="BI306" s="92">
        <v>7.4665822114955722E-3</v>
      </c>
      <c r="BJ306" s="92">
        <v>7.4665822114955722E-3</v>
      </c>
      <c r="BK306" s="92">
        <v>7.4665822114955722E-3</v>
      </c>
      <c r="BL306" s="562">
        <v>7.4665822114955722E-3</v>
      </c>
      <c r="BM306" s="562">
        <v>7.4665822114955722E-3</v>
      </c>
      <c r="BN306" s="562">
        <v>7.4665822114955722E-3</v>
      </c>
      <c r="BO306" s="562">
        <v>7.4665822114955722E-3</v>
      </c>
      <c r="BP306" s="562">
        <v>7.4665822114955722E-3</v>
      </c>
      <c r="BQ306" s="562">
        <v>7.4665822114955722E-3</v>
      </c>
      <c r="BR306" s="92"/>
      <c r="BS306" s="572">
        <v>7.5003780645727935E-3</v>
      </c>
      <c r="BT306" s="572">
        <v>1.7995599974306442E-3</v>
      </c>
      <c r="BU306" s="572">
        <v>3.2057130184438287E-3</v>
      </c>
      <c r="BV306" s="572">
        <v>1.4883862126245859E-2</v>
      </c>
      <c r="BW306" s="572">
        <v>2.8353310613437183E-3</v>
      </c>
      <c r="BX306" s="572">
        <v>-6.7422242161068666E-3</v>
      </c>
      <c r="BY306" s="572">
        <v>-2.4335746670463503E-2</v>
      </c>
      <c r="BZ306" s="572">
        <v>-5.0926627226852289E-3</v>
      </c>
      <c r="CA306" s="572">
        <v>9.267649397986924E-3</v>
      </c>
      <c r="CB306" s="572">
        <v>-1.1860054168177578E-3</v>
      </c>
      <c r="CC306" s="92">
        <v>-3.6102036399559244E-3</v>
      </c>
      <c r="CD306" s="92">
        <v>-2.2651687349681273E-3</v>
      </c>
      <c r="CE306" s="92">
        <v>-1.490073670873103E-4</v>
      </c>
      <c r="CF306" s="92">
        <v>-5.7871301730194483E-3</v>
      </c>
      <c r="CG306" s="92">
        <v>5.07623454922839E-3</v>
      </c>
      <c r="CH306" s="92">
        <v>8.2694936893585244E-3</v>
      </c>
      <c r="CI306" s="92">
        <v>1.4969540905968927E-2</v>
      </c>
      <c r="CJ306" s="92">
        <v>-2.6242656659695328E-3</v>
      </c>
      <c r="CK306" s="92">
        <v>-1.2762799870266598E-2</v>
      </c>
      <c r="CL306" s="92">
        <v>3.6000831609123965E-4</v>
      </c>
      <c r="CM306" s="170">
        <v>1.0302976309912815E-3</v>
      </c>
      <c r="CN306" s="170">
        <v>-5.0364597287149947E-3</v>
      </c>
      <c r="CO306" s="170">
        <v>-7.1234889383877589E-3</v>
      </c>
      <c r="CP306" s="170">
        <v>-1.0064366322875589E-2</v>
      </c>
      <c r="CQ306" s="170">
        <v>-9.3990365955970642E-3</v>
      </c>
      <c r="CR306" s="495">
        <v>-9.1322825783731569E-3</v>
      </c>
      <c r="CS306" s="495">
        <v>-6.8073417993489219E-3</v>
      </c>
      <c r="CT306" s="495">
        <v>-5.0233987699841859E-3</v>
      </c>
      <c r="CU306" s="495">
        <v>-1.306191541113404E-2</v>
      </c>
      <c r="CV306" s="495">
        <v>-1.060274956093306E-2</v>
      </c>
      <c r="CW306" s="495">
        <v>-4.16138794444703E-3</v>
      </c>
      <c r="CX306" s="495">
        <v>3.056998208701751E-2</v>
      </c>
      <c r="CY306" s="632">
        <v>9.2869012960711747E-3</v>
      </c>
      <c r="CZ306" s="92">
        <v>7.4658542355289714E-3</v>
      </c>
      <c r="DA306" s="92">
        <v>7.4671128296561621E-3</v>
      </c>
      <c r="DB306" s="92">
        <v>7.4667945636272782E-3</v>
      </c>
      <c r="DC306" s="92">
        <v>7.4663766766251034E-3</v>
      </c>
      <c r="DD306" s="92">
        <v>7.4662668377464651E-3</v>
      </c>
      <c r="DE306" s="92">
        <v>7.4662610633742209E-3</v>
      </c>
      <c r="DF306" s="92">
        <v>7.4658061921138242E-3</v>
      </c>
      <c r="DG306" s="562">
        <v>7.4657703156234163E-3</v>
      </c>
      <c r="DH306" s="562">
        <v>7.4653610645978551E-3</v>
      </c>
      <c r="DI306" s="562">
        <v>7.4653610645978542E-3</v>
      </c>
    </row>
    <row r="307" spans="1:113" outlineLevel="1">
      <c r="C307" s="235"/>
      <c r="D307" s="235"/>
      <c r="E307" s="235"/>
      <c r="F307" s="235"/>
      <c r="G307" s="235"/>
      <c r="H307" s="235"/>
      <c r="I307" s="235"/>
      <c r="J307" s="235"/>
      <c r="K307" s="235"/>
      <c r="L307" s="235"/>
      <c r="M307" s="48"/>
      <c r="N307" s="48"/>
      <c r="O307" s="48"/>
      <c r="P307" s="48"/>
      <c r="Q307" s="48"/>
      <c r="R307" s="48"/>
      <c r="S307" s="48"/>
      <c r="T307" s="48"/>
      <c r="U307" s="48"/>
      <c r="V307" s="48"/>
      <c r="W307" s="48"/>
      <c r="X307" s="48"/>
      <c r="Y307" s="50"/>
      <c r="Z307" s="50"/>
      <c r="AA307" s="385"/>
      <c r="AB307" s="50"/>
      <c r="AC307" s="50"/>
      <c r="AD307" s="50"/>
      <c r="AE307" s="50"/>
      <c r="AF307" s="756"/>
      <c r="AG307" s="756"/>
      <c r="AH307" s="385"/>
      <c r="AI307" s="385"/>
      <c r="AJ307" s="385"/>
      <c r="AK307" s="385"/>
      <c r="AL307" s="385"/>
      <c r="AM307" s="385"/>
      <c r="AN307" s="385"/>
      <c r="AO307" s="385"/>
      <c r="AP307" s="385"/>
      <c r="AQ307" s="385"/>
      <c r="AR307" s="385"/>
      <c r="AS307" s="385"/>
      <c r="AT307" s="385"/>
      <c r="AU307" s="385"/>
      <c r="AV307" s="385"/>
      <c r="AW307" s="52"/>
      <c r="AX307" s="48"/>
      <c r="AY307" s="48"/>
      <c r="AZ307" s="48"/>
      <c r="BA307" s="48"/>
      <c r="BB307" s="48"/>
      <c r="BC307" s="48"/>
      <c r="BD307" s="48"/>
      <c r="BE307" s="48"/>
      <c r="BF307" s="48"/>
      <c r="BG307" s="48"/>
      <c r="BH307" s="48"/>
      <c r="BI307" s="48"/>
      <c r="BJ307" s="48"/>
      <c r="BK307" s="48"/>
      <c r="BL307" s="235"/>
      <c r="BM307" s="235"/>
      <c r="BN307" s="235"/>
      <c r="BO307" s="235"/>
      <c r="BP307" s="235"/>
      <c r="BQ307" s="235"/>
      <c r="BR307" s="48"/>
      <c r="BS307" s="235"/>
      <c r="BT307" s="235"/>
      <c r="BU307" s="235"/>
      <c r="BV307" s="235"/>
      <c r="BW307" s="235"/>
      <c r="BX307" s="235"/>
      <c r="BY307" s="235"/>
      <c r="BZ307" s="235"/>
      <c r="CA307" s="235"/>
      <c r="CB307" s="235"/>
      <c r="CC307" s="48"/>
      <c r="CD307" s="48"/>
      <c r="CE307" s="48"/>
      <c r="CF307" s="48"/>
      <c r="CG307" s="48"/>
      <c r="CH307" s="48"/>
      <c r="CI307" s="48"/>
      <c r="CJ307" s="48"/>
      <c r="CK307" s="48"/>
      <c r="CL307" s="48"/>
      <c r="CM307" s="50"/>
      <c r="CN307" s="50"/>
      <c r="CO307" s="50"/>
      <c r="CP307" s="50"/>
      <c r="CQ307" s="50"/>
      <c r="CR307" s="50"/>
      <c r="CS307" s="385"/>
      <c r="CT307" s="385"/>
      <c r="CU307" s="385"/>
      <c r="CV307" s="50"/>
      <c r="CW307" s="50"/>
      <c r="CX307" s="50"/>
      <c r="CY307" s="52"/>
      <c r="CZ307" s="48"/>
      <c r="DA307" s="48"/>
      <c r="DB307" s="48"/>
      <c r="DC307" s="48"/>
      <c r="DD307" s="48"/>
      <c r="DE307" s="48"/>
      <c r="DF307" s="48"/>
      <c r="DG307" s="235"/>
      <c r="DH307" s="235"/>
      <c r="DI307" s="235"/>
    </row>
    <row r="308" spans="1:113" s="24" customFormat="1" outlineLevel="1">
      <c r="A308" s="1"/>
      <c r="B308" s="24" t="s">
        <v>491</v>
      </c>
      <c r="C308" s="562"/>
      <c r="D308" s="562"/>
      <c r="E308" s="562"/>
      <c r="F308" s="562"/>
      <c r="G308" s="562"/>
      <c r="H308" s="562"/>
      <c r="I308" s="562"/>
      <c r="J308" s="562"/>
      <c r="K308" s="562"/>
      <c r="L308" s="562"/>
      <c r="M308" s="92"/>
      <c r="N308" s="92"/>
      <c r="O308" s="92"/>
      <c r="P308" s="92"/>
      <c r="Q308" s="92"/>
      <c r="R308" s="92"/>
      <c r="S308" s="92"/>
      <c r="T308" s="92"/>
      <c r="U308" s="92"/>
      <c r="V308" s="92"/>
      <c r="W308" s="92"/>
      <c r="X308" s="92"/>
      <c r="Y308" s="170"/>
      <c r="Z308" s="170"/>
      <c r="AA308" s="496"/>
      <c r="AB308" s="170"/>
      <c r="AC308" s="170"/>
      <c r="AD308" s="170"/>
      <c r="AE308" s="170"/>
      <c r="AF308" s="758"/>
      <c r="AG308" s="758"/>
      <c r="AH308" s="496"/>
      <c r="AI308" s="496"/>
      <c r="AJ308" s="496"/>
      <c r="AK308" s="496"/>
      <c r="AL308" s="496"/>
      <c r="AM308" s="496"/>
      <c r="AN308" s="496"/>
      <c r="AO308" s="496"/>
      <c r="AP308" s="496"/>
      <c r="AQ308" s="496"/>
      <c r="AR308" s="496"/>
      <c r="AS308" s="496"/>
      <c r="AT308" s="496"/>
      <c r="AU308" s="496"/>
      <c r="AV308" s="496"/>
      <c r="AW308" s="633"/>
      <c r="AX308" s="92"/>
      <c r="AY308" s="92"/>
      <c r="AZ308" s="92"/>
      <c r="BA308" s="92"/>
      <c r="BB308" s="92"/>
      <c r="BC308" s="92"/>
      <c r="BD308" s="92"/>
      <c r="BE308" s="92"/>
      <c r="BF308" s="92"/>
      <c r="BG308" s="92"/>
      <c r="BH308" s="92"/>
      <c r="BI308" s="92"/>
      <c r="BJ308" s="92"/>
      <c r="BK308" s="92"/>
      <c r="BL308" s="562"/>
      <c r="BM308" s="562"/>
      <c r="BN308" s="562"/>
      <c r="BO308" s="562"/>
      <c r="BP308" s="562"/>
      <c r="BQ308" s="562"/>
      <c r="BR308" s="92"/>
      <c r="BS308" s="562"/>
      <c r="BT308" s="562"/>
      <c r="BU308" s="562"/>
      <c r="BV308" s="562"/>
      <c r="BW308" s="562"/>
      <c r="BX308" s="562"/>
      <c r="BY308" s="562"/>
      <c r="BZ308" s="562"/>
      <c r="CA308" s="562"/>
      <c r="CB308" s="562"/>
      <c r="CC308" s="92"/>
      <c r="CD308" s="92"/>
      <c r="CE308" s="92"/>
      <c r="CF308" s="92"/>
      <c r="CG308" s="92"/>
      <c r="CH308" s="92"/>
      <c r="CI308" s="92"/>
      <c r="CJ308" s="92"/>
      <c r="CK308" s="92"/>
      <c r="CL308" s="92"/>
      <c r="CM308" s="170"/>
      <c r="CN308" s="170"/>
      <c r="CO308" s="170"/>
      <c r="CP308" s="170"/>
      <c r="CQ308" s="170"/>
      <c r="CR308" s="170"/>
      <c r="CS308" s="496"/>
      <c r="CT308" s="496"/>
      <c r="CU308" s="496"/>
      <c r="CV308" s="170"/>
      <c r="CW308" s="170"/>
      <c r="CX308" s="170"/>
      <c r="CY308" s="633"/>
      <c r="CZ308" s="92"/>
      <c r="DA308" s="92"/>
      <c r="DB308" s="92"/>
      <c r="DC308" s="92"/>
      <c r="DD308" s="92"/>
      <c r="DE308" s="92"/>
      <c r="DF308" s="92"/>
      <c r="DG308" s="562"/>
      <c r="DH308" s="562"/>
      <c r="DI308" s="562"/>
    </row>
    <row r="309" spans="1:113" outlineLevel="1">
      <c r="A309" s="1" t="s">
        <v>81</v>
      </c>
      <c r="B309" s="19" t="s">
        <v>589</v>
      </c>
      <c r="C309" s="567">
        <v>0</v>
      </c>
      <c r="D309" s="567">
        <v>0</v>
      </c>
      <c r="E309" s="567">
        <v>0</v>
      </c>
      <c r="F309" s="567">
        <v>0</v>
      </c>
      <c r="G309" s="567">
        <v>0</v>
      </c>
      <c r="H309" s="567">
        <v>0</v>
      </c>
      <c r="I309" s="567">
        <v>0</v>
      </c>
      <c r="J309" s="567">
        <v>0</v>
      </c>
      <c r="K309" s="567">
        <v>0</v>
      </c>
      <c r="L309" s="567">
        <v>0</v>
      </c>
      <c r="M309" s="95">
        <v>0</v>
      </c>
      <c r="N309" s="95">
        <v>0</v>
      </c>
      <c r="O309" s="95">
        <v>0</v>
      </c>
      <c r="P309" s="95">
        <v>0</v>
      </c>
      <c r="Q309" s="95">
        <v>0</v>
      </c>
      <c r="R309" s="95">
        <v>0</v>
      </c>
      <c r="S309" s="95">
        <v>0</v>
      </c>
      <c r="T309" s="51">
        <v>2.1937001227202109E-2</v>
      </c>
      <c r="U309" s="51">
        <v>3.0714492418181697E-2</v>
      </c>
      <c r="V309" s="51">
        <v>3.5483228256192614E-2</v>
      </c>
      <c r="W309" s="51">
        <v>3.6222710285790924E-2</v>
      </c>
      <c r="X309" s="51">
        <v>3.4727781669615446E-2</v>
      </c>
      <c r="Y309" s="95">
        <v>2.8237276678423393E-2</v>
      </c>
      <c r="Z309" s="400">
        <v>2.2064561784636096E-2</v>
      </c>
      <c r="AA309" s="180">
        <v>1.7846521841444168E-2</v>
      </c>
      <c r="AB309" s="180">
        <v>1.4155550549622817E-2</v>
      </c>
      <c r="AC309" s="180">
        <v>1.4716914185986483E-2</v>
      </c>
      <c r="AD309" s="180">
        <v>1.4897477275169909E-2</v>
      </c>
      <c r="AE309" s="180">
        <v>1.1120507754380607E-2</v>
      </c>
      <c r="AF309" s="529">
        <v>1.4452253962315968E-2</v>
      </c>
      <c r="AG309" s="529">
        <v>1.4432090792152864E-2</v>
      </c>
      <c r="AH309" s="180">
        <v>8.2861492688102965E-3</v>
      </c>
      <c r="AI309" s="385">
        <v>8.20763117015221E-3</v>
      </c>
      <c r="AJ309" s="180">
        <v>1.0724406490347884E-2</v>
      </c>
      <c r="AK309" s="385">
        <v>9.1703023419085049E-3</v>
      </c>
      <c r="AL309" s="180">
        <v>7.094758585885705E-3</v>
      </c>
      <c r="AM309" s="385">
        <v>8.964215144693987E-3</v>
      </c>
      <c r="AN309" s="180">
        <v>-1.2559331690180726E-3</v>
      </c>
      <c r="AO309" s="385">
        <v>-1.0701941655568866E-3</v>
      </c>
      <c r="AP309" s="180">
        <v>-5.8816352004956033E-3</v>
      </c>
      <c r="AQ309" s="385">
        <v>-5.8112101202070481E-3</v>
      </c>
      <c r="AR309" s="180">
        <v>-7.1138116513014315E-4</v>
      </c>
      <c r="AS309" s="385">
        <v>-4.1857620455139051E-4</v>
      </c>
      <c r="AT309" s="180">
        <v>2.2768608345984487E-2</v>
      </c>
      <c r="AU309" s="385">
        <v>2.1250397696170195E-2</v>
      </c>
      <c r="AV309" s="180">
        <v>2.1953497005227845E-2</v>
      </c>
      <c r="AW309" s="52">
        <v>1.0481936938952888E-2</v>
      </c>
      <c r="AX309" s="48"/>
      <c r="AY309" s="48"/>
      <c r="AZ309" s="48"/>
      <c r="BA309" s="48"/>
      <c r="BB309" s="48"/>
      <c r="BC309" s="48"/>
      <c r="BD309" s="48"/>
      <c r="BE309" s="48"/>
      <c r="BF309" s="48"/>
      <c r="BG309" s="48"/>
      <c r="BH309" s="48"/>
      <c r="BI309" s="48"/>
      <c r="BJ309" s="48"/>
      <c r="BK309" s="48"/>
      <c r="BL309" s="235"/>
      <c r="BM309" s="235"/>
      <c r="BN309" s="235"/>
      <c r="BO309" s="235"/>
      <c r="BP309" s="235"/>
      <c r="BQ309" s="235"/>
      <c r="BR309" s="48"/>
      <c r="BS309" s="235"/>
      <c r="BT309" s="235"/>
      <c r="BU309" s="235"/>
      <c r="BV309" s="235"/>
      <c r="BW309" s="235"/>
      <c r="BX309" s="235"/>
      <c r="BY309" s="235"/>
      <c r="BZ309" s="235"/>
      <c r="CA309" s="235"/>
      <c r="CB309" s="235"/>
      <c r="CC309" s="48" t="e">
        <v>#DIV/0!</v>
      </c>
      <c r="CD309" s="48" t="e">
        <v>#DIV/0!</v>
      </c>
      <c r="CE309" s="48" t="e">
        <v>#DIV/0!</v>
      </c>
      <c r="CF309" s="48" t="e">
        <v>#DIV/0!</v>
      </c>
      <c r="CG309" s="48">
        <v>0</v>
      </c>
      <c r="CH309" s="48">
        <v>0</v>
      </c>
      <c r="CI309" s="48">
        <v>0</v>
      </c>
      <c r="CJ309" s="48">
        <v>0</v>
      </c>
      <c r="CK309" s="48">
        <v>1.6697420903090076E-2</v>
      </c>
      <c r="CL309" s="48">
        <v>2.6029758429479109E-2</v>
      </c>
      <c r="CM309" s="50">
        <v>3.1050649473554435E-2</v>
      </c>
      <c r="CN309" s="50">
        <v>1.9871686450416384E-2</v>
      </c>
      <c r="CO309" s="50">
        <v>1.4447731983003276E-2</v>
      </c>
      <c r="CP309" s="50">
        <v>1.2788501369984688E-2</v>
      </c>
      <c r="CQ309" s="50">
        <v>1.2554685445737641E-2</v>
      </c>
      <c r="CR309" s="180">
        <v>8.2484875947378238E-3</v>
      </c>
      <c r="CS309" s="180">
        <v>9.9213696800265795E-3</v>
      </c>
      <c r="CT309" s="180">
        <v>7.9704988998115477E-3</v>
      </c>
      <c r="CU309" s="180">
        <v>-1.1573478581956868E-3</v>
      </c>
      <c r="CV309" s="180">
        <v>-5.8457769923462256E-3</v>
      </c>
      <c r="CW309" s="180">
        <v>-5.4505348449630873E-4</v>
      </c>
      <c r="CX309" s="180">
        <v>2.1991804805625924E-2</v>
      </c>
      <c r="CY309" s="598">
        <v>1.6201953009536935E-2</v>
      </c>
      <c r="CZ309" s="48">
        <v>0</v>
      </c>
      <c r="DA309" s="48">
        <v>0</v>
      </c>
      <c r="DB309" s="48">
        <v>0</v>
      </c>
      <c r="DC309" s="48">
        <v>0</v>
      </c>
      <c r="DD309" s="48">
        <v>0</v>
      </c>
      <c r="DE309" s="48">
        <v>0</v>
      </c>
      <c r="DF309" s="48">
        <v>0</v>
      </c>
      <c r="DG309" s="235">
        <v>0</v>
      </c>
      <c r="DH309" s="235">
        <v>0</v>
      </c>
      <c r="DI309" s="235">
        <v>0</v>
      </c>
    </row>
    <row r="310" spans="1:113" outlineLevel="1">
      <c r="A310" s="1" t="s">
        <v>82</v>
      </c>
      <c r="B310" s="19" t="s">
        <v>471</v>
      </c>
      <c r="C310" s="235">
        <v>0</v>
      </c>
      <c r="D310" s="235">
        <v>0</v>
      </c>
      <c r="E310" s="235">
        <v>0</v>
      </c>
      <c r="F310" s="235">
        <v>0</v>
      </c>
      <c r="G310" s="235">
        <v>0</v>
      </c>
      <c r="H310" s="235">
        <v>0</v>
      </c>
      <c r="I310" s="235">
        <v>0</v>
      </c>
      <c r="J310" s="235">
        <v>0</v>
      </c>
      <c r="K310" s="235">
        <v>0</v>
      </c>
      <c r="L310" s="235">
        <v>0</v>
      </c>
      <c r="M310" s="48">
        <v>0</v>
      </c>
      <c r="N310" s="48">
        <v>0</v>
      </c>
      <c r="O310" s="48">
        <v>0</v>
      </c>
      <c r="P310" s="48">
        <v>0</v>
      </c>
      <c r="Q310" s="48">
        <v>0</v>
      </c>
      <c r="R310" s="48">
        <v>0</v>
      </c>
      <c r="S310" s="48">
        <v>0</v>
      </c>
      <c r="T310" s="48">
        <v>2.5914299466349298E-2</v>
      </c>
      <c r="U310" s="48">
        <v>3.3814573808616626E-2</v>
      </c>
      <c r="V310" s="48">
        <v>3.8798791902031539E-2</v>
      </c>
      <c r="W310" s="48">
        <v>4.0028138508972501E-2</v>
      </c>
      <c r="X310" s="48">
        <v>3.7866814830552493E-2</v>
      </c>
      <c r="Y310" s="50">
        <v>3.075458182371775E-2</v>
      </c>
      <c r="Z310" s="50">
        <v>2.7179459653468976E-2</v>
      </c>
      <c r="AA310" s="385">
        <v>2.3001089923768033E-2</v>
      </c>
      <c r="AB310" s="50">
        <v>2.1633288299110542E-2</v>
      </c>
      <c r="AC310" s="50">
        <v>2.0413382803828938E-2</v>
      </c>
      <c r="AD310" s="50">
        <v>2.1644821884058075E-2</v>
      </c>
      <c r="AE310" s="50">
        <v>1.7091437618533968E-2</v>
      </c>
      <c r="AF310" s="236">
        <v>2.8374411371928244E-3</v>
      </c>
      <c r="AG310" s="236">
        <v>8.0189214080886445E-3</v>
      </c>
      <c r="AH310" s="50">
        <v>1.6364207204476416E-3</v>
      </c>
      <c r="AI310" s="385">
        <v>-1.3376471687046895E-3</v>
      </c>
      <c r="AJ310" s="50">
        <v>-5.0441084052506857E-3</v>
      </c>
      <c r="AK310" s="385">
        <v>-4.0422981071910466E-3</v>
      </c>
      <c r="AL310" s="385">
        <v>-1.1073960379503875E-2</v>
      </c>
      <c r="AM310" s="385">
        <v>-1.9406693865762548E-2</v>
      </c>
      <c r="AN310" s="385">
        <v>-2.2324248798089624E-2</v>
      </c>
      <c r="AO310" s="385">
        <v>-1.8782668845048332E-2</v>
      </c>
      <c r="AP310" s="385">
        <v>-1.259726615807006E-2</v>
      </c>
      <c r="AQ310" s="385">
        <v>-7.3945023218762972E-3</v>
      </c>
      <c r="AR310" s="385">
        <v>-4.6141087722491991E-3</v>
      </c>
      <c r="AS310" s="385">
        <v>-5.4124038856857223E-3</v>
      </c>
      <c r="AT310" s="385">
        <v>-4.3576641154185532E-2</v>
      </c>
      <c r="AU310" s="385">
        <v>3.1777344334744086E-2</v>
      </c>
      <c r="AV310" s="385">
        <v>-1.3562809556140382E-2</v>
      </c>
      <c r="AW310" s="52">
        <v>-1.2649054614332914E-2</v>
      </c>
      <c r="AX310" s="48"/>
      <c r="AY310" s="48"/>
      <c r="AZ310" s="48"/>
      <c r="BA310" s="48"/>
      <c r="BB310" s="48"/>
      <c r="BC310" s="48"/>
      <c r="BD310" s="48"/>
      <c r="BE310" s="48"/>
      <c r="BF310" s="48"/>
      <c r="BG310" s="48"/>
      <c r="BH310" s="48"/>
      <c r="BI310" s="48"/>
      <c r="BJ310" s="48"/>
      <c r="BK310" s="48"/>
      <c r="BL310" s="235"/>
      <c r="BM310" s="235"/>
      <c r="BN310" s="235"/>
      <c r="BO310" s="235"/>
      <c r="BP310" s="235"/>
      <c r="BQ310" s="235"/>
      <c r="BR310" s="48"/>
      <c r="BS310" s="235"/>
      <c r="BT310" s="235"/>
      <c r="BU310" s="235"/>
      <c r="BV310" s="235"/>
      <c r="BW310" s="235"/>
      <c r="BX310" s="235"/>
      <c r="BY310" s="235"/>
      <c r="BZ310" s="235"/>
      <c r="CA310" s="235"/>
      <c r="CB310" s="235"/>
      <c r="CC310" s="48" t="e">
        <v>#DIV/0!</v>
      </c>
      <c r="CD310" s="48" t="e">
        <v>#DIV/0!</v>
      </c>
      <c r="CE310" s="48" t="e">
        <v>#DIV/0!</v>
      </c>
      <c r="CF310" s="48" t="e">
        <v>#DIV/0!</v>
      </c>
      <c r="CG310" s="48">
        <v>0</v>
      </c>
      <c r="CH310" s="48">
        <v>0</v>
      </c>
      <c r="CI310" s="48">
        <v>0</v>
      </c>
      <c r="CJ310" s="48">
        <v>0</v>
      </c>
      <c r="CK310" s="48">
        <v>3.0454575628936095E-2</v>
      </c>
      <c r="CL310" s="48">
        <v>4.0471967198566397E-2</v>
      </c>
      <c r="CM310" s="50">
        <v>3.4224116582196935E-2</v>
      </c>
      <c r="CN310" s="50">
        <v>2.5277620217746599E-2</v>
      </c>
      <c r="CO310" s="50">
        <v>2.1100591402192101E-2</v>
      </c>
      <c r="CP310" s="50">
        <v>1.9468825095032213E-2</v>
      </c>
      <c r="CQ310" s="50">
        <v>5.7202326964680408E-3</v>
      </c>
      <c r="CR310" s="50">
        <v>1.5198667672418006E-4</v>
      </c>
      <c r="CS310" s="50">
        <v>-4.5262224965793348E-3</v>
      </c>
      <c r="CT310" s="50">
        <v>-1.4978864775298162E-2</v>
      </c>
      <c r="CU310" s="50">
        <v>-2.0447629906508662E-2</v>
      </c>
      <c r="CV310" s="50">
        <v>-9.9805484532645757E-3</v>
      </c>
      <c r="CW310" s="50">
        <v>-5.0641411836482375E-3</v>
      </c>
      <c r="CX310" s="50">
        <v>-5.4047028970237443E-3</v>
      </c>
      <c r="CY310" s="52">
        <v>-1.320236097956452E-2</v>
      </c>
      <c r="CZ310" s="48">
        <v>0</v>
      </c>
      <c r="DA310" s="48">
        <v>0</v>
      </c>
      <c r="DB310" s="48">
        <v>0</v>
      </c>
      <c r="DC310" s="48">
        <v>0</v>
      </c>
      <c r="DD310" s="48">
        <v>0</v>
      </c>
      <c r="DE310" s="48">
        <v>0</v>
      </c>
      <c r="DF310" s="48">
        <v>0</v>
      </c>
      <c r="DG310" s="235">
        <v>0</v>
      </c>
      <c r="DH310" s="235">
        <v>0</v>
      </c>
      <c r="DI310" s="235">
        <v>0</v>
      </c>
    </row>
    <row r="311" spans="1:113" s="24" customFormat="1" outlineLevel="1">
      <c r="A311" s="1" t="s">
        <v>83</v>
      </c>
      <c r="B311" s="24" t="s">
        <v>168</v>
      </c>
      <c r="C311" s="565">
        <v>0</v>
      </c>
      <c r="D311" s="565">
        <v>0</v>
      </c>
      <c r="E311" s="565">
        <v>0</v>
      </c>
      <c r="F311" s="565">
        <v>0</v>
      </c>
      <c r="G311" s="565">
        <v>0</v>
      </c>
      <c r="H311" s="565">
        <v>0</v>
      </c>
      <c r="I311" s="565">
        <v>0</v>
      </c>
      <c r="J311" s="565">
        <v>0</v>
      </c>
      <c r="K311" s="565">
        <v>0</v>
      </c>
      <c r="L311" s="565">
        <v>0</v>
      </c>
      <c r="M311" s="168">
        <v>0</v>
      </c>
      <c r="N311" s="168">
        <v>0</v>
      </c>
      <c r="O311" s="168">
        <v>0</v>
      </c>
      <c r="P311" s="168">
        <v>0</v>
      </c>
      <c r="Q311" s="168">
        <v>0</v>
      </c>
      <c r="R311" s="168">
        <v>0</v>
      </c>
      <c r="S311" s="168">
        <v>0</v>
      </c>
      <c r="T311" s="168">
        <v>2.5693121691799548E-2</v>
      </c>
      <c r="U311" s="168">
        <v>3.3578313071399357E-2</v>
      </c>
      <c r="V311" s="168">
        <v>3.8563683178647806E-2</v>
      </c>
      <c r="W311" s="168">
        <v>3.9804382372323019E-2</v>
      </c>
      <c r="X311" s="168">
        <v>3.7662755518227696E-2</v>
      </c>
      <c r="Y311" s="175">
        <v>3.061622015741363E-2</v>
      </c>
      <c r="Z311" s="175">
        <v>2.6886758797667276E-2</v>
      </c>
      <c r="AA311" s="495">
        <v>2.2643053457643277E-2</v>
      </c>
      <c r="AB311" s="175">
        <v>2.1085442177741803E-2</v>
      </c>
      <c r="AC311" s="175">
        <v>2.0029288093941746E-2</v>
      </c>
      <c r="AD311" s="175">
        <v>2.1055401745405766E-2</v>
      </c>
      <c r="AE311" s="175">
        <v>1.6367589649650488E-2</v>
      </c>
      <c r="AF311" s="759">
        <v>4.3448995445732261E-3</v>
      </c>
      <c r="AG311" s="759">
        <v>8.9915136992158896E-3</v>
      </c>
      <c r="AH311" s="495">
        <v>2.839012920688895E-3</v>
      </c>
      <c r="AI311" s="496">
        <v>3.8860033086693683E-4</v>
      </c>
      <c r="AJ311" s="175">
        <v>-3.6894025289167624E-3</v>
      </c>
      <c r="AK311" s="496">
        <v>-2.9071761512836072E-3</v>
      </c>
      <c r="AL311" s="495">
        <v>-7.4947706558771525E-3</v>
      </c>
      <c r="AM311" s="496">
        <v>-1.3817699607355438E-2</v>
      </c>
      <c r="AN311" s="495">
        <v>-1.7240401477440791E-2</v>
      </c>
      <c r="AO311" s="496">
        <v>-1.4508595942080284E-2</v>
      </c>
      <c r="AP311" s="495">
        <v>-1.1981051963147632E-2</v>
      </c>
      <c r="AQ311" s="496">
        <v>-7.2492222825855492E-3</v>
      </c>
      <c r="AR311" s="495">
        <v>-3.9105792339837976E-3</v>
      </c>
      <c r="AS311" s="496">
        <v>-4.51218597750358E-3</v>
      </c>
      <c r="AT311" s="495">
        <v>-4.4635480082143512E-2</v>
      </c>
      <c r="AU311" s="496">
        <v>3.1945349444038755E-2</v>
      </c>
      <c r="AV311" s="495">
        <v>-1.4129633077760717E-2</v>
      </c>
      <c r="AW311" s="633">
        <v>-1.3018214342925442E-2</v>
      </c>
      <c r="AX311" s="92">
        <v>-1.3018214342925442E-2</v>
      </c>
      <c r="AY311" s="92">
        <v>-1.3018214342925442E-2</v>
      </c>
      <c r="AZ311" s="92">
        <v>-1.3018214342925442E-2</v>
      </c>
      <c r="BA311" s="92">
        <v>-1.3018214342925442E-2</v>
      </c>
      <c r="BB311" s="92">
        <v>-1.3018214342925442E-2</v>
      </c>
      <c r="BC311" s="92">
        <v>-1.3018214342925442E-2</v>
      </c>
      <c r="BD311" s="92">
        <v>-1.3018214342925442E-2</v>
      </c>
      <c r="BE311" s="92">
        <v>-1.3018214342925442E-2</v>
      </c>
      <c r="BF311" s="92">
        <v>-1.3018214342925442E-2</v>
      </c>
      <c r="BG311" s="92">
        <v>-1.3018214342925442E-2</v>
      </c>
      <c r="BH311" s="92">
        <v>-1.3018214342925442E-2</v>
      </c>
      <c r="BI311" s="92">
        <v>-1.3018214342925442E-2</v>
      </c>
      <c r="BJ311" s="92">
        <v>-1.3018214342925442E-2</v>
      </c>
      <c r="BK311" s="92">
        <v>-1.3018214342925442E-2</v>
      </c>
      <c r="BL311" s="562">
        <v>-1.3018214342925442E-2</v>
      </c>
      <c r="BM311" s="562">
        <v>-1.3018214342925442E-2</v>
      </c>
      <c r="BN311" s="562">
        <v>-1.3018214342925442E-2</v>
      </c>
      <c r="BO311" s="562">
        <v>-1.3018214342925442E-2</v>
      </c>
      <c r="BP311" s="562">
        <v>-1.3018214342925442E-2</v>
      </c>
      <c r="BQ311" s="562">
        <v>-1.3018214342925442E-2</v>
      </c>
      <c r="BR311" s="92"/>
      <c r="BS311" s="572">
        <v>0</v>
      </c>
      <c r="BT311" s="572">
        <v>0</v>
      </c>
      <c r="BU311" s="572">
        <v>0</v>
      </c>
      <c r="BV311" s="572">
        <v>0</v>
      </c>
      <c r="BW311" s="572">
        <v>0</v>
      </c>
      <c r="BX311" s="572">
        <v>0</v>
      </c>
      <c r="BY311" s="572">
        <v>0</v>
      </c>
      <c r="BZ311" s="572">
        <v>0</v>
      </c>
      <c r="CA311" s="572">
        <v>0</v>
      </c>
      <c r="CB311" s="572">
        <v>0</v>
      </c>
      <c r="CC311" s="92" t="e">
        <v>#DIV/0!</v>
      </c>
      <c r="CD311" s="92" t="e">
        <v>#DIV/0!</v>
      </c>
      <c r="CE311" s="92" t="e">
        <v>#DIV/0!</v>
      </c>
      <c r="CF311" s="92" t="e">
        <v>#DIV/0!</v>
      </c>
      <c r="CG311" s="92">
        <v>0</v>
      </c>
      <c r="CH311" s="92">
        <v>0</v>
      </c>
      <c r="CI311" s="92">
        <v>0</v>
      </c>
      <c r="CJ311" s="92">
        <v>0</v>
      </c>
      <c r="CK311" s="92">
        <v>2.9055595990856206E-2</v>
      </c>
      <c r="CL311" s="92">
        <v>3.9179444316236892E-2</v>
      </c>
      <c r="CM311" s="170">
        <v>3.4030479558037056E-2</v>
      </c>
      <c r="CN311" s="170">
        <v>2.4936881815008988E-2</v>
      </c>
      <c r="CO311" s="170">
        <v>2.0631613346664537E-2</v>
      </c>
      <c r="CP311" s="170">
        <v>1.8777877491454879E-2</v>
      </c>
      <c r="CQ311" s="170">
        <v>6.8324383543814276E-3</v>
      </c>
      <c r="CR311" s="175">
        <v>1.6162252215662573E-3</v>
      </c>
      <c r="CS311" s="175">
        <v>-3.2849998354657489E-3</v>
      </c>
      <c r="CT311" s="495">
        <v>-1.045790065084902E-2</v>
      </c>
      <c r="CU311" s="495">
        <v>-1.5792827385392359E-2</v>
      </c>
      <c r="CV311" s="495">
        <v>-9.6002359849826878E-3</v>
      </c>
      <c r="CW311" s="495">
        <v>-4.249720209737174E-3</v>
      </c>
      <c r="CX311" s="495">
        <v>-5.8420732615072565E-3</v>
      </c>
      <c r="CY311" s="632">
        <v>-1.3570623768028769E-2</v>
      </c>
      <c r="CZ311" s="92">
        <v>-1.3019808586708445E-2</v>
      </c>
      <c r="DA311" s="92">
        <v>-1.3021850209215776E-2</v>
      </c>
      <c r="DB311" s="92">
        <v>-1.3018177788860779E-2</v>
      </c>
      <c r="DC311" s="92">
        <v>-1.3017383680480306E-2</v>
      </c>
      <c r="DD311" s="92">
        <v>-1.3016947157549067E-2</v>
      </c>
      <c r="DE311" s="92">
        <v>-1.3016929991266935E-2</v>
      </c>
      <c r="DF311" s="92">
        <v>-1.301644511916805E-2</v>
      </c>
      <c r="DG311" s="562">
        <v>-1.3016729127946687E-2</v>
      </c>
      <c r="DH311" s="562">
        <v>-1.3015980476527647E-2</v>
      </c>
      <c r="DI311" s="562">
        <v>-1.3015980472001362E-2</v>
      </c>
    </row>
    <row r="312" spans="1:113" outlineLevel="1">
      <c r="C312" s="235"/>
      <c r="D312" s="235"/>
      <c r="E312" s="235"/>
      <c r="F312" s="235"/>
      <c r="G312" s="235"/>
      <c r="H312" s="235"/>
      <c r="I312" s="235"/>
      <c r="J312" s="235"/>
      <c r="K312" s="235"/>
      <c r="L312" s="235"/>
      <c r="M312" s="48"/>
      <c r="N312" s="48"/>
      <c r="O312" s="48"/>
      <c r="P312" s="48"/>
      <c r="Q312" s="48"/>
      <c r="R312" s="48"/>
      <c r="S312" s="48"/>
      <c r="T312" s="48"/>
      <c r="U312" s="48"/>
      <c r="V312" s="48"/>
      <c r="W312" s="48"/>
      <c r="X312" s="48"/>
      <c r="Y312" s="50"/>
      <c r="Z312" s="50"/>
      <c r="AA312" s="385"/>
      <c r="AB312" s="50"/>
      <c r="AC312" s="50"/>
      <c r="AD312" s="50"/>
      <c r="AE312" s="50"/>
      <c r="AF312" s="50"/>
      <c r="AG312" s="50"/>
      <c r="AH312" s="50"/>
      <c r="AI312" s="50"/>
      <c r="AJ312" s="50"/>
      <c r="AK312" s="50"/>
      <c r="AL312" s="50"/>
      <c r="AM312" s="50"/>
      <c r="AN312" s="50"/>
      <c r="AO312" s="50"/>
      <c r="AP312" s="50"/>
      <c r="AQ312" s="50"/>
      <c r="AR312" s="50"/>
      <c r="AS312" s="50"/>
      <c r="AT312" s="50"/>
      <c r="AU312" s="50"/>
      <c r="AV312" s="50"/>
      <c r="AW312" s="49"/>
      <c r="AX312" s="48"/>
      <c r="AY312" s="48"/>
      <c r="AZ312" s="48"/>
      <c r="BA312" s="48"/>
      <c r="BB312" s="48"/>
      <c r="BC312" s="48"/>
      <c r="BD312" s="48"/>
      <c r="BE312" s="48"/>
      <c r="BF312" s="48"/>
      <c r="BG312" s="48"/>
      <c r="BH312" s="48"/>
      <c r="BI312" s="48"/>
      <c r="BJ312" s="48"/>
      <c r="BK312" s="48"/>
      <c r="BL312" s="235"/>
      <c r="BM312" s="235"/>
      <c r="BN312" s="235"/>
      <c r="BO312" s="235"/>
      <c r="BP312" s="235"/>
      <c r="BQ312" s="235"/>
      <c r="BR312" s="48"/>
      <c r="BS312" s="235"/>
      <c r="BT312" s="235"/>
      <c r="BU312" s="235"/>
      <c r="BV312" s="235"/>
      <c r="BW312" s="235"/>
      <c r="BX312" s="235"/>
      <c r="BY312" s="235"/>
      <c r="BZ312" s="235"/>
      <c r="CA312" s="235"/>
      <c r="CB312" s="235"/>
      <c r="CC312" s="48"/>
      <c r="CD312" s="48"/>
      <c r="CE312" s="48"/>
      <c r="CF312" s="48"/>
      <c r="CG312" s="48"/>
      <c r="CH312" s="48"/>
      <c r="CI312" s="48"/>
      <c r="CJ312" s="48"/>
      <c r="CK312" s="48"/>
      <c r="CL312" s="48"/>
      <c r="CM312" s="50"/>
      <c r="CN312" s="50"/>
      <c r="CO312" s="50"/>
      <c r="CP312" s="50"/>
      <c r="CQ312" s="50"/>
      <c r="CR312" s="50"/>
      <c r="CS312" s="50"/>
      <c r="CT312" s="50"/>
      <c r="CU312" s="50"/>
      <c r="CV312" s="50"/>
      <c r="CW312" s="50"/>
      <c r="CX312" s="50"/>
      <c r="CY312" s="49"/>
      <c r="CZ312" s="48"/>
      <c r="DA312" s="48"/>
      <c r="DB312" s="48"/>
      <c r="DC312" s="48"/>
      <c r="DD312" s="48"/>
      <c r="DE312" s="48"/>
      <c r="DF312" s="48"/>
      <c r="DG312" s="235"/>
      <c r="DH312" s="235"/>
      <c r="DI312" s="235"/>
    </row>
    <row r="313" spans="1:113" s="24" customFormat="1" outlineLevel="1">
      <c r="A313" s="19"/>
      <c r="B313" s="24" t="s">
        <v>496</v>
      </c>
      <c r="C313" s="562"/>
      <c r="D313" s="562"/>
      <c r="E313" s="562"/>
      <c r="F313" s="562"/>
      <c r="G313" s="562"/>
      <c r="H313" s="562"/>
      <c r="I313" s="562"/>
      <c r="J313" s="562"/>
      <c r="K313" s="562"/>
      <c r="L313" s="562"/>
      <c r="M313" s="92"/>
      <c r="N313" s="92"/>
      <c r="O313" s="92"/>
      <c r="P313" s="92"/>
      <c r="Q313" s="92"/>
      <c r="R313" s="92"/>
      <c r="S313" s="92"/>
      <c r="T313" s="92"/>
      <c r="U313" s="92"/>
      <c r="V313" s="92"/>
      <c r="W313" s="92"/>
      <c r="X313" s="92"/>
      <c r="Y313" s="170"/>
      <c r="Z313" s="170"/>
      <c r="AA313" s="496"/>
      <c r="AB313" s="170"/>
      <c r="AC313" s="170"/>
      <c r="AD313" s="170"/>
      <c r="AE313" s="170"/>
      <c r="AF313" s="170"/>
      <c r="AG313" s="170"/>
      <c r="AH313" s="170"/>
      <c r="AI313" s="170"/>
      <c r="AJ313" s="170"/>
      <c r="AK313" s="170"/>
      <c r="AL313" s="170"/>
      <c r="AM313" s="170"/>
      <c r="AN313" s="170"/>
      <c r="AO313" s="170"/>
      <c r="AP313" s="170"/>
      <c r="AQ313" s="170"/>
      <c r="AR313" s="170"/>
      <c r="AS313" s="170"/>
      <c r="AT313" s="170"/>
      <c r="AU313" s="170"/>
      <c r="AV313" s="170"/>
      <c r="AW313" s="94"/>
      <c r="AX313" s="92"/>
      <c r="AY313" s="92"/>
      <c r="AZ313" s="92"/>
      <c r="BA313" s="92"/>
      <c r="BB313" s="92"/>
      <c r="BC313" s="92"/>
      <c r="BD313" s="92"/>
      <c r="BE313" s="92"/>
      <c r="BF313" s="92"/>
      <c r="BG313" s="92"/>
      <c r="BH313" s="92"/>
      <c r="BI313" s="92"/>
      <c r="BJ313" s="92"/>
      <c r="BK313" s="92"/>
      <c r="BL313" s="562"/>
      <c r="BM313" s="562"/>
      <c r="BN313" s="562"/>
      <c r="BO313" s="562"/>
      <c r="BP313" s="562"/>
      <c r="BQ313" s="562"/>
      <c r="BR313" s="92"/>
      <c r="BS313" s="562"/>
      <c r="BT313" s="562"/>
      <c r="BU313" s="562"/>
      <c r="BV313" s="562"/>
      <c r="BW313" s="562"/>
      <c r="BX313" s="562"/>
      <c r="BY313" s="562"/>
      <c r="BZ313" s="562"/>
      <c r="CA313" s="562"/>
      <c r="CB313" s="562"/>
      <c r="CC313" s="92"/>
      <c r="CD313" s="92"/>
      <c r="CE313" s="92"/>
      <c r="CF313" s="92"/>
      <c r="CG313" s="92"/>
      <c r="CH313" s="92"/>
      <c r="CI313" s="92"/>
      <c r="CJ313" s="92"/>
      <c r="CK313" s="92"/>
      <c r="CL313" s="92"/>
      <c r="CM313" s="170"/>
      <c r="CN313" s="170"/>
      <c r="CO313" s="170"/>
      <c r="CP313" s="170"/>
      <c r="CQ313" s="170"/>
      <c r="CR313" s="170"/>
      <c r="CS313" s="170"/>
      <c r="CT313" s="170"/>
      <c r="CU313" s="170"/>
      <c r="CV313" s="170"/>
      <c r="CW313" s="170"/>
      <c r="CX313" s="170"/>
      <c r="CY313" s="94"/>
      <c r="CZ313" s="92"/>
      <c r="DA313" s="92"/>
      <c r="DB313" s="92"/>
      <c r="DC313" s="92"/>
      <c r="DD313" s="92"/>
      <c r="DE313" s="92"/>
      <c r="DF313" s="92"/>
      <c r="DG313" s="562"/>
      <c r="DH313" s="562"/>
      <c r="DI313" s="562"/>
    </row>
    <row r="314" spans="1:113" outlineLevel="1">
      <c r="A314" s="1" t="s">
        <v>169</v>
      </c>
      <c r="B314" s="19" t="s">
        <v>589</v>
      </c>
      <c r="C314" s="235">
        <v>3.8771090286240532E-2</v>
      </c>
      <c r="D314" s="235">
        <v>3.4070957717518363E-2</v>
      </c>
      <c r="E314" s="235">
        <v>3.6059217127333849E-2</v>
      </c>
      <c r="F314" s="235">
        <v>3.6990795008111269E-2</v>
      </c>
      <c r="G314" s="235">
        <v>3.6171754383537411E-2</v>
      </c>
      <c r="H314" s="235">
        <v>3.7987057574124808E-2</v>
      </c>
      <c r="I314" s="235">
        <v>4.2979882815514327E-2</v>
      </c>
      <c r="J314" s="235">
        <v>4.0324518283973626E-2</v>
      </c>
      <c r="K314" s="235">
        <v>4.31447463986908E-2</v>
      </c>
      <c r="L314" s="235">
        <v>4.1599232519398718E-2</v>
      </c>
      <c r="M314" s="48">
        <v>4.8371928609605631E-2</v>
      </c>
      <c r="N314" s="48">
        <v>4.5120091795173664E-2</v>
      </c>
      <c r="O314" s="48">
        <v>4.6820865699762931E-2</v>
      </c>
      <c r="P314" s="48">
        <v>5.7621961900381165E-2</v>
      </c>
      <c r="Q314" s="48">
        <v>5.8145116608551158E-2</v>
      </c>
      <c r="R314" s="48">
        <v>4.9945304832922574E-2</v>
      </c>
      <c r="S314" s="48">
        <v>1.9866812207921806E-2</v>
      </c>
      <c r="T314" s="48">
        <v>2.4743356910739801E-2</v>
      </c>
      <c r="U314" s="48">
        <v>3.3486258387270977E-2</v>
      </c>
      <c r="V314" s="48">
        <v>3.4335657172164323E-2</v>
      </c>
      <c r="W314" s="48">
        <v>3.5071064460464367E-2</v>
      </c>
      <c r="X314" s="48">
        <v>3.3745864311468726E-2</v>
      </c>
      <c r="Y314" s="50">
        <v>2.7260579046269554E-2</v>
      </c>
      <c r="Z314" s="50">
        <v>2.3176315593644008E-2</v>
      </c>
      <c r="AA314" s="385">
        <v>1.8952747111684549E-2</v>
      </c>
      <c r="AB314" s="50">
        <v>1.7349535068533359E-2</v>
      </c>
      <c r="AC314" s="50">
        <v>1.7899883310287842E-2</v>
      </c>
      <c r="AD314" s="50">
        <v>1.8621795532462914E-2</v>
      </c>
      <c r="AE314" s="50">
        <v>1.4831702010464127E-2</v>
      </c>
      <c r="AF314" s="50">
        <v>1.4987782298074986E-2</v>
      </c>
      <c r="AG314" s="50">
        <v>1.4965883800362158E-2</v>
      </c>
      <c r="AH314" s="50">
        <v>7.676167049171294E-3</v>
      </c>
      <c r="AI314" s="50">
        <v>7.3185522243448438E-3</v>
      </c>
      <c r="AJ314" s="50">
        <v>8.5205522276633645E-3</v>
      </c>
      <c r="AK314" s="50">
        <v>8.7003957856268063E-3</v>
      </c>
      <c r="AL314" s="50">
        <v>9.3938280185548589E-3</v>
      </c>
      <c r="AM314" s="50">
        <v>9.4979517647607679E-3</v>
      </c>
      <c r="AN314" s="50">
        <v>2.4803706968537878E-3</v>
      </c>
      <c r="AO314" s="50">
        <v>2.2734774113702945E-3</v>
      </c>
      <c r="AP314" s="50">
        <v>-1.4931008529825347E-3</v>
      </c>
      <c r="AQ314" s="50">
        <v>-1.4314215530595049E-3</v>
      </c>
      <c r="AR314" s="50">
        <v>1.5313886133539714E-3</v>
      </c>
      <c r="AS314" s="50">
        <v>1.4529939985761656E-3</v>
      </c>
      <c r="AT314" s="50">
        <v>2.1591216439219119E-2</v>
      </c>
      <c r="AU314" s="50">
        <v>2.1347697418174046E-2</v>
      </c>
      <c r="AV314" s="50">
        <v>2.1327254191089742E-2</v>
      </c>
      <c r="AW314" s="49">
        <v>2.040776875707075E-2</v>
      </c>
      <c r="AX314" s="48"/>
      <c r="AY314" s="48"/>
      <c r="AZ314" s="48"/>
      <c r="BA314" s="48"/>
      <c r="BB314" s="48"/>
      <c r="BC314" s="48"/>
      <c r="BD314" s="48"/>
      <c r="BE314" s="48"/>
      <c r="BF314" s="48"/>
      <c r="BG314" s="48"/>
      <c r="BH314" s="48"/>
      <c r="BI314" s="48"/>
      <c r="BJ314" s="48"/>
      <c r="BK314" s="48"/>
      <c r="BL314" s="235"/>
      <c r="BM314" s="235"/>
      <c r="BN314" s="235"/>
      <c r="BO314" s="235"/>
      <c r="BP314" s="235"/>
      <c r="BQ314" s="235"/>
      <c r="BR314" s="48"/>
      <c r="BS314" s="235"/>
      <c r="BT314" s="235"/>
      <c r="BU314" s="235"/>
      <c r="BV314" s="235"/>
      <c r="BW314" s="235"/>
      <c r="BX314" s="235"/>
      <c r="BY314" s="235"/>
      <c r="BZ314" s="235"/>
      <c r="CA314" s="235"/>
      <c r="CB314" s="235"/>
      <c r="CC314" s="48">
        <v>3.5064919154285772E-2</v>
      </c>
      <c r="CD314" s="48">
        <v>3.6570947127265753E-2</v>
      </c>
      <c r="CE314" s="48">
        <v>4.0512319426547733E-2</v>
      </c>
      <c r="CF314" s="48">
        <v>4.1737786127597119E-2</v>
      </c>
      <c r="CG314" s="48">
        <v>4.4883961977465164E-2</v>
      </c>
      <c r="CH314" s="48">
        <v>4.3492758682910498E-2</v>
      </c>
      <c r="CI314" s="48">
        <v>5.746880857205526E-2</v>
      </c>
      <c r="CJ314" s="48">
        <v>3.4255730600652227E-2</v>
      </c>
      <c r="CK314" s="48">
        <v>2.8947506479723939E-2</v>
      </c>
      <c r="CL314" s="48">
        <v>3.3982659012456735E-2</v>
      </c>
      <c r="CM314" s="50">
        <v>3.0402907173915424E-2</v>
      </c>
      <c r="CN314" s="50">
        <v>2.0909318387072415E-2</v>
      </c>
      <c r="CO314" s="50">
        <v>1.7742605006185377E-2</v>
      </c>
      <c r="CP314" s="50">
        <v>1.6586389542007973E-2</v>
      </c>
      <c r="CQ314" s="50">
        <v>1.4930471315301968E-2</v>
      </c>
      <c r="CR314" s="50">
        <v>7.4900267628886935E-3</v>
      </c>
      <c r="CS314" s="50">
        <v>8.6100883937906061E-3</v>
      </c>
      <c r="CT314" s="50">
        <v>9.4464060766474237E-3</v>
      </c>
      <c r="CU314" s="50">
        <v>2.3686192046919107E-3</v>
      </c>
      <c r="CV314" s="50">
        <v>-1.4616627833192984E-3</v>
      </c>
      <c r="CW314" s="50">
        <v>1.491400499133646E-3</v>
      </c>
      <c r="CX314" s="50">
        <v>2.1467165822593802E-2</v>
      </c>
      <c r="CY314" s="49">
        <v>2.0867440322162846E-2</v>
      </c>
      <c r="CZ314" s="48">
        <v>0</v>
      </c>
      <c r="DA314" s="48">
        <v>0</v>
      </c>
      <c r="DB314" s="48">
        <v>0</v>
      </c>
      <c r="DC314" s="48">
        <v>0</v>
      </c>
      <c r="DD314" s="48">
        <v>0</v>
      </c>
      <c r="DE314" s="48">
        <v>0</v>
      </c>
      <c r="DF314" s="48">
        <v>0</v>
      </c>
      <c r="DG314" s="235">
        <v>0</v>
      </c>
      <c r="DH314" s="235">
        <v>0</v>
      </c>
      <c r="DI314" s="235">
        <v>0</v>
      </c>
    </row>
    <row r="315" spans="1:113" outlineLevel="1">
      <c r="A315" s="1" t="s">
        <v>170</v>
      </c>
      <c r="B315" s="19" t="s">
        <v>590</v>
      </c>
      <c r="C315" s="235">
        <v>-2.725010108908358E-2</v>
      </c>
      <c r="D315" s="235">
        <v>-2.219793952258901E-2</v>
      </c>
      <c r="E315" s="235">
        <v>-1.3616816919385943E-2</v>
      </c>
      <c r="F315" s="235">
        <v>-1.4796335789405049E-2</v>
      </c>
      <c r="G315" s="235">
        <v>-1.771441684336398E-2</v>
      </c>
      <c r="H315" s="235">
        <v>-1.3641173278430944E-2</v>
      </c>
      <c r="I315" s="235">
        <v>-1.7552872788352613E-2</v>
      </c>
      <c r="J315" s="235">
        <v>-1.7908221351463204E-2</v>
      </c>
      <c r="K315" s="235">
        <v>-2.1083326274003313E-2</v>
      </c>
      <c r="L315" s="235">
        <v>-2.0870551145108111E-2</v>
      </c>
      <c r="M315" s="48">
        <v>-1.5697602611370841E-2</v>
      </c>
      <c r="N315" s="48">
        <v>-2.0602333951589797E-2</v>
      </c>
      <c r="O315" s="48">
        <v>-1.5844430436459174E-2</v>
      </c>
      <c r="P315" s="48">
        <v>-5.2504059722137926E-3</v>
      </c>
      <c r="Q315" s="48">
        <v>-1.3220632141211141E-2</v>
      </c>
      <c r="R315" s="48">
        <v>-3.106992787536652E-2</v>
      </c>
      <c r="S315" s="48">
        <v>-2.6581085678077446E-2</v>
      </c>
      <c r="T315" s="48">
        <v>-1.732975331206487E-2</v>
      </c>
      <c r="U315" s="48">
        <v>-2.1737555248157566E-2</v>
      </c>
      <c r="V315" s="48">
        <v>-1.816934527751576E-2</v>
      </c>
      <c r="W315" s="48">
        <v>-1.8394873865736325E-2</v>
      </c>
      <c r="X315" s="48">
        <v>-1.9930278756282175E-2</v>
      </c>
      <c r="Y315" s="50">
        <v>-2.1315039187538375E-2</v>
      </c>
      <c r="Z315" s="50">
        <v>-2.2120884440227077E-2</v>
      </c>
      <c r="AA315" s="385">
        <v>-2.1572226043459864E-2</v>
      </c>
      <c r="AB315" s="50">
        <v>-2.1790983616120849E-2</v>
      </c>
      <c r="AC315" s="50">
        <v>-1.9126132143751452E-2</v>
      </c>
      <c r="AD315" s="50">
        <v>-1.9307346096466386E-2</v>
      </c>
      <c r="AE315" s="50">
        <v>-1.9846176951760473E-2</v>
      </c>
      <c r="AF315" s="50">
        <v>-2.2496746087888139E-2</v>
      </c>
      <c r="AG315" s="50">
        <v>-2.0561554936427168E-2</v>
      </c>
      <c r="AH315" s="50">
        <v>-1.1371889488904486E-2</v>
      </c>
      <c r="AI315" s="50">
        <v>-9.0269790852242678E-3</v>
      </c>
      <c r="AJ315" s="50">
        <v>-1.0397201652012371E-2</v>
      </c>
      <c r="AK315" s="50">
        <v>-5.6755474065093665E-3</v>
      </c>
      <c r="AL315" s="50">
        <v>-5.6527095602408681E-3</v>
      </c>
      <c r="AM315" s="50">
        <v>-1.1145244598298402E-2</v>
      </c>
      <c r="AN315" s="50">
        <v>-1.3833712233177453E-2</v>
      </c>
      <c r="AO315" s="50">
        <v>-1.5836228294697451E-2</v>
      </c>
      <c r="AP315" s="50">
        <v>-1.5811128982519605E-2</v>
      </c>
      <c r="AQ315" s="50">
        <v>-8.2569990332441098E-3</v>
      </c>
      <c r="AR315" s="50">
        <v>-1.3469344297237439E-2</v>
      </c>
      <c r="AS315" s="50">
        <v>3.6840521570481836E-3</v>
      </c>
      <c r="AT315" s="50">
        <v>3.3230109984595906E-3</v>
      </c>
      <c r="AU315" s="50">
        <v>1.8903693309878386E-2</v>
      </c>
      <c r="AV315" s="50">
        <v>1.0694442512694225E-3</v>
      </c>
      <c r="AW315" s="49">
        <v>-5.9435280944278406E-3</v>
      </c>
      <c r="AX315" s="48"/>
      <c r="AY315" s="48"/>
      <c r="AZ315" s="48"/>
      <c r="BA315" s="48"/>
      <c r="BB315" s="48"/>
      <c r="BC315" s="48"/>
      <c r="BD315" s="48"/>
      <c r="BE315" s="48"/>
      <c r="BF315" s="48"/>
      <c r="BG315" s="48"/>
      <c r="BH315" s="48"/>
      <c r="BI315" s="48"/>
      <c r="BJ315" s="48"/>
      <c r="BK315" s="48"/>
      <c r="BL315" s="235"/>
      <c r="BM315" s="235"/>
      <c r="BN315" s="235"/>
      <c r="BO315" s="235"/>
      <c r="BP315" s="235"/>
      <c r="BQ315" s="235"/>
      <c r="BR315" s="48"/>
      <c r="BS315" s="235"/>
      <c r="BT315" s="235"/>
      <c r="BU315" s="235"/>
      <c r="BV315" s="235"/>
      <c r="BW315" s="235"/>
      <c r="BX315" s="235"/>
      <c r="BY315" s="235"/>
      <c r="BZ315" s="235"/>
      <c r="CA315" s="235"/>
      <c r="CB315" s="235"/>
      <c r="CC315" s="48">
        <v>-1.7858304011199495E-2</v>
      </c>
      <c r="CD315" s="48">
        <v>-1.623801106035774E-2</v>
      </c>
      <c r="CE315" s="48">
        <v>-1.5706220898646601E-2</v>
      </c>
      <c r="CF315" s="48">
        <v>-1.948413073749761E-2</v>
      </c>
      <c r="CG315" s="48">
        <v>-1.8371609611432478E-2</v>
      </c>
      <c r="CH315" s="48">
        <v>-1.7979926650548098E-2</v>
      </c>
      <c r="CI315" s="48">
        <v>-9.657218071769615E-3</v>
      </c>
      <c r="CJ315" s="48">
        <v>-2.8807693766402593E-2</v>
      </c>
      <c r="CK315" s="48">
        <v>-1.9576059195226512E-2</v>
      </c>
      <c r="CL315" s="48">
        <v>-1.8611987030907225E-2</v>
      </c>
      <c r="CM315" s="50">
        <v>-2.0696289433576369E-2</v>
      </c>
      <c r="CN315" s="50">
        <v>-2.1977685373968929E-2</v>
      </c>
      <c r="CO315" s="50">
        <v>-2.0346506229817041E-2</v>
      </c>
      <c r="CP315" s="50">
        <v>-1.97257726814048E-2</v>
      </c>
      <c r="CQ315" s="50">
        <v>-2.1153145664792049E-2</v>
      </c>
      <c r="CR315" s="50">
        <v>-1.0182867215286828E-2</v>
      </c>
      <c r="CS315" s="50">
        <v>-8.0493048141586955E-3</v>
      </c>
      <c r="CT315" s="50">
        <v>-8.3743813261899086E-3</v>
      </c>
      <c r="CU315" s="50">
        <v>-1.482023163662128E-2</v>
      </c>
      <c r="CV315" s="50">
        <v>-1.2007717327696317E-2</v>
      </c>
      <c r="CW315" s="50">
        <v>-4.7102984233962676E-3</v>
      </c>
      <c r="CX315" s="50">
        <v>1.1122889533920717E-2</v>
      </c>
      <c r="CY315" s="49">
        <v>-2.4326867806389067E-3</v>
      </c>
      <c r="CZ315" s="48">
        <v>0</v>
      </c>
      <c r="DA315" s="48">
        <v>0</v>
      </c>
      <c r="DB315" s="48">
        <v>0</v>
      </c>
      <c r="DC315" s="48">
        <v>0</v>
      </c>
      <c r="DD315" s="48">
        <v>0</v>
      </c>
      <c r="DE315" s="48">
        <v>0</v>
      </c>
      <c r="DF315" s="48">
        <v>0</v>
      </c>
      <c r="DG315" s="235">
        <v>0</v>
      </c>
      <c r="DH315" s="235">
        <v>0</v>
      </c>
      <c r="DI315" s="235">
        <v>0</v>
      </c>
    </row>
    <row r="316" spans="1:113" s="24" customFormat="1" outlineLevel="1">
      <c r="A316" s="1" t="s">
        <v>171</v>
      </c>
      <c r="B316" s="24" t="s">
        <v>168</v>
      </c>
      <c r="C316" s="562">
        <v>9.7882740086907335E-3</v>
      </c>
      <c r="D316" s="562">
        <v>9.8343114955860983E-3</v>
      </c>
      <c r="E316" s="562">
        <v>1.4680865081920647E-2</v>
      </c>
      <c r="F316" s="562">
        <v>1.4704515846511231E-2</v>
      </c>
      <c r="G316" s="562">
        <v>1.3457965268713587E-2</v>
      </c>
      <c r="H316" s="562">
        <v>1.5361708584763966E-2</v>
      </c>
      <c r="I316" s="562">
        <v>1.5056931704164016E-2</v>
      </c>
      <c r="J316" s="562">
        <v>1.3066614772475966E-2</v>
      </c>
      <c r="K316" s="562">
        <v>1.3695583091947544E-2</v>
      </c>
      <c r="L316" s="562">
        <v>1.358919388180087E-2</v>
      </c>
      <c r="M316" s="92">
        <v>1.9676000967150033E-2</v>
      </c>
      <c r="N316" s="92">
        <v>1.5603606672964111E-2</v>
      </c>
      <c r="O316" s="92">
        <v>1.9979160881283157E-2</v>
      </c>
      <c r="P316" s="92">
        <v>3.0068997565561802E-2</v>
      </c>
      <c r="Q316" s="92">
        <v>2.3968727120958714E-2</v>
      </c>
      <c r="R316" s="92">
        <v>9.0455525192503997E-3</v>
      </c>
      <c r="S316" s="92">
        <v>-4.1661656779411272E-3</v>
      </c>
      <c r="T316" s="92">
        <v>2.178000217911901E-3</v>
      </c>
      <c r="U316" s="92">
        <v>4.4664452027696035E-3</v>
      </c>
      <c r="V316" s="92">
        <v>6.149342609933682E-3</v>
      </c>
      <c r="W316" s="92">
        <v>6.1558040844309917E-3</v>
      </c>
      <c r="X316" s="92">
        <v>4.8811503569465252E-3</v>
      </c>
      <c r="Y316" s="170">
        <v>9.1512059877275377E-4</v>
      </c>
      <c r="Z316" s="170">
        <v>-1.20980100949047E-3</v>
      </c>
      <c r="AA316" s="496">
        <v>-2.2822935838652456E-3</v>
      </c>
      <c r="AB316" s="170">
        <v>-2.2452274871827354E-3</v>
      </c>
      <c r="AC316" s="170">
        <v>1.5725450908211772E-4</v>
      </c>
      <c r="AD316" s="170">
        <v>1.0666009561850281E-3</v>
      </c>
      <c r="AE316" s="170">
        <v>-4.695627300207572E-4</v>
      </c>
      <c r="AF316" s="170">
        <v>-5.8118733424037858E-4</v>
      </c>
      <c r="AG316" s="170">
        <v>8.1890269734626487E-4</v>
      </c>
      <c r="AH316" s="170">
        <v>-8.2865533640251834E-4</v>
      </c>
      <c r="AI316" s="170">
        <v>2.6204533353185763E-5</v>
      </c>
      <c r="AJ316" s="170">
        <v>2.8343204281705819E-4</v>
      </c>
      <c r="AK316" s="170">
        <v>2.4099065402918649E-3</v>
      </c>
      <c r="AL316" s="170">
        <v>2.8480651701990626E-3</v>
      </c>
      <c r="AM316" s="170">
        <v>5.3244474019901479E-4</v>
      </c>
      <c r="AN316" s="170">
        <v>-3.9996963996575003E-3</v>
      </c>
      <c r="AO316" s="170">
        <v>-4.9341809726665157E-3</v>
      </c>
      <c r="AP316" s="170">
        <v>-5.9883293166031115E-3</v>
      </c>
      <c r="AQ316" s="170">
        <v>-3.57115890698866E-3</v>
      </c>
      <c r="AR316" s="170">
        <v>-2.8120650217187343E-3</v>
      </c>
      <c r="AS316" s="170">
        <v>2.1098350531849764E-3</v>
      </c>
      <c r="AT316" s="170">
        <v>1.5622228494159066E-2</v>
      </c>
      <c r="AU316" s="170">
        <v>2.0546194897866681E-2</v>
      </c>
      <c r="AV316" s="170">
        <v>1.4671717035806027E-2</v>
      </c>
      <c r="AW316" s="94">
        <v>1.1744467198913026E-2</v>
      </c>
      <c r="AX316" s="92">
        <v>1.2029689966880787E-2</v>
      </c>
      <c r="AY316" s="92">
        <v>1.2180491968231346E-2</v>
      </c>
      <c r="AZ316" s="92">
        <v>1.2420999564395121E-2</v>
      </c>
      <c r="BA316" s="92">
        <v>1.24712756792737E-2</v>
      </c>
      <c r="BB316" s="92">
        <v>1.2504382758784398E-2</v>
      </c>
      <c r="BC316" s="92">
        <v>1.2525797387006965E-2</v>
      </c>
      <c r="BD316" s="92">
        <v>1.2536526897251923E-2</v>
      </c>
      <c r="BE316" s="92">
        <v>1.2547097916823794E-2</v>
      </c>
      <c r="BF316" s="92">
        <v>1.2557514123143055E-2</v>
      </c>
      <c r="BG316" s="92">
        <v>1.2567779080140265E-2</v>
      </c>
      <c r="BH316" s="92">
        <v>1.2577896242597558E-2</v>
      </c>
      <c r="BI316" s="92">
        <v>1.258786896029229E-2</v>
      </c>
      <c r="BJ316" s="92">
        <v>1.259770048195335E-2</v>
      </c>
      <c r="BK316" s="92">
        <v>1.2601742071420433E-2</v>
      </c>
      <c r="BL316" s="562">
        <v>1.2600164553759678E-2</v>
      </c>
      <c r="BM316" s="562">
        <v>1.2598589104243635E-2</v>
      </c>
      <c r="BN316" s="562">
        <v>1.259701573167255E-2</v>
      </c>
      <c r="BO316" s="562">
        <v>1.259544444488165E-2</v>
      </c>
      <c r="BP316" s="562">
        <v>1.2593875252740845E-2</v>
      </c>
      <c r="BQ316" s="562">
        <v>1.2592308164154443E-2</v>
      </c>
      <c r="BR316" s="92"/>
      <c r="BS316" s="562">
        <v>1.1179359170668288E-2</v>
      </c>
      <c r="BT316" s="562">
        <v>7.9388234022305278E-3</v>
      </c>
      <c r="BU316" s="562">
        <v>8.6988661538193197E-3</v>
      </c>
      <c r="BV316" s="562">
        <v>2.7915463711942486E-2</v>
      </c>
      <c r="BW316" s="562">
        <v>2.2564092570871479E-2</v>
      </c>
      <c r="BX316" s="562">
        <v>1.2763732380156306E-2</v>
      </c>
      <c r="BY316" s="562">
        <v>8.0241551236241472E-3</v>
      </c>
      <c r="BZ316" s="562">
        <v>1.1996822124756328E-2</v>
      </c>
      <c r="CA316" s="562">
        <v>1.7780869806762273E-2</v>
      </c>
      <c r="CB316" s="562">
        <v>1.4044980085685348E-2</v>
      </c>
      <c r="CC316" s="92">
        <v>1.2279504025072739E-2</v>
      </c>
      <c r="CD316" s="92">
        <v>1.4081356477297887E-2</v>
      </c>
      <c r="CE316" s="92">
        <v>1.5196896155710933E-2</v>
      </c>
      <c r="CF316" s="92">
        <v>1.3379595954463176E-2</v>
      </c>
      <c r="CG316" s="92">
        <v>1.6686190138928997E-2</v>
      </c>
      <c r="CH316" s="92">
        <v>1.7325481560907584E-2</v>
      </c>
      <c r="CI316" s="92">
        <v>2.6891837692275284E-2</v>
      </c>
      <c r="CJ316" s="92">
        <v>2.0860019179507246E-3</v>
      </c>
      <c r="CK316" s="92">
        <v>3.3085188122973382E-3</v>
      </c>
      <c r="CL316" s="92">
        <v>6.1507244570563387E-3</v>
      </c>
      <c r="CM316" s="170">
        <v>2.8895551753295966E-3</v>
      </c>
      <c r="CN316" s="170">
        <v>-1.7468997142775142E-3</v>
      </c>
      <c r="CO316" s="170">
        <v>-1.026569503050218E-3</v>
      </c>
      <c r="CP316" s="170">
        <v>2.8757002183057864E-4</v>
      </c>
      <c r="CQ316" s="170">
        <v>1.2128726920918876E-4</v>
      </c>
      <c r="CR316" s="170">
        <v>-3.9769600563560381E-4</v>
      </c>
      <c r="CS316" s="170">
        <v>1.3387353254215092E-3</v>
      </c>
      <c r="CT316" s="170">
        <v>1.6988156552623962E-3</v>
      </c>
      <c r="CU316" s="170">
        <v>-4.4649765443188277E-3</v>
      </c>
      <c r="CV316" s="170">
        <v>-4.7701340746728908E-3</v>
      </c>
      <c r="CW316" s="170">
        <v>-3.1980169709804415E-4</v>
      </c>
      <c r="CX316" s="170">
        <v>1.8080927202953345E-2</v>
      </c>
      <c r="CY316" s="94">
        <v>1.3209786872742903E-2</v>
      </c>
      <c r="CZ316" s="92">
        <v>1.2103219603678855E-2</v>
      </c>
      <c r="DA316" s="92">
        <v>1.2444302099312562E-2</v>
      </c>
      <c r="DB316" s="92">
        <v>1.2513416136005592E-2</v>
      </c>
      <c r="DC316" s="92">
        <v>1.2540638191714073E-2</v>
      </c>
      <c r="DD316" s="92">
        <v>1.2560848874283713E-2</v>
      </c>
      <c r="DE316" s="92">
        <v>1.2581076695789247E-2</v>
      </c>
      <c r="DF316" s="92">
        <v>1.259783188278976E-2</v>
      </c>
      <c r="DG316" s="562">
        <v>1.2598065951556612E-2</v>
      </c>
      <c r="DH316" s="562">
        <v>1.2594261852252795E-2</v>
      </c>
      <c r="DI316" s="562">
        <v>1.259112311847327E-2</v>
      </c>
    </row>
    <row r="317" spans="1:113" outlineLevel="1">
      <c r="A317" s="1" t="s">
        <v>172</v>
      </c>
      <c r="B317" s="19" t="s">
        <v>277</v>
      </c>
      <c r="C317" s="235">
        <v>-8.5333459412329782E-3</v>
      </c>
      <c r="D317" s="235">
        <v>1.6486643271238252E-3</v>
      </c>
      <c r="E317" s="235">
        <v>8.7096942937115469E-3</v>
      </c>
      <c r="F317" s="235">
        <v>6.3150451145394968E-3</v>
      </c>
      <c r="G317" s="235">
        <v>5.371976992285212E-3</v>
      </c>
      <c r="H317" s="235">
        <v>1.1134879916725435E-2</v>
      </c>
      <c r="I317" s="235">
        <v>1.4455563883101295E-2</v>
      </c>
      <c r="J317" s="235">
        <v>7.4406771402511099E-3</v>
      </c>
      <c r="K317" s="235">
        <v>6.5393318656458369E-3</v>
      </c>
      <c r="L317" s="235">
        <v>3.5240941861665372E-3</v>
      </c>
      <c r="M317" s="48">
        <v>8.2602581868330277E-3</v>
      </c>
      <c r="N317" s="48">
        <v>2.2192748140002919E-3</v>
      </c>
      <c r="O317" s="48">
        <v>2.1002094748855519E-3</v>
      </c>
      <c r="P317" s="48">
        <v>1.2100524854360936E-2</v>
      </c>
      <c r="Q317" s="48">
        <v>9.196327171394925E-3</v>
      </c>
      <c r="R317" s="48">
        <v>2.1447626963237948E-3</v>
      </c>
      <c r="S317" s="48">
        <v>-2.9823314832099798E-3</v>
      </c>
      <c r="T317" s="48">
        <v>8.4347115525217975E-4</v>
      </c>
      <c r="U317" s="48">
        <v>2.8562049716149124E-3</v>
      </c>
      <c r="V317" s="48">
        <v>3.2348706276258726E-3</v>
      </c>
      <c r="W317" s="48">
        <v>3.7794104976217129E-3</v>
      </c>
      <c r="X317" s="48">
        <v>3.4950192261866686E-3</v>
      </c>
      <c r="Y317" s="50">
        <v>-1.9824917369344456E-3</v>
      </c>
      <c r="Z317" s="50">
        <v>-2.7904647900941926E-3</v>
      </c>
      <c r="AA317" s="385">
        <v>-3.1193195253385562E-3</v>
      </c>
      <c r="AB317" s="50">
        <v>-1.5663111290380161E-3</v>
      </c>
      <c r="AC317" s="50">
        <v>-7.7877894094973419E-4</v>
      </c>
      <c r="AD317" s="50">
        <v>-5.7118834910269752E-4</v>
      </c>
      <c r="AE317" s="50">
        <v>-1.9385217002617409E-3</v>
      </c>
      <c r="AF317" s="50">
        <v>4.340280729965354E-4</v>
      </c>
      <c r="AG317" s="50">
        <v>-3.9529577614077866E-3</v>
      </c>
      <c r="AH317" s="50">
        <v>-5.7910935705859125E-3</v>
      </c>
      <c r="AI317" s="50">
        <v>-6.6809208571495041E-3</v>
      </c>
      <c r="AJ317" s="50">
        <v>-7.6858983915394658E-3</v>
      </c>
      <c r="AK317" s="50">
        <v>-6.4931697778509408E-3</v>
      </c>
      <c r="AL317" s="50">
        <v>-9.5013256149037943E-3</v>
      </c>
      <c r="AM317" s="50">
        <v>-1.1814697588849173E-2</v>
      </c>
      <c r="AN317" s="50">
        <v>-1.3246541501976286E-2</v>
      </c>
      <c r="AO317" s="50">
        <v>-1.4311708872963909E-2</v>
      </c>
      <c r="AP317" s="50">
        <v>-9.0967987857607149E-3</v>
      </c>
      <c r="AQ317" s="50">
        <v>-1.108554338690864E-2</v>
      </c>
      <c r="AR317" s="50">
        <v>-8.9746466296240328E-3</v>
      </c>
      <c r="AS317" s="50">
        <v>-4.7740516028132946E-3</v>
      </c>
      <c r="AT317" s="50">
        <v>1.1216906314462974E-3</v>
      </c>
      <c r="AU317" s="50">
        <v>-1.5410521337069853E-2</v>
      </c>
      <c r="AV317" s="50">
        <v>-6.6290251228728978E-3</v>
      </c>
      <c r="AW317" s="49">
        <v>-7.3965951307379142E-3</v>
      </c>
      <c r="AX317" s="48">
        <v>-7.7965951307379143E-3</v>
      </c>
      <c r="AY317" s="48">
        <v>-8.0465951307379137E-3</v>
      </c>
      <c r="AZ317" s="48">
        <v>-8.1465951307379131E-3</v>
      </c>
      <c r="BA317" s="48">
        <v>-8.2465951307379125E-3</v>
      </c>
      <c r="BB317" s="48">
        <v>-8.3465951307379119E-3</v>
      </c>
      <c r="BC317" s="48">
        <v>-8.4465951307379113E-3</v>
      </c>
      <c r="BD317" s="48">
        <v>-8.4465951307379113E-3</v>
      </c>
      <c r="BE317" s="48">
        <v>-8.4465951307379113E-3</v>
      </c>
      <c r="BF317" s="48">
        <v>-8.4465951307379113E-3</v>
      </c>
      <c r="BG317" s="48">
        <v>-8.4465951307379113E-3</v>
      </c>
      <c r="BH317" s="48">
        <v>-8.4465951307379113E-3</v>
      </c>
      <c r="BI317" s="48">
        <v>-8.4465951307379113E-3</v>
      </c>
      <c r="BJ317" s="48">
        <v>-8.4465951307379113E-3</v>
      </c>
      <c r="BK317" s="48">
        <v>-8.4465951307379113E-3</v>
      </c>
      <c r="BL317" s="235">
        <v>-8.4465951307379113E-3</v>
      </c>
      <c r="BM317" s="235">
        <v>-8.4465951307379113E-3</v>
      </c>
      <c r="BN317" s="235">
        <v>-8.4465951307379113E-3</v>
      </c>
      <c r="BO317" s="235">
        <v>-8.4465951307379113E-3</v>
      </c>
      <c r="BP317" s="235">
        <v>-8.4465951307379113E-3</v>
      </c>
      <c r="BQ317" s="235">
        <v>-8.4465951307379113E-3</v>
      </c>
      <c r="BR317" s="48"/>
      <c r="BS317" s="235">
        <v>2.420926292109079E-3</v>
      </c>
      <c r="BT317" s="235">
        <v>-1.4144617837964536E-2</v>
      </c>
      <c r="BU317" s="235">
        <v>-1.7521180518030258E-2</v>
      </c>
      <c r="BV317" s="235">
        <v>1.3105057710064641E-2</v>
      </c>
      <c r="BW317" s="235">
        <v>8.6502912019825965E-3</v>
      </c>
      <c r="BX317" s="235">
        <v>-1.4520635598969428E-3</v>
      </c>
      <c r="BY317" s="235">
        <v>-6.3603504543979323E-3</v>
      </c>
      <c r="BZ317" s="235">
        <v>-4.1551100212858954E-4</v>
      </c>
      <c r="CA317" s="235">
        <v>-1.7198690002723374E-3</v>
      </c>
      <c r="CB317" s="235">
        <v>-4.1283680669972865E-3</v>
      </c>
      <c r="CC317" s="48">
        <v>5.1296235252556704E-3</v>
      </c>
      <c r="CD317" s="48">
        <v>5.8170721563902319E-3</v>
      </c>
      <c r="CE317" s="48">
        <v>1.2868692937395503E-2</v>
      </c>
      <c r="CF317" s="48">
        <v>6.9628815020078153E-3</v>
      </c>
      <c r="CG317" s="48">
        <v>5.9846438360828926E-3</v>
      </c>
      <c r="CH317" s="48">
        <v>2.1584381622633277E-3</v>
      </c>
      <c r="CI317" s="48">
        <v>1.0649109462316635E-2</v>
      </c>
      <c r="CJ317" s="48">
        <v>-2.7571025776322751E-4</v>
      </c>
      <c r="CK317" s="48">
        <v>1.8927289584780664E-3</v>
      </c>
      <c r="CL317" s="48">
        <v>3.4989521956673595E-3</v>
      </c>
      <c r="CM317" s="50">
        <v>7.5751052534004791E-4</v>
      </c>
      <c r="CN317" s="50">
        <v>-2.9542215949140966E-3</v>
      </c>
      <c r="CO317" s="50">
        <v>-1.1691122430904197E-3</v>
      </c>
      <c r="CP317" s="50">
        <v>-1.2785606791646518E-3</v>
      </c>
      <c r="CQ317" s="50">
        <v>-1.7144275349026022E-3</v>
      </c>
      <c r="CR317" s="50">
        <v>-6.2347431151376651E-3</v>
      </c>
      <c r="CS317" s="50">
        <v>-7.0864965196152669E-3</v>
      </c>
      <c r="CT317" s="50">
        <v>-1.0622560333549193E-2</v>
      </c>
      <c r="CU317" s="50">
        <v>-1.3772345083641108E-2</v>
      </c>
      <c r="CV317" s="50">
        <v>-1.0019878363937166E-2</v>
      </c>
      <c r="CW317" s="50">
        <v>-6.9463661927317072E-3</v>
      </c>
      <c r="CX317" s="50">
        <v>-7.2304652065098658E-3</v>
      </c>
      <c r="CY317" s="49">
        <v>-7.0698827215243494E-3</v>
      </c>
      <c r="CZ317" s="48">
        <v>-7.9205089910161699E-3</v>
      </c>
      <c r="DA317" s="48">
        <v>-8.1953932739676199E-3</v>
      </c>
      <c r="DB317" s="48">
        <v>-8.3955185906053071E-3</v>
      </c>
      <c r="DC317" s="48">
        <v>-8.4458419355524852E-3</v>
      </c>
      <c r="DD317" s="48">
        <v>-8.4454768174631861E-3</v>
      </c>
      <c r="DE317" s="48">
        <v>-8.4454566468632648E-3</v>
      </c>
      <c r="DF317" s="48">
        <v>-8.4453216270582408E-3</v>
      </c>
      <c r="DG317" s="235">
        <v>-8.4456566571585456E-3</v>
      </c>
      <c r="DH317" s="235">
        <v>-8.4452701125880235E-3</v>
      </c>
      <c r="DI317" s="235">
        <v>-8.4452723149380463E-3</v>
      </c>
    </row>
    <row r="318" spans="1:113" outlineLevel="1">
      <c r="A318" s="1" t="s">
        <v>173</v>
      </c>
      <c r="B318" s="19" t="s">
        <v>278</v>
      </c>
      <c r="C318" s="235">
        <v>5.2130499999999996E-2</v>
      </c>
      <c r="D318" s="235">
        <v>4.5136000000000003E-2</v>
      </c>
      <c r="E318" s="235">
        <v>4.6577833333333346E-2</v>
      </c>
      <c r="F318" s="235">
        <v>4.8975166666666674E-2</v>
      </c>
      <c r="G318" s="235">
        <v>4.7716666666666664E-2</v>
      </c>
      <c r="H318" s="235">
        <v>5.0808166666666675E-2</v>
      </c>
      <c r="I318" s="235">
        <v>5.5549999999999995E-2</v>
      </c>
      <c r="J318" s="235">
        <v>5.4416666666666662E-2</v>
      </c>
      <c r="K318" s="235">
        <v>5.7039000000000006E-2</v>
      </c>
      <c r="L318" s="235">
        <v>5.7423560606060582E-2</v>
      </c>
      <c r="M318" s="48">
        <v>6.4177384615384622E-2</v>
      </c>
      <c r="N318" s="48">
        <v>6.2552595419847326E-2</v>
      </c>
      <c r="O318" s="48">
        <v>6.4177384615384622E-2</v>
      </c>
      <c r="P318" s="48">
        <v>7.6398484848484841E-2</v>
      </c>
      <c r="Q318" s="48">
        <v>7.692715384615384E-2</v>
      </c>
      <c r="R318" s="48">
        <v>6.2784545454545454E-2</v>
      </c>
      <c r="S318" s="48">
        <v>3.2613565891472865E-2</v>
      </c>
      <c r="T318" s="48">
        <v>3.6205454545454534E-2</v>
      </c>
      <c r="U318" s="48">
        <v>4.4982945736434125E-2</v>
      </c>
      <c r="V318" s="48">
        <v>4.8731060606060597E-2</v>
      </c>
      <c r="W318" s="48">
        <v>4.9470542635658907E-2</v>
      </c>
      <c r="X318" s="48">
        <v>4.7434351145038176E-2</v>
      </c>
      <c r="Y318" s="50">
        <v>4.0943846153846122E-2</v>
      </c>
      <c r="Z318" s="50">
        <v>3.3609923664122125E-2</v>
      </c>
      <c r="AA318" s="385">
        <v>2.9391883720930202E-2</v>
      </c>
      <c r="AB318" s="50">
        <v>2.6180303030303002E-2</v>
      </c>
      <c r="AC318" s="50">
        <v>2.6741666666666667E-2</v>
      </c>
      <c r="AD318" s="50">
        <v>2.6935977272727264E-2</v>
      </c>
      <c r="AE318" s="50">
        <v>2.3159007751937962E-2</v>
      </c>
      <c r="AF318" s="50">
        <v>2.1939393939393901E-2</v>
      </c>
      <c r="AG318" s="50">
        <v>2.1919230769230798E-2</v>
      </c>
      <c r="AH318" s="50">
        <v>1.7833850393700799E-2</v>
      </c>
      <c r="AI318" s="50">
        <v>1.76165E-2</v>
      </c>
      <c r="AJ318" s="50">
        <v>1.71896153846154E-2</v>
      </c>
      <c r="AK318" s="50">
        <v>1.93084615384615E-2</v>
      </c>
      <c r="AL318" s="50">
        <v>1.968549618320611E-2</v>
      </c>
      <c r="AM318" s="50">
        <v>1.7356798449612399E-2</v>
      </c>
      <c r="AN318" s="50">
        <v>9.57954545454545E-3</v>
      </c>
      <c r="AO318" s="50">
        <v>4.4738461538461598E-3</v>
      </c>
      <c r="AP318" s="50">
        <v>6.7689393939393842E-4</v>
      </c>
      <c r="AQ318" s="50">
        <v>3.6350364963503521E-4</v>
      </c>
      <c r="AR318" s="50">
        <v>4.4586466165413526E-4</v>
      </c>
      <c r="AS318" s="50">
        <v>5.7041162790697634E-3</v>
      </c>
      <c r="AT318" s="50">
        <v>2.7344832061068712E-2</v>
      </c>
      <c r="AU318" s="50">
        <v>3.7218838461538457E-2</v>
      </c>
      <c r="AV318" s="50">
        <v>4.2656746153846202E-2</v>
      </c>
      <c r="AW318" s="49">
        <v>4.3675592307692294E-2</v>
      </c>
      <c r="AX318" s="48">
        <v>4.5999999999999999E-2</v>
      </c>
      <c r="AY318" s="48">
        <v>4.2250000000000003E-2</v>
      </c>
      <c r="AZ318" s="48">
        <v>3.6750000000000005E-2</v>
      </c>
      <c r="BA318" s="48">
        <v>3.5000000000000003E-2</v>
      </c>
      <c r="BB318" s="48">
        <v>3.5000000000000003E-2</v>
      </c>
      <c r="BC318" s="48">
        <v>3.5000000000000003E-2</v>
      </c>
      <c r="BD318" s="48">
        <v>3.5000000000000003E-2</v>
      </c>
      <c r="BE318" s="48">
        <v>3.5000000000000003E-2</v>
      </c>
      <c r="BF318" s="48">
        <v>3.5000000000000003E-2</v>
      </c>
      <c r="BG318" s="48">
        <v>3.5000000000000003E-2</v>
      </c>
      <c r="BH318" s="48">
        <v>3.5000000000000003E-2</v>
      </c>
      <c r="BI318" s="48">
        <v>3.5000000000000003E-2</v>
      </c>
      <c r="BJ318" s="48">
        <v>3.5000000000000003E-2</v>
      </c>
      <c r="BK318" s="48">
        <v>3.5000000000000003E-2</v>
      </c>
      <c r="BL318" s="235">
        <v>3.5000000000000003E-2</v>
      </c>
      <c r="BM318" s="235">
        <v>3.5000000000000003E-2</v>
      </c>
      <c r="BN318" s="235">
        <v>3.5000000000000003E-2</v>
      </c>
      <c r="BO318" s="235">
        <v>3.5000000000000003E-2</v>
      </c>
      <c r="BP318" s="235">
        <v>3.5000000000000003E-2</v>
      </c>
      <c r="BQ318" s="235">
        <v>3.5000000000000003E-2</v>
      </c>
      <c r="BR318" s="48"/>
      <c r="BS318" s="235">
        <v>8.0391666666666681E-2</v>
      </c>
      <c r="BT318" s="235">
        <v>5.6316666666666668E-2</v>
      </c>
      <c r="BU318" s="235">
        <v>4.9116666666666663E-2</v>
      </c>
      <c r="BV318" s="235">
        <v>7.229250000000001E-2</v>
      </c>
      <c r="BW318" s="235">
        <v>7.5255000000000002E-2</v>
      </c>
      <c r="BX318" s="235">
        <v>6.2107833333333341E-2</v>
      </c>
      <c r="BY318" s="235">
        <v>4.9790250000000001E-2</v>
      </c>
      <c r="BZ318" s="235">
        <v>4.9345749999999994E-2</v>
      </c>
      <c r="CA318" s="235">
        <v>5.608854961832057E-2</v>
      </c>
      <c r="CB318" s="235">
        <v>5.8143076923076895E-2</v>
      </c>
      <c r="CC318" s="48">
        <v>4.5849784667124999E-2</v>
      </c>
      <c r="CD318" s="48">
        <v>4.8078213566793988E-2</v>
      </c>
      <c r="CE318" s="48">
        <v>5.3310320873989195E-2</v>
      </c>
      <c r="CF318" s="48">
        <v>5.5750510646398806E-2</v>
      </c>
      <c r="CG318" s="48">
        <v>5.9913694518859036E-2</v>
      </c>
      <c r="CH318" s="48">
        <v>6.2096554347416254E-2</v>
      </c>
      <c r="CI318" s="48">
        <v>7.6747865323370384E-2</v>
      </c>
      <c r="CJ318" s="48">
        <v>4.6398269280661854E-2</v>
      </c>
      <c r="CK318" s="48">
        <v>4.0453224582359504E-2</v>
      </c>
      <c r="CL318" s="48">
        <v>4.908768319632343E-2</v>
      </c>
      <c r="CM318" s="50">
        <v>4.3884343979663246E-2</v>
      </c>
      <c r="CN318" s="50">
        <v>3.1390987810901959E-2</v>
      </c>
      <c r="CO318" s="50">
        <v>2.6397262081891113E-2</v>
      </c>
      <c r="CP318" s="50">
        <v>2.4285638826904401E-2</v>
      </c>
      <c r="CQ318" s="50">
        <v>2.560129507103185E-2</v>
      </c>
      <c r="CR318" s="50">
        <v>1.7942401379270171E-2</v>
      </c>
      <c r="CS318" s="50">
        <v>1.8187532646868419E-2</v>
      </c>
      <c r="CT318" s="50">
        <v>1.8517608145287578E-2</v>
      </c>
      <c r="CU318" s="50">
        <v>7.1842856079397726E-3</v>
      </c>
      <c r="CV318" s="50">
        <v>5.2907990056118466E-4</v>
      </c>
      <c r="CW318" s="50">
        <v>2.9310880337018856E-3</v>
      </c>
      <c r="CX318" s="50">
        <v>3.2283618535319705E-2</v>
      </c>
      <c r="CY318" s="49">
        <v>4.316283099821288E-2</v>
      </c>
      <c r="CZ318" s="48">
        <v>4.4123972103808015E-2</v>
      </c>
      <c r="DA318" s="48">
        <v>3.5869987429808153E-2</v>
      </c>
      <c r="DB318" s="48">
        <v>3.4994398052004883E-2</v>
      </c>
      <c r="DC318" s="48">
        <v>3.4996051869968521E-2</v>
      </c>
      <c r="DD318" s="48">
        <v>3.4993627275991583E-2</v>
      </c>
      <c r="DE318" s="48">
        <v>3.4993957398524012E-2</v>
      </c>
      <c r="DF318" s="48">
        <v>3.4995191858896997E-2</v>
      </c>
      <c r="DG318" s="235">
        <v>3.4997763575195615E-2</v>
      </c>
      <c r="DH318" s="235">
        <v>3.4994685988073447E-2</v>
      </c>
      <c r="DI318" s="235">
        <v>3.499462242837463E-2</v>
      </c>
    </row>
    <row r="319" spans="1:113" s="24" customFormat="1" outlineLevel="1">
      <c r="A319" s="1" t="s">
        <v>174</v>
      </c>
      <c r="B319" s="24" t="s">
        <v>579</v>
      </c>
      <c r="C319" s="562">
        <v>7.4077064435832674E-3</v>
      </c>
      <c r="D319" s="562">
        <v>9.5237681304156593E-3</v>
      </c>
      <c r="E319" s="562">
        <v>1.4829284964585486E-2</v>
      </c>
      <c r="F319" s="562">
        <v>1.4134267393967372E-2</v>
      </c>
      <c r="G319" s="562">
        <v>1.3351431323563236E-2</v>
      </c>
      <c r="H319" s="562">
        <v>1.6053412418863378E-2</v>
      </c>
      <c r="I319" s="562">
        <v>1.6910949008165269E-2</v>
      </c>
      <c r="J319" s="562">
        <v>1.3104602670009714E-2</v>
      </c>
      <c r="K319" s="562">
        <v>1.3467372041794858E-2</v>
      </c>
      <c r="L319" s="562">
        <v>1.1742638512179722E-2</v>
      </c>
      <c r="M319" s="92">
        <v>1.7169562620724929E-2</v>
      </c>
      <c r="N319" s="92">
        <v>1.2230755413677387E-2</v>
      </c>
      <c r="O319" s="92">
        <v>1.5005939841121967E-2</v>
      </c>
      <c r="P319" s="92">
        <v>2.5372102908310448E-2</v>
      </c>
      <c r="Q319" s="92">
        <v>2.1214547143026313E-2</v>
      </c>
      <c r="R319" s="92">
        <v>8.9209367954547966E-3</v>
      </c>
      <c r="S319" s="92">
        <v>-2.4716421306275257E-3</v>
      </c>
      <c r="T319" s="92">
        <v>3.4216997963775614E-3</v>
      </c>
      <c r="U319" s="92">
        <v>5.6194019047440535E-3</v>
      </c>
      <c r="V319" s="92">
        <v>7.3248458607276593E-3</v>
      </c>
      <c r="W319" s="92">
        <v>7.6484157718222437E-3</v>
      </c>
      <c r="X319" s="92">
        <v>6.4125954720108194E-3</v>
      </c>
      <c r="Y319" s="170">
        <v>2.0918165988519852E-3</v>
      </c>
      <c r="Z319" s="170">
        <v>2.1608129790805924E-4</v>
      </c>
      <c r="AA319" s="496">
        <v>-8.8350723813221746E-4</v>
      </c>
      <c r="AB319" s="170">
        <v>-7.9668846904952517E-4</v>
      </c>
      <c r="AC319" s="170">
        <v>1.1235894658096421E-3</v>
      </c>
      <c r="AD319" s="170">
        <v>1.7236003021046942E-3</v>
      </c>
      <c r="AE319" s="170">
        <v>-9.0080220484338447E-5</v>
      </c>
      <c r="AF319" s="170">
        <v>5.0504576756134345E-4</v>
      </c>
      <c r="AG319" s="170">
        <v>6.4550425211333876E-4</v>
      </c>
      <c r="AH319" s="170">
        <v>-1.365427865203668E-3</v>
      </c>
      <c r="AI319" s="170">
        <v>-9.5529208616732669E-4</v>
      </c>
      <c r="AJ319" s="170">
        <v>-1.2700419675447175E-3</v>
      </c>
      <c r="AK319" s="170">
        <v>5.1329464031641195E-4</v>
      </c>
      <c r="AL319" s="170">
        <v>7.1513460185862118E-4</v>
      </c>
      <c r="AM319" s="170">
        <v>-1.3612190797102387E-3</v>
      </c>
      <c r="AN319" s="170">
        <v>-5.2986133568466084E-3</v>
      </c>
      <c r="AO319" s="170">
        <v>-6.4406603325283512E-3</v>
      </c>
      <c r="AP319" s="170">
        <v>-6.1709660662252535E-3</v>
      </c>
      <c r="AQ319" s="170">
        <v>-4.8109368129066092E-3</v>
      </c>
      <c r="AR319" s="170">
        <v>-3.9836877633198037E-3</v>
      </c>
      <c r="AS319" s="170">
        <v>7.5165637660008344E-4</v>
      </c>
      <c r="AT319" s="170">
        <v>1.2939948481333653E-2</v>
      </c>
      <c r="AU319" s="170">
        <v>1.3093596284055278E-2</v>
      </c>
      <c r="AV319" s="170">
        <v>1.0895332925983464E-2</v>
      </c>
      <c r="AW319" s="94">
        <v>8.6323227335350153E-3</v>
      </c>
      <c r="AX319" s="92">
        <v>8.7321714424969978E-3</v>
      </c>
      <c r="AY319" s="92">
        <v>8.5646473951513959E-3</v>
      </c>
      <c r="AZ319" s="92">
        <v>8.3966126452452577E-3</v>
      </c>
      <c r="BA319" s="92">
        <v>8.3167810093311197E-3</v>
      </c>
      <c r="BB319" s="92">
        <v>8.2981700207719698E-3</v>
      </c>
      <c r="BC319" s="92">
        <v>8.2967251109608269E-3</v>
      </c>
      <c r="BD319" s="92">
        <v>8.2887724271843918E-3</v>
      </c>
      <c r="BE319" s="92">
        <v>8.3048686436862813E-3</v>
      </c>
      <c r="BF319" s="92">
        <v>8.3015113482937854E-3</v>
      </c>
      <c r="BG319" s="92">
        <v>8.3203787971069115E-3</v>
      </c>
      <c r="BH319" s="92">
        <v>8.3181513218658597E-3</v>
      </c>
      <c r="BI319" s="92">
        <v>8.3342554803591228E-3</v>
      </c>
      <c r="BJ319" s="92">
        <v>8.3339905112591213E-3</v>
      </c>
      <c r="BK319" s="92">
        <v>8.3344882316784066E-3</v>
      </c>
      <c r="BL319" s="562">
        <v>8.3072961792536402E-3</v>
      </c>
      <c r="BM319" s="562">
        <v>8.2913092394647833E-3</v>
      </c>
      <c r="BN319" s="562">
        <v>8.2826604385759645E-3</v>
      </c>
      <c r="BO319" s="562">
        <v>8.2805423398166038E-3</v>
      </c>
      <c r="BP319" s="562">
        <v>8.2627649032910762E-3</v>
      </c>
      <c r="BQ319" s="562">
        <v>8.2610885509628289E-3</v>
      </c>
      <c r="BR319" s="92"/>
      <c r="BS319" s="562">
        <v>1.3928053501675738E-2</v>
      </c>
      <c r="BT319" s="562">
        <v>7.4771781736383131E-3</v>
      </c>
      <c r="BU319" s="562">
        <v>7.7950603680019409E-3</v>
      </c>
      <c r="BV319" s="562">
        <v>2.8882398165967813E-2</v>
      </c>
      <c r="BW319" s="562">
        <v>2.4914071041435976E-2</v>
      </c>
      <c r="BX319" s="562">
        <v>1.430358429784151E-2</v>
      </c>
      <c r="BY319" s="562">
        <v>8.6019761293006439E-3</v>
      </c>
      <c r="BZ319" s="562">
        <v>1.2433497547496723E-2</v>
      </c>
      <c r="CA319" s="562">
        <v>1.6425488215287193E-2</v>
      </c>
      <c r="CB319" s="562">
        <v>1.190598887585604E-2</v>
      </c>
      <c r="CC319" s="92">
        <v>1.2189659440885204E-2</v>
      </c>
      <c r="CD319" s="92">
        <v>1.3730879006311055E-2</v>
      </c>
      <c r="CE319" s="92">
        <v>1.6491346184173493E-2</v>
      </c>
      <c r="CF319" s="92">
        <v>1.3283480730338228E-2</v>
      </c>
      <c r="CG319" s="92">
        <v>1.4515196376698979E-2</v>
      </c>
      <c r="CH319" s="92">
        <v>1.3396284883103921E-2</v>
      </c>
      <c r="CI319" s="92">
        <v>2.3232033388207493E-2</v>
      </c>
      <c r="CJ319" s="92">
        <v>3.1213448863266322E-3</v>
      </c>
      <c r="CK319" s="92">
        <v>4.5223995111283843E-3</v>
      </c>
      <c r="CL319" s="92">
        <v>7.4855099807152594E-3</v>
      </c>
      <c r="CM319" s="170">
        <v>4.2405993360793617E-3</v>
      </c>
      <c r="CN319" s="170">
        <v>-3.327928168274453E-4</v>
      </c>
      <c r="CO319" s="170">
        <v>1.7650817582671281E-4</v>
      </c>
      <c r="CP319" s="170">
        <v>8.0413436884660264E-4</v>
      </c>
      <c r="CQ319" s="170">
        <v>5.7575606008314361E-4</v>
      </c>
      <c r="CR319" s="170">
        <v>-1.1591525248794649E-3</v>
      </c>
      <c r="CS319" s="170">
        <v>-3.8281729211188967E-4</v>
      </c>
      <c r="CT319" s="170">
        <v>-3.1512664984967986E-4</v>
      </c>
      <c r="CU319" s="170">
        <v>-5.8764709046294997E-3</v>
      </c>
      <c r="CV319" s="170">
        <v>-5.4907592093795228E-3</v>
      </c>
      <c r="CW319" s="170">
        <v>-1.5911974107031563E-3</v>
      </c>
      <c r="CX319" s="170">
        <v>1.3014744131078927E-2</v>
      </c>
      <c r="CY319" s="94">
        <v>9.7660242592748046E-3</v>
      </c>
      <c r="CZ319" s="92">
        <v>8.6467870262006506E-3</v>
      </c>
      <c r="DA319" s="92">
        <v>8.3554105578365883E-3</v>
      </c>
      <c r="DB319" s="92">
        <v>8.2963476341501377E-3</v>
      </c>
      <c r="DC319" s="92">
        <v>8.2960631025019941E-3</v>
      </c>
      <c r="DD319" s="92">
        <v>8.3097657646023677E-3</v>
      </c>
      <c r="DE319" s="92">
        <v>8.3250177976833123E-3</v>
      </c>
      <c r="DF319" s="92">
        <v>8.3329922742806754E-3</v>
      </c>
      <c r="DG319" s="562">
        <v>8.2984092366240603E-3</v>
      </c>
      <c r="DH319" s="562">
        <v>8.2803068635272387E-3</v>
      </c>
      <c r="DI319" s="562">
        <v>8.2606350043546214E-3</v>
      </c>
    </row>
    <row r="320" spans="1:113" outlineLevel="1">
      <c r="C320" s="235"/>
      <c r="D320" s="235"/>
      <c r="E320" s="235"/>
      <c r="F320" s="235"/>
      <c r="G320" s="235"/>
      <c r="H320" s="235"/>
      <c r="I320" s="235"/>
      <c r="J320" s="235"/>
      <c r="K320" s="235"/>
      <c r="L320" s="235"/>
      <c r="M320" s="48"/>
      <c r="N320" s="48"/>
      <c r="O320" s="48"/>
      <c r="P320" s="48"/>
      <c r="Q320" s="48"/>
      <c r="R320" s="48"/>
      <c r="S320" s="48"/>
      <c r="T320" s="48"/>
      <c r="U320" s="48"/>
      <c r="V320" s="48"/>
      <c r="W320" s="48"/>
      <c r="X320" s="48"/>
      <c r="Y320" s="50"/>
      <c r="Z320" s="50"/>
      <c r="AA320" s="385"/>
      <c r="AB320" s="50"/>
      <c r="AC320" s="50"/>
      <c r="AD320" s="50"/>
      <c r="AE320" s="50"/>
      <c r="AF320" s="50"/>
      <c r="AG320" s="50"/>
      <c r="AH320" s="50"/>
      <c r="AI320" s="50"/>
      <c r="AJ320" s="50"/>
      <c r="AK320" s="50"/>
      <c r="AL320" s="50"/>
      <c r="AM320" s="50"/>
      <c r="AN320" s="50"/>
      <c r="AO320" s="50"/>
      <c r="AP320" s="50"/>
      <c r="AQ320" s="50"/>
      <c r="AR320" s="50"/>
      <c r="AS320" s="50"/>
      <c r="AT320" s="50"/>
      <c r="AU320" s="50"/>
      <c r="AV320" s="50"/>
      <c r="AW320" s="49"/>
      <c r="AX320" s="48"/>
      <c r="AY320" s="48"/>
      <c r="AZ320" s="48"/>
      <c r="BA320" s="48"/>
      <c r="BB320" s="48"/>
      <c r="BC320" s="48"/>
      <c r="BD320" s="48"/>
      <c r="BE320" s="48"/>
      <c r="BF320" s="48"/>
      <c r="BG320" s="48"/>
      <c r="BH320" s="48"/>
      <c r="BI320" s="48"/>
      <c r="BJ320" s="48"/>
      <c r="BK320" s="48"/>
      <c r="BL320" s="235"/>
      <c r="BM320" s="235"/>
      <c r="BN320" s="235"/>
      <c r="BO320" s="235"/>
      <c r="BP320" s="235"/>
      <c r="BQ320" s="235"/>
      <c r="BR320" s="48"/>
      <c r="BS320" s="235"/>
      <c r="BT320" s="235"/>
      <c r="BU320" s="235"/>
      <c r="BV320" s="235"/>
      <c r="BW320" s="235"/>
      <c r="BX320" s="235"/>
      <c r="BY320" s="235"/>
      <c r="BZ320" s="235"/>
      <c r="CA320" s="235"/>
      <c r="CB320" s="235"/>
      <c r="CC320" s="48"/>
      <c r="CD320" s="48"/>
      <c r="CE320" s="48"/>
      <c r="CF320" s="48"/>
      <c r="CG320" s="48"/>
      <c r="CH320" s="48"/>
      <c r="CI320" s="48"/>
      <c r="CJ320" s="48"/>
      <c r="CK320" s="48"/>
      <c r="CL320" s="48"/>
      <c r="CM320" s="50"/>
      <c r="CN320" s="50"/>
      <c r="CO320" s="50"/>
      <c r="CP320" s="50"/>
      <c r="CQ320" s="50"/>
      <c r="CR320" s="50"/>
      <c r="CS320" s="50"/>
      <c r="CT320" s="50"/>
      <c r="CU320" s="50"/>
      <c r="CV320" s="50"/>
      <c r="CW320" s="50"/>
      <c r="CX320" s="50"/>
      <c r="CY320" s="49"/>
      <c r="CZ320" s="48"/>
      <c r="DA320" s="48"/>
      <c r="DB320" s="48"/>
      <c r="DC320" s="48"/>
      <c r="DD320" s="48"/>
      <c r="DE320" s="48"/>
      <c r="DF320" s="48"/>
      <c r="DG320" s="235"/>
      <c r="DH320" s="235"/>
      <c r="DI320" s="235"/>
    </row>
    <row r="321" spans="1:113" outlineLevel="1">
      <c r="A321" s="1" t="s">
        <v>925</v>
      </c>
      <c r="B321" s="19" t="s">
        <v>582</v>
      </c>
      <c r="C321" s="235">
        <v>7.2534125017252191E-2</v>
      </c>
      <c r="D321" s="235">
        <v>6.3311944671456413E-2</v>
      </c>
      <c r="E321" s="235">
        <v>5.925618972603728E-2</v>
      </c>
      <c r="F321" s="235">
        <v>6.1344174788881586E-2</v>
      </c>
      <c r="G321" s="235">
        <v>6.1247043525117416E-2</v>
      </c>
      <c r="H321" s="235">
        <v>6.0757540969339038E-2</v>
      </c>
      <c r="I321" s="235">
        <v>6.3211226674824109E-2</v>
      </c>
      <c r="J321" s="235">
        <v>6.5128295784244394E-2</v>
      </c>
      <c r="K321" s="235">
        <v>6.7340787733413787E-2</v>
      </c>
      <c r="L321" s="235">
        <v>6.8975830665960178E-2</v>
      </c>
      <c r="M321" s="48">
        <v>6.9336708728458846E-2</v>
      </c>
      <c r="N321" s="48">
        <v>7.2026247484078626E-2</v>
      </c>
      <c r="O321" s="48">
        <v>6.9135748500927033E-2</v>
      </c>
      <c r="P321" s="48">
        <v>7.1159134741706459E-2</v>
      </c>
      <c r="Q321" s="48">
        <v>7.5222971724196563E-2</v>
      </c>
      <c r="R321" s="48">
        <v>7.3497875148101716E-2</v>
      </c>
      <c r="S321" s="48">
        <v>5.614753024217619E-2</v>
      </c>
      <c r="T321" s="48">
        <v>5.4289557290891126E-2</v>
      </c>
      <c r="U321" s="48">
        <v>5.9892128713284656E-2</v>
      </c>
      <c r="V321" s="48">
        <v>6.2029193981095035E-2</v>
      </c>
      <c r="W321" s="48">
        <v>6.3539011622611205E-2</v>
      </c>
      <c r="X321" s="48">
        <v>6.2238363542527091E-2</v>
      </c>
      <c r="Y321" s="50">
        <v>5.9427998695641145E-2</v>
      </c>
      <c r="Z321" s="50">
        <v>5.4355107122613711E-2</v>
      </c>
      <c r="AA321" s="385">
        <v>5.1981234122868869E-2</v>
      </c>
      <c r="AB321" s="50">
        <v>4.8374618001342962E-2</v>
      </c>
      <c r="AC321" s="50">
        <v>4.7009367477659124E-2</v>
      </c>
      <c r="AD321" s="50">
        <v>4.6413206094173966E-2</v>
      </c>
      <c r="AE321" s="50">
        <v>4.3932921317289195E-2</v>
      </c>
      <c r="AF321" s="50">
        <v>4.2899262259061668E-2</v>
      </c>
      <c r="AG321" s="50">
        <v>4.2650467417983805E-2</v>
      </c>
      <c r="AH321" s="50">
        <v>4.019171029945906E-2</v>
      </c>
      <c r="AI321" s="50">
        <v>3.9589810986813793E-2</v>
      </c>
      <c r="AJ321" s="50">
        <v>4.0024655851522331E-2</v>
      </c>
      <c r="AK321" s="50">
        <v>4.0171492795697442E-2</v>
      </c>
      <c r="AL321" s="50">
        <v>3.9894684515518482E-2</v>
      </c>
      <c r="AM321" s="50">
        <v>3.9619613356198458E-2</v>
      </c>
      <c r="AN321" s="50">
        <v>3.5968332384241623E-2</v>
      </c>
      <c r="AO321" s="50">
        <v>3.1307632003692513E-2</v>
      </c>
      <c r="AP321" s="50">
        <v>2.7481713129895474E-2</v>
      </c>
      <c r="AQ321" s="50">
        <v>2.6057311247724271E-2</v>
      </c>
      <c r="AR321" s="50">
        <v>2.361181676910808E-2</v>
      </c>
      <c r="AS321" s="50">
        <v>2.3700094216022666E-2</v>
      </c>
      <c r="AT321" s="50">
        <v>3.5390065129231416E-2</v>
      </c>
      <c r="AU321" s="50">
        <v>4.4636458053045718E-2</v>
      </c>
      <c r="AV321" s="50">
        <v>5.164760826742279E-2</v>
      </c>
      <c r="AW321" s="49">
        <v>5.5046975389256556E-2</v>
      </c>
      <c r="AX321" s="48">
        <v>5.7193030474857506E-2</v>
      </c>
      <c r="AY321" s="48">
        <v>5.3425663634400239E-2</v>
      </c>
      <c r="AZ321" s="48">
        <v>4.7876257498923123E-2</v>
      </c>
      <c r="BA321" s="48">
        <v>4.5985156127268167E-2</v>
      </c>
      <c r="BB321" s="48">
        <v>4.5809640417170748E-2</v>
      </c>
      <c r="BC321" s="48">
        <v>4.5680415289369974E-2</v>
      </c>
      <c r="BD321" s="48">
        <v>4.5559196422149596E-2</v>
      </c>
      <c r="BE321" s="48">
        <v>4.5416109585542028E-2</v>
      </c>
      <c r="BF321" s="48">
        <v>4.5296827606247619E-2</v>
      </c>
      <c r="BG321" s="48">
        <v>4.5156154789620491E-2</v>
      </c>
      <c r="BH321" s="48">
        <v>4.5126729449870409E-2</v>
      </c>
      <c r="BI321" s="48">
        <v>4.5097371454943788E-2</v>
      </c>
      <c r="BJ321" s="48">
        <v>4.5068079022389851E-2</v>
      </c>
      <c r="BK321" s="48">
        <v>4.5043873782272786E-2</v>
      </c>
      <c r="BL321" s="235">
        <v>4.5024651837380886E-2</v>
      </c>
      <c r="BM321" s="235">
        <v>4.5005431319524586E-2</v>
      </c>
      <c r="BN321" s="235">
        <v>4.4986212049812069E-2</v>
      </c>
      <c r="BO321" s="235">
        <v>4.4966993851315959E-2</v>
      </c>
      <c r="BP321" s="235">
        <v>4.4947776549066121E-2</v>
      </c>
      <c r="BQ321" s="235">
        <v>4.492855997004247E-2</v>
      </c>
      <c r="BR321" s="48"/>
      <c r="BS321" s="235">
        <v>0.11167061364085411</v>
      </c>
      <c r="BT321" s="235">
        <v>9.004590624399561E-2</v>
      </c>
      <c r="BU321" s="235">
        <v>7.9376931033421513E-2</v>
      </c>
      <c r="BV321" s="235">
        <v>8.373586877557003E-2</v>
      </c>
      <c r="BW321" s="235">
        <v>8.9935310915554526E-2</v>
      </c>
      <c r="BX321" s="235">
        <v>8.3077691003816442E-2</v>
      </c>
      <c r="BY321" s="235">
        <v>7.443840845690794E-2</v>
      </c>
      <c r="BZ321" s="235">
        <v>6.7777476350080079E-2</v>
      </c>
      <c r="CA321" s="235">
        <v>6.8456136819367769E-2</v>
      </c>
      <c r="CB321" s="235">
        <v>7.40939062431899E-2</v>
      </c>
      <c r="CC321" s="48">
        <v>6.1256760483430678E-2</v>
      </c>
      <c r="CD321" s="48">
        <v>6.103218280650935E-2</v>
      </c>
      <c r="CE321" s="48">
        <v>6.206446498101309E-2</v>
      </c>
      <c r="CF321" s="48">
        <v>6.6248536270876665E-2</v>
      </c>
      <c r="CG321" s="48">
        <v>6.8199835279216608E-2</v>
      </c>
      <c r="CH321" s="48">
        <v>6.9045172828912885E-2</v>
      </c>
      <c r="CI321" s="48">
        <v>7.3328206964604584E-2</v>
      </c>
      <c r="CJ321" s="48">
        <v>6.3638167349793578E-2</v>
      </c>
      <c r="CK321" s="48">
        <v>5.6947219558943218E-2</v>
      </c>
      <c r="CL321" s="48">
        <v>6.276868309331278E-2</v>
      </c>
      <c r="CM321" s="50">
        <v>6.0538318914846498E-2</v>
      </c>
      <c r="CN321" s="50">
        <v>5.305672230636755E-2</v>
      </c>
      <c r="CO321" s="50">
        <v>4.7615169043630307E-2</v>
      </c>
      <c r="CP321" s="50">
        <v>4.4420234825104071E-2</v>
      </c>
      <c r="CQ321" s="50">
        <v>4.6446087559132605E-2</v>
      </c>
      <c r="CR321" s="50">
        <v>4.0106871721292923E-2</v>
      </c>
      <c r="CS321" s="50">
        <v>4.0041464254929479E-2</v>
      </c>
      <c r="CT321" s="50">
        <v>3.9745775379564023E-2</v>
      </c>
      <c r="CU321" s="50">
        <v>3.3798235187287265E-2</v>
      </c>
      <c r="CV321" s="50">
        <v>2.6778793496143864E-2</v>
      </c>
      <c r="CW321" s="50">
        <v>2.348548247515311E-2</v>
      </c>
      <c r="CX321" s="50">
        <v>4.0014427376593741E-2</v>
      </c>
      <c r="CY321" s="49">
        <v>5.3341284876918013E-2</v>
      </c>
      <c r="CZ321" s="48">
        <v>5.530642126646132E-2</v>
      </c>
      <c r="DA321" s="48">
        <v>4.6923976798642908E-2</v>
      </c>
      <c r="DB321" s="48">
        <v>4.5738011296037703E-2</v>
      </c>
      <c r="DC321" s="48">
        <v>4.5482488362184284E-2</v>
      </c>
      <c r="DD321" s="48">
        <v>4.5218630951796804E-2</v>
      </c>
      <c r="DE321" s="48">
        <v>4.5104556422091262E-2</v>
      </c>
      <c r="DF321" s="48">
        <v>4.5049652543943615E-2</v>
      </c>
      <c r="DG321" s="235">
        <v>4.5011727114716502E-2</v>
      </c>
      <c r="DH321" s="235">
        <v>4.4969718790066573E-2</v>
      </c>
      <c r="DI321" s="235">
        <v>4.4931225843047665E-2</v>
      </c>
    </row>
    <row r="322" spans="1:113" outlineLevel="1">
      <c r="A322" s="1" t="s">
        <v>926</v>
      </c>
      <c r="B322" s="19" t="s">
        <v>481</v>
      </c>
      <c r="C322" s="235">
        <v>-4.4722793556416729E-2</v>
      </c>
      <c r="D322" s="235">
        <v>-3.5612231869584343E-2</v>
      </c>
      <c r="E322" s="235">
        <v>-3.174854836874786E-2</v>
      </c>
      <c r="F322" s="235">
        <v>-3.4840899272699302E-2</v>
      </c>
      <c r="G322" s="235">
        <v>-3.4365235343103429E-2</v>
      </c>
      <c r="H322" s="235">
        <v>-3.4754754247803298E-2</v>
      </c>
      <c r="I322" s="235">
        <v>-3.8639050991834727E-2</v>
      </c>
      <c r="J322" s="235">
        <v>-4.1312063996656948E-2</v>
      </c>
      <c r="K322" s="235">
        <v>-4.3571627958205149E-2</v>
      </c>
      <c r="L322" s="235">
        <v>-4.568092209388086E-2</v>
      </c>
      <c r="M322" s="48">
        <v>-4.7007821994659693E-2</v>
      </c>
      <c r="N322" s="48">
        <v>-5.0321840006169939E-2</v>
      </c>
      <c r="O322" s="48">
        <v>-4.9171444774262656E-2</v>
      </c>
      <c r="P322" s="48">
        <v>-5.1026381940174392E-2</v>
      </c>
      <c r="Q322" s="48">
        <v>-5.5712606703127526E-2</v>
      </c>
      <c r="R322" s="48">
        <v>-5.3863608659090657E-2</v>
      </c>
      <c r="S322" s="48">
        <v>-3.5085208022100391E-2</v>
      </c>
      <c r="T322" s="48">
        <v>-3.2783754749076972E-2</v>
      </c>
      <c r="U322" s="48">
        <v>-3.9363543831690072E-2</v>
      </c>
      <c r="V322" s="48">
        <v>-4.1406214745332938E-2</v>
      </c>
      <c r="W322" s="48">
        <v>-4.1822126863836663E-2</v>
      </c>
      <c r="X322" s="48">
        <v>-4.1021755673027356E-2</v>
      </c>
      <c r="Y322" s="50">
        <v>-3.8852029554994137E-2</v>
      </c>
      <c r="Z322" s="50">
        <v>-3.3393842366214066E-2</v>
      </c>
      <c r="AA322" s="385">
        <v>-3.0275390959062419E-2</v>
      </c>
      <c r="AB322" s="50">
        <v>-2.6976991499352527E-2</v>
      </c>
      <c r="AC322" s="50">
        <v>-2.5618077200857025E-2</v>
      </c>
      <c r="AD322" s="50">
        <v>-2.521237697062257E-2</v>
      </c>
      <c r="AE322" s="50">
        <v>-2.3249087972422301E-2</v>
      </c>
      <c r="AF322" s="50">
        <v>-2.1434348171832558E-2</v>
      </c>
      <c r="AG322" s="50">
        <v>-2.127372651711746E-2</v>
      </c>
      <c r="AH322" s="50">
        <v>-1.9199278258904467E-2</v>
      </c>
      <c r="AI322" s="50">
        <v>-1.8571792086167327E-2</v>
      </c>
      <c r="AJ322" s="50">
        <v>-1.8459657352160118E-2</v>
      </c>
      <c r="AK322" s="50">
        <v>-1.8795166898145088E-2</v>
      </c>
      <c r="AL322" s="50">
        <v>-1.8970361581347489E-2</v>
      </c>
      <c r="AM322" s="50">
        <v>-1.8718017529322638E-2</v>
      </c>
      <c r="AN322" s="50">
        <v>-1.4878158811392058E-2</v>
      </c>
      <c r="AO322" s="50">
        <v>-1.0914506486374511E-2</v>
      </c>
      <c r="AP322" s="50">
        <v>-6.8478600056191916E-3</v>
      </c>
      <c r="AQ322" s="50">
        <v>-5.1744404625416445E-3</v>
      </c>
      <c r="AR322" s="50">
        <v>-4.4295524249739386E-3</v>
      </c>
      <c r="AS322" s="50">
        <v>-4.9524599024696799E-3</v>
      </c>
      <c r="AT322" s="50">
        <v>-1.4404883579735059E-2</v>
      </c>
      <c r="AU322" s="50">
        <v>-2.4125242177483179E-2</v>
      </c>
      <c r="AV322" s="50">
        <v>-3.1761413227862738E-2</v>
      </c>
      <c r="AW322" s="49">
        <v>-3.5043269574157279E-2</v>
      </c>
      <c r="AX322" s="48">
        <v>-3.7267828557503005E-2</v>
      </c>
      <c r="AY322" s="48">
        <v>-3.3685352604848603E-2</v>
      </c>
      <c r="AZ322" s="48">
        <v>-2.8353387354754747E-2</v>
      </c>
      <c r="BA322" s="48">
        <v>-2.6683218990668882E-2</v>
      </c>
      <c r="BB322" s="48">
        <v>-2.6701829979228035E-2</v>
      </c>
      <c r="BC322" s="48">
        <v>-2.6703274889039175E-2</v>
      </c>
      <c r="BD322" s="48">
        <v>-2.6711227572815611E-2</v>
      </c>
      <c r="BE322" s="48">
        <v>-2.6695131356313722E-2</v>
      </c>
      <c r="BF322" s="48">
        <v>-2.6698488651706216E-2</v>
      </c>
      <c r="BG322" s="48">
        <v>-2.6679621202893092E-2</v>
      </c>
      <c r="BH322" s="48">
        <v>-2.6681848678134144E-2</v>
      </c>
      <c r="BI322" s="48">
        <v>-2.6665744519640881E-2</v>
      </c>
      <c r="BJ322" s="48">
        <v>-2.6666009488740882E-2</v>
      </c>
      <c r="BK322" s="48">
        <v>-2.6665511768321597E-2</v>
      </c>
      <c r="BL322" s="235">
        <v>-2.6692703820746365E-2</v>
      </c>
      <c r="BM322" s="235">
        <v>-2.6708690760535218E-2</v>
      </c>
      <c r="BN322" s="235">
        <v>-2.6717339561424039E-2</v>
      </c>
      <c r="BO322" s="235">
        <v>-2.67194576601834E-2</v>
      </c>
      <c r="BP322" s="235">
        <v>-2.6737235096708927E-2</v>
      </c>
      <c r="BQ322" s="235">
        <v>-2.6738911449037173E-2</v>
      </c>
      <c r="BR322" s="48"/>
      <c r="BS322" s="235">
        <v>-6.6463613164990942E-2</v>
      </c>
      <c r="BT322" s="235">
        <v>-4.8839488493028355E-2</v>
      </c>
      <c r="BU322" s="235">
        <v>-4.1321606298664722E-2</v>
      </c>
      <c r="BV322" s="235">
        <v>-4.3410101834032197E-2</v>
      </c>
      <c r="BW322" s="235">
        <v>-5.0340928958564027E-2</v>
      </c>
      <c r="BX322" s="235">
        <v>-4.7804249035491832E-2</v>
      </c>
      <c r="BY322" s="235">
        <v>-4.1188273870699357E-2</v>
      </c>
      <c r="BZ322" s="235">
        <v>-3.6912252452503271E-2</v>
      </c>
      <c r="CA322" s="235">
        <v>-3.9663061403033377E-2</v>
      </c>
      <c r="CB322" s="235">
        <v>-4.6237088047220855E-2</v>
      </c>
      <c r="CC322" s="48">
        <v>-3.3660125226239797E-2</v>
      </c>
      <c r="CD322" s="48">
        <v>-3.4347334560482931E-2</v>
      </c>
      <c r="CE322" s="48">
        <v>-3.6818974689815702E-2</v>
      </c>
      <c r="CF322" s="48">
        <v>-4.2467029916060578E-2</v>
      </c>
      <c r="CG322" s="48">
        <v>-4.5398498142160057E-2</v>
      </c>
      <c r="CH322" s="48">
        <v>-4.8700269464312329E-2</v>
      </c>
      <c r="CI322" s="48">
        <v>-5.3515831935162891E-2</v>
      </c>
      <c r="CJ322" s="48">
        <v>-4.3276924394335219E-2</v>
      </c>
      <c r="CK322" s="48">
        <v>-3.5930825071231118E-2</v>
      </c>
      <c r="CL322" s="48">
        <v>-4.1602173215608169E-2</v>
      </c>
      <c r="CM322" s="50">
        <v>-3.9643744643583882E-2</v>
      </c>
      <c r="CN322" s="50">
        <v>-3.1723780627729403E-2</v>
      </c>
      <c r="CO322" s="50">
        <v>-2.62207539060644E-2</v>
      </c>
      <c r="CP322" s="50">
        <v>-2.3481504458057797E-2</v>
      </c>
      <c r="CQ322" s="50">
        <v>-2.5025539010948707E-2</v>
      </c>
      <c r="CR322" s="50">
        <v>-1.9101553904149637E-2</v>
      </c>
      <c r="CS322" s="50">
        <v>-1.857034993898031E-2</v>
      </c>
      <c r="CT322" s="50">
        <v>-1.8832734795137258E-2</v>
      </c>
      <c r="CU322" s="50">
        <v>-1.3060756512569272E-2</v>
      </c>
      <c r="CV322" s="50">
        <v>-6.0198391099407075E-3</v>
      </c>
      <c r="CW322" s="50">
        <v>-4.5222854444050414E-3</v>
      </c>
      <c r="CX322" s="50">
        <v>-1.9268874404240778E-2</v>
      </c>
      <c r="CY322" s="49">
        <v>-3.3396806738938078E-2</v>
      </c>
      <c r="CZ322" s="48">
        <v>-3.5477185077607366E-2</v>
      </c>
      <c r="DA322" s="48">
        <v>-2.7514576871971563E-2</v>
      </c>
      <c r="DB322" s="48">
        <v>-2.6698050417854745E-2</v>
      </c>
      <c r="DC322" s="48">
        <v>-2.6699988767466529E-2</v>
      </c>
      <c r="DD322" s="48">
        <v>-2.6683861511389215E-2</v>
      </c>
      <c r="DE322" s="48">
        <v>-2.6668939600840699E-2</v>
      </c>
      <c r="DF322" s="48">
        <v>-2.6662199584616322E-2</v>
      </c>
      <c r="DG322" s="235">
        <v>-2.6699354338571554E-2</v>
      </c>
      <c r="DH322" s="235">
        <v>-2.671437912454621E-2</v>
      </c>
      <c r="DI322" s="235">
        <v>-2.6733987424020007E-2</v>
      </c>
    </row>
    <row r="323" spans="1:113" s="24" customFormat="1" outlineLevel="1">
      <c r="A323" s="1" t="s">
        <v>927</v>
      </c>
      <c r="B323" s="24" t="s">
        <v>482</v>
      </c>
      <c r="C323" s="562">
        <v>2.7811331460835462E-2</v>
      </c>
      <c r="D323" s="562">
        <v>2.769971280187207E-2</v>
      </c>
      <c r="E323" s="562">
        <v>2.750764135728942E-2</v>
      </c>
      <c r="F323" s="562">
        <v>2.6503275516182284E-2</v>
      </c>
      <c r="G323" s="562">
        <v>2.6881808182013987E-2</v>
      </c>
      <c r="H323" s="562">
        <v>2.6002786721535741E-2</v>
      </c>
      <c r="I323" s="562">
        <v>2.4572175682989382E-2</v>
      </c>
      <c r="J323" s="562">
        <v>2.3816231787587447E-2</v>
      </c>
      <c r="K323" s="562">
        <v>2.3769159775208638E-2</v>
      </c>
      <c r="L323" s="562">
        <v>2.3294908572079318E-2</v>
      </c>
      <c r="M323" s="92">
        <v>2.2328886733799153E-2</v>
      </c>
      <c r="N323" s="92">
        <v>2.1704407477908687E-2</v>
      </c>
      <c r="O323" s="92">
        <v>1.9964303726664377E-2</v>
      </c>
      <c r="P323" s="92">
        <v>2.0132752801532067E-2</v>
      </c>
      <c r="Q323" s="92">
        <v>1.9510365021069037E-2</v>
      </c>
      <c r="R323" s="92">
        <v>1.9634266489011058E-2</v>
      </c>
      <c r="S323" s="92">
        <v>2.1062322220075799E-2</v>
      </c>
      <c r="T323" s="92">
        <v>2.1505802541814154E-2</v>
      </c>
      <c r="U323" s="92">
        <v>2.0528584881594585E-2</v>
      </c>
      <c r="V323" s="92">
        <v>2.0622979235762097E-2</v>
      </c>
      <c r="W323" s="92">
        <v>2.1716884758774542E-2</v>
      </c>
      <c r="X323" s="92">
        <v>2.1216607869499735E-2</v>
      </c>
      <c r="Y323" s="170">
        <v>2.0575969140647007E-2</v>
      </c>
      <c r="Z323" s="170">
        <v>2.0961264756399645E-2</v>
      </c>
      <c r="AA323" s="496">
        <v>2.170584316380645E-2</v>
      </c>
      <c r="AB323" s="170">
        <v>2.1397626501990435E-2</v>
      </c>
      <c r="AC323" s="170">
        <v>2.1391290276802099E-2</v>
      </c>
      <c r="AD323" s="170">
        <v>2.1200829123551396E-2</v>
      </c>
      <c r="AE323" s="170">
        <v>2.0683833344866894E-2</v>
      </c>
      <c r="AF323" s="170">
        <v>2.1464914087229111E-2</v>
      </c>
      <c r="AG323" s="170">
        <v>2.1376740900866345E-2</v>
      </c>
      <c r="AH323" s="170">
        <v>2.0992432040554593E-2</v>
      </c>
      <c r="AI323" s="170">
        <v>2.1018018900646467E-2</v>
      </c>
      <c r="AJ323" s="170">
        <v>2.1564998499362213E-2</v>
      </c>
      <c r="AK323" s="170">
        <v>2.1376325897552353E-2</v>
      </c>
      <c r="AL323" s="170">
        <v>2.0924322934170993E-2</v>
      </c>
      <c r="AM323" s="170">
        <v>2.090159582687582E-2</v>
      </c>
      <c r="AN323" s="170">
        <v>2.1090173572849563E-2</v>
      </c>
      <c r="AO323" s="170">
        <v>2.0393125517318002E-2</v>
      </c>
      <c r="AP323" s="170">
        <v>2.0633853124276284E-2</v>
      </c>
      <c r="AQ323" s="170">
        <v>2.0882870785182625E-2</v>
      </c>
      <c r="AR323" s="170">
        <v>1.9182264344134142E-2</v>
      </c>
      <c r="AS323" s="170">
        <v>1.8747634313552988E-2</v>
      </c>
      <c r="AT323" s="170">
        <v>2.0985181549496357E-2</v>
      </c>
      <c r="AU323" s="170">
        <v>2.0511215875562538E-2</v>
      </c>
      <c r="AV323" s="170">
        <v>1.9886195039560052E-2</v>
      </c>
      <c r="AW323" s="94">
        <v>2.0003705815099276E-2</v>
      </c>
      <c r="AX323" s="92">
        <v>1.9925201917354501E-2</v>
      </c>
      <c r="AY323" s="92">
        <v>1.9740311029551635E-2</v>
      </c>
      <c r="AZ323" s="92">
        <v>1.9522870144168376E-2</v>
      </c>
      <c r="BA323" s="92">
        <v>1.9301937136599286E-2</v>
      </c>
      <c r="BB323" s="92">
        <v>1.9107810437942713E-2</v>
      </c>
      <c r="BC323" s="92">
        <v>1.89771404003308E-2</v>
      </c>
      <c r="BD323" s="92">
        <v>1.8847968849333985E-2</v>
      </c>
      <c r="BE323" s="92">
        <v>1.8720978229228306E-2</v>
      </c>
      <c r="BF323" s="92">
        <v>1.8598338954541403E-2</v>
      </c>
      <c r="BG323" s="92">
        <v>1.8476533586727399E-2</v>
      </c>
      <c r="BH323" s="92">
        <v>1.8444880771736265E-2</v>
      </c>
      <c r="BI323" s="92">
        <v>1.8431626935302908E-2</v>
      </c>
      <c r="BJ323" s="92">
        <v>1.8402069533648969E-2</v>
      </c>
      <c r="BK323" s="92">
        <v>1.837836201395119E-2</v>
      </c>
      <c r="BL323" s="562">
        <v>1.8331948016634521E-2</v>
      </c>
      <c r="BM323" s="562">
        <v>1.8296740558989368E-2</v>
      </c>
      <c r="BN323" s="562">
        <v>1.826887248838803E-2</v>
      </c>
      <c r="BO323" s="562">
        <v>1.8247536191132559E-2</v>
      </c>
      <c r="BP323" s="562">
        <v>1.8210541452357194E-2</v>
      </c>
      <c r="BQ323" s="562">
        <v>1.8189648521005297E-2</v>
      </c>
      <c r="BR323" s="92"/>
      <c r="BS323" s="562">
        <v>4.5207000475863166E-2</v>
      </c>
      <c r="BT323" s="562">
        <v>4.1206417750967256E-2</v>
      </c>
      <c r="BU323" s="562">
        <v>3.8055324734756792E-2</v>
      </c>
      <c r="BV323" s="562">
        <v>4.0325766941537833E-2</v>
      </c>
      <c r="BW323" s="562">
        <v>3.9594381956990499E-2</v>
      </c>
      <c r="BX323" s="562">
        <v>3.5273441968324611E-2</v>
      </c>
      <c r="BY323" s="562">
        <v>3.3250134586208582E-2</v>
      </c>
      <c r="BZ323" s="562">
        <v>3.0865223897576809E-2</v>
      </c>
      <c r="CA323" s="562">
        <v>2.8793075416334392E-2</v>
      </c>
      <c r="CB323" s="562">
        <v>2.7856818195969045E-2</v>
      </c>
      <c r="CC323" s="92">
        <v>2.7596635257190881E-2</v>
      </c>
      <c r="CD323" s="92">
        <v>2.6684848246026419E-2</v>
      </c>
      <c r="CE323" s="92">
        <v>2.5245490291197388E-2</v>
      </c>
      <c r="CF323" s="92">
        <v>2.3781506354816087E-2</v>
      </c>
      <c r="CG323" s="92">
        <v>2.2801337137056552E-2</v>
      </c>
      <c r="CH323" s="92">
        <v>2.0344903364600556E-2</v>
      </c>
      <c r="CI323" s="92">
        <v>1.9812375029441692E-2</v>
      </c>
      <c r="CJ323" s="92">
        <v>2.036124295545836E-2</v>
      </c>
      <c r="CK323" s="92">
        <v>2.1016394487712101E-2</v>
      </c>
      <c r="CL323" s="92">
        <v>2.116650987770461E-2</v>
      </c>
      <c r="CM323" s="170">
        <v>2.0894574271262616E-2</v>
      </c>
      <c r="CN323" s="170">
        <v>2.1332941678638147E-2</v>
      </c>
      <c r="CO323" s="170">
        <v>2.1394415137565907E-2</v>
      </c>
      <c r="CP323" s="170">
        <v>2.0938730367046274E-2</v>
      </c>
      <c r="CQ323" s="170">
        <v>2.1420548548183899E-2</v>
      </c>
      <c r="CR323" s="170">
        <v>2.1005317817143286E-2</v>
      </c>
      <c r="CS323" s="170">
        <v>2.1471114315949169E-2</v>
      </c>
      <c r="CT323" s="170">
        <v>2.0913040584426765E-2</v>
      </c>
      <c r="CU323" s="170">
        <v>2.0737478674717993E-2</v>
      </c>
      <c r="CV323" s="170">
        <v>2.0758954386203156E-2</v>
      </c>
      <c r="CW323" s="170">
        <v>1.8963197030748068E-2</v>
      </c>
      <c r="CX323" s="170">
        <v>2.0745552972352962E-2</v>
      </c>
      <c r="CY323" s="94">
        <v>1.9944478137979935E-2</v>
      </c>
      <c r="CZ323" s="92">
        <v>1.9829236188853953E-2</v>
      </c>
      <c r="DA323" s="92">
        <v>1.9409399926671345E-2</v>
      </c>
      <c r="DB323" s="92">
        <v>1.9039960878182959E-2</v>
      </c>
      <c r="DC323" s="92">
        <v>1.8782499594717755E-2</v>
      </c>
      <c r="DD323" s="92">
        <v>1.8534769440407588E-2</v>
      </c>
      <c r="DE323" s="92">
        <v>1.8435616821250563E-2</v>
      </c>
      <c r="DF323" s="92">
        <v>1.8387452959327293E-2</v>
      </c>
      <c r="DG323" s="562">
        <v>1.8312372776144947E-2</v>
      </c>
      <c r="DH323" s="562">
        <v>1.8255339665520363E-2</v>
      </c>
      <c r="DI323" s="562">
        <v>1.8197238419027657E-2</v>
      </c>
    </row>
    <row r="324" spans="1:113" outlineLevel="1">
      <c r="AW324" s="22"/>
      <c r="CY324" s="22"/>
      <c r="DC324" s="21"/>
      <c r="DD324" s="21"/>
      <c r="DE324" s="21"/>
      <c r="DF324" s="21"/>
      <c r="DG324" s="21"/>
      <c r="DH324" s="21"/>
      <c r="DI324" s="21"/>
    </row>
    <row r="325" spans="1:113" s="5" customFormat="1" ht="12.95" customHeight="1" outlineLevel="1">
      <c r="A325" s="96"/>
      <c r="B325" s="6" t="s">
        <v>483</v>
      </c>
      <c r="C325" s="568" t="s">
        <v>797</v>
      </c>
      <c r="D325" s="568" t="s">
        <v>797</v>
      </c>
      <c r="E325" s="568" t="s">
        <v>797</v>
      </c>
      <c r="F325" s="568" t="s">
        <v>797</v>
      </c>
      <c r="G325" s="568" t="s">
        <v>797</v>
      </c>
      <c r="H325" s="568" t="s">
        <v>797</v>
      </c>
      <c r="I325" s="568" t="s">
        <v>797</v>
      </c>
      <c r="J325" s="568" t="s">
        <v>797</v>
      </c>
      <c r="K325" s="568" t="s">
        <v>797</v>
      </c>
      <c r="L325" s="568" t="s">
        <v>797</v>
      </c>
      <c r="M325" s="97" t="s">
        <v>797</v>
      </c>
      <c r="N325" s="97" t="s">
        <v>797</v>
      </c>
      <c r="O325" s="97" t="s">
        <v>797</v>
      </c>
      <c r="P325" s="97" t="s">
        <v>797</v>
      </c>
      <c r="Q325" s="97" t="s">
        <v>797</v>
      </c>
      <c r="R325" s="97" t="s">
        <v>797</v>
      </c>
      <c r="S325" s="97" t="s">
        <v>797</v>
      </c>
      <c r="T325" s="97" t="s">
        <v>797</v>
      </c>
      <c r="U325" s="97" t="s">
        <v>797</v>
      </c>
      <c r="V325" s="97" t="s">
        <v>797</v>
      </c>
      <c r="W325" s="97" t="s">
        <v>797</v>
      </c>
      <c r="X325" s="97" t="s">
        <v>797</v>
      </c>
      <c r="Y325" s="100" t="s">
        <v>797</v>
      </c>
      <c r="Z325" s="100" t="s">
        <v>797</v>
      </c>
      <c r="AA325" s="100" t="s">
        <v>797</v>
      </c>
      <c r="AB325" s="100" t="s">
        <v>797</v>
      </c>
      <c r="AC325" s="100" t="s">
        <v>797</v>
      </c>
      <c r="AD325" s="100" t="s">
        <v>797</v>
      </c>
      <c r="AE325" s="100" t="s">
        <v>797</v>
      </c>
      <c r="AF325" s="100" t="s">
        <v>797</v>
      </c>
      <c r="AG325" s="100" t="s">
        <v>797</v>
      </c>
      <c r="AH325" s="100" t="s">
        <v>797</v>
      </c>
      <c r="AI325" s="100" t="s">
        <v>797</v>
      </c>
      <c r="AJ325" s="100" t="s">
        <v>797</v>
      </c>
      <c r="AK325" s="100" t="s">
        <v>797</v>
      </c>
      <c r="AL325" s="100" t="s">
        <v>797</v>
      </c>
      <c r="AM325" s="100" t="s">
        <v>797</v>
      </c>
      <c r="AN325" s="100" t="s">
        <v>797</v>
      </c>
      <c r="AO325" s="100" t="s">
        <v>797</v>
      </c>
      <c r="AP325" s="100" t="s">
        <v>797</v>
      </c>
      <c r="AQ325" s="100" t="s">
        <v>797</v>
      </c>
      <c r="AR325" s="100" t="s">
        <v>797</v>
      </c>
      <c r="AS325" s="100" t="s">
        <v>797</v>
      </c>
      <c r="AT325" s="100" t="s">
        <v>797</v>
      </c>
      <c r="AU325" s="100" t="s">
        <v>797</v>
      </c>
      <c r="AV325" s="100" t="s">
        <v>797</v>
      </c>
      <c r="AW325" s="98" t="s">
        <v>797</v>
      </c>
      <c r="AX325" s="97" t="s">
        <v>797</v>
      </c>
      <c r="AY325" s="97" t="s">
        <v>797</v>
      </c>
      <c r="AZ325" s="97" t="s">
        <v>797</v>
      </c>
      <c r="BA325" s="97" t="s">
        <v>797</v>
      </c>
      <c r="BB325" s="97" t="s">
        <v>797</v>
      </c>
      <c r="BC325" s="97" t="s">
        <v>797</v>
      </c>
      <c r="BD325" s="97" t="s">
        <v>797</v>
      </c>
      <c r="BE325" s="97" t="s">
        <v>797</v>
      </c>
      <c r="BF325" s="97" t="s">
        <v>797</v>
      </c>
      <c r="BG325" s="97" t="s">
        <v>797</v>
      </c>
      <c r="BH325" s="97" t="s">
        <v>797</v>
      </c>
      <c r="BI325" s="97" t="s">
        <v>797</v>
      </c>
      <c r="BJ325" s="97" t="s">
        <v>797</v>
      </c>
      <c r="BK325" s="97" t="s">
        <v>797</v>
      </c>
      <c r="BL325" s="568" t="s">
        <v>797</v>
      </c>
      <c r="BM325" s="568" t="s">
        <v>797</v>
      </c>
      <c r="BN325" s="568" t="s">
        <v>797</v>
      </c>
      <c r="BO325" s="568" t="s">
        <v>797</v>
      </c>
      <c r="BP325" s="568" t="s">
        <v>797</v>
      </c>
      <c r="BQ325" s="568" t="s">
        <v>797</v>
      </c>
      <c r="BR325" s="99"/>
      <c r="BS325" s="568" t="s">
        <v>797</v>
      </c>
      <c r="BT325" s="568" t="s">
        <v>797</v>
      </c>
      <c r="BU325" s="568" t="s">
        <v>797</v>
      </c>
      <c r="BV325" s="568" t="s">
        <v>797</v>
      </c>
      <c r="BW325" s="568" t="s">
        <v>797</v>
      </c>
      <c r="BX325" s="568" t="s">
        <v>797</v>
      </c>
      <c r="BY325" s="568" t="s">
        <v>797</v>
      </c>
      <c r="BZ325" s="568" t="s">
        <v>797</v>
      </c>
      <c r="CA325" s="568" t="s">
        <v>797</v>
      </c>
      <c r="CB325" s="568" t="s">
        <v>797</v>
      </c>
      <c r="CC325" s="97" t="s">
        <v>797</v>
      </c>
      <c r="CD325" s="97" t="s">
        <v>797</v>
      </c>
      <c r="CE325" s="97" t="s">
        <v>797</v>
      </c>
      <c r="CF325" s="97" t="s">
        <v>797</v>
      </c>
      <c r="CG325" s="97" t="s">
        <v>797</v>
      </c>
      <c r="CH325" s="97" t="s">
        <v>797</v>
      </c>
      <c r="CI325" s="97" t="s">
        <v>797</v>
      </c>
      <c r="CJ325" s="97" t="s">
        <v>797</v>
      </c>
      <c r="CK325" s="97" t="s">
        <v>797</v>
      </c>
      <c r="CL325" s="97" t="s">
        <v>797</v>
      </c>
      <c r="CM325" s="100" t="s">
        <v>797</v>
      </c>
      <c r="CN325" s="100" t="s">
        <v>797</v>
      </c>
      <c r="CO325" s="100" t="s">
        <v>797</v>
      </c>
      <c r="CP325" s="100" t="s">
        <v>797</v>
      </c>
      <c r="CQ325" s="100" t="s">
        <v>797</v>
      </c>
      <c r="CR325" s="100" t="s">
        <v>797</v>
      </c>
      <c r="CS325" s="100" t="s">
        <v>797</v>
      </c>
      <c r="CT325" s="100" t="s">
        <v>797</v>
      </c>
      <c r="CU325" s="100" t="s">
        <v>797</v>
      </c>
      <c r="CV325" s="100" t="s">
        <v>797</v>
      </c>
      <c r="CW325" s="100" t="s">
        <v>797</v>
      </c>
      <c r="CX325" s="100" t="s">
        <v>797</v>
      </c>
      <c r="CY325" s="98" t="s">
        <v>797</v>
      </c>
      <c r="CZ325" s="97" t="s">
        <v>797</v>
      </c>
      <c r="DA325" s="97" t="s">
        <v>797</v>
      </c>
      <c r="DB325" s="97" t="s">
        <v>797</v>
      </c>
      <c r="DC325" s="97" t="s">
        <v>797</v>
      </c>
      <c r="DD325" s="97" t="s">
        <v>797</v>
      </c>
      <c r="DE325" s="97" t="s">
        <v>797</v>
      </c>
      <c r="DF325" s="97" t="s">
        <v>797</v>
      </c>
      <c r="DG325" s="568" t="s">
        <v>797</v>
      </c>
      <c r="DH325" s="568" t="s">
        <v>797</v>
      </c>
      <c r="DI325" s="568" t="s">
        <v>797</v>
      </c>
    </row>
    <row r="326" spans="1:113">
      <c r="AW326" s="22"/>
      <c r="CY326" s="22"/>
    </row>
    <row r="327" spans="1:113" s="36" customFormat="1" collapsed="1">
      <c r="A327" s="1" t="s">
        <v>241</v>
      </c>
      <c r="B327" s="2" t="s">
        <v>484</v>
      </c>
      <c r="C327" s="79">
        <v>2253</v>
      </c>
      <c r="D327" s="79">
        <v>2349</v>
      </c>
      <c r="E327" s="79">
        <v>2361</v>
      </c>
      <c r="F327" s="79">
        <v>2454</v>
      </c>
      <c r="G327" s="79">
        <v>2572</v>
      </c>
      <c r="H327" s="79">
        <v>2671</v>
      </c>
      <c r="I327" s="79">
        <v>2739</v>
      </c>
      <c r="J327" s="79">
        <v>2958</v>
      </c>
      <c r="K327" s="79">
        <v>3068</v>
      </c>
      <c r="L327" s="79">
        <v>3255</v>
      </c>
      <c r="M327" s="79">
        <v>3259</v>
      </c>
      <c r="N327" s="79">
        <v>3485</v>
      </c>
      <c r="O327" s="79">
        <v>3551</v>
      </c>
      <c r="P327" s="79">
        <v>3899</v>
      </c>
      <c r="Q327" s="79">
        <v>4008</v>
      </c>
      <c r="R327" s="79">
        <v>5073</v>
      </c>
      <c r="S327" s="79">
        <v>5643</v>
      </c>
      <c r="T327" s="79">
        <v>6062</v>
      </c>
      <c r="U327" s="79">
        <v>5806</v>
      </c>
      <c r="V327" s="79">
        <v>6177</v>
      </c>
      <c r="W327" s="79">
        <v>6468</v>
      </c>
      <c r="X327" s="79">
        <v>6644</v>
      </c>
      <c r="Y327" s="79">
        <v>6513</v>
      </c>
      <c r="Z327" s="79">
        <v>6862</v>
      </c>
      <c r="AA327" s="79">
        <v>7082</v>
      </c>
      <c r="AB327" s="79">
        <v>7444</v>
      </c>
      <c r="AC327" s="79">
        <v>7647</v>
      </c>
      <c r="AD327" s="79">
        <v>7901</v>
      </c>
      <c r="AE327" s="79">
        <v>7926</v>
      </c>
      <c r="AF327" s="79">
        <v>8427</v>
      </c>
      <c r="AG327" s="79">
        <v>8508</v>
      </c>
      <c r="AH327" s="79">
        <v>8710</v>
      </c>
      <c r="AI327" s="79">
        <v>8824</v>
      </c>
      <c r="AJ327" s="79">
        <v>9257</v>
      </c>
      <c r="AK327" s="79">
        <v>9085</v>
      </c>
      <c r="AL327" s="79">
        <v>9186.4247240618115</v>
      </c>
      <c r="AM327" s="79">
        <v>9037.5752759381903</v>
      </c>
      <c r="AN327" s="79">
        <v>9350</v>
      </c>
      <c r="AO327" s="79">
        <v>9260</v>
      </c>
      <c r="AP327" s="79">
        <v>9600</v>
      </c>
      <c r="AQ327" s="79">
        <v>9702</v>
      </c>
      <c r="AR327" s="79">
        <v>9748</v>
      </c>
      <c r="AS327" s="79">
        <v>9725</v>
      </c>
      <c r="AT327" s="79">
        <v>11637</v>
      </c>
      <c r="AU327" s="79">
        <v>11419</v>
      </c>
      <c r="AV327" s="79">
        <v>11404</v>
      </c>
      <c r="AW327" s="80">
        <v>11420</v>
      </c>
      <c r="AX327" s="79">
        <v>11782.432648260907</v>
      </c>
      <c r="AY327" s="79">
        <v>11720.117583930663</v>
      </c>
      <c r="AZ327" s="79">
        <v>12026.143722893627</v>
      </c>
      <c r="BA327" s="79">
        <v>11911.167182628626</v>
      </c>
      <c r="BB327" s="79">
        <v>12166.741414447944</v>
      </c>
      <c r="BC327" s="79">
        <v>12079.826566952561</v>
      </c>
      <c r="BD327" s="79">
        <v>12374.658709078911</v>
      </c>
      <c r="BE327" s="79">
        <v>12369.474316284206</v>
      </c>
      <c r="BF327" s="79">
        <v>12674.897568306787</v>
      </c>
      <c r="BG327" s="79">
        <v>12603.08010221224</v>
      </c>
      <c r="BH327" s="79">
        <v>13013.928174689809</v>
      </c>
      <c r="BI327" s="79">
        <v>13016.84668660281</v>
      </c>
      <c r="BJ327" s="79">
        <v>13443.375119344175</v>
      </c>
      <c r="BK327" s="79">
        <v>13449.867949847343</v>
      </c>
      <c r="BL327" s="79">
        <v>13861.725379313444</v>
      </c>
      <c r="BM327" s="79">
        <v>13947.107869669504</v>
      </c>
      <c r="BN327" s="79">
        <v>14388.210495971736</v>
      </c>
      <c r="BO327" s="79">
        <v>14408.266574536148</v>
      </c>
      <c r="BP327" s="79">
        <v>14897.832113785178</v>
      </c>
      <c r="BQ327" s="79">
        <v>14919.026924207235</v>
      </c>
      <c r="BR327" s="79"/>
      <c r="BS327" s="79">
        <v>3249</v>
      </c>
      <c r="BT327" s="79">
        <v>2981</v>
      </c>
      <c r="BU327" s="79">
        <v>2844</v>
      </c>
      <c r="BV327" s="79">
        <v>3164</v>
      </c>
      <c r="BW327" s="79">
        <v>3397</v>
      </c>
      <c r="BX327" s="79">
        <v>3392</v>
      </c>
      <c r="BY327" s="79">
        <v>3397</v>
      </c>
      <c r="BZ327" s="79">
        <v>3527</v>
      </c>
      <c r="CA327" s="79">
        <v>3719</v>
      </c>
      <c r="CB327" s="79">
        <v>4474</v>
      </c>
      <c r="CC327" s="79">
        <v>4710</v>
      </c>
      <c r="CD327" s="79">
        <v>5026</v>
      </c>
      <c r="CE327" s="79">
        <v>5410</v>
      </c>
      <c r="CF327" s="79">
        <v>6026</v>
      </c>
      <c r="CG327" s="79">
        <v>6514</v>
      </c>
      <c r="CH327" s="79">
        <v>7036</v>
      </c>
      <c r="CI327" s="79">
        <v>7907</v>
      </c>
      <c r="CJ327" s="79">
        <v>10716</v>
      </c>
      <c r="CK327" s="79">
        <v>11868</v>
      </c>
      <c r="CL327" s="79">
        <v>12645</v>
      </c>
      <c r="CM327" s="79">
        <v>13157</v>
      </c>
      <c r="CN327" s="79">
        <v>13944</v>
      </c>
      <c r="CO327" s="79">
        <v>15091</v>
      </c>
      <c r="CP327" s="79">
        <v>15827</v>
      </c>
      <c r="CQ327" s="79">
        <v>16935</v>
      </c>
      <c r="CR327" s="79">
        <v>17534</v>
      </c>
      <c r="CS327" s="79">
        <v>18342</v>
      </c>
      <c r="CT327" s="79">
        <v>18224</v>
      </c>
      <c r="CU327" s="79">
        <v>18610</v>
      </c>
      <c r="CV327" s="79">
        <v>19302</v>
      </c>
      <c r="CW327" s="79">
        <v>19473</v>
      </c>
      <c r="CX327" s="79">
        <v>23056</v>
      </c>
      <c r="CY327" s="80">
        <v>22824</v>
      </c>
      <c r="CZ327" s="79">
        <v>23502.55023219157</v>
      </c>
      <c r="DA327" s="79">
        <v>23937.310905522252</v>
      </c>
      <c r="DB327" s="79">
        <v>24246.567981400505</v>
      </c>
      <c r="DC327" s="79">
        <v>24744.133025363117</v>
      </c>
      <c r="DD327" s="79">
        <v>25277.977670519027</v>
      </c>
      <c r="DE327" s="79">
        <v>26030.774861292619</v>
      </c>
      <c r="DF327" s="79">
        <v>26893.243069191518</v>
      </c>
      <c r="DG327" s="79">
        <v>27808.833248982948</v>
      </c>
      <c r="DH327" s="79">
        <v>28796.477070507884</v>
      </c>
      <c r="DI327" s="79">
        <v>29816.859037992414</v>
      </c>
    </row>
    <row r="328" spans="1:113" outlineLevel="1">
      <c r="AW328" s="22"/>
      <c r="CY328" s="22"/>
    </row>
    <row r="329" spans="1:113" s="24" customFormat="1" outlineLevel="1">
      <c r="A329" s="1"/>
      <c r="B329" s="24" t="s">
        <v>440</v>
      </c>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c r="AD329" s="13"/>
      <c r="AE329" s="13"/>
      <c r="AF329" s="13"/>
      <c r="AG329" s="13"/>
      <c r="AH329" s="13"/>
      <c r="AI329" s="13"/>
      <c r="AJ329" s="13"/>
      <c r="AK329" s="13"/>
      <c r="AL329" s="13"/>
      <c r="AM329" s="13"/>
      <c r="AN329" s="13"/>
      <c r="AO329" s="13"/>
      <c r="AP329" s="13"/>
      <c r="AQ329" s="13"/>
      <c r="AR329" s="13"/>
      <c r="AS329" s="13"/>
      <c r="AT329" s="13"/>
      <c r="AU329" s="13"/>
      <c r="AV329" s="13"/>
      <c r="AW329" s="23"/>
      <c r="AX329" s="82"/>
      <c r="AY329" s="384"/>
      <c r="AZ329" s="13"/>
      <c r="BA329" s="13"/>
      <c r="BB329" s="13"/>
      <c r="BC329" s="13"/>
      <c r="BD329" s="13"/>
      <c r="BE329" s="13"/>
      <c r="BF329" s="13"/>
      <c r="BG329" s="13"/>
      <c r="BH329" s="13"/>
      <c r="BI329" s="13"/>
      <c r="BJ329" s="13"/>
      <c r="BK329" s="13"/>
      <c r="BL329" s="13"/>
      <c r="BM329" s="13"/>
      <c r="BN329" s="13"/>
      <c r="BO329" s="13"/>
      <c r="BP329" s="13"/>
      <c r="BQ329" s="13"/>
      <c r="BR329" s="13"/>
      <c r="BS329" s="13"/>
      <c r="BT329" s="13"/>
      <c r="BU329" s="13"/>
      <c r="BV329" s="13"/>
      <c r="BW329" s="13"/>
      <c r="BX329" s="13"/>
      <c r="BY329" s="13"/>
      <c r="BZ329" s="13"/>
      <c r="CA329" s="13"/>
      <c r="CB329" s="13"/>
      <c r="CC329" s="13"/>
      <c r="CD329" s="13"/>
      <c r="CE329" s="13"/>
      <c r="CF329" s="13"/>
      <c r="CG329" s="13"/>
      <c r="CH329" s="13"/>
      <c r="CI329" s="13"/>
      <c r="CJ329" s="13"/>
      <c r="CK329" s="13"/>
      <c r="CL329" s="13"/>
      <c r="CM329" s="13"/>
      <c r="CN329" s="13"/>
      <c r="CO329" s="13"/>
      <c r="CP329" s="13"/>
      <c r="CQ329" s="13"/>
      <c r="CR329" s="13"/>
      <c r="CS329" s="13"/>
      <c r="CT329" s="13"/>
      <c r="CU329" s="13"/>
      <c r="CV329" s="13"/>
      <c r="CW329" s="13"/>
      <c r="CX329" s="13"/>
      <c r="CY329" s="23"/>
      <c r="CZ329" s="13"/>
      <c r="DA329" s="13"/>
      <c r="DB329" s="13"/>
    </row>
    <row r="330" spans="1:113" outlineLevel="1">
      <c r="A330" s="1" t="s">
        <v>227</v>
      </c>
      <c r="B330" s="19" t="s">
        <v>164</v>
      </c>
      <c r="C330" s="55">
        <v>529.87980569091917</v>
      </c>
      <c r="D330" s="55">
        <v>544.44358964927733</v>
      </c>
      <c r="E330" s="55">
        <v>441.91888360126245</v>
      </c>
      <c r="F330" s="55">
        <v>526.75359852046995</v>
      </c>
      <c r="G330" s="55">
        <v>592.88533440345054</v>
      </c>
      <c r="H330" s="55">
        <v>586.51779390082072</v>
      </c>
      <c r="I330" s="55">
        <v>154.61064375587452</v>
      </c>
      <c r="J330" s="55">
        <v>589.59058373941843</v>
      </c>
      <c r="K330" s="55">
        <v>527.6787043812169</v>
      </c>
      <c r="L330" s="55">
        <v>584.55834676414202</v>
      </c>
      <c r="M330" s="55">
        <v>561.34540000202492</v>
      </c>
      <c r="N330" s="55">
        <v>569.00553936117819</v>
      </c>
      <c r="O330" s="55">
        <v>673.93108526737512</v>
      </c>
      <c r="P330" s="55">
        <v>490.83520340162539</v>
      </c>
      <c r="Q330" s="55">
        <v>587.30910024531522</v>
      </c>
      <c r="R330" s="55">
        <v>1734.6437111644605</v>
      </c>
      <c r="S330" s="55">
        <v>2200.4293903134567</v>
      </c>
      <c r="T330" s="55">
        <v>2081.6924538734024</v>
      </c>
      <c r="U330" s="55">
        <v>2359.9125876298299</v>
      </c>
      <c r="V330" s="55">
        <v>2793.7056694249709</v>
      </c>
      <c r="W330" s="55">
        <v>3061.5094083872436</v>
      </c>
      <c r="X330" s="55">
        <v>3282.1120135148794</v>
      </c>
      <c r="Y330" s="55">
        <v>3751.6818296779666</v>
      </c>
      <c r="Z330" s="55">
        <v>4035.5063352091252</v>
      </c>
      <c r="AA330" s="55">
        <v>3925.1239949674291</v>
      </c>
      <c r="AB330" s="55">
        <v>4038.8356006156696</v>
      </c>
      <c r="AC330" s="55">
        <v>3944.6100651482238</v>
      </c>
      <c r="AD330" s="55">
        <v>4081.2333029745719</v>
      </c>
      <c r="AE330" s="55">
        <v>4362.5346187577052</v>
      </c>
      <c r="AF330" s="55">
        <v>4362.3614397540459</v>
      </c>
      <c r="AG330" s="55">
        <v>4525.845298054508</v>
      </c>
      <c r="AH330" s="55">
        <v>4931.2467556678175</v>
      </c>
      <c r="AI330" s="55">
        <v>5026.6349261715732</v>
      </c>
      <c r="AJ330" s="55">
        <v>5178.338663579897</v>
      </c>
      <c r="AK330" s="55">
        <v>4792.8032217791215</v>
      </c>
      <c r="AL330" s="55">
        <v>5066.883915726964</v>
      </c>
      <c r="AM330" s="55">
        <v>5717.5074727454585</v>
      </c>
      <c r="AN330" s="55">
        <v>6235.5540378810128</v>
      </c>
      <c r="AO330" s="55">
        <v>6558.4578621715236</v>
      </c>
      <c r="AP330" s="55">
        <v>6788.3367052267104</v>
      </c>
      <c r="AQ330" s="55">
        <v>6518.8715059869901</v>
      </c>
      <c r="AR330" s="55">
        <v>6506.4330646863327</v>
      </c>
      <c r="AS330" s="55">
        <v>5666.5267410756369</v>
      </c>
      <c r="AT330" s="55">
        <v>5350.4595885633826</v>
      </c>
      <c r="AU330" s="55">
        <v>5447.0747289144674</v>
      </c>
      <c r="AV330" s="55">
        <v>5511.5752041821306</v>
      </c>
      <c r="AW330" s="56">
        <v>5474.2829331498288</v>
      </c>
      <c r="AX330" s="55">
        <v>5518.3518863220315</v>
      </c>
      <c r="AY330" s="55">
        <v>5526.3803731506687</v>
      </c>
      <c r="AZ330" s="55">
        <v>5707.7948990945561</v>
      </c>
      <c r="BA330" s="55">
        <v>5718.2564640061155</v>
      </c>
      <c r="BB330" s="55">
        <v>5888.5489684080194</v>
      </c>
      <c r="BC330" s="55">
        <v>5838.3021845596577</v>
      </c>
      <c r="BD330" s="55">
        <v>5965.6136547768383</v>
      </c>
      <c r="BE330" s="55">
        <v>5932.3685778353019</v>
      </c>
      <c r="BF330" s="55">
        <v>6061.5027834657149</v>
      </c>
      <c r="BG330" s="55">
        <v>5994.6039781170239</v>
      </c>
      <c r="BH330" s="55">
        <v>6204.1469830206943</v>
      </c>
      <c r="BI330" s="55">
        <v>6213.3406184583964</v>
      </c>
      <c r="BJ330" s="55">
        <v>6430.5296218411968</v>
      </c>
      <c r="BK330" s="55">
        <v>6440.0587231304398</v>
      </c>
      <c r="BL330" s="55">
        <v>6646.9618648146234</v>
      </c>
      <c r="BM330" s="55">
        <v>6693.5896520500264</v>
      </c>
      <c r="BN330" s="55">
        <v>6908.3776904467632</v>
      </c>
      <c r="BO330" s="55">
        <v>6918.6148924546696</v>
      </c>
      <c r="BP330" s="55">
        <v>7160.4569490156136</v>
      </c>
      <c r="BQ330" s="55">
        <v>7171.0676954948276</v>
      </c>
      <c r="BR330" s="55"/>
      <c r="BS330" s="55"/>
      <c r="BT330" s="55"/>
      <c r="BU330" s="55"/>
      <c r="BV330" s="55"/>
      <c r="BW330" s="55"/>
      <c r="BX330" s="55"/>
      <c r="BY330" s="55"/>
      <c r="BZ330" s="55"/>
      <c r="CA330" s="55"/>
      <c r="CB330" s="55"/>
      <c r="CC330" s="55">
        <v>986.36247325053978</v>
      </c>
      <c r="CD330" s="55">
        <v>1119.6389329239205</v>
      </c>
      <c r="CE330" s="55">
        <v>741.12843765669527</v>
      </c>
      <c r="CF330" s="55">
        <v>1117.2692881206353</v>
      </c>
      <c r="CG330" s="55">
        <v>1145.9037467661669</v>
      </c>
      <c r="CH330" s="55">
        <v>1242.9366246285533</v>
      </c>
      <c r="CI330" s="55">
        <v>1078.1443036469407</v>
      </c>
      <c r="CJ330" s="55">
        <v>3935.0731014779171</v>
      </c>
      <c r="CK330" s="55">
        <v>4441.6050415032323</v>
      </c>
      <c r="CL330" s="55">
        <v>5855.2150778122141</v>
      </c>
      <c r="CM330" s="55">
        <v>7033.793843192846</v>
      </c>
      <c r="CN330" s="55">
        <v>7960.6303301765547</v>
      </c>
      <c r="CO330" s="55">
        <v>7983.445665763893</v>
      </c>
      <c r="CP330" s="55">
        <v>8443.7679217322766</v>
      </c>
      <c r="CQ330" s="55">
        <v>8888.206737808554</v>
      </c>
      <c r="CR330" s="55">
        <v>9957.8816818393898</v>
      </c>
      <c r="CS330" s="55">
        <v>9971.1418853590185</v>
      </c>
      <c r="CT330" s="55">
        <v>10784.391388472422</v>
      </c>
      <c r="CU330" s="55">
        <v>12794.011900052537</v>
      </c>
      <c r="CV330" s="55">
        <v>13307.2082112137</v>
      </c>
      <c r="CW330" s="55">
        <v>12172.95980576197</v>
      </c>
      <c r="CX330" s="55">
        <v>10797.53431747785</v>
      </c>
      <c r="CY330" s="56">
        <v>10985.858137331959</v>
      </c>
      <c r="CZ330" s="55">
        <v>11044.732259472701</v>
      </c>
      <c r="DA330" s="55">
        <v>11426.051363100672</v>
      </c>
      <c r="DB330" s="55">
        <v>11726.851152967676</v>
      </c>
      <c r="DC330" s="55">
        <v>11897.982232612139</v>
      </c>
      <c r="DD330" s="55">
        <v>12056.106761582738</v>
      </c>
      <c r="DE330" s="55">
        <v>12417.48760147909</v>
      </c>
      <c r="DF330" s="55">
        <v>12870.588344971637</v>
      </c>
      <c r="DG330" s="55">
        <v>13340.551516864649</v>
      </c>
      <c r="DH330" s="55">
        <v>13826.992582901432</v>
      </c>
      <c r="DI330" s="55">
        <v>14331.524644510442</v>
      </c>
    </row>
    <row r="331" spans="1:113" outlineLevel="1">
      <c r="A331" s="1" t="s">
        <v>192</v>
      </c>
      <c r="B331" s="19" t="s">
        <v>165</v>
      </c>
      <c r="C331" s="55">
        <v>379.53118395497091</v>
      </c>
      <c r="D331" s="55">
        <v>361.01780547775519</v>
      </c>
      <c r="E331" s="55">
        <v>273.94529129099766</v>
      </c>
      <c r="F331" s="55">
        <v>276.45543307552134</v>
      </c>
      <c r="G331" s="55">
        <v>263.8910930520089</v>
      </c>
      <c r="H331" s="55">
        <v>244.44368193652122</v>
      </c>
      <c r="I331" s="55">
        <v>251.1575212108545</v>
      </c>
      <c r="J331" s="55">
        <v>267.34816106019281</v>
      </c>
      <c r="K331" s="55">
        <v>239.06109162337239</v>
      </c>
      <c r="L331" s="55">
        <v>276.89888630144134</v>
      </c>
      <c r="M331" s="55">
        <v>284.92258165308147</v>
      </c>
      <c r="N331" s="55">
        <v>303.2012681700034</v>
      </c>
      <c r="O331" s="55">
        <v>324.40792078649679</v>
      </c>
      <c r="P331" s="55">
        <v>304.31101482611052</v>
      </c>
      <c r="Q331" s="55">
        <v>315.89400073061358</v>
      </c>
      <c r="R331" s="55">
        <v>681.96753251190864</v>
      </c>
      <c r="S331" s="55">
        <v>807.06792040647372</v>
      </c>
      <c r="T331" s="55">
        <v>838.84928380974623</v>
      </c>
      <c r="U331" s="55">
        <v>867.59060167709902</v>
      </c>
      <c r="V331" s="55">
        <v>1109.3188299338669</v>
      </c>
      <c r="W331" s="55">
        <v>1191.0352287207952</v>
      </c>
      <c r="X331" s="55">
        <v>1291.1322584608386</v>
      </c>
      <c r="Y331" s="55">
        <v>1350.311261021895</v>
      </c>
      <c r="Z331" s="55">
        <v>1430.4364193549122</v>
      </c>
      <c r="AA331" s="55">
        <v>1391.1926718871287</v>
      </c>
      <c r="AB331" s="55">
        <v>1406.7745651054795</v>
      </c>
      <c r="AC331" s="55">
        <v>1361.9013221128221</v>
      </c>
      <c r="AD331" s="55">
        <v>1350.3825346288779</v>
      </c>
      <c r="AE331" s="55">
        <v>1373.6016702907925</v>
      </c>
      <c r="AF331" s="55">
        <v>1276.7622235569265</v>
      </c>
      <c r="AG331" s="55">
        <v>1278.1087005148379</v>
      </c>
      <c r="AH331" s="55">
        <v>1342.9467691867221</v>
      </c>
      <c r="AI331" s="55">
        <v>1329.0228256409669</v>
      </c>
      <c r="AJ331" s="55">
        <v>1356.3258717206045</v>
      </c>
      <c r="AK331" s="55">
        <v>1258.0413704824557</v>
      </c>
      <c r="AL331" s="55">
        <v>1292.3097003416015</v>
      </c>
      <c r="AM331" s="55">
        <v>1393.162124854663</v>
      </c>
      <c r="AN331" s="55">
        <v>1437.066134809932</v>
      </c>
      <c r="AO331" s="55">
        <v>1467.7374225814929</v>
      </c>
      <c r="AP331" s="55">
        <v>1484.3798572822823</v>
      </c>
      <c r="AQ331" s="55">
        <v>1474.1874849631208</v>
      </c>
      <c r="AR331" s="55">
        <v>1512.312621418685</v>
      </c>
      <c r="AS331" s="55">
        <v>1295.8688034094762</v>
      </c>
      <c r="AT331" s="55">
        <v>1134.4016532752823</v>
      </c>
      <c r="AU331" s="55">
        <v>1175.6405752800974</v>
      </c>
      <c r="AV331" s="55">
        <v>1255.7124459316915</v>
      </c>
      <c r="AW331" s="56">
        <v>1353.5653669106493</v>
      </c>
      <c r="AX331" s="55">
        <v>1401.9465428637645</v>
      </c>
      <c r="AY331" s="55">
        <v>1409.5955403438047</v>
      </c>
      <c r="AZ331" s="55">
        <v>1464.657488429182</v>
      </c>
      <c r="BA331" s="55">
        <v>1420.3459048747077</v>
      </c>
      <c r="BB331" s="55">
        <v>1421.481993850718</v>
      </c>
      <c r="BC331" s="55">
        <v>1429.2375764328308</v>
      </c>
      <c r="BD331" s="55">
        <v>1481.0092267643563</v>
      </c>
      <c r="BE331" s="55">
        <v>1497.3166032623319</v>
      </c>
      <c r="BF331" s="55">
        <v>1551.4958116117657</v>
      </c>
      <c r="BG331" s="55">
        <v>1559.9607474637917</v>
      </c>
      <c r="BH331" s="55">
        <v>1620.8962961610644</v>
      </c>
      <c r="BI331" s="55">
        <v>1629.7398799252617</v>
      </c>
      <c r="BJ331" s="55">
        <v>1693.4011572865868</v>
      </c>
      <c r="BK331" s="55">
        <v>1702.6403263909408</v>
      </c>
      <c r="BL331" s="55">
        <v>1764.3155167664086</v>
      </c>
      <c r="BM331" s="55">
        <v>1783.7423757441798</v>
      </c>
      <c r="BN331" s="55">
        <v>1848.2856724702001</v>
      </c>
      <c r="BO331" s="55">
        <v>1858.3698889641048</v>
      </c>
      <c r="BP331" s="55">
        <v>1930.9619647907725</v>
      </c>
      <c r="BQ331" s="55">
        <v>1941.4972617875953</v>
      </c>
      <c r="BR331" s="55"/>
      <c r="BS331" s="55"/>
      <c r="BT331" s="55"/>
      <c r="BU331" s="55"/>
      <c r="BV331" s="55"/>
      <c r="BW331" s="55"/>
      <c r="BX331" s="55"/>
      <c r="BY331" s="55"/>
      <c r="BZ331" s="55"/>
      <c r="CA331" s="55"/>
      <c r="CB331" s="55"/>
      <c r="CC331" s="55">
        <v>634.96309676875285</v>
      </c>
      <c r="CD331" s="55">
        <v>540.3465261275303</v>
      </c>
      <c r="CE331" s="55">
        <v>495.60120314737571</v>
      </c>
      <c r="CF331" s="55">
        <v>506.40925268356523</v>
      </c>
      <c r="CG331" s="55">
        <v>561.82146795452286</v>
      </c>
      <c r="CH331" s="55">
        <v>627.60918895650025</v>
      </c>
      <c r="CI331" s="55">
        <v>620.20501555672411</v>
      </c>
      <c r="CJ331" s="55">
        <v>1489.0354529183824</v>
      </c>
      <c r="CK331" s="55">
        <v>1706.4398854868452</v>
      </c>
      <c r="CL331" s="55">
        <v>2300.3540586546624</v>
      </c>
      <c r="CM331" s="55">
        <v>2641.4435194827338</v>
      </c>
      <c r="CN331" s="55">
        <v>2821.6290912420409</v>
      </c>
      <c r="CO331" s="55">
        <v>2768.6758872183018</v>
      </c>
      <c r="CP331" s="55">
        <v>2723.9842049196704</v>
      </c>
      <c r="CQ331" s="55">
        <v>2554.8709240717644</v>
      </c>
      <c r="CR331" s="55">
        <v>2671.969594827689</v>
      </c>
      <c r="CS331" s="55">
        <v>2614.3672422030604</v>
      </c>
      <c r="CT331" s="55">
        <v>2685.4718251962645</v>
      </c>
      <c r="CU331" s="55">
        <v>2904.8035573914249</v>
      </c>
      <c r="CV331" s="55">
        <v>2958.5673422454029</v>
      </c>
      <c r="CW331" s="55">
        <v>2808.1814248281612</v>
      </c>
      <c r="CX331" s="55">
        <v>2310.0422285553796</v>
      </c>
      <c r="CY331" s="56">
        <v>2609.2778128423406</v>
      </c>
      <c r="CZ331" s="55">
        <v>2811.5420832075692</v>
      </c>
      <c r="DA331" s="55">
        <v>2885.0033933038894</v>
      </c>
      <c r="DB331" s="55">
        <v>2850.7195702835488</v>
      </c>
      <c r="DC331" s="55">
        <v>2978.325830026688</v>
      </c>
      <c r="DD331" s="55">
        <v>3111.4565590755574</v>
      </c>
      <c r="DE331" s="55">
        <v>3250.636176086326</v>
      </c>
      <c r="DF331" s="55">
        <v>3396.0414836775276</v>
      </c>
      <c r="DG331" s="55">
        <v>3548.0578925105883</v>
      </c>
      <c r="DH331" s="55">
        <v>3706.6555614343051</v>
      </c>
      <c r="DI331" s="55">
        <v>3872.4592265783676</v>
      </c>
    </row>
    <row r="332" spans="1:113" outlineLevel="1">
      <c r="A332" s="1" t="s">
        <v>193</v>
      </c>
      <c r="B332" s="19" t="s">
        <v>166</v>
      </c>
      <c r="C332" s="55">
        <v>312.53690292197564</v>
      </c>
      <c r="D332" s="55">
        <v>304.92496322925786</v>
      </c>
      <c r="E332" s="55">
        <v>214.98453198876052</v>
      </c>
      <c r="F332" s="55">
        <v>124.35008494447811</v>
      </c>
      <c r="G332" s="55">
        <v>135.97696209339074</v>
      </c>
      <c r="H332" s="55">
        <v>62.295207734188239</v>
      </c>
      <c r="I332" s="55">
        <v>466.32052787668624</v>
      </c>
      <c r="J332" s="55">
        <v>267.16986188935061</v>
      </c>
      <c r="K332" s="55">
        <v>289.02075895692155</v>
      </c>
      <c r="L332" s="55">
        <v>390.92880720538255</v>
      </c>
      <c r="M332" s="55">
        <v>-386.09096584823556</v>
      </c>
      <c r="N332" s="55">
        <v>182.76474159983582</v>
      </c>
      <c r="O332" s="55">
        <v>-435.82728861624093</v>
      </c>
      <c r="P332" s="55">
        <v>-1620.2943801616102</v>
      </c>
      <c r="Q332" s="55">
        <v>-1095.1944047918573</v>
      </c>
      <c r="R332" s="55">
        <v>-214.94683020026105</v>
      </c>
      <c r="S332" s="55">
        <v>1906.4841391385517</v>
      </c>
      <c r="T332" s="55">
        <v>1272.4613136623407</v>
      </c>
      <c r="U332" s="55">
        <v>587.66590452845548</v>
      </c>
      <c r="V332" s="55">
        <v>-89.460703131611808</v>
      </c>
      <c r="W332" s="55">
        <v>-182.37723369778905</v>
      </c>
      <c r="X332" s="55">
        <v>-146.52861976963595</v>
      </c>
      <c r="Y332" s="55">
        <v>184.75312819938063</v>
      </c>
      <c r="Z332" s="55">
        <v>457.20179956211268</v>
      </c>
      <c r="AA332" s="55">
        <v>907.43013979773878</v>
      </c>
      <c r="AB332" s="55">
        <v>981.34714541603989</v>
      </c>
      <c r="AC332" s="55">
        <v>686.89851062346679</v>
      </c>
      <c r="AD332" s="55">
        <v>424.37201118747453</v>
      </c>
      <c r="AE332" s="55">
        <v>541.76020320913449</v>
      </c>
      <c r="AF332" s="55">
        <v>882.18072364967429</v>
      </c>
      <c r="AG332" s="55">
        <v>773.22118800113822</v>
      </c>
      <c r="AH332" s="55">
        <v>1049.1551825504166</v>
      </c>
      <c r="AI332" s="55">
        <v>869.0883435143578</v>
      </c>
      <c r="AJ332" s="55">
        <v>1177.0430640756776</v>
      </c>
      <c r="AK332" s="55">
        <v>850.8283755522134</v>
      </c>
      <c r="AL332" s="55">
        <v>470.44579666278969</v>
      </c>
      <c r="AM332" s="55">
        <v>159.27475830490312</v>
      </c>
      <c r="AN332" s="55">
        <v>1151.9134899270903</v>
      </c>
      <c r="AO332" s="55">
        <v>1192.1099899720048</v>
      </c>
      <c r="AP332" s="55">
        <v>1414.6215584829897</v>
      </c>
      <c r="AQ332" s="55">
        <v>1452.7155789662647</v>
      </c>
      <c r="AR332" s="55">
        <v>1179.756666474912</v>
      </c>
      <c r="AS332" s="55">
        <v>382.14331567035424</v>
      </c>
      <c r="AT332" s="55">
        <v>-3014.3738368679278</v>
      </c>
      <c r="AU332" s="55">
        <v>-3825.4805506297398</v>
      </c>
      <c r="AV332" s="55">
        <v>-3725.6206523620544</v>
      </c>
      <c r="AW332" s="56">
        <v>-2627.4787036657681</v>
      </c>
      <c r="AX332" s="55">
        <v>-2633.0310645624227</v>
      </c>
      <c r="AY332" s="55">
        <v>-2647.3968391208205</v>
      </c>
      <c r="AZ332" s="55">
        <v>-2750.8100687636361</v>
      </c>
      <c r="BA332" s="55">
        <v>-2765.8184436486449</v>
      </c>
      <c r="BB332" s="55">
        <v>-2873.8574854865738</v>
      </c>
      <c r="BC332" s="55">
        <v>-2889.5372050710157</v>
      </c>
      <c r="BD332" s="55">
        <v>-2994.2056746576045</v>
      </c>
      <c r="BE332" s="55">
        <v>-3027.1748407955456</v>
      </c>
      <c r="BF332" s="55">
        <v>-3136.7107506039874</v>
      </c>
      <c r="BG332" s="55">
        <v>-3153.8245933172579</v>
      </c>
      <c r="BH332" s="55">
        <v>-3277.0200214081192</v>
      </c>
      <c r="BI332" s="55">
        <v>-3294.8993892152466</v>
      </c>
      <c r="BJ332" s="55">
        <v>-3423.6055137190615</v>
      </c>
      <c r="BK332" s="55">
        <v>-3442.2846495822569</v>
      </c>
      <c r="BL332" s="55">
        <v>-3566.9754358856408</v>
      </c>
      <c r="BM332" s="55">
        <v>-3606.2513636387039</v>
      </c>
      <c r="BN332" s="55">
        <v>-3736.7406960653325</v>
      </c>
      <c r="BO332" s="55">
        <v>-3757.1282923779445</v>
      </c>
      <c r="BP332" s="55">
        <v>-3903.8901095546366</v>
      </c>
      <c r="BQ332" s="55">
        <v>-3925.1896703419839</v>
      </c>
      <c r="BR332" s="55"/>
      <c r="BS332" s="55"/>
      <c r="BT332" s="55"/>
      <c r="BU332" s="55"/>
      <c r="BV332" s="55"/>
      <c r="BW332" s="55"/>
      <c r="BX332" s="55"/>
      <c r="BY332" s="55"/>
      <c r="BZ332" s="55"/>
      <c r="CA332" s="55"/>
      <c r="CB332" s="55"/>
      <c r="CC332" s="55">
        <v>519.90949521801838</v>
      </c>
      <c r="CD332" s="55">
        <v>260.32704703786885</v>
      </c>
      <c r="CE332" s="55">
        <v>528.61573561087448</v>
      </c>
      <c r="CF332" s="55">
        <v>556.19062084627217</v>
      </c>
      <c r="CG332" s="55">
        <v>4.8378413571469991</v>
      </c>
      <c r="CH332" s="55">
        <v>-253.06254701640512</v>
      </c>
      <c r="CI332" s="55">
        <v>-2715.4887849534675</v>
      </c>
      <c r="CJ332" s="55">
        <v>1691.5373089382906</v>
      </c>
      <c r="CK332" s="55">
        <v>1860.1272181907962</v>
      </c>
      <c r="CL332" s="55">
        <v>-271.83793682940086</v>
      </c>
      <c r="CM332" s="55">
        <v>38.224508429744674</v>
      </c>
      <c r="CN332" s="55">
        <v>1364.6319393598515</v>
      </c>
      <c r="CO332" s="55">
        <v>1668.2456560395067</v>
      </c>
      <c r="CP332" s="55">
        <v>966.13221439660902</v>
      </c>
      <c r="CQ332" s="55">
        <v>1655.4019116508125</v>
      </c>
      <c r="CR332" s="55">
        <v>1918.2435260647744</v>
      </c>
      <c r="CS332" s="55">
        <v>2027.871439627891</v>
      </c>
      <c r="CT332" s="55">
        <v>629.72055496769281</v>
      </c>
      <c r="CU332" s="55">
        <v>2344.023479899095</v>
      </c>
      <c r="CV332" s="55">
        <v>2867.3371374492544</v>
      </c>
      <c r="CW332" s="55">
        <v>1561.8999821452662</v>
      </c>
      <c r="CX332" s="55">
        <v>-6839.8543874976676</v>
      </c>
      <c r="CY332" s="56">
        <v>-6353.0993560278221</v>
      </c>
      <c r="CZ332" s="55">
        <v>-5280.4279036832431</v>
      </c>
      <c r="DA332" s="55">
        <v>-5516.6285124122805</v>
      </c>
      <c r="DB332" s="55">
        <v>-5763.3946905575895</v>
      </c>
      <c r="DC332" s="55">
        <v>-6021.3805154531501</v>
      </c>
      <c r="DD332" s="55">
        <v>-6290.5353439212449</v>
      </c>
      <c r="DE332" s="55">
        <v>-6571.9194106233663</v>
      </c>
      <c r="DF332" s="55">
        <v>-6865.8901633013184</v>
      </c>
      <c r="DG332" s="55">
        <v>-7173.2267995243446</v>
      </c>
      <c r="DH332" s="55">
        <v>-7493.868988443277</v>
      </c>
      <c r="DI332" s="55">
        <v>-7829.0797798966205</v>
      </c>
    </row>
    <row r="333" spans="1:113" outlineLevel="1">
      <c r="A333" s="1" t="s">
        <v>194</v>
      </c>
      <c r="B333" s="19" t="s">
        <v>167</v>
      </c>
      <c r="C333" s="55">
        <v>67.168583432134142</v>
      </c>
      <c r="D333" s="55">
        <v>95.968928438230449</v>
      </c>
      <c r="E333" s="55">
        <v>104.38332699432098</v>
      </c>
      <c r="F333" s="55">
        <v>117.03714981934766</v>
      </c>
      <c r="G333" s="55">
        <v>132.00988611325124</v>
      </c>
      <c r="H333" s="55">
        <v>106.90875610788619</v>
      </c>
      <c r="I333" s="55">
        <v>94.272829287732208</v>
      </c>
      <c r="J333" s="55">
        <v>109.45564719231653</v>
      </c>
      <c r="K333" s="55">
        <v>102.56334199465405</v>
      </c>
      <c r="L333" s="55">
        <v>113.70112029192613</v>
      </c>
      <c r="M333" s="55">
        <v>110.23098813791279</v>
      </c>
      <c r="N333" s="55">
        <v>98.270080524948938</v>
      </c>
      <c r="O333" s="55">
        <v>92.990877145717761</v>
      </c>
      <c r="P333" s="55">
        <v>80.443400019651676</v>
      </c>
      <c r="Q333" s="55">
        <v>101.37686327494404</v>
      </c>
      <c r="R333" s="55">
        <v>314.29610561729305</v>
      </c>
      <c r="S333" s="55">
        <v>469.45078175562219</v>
      </c>
      <c r="T333" s="55">
        <v>454.19447676410255</v>
      </c>
      <c r="U333" s="55">
        <v>451.73824411087901</v>
      </c>
      <c r="V333" s="55">
        <v>463.78492199335523</v>
      </c>
      <c r="W333" s="55">
        <v>460.75429177080832</v>
      </c>
      <c r="X333" s="55">
        <v>485.68704808173749</v>
      </c>
      <c r="Y333" s="55">
        <v>534.76188590951028</v>
      </c>
      <c r="Z333" s="55">
        <v>597.48473270016245</v>
      </c>
      <c r="AA333" s="55">
        <v>634.31229267335664</v>
      </c>
      <c r="AB333" s="55">
        <v>686.70818468681216</v>
      </c>
      <c r="AC333" s="55">
        <v>679.48139551731435</v>
      </c>
      <c r="AD333" s="55">
        <v>686.70468876573966</v>
      </c>
      <c r="AE333" s="55">
        <v>709.11599883278541</v>
      </c>
      <c r="AF333" s="55">
        <v>691.04455425479603</v>
      </c>
      <c r="AG333" s="55">
        <v>677.13259075191183</v>
      </c>
      <c r="AH333" s="55">
        <v>715.1816601893031</v>
      </c>
      <c r="AI333" s="55">
        <v>703.77709907721362</v>
      </c>
      <c r="AJ333" s="55">
        <v>678.66693650579521</v>
      </c>
      <c r="AK333" s="55">
        <v>632.40882683532652</v>
      </c>
      <c r="AL333" s="55">
        <v>617.97981862282199</v>
      </c>
      <c r="AM333" s="55">
        <v>626.83701444861367</v>
      </c>
      <c r="AN333" s="55">
        <v>622.82231800789702</v>
      </c>
      <c r="AO333" s="55">
        <v>579.24202276131609</v>
      </c>
      <c r="AP333" s="55">
        <v>510.31694920312179</v>
      </c>
      <c r="AQ333" s="55">
        <v>471.09851861876956</v>
      </c>
      <c r="AR333" s="55">
        <v>451.32490041831971</v>
      </c>
      <c r="AS333" s="55">
        <v>391.32750219158822</v>
      </c>
      <c r="AT333" s="55">
        <v>318.22364934259264</v>
      </c>
      <c r="AU333" s="55">
        <v>296.82586801968586</v>
      </c>
      <c r="AV333" s="55">
        <v>295.26087526359856</v>
      </c>
      <c r="AW333" s="56">
        <v>296.25089339873563</v>
      </c>
      <c r="AX333" s="55">
        <v>278.7447801738378</v>
      </c>
      <c r="AY333" s="55">
        <v>303.89777426192086</v>
      </c>
      <c r="AZ333" s="55">
        <v>352.6147816467921</v>
      </c>
      <c r="BA333" s="55">
        <v>363.17252018484203</v>
      </c>
      <c r="BB333" s="55">
        <v>372.89310356212081</v>
      </c>
      <c r="BC333" s="55">
        <v>370.4906282798093</v>
      </c>
      <c r="BD333" s="55">
        <v>379.36772265479556</v>
      </c>
      <c r="BE333" s="55">
        <v>379.00598316055743</v>
      </c>
      <c r="BF333" s="55">
        <v>388.07247950831669</v>
      </c>
      <c r="BG333" s="55">
        <v>385.5722065591583</v>
      </c>
      <c r="BH333" s="55">
        <v>395.89233424919405</v>
      </c>
      <c r="BI333" s="55">
        <v>393.34167954841098</v>
      </c>
      <c r="BJ333" s="55">
        <v>403.869762977915</v>
      </c>
      <c r="BK333" s="55">
        <v>401.2677113079896</v>
      </c>
      <c r="BL333" s="55">
        <v>410.8822361326919</v>
      </c>
      <c r="BM333" s="55">
        <v>410.49044652220545</v>
      </c>
      <c r="BN333" s="55">
        <v>420.3101071596127</v>
      </c>
      <c r="BO333" s="55">
        <v>417.60213365806345</v>
      </c>
      <c r="BP333" s="55">
        <v>428.77956623662629</v>
      </c>
      <c r="BQ333" s="55">
        <v>426.01702571334147</v>
      </c>
      <c r="BR333" s="55"/>
      <c r="BS333" s="55"/>
      <c r="BT333" s="55"/>
      <c r="BU333" s="55"/>
      <c r="BV333" s="55"/>
      <c r="BW333" s="55"/>
      <c r="BX333" s="55"/>
      <c r="BY333" s="55"/>
      <c r="BZ333" s="55"/>
      <c r="CA333" s="55"/>
      <c r="CB333" s="55"/>
      <c r="CC333" s="55">
        <v>200.35225543255143</v>
      </c>
      <c r="CD333" s="55">
        <v>249.0470359325989</v>
      </c>
      <c r="CE333" s="55">
        <v>201.18158539561841</v>
      </c>
      <c r="CF333" s="55">
        <v>212.0189891869706</v>
      </c>
      <c r="CG333" s="55">
        <v>223.93210842983893</v>
      </c>
      <c r="CH333" s="55">
        <v>191.2609576706667</v>
      </c>
      <c r="CI333" s="55">
        <v>181.82026329459572</v>
      </c>
      <c r="CJ333" s="55">
        <v>783.74688737291524</v>
      </c>
      <c r="CK333" s="55">
        <v>905.93272087498156</v>
      </c>
      <c r="CL333" s="55">
        <v>924.53921376416361</v>
      </c>
      <c r="CM333" s="55">
        <v>1020.4489339912477</v>
      </c>
      <c r="CN333" s="55">
        <v>1231.7970253735191</v>
      </c>
      <c r="CO333" s="55">
        <v>1366.1895802041265</v>
      </c>
      <c r="CP333" s="55">
        <v>1395.8206875985252</v>
      </c>
      <c r="CQ333" s="55">
        <v>1368.1771450067079</v>
      </c>
      <c r="CR333" s="55">
        <v>1418.9587592665166</v>
      </c>
      <c r="CS333" s="55">
        <v>1311.0757633411217</v>
      </c>
      <c r="CT333" s="55">
        <v>1244.8168330714357</v>
      </c>
      <c r="CU333" s="55">
        <v>1202.0643407692132</v>
      </c>
      <c r="CV333" s="55">
        <v>981.4154678218913</v>
      </c>
      <c r="CW333" s="55">
        <v>842.65240260990799</v>
      </c>
      <c r="CX333" s="55">
        <v>615.04951736227849</v>
      </c>
      <c r="CY333" s="56">
        <v>591.51176866233413</v>
      </c>
      <c r="CZ333" s="55">
        <v>582.64255443575871</v>
      </c>
      <c r="DA333" s="55">
        <v>715.78730183163407</v>
      </c>
      <c r="DB333" s="55">
        <v>743.38373184193006</v>
      </c>
      <c r="DC333" s="55">
        <v>758.37370581535299</v>
      </c>
      <c r="DD333" s="55">
        <v>773.64468606747505</v>
      </c>
      <c r="DE333" s="55">
        <v>789.23401379760503</v>
      </c>
      <c r="DF333" s="55">
        <v>805.13747428590455</v>
      </c>
      <c r="DG333" s="55">
        <v>821.37268265489729</v>
      </c>
      <c r="DH333" s="55">
        <v>837.91224081767609</v>
      </c>
      <c r="DI333" s="55">
        <v>854.79659194996771</v>
      </c>
    </row>
    <row r="334" spans="1:113" s="24" customFormat="1" outlineLevel="1">
      <c r="A334" s="1" t="s">
        <v>195</v>
      </c>
      <c r="B334" s="24" t="s">
        <v>168</v>
      </c>
      <c r="C334" s="82">
        <v>1289.1164759999999</v>
      </c>
      <c r="D334" s="82">
        <v>1306.3552867945209</v>
      </c>
      <c r="E334" s="82">
        <v>1035.2320338753416</v>
      </c>
      <c r="F334" s="82">
        <v>1044.596266359817</v>
      </c>
      <c r="G334" s="82">
        <v>1124.7632756621015</v>
      </c>
      <c r="H334" s="82">
        <v>1000.1654396794164</v>
      </c>
      <c r="I334" s="82">
        <v>966.36152213114747</v>
      </c>
      <c r="J334" s="82">
        <v>1233.5642538812783</v>
      </c>
      <c r="K334" s="82">
        <v>1158.3238969561648</v>
      </c>
      <c r="L334" s="82">
        <v>1366.087160562892</v>
      </c>
      <c r="M334" s="82">
        <v>570.40800394478356</v>
      </c>
      <c r="N334" s="82">
        <v>1153.2416296559663</v>
      </c>
      <c r="O334" s="82">
        <v>655.5025945833487</v>
      </c>
      <c r="P334" s="82">
        <v>-744.70476191422244</v>
      </c>
      <c r="Q334" s="82">
        <v>-90.614440540984504</v>
      </c>
      <c r="R334" s="82">
        <v>2515.9605190934012</v>
      </c>
      <c r="S334" s="82">
        <v>5383.4322316141042</v>
      </c>
      <c r="T334" s="82">
        <v>4647.197528109592</v>
      </c>
      <c r="U334" s="82">
        <v>4266.9073379462634</v>
      </c>
      <c r="V334" s="82">
        <v>4277.3487182205808</v>
      </c>
      <c r="W334" s="82">
        <v>4530.9216951810577</v>
      </c>
      <c r="X334" s="82">
        <v>4912.4027002878202</v>
      </c>
      <c r="Y334" s="82">
        <v>5821.5081048087523</v>
      </c>
      <c r="Z334" s="82">
        <v>6520.6292868263126</v>
      </c>
      <c r="AA334" s="82">
        <v>6858.0590993256537</v>
      </c>
      <c r="AB334" s="82">
        <v>7113.6654958240015</v>
      </c>
      <c r="AC334" s="82">
        <v>6672.8912934018263</v>
      </c>
      <c r="AD334" s="82">
        <v>6542.6925375566643</v>
      </c>
      <c r="AE334" s="82">
        <v>6987.0124910904178</v>
      </c>
      <c r="AF334" s="82">
        <v>7212.3489412154431</v>
      </c>
      <c r="AG334" s="82">
        <v>7254.3077773223968</v>
      </c>
      <c r="AH334" s="82">
        <v>8038.5303675942596</v>
      </c>
      <c r="AI334" s="82">
        <v>7928.5231944041107</v>
      </c>
      <c r="AJ334" s="82">
        <v>8390.3745358819742</v>
      </c>
      <c r="AK334" s="82">
        <v>7534.081794649117</v>
      </c>
      <c r="AL334" s="82">
        <v>7447.6192313541769</v>
      </c>
      <c r="AM334" s="82">
        <v>7896.7813703536376</v>
      </c>
      <c r="AN334" s="82">
        <v>9447.3559806259327</v>
      </c>
      <c r="AO334" s="82">
        <v>9797.5472974863369</v>
      </c>
      <c r="AP334" s="82">
        <v>10197.655070195104</v>
      </c>
      <c r="AQ334" s="82">
        <v>9916.8730885351451</v>
      </c>
      <c r="AR334" s="82">
        <v>9649.8272529982496</v>
      </c>
      <c r="AS334" s="82">
        <v>7735.8663623470547</v>
      </c>
      <c r="AT334" s="82">
        <v>3788.7110543133294</v>
      </c>
      <c r="AU334" s="82">
        <v>3094.060621584511</v>
      </c>
      <c r="AV334" s="82">
        <v>3336.927873015366</v>
      </c>
      <c r="AW334" s="83">
        <v>4496.6204897934458</v>
      </c>
      <c r="AX334" s="82">
        <v>4566.0121447972106</v>
      </c>
      <c r="AY334" s="82">
        <v>4592.4768486355733</v>
      </c>
      <c r="AZ334" s="82">
        <v>4774.2571004068941</v>
      </c>
      <c r="BA334" s="82">
        <v>4735.9564454170213</v>
      </c>
      <c r="BB334" s="82">
        <v>4809.0665803342845</v>
      </c>
      <c r="BC334" s="82">
        <v>4748.493184201282</v>
      </c>
      <c r="BD334" s="82">
        <v>4831.7849295383849</v>
      </c>
      <c r="BE334" s="82">
        <v>4781.5163234626461</v>
      </c>
      <c r="BF334" s="82">
        <v>4864.3603239818103</v>
      </c>
      <c r="BG334" s="82">
        <v>4786.3123388227159</v>
      </c>
      <c r="BH334" s="82">
        <v>4943.9155920228332</v>
      </c>
      <c r="BI334" s="82">
        <v>4941.5227887168221</v>
      </c>
      <c r="BJ334" s="82">
        <v>5104.1950283866372</v>
      </c>
      <c r="BK334" s="82">
        <v>5101.6821112471134</v>
      </c>
      <c r="BL334" s="82">
        <v>5255.1841818280836</v>
      </c>
      <c r="BM334" s="82">
        <v>5281.5711106777071</v>
      </c>
      <c r="BN334" s="82">
        <v>5440.2327740112432</v>
      </c>
      <c r="BO334" s="82">
        <v>5437.4586226988931</v>
      </c>
      <c r="BP334" s="82">
        <v>5616.3083704883757</v>
      </c>
      <c r="BQ334" s="82">
        <v>5613.3923126537793</v>
      </c>
      <c r="BR334" s="82"/>
      <c r="BS334" s="82">
        <v>2153.0184474999996</v>
      </c>
      <c r="BT334" s="82">
        <v>2259.7399299999997</v>
      </c>
      <c r="BU334" s="82">
        <v>2033.0552500000003</v>
      </c>
      <c r="BV334" s="82">
        <v>1046.3160749999993</v>
      </c>
      <c r="BW334" s="82">
        <v>1353.3324799999998</v>
      </c>
      <c r="BX334" s="82">
        <v>1779.6396793333327</v>
      </c>
      <c r="BY334" s="82">
        <v>1867.6289207500001</v>
      </c>
      <c r="BZ334" s="82">
        <v>1786.0317375000009</v>
      </c>
      <c r="CA334" s="82">
        <v>1377.4674900763396</v>
      </c>
      <c r="CB334" s="82">
        <v>2068.7997215384644</v>
      </c>
      <c r="CC334" s="82">
        <v>2341.5873206698625</v>
      </c>
      <c r="CD334" s="82">
        <v>2169.3595420219185</v>
      </c>
      <c r="CE334" s="82">
        <v>1966.526961810564</v>
      </c>
      <c r="CF334" s="82">
        <v>2391.8881508374434</v>
      </c>
      <c r="CG334" s="82">
        <v>1936.4951645076756</v>
      </c>
      <c r="CH334" s="82">
        <v>1808.7442242393149</v>
      </c>
      <c r="CI334" s="82">
        <v>-835.31920245520701</v>
      </c>
      <c r="CJ334" s="82">
        <v>7899.3927507075059</v>
      </c>
      <c r="CK334" s="82">
        <v>8914.1048660558554</v>
      </c>
      <c r="CL334" s="82">
        <v>8808.2704134016385</v>
      </c>
      <c r="CM334" s="82">
        <v>10733.910805096573</v>
      </c>
      <c r="CN334" s="82">
        <v>13378.688386151967</v>
      </c>
      <c r="CO334" s="82">
        <v>13786.556789225828</v>
      </c>
      <c r="CP334" s="82">
        <v>13529.705028647082</v>
      </c>
      <c r="CQ334" s="82">
        <v>14466.656718537841</v>
      </c>
      <c r="CR334" s="82">
        <v>15967.053561998371</v>
      </c>
      <c r="CS334" s="82">
        <v>15924.456330531091</v>
      </c>
      <c r="CT334" s="82">
        <v>15344.400601707814</v>
      </c>
      <c r="CU334" s="82">
        <v>19244.90327811227</v>
      </c>
      <c r="CV334" s="82">
        <v>20114.528158730249</v>
      </c>
      <c r="CW334" s="82">
        <v>17385.693615345306</v>
      </c>
      <c r="CX334" s="82">
        <v>6882.7716758978404</v>
      </c>
      <c r="CY334" s="83">
        <v>7833.5483628088114</v>
      </c>
      <c r="CZ334" s="82">
        <v>9158.4889934327839</v>
      </c>
      <c r="DA334" s="82">
        <v>9510.2135458239154</v>
      </c>
      <c r="DB334" s="82">
        <v>9557.5597645355665</v>
      </c>
      <c r="DC334" s="82">
        <v>9613.301253001031</v>
      </c>
      <c r="DD334" s="82">
        <v>9650.6726628045253</v>
      </c>
      <c r="DE334" s="82">
        <v>9885.4383807396553</v>
      </c>
      <c r="DF334" s="82">
        <v>10205.877139633751</v>
      </c>
      <c r="DG334" s="82">
        <v>10536.75529250579</v>
      </c>
      <c r="DH334" s="82">
        <v>10877.691396710135</v>
      </c>
      <c r="DI334" s="82">
        <v>11229.700683142155</v>
      </c>
    </row>
    <row r="335" spans="1:113" outlineLevel="1">
      <c r="C335" s="55"/>
      <c r="D335" s="55"/>
      <c r="E335" s="55"/>
      <c r="F335" s="55"/>
      <c r="G335" s="55"/>
      <c r="H335" s="55"/>
      <c r="I335" s="55"/>
      <c r="J335" s="55"/>
      <c r="K335" s="55"/>
      <c r="L335" s="55"/>
      <c r="M335" s="55"/>
      <c r="N335" s="55"/>
      <c r="O335" s="55"/>
      <c r="P335" s="55"/>
      <c r="Q335" s="55"/>
      <c r="R335" s="55"/>
      <c r="S335" s="55"/>
      <c r="T335" s="55"/>
      <c r="U335" s="55"/>
      <c r="V335" s="55"/>
      <c r="W335" s="55"/>
      <c r="X335" s="55"/>
      <c r="Y335" s="55"/>
      <c r="Z335" s="55"/>
      <c r="AA335" s="55"/>
      <c r="AB335" s="55"/>
      <c r="AC335" s="55"/>
      <c r="AD335" s="55"/>
      <c r="AE335" s="55"/>
      <c r="AF335" s="55"/>
      <c r="AG335" s="55"/>
      <c r="AH335" s="55"/>
      <c r="AI335" s="55"/>
      <c r="AJ335" s="55"/>
      <c r="AK335" s="55"/>
      <c r="AL335" s="55"/>
      <c r="AM335" s="55"/>
      <c r="AN335" s="55"/>
      <c r="AO335" s="55"/>
      <c r="AP335" s="55"/>
      <c r="AQ335" s="55"/>
      <c r="AR335" s="55"/>
      <c r="AS335" s="55"/>
      <c r="AT335" s="55"/>
      <c r="AU335" s="55"/>
      <c r="AV335" s="55"/>
      <c r="AW335" s="56"/>
      <c r="AX335" s="55"/>
      <c r="AY335" s="55"/>
      <c r="AZ335" s="55"/>
      <c r="BA335" s="55"/>
      <c r="BB335" s="55"/>
      <c r="BC335" s="55"/>
      <c r="BD335" s="55"/>
      <c r="BE335" s="55"/>
      <c r="BF335" s="55"/>
      <c r="BG335" s="55"/>
      <c r="BH335" s="55"/>
      <c r="BI335" s="55"/>
      <c r="BJ335" s="55"/>
      <c r="BK335" s="55"/>
      <c r="BL335" s="55"/>
      <c r="BM335" s="55"/>
      <c r="BN335" s="55"/>
      <c r="BO335" s="55"/>
      <c r="BP335" s="55"/>
      <c r="BQ335" s="55"/>
      <c r="BR335" s="55"/>
      <c r="BS335" s="55"/>
      <c r="BT335" s="55"/>
      <c r="BU335" s="55"/>
      <c r="BV335" s="55"/>
      <c r="BW335" s="55"/>
      <c r="BX335" s="55"/>
      <c r="BY335" s="55"/>
      <c r="BZ335" s="55"/>
      <c r="CA335" s="55"/>
      <c r="CB335" s="55"/>
      <c r="CC335" s="55"/>
      <c r="CD335" s="55"/>
      <c r="CE335" s="55"/>
      <c r="CF335" s="55"/>
      <c r="CG335" s="55"/>
      <c r="CH335" s="55"/>
      <c r="CI335" s="55"/>
      <c r="CJ335" s="55"/>
      <c r="CK335" s="55"/>
      <c r="CL335" s="55"/>
      <c r="CM335" s="55"/>
      <c r="CN335" s="55"/>
      <c r="CO335" s="55"/>
      <c r="CP335" s="55"/>
      <c r="CQ335" s="55"/>
      <c r="CR335" s="55"/>
      <c r="CS335" s="55"/>
      <c r="CT335" s="55"/>
      <c r="CU335" s="55"/>
      <c r="CV335" s="55"/>
      <c r="CW335" s="55"/>
      <c r="CX335" s="55"/>
      <c r="CY335" s="56"/>
      <c r="CZ335" s="55"/>
      <c r="DA335" s="55"/>
      <c r="DB335" s="55"/>
      <c r="DC335" s="55"/>
      <c r="DD335" s="55"/>
      <c r="DE335" s="55"/>
      <c r="DF335" s="55"/>
      <c r="DG335" s="55"/>
      <c r="DH335" s="55"/>
      <c r="DI335" s="55"/>
    </row>
    <row r="336" spans="1:113" s="24" customFormat="1" outlineLevel="1">
      <c r="A336" s="1"/>
      <c r="B336" s="24" t="s">
        <v>406</v>
      </c>
      <c r="C336" s="82"/>
      <c r="D336" s="82"/>
      <c r="E336" s="82"/>
      <c r="F336" s="82"/>
      <c r="G336" s="82"/>
      <c r="H336" s="82"/>
      <c r="I336" s="82"/>
      <c r="J336" s="82"/>
      <c r="K336" s="82"/>
      <c r="L336" s="82"/>
      <c r="M336" s="82"/>
      <c r="N336" s="82"/>
      <c r="O336" s="82"/>
      <c r="P336" s="82"/>
      <c r="Q336" s="82"/>
      <c r="R336" s="82"/>
      <c r="S336" s="82"/>
      <c r="T336" s="82"/>
      <c r="U336" s="82"/>
      <c r="V336" s="82"/>
      <c r="W336" s="82"/>
      <c r="X336" s="82"/>
      <c r="Y336" s="82"/>
      <c r="Z336" s="82"/>
      <c r="AA336" s="82"/>
      <c r="AB336" s="82"/>
      <c r="AC336" s="82"/>
      <c r="AD336" s="82"/>
      <c r="AE336" s="82"/>
      <c r="AF336" s="82"/>
      <c r="AG336" s="82"/>
      <c r="AH336" s="82"/>
      <c r="AI336" s="82"/>
      <c r="AJ336" s="82"/>
      <c r="AK336" s="82"/>
      <c r="AL336" s="82"/>
      <c r="AM336" s="82"/>
      <c r="AN336" s="82"/>
      <c r="AO336" s="82"/>
      <c r="AP336" s="82"/>
      <c r="AQ336" s="82"/>
      <c r="AR336" s="82"/>
      <c r="AS336" s="82"/>
      <c r="AT336" s="82"/>
      <c r="AU336" s="82"/>
      <c r="AV336" s="82"/>
      <c r="AW336" s="83"/>
      <c r="AX336" s="82"/>
      <c r="AY336" s="82"/>
      <c r="AZ336" s="82"/>
      <c r="BA336" s="82"/>
      <c r="BB336" s="82"/>
      <c r="BC336" s="82"/>
      <c r="BD336" s="82"/>
      <c r="BE336" s="82"/>
      <c r="BF336" s="82"/>
      <c r="BG336" s="82"/>
      <c r="BH336" s="82"/>
      <c r="BI336" s="82"/>
      <c r="BJ336" s="82"/>
      <c r="BK336" s="82"/>
      <c r="BL336" s="82"/>
      <c r="BM336" s="82"/>
      <c r="BN336" s="82"/>
      <c r="BO336" s="82"/>
      <c r="BP336" s="82"/>
      <c r="BQ336" s="82"/>
      <c r="BR336" s="82"/>
      <c r="BS336" s="82"/>
      <c r="BT336" s="82"/>
      <c r="BU336" s="82"/>
      <c r="BV336" s="82"/>
      <c r="BW336" s="82"/>
      <c r="BX336" s="82"/>
      <c r="BY336" s="82"/>
      <c r="BZ336" s="82"/>
      <c r="CA336" s="82"/>
      <c r="CB336" s="82"/>
      <c r="CC336" s="82"/>
      <c r="CD336" s="82"/>
      <c r="CE336" s="82"/>
      <c r="CF336" s="82"/>
      <c r="CG336" s="82"/>
      <c r="CH336" s="82"/>
      <c r="CI336" s="82"/>
      <c r="CJ336" s="82"/>
      <c r="CK336" s="82"/>
      <c r="CL336" s="82"/>
      <c r="CM336" s="82"/>
      <c r="CN336" s="82"/>
      <c r="CO336" s="82"/>
      <c r="CP336" s="82"/>
      <c r="CQ336" s="82"/>
      <c r="CR336" s="82"/>
      <c r="CS336" s="82"/>
      <c r="CT336" s="82"/>
      <c r="CU336" s="82"/>
      <c r="CV336" s="82"/>
      <c r="CW336" s="82"/>
      <c r="CX336" s="82"/>
      <c r="CY336" s="83"/>
      <c r="CZ336" s="82"/>
      <c r="DA336" s="82"/>
      <c r="DB336" s="82"/>
      <c r="DC336" s="82"/>
      <c r="DD336" s="82"/>
      <c r="DE336" s="82"/>
      <c r="DF336" s="82"/>
      <c r="DG336" s="82"/>
      <c r="DH336" s="82"/>
      <c r="DI336" s="82"/>
    </row>
    <row r="337" spans="1:113" outlineLevel="1">
      <c r="A337" s="1" t="s">
        <v>196</v>
      </c>
      <c r="B337" s="19" t="s">
        <v>164</v>
      </c>
      <c r="C337" s="55"/>
      <c r="D337" s="55"/>
      <c r="E337" s="55"/>
      <c r="F337" s="55"/>
      <c r="G337" s="55"/>
      <c r="H337" s="55"/>
      <c r="I337" s="55"/>
      <c r="J337" s="55"/>
      <c r="K337" s="55"/>
      <c r="L337" s="55"/>
      <c r="M337" s="55"/>
      <c r="N337" s="55"/>
      <c r="O337" s="55"/>
      <c r="P337" s="55"/>
      <c r="Q337" s="55"/>
      <c r="R337" s="55"/>
      <c r="S337" s="55"/>
      <c r="T337" s="55"/>
      <c r="U337" s="55"/>
      <c r="V337" s="55"/>
      <c r="W337" s="55"/>
      <c r="X337" s="55"/>
      <c r="Y337" s="55"/>
      <c r="Z337" s="55"/>
      <c r="AA337" s="55"/>
      <c r="AB337" s="55"/>
      <c r="AC337" s="55"/>
      <c r="AD337" s="55"/>
      <c r="AE337" s="55"/>
      <c r="AF337" s="55"/>
      <c r="AG337" s="55"/>
      <c r="AH337" s="55"/>
      <c r="AI337" s="55"/>
      <c r="AJ337" s="55"/>
      <c r="AK337" s="55"/>
      <c r="AL337" s="55"/>
      <c r="AM337" s="55"/>
      <c r="AN337" s="55"/>
      <c r="AO337" s="55"/>
      <c r="AP337" s="55"/>
      <c r="AQ337" s="55"/>
      <c r="AR337" s="55"/>
      <c r="AS337" s="55"/>
      <c r="AT337" s="55"/>
      <c r="AU337" s="55"/>
      <c r="AV337" s="55"/>
      <c r="AW337" s="56"/>
      <c r="AX337" s="55"/>
      <c r="AY337" s="55"/>
      <c r="AZ337" s="55"/>
      <c r="BA337" s="55"/>
      <c r="BB337" s="55"/>
      <c r="BC337" s="55"/>
      <c r="BD337" s="55"/>
      <c r="BE337" s="55"/>
      <c r="BF337" s="55"/>
      <c r="BG337" s="55"/>
      <c r="BH337" s="55"/>
      <c r="BI337" s="55"/>
      <c r="BJ337" s="55"/>
      <c r="BK337" s="55"/>
      <c r="BL337" s="55"/>
      <c r="BM337" s="55"/>
      <c r="BN337" s="55"/>
      <c r="BO337" s="55"/>
      <c r="BP337" s="55"/>
      <c r="BQ337" s="55"/>
      <c r="BR337" s="55"/>
      <c r="BS337" s="55"/>
      <c r="BT337" s="55"/>
      <c r="BU337" s="55"/>
      <c r="BV337" s="55"/>
      <c r="BW337" s="55"/>
      <c r="BX337" s="55"/>
      <c r="BY337" s="55"/>
      <c r="BZ337" s="55"/>
      <c r="CA337" s="55"/>
      <c r="CB337" s="55"/>
      <c r="CC337" s="55"/>
      <c r="CD337" s="55"/>
      <c r="CE337" s="55"/>
      <c r="CF337" s="55"/>
      <c r="CG337" s="55"/>
      <c r="CH337" s="55"/>
      <c r="CI337" s="55"/>
      <c r="CJ337" s="55"/>
      <c r="CK337" s="55"/>
      <c r="CL337" s="55"/>
      <c r="CM337" s="55"/>
      <c r="CN337" s="55"/>
      <c r="CO337" s="55"/>
      <c r="CP337" s="55"/>
      <c r="CQ337" s="55"/>
      <c r="CR337" s="55"/>
      <c r="CS337" s="55"/>
      <c r="CT337" s="55"/>
      <c r="CU337" s="55"/>
      <c r="CV337" s="55"/>
      <c r="CW337" s="55"/>
      <c r="CX337" s="55"/>
      <c r="CY337" s="56"/>
      <c r="CZ337" s="55"/>
      <c r="DA337" s="55"/>
      <c r="DB337" s="55"/>
      <c r="DC337" s="55"/>
      <c r="DD337" s="55"/>
      <c r="DE337" s="55"/>
      <c r="DF337" s="55"/>
      <c r="DG337" s="55"/>
      <c r="DH337" s="55"/>
      <c r="DI337" s="55"/>
    </row>
    <row r="338" spans="1:113" outlineLevel="1">
      <c r="A338" s="1" t="s">
        <v>197</v>
      </c>
      <c r="B338" s="19" t="s">
        <v>343</v>
      </c>
      <c r="C338" s="55"/>
      <c r="D338" s="55"/>
      <c r="E338" s="55"/>
      <c r="F338" s="55"/>
      <c r="G338" s="55"/>
      <c r="H338" s="55"/>
      <c r="I338" s="55"/>
      <c r="J338" s="55"/>
      <c r="K338" s="55"/>
      <c r="L338" s="55"/>
      <c r="M338" s="55"/>
      <c r="N338" s="55"/>
      <c r="O338" s="55"/>
      <c r="P338" s="55"/>
      <c r="Q338" s="55"/>
      <c r="R338" s="55"/>
      <c r="S338" s="55"/>
      <c r="T338" s="55"/>
      <c r="U338" s="55"/>
      <c r="V338" s="55"/>
      <c r="W338" s="55"/>
      <c r="X338" s="55"/>
      <c r="Y338" s="55"/>
      <c r="Z338" s="55"/>
      <c r="AA338" s="55"/>
      <c r="AB338" s="55"/>
      <c r="AC338" s="55"/>
      <c r="AD338" s="55"/>
      <c r="AE338" s="55"/>
      <c r="AF338" s="55"/>
      <c r="AG338" s="55"/>
      <c r="AH338" s="55"/>
      <c r="AI338" s="55"/>
      <c r="AJ338" s="55"/>
      <c r="AK338" s="55"/>
      <c r="AL338" s="55"/>
      <c r="AM338" s="55"/>
      <c r="AN338" s="55"/>
      <c r="AO338" s="55"/>
      <c r="AP338" s="55"/>
      <c r="AQ338" s="55"/>
      <c r="AR338" s="55"/>
      <c r="AS338" s="55"/>
      <c r="AT338" s="55"/>
      <c r="AU338" s="55"/>
      <c r="AV338" s="55"/>
      <c r="AW338" s="56"/>
      <c r="AX338" s="55"/>
      <c r="AY338" s="55"/>
      <c r="AZ338" s="55"/>
      <c r="BA338" s="55"/>
      <c r="BB338" s="55"/>
      <c r="BC338" s="55"/>
      <c r="BD338" s="55"/>
      <c r="BE338" s="55"/>
      <c r="BF338" s="55"/>
      <c r="BG338" s="55"/>
      <c r="BH338" s="55"/>
      <c r="BI338" s="55"/>
      <c r="BJ338" s="55"/>
      <c r="BK338" s="55"/>
      <c r="BL338" s="55"/>
      <c r="BM338" s="55"/>
      <c r="BN338" s="55"/>
      <c r="BO338" s="55"/>
      <c r="BP338" s="55"/>
      <c r="BQ338" s="55"/>
      <c r="BR338" s="55"/>
      <c r="BS338" s="55"/>
      <c r="BT338" s="55"/>
      <c r="BU338" s="55"/>
      <c r="BV338" s="55"/>
      <c r="BW338" s="55"/>
      <c r="BX338" s="55"/>
      <c r="BY338" s="55"/>
      <c r="BZ338" s="55"/>
      <c r="CA338" s="55"/>
      <c r="CB338" s="55"/>
      <c r="CC338" s="55"/>
      <c r="CD338" s="55"/>
      <c r="CE338" s="55"/>
      <c r="CF338" s="55"/>
      <c r="CG338" s="55"/>
      <c r="CH338" s="55"/>
      <c r="CI338" s="55"/>
      <c r="CJ338" s="55"/>
      <c r="CK338" s="55"/>
      <c r="CL338" s="55"/>
      <c r="CM338" s="55"/>
      <c r="CN338" s="55"/>
      <c r="CO338" s="55"/>
      <c r="CP338" s="55"/>
      <c r="CQ338" s="55"/>
      <c r="CR338" s="55"/>
      <c r="CS338" s="55"/>
      <c r="CT338" s="55"/>
      <c r="CU338" s="55"/>
      <c r="CV338" s="55"/>
      <c r="CW338" s="55"/>
      <c r="CX338" s="55"/>
      <c r="CY338" s="56"/>
      <c r="CZ338" s="55"/>
      <c r="DA338" s="55"/>
      <c r="DB338" s="55"/>
      <c r="DC338" s="55"/>
      <c r="DD338" s="55"/>
      <c r="DE338" s="55"/>
      <c r="DF338" s="55"/>
      <c r="DG338" s="55"/>
      <c r="DH338" s="55"/>
      <c r="DI338" s="55"/>
    </row>
    <row r="339" spans="1:113" s="24" customFormat="1" outlineLevel="1">
      <c r="A339" s="1" t="s">
        <v>198</v>
      </c>
      <c r="B339" s="24" t="s">
        <v>168</v>
      </c>
      <c r="C339" s="82">
        <v>212.50077166164388</v>
      </c>
      <c r="D339" s="82">
        <v>220.93743132054794</v>
      </c>
      <c r="E339" s="82">
        <v>173.58122425616432</v>
      </c>
      <c r="F339" s="82">
        <v>196.34047331141537</v>
      </c>
      <c r="G339" s="82">
        <v>314.89736351598179</v>
      </c>
      <c r="H339" s="82">
        <v>196.33930447358827</v>
      </c>
      <c r="I339" s="82">
        <v>156.9644680327869</v>
      </c>
      <c r="J339" s="82">
        <v>245.03704109589063</v>
      </c>
      <c r="K339" s="82">
        <v>275.65291240547941</v>
      </c>
      <c r="L339" s="82">
        <v>284.62138109755142</v>
      </c>
      <c r="M339" s="82">
        <v>257.70418392497362</v>
      </c>
      <c r="N339" s="82">
        <v>269.04074244149348</v>
      </c>
      <c r="O339" s="82">
        <v>313.74358492729181</v>
      </c>
      <c r="P339" s="82">
        <v>71.484433515483076</v>
      </c>
      <c r="Q339" s="82">
        <v>197.77749659016411</v>
      </c>
      <c r="R339" s="82">
        <v>606.58772792029913</v>
      </c>
      <c r="S339" s="82">
        <v>1029.3217446660299</v>
      </c>
      <c r="T339" s="82">
        <v>717.18746329265275</v>
      </c>
      <c r="U339" s="82">
        <v>490.38234287777391</v>
      </c>
      <c r="V339" s="82">
        <v>365.21250489990371</v>
      </c>
      <c r="W339" s="82">
        <v>285.45140364659676</v>
      </c>
      <c r="X339" s="82">
        <v>297.02168719809754</v>
      </c>
      <c r="Y339" s="82">
        <v>434.1428060655744</v>
      </c>
      <c r="Z339" s="82">
        <v>569.32899249189609</v>
      </c>
      <c r="AA339" s="82">
        <v>710.64651301357208</v>
      </c>
      <c r="AB339" s="82">
        <v>853.67547769198916</v>
      </c>
      <c r="AC339" s="82">
        <v>906.44021066210041</v>
      </c>
      <c r="AD339" s="82">
        <v>1013.6521596448321</v>
      </c>
      <c r="AE339" s="82">
        <v>1173.8995292545828</v>
      </c>
      <c r="AF339" s="82">
        <v>1162.632295413149</v>
      </c>
      <c r="AG339" s="82">
        <v>1041.9164770491791</v>
      </c>
      <c r="AH339" s="82">
        <v>1222.5823332147124</v>
      </c>
      <c r="AI339" s="82">
        <v>1198.5478966794522</v>
      </c>
      <c r="AJ339" s="82">
        <v>1208.122477875658</v>
      </c>
      <c r="AK339" s="82">
        <v>1149.1707747081152</v>
      </c>
      <c r="AL339" s="82">
        <v>1173.3967645968835</v>
      </c>
      <c r="AM339" s="82">
        <v>1278.6189735478181</v>
      </c>
      <c r="AN339" s="82">
        <v>1549.3033412816692</v>
      </c>
      <c r="AO339" s="82">
        <v>1647.8081997814206</v>
      </c>
      <c r="AP339" s="82">
        <v>1661.4508158821088</v>
      </c>
      <c r="AQ339" s="82">
        <v>1564.1716563023697</v>
      </c>
      <c r="AR339" s="82">
        <v>1605.570735441343</v>
      </c>
      <c r="AS339" s="82">
        <v>1407.142334214336</v>
      </c>
      <c r="AT339" s="82">
        <v>846.68139162488706</v>
      </c>
      <c r="AU339" s="82">
        <v>730.42545420874626</v>
      </c>
      <c r="AV339" s="82">
        <v>413.87971709558371</v>
      </c>
      <c r="AW339" s="83">
        <v>978.10680707377128</v>
      </c>
      <c r="AX339" s="82">
        <v>1000.2244253455187</v>
      </c>
      <c r="AY339" s="82">
        <v>995.65808727823537</v>
      </c>
      <c r="AZ339" s="82">
        <v>1011.8192722949665</v>
      </c>
      <c r="BA339" s="82">
        <v>986.75368104116717</v>
      </c>
      <c r="BB339" s="82">
        <v>990.77488908635348</v>
      </c>
      <c r="BC339" s="82">
        <v>971.25439943953324</v>
      </c>
      <c r="BD339" s="82">
        <v>989.57458389359101</v>
      </c>
      <c r="BE339" s="82">
        <v>983.76165130848153</v>
      </c>
      <c r="BF339" s="82">
        <v>1002.3855270344379</v>
      </c>
      <c r="BG339" s="82">
        <v>991.12267859514986</v>
      </c>
      <c r="BH339" s="82">
        <v>1012.7899052147376</v>
      </c>
      <c r="BI339" s="82">
        <v>1001.5043868846431</v>
      </c>
      <c r="BJ339" s="82">
        <v>1023.4911837657324</v>
      </c>
      <c r="BK339" s="82">
        <v>1019.6166397935814</v>
      </c>
      <c r="BL339" s="82">
        <v>1054.4614066428242</v>
      </c>
      <c r="BM339" s="82">
        <v>1063.9641669933412</v>
      </c>
      <c r="BN339" s="82">
        <v>1100.2830058637026</v>
      </c>
      <c r="BO339" s="82">
        <v>1104.0987155704504</v>
      </c>
      <c r="BP339" s="82">
        <v>1144.9589080366225</v>
      </c>
      <c r="BQ339" s="82">
        <v>1148.9295508584601</v>
      </c>
      <c r="BR339" s="82"/>
      <c r="BS339" s="82">
        <v>40.245354166666559</v>
      </c>
      <c r="BT339" s="82">
        <v>104.61361000000004</v>
      </c>
      <c r="BU339" s="82">
        <v>136.71704833333337</v>
      </c>
      <c r="BV339" s="82">
        <v>75.398072499999898</v>
      </c>
      <c r="BW339" s="82">
        <v>153.96256999999991</v>
      </c>
      <c r="BX339" s="82">
        <v>277.56656599999997</v>
      </c>
      <c r="BY339" s="82">
        <v>510.15588324999999</v>
      </c>
      <c r="BZ339" s="82">
        <v>292.40545049999997</v>
      </c>
      <c r="CA339" s="82">
        <v>195.15145038167995</v>
      </c>
      <c r="CB339" s="82">
        <v>329.03283692307735</v>
      </c>
      <c r="CC339" s="82">
        <v>394.51865557671226</v>
      </c>
      <c r="CD339" s="82">
        <v>511.23783682739713</v>
      </c>
      <c r="CE339" s="82">
        <v>353.30377250637514</v>
      </c>
      <c r="CF339" s="82">
        <v>520.68995350137004</v>
      </c>
      <c r="CG339" s="82">
        <v>542.3255650225251</v>
      </c>
      <c r="CH339" s="82">
        <v>582.78432736878528</v>
      </c>
      <c r="CI339" s="82">
        <v>269.2619301056472</v>
      </c>
      <c r="CJ339" s="82">
        <v>1635.909472586329</v>
      </c>
      <c r="CK339" s="82">
        <v>1207.5698061704265</v>
      </c>
      <c r="CL339" s="82">
        <v>650.66390854650047</v>
      </c>
      <c r="CM339" s="82">
        <v>731.16449326367194</v>
      </c>
      <c r="CN339" s="82">
        <v>1279.9755055054682</v>
      </c>
      <c r="CO339" s="82">
        <v>1760.1156883540896</v>
      </c>
      <c r="CP339" s="82">
        <v>2187.5516888994148</v>
      </c>
      <c r="CQ339" s="82">
        <v>2204.5487724623281</v>
      </c>
      <c r="CR339" s="82">
        <v>2421.1302298941646</v>
      </c>
      <c r="CS339" s="82">
        <v>2357.2932525837732</v>
      </c>
      <c r="CT339" s="82">
        <v>2452.0157381447016</v>
      </c>
      <c r="CU339" s="82">
        <v>3197.11154106309</v>
      </c>
      <c r="CV339" s="82">
        <v>3225.6224721844783</v>
      </c>
      <c r="CW339" s="82">
        <v>3012.7130696556787</v>
      </c>
      <c r="CX339" s="82">
        <v>1577.1068458336333</v>
      </c>
      <c r="CY339" s="83">
        <v>1391.9865241693551</v>
      </c>
      <c r="CZ339" s="82">
        <v>1995.8825126237541</v>
      </c>
      <c r="DA339" s="82">
        <v>1998.5729533361337</v>
      </c>
      <c r="DB339" s="82">
        <v>1962.0292885258868</v>
      </c>
      <c r="DC339" s="82">
        <v>1973.3362352020727</v>
      </c>
      <c r="DD339" s="82">
        <v>1993.5082056295878</v>
      </c>
      <c r="DE339" s="82">
        <v>2014.2942920993805</v>
      </c>
      <c r="DF339" s="82">
        <v>2043.1078235593138</v>
      </c>
      <c r="DG339" s="82">
        <v>2118.4255736361656</v>
      </c>
      <c r="DH339" s="82">
        <v>2204.381721434153</v>
      </c>
      <c r="DI339" s="82">
        <v>2293.8884588950823</v>
      </c>
    </row>
    <row r="340" spans="1:113" outlineLevel="1">
      <c r="C340" s="55"/>
      <c r="D340" s="55"/>
      <c r="E340" s="55"/>
      <c r="F340" s="55"/>
      <c r="G340" s="55"/>
      <c r="H340" s="55"/>
      <c r="I340" s="55"/>
      <c r="J340" s="55"/>
      <c r="K340" s="55"/>
      <c r="L340" s="55"/>
      <c r="M340" s="55"/>
      <c r="N340" s="55"/>
      <c r="O340" s="55"/>
      <c r="P340" s="55"/>
      <c r="Q340" s="55"/>
      <c r="R340" s="55"/>
      <c r="S340" s="55"/>
      <c r="T340" s="55"/>
      <c r="U340" s="55"/>
      <c r="V340" s="55"/>
      <c r="W340" s="55"/>
      <c r="X340" s="55"/>
      <c r="Y340" s="55"/>
      <c r="Z340" s="55"/>
      <c r="AA340" s="55"/>
      <c r="AB340" s="55"/>
      <c r="AC340" s="55"/>
      <c r="AD340" s="55"/>
      <c r="AE340" s="55"/>
      <c r="AF340" s="55"/>
      <c r="AG340" s="55"/>
      <c r="AH340" s="55"/>
      <c r="AI340" s="55"/>
      <c r="AJ340" s="55"/>
      <c r="AK340" s="55"/>
      <c r="AL340" s="55"/>
      <c r="AM340" s="55"/>
      <c r="AN340" s="55"/>
      <c r="AO340" s="55"/>
      <c r="AP340" s="55"/>
      <c r="AQ340" s="55"/>
      <c r="AR340" s="55"/>
      <c r="AS340" s="55"/>
      <c r="AT340" s="55"/>
      <c r="AU340" s="55"/>
      <c r="AV340" s="55"/>
      <c r="AW340" s="56"/>
      <c r="AX340" s="55"/>
      <c r="AY340" s="55"/>
      <c r="AZ340" s="55"/>
      <c r="BA340" s="55"/>
      <c r="BB340" s="55"/>
      <c r="BC340" s="55"/>
      <c r="BD340" s="55"/>
      <c r="BE340" s="55"/>
      <c r="BF340" s="55"/>
      <c r="BG340" s="55"/>
      <c r="BH340" s="55"/>
      <c r="BI340" s="55"/>
      <c r="BJ340" s="55"/>
      <c r="BK340" s="55"/>
      <c r="BL340" s="55"/>
      <c r="BM340" s="55"/>
      <c r="BN340" s="55"/>
      <c r="BO340" s="55"/>
      <c r="BP340" s="55"/>
      <c r="BQ340" s="55"/>
      <c r="BR340" s="55"/>
      <c r="BS340" s="55"/>
      <c r="BT340" s="55"/>
      <c r="BU340" s="55"/>
      <c r="BV340" s="55"/>
      <c r="BW340" s="55"/>
      <c r="BX340" s="55"/>
      <c r="BY340" s="55"/>
      <c r="BZ340" s="55"/>
      <c r="CA340" s="55"/>
      <c r="CB340" s="55"/>
      <c r="CC340" s="55"/>
      <c r="CD340" s="55"/>
      <c r="CE340" s="55"/>
      <c r="CF340" s="55"/>
      <c r="CG340" s="55"/>
      <c r="CH340" s="55"/>
      <c r="CI340" s="55"/>
      <c r="CJ340" s="55"/>
      <c r="CK340" s="55"/>
      <c r="CL340" s="55"/>
      <c r="CM340" s="55"/>
      <c r="CN340" s="55"/>
      <c r="CO340" s="55"/>
      <c r="CP340" s="55"/>
      <c r="CQ340" s="55"/>
      <c r="CR340" s="55"/>
      <c r="CS340" s="55"/>
      <c r="CT340" s="55"/>
      <c r="CU340" s="55"/>
      <c r="CV340" s="55"/>
      <c r="CW340" s="55"/>
      <c r="CX340" s="55"/>
      <c r="CY340" s="56"/>
      <c r="CZ340" s="55"/>
      <c r="DA340" s="55"/>
      <c r="DB340" s="55"/>
      <c r="DC340" s="55"/>
      <c r="DD340" s="55"/>
      <c r="DE340" s="55"/>
      <c r="DF340" s="55"/>
      <c r="DG340" s="55"/>
      <c r="DH340" s="55"/>
      <c r="DI340" s="55"/>
    </row>
    <row r="341" spans="1:113" s="24" customFormat="1" outlineLevel="1">
      <c r="A341" s="1"/>
      <c r="B341" s="24" t="s">
        <v>341</v>
      </c>
      <c r="C341" s="82"/>
      <c r="D341" s="82"/>
      <c r="E341" s="82"/>
      <c r="F341" s="82"/>
      <c r="G341" s="82"/>
      <c r="H341" s="82"/>
      <c r="I341" s="82"/>
      <c r="J341" s="82"/>
      <c r="K341" s="82"/>
      <c r="L341" s="82"/>
      <c r="M341" s="82"/>
      <c r="N341" s="82"/>
      <c r="O341" s="82"/>
      <c r="P341" s="82"/>
      <c r="Q341" s="82"/>
      <c r="R341" s="82"/>
      <c r="S341" s="82"/>
      <c r="T341" s="82"/>
      <c r="U341" s="82"/>
      <c r="V341" s="82"/>
      <c r="W341" s="82"/>
      <c r="X341" s="82"/>
      <c r="Y341" s="82"/>
      <c r="Z341" s="82"/>
      <c r="AA341" s="82"/>
      <c r="AB341" s="82"/>
      <c r="AC341" s="82"/>
      <c r="AD341" s="82"/>
      <c r="AE341" s="82"/>
      <c r="AF341" s="82"/>
      <c r="AG341" s="82"/>
      <c r="AH341" s="82"/>
      <c r="AI341" s="82"/>
      <c r="AJ341" s="82"/>
      <c r="AK341" s="82"/>
      <c r="AL341" s="82"/>
      <c r="AM341" s="82"/>
      <c r="AN341" s="82"/>
      <c r="AO341" s="82"/>
      <c r="AP341" s="82"/>
      <c r="AQ341" s="82"/>
      <c r="AR341" s="82"/>
      <c r="AS341" s="82"/>
      <c r="AT341" s="82"/>
      <c r="AU341" s="82"/>
      <c r="AV341" s="82"/>
      <c r="AW341" s="83"/>
      <c r="AX341" s="82"/>
      <c r="AY341" s="82"/>
      <c r="AZ341" s="82"/>
      <c r="BA341" s="82"/>
      <c r="BB341" s="82"/>
      <c r="BC341" s="82"/>
      <c r="BD341" s="82"/>
      <c r="BE341" s="82"/>
      <c r="BF341" s="82"/>
      <c r="BG341" s="82"/>
      <c r="BH341" s="82"/>
      <c r="BI341" s="82"/>
      <c r="BJ341" s="82"/>
      <c r="BK341" s="82"/>
      <c r="BL341" s="82"/>
      <c r="BM341" s="82"/>
      <c r="BN341" s="82"/>
      <c r="BO341" s="82"/>
      <c r="BP341" s="82"/>
      <c r="BQ341" s="82"/>
      <c r="BR341" s="82"/>
      <c r="BS341" s="82"/>
      <c r="BT341" s="82"/>
      <c r="BU341" s="82"/>
      <c r="BV341" s="82"/>
      <c r="BW341" s="82"/>
      <c r="BX341" s="82"/>
      <c r="BY341" s="82"/>
      <c r="BZ341" s="82"/>
      <c r="CA341" s="82"/>
      <c r="CB341" s="82"/>
      <c r="CC341" s="82"/>
      <c r="CD341" s="82"/>
      <c r="CE341" s="82"/>
      <c r="CF341" s="82"/>
      <c r="CG341" s="82"/>
      <c r="CH341" s="82"/>
      <c r="CI341" s="82"/>
      <c r="CJ341" s="82"/>
      <c r="CK341" s="82"/>
      <c r="CL341" s="82"/>
      <c r="CM341" s="82"/>
      <c r="CN341" s="82"/>
      <c r="CO341" s="82"/>
      <c r="CP341" s="82"/>
      <c r="CQ341" s="82"/>
      <c r="CR341" s="82"/>
      <c r="CS341" s="82"/>
      <c r="CT341" s="82"/>
      <c r="CU341" s="82"/>
      <c r="CV341" s="82"/>
      <c r="CW341" s="82"/>
      <c r="CX341" s="82"/>
      <c r="CY341" s="83"/>
      <c r="CZ341" s="82"/>
      <c r="DA341" s="82"/>
      <c r="DB341" s="82"/>
      <c r="DC341" s="82"/>
      <c r="DD341" s="82"/>
      <c r="DE341" s="82"/>
      <c r="DF341" s="82"/>
      <c r="DG341" s="82"/>
      <c r="DH341" s="82"/>
      <c r="DI341" s="82"/>
    </row>
    <row r="342" spans="1:113" outlineLevel="1">
      <c r="A342" s="1" t="s">
        <v>199</v>
      </c>
      <c r="B342" s="19" t="s">
        <v>164</v>
      </c>
      <c r="C342" s="55"/>
      <c r="D342" s="55"/>
      <c r="E342" s="55"/>
      <c r="F342" s="55"/>
      <c r="G342" s="55"/>
      <c r="H342" s="55"/>
      <c r="I342" s="55"/>
      <c r="J342" s="55"/>
      <c r="K342" s="55"/>
      <c r="L342" s="55"/>
      <c r="M342" s="55"/>
      <c r="N342" s="55"/>
      <c r="O342" s="55"/>
      <c r="P342" s="55"/>
      <c r="Q342" s="55"/>
      <c r="R342" s="55"/>
      <c r="S342" s="55"/>
      <c r="T342" s="55"/>
      <c r="U342" s="55"/>
      <c r="V342" s="55"/>
      <c r="W342" s="55"/>
      <c r="X342" s="55"/>
      <c r="Y342" s="55"/>
      <c r="Z342" s="55"/>
      <c r="AA342" s="55"/>
      <c r="AB342" s="55"/>
      <c r="AC342" s="55"/>
      <c r="AD342" s="55"/>
      <c r="AE342" s="55"/>
      <c r="AF342" s="55"/>
      <c r="AG342" s="55"/>
      <c r="AH342" s="55"/>
      <c r="AI342" s="55"/>
      <c r="AJ342" s="55"/>
      <c r="AK342" s="55"/>
      <c r="AL342" s="55"/>
      <c r="AM342" s="55"/>
      <c r="AN342" s="55"/>
      <c r="AO342" s="55"/>
      <c r="AP342" s="55"/>
      <c r="AQ342" s="55"/>
      <c r="AR342" s="55"/>
      <c r="AS342" s="55"/>
      <c r="AT342" s="55"/>
      <c r="AU342" s="55"/>
      <c r="AV342" s="55"/>
      <c r="AW342" s="56"/>
      <c r="AX342" s="55"/>
      <c r="AY342" s="55"/>
      <c r="AZ342" s="55"/>
      <c r="BA342" s="55"/>
      <c r="BB342" s="55"/>
      <c r="BC342" s="55"/>
      <c r="BD342" s="55"/>
      <c r="BE342" s="55"/>
      <c r="BF342" s="55"/>
      <c r="BG342" s="55"/>
      <c r="BH342" s="55"/>
      <c r="BI342" s="55"/>
      <c r="BJ342" s="55"/>
      <c r="BK342" s="55"/>
      <c r="BL342" s="55"/>
      <c r="BM342" s="55"/>
      <c r="BN342" s="55"/>
      <c r="BO342" s="55"/>
      <c r="BP342" s="55"/>
      <c r="BQ342" s="55"/>
      <c r="BR342" s="55"/>
      <c r="BS342" s="55"/>
      <c r="BT342" s="55"/>
      <c r="BU342" s="55"/>
      <c r="BV342" s="55"/>
      <c r="BW342" s="55"/>
      <c r="BX342" s="55"/>
      <c r="BY342" s="55"/>
      <c r="BZ342" s="55"/>
      <c r="CA342" s="55"/>
      <c r="CB342" s="55"/>
      <c r="CC342" s="55"/>
      <c r="CD342" s="55"/>
      <c r="CE342" s="55"/>
      <c r="CF342" s="55"/>
      <c r="CG342" s="55"/>
      <c r="CH342" s="55"/>
      <c r="CI342" s="55"/>
      <c r="CJ342" s="55"/>
      <c r="CK342" s="55"/>
      <c r="CL342" s="55"/>
      <c r="CM342" s="55"/>
      <c r="CN342" s="55"/>
      <c r="CO342" s="55"/>
      <c r="CP342" s="55"/>
      <c r="CQ342" s="55"/>
      <c r="CR342" s="55"/>
      <c r="CS342" s="55"/>
      <c r="CT342" s="55"/>
      <c r="CU342" s="55"/>
      <c r="CV342" s="55"/>
      <c r="CW342" s="55"/>
      <c r="CX342" s="55"/>
      <c r="CY342" s="56"/>
      <c r="CZ342" s="55"/>
      <c r="DA342" s="55"/>
      <c r="DB342" s="55"/>
      <c r="DC342" s="55"/>
      <c r="DD342" s="55"/>
      <c r="DE342" s="55"/>
      <c r="DF342" s="55"/>
      <c r="DG342" s="55"/>
      <c r="DH342" s="55"/>
      <c r="DI342" s="55"/>
    </row>
    <row r="343" spans="1:113" outlineLevel="1">
      <c r="A343" s="1" t="s">
        <v>121</v>
      </c>
      <c r="B343" s="19" t="s">
        <v>343</v>
      </c>
      <c r="C343" s="55"/>
      <c r="D343" s="55"/>
      <c r="E343" s="55"/>
      <c r="F343" s="55"/>
      <c r="G343" s="55"/>
      <c r="H343" s="55"/>
      <c r="I343" s="55"/>
      <c r="J343" s="55"/>
      <c r="K343" s="55"/>
      <c r="L343" s="55"/>
      <c r="M343" s="55"/>
      <c r="N343" s="55"/>
      <c r="O343" s="55"/>
      <c r="P343" s="55"/>
      <c r="Q343" s="55"/>
      <c r="R343" s="55"/>
      <c r="S343" s="55"/>
      <c r="T343" s="55"/>
      <c r="U343" s="55"/>
      <c r="V343" s="55"/>
      <c r="W343" s="55"/>
      <c r="X343" s="55"/>
      <c r="Y343" s="55"/>
      <c r="Z343" s="55"/>
      <c r="AA343" s="55"/>
      <c r="AB343" s="55"/>
      <c r="AC343" s="55"/>
      <c r="AD343" s="55"/>
      <c r="AE343" s="55"/>
      <c r="AF343" s="55"/>
      <c r="AG343" s="55"/>
      <c r="AH343" s="55"/>
      <c r="AI343" s="55"/>
      <c r="AJ343" s="55"/>
      <c r="AK343" s="55"/>
      <c r="AL343" s="55"/>
      <c r="AM343" s="55"/>
      <c r="AN343" s="55"/>
      <c r="AO343" s="55"/>
      <c r="AP343" s="55"/>
      <c r="AQ343" s="55"/>
      <c r="AR343" s="55"/>
      <c r="AS343" s="55"/>
      <c r="AT343" s="55"/>
      <c r="AU343" s="55"/>
      <c r="AV343" s="55"/>
      <c r="AW343" s="56"/>
      <c r="AX343" s="55"/>
      <c r="AY343" s="55"/>
      <c r="AZ343" s="55"/>
      <c r="BA343" s="55"/>
      <c r="BB343" s="55"/>
      <c r="BC343" s="55"/>
      <c r="BD343" s="55"/>
      <c r="BE343" s="55"/>
      <c r="BF343" s="55"/>
      <c r="BG343" s="55"/>
      <c r="BH343" s="55"/>
      <c r="BI343" s="55"/>
      <c r="BJ343" s="55"/>
      <c r="BK343" s="55"/>
      <c r="BL343" s="55"/>
      <c r="BM343" s="55"/>
      <c r="BN343" s="55"/>
      <c r="BO343" s="55"/>
      <c r="BP343" s="55"/>
      <c r="BQ343" s="55"/>
      <c r="BR343" s="55"/>
      <c r="BS343" s="55"/>
      <c r="BT343" s="55"/>
      <c r="BU343" s="55"/>
      <c r="BV343" s="55"/>
      <c r="BW343" s="55"/>
      <c r="BX343" s="55"/>
      <c r="BY343" s="55"/>
      <c r="BZ343" s="55"/>
      <c r="CA343" s="55"/>
      <c r="CB343" s="55"/>
      <c r="CC343" s="55"/>
      <c r="CD343" s="55"/>
      <c r="CE343" s="55"/>
      <c r="CF343" s="55"/>
      <c r="CG343" s="55"/>
      <c r="CH343" s="55"/>
      <c r="CI343" s="55"/>
      <c r="CJ343" s="55"/>
      <c r="CK343" s="55"/>
      <c r="CL343" s="55"/>
      <c r="CM343" s="55"/>
      <c r="CN343" s="55"/>
      <c r="CO343" s="55"/>
      <c r="CP343" s="55"/>
      <c r="CQ343" s="55"/>
      <c r="CR343" s="55"/>
      <c r="CS343" s="55"/>
      <c r="CT343" s="55"/>
      <c r="CU343" s="55"/>
      <c r="CV343" s="55"/>
      <c r="CW343" s="55"/>
      <c r="CX343" s="55"/>
      <c r="CY343" s="56"/>
      <c r="CZ343" s="55"/>
      <c r="DA343" s="55"/>
      <c r="DB343" s="55"/>
      <c r="DC343" s="55"/>
      <c r="DD343" s="55"/>
      <c r="DE343" s="55"/>
      <c r="DF343" s="55"/>
      <c r="DG343" s="55"/>
      <c r="DH343" s="55"/>
      <c r="DI343" s="55"/>
    </row>
    <row r="344" spans="1:113" s="24" customFormat="1" outlineLevel="1">
      <c r="A344" s="1" t="s">
        <v>122</v>
      </c>
      <c r="B344" s="24" t="s">
        <v>168</v>
      </c>
      <c r="C344" s="82">
        <v>0</v>
      </c>
      <c r="D344" s="82">
        <v>0</v>
      </c>
      <c r="E344" s="82">
        <v>0</v>
      </c>
      <c r="F344" s="82">
        <v>0</v>
      </c>
      <c r="G344" s="82">
        <v>0</v>
      </c>
      <c r="H344" s="82">
        <v>0</v>
      </c>
      <c r="I344" s="82">
        <v>0</v>
      </c>
      <c r="J344" s="82">
        <v>0</v>
      </c>
      <c r="K344" s="82">
        <v>0</v>
      </c>
      <c r="L344" s="82">
        <v>0</v>
      </c>
      <c r="M344" s="82">
        <v>0</v>
      </c>
      <c r="N344" s="82">
        <v>0</v>
      </c>
      <c r="O344" s="82">
        <v>0</v>
      </c>
      <c r="P344" s="82">
        <v>0</v>
      </c>
      <c r="Q344" s="82">
        <v>0</v>
      </c>
      <c r="R344" s="82">
        <v>0</v>
      </c>
      <c r="S344" s="82">
        <v>0</v>
      </c>
      <c r="T344" s="82">
        <v>-5.9289463711082906</v>
      </c>
      <c r="U344" s="82">
        <v>-42.997280722098388</v>
      </c>
      <c r="V344" s="82">
        <v>-49.83430553243015</v>
      </c>
      <c r="W344" s="82">
        <v>-61.187956516937398</v>
      </c>
      <c r="X344" s="82">
        <v>-54.877054536353434</v>
      </c>
      <c r="Y344" s="82">
        <v>-26.274785573770341</v>
      </c>
      <c r="Z344" s="82">
        <v>20.673316423716457</v>
      </c>
      <c r="AA344" s="82">
        <v>30.039859820070273</v>
      </c>
      <c r="AB344" s="82">
        <v>51.125172934827951</v>
      </c>
      <c r="AC344" s="82">
        <v>38.981232671232846</v>
      </c>
      <c r="AD344" s="82">
        <v>34.135070702366185</v>
      </c>
      <c r="AE344" s="82">
        <v>83.042697045428724</v>
      </c>
      <c r="AF344" s="82">
        <v>69.409949991720936</v>
      </c>
      <c r="AG344" s="82">
        <v>86.561728688524255</v>
      </c>
      <c r="AH344" s="82">
        <v>122.003180714227</v>
      </c>
      <c r="AI344" s="82">
        <v>162.98495009315073</v>
      </c>
      <c r="AJ344" s="82">
        <v>192.84905189462575</v>
      </c>
      <c r="AK344" s="82">
        <v>181.33728004847256</v>
      </c>
      <c r="AL344" s="82">
        <v>237.21338980654602</v>
      </c>
      <c r="AM344" s="82">
        <v>270.20392139014552</v>
      </c>
      <c r="AN344" s="82">
        <v>316.9779448584203</v>
      </c>
      <c r="AO344" s="82">
        <v>309.26351868852453</v>
      </c>
      <c r="AP344" s="82">
        <v>233.3209303196347</v>
      </c>
      <c r="AQ344" s="82">
        <v>197.1488596220378</v>
      </c>
      <c r="AR344" s="82">
        <v>237.0828016561953</v>
      </c>
      <c r="AS344" s="82">
        <v>213.77491616992677</v>
      </c>
      <c r="AT344" s="82">
        <v>185.02349357532148</v>
      </c>
      <c r="AU344" s="82">
        <v>251.65975186743947</v>
      </c>
      <c r="AV344" s="82">
        <v>203.6692952897852</v>
      </c>
      <c r="AW344" s="83">
        <v>271.90391863770498</v>
      </c>
      <c r="AX344" s="82">
        <v>280.66759489160472</v>
      </c>
      <c r="AY344" s="82">
        <v>272.0085044898745</v>
      </c>
      <c r="AZ344" s="82">
        <v>263.62109737940739</v>
      </c>
      <c r="BA344" s="82">
        <v>250.65944247841392</v>
      </c>
      <c r="BB344" s="82">
        <v>251.92752169670734</v>
      </c>
      <c r="BC344" s="82">
        <v>247.90468506229277</v>
      </c>
      <c r="BD344" s="82">
        <v>254.25530567761643</v>
      </c>
      <c r="BE344" s="82">
        <v>254.44562229212815</v>
      </c>
      <c r="BF344" s="82">
        <v>260.99818510069736</v>
      </c>
      <c r="BG344" s="82">
        <v>259.80163679159443</v>
      </c>
      <c r="BH344" s="82">
        <v>267.27597903737598</v>
      </c>
      <c r="BI344" s="82">
        <v>266.093342828988</v>
      </c>
      <c r="BJ344" s="82">
        <v>273.7918454598551</v>
      </c>
      <c r="BK344" s="82">
        <v>273.81860355127782</v>
      </c>
      <c r="BL344" s="82">
        <v>283.45362679922914</v>
      </c>
      <c r="BM344" s="82">
        <v>286.28832137500831</v>
      </c>
      <c r="BN344" s="82">
        <v>296.35096534306541</v>
      </c>
      <c r="BO344" s="82">
        <v>297.67006721557783</v>
      </c>
      <c r="BP344" s="82">
        <v>308.9886239463134</v>
      </c>
      <c r="BQ344" s="82">
        <v>310.36399103464618</v>
      </c>
      <c r="BR344" s="82"/>
      <c r="BS344" s="82">
        <v>0</v>
      </c>
      <c r="BT344" s="82">
        <v>0</v>
      </c>
      <c r="BU344" s="82">
        <v>0</v>
      </c>
      <c r="BV344" s="82">
        <v>0</v>
      </c>
      <c r="BW344" s="82">
        <v>0</v>
      </c>
      <c r="BX344" s="82">
        <v>0</v>
      </c>
      <c r="BY344" s="82">
        <v>0</v>
      </c>
      <c r="BZ344" s="82">
        <v>0</v>
      </c>
      <c r="CA344" s="82">
        <v>0</v>
      </c>
      <c r="CB344" s="82">
        <v>0</v>
      </c>
      <c r="CC344" s="82">
        <v>0</v>
      </c>
      <c r="CD344" s="82">
        <v>0</v>
      </c>
      <c r="CE344" s="82">
        <v>0</v>
      </c>
      <c r="CF344" s="82">
        <v>0</v>
      </c>
      <c r="CG344" s="82">
        <v>0</v>
      </c>
      <c r="CH344" s="82">
        <v>0</v>
      </c>
      <c r="CI344" s="82">
        <v>0</v>
      </c>
      <c r="CJ344" s="82">
        <v>0</v>
      </c>
      <c r="CK344" s="82">
        <v>-48.926227093206677</v>
      </c>
      <c r="CL344" s="82">
        <v>-111.02226204936755</v>
      </c>
      <c r="CM344" s="82">
        <v>-81.151840110123771</v>
      </c>
      <c r="CN344" s="82">
        <v>50.713176243786734</v>
      </c>
      <c r="CO344" s="82">
        <v>90.106405606060804</v>
      </c>
      <c r="CP344" s="82">
        <v>117.17776774779492</v>
      </c>
      <c r="CQ344" s="82">
        <v>155.97167868024519</v>
      </c>
      <c r="CR344" s="82">
        <v>284.98813080737773</v>
      </c>
      <c r="CS344" s="82">
        <v>374.18633194309831</v>
      </c>
      <c r="CT344" s="82">
        <v>507.41731119669157</v>
      </c>
      <c r="CU344" s="82">
        <v>626.24146354694483</v>
      </c>
      <c r="CV344" s="82">
        <v>430.4697899416725</v>
      </c>
      <c r="CW344" s="82">
        <v>450.8577178261221</v>
      </c>
      <c r="CX344" s="82">
        <v>436.68324544276095</v>
      </c>
      <c r="CY344" s="83">
        <v>475.5732139274902</v>
      </c>
      <c r="CZ344" s="82">
        <v>552.67609938147916</v>
      </c>
      <c r="DA344" s="82">
        <v>514.28053985782128</v>
      </c>
      <c r="DB344" s="82">
        <v>499.83220675900009</v>
      </c>
      <c r="DC344" s="82">
        <v>508.70092796974461</v>
      </c>
      <c r="DD344" s="82">
        <v>520.79982189229179</v>
      </c>
      <c r="DE344" s="82">
        <v>533.36932186636398</v>
      </c>
      <c r="DF344" s="82">
        <v>547.61044901113291</v>
      </c>
      <c r="DG344" s="82">
        <v>569.74194817423745</v>
      </c>
      <c r="DH344" s="82">
        <v>594.02103255864324</v>
      </c>
      <c r="DI344" s="82">
        <v>619.35261498095952</v>
      </c>
    </row>
    <row r="345" spans="1:113" outlineLevel="1">
      <c r="C345" s="55"/>
      <c r="D345" s="55"/>
      <c r="E345" s="55"/>
      <c r="F345" s="55"/>
      <c r="G345" s="55"/>
      <c r="H345" s="55"/>
      <c r="I345" s="55"/>
      <c r="J345" s="55"/>
      <c r="K345" s="55"/>
      <c r="L345" s="55"/>
      <c r="M345" s="55"/>
      <c r="N345" s="55"/>
      <c r="O345" s="55"/>
      <c r="P345" s="55"/>
      <c r="Q345" s="55"/>
      <c r="R345" s="55"/>
      <c r="S345" s="55"/>
      <c r="T345" s="55"/>
      <c r="U345" s="55"/>
      <c r="V345" s="55"/>
      <c r="W345" s="55"/>
      <c r="X345" s="55"/>
      <c r="Y345" s="55"/>
      <c r="Z345" s="55"/>
      <c r="AA345" s="55"/>
      <c r="AB345" s="55"/>
      <c r="AC345" s="55"/>
      <c r="AD345" s="55"/>
      <c r="AE345" s="55"/>
      <c r="AF345" s="55"/>
      <c r="AG345" s="55"/>
      <c r="AH345" s="55"/>
      <c r="AI345" s="55"/>
      <c r="AJ345" s="55"/>
      <c r="AK345" s="55"/>
      <c r="AL345" s="55"/>
      <c r="AM345" s="55"/>
      <c r="AN345" s="55"/>
      <c r="AO345" s="55"/>
      <c r="AP345" s="55"/>
      <c r="AQ345" s="55"/>
      <c r="AR345" s="55"/>
      <c r="AS345" s="55"/>
      <c r="AT345" s="55"/>
      <c r="AU345" s="55"/>
      <c r="AV345" s="55"/>
      <c r="AW345" s="56"/>
      <c r="AX345" s="55"/>
      <c r="AY345" s="55"/>
      <c r="AZ345" s="55"/>
      <c r="BA345" s="55"/>
      <c r="BB345" s="55"/>
      <c r="BC345" s="55"/>
      <c r="BD345" s="55"/>
      <c r="BE345" s="55"/>
      <c r="BF345" s="55"/>
      <c r="BG345" s="55"/>
      <c r="BH345" s="55"/>
      <c r="BI345" s="55"/>
      <c r="BJ345" s="55"/>
      <c r="BK345" s="55"/>
      <c r="BL345" s="55"/>
      <c r="BM345" s="55"/>
      <c r="BN345" s="55"/>
      <c r="BO345" s="55"/>
      <c r="BP345" s="55"/>
      <c r="BQ345" s="55"/>
      <c r="BR345" s="55"/>
      <c r="BS345" s="55"/>
      <c r="BT345" s="55"/>
      <c r="BU345" s="55"/>
      <c r="BV345" s="55"/>
      <c r="BW345" s="55"/>
      <c r="BX345" s="55"/>
      <c r="BY345" s="55"/>
      <c r="BZ345" s="55"/>
      <c r="CA345" s="55"/>
      <c r="CB345" s="55"/>
      <c r="CC345" s="55"/>
      <c r="CD345" s="55"/>
      <c r="CE345" s="55"/>
      <c r="CF345" s="55"/>
      <c r="CG345" s="55"/>
      <c r="CH345" s="55"/>
      <c r="CI345" s="55"/>
      <c r="CJ345" s="55"/>
      <c r="CK345" s="55"/>
      <c r="CL345" s="55"/>
      <c r="CM345" s="55"/>
      <c r="CN345" s="55"/>
      <c r="CO345" s="55"/>
      <c r="CP345" s="55"/>
      <c r="CQ345" s="55"/>
      <c r="CR345" s="55"/>
      <c r="CS345" s="55"/>
      <c r="CT345" s="55"/>
      <c r="CU345" s="55"/>
      <c r="CV345" s="55"/>
      <c r="CW345" s="55"/>
      <c r="CX345" s="55"/>
      <c r="CY345" s="56"/>
      <c r="CZ345" s="55"/>
      <c r="DA345" s="55"/>
      <c r="DB345" s="55"/>
      <c r="DC345" s="55"/>
      <c r="DD345" s="55"/>
      <c r="DE345" s="55"/>
      <c r="DF345" s="55"/>
      <c r="DG345" s="55"/>
      <c r="DH345" s="55"/>
      <c r="DI345" s="55"/>
    </row>
    <row r="346" spans="1:113" s="24" customFormat="1" outlineLevel="1">
      <c r="A346" s="1"/>
      <c r="B346" s="24" t="s">
        <v>342</v>
      </c>
      <c r="C346" s="82"/>
      <c r="D346" s="82"/>
      <c r="E346" s="82"/>
      <c r="F346" s="82"/>
      <c r="G346" s="82"/>
      <c r="H346" s="82"/>
      <c r="I346" s="82"/>
      <c r="J346" s="82"/>
      <c r="K346" s="82"/>
      <c r="L346" s="82"/>
      <c r="M346" s="82"/>
      <c r="N346" s="82"/>
      <c r="O346" s="82"/>
      <c r="P346" s="82"/>
      <c r="Q346" s="82"/>
      <c r="R346" s="82"/>
      <c r="S346" s="82"/>
      <c r="T346" s="82"/>
      <c r="U346" s="82"/>
      <c r="V346" s="82"/>
      <c r="W346" s="82"/>
      <c r="X346" s="82"/>
      <c r="Y346" s="82"/>
      <c r="Z346" s="82"/>
      <c r="AA346" s="82"/>
      <c r="AB346" s="82"/>
      <c r="AC346" s="82"/>
      <c r="AD346" s="82"/>
      <c r="AE346" s="82"/>
      <c r="AF346" s="82"/>
      <c r="AG346" s="82"/>
      <c r="AH346" s="82"/>
      <c r="AI346" s="82"/>
      <c r="AJ346" s="82"/>
      <c r="AK346" s="82"/>
      <c r="AL346" s="82"/>
      <c r="AM346" s="82"/>
      <c r="AN346" s="82"/>
      <c r="AO346" s="82"/>
      <c r="AP346" s="82"/>
      <c r="AQ346" s="82"/>
      <c r="AR346" s="82"/>
      <c r="AS346" s="82"/>
      <c r="AT346" s="82"/>
      <c r="AU346" s="82"/>
      <c r="AV346" s="82"/>
      <c r="AW346" s="83"/>
      <c r="AX346" s="82"/>
      <c r="AY346" s="82"/>
      <c r="AZ346" s="82"/>
      <c r="BA346" s="82"/>
      <c r="BB346" s="82"/>
      <c r="BC346" s="82"/>
      <c r="BD346" s="82"/>
      <c r="BE346" s="82"/>
      <c r="BF346" s="82"/>
      <c r="BG346" s="82"/>
      <c r="BH346" s="82"/>
      <c r="BI346" s="82"/>
      <c r="BJ346" s="82"/>
      <c r="BK346" s="82"/>
      <c r="BL346" s="82"/>
      <c r="BM346" s="82"/>
      <c r="BN346" s="82"/>
      <c r="BO346" s="82"/>
      <c r="BP346" s="82"/>
      <c r="BQ346" s="82"/>
      <c r="BR346" s="82"/>
      <c r="BS346" s="82"/>
      <c r="BT346" s="82"/>
      <c r="BU346" s="82"/>
      <c r="BV346" s="82"/>
      <c r="BW346" s="82"/>
      <c r="BX346" s="82"/>
      <c r="BY346" s="82"/>
      <c r="BZ346" s="82"/>
      <c r="CA346" s="82"/>
      <c r="CB346" s="82"/>
      <c r="CC346" s="82"/>
      <c r="CD346" s="82"/>
      <c r="CE346" s="82"/>
      <c r="CF346" s="82"/>
      <c r="CG346" s="82"/>
      <c r="CH346" s="82"/>
      <c r="CI346" s="82"/>
      <c r="CJ346" s="82"/>
      <c r="CK346" s="82"/>
      <c r="CL346" s="82"/>
      <c r="CM346" s="82"/>
      <c r="CN346" s="82"/>
      <c r="CO346" s="82"/>
      <c r="CP346" s="82"/>
      <c r="CQ346" s="82"/>
      <c r="CR346" s="82"/>
      <c r="CS346" s="82"/>
      <c r="CT346" s="82"/>
      <c r="CU346" s="82"/>
      <c r="CV346" s="82"/>
      <c r="CW346" s="82"/>
      <c r="CX346" s="82"/>
      <c r="CY346" s="83"/>
      <c r="CZ346" s="82"/>
      <c r="DA346" s="82"/>
      <c r="DB346" s="82"/>
      <c r="DC346" s="82"/>
      <c r="DD346" s="82"/>
      <c r="DE346" s="82"/>
      <c r="DF346" s="82"/>
      <c r="DG346" s="82"/>
      <c r="DH346" s="82"/>
      <c r="DI346" s="82"/>
    </row>
    <row r="347" spans="1:113" outlineLevel="1">
      <c r="A347" s="1" t="s">
        <v>123</v>
      </c>
      <c r="B347" s="19" t="s">
        <v>164</v>
      </c>
      <c r="C347" s="55"/>
      <c r="D347" s="55"/>
      <c r="E347" s="55"/>
      <c r="F347" s="55"/>
      <c r="G347" s="55"/>
      <c r="H347" s="55"/>
      <c r="I347" s="55"/>
      <c r="J347" s="55"/>
      <c r="K347" s="55"/>
      <c r="L347" s="55"/>
      <c r="M347" s="55"/>
      <c r="N347" s="55"/>
      <c r="O347" s="55"/>
      <c r="P347" s="55"/>
      <c r="Q347" s="55"/>
      <c r="R347" s="55"/>
      <c r="S347" s="55"/>
      <c r="T347" s="55"/>
      <c r="U347" s="55"/>
      <c r="V347" s="55"/>
      <c r="W347" s="55"/>
      <c r="X347" s="55"/>
      <c r="Y347" s="55"/>
      <c r="Z347" s="55"/>
      <c r="AA347" s="55"/>
      <c r="AB347" s="55"/>
      <c r="AC347" s="55"/>
      <c r="AD347" s="55"/>
      <c r="AE347" s="55"/>
      <c r="AF347" s="55"/>
      <c r="AG347" s="55"/>
      <c r="AH347" s="55"/>
      <c r="AI347" s="55"/>
      <c r="AJ347" s="55"/>
      <c r="AK347" s="55"/>
      <c r="AL347" s="55"/>
      <c r="AM347" s="55"/>
      <c r="AN347" s="55"/>
      <c r="AO347" s="55"/>
      <c r="AP347" s="55"/>
      <c r="AQ347" s="55"/>
      <c r="AR347" s="55"/>
      <c r="AS347" s="55"/>
      <c r="AT347" s="55"/>
      <c r="AU347" s="55"/>
      <c r="AV347" s="55"/>
      <c r="AW347" s="56"/>
      <c r="AX347" s="55"/>
      <c r="AY347" s="55"/>
      <c r="AZ347" s="55"/>
      <c r="BA347" s="55"/>
      <c r="BB347" s="55"/>
      <c r="BC347" s="55"/>
      <c r="BD347" s="55"/>
      <c r="BE347" s="55"/>
      <c r="BF347" s="55"/>
      <c r="BG347" s="55"/>
      <c r="BH347" s="55"/>
      <c r="BI347" s="55"/>
      <c r="BJ347" s="55"/>
      <c r="BK347" s="55"/>
      <c r="BL347" s="55"/>
      <c r="BM347" s="55"/>
      <c r="BN347" s="55"/>
      <c r="BO347" s="55"/>
      <c r="BP347" s="55"/>
      <c r="BQ347" s="55"/>
      <c r="BR347" s="55"/>
      <c r="BS347" s="55"/>
      <c r="BT347" s="55"/>
      <c r="BU347" s="55"/>
      <c r="BV347" s="55"/>
      <c r="BW347" s="55"/>
      <c r="BX347" s="55"/>
      <c r="BY347" s="55"/>
      <c r="BZ347" s="55"/>
      <c r="CA347" s="55"/>
      <c r="CB347" s="55"/>
      <c r="CC347" s="55"/>
      <c r="CD347" s="55"/>
      <c r="CE347" s="55"/>
      <c r="CF347" s="55"/>
      <c r="CG347" s="55"/>
      <c r="CH347" s="55"/>
      <c r="CI347" s="55"/>
      <c r="CJ347" s="55"/>
      <c r="CK347" s="55"/>
      <c r="CL347" s="55"/>
      <c r="CM347" s="55"/>
      <c r="CN347" s="55"/>
      <c r="CO347" s="55"/>
      <c r="CP347" s="55"/>
      <c r="CQ347" s="55"/>
      <c r="CR347" s="55"/>
      <c r="CS347" s="55"/>
      <c r="CT347" s="55"/>
      <c r="CU347" s="55"/>
      <c r="CV347" s="55"/>
      <c r="CW347" s="55"/>
      <c r="CX347" s="55"/>
      <c r="CY347" s="56"/>
      <c r="CZ347" s="55"/>
      <c r="DA347" s="55"/>
      <c r="DB347" s="55"/>
      <c r="DC347" s="55"/>
      <c r="DD347" s="55"/>
      <c r="DE347" s="55"/>
      <c r="DF347" s="55"/>
      <c r="DG347" s="55"/>
      <c r="DH347" s="55"/>
      <c r="DI347" s="55"/>
    </row>
    <row r="348" spans="1:113" outlineLevel="1">
      <c r="A348" s="1" t="s">
        <v>124</v>
      </c>
      <c r="B348" s="19" t="s">
        <v>343</v>
      </c>
      <c r="C348" s="55"/>
      <c r="D348" s="55"/>
      <c r="E348" s="55"/>
      <c r="F348" s="55"/>
      <c r="G348" s="55"/>
      <c r="H348" s="55"/>
      <c r="I348" s="55"/>
      <c r="J348" s="55"/>
      <c r="K348" s="55"/>
      <c r="L348" s="55"/>
      <c r="M348" s="55"/>
      <c r="N348" s="55"/>
      <c r="O348" s="55"/>
      <c r="P348" s="55"/>
      <c r="Q348" s="55"/>
      <c r="R348" s="55"/>
      <c r="S348" s="55"/>
      <c r="T348" s="55"/>
      <c r="U348" s="55"/>
      <c r="V348" s="55"/>
      <c r="W348" s="55"/>
      <c r="X348" s="55"/>
      <c r="Y348" s="55"/>
      <c r="Z348" s="55"/>
      <c r="AA348" s="55"/>
      <c r="AB348" s="55"/>
      <c r="AC348" s="55"/>
      <c r="AD348" s="55"/>
      <c r="AE348" s="55"/>
      <c r="AF348" s="55"/>
      <c r="AG348" s="55"/>
      <c r="AH348" s="55"/>
      <c r="AI348" s="55"/>
      <c r="AJ348" s="55"/>
      <c r="AK348" s="55"/>
      <c r="AL348" s="55"/>
      <c r="AM348" s="55"/>
      <c r="AN348" s="55"/>
      <c r="AO348" s="55"/>
      <c r="AP348" s="55"/>
      <c r="AQ348" s="55"/>
      <c r="AR348" s="55"/>
      <c r="AS348" s="55"/>
      <c r="AT348" s="55"/>
      <c r="AU348" s="55"/>
      <c r="AV348" s="55"/>
      <c r="AW348" s="56"/>
      <c r="AX348" s="55"/>
      <c r="AY348" s="55"/>
      <c r="AZ348" s="55"/>
      <c r="BA348" s="55"/>
      <c r="BB348" s="55"/>
      <c r="BC348" s="55"/>
      <c r="BD348" s="55"/>
      <c r="BE348" s="55"/>
      <c r="BF348" s="55"/>
      <c r="BG348" s="55"/>
      <c r="BH348" s="55"/>
      <c r="BI348" s="55"/>
      <c r="BJ348" s="55"/>
      <c r="BK348" s="55"/>
      <c r="BL348" s="55"/>
      <c r="BM348" s="55"/>
      <c r="BN348" s="55"/>
      <c r="BO348" s="55"/>
      <c r="BP348" s="55"/>
      <c r="BQ348" s="55"/>
      <c r="BR348" s="55"/>
      <c r="BS348" s="55"/>
      <c r="BT348" s="55"/>
      <c r="BU348" s="55"/>
      <c r="BV348" s="55"/>
      <c r="BW348" s="55"/>
      <c r="BX348" s="55"/>
      <c r="BY348" s="55"/>
      <c r="BZ348" s="55"/>
      <c r="CA348" s="55"/>
      <c r="CB348" s="55"/>
      <c r="CC348" s="55"/>
      <c r="CD348" s="55"/>
      <c r="CE348" s="55"/>
      <c r="CF348" s="55"/>
      <c r="CG348" s="55"/>
      <c r="CH348" s="55"/>
      <c r="CI348" s="55"/>
      <c r="CJ348" s="55"/>
      <c r="CK348" s="55"/>
      <c r="CL348" s="55"/>
      <c r="CM348" s="55"/>
      <c r="CN348" s="55"/>
      <c r="CO348" s="55"/>
      <c r="CP348" s="55"/>
      <c r="CQ348" s="55"/>
      <c r="CR348" s="55"/>
      <c r="CS348" s="55"/>
      <c r="CT348" s="55"/>
      <c r="CU348" s="55"/>
      <c r="CV348" s="55"/>
      <c r="CW348" s="55"/>
      <c r="CX348" s="55"/>
      <c r="CY348" s="56"/>
      <c r="CZ348" s="55"/>
      <c r="DA348" s="55"/>
      <c r="DB348" s="55"/>
      <c r="DC348" s="55"/>
      <c r="DD348" s="55"/>
      <c r="DE348" s="55"/>
      <c r="DF348" s="55"/>
      <c r="DG348" s="55"/>
      <c r="DH348" s="55"/>
      <c r="DI348" s="55"/>
    </row>
    <row r="349" spans="1:113" s="24" customFormat="1" outlineLevel="1">
      <c r="A349" s="1" t="s">
        <v>125</v>
      </c>
      <c r="B349" s="24" t="s">
        <v>581</v>
      </c>
      <c r="C349" s="82">
        <v>1501.6172476616437</v>
      </c>
      <c r="D349" s="82">
        <v>1527.292718115069</v>
      </c>
      <c r="E349" s="82">
        <v>1208.8132581315058</v>
      </c>
      <c r="F349" s="82">
        <v>1240.9367396712325</v>
      </c>
      <c r="G349" s="82">
        <v>1439.6606391780833</v>
      </c>
      <c r="H349" s="82">
        <v>1196.5047441530048</v>
      </c>
      <c r="I349" s="82">
        <v>1123.3259901639344</v>
      </c>
      <c r="J349" s="82">
        <v>1478.6012949771689</v>
      </c>
      <c r="K349" s="82">
        <v>1433.9768093616442</v>
      </c>
      <c r="L349" s="82">
        <v>1650.7085416604434</v>
      </c>
      <c r="M349" s="82">
        <v>828.11218786975724</v>
      </c>
      <c r="N349" s="82">
        <v>1422.2823720974598</v>
      </c>
      <c r="O349" s="82">
        <v>969.24617951064045</v>
      </c>
      <c r="P349" s="82">
        <v>-673.2203283987393</v>
      </c>
      <c r="Q349" s="82">
        <v>107.1630560491796</v>
      </c>
      <c r="R349" s="82">
        <v>3122.5482470136999</v>
      </c>
      <c r="S349" s="82">
        <v>6412.7539762801343</v>
      </c>
      <c r="T349" s="82">
        <v>5358.4560450311365</v>
      </c>
      <c r="U349" s="82">
        <v>4714.2924001019383</v>
      </c>
      <c r="V349" s="82">
        <v>4592.7269175880538</v>
      </c>
      <c r="W349" s="82">
        <v>4755.1851423107173</v>
      </c>
      <c r="X349" s="82">
        <v>5154.5473329495644</v>
      </c>
      <c r="Y349" s="82">
        <v>6229.3761253005559</v>
      </c>
      <c r="Z349" s="82">
        <v>7110.6315957419247</v>
      </c>
      <c r="AA349" s="82">
        <v>7598.7454721592967</v>
      </c>
      <c r="AB349" s="82">
        <v>8018.4661464508181</v>
      </c>
      <c r="AC349" s="82">
        <v>7618.3127367351599</v>
      </c>
      <c r="AD349" s="82">
        <v>7590.4797679038629</v>
      </c>
      <c r="AE349" s="82">
        <v>8243.9547173904284</v>
      </c>
      <c r="AF349" s="82">
        <v>8444.3911866203125</v>
      </c>
      <c r="AG349" s="82">
        <v>8382.7859830600992</v>
      </c>
      <c r="AH349" s="82">
        <v>9383.1158815231993</v>
      </c>
      <c r="AI349" s="82">
        <v>9290.0560411767146</v>
      </c>
      <c r="AJ349" s="82">
        <v>9791.3460656522584</v>
      </c>
      <c r="AK349" s="82">
        <v>8864.5898494057037</v>
      </c>
      <c r="AL349" s="82">
        <v>8858.229385757606</v>
      </c>
      <c r="AM349" s="82">
        <v>9445.6042652916003</v>
      </c>
      <c r="AN349" s="82">
        <v>11313.637266766023</v>
      </c>
      <c r="AO349" s="82">
        <v>11754.619015956283</v>
      </c>
      <c r="AP349" s="82">
        <v>12092.426816396848</v>
      </c>
      <c r="AQ349" s="82">
        <v>11678.193604459553</v>
      </c>
      <c r="AR349" s="82">
        <v>11492.480790095788</v>
      </c>
      <c r="AS349" s="82">
        <v>9356.7836127313185</v>
      </c>
      <c r="AT349" s="82">
        <v>4820.4159395135384</v>
      </c>
      <c r="AU349" s="82">
        <v>4076.1458276606968</v>
      </c>
      <c r="AV349" s="82">
        <v>3954.4768854007348</v>
      </c>
      <c r="AW349" s="83">
        <v>5746.6312155049227</v>
      </c>
      <c r="AX349" s="82">
        <v>5846.9041650343343</v>
      </c>
      <c r="AY349" s="82">
        <v>5860.1434404036827</v>
      </c>
      <c r="AZ349" s="82">
        <v>6049.697470081268</v>
      </c>
      <c r="BA349" s="82">
        <v>5973.3695689366032</v>
      </c>
      <c r="BB349" s="82">
        <v>6051.7689911173447</v>
      </c>
      <c r="BC349" s="82">
        <v>5967.6522687031083</v>
      </c>
      <c r="BD349" s="82">
        <v>6075.6148191095926</v>
      </c>
      <c r="BE349" s="82">
        <v>6019.7235970632555</v>
      </c>
      <c r="BF349" s="82">
        <v>6127.7440361169465</v>
      </c>
      <c r="BG349" s="82">
        <v>6037.2366542094596</v>
      </c>
      <c r="BH349" s="82">
        <v>6223.9814762749465</v>
      </c>
      <c r="BI349" s="82">
        <v>6209.1205184304536</v>
      </c>
      <c r="BJ349" s="82">
        <v>6401.4780576122248</v>
      </c>
      <c r="BK349" s="82">
        <v>6395.1173545919728</v>
      </c>
      <c r="BL349" s="82">
        <v>6593.0992152701365</v>
      </c>
      <c r="BM349" s="82">
        <v>6631.8235990460562</v>
      </c>
      <c r="BN349" s="82">
        <v>6836.8667452180116</v>
      </c>
      <c r="BO349" s="82">
        <v>6839.2274054849213</v>
      </c>
      <c r="BP349" s="82">
        <v>7070.2559024713109</v>
      </c>
      <c r="BQ349" s="82">
        <v>7072.6858545468858</v>
      </c>
      <c r="BR349" s="82"/>
      <c r="BS349" s="82">
        <v>2193.263801666666</v>
      </c>
      <c r="BT349" s="82">
        <v>2364.3535399999996</v>
      </c>
      <c r="BU349" s="82">
        <v>2169.7722983333338</v>
      </c>
      <c r="BV349" s="82">
        <v>1121.7141474999992</v>
      </c>
      <c r="BW349" s="82">
        <v>1507.2950499999997</v>
      </c>
      <c r="BX349" s="82">
        <v>2057.2062453333328</v>
      </c>
      <c r="BY349" s="82">
        <v>2377.7848039999999</v>
      </c>
      <c r="BZ349" s="82">
        <v>2078.4371880000008</v>
      </c>
      <c r="CA349" s="82">
        <v>1572.6189404580196</v>
      </c>
      <c r="CB349" s="82">
        <v>2397.8325584615418</v>
      </c>
      <c r="CC349" s="82">
        <v>2736.1059762465748</v>
      </c>
      <c r="CD349" s="82">
        <v>2680.5973788493156</v>
      </c>
      <c r="CE349" s="82">
        <v>2319.830734316939</v>
      </c>
      <c r="CF349" s="82">
        <v>2912.5781043388133</v>
      </c>
      <c r="CG349" s="82">
        <v>2478.8207295302009</v>
      </c>
      <c r="CH349" s="82">
        <v>2391.5285516081003</v>
      </c>
      <c r="CI349" s="82">
        <v>-566.05727234955975</v>
      </c>
      <c r="CJ349" s="82">
        <v>9535.3022232938347</v>
      </c>
      <c r="CK349" s="82">
        <v>10072.748445133075</v>
      </c>
      <c r="CL349" s="82">
        <v>9347.912059898772</v>
      </c>
      <c r="CM349" s="82">
        <v>11383.923458250119</v>
      </c>
      <c r="CN349" s="82">
        <v>14709.377067901221</v>
      </c>
      <c r="CO349" s="82">
        <v>15636.778883185978</v>
      </c>
      <c r="CP349" s="82">
        <v>15834.434485294292</v>
      </c>
      <c r="CQ349" s="82">
        <v>16827.177169680413</v>
      </c>
      <c r="CR349" s="82">
        <v>18673.171922699912</v>
      </c>
      <c r="CS349" s="82">
        <v>18655.935915057962</v>
      </c>
      <c r="CT349" s="82">
        <v>18303.833651049208</v>
      </c>
      <c r="CU349" s="82">
        <v>23068.256282722308</v>
      </c>
      <c r="CV349" s="82">
        <v>23770.620420856401</v>
      </c>
      <c r="CW349" s="82">
        <v>20849.264402827106</v>
      </c>
      <c r="CX349" s="82">
        <v>8896.5617671742348</v>
      </c>
      <c r="CY349" s="83">
        <v>9701.1081009056579</v>
      </c>
      <c r="CZ349" s="82">
        <v>11707.047605438016</v>
      </c>
      <c r="DA349" s="82">
        <v>12023.067039017871</v>
      </c>
      <c r="DB349" s="82">
        <v>12019.421259820454</v>
      </c>
      <c r="DC349" s="82">
        <v>12095.338416172848</v>
      </c>
      <c r="DD349" s="82">
        <v>12164.980690326407</v>
      </c>
      <c r="DE349" s="82">
        <v>12433.101994705401</v>
      </c>
      <c r="DF349" s="82">
        <v>12796.595412204199</v>
      </c>
      <c r="DG349" s="82">
        <v>13224.922814316193</v>
      </c>
      <c r="DH349" s="82">
        <v>13676.094150702933</v>
      </c>
      <c r="DI349" s="82">
        <v>14142.941757018198</v>
      </c>
    </row>
    <row r="350" spans="1:113" outlineLevel="1">
      <c r="A350" s="1" t="s">
        <v>126</v>
      </c>
      <c r="B350" s="19" t="s">
        <v>344</v>
      </c>
      <c r="C350" s="55">
        <v>0</v>
      </c>
      <c r="D350" s="55">
        <v>0</v>
      </c>
      <c r="E350" s="55">
        <v>0</v>
      </c>
      <c r="F350" s="55">
        <v>0</v>
      </c>
      <c r="G350" s="55">
        <v>0</v>
      </c>
      <c r="H350" s="55">
        <v>0</v>
      </c>
      <c r="I350" s="55">
        <v>0</v>
      </c>
      <c r="J350" s="55">
        <v>0</v>
      </c>
      <c r="K350" s="55">
        <v>0</v>
      </c>
      <c r="L350" s="55">
        <v>0</v>
      </c>
      <c r="M350" s="55">
        <v>0</v>
      </c>
      <c r="N350" s="55">
        <v>0</v>
      </c>
      <c r="O350" s="55">
        <v>0</v>
      </c>
      <c r="P350" s="55">
        <v>0</v>
      </c>
      <c r="Q350" s="55">
        <v>0</v>
      </c>
      <c r="R350" s="55">
        <v>0</v>
      </c>
      <c r="S350" s="55">
        <v>0</v>
      </c>
      <c r="T350" s="55">
        <v>0</v>
      </c>
      <c r="U350" s="55">
        <v>0</v>
      </c>
      <c r="V350" s="55">
        <v>0</v>
      </c>
      <c r="W350" s="55">
        <v>0</v>
      </c>
      <c r="X350" s="55">
        <v>0</v>
      </c>
      <c r="Y350" s="55">
        <v>0</v>
      </c>
      <c r="Z350" s="55">
        <v>0</v>
      </c>
      <c r="AA350" s="55">
        <v>0</v>
      </c>
      <c r="AB350" s="55">
        <v>0</v>
      </c>
      <c r="AC350" s="55">
        <v>0</v>
      </c>
      <c r="AD350" s="55">
        <v>0</v>
      </c>
      <c r="AE350" s="55">
        <v>0</v>
      </c>
      <c r="AF350" s="55">
        <v>0</v>
      </c>
      <c r="AG350" s="55">
        <v>0</v>
      </c>
      <c r="AH350" s="55">
        <v>0</v>
      </c>
      <c r="AI350" s="55">
        <v>0</v>
      </c>
      <c r="AJ350" s="55">
        <v>0</v>
      </c>
      <c r="AK350" s="55">
        <v>0</v>
      </c>
      <c r="AL350" s="55">
        <v>0</v>
      </c>
      <c r="AM350" s="55">
        <v>0</v>
      </c>
      <c r="AN350" s="55">
        <v>0</v>
      </c>
      <c r="AO350" s="55">
        <v>0</v>
      </c>
      <c r="AP350" s="55">
        <v>0</v>
      </c>
      <c r="AQ350" s="55">
        <v>0</v>
      </c>
      <c r="AR350" s="55">
        <v>0</v>
      </c>
      <c r="AS350" s="55">
        <v>0</v>
      </c>
      <c r="AT350" s="55">
        <v>0</v>
      </c>
      <c r="AU350" s="55">
        <v>0</v>
      </c>
      <c r="AV350" s="55">
        <v>0</v>
      </c>
      <c r="AW350" s="56">
        <v>0</v>
      </c>
      <c r="AX350" s="55">
        <v>0</v>
      </c>
      <c r="AY350" s="55">
        <v>0</v>
      </c>
      <c r="AZ350" s="55">
        <v>0</v>
      </c>
      <c r="BA350" s="55">
        <v>0</v>
      </c>
      <c r="BB350" s="55">
        <v>0</v>
      </c>
      <c r="BC350" s="55">
        <v>0</v>
      </c>
      <c r="BD350" s="55">
        <v>0</v>
      </c>
      <c r="BE350" s="55">
        <v>0</v>
      </c>
      <c r="BF350" s="55">
        <v>0</v>
      </c>
      <c r="BG350" s="55">
        <v>0</v>
      </c>
      <c r="BH350" s="55">
        <v>0</v>
      </c>
      <c r="BI350" s="55">
        <v>0</v>
      </c>
      <c r="BJ350" s="55">
        <v>0</v>
      </c>
      <c r="BK350" s="55">
        <v>0</v>
      </c>
      <c r="BL350" s="55">
        <v>0</v>
      </c>
      <c r="BM350" s="55">
        <v>0</v>
      </c>
      <c r="BN350" s="55">
        <v>0</v>
      </c>
      <c r="BO350" s="55">
        <v>0</v>
      </c>
      <c r="BP350" s="55">
        <v>0</v>
      </c>
      <c r="BQ350" s="55">
        <v>0</v>
      </c>
      <c r="BR350" s="55"/>
      <c r="BS350" s="55">
        <v>0</v>
      </c>
      <c r="BT350" s="55">
        <v>0</v>
      </c>
      <c r="BU350" s="55">
        <v>0</v>
      </c>
      <c r="BV350" s="55">
        <v>0</v>
      </c>
      <c r="BW350" s="55">
        <v>0</v>
      </c>
      <c r="BX350" s="55">
        <v>0</v>
      </c>
      <c r="BY350" s="55">
        <v>0</v>
      </c>
      <c r="BZ350" s="55">
        <v>0</v>
      </c>
      <c r="CA350" s="55">
        <v>0</v>
      </c>
      <c r="CB350" s="55">
        <v>0</v>
      </c>
      <c r="CC350" s="55">
        <v>0</v>
      </c>
      <c r="CD350" s="55">
        <v>0</v>
      </c>
      <c r="CE350" s="55">
        <v>0</v>
      </c>
      <c r="CF350" s="55">
        <v>0</v>
      </c>
      <c r="CG350" s="55">
        <v>0</v>
      </c>
      <c r="CH350" s="55">
        <v>0</v>
      </c>
      <c r="CI350" s="55">
        <v>0</v>
      </c>
      <c r="CJ350" s="55">
        <v>0</v>
      </c>
      <c r="CK350" s="55">
        <v>0</v>
      </c>
      <c r="CL350" s="55">
        <v>0</v>
      </c>
      <c r="CM350" s="55">
        <v>0</v>
      </c>
      <c r="CN350" s="55">
        <v>0</v>
      </c>
      <c r="CO350" s="55">
        <v>0</v>
      </c>
      <c r="CP350" s="55">
        <v>0</v>
      </c>
      <c r="CQ350" s="55">
        <v>0</v>
      </c>
      <c r="CR350" s="55">
        <v>0</v>
      </c>
      <c r="CS350" s="55">
        <v>0</v>
      </c>
      <c r="CT350" s="55">
        <v>0</v>
      </c>
      <c r="CU350" s="55">
        <v>0</v>
      </c>
      <c r="CV350" s="55">
        <v>0</v>
      </c>
      <c r="CW350" s="55">
        <v>0</v>
      </c>
      <c r="CX350" s="55">
        <v>0</v>
      </c>
      <c r="CY350" s="56">
        <v>0</v>
      </c>
      <c r="CZ350" s="55">
        <v>0</v>
      </c>
      <c r="DA350" s="55">
        <v>0</v>
      </c>
      <c r="DB350" s="55">
        <v>0</v>
      </c>
      <c r="DC350" s="55">
        <v>0</v>
      </c>
      <c r="DD350" s="55">
        <v>0</v>
      </c>
      <c r="DE350" s="55">
        <v>0</v>
      </c>
      <c r="DF350" s="55">
        <v>0</v>
      </c>
      <c r="DG350" s="55">
        <v>0</v>
      </c>
      <c r="DH350" s="55">
        <v>0</v>
      </c>
      <c r="DI350" s="55">
        <v>0</v>
      </c>
    </row>
    <row r="351" spans="1:113" outlineLevel="1">
      <c r="A351" s="1" t="s">
        <v>127</v>
      </c>
      <c r="B351" s="19" t="s">
        <v>586</v>
      </c>
      <c r="C351" s="55">
        <v>0</v>
      </c>
      <c r="D351" s="55">
        <v>0</v>
      </c>
      <c r="E351" s="55">
        <v>0</v>
      </c>
      <c r="F351" s="55">
        <v>0</v>
      </c>
      <c r="G351" s="55">
        <v>0</v>
      </c>
      <c r="H351" s="55">
        <v>0</v>
      </c>
      <c r="I351" s="55">
        <v>0</v>
      </c>
      <c r="J351" s="55">
        <v>0</v>
      </c>
      <c r="K351" s="55">
        <v>0</v>
      </c>
      <c r="L351" s="55">
        <v>0</v>
      </c>
      <c r="M351" s="55">
        <v>0</v>
      </c>
      <c r="N351" s="55">
        <v>0</v>
      </c>
      <c r="O351" s="55">
        <v>0</v>
      </c>
      <c r="P351" s="55">
        <v>0</v>
      </c>
      <c r="Q351" s="55">
        <v>0</v>
      </c>
      <c r="R351" s="55">
        <v>0</v>
      </c>
      <c r="S351" s="55">
        <v>0</v>
      </c>
      <c r="T351" s="55">
        <v>0</v>
      </c>
      <c r="U351" s="55">
        <v>0</v>
      </c>
      <c r="V351" s="55">
        <v>0</v>
      </c>
      <c r="W351" s="55">
        <v>0</v>
      </c>
      <c r="X351" s="55">
        <v>0</v>
      </c>
      <c r="Y351" s="55">
        <v>0</v>
      </c>
      <c r="Z351" s="55">
        <v>0</v>
      </c>
      <c r="AA351" s="55">
        <v>0</v>
      </c>
      <c r="AB351" s="55">
        <v>0</v>
      </c>
      <c r="AC351" s="55">
        <v>0</v>
      </c>
      <c r="AD351" s="55">
        <v>0</v>
      </c>
      <c r="AE351" s="55">
        <v>0</v>
      </c>
      <c r="AF351" s="55">
        <v>0</v>
      </c>
      <c r="AG351" s="55">
        <v>0</v>
      </c>
      <c r="AH351" s="55">
        <v>0</v>
      </c>
      <c r="AI351" s="55">
        <v>0</v>
      </c>
      <c r="AJ351" s="55">
        <v>0</v>
      </c>
      <c r="AK351" s="55">
        <v>0</v>
      </c>
      <c r="AL351" s="55">
        <v>0</v>
      </c>
      <c r="AM351" s="55">
        <v>0</v>
      </c>
      <c r="AN351" s="55">
        <v>0</v>
      </c>
      <c r="AO351" s="55">
        <v>0</v>
      </c>
      <c r="AP351" s="55">
        <v>0</v>
      </c>
      <c r="AQ351" s="55">
        <v>0</v>
      </c>
      <c r="AR351" s="55">
        <v>0</v>
      </c>
      <c r="AS351" s="55">
        <v>0</v>
      </c>
      <c r="AT351" s="55">
        <v>0</v>
      </c>
      <c r="AU351" s="55">
        <v>0</v>
      </c>
      <c r="AV351" s="55">
        <v>0</v>
      </c>
      <c r="AW351" s="56">
        <v>0</v>
      </c>
      <c r="AX351" s="55">
        <v>0</v>
      </c>
      <c r="AY351" s="55">
        <v>0</v>
      </c>
      <c r="AZ351" s="55">
        <v>0</v>
      </c>
      <c r="BA351" s="55">
        <v>0</v>
      </c>
      <c r="BB351" s="55">
        <v>0</v>
      </c>
      <c r="BC351" s="55">
        <v>0</v>
      </c>
      <c r="BD351" s="55">
        <v>0</v>
      </c>
      <c r="BE351" s="55">
        <v>0</v>
      </c>
      <c r="BF351" s="55">
        <v>0</v>
      </c>
      <c r="BG351" s="55">
        <v>0</v>
      </c>
      <c r="BH351" s="55">
        <v>0</v>
      </c>
      <c r="BI351" s="55">
        <v>0</v>
      </c>
      <c r="BJ351" s="55">
        <v>0</v>
      </c>
      <c r="BK351" s="55">
        <v>0</v>
      </c>
      <c r="BL351" s="55">
        <v>0</v>
      </c>
      <c r="BM351" s="55">
        <v>0</v>
      </c>
      <c r="BN351" s="55">
        <v>0</v>
      </c>
      <c r="BO351" s="55">
        <v>0</v>
      </c>
      <c r="BP351" s="55">
        <v>0</v>
      </c>
      <c r="BQ351" s="55">
        <v>0</v>
      </c>
      <c r="BR351" s="55"/>
      <c r="BS351" s="55">
        <v>0</v>
      </c>
      <c r="BT351" s="55">
        <v>0</v>
      </c>
      <c r="BU351" s="55">
        <v>0</v>
      </c>
      <c r="BV351" s="55">
        <v>0</v>
      </c>
      <c r="BW351" s="55">
        <v>0</v>
      </c>
      <c r="BX351" s="55">
        <v>0</v>
      </c>
      <c r="BY351" s="55">
        <v>0</v>
      </c>
      <c r="BZ351" s="55">
        <v>0</v>
      </c>
      <c r="CA351" s="55">
        <v>0</v>
      </c>
      <c r="CB351" s="55">
        <v>0</v>
      </c>
      <c r="CC351" s="55">
        <v>0</v>
      </c>
      <c r="CD351" s="55">
        <v>0</v>
      </c>
      <c r="CE351" s="55">
        <v>0</v>
      </c>
      <c r="CF351" s="55">
        <v>0</v>
      </c>
      <c r="CG351" s="55">
        <v>0</v>
      </c>
      <c r="CH351" s="55">
        <v>0</v>
      </c>
      <c r="CI351" s="55">
        <v>0</v>
      </c>
      <c r="CJ351" s="55">
        <v>0</v>
      </c>
      <c r="CK351" s="55">
        <v>0</v>
      </c>
      <c r="CL351" s="55">
        <v>0</v>
      </c>
      <c r="CM351" s="55">
        <v>0</v>
      </c>
      <c r="CN351" s="55">
        <v>0</v>
      </c>
      <c r="CO351" s="55">
        <v>0</v>
      </c>
      <c r="CP351" s="55">
        <v>0</v>
      </c>
      <c r="CQ351" s="55">
        <v>0</v>
      </c>
      <c r="CR351" s="55">
        <v>0</v>
      </c>
      <c r="CS351" s="55">
        <v>0</v>
      </c>
      <c r="CT351" s="55">
        <v>0</v>
      </c>
      <c r="CU351" s="55">
        <v>0</v>
      </c>
      <c r="CV351" s="55">
        <v>0</v>
      </c>
      <c r="CW351" s="55">
        <v>0</v>
      </c>
      <c r="CX351" s="55">
        <v>0</v>
      </c>
      <c r="CY351" s="56">
        <v>0</v>
      </c>
      <c r="CZ351" s="55">
        <v>0</v>
      </c>
      <c r="DA351" s="55">
        <v>0</v>
      </c>
      <c r="DB351" s="55">
        <v>0</v>
      </c>
      <c r="DC351" s="55">
        <v>0</v>
      </c>
      <c r="DD351" s="55">
        <v>0</v>
      </c>
      <c r="DE351" s="55">
        <v>0</v>
      </c>
      <c r="DF351" s="55">
        <v>0</v>
      </c>
      <c r="DG351" s="55">
        <v>0</v>
      </c>
      <c r="DH351" s="55">
        <v>0</v>
      </c>
      <c r="DI351" s="55">
        <v>0</v>
      </c>
    </row>
    <row r="352" spans="1:113" s="24" customFormat="1" outlineLevel="1">
      <c r="A352" s="1" t="s">
        <v>128</v>
      </c>
      <c r="B352" s="24" t="s">
        <v>587</v>
      </c>
      <c r="C352" s="82">
        <v>1501.6172476616437</v>
      </c>
      <c r="D352" s="82">
        <v>1527.292718115069</v>
      </c>
      <c r="E352" s="82">
        <v>1208.8132581315058</v>
      </c>
      <c r="F352" s="82">
        <v>1240.9367396712325</v>
      </c>
      <c r="G352" s="82">
        <v>1439.6606391780833</v>
      </c>
      <c r="H352" s="82">
        <v>1196.5047441530048</v>
      </c>
      <c r="I352" s="82">
        <v>1123.3259901639344</v>
      </c>
      <c r="J352" s="82">
        <v>1478.6012949771689</v>
      </c>
      <c r="K352" s="82">
        <v>1433.9768093616442</v>
      </c>
      <c r="L352" s="82">
        <v>1650.7085416604434</v>
      </c>
      <c r="M352" s="82">
        <v>828.11218786975724</v>
      </c>
      <c r="N352" s="82">
        <v>1422.2823720974598</v>
      </c>
      <c r="O352" s="82">
        <v>969.24617951064045</v>
      </c>
      <c r="P352" s="82">
        <v>-673.2203283987393</v>
      </c>
      <c r="Q352" s="82">
        <v>107.1630560491796</v>
      </c>
      <c r="R352" s="82">
        <v>3122.5482470136999</v>
      </c>
      <c r="S352" s="82">
        <v>6412.7539762801343</v>
      </c>
      <c r="T352" s="82">
        <v>5358.4560450311365</v>
      </c>
      <c r="U352" s="82">
        <v>4714.2924001019383</v>
      </c>
      <c r="V352" s="82">
        <v>4592.7269175880538</v>
      </c>
      <c r="W352" s="82">
        <v>4755.1851423107173</v>
      </c>
      <c r="X352" s="82">
        <v>5154.5473329495644</v>
      </c>
      <c r="Y352" s="82">
        <v>6229.3761253005559</v>
      </c>
      <c r="Z352" s="82">
        <v>7110.6315957419247</v>
      </c>
      <c r="AA352" s="82">
        <v>7598.7454721592967</v>
      </c>
      <c r="AB352" s="82">
        <v>8018.4661464508181</v>
      </c>
      <c r="AC352" s="82">
        <v>7618.3127367351599</v>
      </c>
      <c r="AD352" s="82">
        <v>7590.4797679038629</v>
      </c>
      <c r="AE352" s="82">
        <v>8243.9547173904284</v>
      </c>
      <c r="AF352" s="82">
        <v>8444.3911866203125</v>
      </c>
      <c r="AG352" s="82">
        <v>8382.7859830600992</v>
      </c>
      <c r="AH352" s="82">
        <v>9383.1158815231993</v>
      </c>
      <c r="AI352" s="82">
        <v>9290.0560411767146</v>
      </c>
      <c r="AJ352" s="82">
        <v>9791.3460656522584</v>
      </c>
      <c r="AK352" s="82">
        <v>8864.5898494057037</v>
      </c>
      <c r="AL352" s="82">
        <v>8858.229385757606</v>
      </c>
      <c r="AM352" s="82">
        <v>9445.6042652916003</v>
      </c>
      <c r="AN352" s="82">
        <v>11313.637266766023</v>
      </c>
      <c r="AO352" s="82">
        <v>11754.619015956283</v>
      </c>
      <c r="AP352" s="82">
        <v>12092.426816396848</v>
      </c>
      <c r="AQ352" s="82">
        <v>11678.193604459553</v>
      </c>
      <c r="AR352" s="82">
        <v>11492.480790095788</v>
      </c>
      <c r="AS352" s="82">
        <v>9356.7836127313185</v>
      </c>
      <c r="AT352" s="82">
        <v>4820.4159395135384</v>
      </c>
      <c r="AU352" s="82">
        <v>4076.1458276606968</v>
      </c>
      <c r="AV352" s="82">
        <v>3954.4768854007348</v>
      </c>
      <c r="AW352" s="83">
        <v>5746.6312155049227</v>
      </c>
      <c r="AX352" s="82">
        <v>5846.9041650343343</v>
      </c>
      <c r="AY352" s="82">
        <v>5860.1434404036827</v>
      </c>
      <c r="AZ352" s="82">
        <v>6049.697470081268</v>
      </c>
      <c r="BA352" s="82">
        <v>5973.3695689366032</v>
      </c>
      <c r="BB352" s="82">
        <v>6051.7689911173447</v>
      </c>
      <c r="BC352" s="82">
        <v>5967.6522687031083</v>
      </c>
      <c r="BD352" s="82">
        <v>6075.6148191095926</v>
      </c>
      <c r="BE352" s="82">
        <v>6019.7235970632555</v>
      </c>
      <c r="BF352" s="82">
        <v>6127.7440361169465</v>
      </c>
      <c r="BG352" s="82">
        <v>6037.2366542094596</v>
      </c>
      <c r="BH352" s="82">
        <v>6223.9814762749465</v>
      </c>
      <c r="BI352" s="82">
        <v>6209.1205184304536</v>
      </c>
      <c r="BJ352" s="82">
        <v>6401.4780576122248</v>
      </c>
      <c r="BK352" s="82">
        <v>6395.1173545919728</v>
      </c>
      <c r="BL352" s="82">
        <v>6593.0992152701365</v>
      </c>
      <c r="BM352" s="82">
        <v>6631.8235990460562</v>
      </c>
      <c r="BN352" s="82">
        <v>6836.8667452180116</v>
      </c>
      <c r="BO352" s="82">
        <v>6839.2274054849213</v>
      </c>
      <c r="BP352" s="82">
        <v>7070.2559024713109</v>
      </c>
      <c r="BQ352" s="82">
        <v>7072.6858545468858</v>
      </c>
      <c r="BR352" s="82"/>
      <c r="BS352" s="82">
        <v>2193.263801666666</v>
      </c>
      <c r="BT352" s="82">
        <v>2364.3535399999996</v>
      </c>
      <c r="BU352" s="82">
        <v>2169.7722983333338</v>
      </c>
      <c r="BV352" s="82">
        <v>1121.7141474999992</v>
      </c>
      <c r="BW352" s="82">
        <v>1507.2950499999997</v>
      </c>
      <c r="BX352" s="82">
        <v>2057.2062453333328</v>
      </c>
      <c r="BY352" s="82">
        <v>2377.7848039999999</v>
      </c>
      <c r="BZ352" s="82">
        <v>2078.4371880000008</v>
      </c>
      <c r="CA352" s="82">
        <v>1572.6189404580196</v>
      </c>
      <c r="CB352" s="82">
        <v>2397.8325584615418</v>
      </c>
      <c r="CC352" s="82">
        <v>2736.1059762465748</v>
      </c>
      <c r="CD352" s="82">
        <v>2680.5973788493156</v>
      </c>
      <c r="CE352" s="82">
        <v>2319.830734316939</v>
      </c>
      <c r="CF352" s="82">
        <v>2912.5781043388133</v>
      </c>
      <c r="CG352" s="82">
        <v>2478.8207295302009</v>
      </c>
      <c r="CH352" s="82">
        <v>2391.5285516081003</v>
      </c>
      <c r="CI352" s="82">
        <v>-566.05727234955975</v>
      </c>
      <c r="CJ352" s="82">
        <v>9535.3022232938347</v>
      </c>
      <c r="CK352" s="82">
        <v>10072.748445133075</v>
      </c>
      <c r="CL352" s="82">
        <v>9347.912059898772</v>
      </c>
      <c r="CM352" s="82">
        <v>11383.923458250119</v>
      </c>
      <c r="CN352" s="82">
        <v>14709.377067901221</v>
      </c>
      <c r="CO352" s="82">
        <v>15636.778883185978</v>
      </c>
      <c r="CP352" s="82">
        <v>15834.434485294292</v>
      </c>
      <c r="CQ352" s="82">
        <v>16827.177169680413</v>
      </c>
      <c r="CR352" s="82">
        <v>18673.171922699912</v>
      </c>
      <c r="CS352" s="82">
        <v>18655.935915057962</v>
      </c>
      <c r="CT352" s="82">
        <v>18303.833651049208</v>
      </c>
      <c r="CU352" s="82">
        <v>23068.256282722308</v>
      </c>
      <c r="CV352" s="82">
        <v>23770.620420856401</v>
      </c>
      <c r="CW352" s="82">
        <v>20849.264402827106</v>
      </c>
      <c r="CX352" s="82">
        <v>8896.5617671742348</v>
      </c>
      <c r="CY352" s="83">
        <v>9701.1081009056579</v>
      </c>
      <c r="CZ352" s="82">
        <v>11707.047605438016</v>
      </c>
      <c r="DA352" s="82">
        <v>12023.067039017871</v>
      </c>
      <c r="DB352" s="82">
        <v>12019.421259820454</v>
      </c>
      <c r="DC352" s="82">
        <v>12095.338416172848</v>
      </c>
      <c r="DD352" s="82">
        <v>12164.980690326407</v>
      </c>
      <c r="DE352" s="82">
        <v>12433.101994705401</v>
      </c>
      <c r="DF352" s="82">
        <v>12796.595412204199</v>
      </c>
      <c r="DG352" s="82">
        <v>13224.922814316193</v>
      </c>
      <c r="DH352" s="82">
        <v>13676.094150702933</v>
      </c>
      <c r="DI352" s="82">
        <v>14142.941757018198</v>
      </c>
    </row>
    <row r="353" spans="1:113" outlineLevel="1">
      <c r="A353" s="1" t="s">
        <v>53</v>
      </c>
      <c r="B353" s="19" t="s">
        <v>388</v>
      </c>
      <c r="C353" s="55">
        <v>151.2833777041096</v>
      </c>
      <c r="D353" s="55">
        <v>14.06961797260287</v>
      </c>
      <c r="E353" s="55">
        <v>-120.6211061990868</v>
      </c>
      <c r="F353" s="55">
        <v>-95.661473095890912</v>
      </c>
      <c r="G353" s="55">
        <v>-145.10005589041205</v>
      </c>
      <c r="H353" s="55">
        <v>-174.50740798178552</v>
      </c>
      <c r="I353" s="55">
        <v>-269.34789180327772</v>
      </c>
      <c r="J353" s="55">
        <v>-148.20615890410974</v>
      </c>
      <c r="K353" s="55">
        <v>-104.27542046027528</v>
      </c>
      <c r="L353" s="55">
        <v>-36.508643488584475</v>
      </c>
      <c r="M353" s="55">
        <v>-75.085962918862137</v>
      </c>
      <c r="N353" s="55">
        <v>98.868457633796154</v>
      </c>
      <c r="O353" s="55">
        <v>-87.314588075025327</v>
      </c>
      <c r="P353" s="55">
        <v>-341.4559191919206</v>
      </c>
      <c r="Q353" s="55">
        <v>-457.25194149180084</v>
      </c>
      <c r="R353" s="55">
        <v>-354.49365399751076</v>
      </c>
      <c r="S353" s="55">
        <v>-107.55365490071196</v>
      </c>
      <c r="T353" s="55">
        <v>-260.95593408717309</v>
      </c>
      <c r="U353" s="55">
        <v>-497.60055977912458</v>
      </c>
      <c r="V353" s="55">
        <v>-609.66661778689217</v>
      </c>
      <c r="W353" s="55">
        <v>-565.13401765105709</v>
      </c>
      <c r="X353" s="55">
        <v>-518.65742189963714</v>
      </c>
      <c r="Y353" s="55">
        <v>-378.50782928961803</v>
      </c>
      <c r="Z353" s="55">
        <v>-319.36921026456065</v>
      </c>
      <c r="AA353" s="55">
        <v>-228.48215922401855</v>
      </c>
      <c r="AB353" s="55">
        <v>-297.30695017019269</v>
      </c>
      <c r="AC353" s="55">
        <v>-372.97568150685044</v>
      </c>
      <c r="AD353" s="55">
        <v>-331.82096633374692</v>
      </c>
      <c r="AE353" s="55">
        <v>-283.43617260936225</v>
      </c>
      <c r="AF353" s="55">
        <v>-215.66920748467913</v>
      </c>
      <c r="AG353" s="55">
        <v>-131.69840027322616</v>
      </c>
      <c r="AH353" s="55">
        <v>-106.58425322265279</v>
      </c>
      <c r="AI353" s="55">
        <v>-64.995531706848993</v>
      </c>
      <c r="AJ353" s="55">
        <v>10.832664311907097</v>
      </c>
      <c r="AK353" s="55">
        <v>2.2584518588026556</v>
      </c>
      <c r="AL353" s="55">
        <v>14.229136950203157</v>
      </c>
      <c r="AM353" s="55">
        <v>180.54424695930089</v>
      </c>
      <c r="AN353" s="55">
        <v>385.42044560357499</v>
      </c>
      <c r="AO353" s="55">
        <v>429.92114972677302</v>
      </c>
      <c r="AP353" s="55">
        <v>378.64500324615699</v>
      </c>
      <c r="AQ353" s="55">
        <v>258.9257638956127</v>
      </c>
      <c r="AR353" s="55">
        <v>279.9407078133691</v>
      </c>
      <c r="AS353" s="55">
        <v>-21.691914769801393</v>
      </c>
      <c r="AT353" s="55">
        <v>-359.05938687240462</v>
      </c>
      <c r="AU353" s="55">
        <v>53.389867799306181</v>
      </c>
      <c r="AV353" s="55">
        <v>1201.4512013578762</v>
      </c>
      <c r="AW353" s="56">
        <v>745.22564300983936</v>
      </c>
      <c r="AX353" s="55">
        <v>771.90593520732193</v>
      </c>
      <c r="AY353" s="55">
        <v>775.01502683368483</v>
      </c>
      <c r="AZ353" s="55">
        <v>804.10890120892793</v>
      </c>
      <c r="BA353" s="55">
        <v>805.53714043534035</v>
      </c>
      <c r="BB353" s="55">
        <v>831.18079352799293</v>
      </c>
      <c r="BC353" s="55">
        <v>830.92547467327347</v>
      </c>
      <c r="BD353" s="55">
        <v>857.03946373349413</v>
      </c>
      <c r="BE353" s="55">
        <v>862.49155304083081</v>
      </c>
      <c r="BF353" s="55">
        <v>889.61571341237493</v>
      </c>
      <c r="BG353" s="55">
        <v>890.40655024970226</v>
      </c>
      <c r="BH353" s="55">
        <v>921.01074872623735</v>
      </c>
      <c r="BI353" s="55">
        <v>921.87972522887208</v>
      </c>
      <c r="BJ353" s="55">
        <v>953.61658441678276</v>
      </c>
      <c r="BK353" s="55">
        <v>955.30788863457133</v>
      </c>
      <c r="BL353" s="55">
        <v>987.0537868500669</v>
      </c>
      <c r="BM353" s="55">
        <v>995.04466451568976</v>
      </c>
      <c r="BN353" s="55">
        <v>1028.0806466603315</v>
      </c>
      <c r="BO353" s="55">
        <v>1030.7174929561747</v>
      </c>
      <c r="BP353" s="55">
        <v>1067.9043670166141</v>
      </c>
      <c r="BQ353" s="55">
        <v>1070.6520082280044</v>
      </c>
      <c r="BR353" s="55"/>
      <c r="BS353" s="55">
        <v>54.735349999999471</v>
      </c>
      <c r="BT353" s="55">
        <v>75.724211666666179</v>
      </c>
      <c r="BU353" s="55">
        <v>91.677116666666734</v>
      </c>
      <c r="BV353" s="55">
        <v>-223.85598999999979</v>
      </c>
      <c r="BW353" s="55">
        <v>-247.79777499999932</v>
      </c>
      <c r="BX353" s="55">
        <v>-40.681822166666507</v>
      </c>
      <c r="BY353" s="55">
        <v>140.39430474999972</v>
      </c>
      <c r="BZ353" s="55">
        <v>27.774613750000753</v>
      </c>
      <c r="CA353" s="55">
        <v>24.815725190839885</v>
      </c>
      <c r="CB353" s="55">
        <v>163.98228615384778</v>
      </c>
      <c r="CC353" s="55">
        <v>-106.55148822648393</v>
      </c>
      <c r="CD353" s="55">
        <v>-240.76152898630295</v>
      </c>
      <c r="CE353" s="55">
        <v>-443.85529978506327</v>
      </c>
      <c r="CF353" s="55">
        <v>-252.48157936438503</v>
      </c>
      <c r="CG353" s="55">
        <v>-111.59460640744661</v>
      </c>
      <c r="CH353" s="55">
        <v>11.553869558770828</v>
      </c>
      <c r="CI353" s="55">
        <v>-798.70786068372149</v>
      </c>
      <c r="CJ353" s="55">
        <v>-462.0473088982227</v>
      </c>
      <c r="CK353" s="55">
        <v>-758.55649386629761</v>
      </c>
      <c r="CL353" s="55">
        <v>-1174.8006354379493</v>
      </c>
      <c r="CM353" s="55">
        <v>-897.16525118925517</v>
      </c>
      <c r="CN353" s="55">
        <v>-547.85136948857917</v>
      </c>
      <c r="CO353" s="55">
        <v>-670.28263167704313</v>
      </c>
      <c r="CP353" s="55">
        <v>-615.25713894310911</v>
      </c>
      <c r="CQ353" s="55">
        <v>-347.36760775790526</v>
      </c>
      <c r="CR353" s="55">
        <v>-171.57978492950178</v>
      </c>
      <c r="CS353" s="55">
        <v>13.091116170709753</v>
      </c>
      <c r="CT353" s="55">
        <v>194.77338390950405</v>
      </c>
      <c r="CU353" s="55">
        <v>815.34159533034801</v>
      </c>
      <c r="CV353" s="55">
        <v>637.57076714176969</v>
      </c>
      <c r="CW353" s="55">
        <v>258.24879304356773</v>
      </c>
      <c r="CX353" s="55">
        <v>-305.66951907309846</v>
      </c>
      <c r="CY353" s="56">
        <v>1946.6768443677156</v>
      </c>
      <c r="CZ353" s="55">
        <v>1546.9209620410068</v>
      </c>
      <c r="DA353" s="55">
        <v>1609.6460416442683</v>
      </c>
      <c r="DB353" s="55">
        <v>1662.1062682012664</v>
      </c>
      <c r="DC353" s="55">
        <v>1719.5310167743251</v>
      </c>
      <c r="DD353" s="55">
        <v>1780.0222636620772</v>
      </c>
      <c r="DE353" s="55">
        <v>1842.8904739551094</v>
      </c>
      <c r="DF353" s="55">
        <v>1908.9244730513542</v>
      </c>
      <c r="DG353" s="55">
        <v>1982.0984513657568</v>
      </c>
      <c r="DH353" s="55">
        <v>2058.798139616506</v>
      </c>
      <c r="DI353" s="55">
        <v>2138.5563752446187</v>
      </c>
    </row>
    <row r="354" spans="1:113" s="24" customFormat="1" outlineLevel="1">
      <c r="A354" s="1" t="s">
        <v>134</v>
      </c>
      <c r="B354" s="24" t="s">
        <v>470</v>
      </c>
      <c r="C354" s="82">
        <v>1652.9006253657533</v>
      </c>
      <c r="D354" s="82">
        <v>1541.3623360876718</v>
      </c>
      <c r="E354" s="82">
        <v>1088.1921519324189</v>
      </c>
      <c r="F354" s="82">
        <v>1145.2752665753414</v>
      </c>
      <c r="G354" s="82">
        <v>1294.5605832876713</v>
      </c>
      <c r="H354" s="82">
        <v>1021.9973361712193</v>
      </c>
      <c r="I354" s="82">
        <v>853.97809836065665</v>
      </c>
      <c r="J354" s="82">
        <v>1330.3951360730591</v>
      </c>
      <c r="K354" s="82">
        <v>1329.7013889013688</v>
      </c>
      <c r="L354" s="82">
        <v>1614.1998981718589</v>
      </c>
      <c r="M354" s="82">
        <v>753.02622495089508</v>
      </c>
      <c r="N354" s="82">
        <v>1521.150829731256</v>
      </c>
      <c r="O354" s="82">
        <v>881.93159143561513</v>
      </c>
      <c r="P354" s="82">
        <v>-1014.6762475906598</v>
      </c>
      <c r="Q354" s="82">
        <v>-350.08888544262123</v>
      </c>
      <c r="R354" s="82">
        <v>2768.0545930161893</v>
      </c>
      <c r="S354" s="82">
        <v>6305.2003213794223</v>
      </c>
      <c r="T354" s="82">
        <v>5097.5001109439627</v>
      </c>
      <c r="U354" s="82">
        <v>4216.6918403228137</v>
      </c>
      <c r="V354" s="82">
        <v>3983.0602998011618</v>
      </c>
      <c r="W354" s="82">
        <v>4190.0511246596598</v>
      </c>
      <c r="X354" s="82">
        <v>4635.8899110499278</v>
      </c>
      <c r="Y354" s="82">
        <v>5850.8682960109381</v>
      </c>
      <c r="Z354" s="82">
        <v>6791.2623854773638</v>
      </c>
      <c r="AA354" s="82">
        <v>7370.263312935278</v>
      </c>
      <c r="AB354" s="82">
        <v>7721.159196280626</v>
      </c>
      <c r="AC354" s="82">
        <v>7245.3370552283095</v>
      </c>
      <c r="AD354" s="82">
        <v>7258.6588015701163</v>
      </c>
      <c r="AE354" s="82">
        <v>7960.5185447810654</v>
      </c>
      <c r="AF354" s="82">
        <v>8228.7219791356347</v>
      </c>
      <c r="AG354" s="82">
        <v>8251.0875827868731</v>
      </c>
      <c r="AH354" s="82">
        <v>9276.5316283005468</v>
      </c>
      <c r="AI354" s="82">
        <v>9225.0605094698658</v>
      </c>
      <c r="AJ354" s="82">
        <v>9802.1787299641655</v>
      </c>
      <c r="AK354" s="82">
        <v>8866.8483012645065</v>
      </c>
      <c r="AL354" s="82">
        <v>8872.4585227078096</v>
      </c>
      <c r="AM354" s="82">
        <v>9626.1485122509021</v>
      </c>
      <c r="AN354" s="82">
        <v>11699.057712369598</v>
      </c>
      <c r="AO354" s="82">
        <v>12184.540165683056</v>
      </c>
      <c r="AP354" s="82">
        <v>12471.071819643004</v>
      </c>
      <c r="AQ354" s="82">
        <v>11937.119368355166</v>
      </c>
      <c r="AR354" s="82">
        <v>11772.421497909158</v>
      </c>
      <c r="AS354" s="82">
        <v>9335.0916979615176</v>
      </c>
      <c r="AT354" s="82">
        <v>4461.3565526411339</v>
      </c>
      <c r="AU354" s="82">
        <v>4129.5356954600029</v>
      </c>
      <c r="AV354" s="82">
        <v>5155.9280867586112</v>
      </c>
      <c r="AW354" s="83">
        <v>6491.8568585147623</v>
      </c>
      <c r="AX354" s="82">
        <v>6618.8101002416561</v>
      </c>
      <c r="AY354" s="82">
        <v>6635.1584672373674</v>
      </c>
      <c r="AZ354" s="82">
        <v>6853.8063712901958</v>
      </c>
      <c r="BA354" s="82">
        <v>6778.9067093719432</v>
      </c>
      <c r="BB354" s="82">
        <v>6882.9497846453378</v>
      </c>
      <c r="BC354" s="82">
        <v>6798.5777433763815</v>
      </c>
      <c r="BD354" s="82">
        <v>6932.6542828430865</v>
      </c>
      <c r="BE354" s="82">
        <v>6882.2151501040862</v>
      </c>
      <c r="BF354" s="82">
        <v>7017.3597495293216</v>
      </c>
      <c r="BG354" s="82">
        <v>6927.643204459162</v>
      </c>
      <c r="BH354" s="82">
        <v>7144.9922250011841</v>
      </c>
      <c r="BI354" s="82">
        <v>7131.0002436593259</v>
      </c>
      <c r="BJ354" s="82">
        <v>7355.0946420290074</v>
      </c>
      <c r="BK354" s="82">
        <v>7350.4252432265439</v>
      </c>
      <c r="BL354" s="82">
        <v>7580.1530021202034</v>
      </c>
      <c r="BM354" s="82">
        <v>7626.8682635617461</v>
      </c>
      <c r="BN354" s="82">
        <v>7864.9473918783433</v>
      </c>
      <c r="BO354" s="82">
        <v>7869.9448984410956</v>
      </c>
      <c r="BP354" s="82">
        <v>8138.1602694879248</v>
      </c>
      <c r="BQ354" s="82">
        <v>8143.3378627748898</v>
      </c>
      <c r="BR354" s="82"/>
      <c r="BS354" s="82">
        <v>2247.9991516666655</v>
      </c>
      <c r="BT354" s="82">
        <v>2440.0777516666658</v>
      </c>
      <c r="BU354" s="82">
        <v>2261.4494150000005</v>
      </c>
      <c r="BV354" s="82">
        <v>897.85815749999938</v>
      </c>
      <c r="BW354" s="82">
        <v>1259.4972750000004</v>
      </c>
      <c r="BX354" s="82">
        <v>2016.5244231666663</v>
      </c>
      <c r="BY354" s="82">
        <v>2518.1791087499996</v>
      </c>
      <c r="BZ354" s="82">
        <v>2106.2118017500015</v>
      </c>
      <c r="CA354" s="82">
        <v>1597.4346656488594</v>
      </c>
      <c r="CB354" s="82">
        <v>2561.8148446153896</v>
      </c>
      <c r="CC354" s="82">
        <v>2629.5544880200905</v>
      </c>
      <c r="CD354" s="82">
        <v>2439.8358498630128</v>
      </c>
      <c r="CE354" s="82">
        <v>1875.9754345318761</v>
      </c>
      <c r="CF354" s="82">
        <v>2660.0965249744277</v>
      </c>
      <c r="CG354" s="82">
        <v>2367.226123122754</v>
      </c>
      <c r="CH354" s="82">
        <v>2403.082421166871</v>
      </c>
      <c r="CI354" s="82">
        <v>-1364.765133033281</v>
      </c>
      <c r="CJ354" s="82">
        <v>9073.2549143956112</v>
      </c>
      <c r="CK354" s="82">
        <v>9314.1919512667773</v>
      </c>
      <c r="CL354" s="82">
        <v>8173.1114244608216</v>
      </c>
      <c r="CM354" s="82">
        <v>10486.758207060866</v>
      </c>
      <c r="CN354" s="82">
        <v>14161.525698412643</v>
      </c>
      <c r="CO354" s="82">
        <v>14966.496251508936</v>
      </c>
      <c r="CP354" s="82">
        <v>15219.177346351182</v>
      </c>
      <c r="CQ354" s="82">
        <v>16479.809561922506</v>
      </c>
      <c r="CR354" s="82">
        <v>18501.592137770414</v>
      </c>
      <c r="CS354" s="82">
        <v>18669.027031228674</v>
      </c>
      <c r="CT354" s="82">
        <v>18498.60703495871</v>
      </c>
      <c r="CU354" s="82">
        <v>23883.597878052657</v>
      </c>
      <c r="CV354" s="82">
        <v>24408.191187998171</v>
      </c>
      <c r="CW354" s="82">
        <v>21107.513195870677</v>
      </c>
      <c r="CX354" s="82">
        <v>8590.8922481011359</v>
      </c>
      <c r="CY354" s="83">
        <v>11647.784945273374</v>
      </c>
      <c r="CZ354" s="82">
        <v>13253.968567479023</v>
      </c>
      <c r="DA354" s="82">
        <v>13632.713080662139</v>
      </c>
      <c r="DB354" s="82">
        <v>13681.527528021719</v>
      </c>
      <c r="DC354" s="82">
        <v>13814.869432947173</v>
      </c>
      <c r="DD354" s="82">
        <v>13945.002953988484</v>
      </c>
      <c r="DE354" s="82">
        <v>14275.99246866051</v>
      </c>
      <c r="DF354" s="82">
        <v>14705.519885255551</v>
      </c>
      <c r="DG354" s="82">
        <v>15207.021265681949</v>
      </c>
      <c r="DH354" s="82">
        <v>15734.89229031944</v>
      </c>
      <c r="DI354" s="82">
        <v>16281.498132262815</v>
      </c>
    </row>
    <row r="355" spans="1:113" outlineLevel="1">
      <c r="C355" s="55"/>
      <c r="D355" s="55"/>
      <c r="E355" s="55"/>
      <c r="F355" s="55"/>
      <c r="G355" s="55"/>
      <c r="H355" s="55"/>
      <c r="I355" s="55"/>
      <c r="J355" s="55"/>
      <c r="K355" s="55"/>
      <c r="L355" s="55"/>
      <c r="M355" s="55"/>
      <c r="N355" s="55"/>
      <c r="O355" s="55"/>
      <c r="P355" s="55"/>
      <c r="Q355" s="55"/>
      <c r="R355" s="55"/>
      <c r="S355" s="55"/>
      <c r="T355" s="55"/>
      <c r="U355" s="55"/>
      <c r="V355" s="55"/>
      <c r="W355" s="55"/>
      <c r="X355" s="55"/>
      <c r="Y355" s="55"/>
      <c r="Z355" s="55"/>
      <c r="AA355" s="55"/>
      <c r="AB355" s="55"/>
      <c r="AC355" s="55"/>
      <c r="AD355" s="55"/>
      <c r="AE355" s="55"/>
      <c r="AF355" s="55"/>
      <c r="AG355" s="55"/>
      <c r="AH355" s="55"/>
      <c r="AI355" s="55"/>
      <c r="AJ355" s="55"/>
      <c r="AK355" s="55"/>
      <c r="AL355" s="55"/>
      <c r="AM355" s="55"/>
      <c r="AN355" s="55"/>
      <c r="AO355" s="55"/>
      <c r="AP355" s="55"/>
      <c r="AQ355" s="55"/>
      <c r="AR355" s="55"/>
      <c r="AS355" s="55"/>
      <c r="AT355" s="55"/>
      <c r="AU355" s="55"/>
      <c r="AV355" s="55"/>
      <c r="AW355" s="56"/>
      <c r="AX355" s="55"/>
      <c r="AY355" s="55"/>
      <c r="AZ355" s="55"/>
      <c r="BA355" s="55"/>
      <c r="BB355" s="55"/>
      <c r="BC355" s="55"/>
      <c r="BD355" s="55"/>
      <c r="BE355" s="55"/>
      <c r="BF355" s="55"/>
      <c r="BG355" s="55"/>
      <c r="BH355" s="55"/>
      <c r="BI355" s="55"/>
      <c r="BJ355" s="55"/>
      <c r="BK355" s="55"/>
      <c r="BL355" s="55"/>
      <c r="BM355" s="55"/>
      <c r="BN355" s="55"/>
      <c r="BO355" s="55"/>
      <c r="BP355" s="55"/>
      <c r="BQ355" s="55"/>
      <c r="BR355" s="55"/>
      <c r="BS355" s="55"/>
      <c r="BT355" s="55"/>
      <c r="BU355" s="55"/>
      <c r="BV355" s="55"/>
      <c r="BW355" s="55"/>
      <c r="BX355" s="55"/>
      <c r="BY355" s="55"/>
      <c r="BZ355" s="55"/>
      <c r="CA355" s="55"/>
      <c r="CB355" s="55"/>
      <c r="CC355" s="55"/>
      <c r="CD355" s="55"/>
      <c r="CE355" s="55"/>
      <c r="CF355" s="55"/>
      <c r="CG355" s="55"/>
      <c r="CH355" s="55"/>
      <c r="CI355" s="55"/>
      <c r="CJ355" s="55"/>
      <c r="CK355" s="55"/>
      <c r="CL355" s="55"/>
      <c r="CM355" s="55"/>
      <c r="CN355" s="55"/>
      <c r="CO355" s="55"/>
      <c r="CP355" s="55"/>
      <c r="CQ355" s="55"/>
      <c r="CR355" s="55"/>
      <c r="CS355" s="55"/>
      <c r="CT355" s="55"/>
      <c r="CU355" s="55"/>
      <c r="CV355" s="55"/>
      <c r="CW355" s="55"/>
      <c r="CX355" s="55"/>
      <c r="CY355" s="56"/>
      <c r="CZ355" s="55"/>
      <c r="DA355" s="55"/>
      <c r="DB355" s="55"/>
    </row>
    <row r="356" spans="1:113" s="24" customFormat="1" outlineLevel="1">
      <c r="A356" s="19"/>
      <c r="B356" s="24" t="s">
        <v>588</v>
      </c>
      <c r="C356" s="82"/>
      <c r="D356" s="82"/>
      <c r="E356" s="82"/>
      <c r="F356" s="82"/>
      <c r="G356" s="82"/>
      <c r="H356" s="82"/>
      <c r="I356" s="82"/>
      <c r="J356" s="82"/>
      <c r="K356" s="82"/>
      <c r="L356" s="82"/>
      <c r="M356" s="82"/>
      <c r="N356" s="82"/>
      <c r="O356" s="82"/>
      <c r="P356" s="82"/>
      <c r="Q356" s="82"/>
      <c r="R356" s="82"/>
      <c r="S356" s="82"/>
      <c r="T356" s="82"/>
      <c r="U356" s="82"/>
      <c r="V356" s="82"/>
      <c r="W356" s="82"/>
      <c r="X356" s="82"/>
      <c r="Y356" s="82"/>
      <c r="Z356" s="82"/>
      <c r="AA356" s="82"/>
      <c r="AB356" s="82"/>
      <c r="AC356" s="82"/>
      <c r="AD356" s="82"/>
      <c r="AE356" s="82"/>
      <c r="AF356" s="82"/>
      <c r="AG356" s="82"/>
      <c r="AH356" s="82"/>
      <c r="AI356" s="82"/>
      <c r="AJ356" s="82"/>
      <c r="AK356" s="82"/>
      <c r="AL356" s="82"/>
      <c r="AM356" s="82"/>
      <c r="AN356" s="82"/>
      <c r="AO356" s="82"/>
      <c r="AP356" s="82"/>
      <c r="AQ356" s="82"/>
      <c r="AR356" s="82"/>
      <c r="AS356" s="82"/>
      <c r="AT356" s="82"/>
      <c r="AU356" s="82"/>
      <c r="AV356" s="82"/>
      <c r="AW356" s="83"/>
      <c r="AX356" s="82"/>
      <c r="AY356" s="82"/>
      <c r="AZ356" s="82"/>
      <c r="BA356" s="82"/>
      <c r="BB356" s="82"/>
      <c r="BC356" s="82"/>
      <c r="BD356" s="82"/>
      <c r="BE356" s="82"/>
      <c r="BF356" s="82"/>
      <c r="BG356" s="82"/>
      <c r="BH356" s="82"/>
      <c r="BI356" s="82"/>
      <c r="BJ356" s="82"/>
      <c r="BK356" s="82"/>
      <c r="BL356" s="82"/>
      <c r="BM356" s="82"/>
      <c r="BN356" s="82"/>
      <c r="BO356" s="82"/>
      <c r="BP356" s="82"/>
      <c r="BQ356" s="82"/>
      <c r="BR356" s="82"/>
      <c r="BS356" s="82"/>
      <c r="BT356" s="82"/>
      <c r="BU356" s="82"/>
      <c r="BV356" s="82"/>
      <c r="BW356" s="82"/>
      <c r="BX356" s="82"/>
      <c r="BY356" s="82"/>
      <c r="BZ356" s="82"/>
      <c r="CA356" s="82"/>
      <c r="CB356" s="82"/>
      <c r="CC356" s="82"/>
      <c r="CD356" s="82"/>
      <c r="CE356" s="82"/>
      <c r="CF356" s="82"/>
      <c r="CG356" s="82"/>
      <c r="CH356" s="82"/>
      <c r="CI356" s="82"/>
      <c r="CJ356" s="82"/>
      <c r="CK356" s="82"/>
      <c r="CL356" s="82"/>
      <c r="CM356" s="82"/>
      <c r="CN356" s="82"/>
      <c r="CO356" s="82"/>
      <c r="CP356" s="82"/>
      <c r="CQ356" s="82"/>
      <c r="CR356" s="82"/>
      <c r="CS356" s="82"/>
      <c r="CT356" s="82"/>
      <c r="CU356" s="82"/>
      <c r="CV356" s="82"/>
      <c r="CW356" s="82"/>
      <c r="CX356" s="82"/>
      <c r="CY356" s="83"/>
      <c r="CZ356" s="82"/>
      <c r="DA356" s="82"/>
      <c r="DB356" s="82"/>
    </row>
    <row r="357" spans="1:113" outlineLevel="1">
      <c r="A357" s="1" t="s">
        <v>135</v>
      </c>
      <c r="B357" s="19" t="s">
        <v>589</v>
      </c>
      <c r="C357" s="55">
        <v>1160.1204111136858</v>
      </c>
      <c r="D357" s="55">
        <v>1128.2224292863527</v>
      </c>
      <c r="E357" s="55">
        <v>1196.8227817370796</v>
      </c>
      <c r="F357" s="55">
        <v>1331.2919265472158</v>
      </c>
      <c r="G357" s="55">
        <v>1322.1033668766677</v>
      </c>
      <c r="H357" s="55">
        <v>1456.1305707891031</v>
      </c>
      <c r="I357" s="55">
        <v>1699.8243819633014</v>
      </c>
      <c r="J357" s="55">
        <v>1608.4283112483176</v>
      </c>
      <c r="K357" s="55">
        <v>1753.4519093933643</v>
      </c>
      <c r="L357" s="55">
        <v>1749.9129155476935</v>
      </c>
      <c r="M357" s="55">
        <v>2083.2245984437232</v>
      </c>
      <c r="N357" s="55">
        <v>2096.4365186041773</v>
      </c>
      <c r="O357" s="55">
        <v>2630.0308305674075</v>
      </c>
      <c r="P357" s="55">
        <v>3587.2764448406765</v>
      </c>
      <c r="Q357" s="55">
        <v>3644.5216461804912</v>
      </c>
      <c r="R357" s="55">
        <v>3759.3907162962705</v>
      </c>
      <c r="S357" s="55">
        <v>1668.9612860625059</v>
      </c>
      <c r="T357" s="55">
        <v>2075.6440180817831</v>
      </c>
      <c r="U357" s="55">
        <v>2775.7646285145834</v>
      </c>
      <c r="V357" s="55">
        <v>2912.1450535972594</v>
      </c>
      <c r="W357" s="55">
        <v>3022.0735746161558</v>
      </c>
      <c r="X357" s="55">
        <v>3095.199855053299</v>
      </c>
      <c r="Y357" s="55">
        <v>2483.6742859775413</v>
      </c>
      <c r="Z357" s="55">
        <v>2266.2619389012684</v>
      </c>
      <c r="AA357" s="55">
        <v>1905.1665351826689</v>
      </c>
      <c r="AB357" s="55">
        <v>1933.934009549648</v>
      </c>
      <c r="AC357" s="55">
        <v>2135.6635857251576</v>
      </c>
      <c r="AD357" s="55">
        <v>2410.6197628635691</v>
      </c>
      <c r="AE357" s="55">
        <v>2060.1789743714448</v>
      </c>
      <c r="AF357" s="55">
        <v>2140.0024307824328</v>
      </c>
      <c r="AG357" s="55">
        <v>2215.1232605344567</v>
      </c>
      <c r="AH357" s="55">
        <v>1090.6327604015262</v>
      </c>
      <c r="AI357" s="55">
        <v>1055.4227251227105</v>
      </c>
      <c r="AJ357" s="55">
        <v>1280.6345081037207</v>
      </c>
      <c r="AK357" s="55">
        <v>1288.6485230241278</v>
      </c>
      <c r="AL357" s="55">
        <v>1469.9129048055129</v>
      </c>
      <c r="AM357" s="55">
        <v>1467.7894953894111</v>
      </c>
      <c r="AN357" s="55">
        <v>477.25663837824442</v>
      </c>
      <c r="AO357" s="55">
        <v>454.61450701172106</v>
      </c>
      <c r="AP357" s="55">
        <v>-225.2636084284853</v>
      </c>
      <c r="AQ357" s="55">
        <v>-218.12277933073946</v>
      </c>
      <c r="AR357" s="55">
        <v>415.0076045210352</v>
      </c>
      <c r="AS357" s="55">
        <v>401.01884248185047</v>
      </c>
      <c r="AT357" s="55">
        <v>5395.7817539319331</v>
      </c>
      <c r="AU357" s="55">
        <v>5330.2041612056073</v>
      </c>
      <c r="AV357" s="55">
        <v>5382.6887241838022</v>
      </c>
      <c r="AW357" s="56">
        <v>5285.8135036460562</v>
      </c>
      <c r="AX357" s="55">
        <v>5502.3757809785002</v>
      </c>
      <c r="AY357" s="55">
        <v>5535.0239619329441</v>
      </c>
      <c r="AZ357" s="55">
        <v>5766.4307607010433</v>
      </c>
      <c r="BA357" s="55">
        <v>5802.4773256417184</v>
      </c>
      <c r="BB357" s="55">
        <v>6010.6727758202196</v>
      </c>
      <c r="BC357" s="55">
        <v>6024.9876218289046</v>
      </c>
      <c r="BD357" s="55">
        <v>6224.1699447993515</v>
      </c>
      <c r="BE357" s="55">
        <v>6273.51867097984</v>
      </c>
      <c r="BF357" s="55">
        <v>6480.7305947526802</v>
      </c>
      <c r="BG357" s="55">
        <v>6496.2804357666191</v>
      </c>
      <c r="BH357" s="55">
        <v>6729.5493499898312</v>
      </c>
      <c r="BI357" s="55">
        <v>6745.7559731610781</v>
      </c>
      <c r="BJ357" s="55">
        <v>6988.0449168163386</v>
      </c>
      <c r="BK357" s="55">
        <v>7004.9359924293794</v>
      </c>
      <c r="BL357" s="55">
        <v>7236.771273575775</v>
      </c>
      <c r="BM357" s="55">
        <v>7294.4066997188875</v>
      </c>
      <c r="BN357" s="55">
        <v>7535.6046296007189</v>
      </c>
      <c r="BO357" s="55">
        <v>7553.9523485682939</v>
      </c>
      <c r="BP357" s="55">
        <v>7825.4763283703624</v>
      </c>
      <c r="BQ357" s="55">
        <v>7844.5987284422727</v>
      </c>
      <c r="BR357" s="55"/>
      <c r="BS357" s="55"/>
      <c r="BT357" s="55"/>
      <c r="BU357" s="55"/>
      <c r="BV357" s="55"/>
      <c r="BW357" s="55"/>
      <c r="BX357" s="55"/>
      <c r="BY357" s="55"/>
      <c r="BZ357" s="55"/>
      <c r="CA357" s="55"/>
      <c r="CB357" s="55"/>
      <c r="CC357" s="55">
        <v>2325.0452110234323</v>
      </c>
      <c r="CD357" s="55">
        <v>2653.3952934238832</v>
      </c>
      <c r="CE357" s="55">
        <v>3155.9549527524046</v>
      </c>
      <c r="CF357" s="55">
        <v>3361.8802206416822</v>
      </c>
      <c r="CG357" s="55">
        <v>3833.1375139914167</v>
      </c>
      <c r="CH357" s="55">
        <v>4726.4673491715848</v>
      </c>
      <c r="CI357" s="55">
        <v>7231.7980910211681</v>
      </c>
      <c r="CJ357" s="55">
        <v>5428.3520023587762</v>
      </c>
      <c r="CK357" s="55">
        <v>4851.4086465963665</v>
      </c>
      <c r="CL357" s="55">
        <v>5934.2186282134153</v>
      </c>
      <c r="CM357" s="55">
        <v>5578.8741410308403</v>
      </c>
      <c r="CN357" s="55">
        <v>4171.4284740839375</v>
      </c>
      <c r="CO357" s="55">
        <v>4069.5975952748058</v>
      </c>
      <c r="CP357" s="55">
        <v>4470.7987372350144</v>
      </c>
      <c r="CQ357" s="55">
        <v>4355.1256913168891</v>
      </c>
      <c r="CR357" s="55">
        <v>2146.0554855242367</v>
      </c>
      <c r="CS357" s="55">
        <v>2569.2830311278485</v>
      </c>
      <c r="CT357" s="55">
        <v>2937.7024001949239</v>
      </c>
      <c r="CU357" s="55">
        <v>931.87114538996548</v>
      </c>
      <c r="CV357" s="55">
        <v>-443.38638775922476</v>
      </c>
      <c r="CW357" s="55">
        <v>816.02644700288567</v>
      </c>
      <c r="CX357" s="55">
        <v>10725.98591513754</v>
      </c>
      <c r="CY357" s="56">
        <v>10668.502227829858</v>
      </c>
      <c r="CZ357" s="55">
        <v>11037.399742911444</v>
      </c>
      <c r="DA357" s="55">
        <v>11568.908086342763</v>
      </c>
      <c r="DB357" s="55">
        <v>12035.660397649124</v>
      </c>
      <c r="DC357" s="55">
        <v>12497.688615779192</v>
      </c>
      <c r="DD357" s="55">
        <v>12977.011030519299</v>
      </c>
      <c r="DE357" s="55">
        <v>13475.305323150909</v>
      </c>
      <c r="DF357" s="55">
        <v>13992.980909245718</v>
      </c>
      <c r="DG357" s="55">
        <v>14531.177973294663</v>
      </c>
      <c r="DH357" s="55">
        <v>15089.556978169014</v>
      </c>
      <c r="DI357" s="55">
        <v>15670.075056812635</v>
      </c>
    </row>
    <row r="358" spans="1:113" outlineLevel="1">
      <c r="A358" s="1" t="s">
        <v>136</v>
      </c>
      <c r="B358" s="19" t="s">
        <v>471</v>
      </c>
      <c r="C358" s="55">
        <v>-555.50957747533016</v>
      </c>
      <c r="D358" s="55">
        <v>-444.05947494114707</v>
      </c>
      <c r="E358" s="55">
        <v>-264.24137719552652</v>
      </c>
      <c r="F358" s="55">
        <v>-332.53393640657623</v>
      </c>
      <c r="G358" s="55">
        <v>-328.86686340634822</v>
      </c>
      <c r="H358" s="55">
        <v>-300.52288039930272</v>
      </c>
      <c r="I358" s="55">
        <v>-475.54997431302832</v>
      </c>
      <c r="J358" s="55">
        <v>-461.65970850859185</v>
      </c>
      <c r="K358" s="55">
        <v>-514.01279130021339</v>
      </c>
      <c r="L358" s="55">
        <v>-686.49380219941827</v>
      </c>
      <c r="M358" s="55">
        <v>-481.27026718239517</v>
      </c>
      <c r="N358" s="55">
        <v>-755.28160378581515</v>
      </c>
      <c r="O358" s="55">
        <v>-653.26497070797632</v>
      </c>
      <c r="P358" s="55">
        <v>-241.04080695361017</v>
      </c>
      <c r="Q358" s="55">
        <v>-778.70687309852474</v>
      </c>
      <c r="R358" s="55">
        <v>-2374.7983679625218</v>
      </c>
      <c r="S358" s="55">
        <v>-2221.4010193432759</v>
      </c>
      <c r="T358" s="55">
        <v>-1727.5166251253727</v>
      </c>
      <c r="U358" s="55">
        <v>-2111.7605557313163</v>
      </c>
      <c r="V358" s="55">
        <v>-2051.0148895668863</v>
      </c>
      <c r="W358" s="55">
        <v>-2181.5568159488535</v>
      </c>
      <c r="X358" s="55">
        <v>-2449.6009472069709</v>
      </c>
      <c r="Y358" s="55">
        <v>-2555.5664381906627</v>
      </c>
      <c r="Z358" s="55">
        <v>-2756.0812313492479</v>
      </c>
      <c r="AA358" s="55">
        <v>-2492.0702536349218</v>
      </c>
      <c r="AB358" s="55">
        <v>-2509.9391321399407</v>
      </c>
      <c r="AC358" s="55">
        <v>-2143.236693716025</v>
      </c>
      <c r="AD358" s="55">
        <v>-2163.5557328678051</v>
      </c>
      <c r="AE358" s="55">
        <v>-2035.0596048907232</v>
      </c>
      <c r="AF358" s="55">
        <v>-2042.8356111103105</v>
      </c>
      <c r="AG358" s="55">
        <v>-1914.1941027475641</v>
      </c>
      <c r="AH358" s="55">
        <v>-1117.2858302486593</v>
      </c>
      <c r="AI358" s="55">
        <v>-804.64794115140035</v>
      </c>
      <c r="AJ358" s="55">
        <v>-924.9775990541915</v>
      </c>
      <c r="AK358" s="55">
        <v>-408.33112597459183</v>
      </c>
      <c r="AL358" s="55">
        <v>-403.49815753373537</v>
      </c>
      <c r="AM358" s="55">
        <v>-1004.5391828639206</v>
      </c>
      <c r="AN358" s="55">
        <v>-1105.7048764557419</v>
      </c>
      <c r="AO358" s="55">
        <v>-1406.1131840337182</v>
      </c>
      <c r="AP358" s="55">
        <v>-1198.6801318620921</v>
      </c>
      <c r="AQ358" s="55">
        <v>-692.06087544589286</v>
      </c>
      <c r="AR358" s="55">
        <v>-1156.8783294649018</v>
      </c>
      <c r="AS358" s="55">
        <v>552.91785374669439</v>
      </c>
      <c r="AT358" s="55">
        <v>696.26632329847871</v>
      </c>
      <c r="AU358" s="55">
        <v>593.76987643640041</v>
      </c>
      <c r="AV358" s="55">
        <v>167.04290691180086</v>
      </c>
      <c r="AW358" s="56">
        <v>-742.11824750646974</v>
      </c>
      <c r="AX358" s="55">
        <v>-714.33416998724863</v>
      </c>
      <c r="AY358" s="55">
        <v>-668.52868906793697</v>
      </c>
      <c r="AZ358" s="55">
        <v>-618.27407879592101</v>
      </c>
      <c r="BA358" s="55">
        <v>-622.13897506491639</v>
      </c>
      <c r="BB358" s="55">
        <v>-644.46159637268806</v>
      </c>
      <c r="BC358" s="55">
        <v>-645.99642763944712</v>
      </c>
      <c r="BD358" s="55">
        <v>-667.3526655546342</v>
      </c>
      <c r="BE358" s="55">
        <v>-672.64381349088103</v>
      </c>
      <c r="BF358" s="55">
        <v>-694.86098154556316</v>
      </c>
      <c r="BG358" s="55">
        <v>-696.52822841408295</v>
      </c>
      <c r="BH358" s="55">
        <v>-721.53921511247302</v>
      </c>
      <c r="BI358" s="55">
        <v>-723.276881864649</v>
      </c>
      <c r="BJ358" s="55">
        <v>-749.25499200893523</v>
      </c>
      <c r="BK358" s="55">
        <v>-751.06604544006257</v>
      </c>
      <c r="BL358" s="55">
        <v>-775.92331865316442</v>
      </c>
      <c r="BM358" s="55">
        <v>-782.10296278372391</v>
      </c>
      <c r="BN358" s="55">
        <v>-807.96409492832322</v>
      </c>
      <c r="BO358" s="55">
        <v>-809.9313289962314</v>
      </c>
      <c r="BP358" s="55">
        <v>-839.04400639578046</v>
      </c>
      <c r="BQ358" s="55">
        <v>-841.09430141872622</v>
      </c>
      <c r="BR358" s="55"/>
      <c r="BS358" s="55"/>
      <c r="BT358" s="55"/>
      <c r="BU358" s="55"/>
      <c r="BV358" s="55"/>
      <c r="BW358" s="55"/>
      <c r="BX358" s="55"/>
      <c r="BY358" s="55"/>
      <c r="BZ358" s="55"/>
      <c r="CA358" s="55"/>
      <c r="CB358" s="55"/>
      <c r="CC358" s="55">
        <v>-708.3008521366736</v>
      </c>
      <c r="CD358" s="55">
        <v>-661.40079981292445</v>
      </c>
      <c r="CE358" s="55">
        <v>-776.07285471233104</v>
      </c>
      <c r="CF358" s="55">
        <v>-975.67249980880524</v>
      </c>
      <c r="CG358" s="55">
        <v>-1167.7640693818134</v>
      </c>
      <c r="CH358" s="55">
        <v>-1408.5465744937915</v>
      </c>
      <c r="CI358" s="55">
        <v>-1019.7476800521349</v>
      </c>
      <c r="CJ358" s="55">
        <v>-4596.1993873057982</v>
      </c>
      <c r="CK358" s="55">
        <v>-3839.277180856689</v>
      </c>
      <c r="CL358" s="55">
        <v>-4232.5717055157402</v>
      </c>
      <c r="CM358" s="55">
        <v>-5005.1673853976336</v>
      </c>
      <c r="CN358" s="55">
        <v>-5248.1514849841697</v>
      </c>
      <c r="CO358" s="55">
        <v>-4653.1758258559657</v>
      </c>
      <c r="CP358" s="55">
        <v>-4198.6153377585288</v>
      </c>
      <c r="CQ358" s="55">
        <v>-3957.0297138578744</v>
      </c>
      <c r="CR358" s="55">
        <v>-1921.9337714000596</v>
      </c>
      <c r="CS358" s="55">
        <v>-1333.3087250287833</v>
      </c>
      <c r="CT358" s="55">
        <v>-1408.037340397656</v>
      </c>
      <c r="CU358" s="55">
        <v>-2511.8180604894601</v>
      </c>
      <c r="CV358" s="55">
        <v>-1890.741007307985</v>
      </c>
      <c r="CW358" s="55">
        <v>-603.96047571820736</v>
      </c>
      <c r="CX358" s="55">
        <v>1290.0361997348791</v>
      </c>
      <c r="CY358" s="56">
        <v>-575.07534059466889</v>
      </c>
      <c r="CZ358" s="55">
        <v>-1382.8628590551857</v>
      </c>
      <c r="DA358" s="55">
        <v>-1240.4130538608374</v>
      </c>
      <c r="DB358" s="55">
        <v>-1290.4580240121352</v>
      </c>
      <c r="DC358" s="55">
        <v>-1339.9964790455151</v>
      </c>
      <c r="DD358" s="55">
        <v>-1391.389209959646</v>
      </c>
      <c r="DE358" s="55">
        <v>-1444.816096977122</v>
      </c>
      <c r="DF358" s="55">
        <v>-1500.3210374489977</v>
      </c>
      <c r="DG358" s="55">
        <v>-1558.0262814368884</v>
      </c>
      <c r="DH358" s="55">
        <v>-1617.8954239245545</v>
      </c>
      <c r="DI358" s="55">
        <v>-1680.1383078145068</v>
      </c>
    </row>
    <row r="359" spans="1:113" s="24" customFormat="1" outlineLevel="1">
      <c r="A359" s="1" t="s">
        <v>137</v>
      </c>
      <c r="B359" s="24" t="s">
        <v>168</v>
      </c>
      <c r="C359" s="82">
        <v>604.61083363835564</v>
      </c>
      <c r="D359" s="82">
        <v>684.16295434520566</v>
      </c>
      <c r="E359" s="82">
        <v>932.58140454155307</v>
      </c>
      <c r="F359" s="82">
        <v>998.75799014063955</v>
      </c>
      <c r="G359" s="82">
        <v>993.23650347031946</v>
      </c>
      <c r="H359" s="82">
        <v>1155.6076903898004</v>
      </c>
      <c r="I359" s="82">
        <v>1224.2744076502731</v>
      </c>
      <c r="J359" s="82">
        <v>1146.7686027397258</v>
      </c>
      <c r="K359" s="82">
        <v>1239.4391180931509</v>
      </c>
      <c r="L359" s="82">
        <v>1063.4191133482752</v>
      </c>
      <c r="M359" s="82">
        <v>1601.954331261328</v>
      </c>
      <c r="N359" s="82">
        <v>1341.1549148183622</v>
      </c>
      <c r="O359" s="82">
        <v>1976.7658598594312</v>
      </c>
      <c r="P359" s="82">
        <v>3346.2356378870663</v>
      </c>
      <c r="Q359" s="82">
        <v>2865.8147730819665</v>
      </c>
      <c r="R359" s="82">
        <v>1384.5923483337488</v>
      </c>
      <c r="S359" s="82">
        <v>-552.43973328076993</v>
      </c>
      <c r="T359" s="82">
        <v>348.12739295641046</v>
      </c>
      <c r="U359" s="82">
        <v>664.00407278326713</v>
      </c>
      <c r="V359" s="82">
        <v>861.13016403037318</v>
      </c>
      <c r="W359" s="82">
        <v>840.51675866730238</v>
      </c>
      <c r="X359" s="82">
        <v>645.59890784632819</v>
      </c>
      <c r="Y359" s="82">
        <v>-71.89215221312125</v>
      </c>
      <c r="Z359" s="82">
        <v>-489.81929244797948</v>
      </c>
      <c r="AA359" s="82">
        <v>-586.90371845225309</v>
      </c>
      <c r="AB359" s="82">
        <v>-576.0051225902929</v>
      </c>
      <c r="AC359" s="82">
        <v>-7.5731079908671743</v>
      </c>
      <c r="AD359" s="82">
        <v>247.06402999576409</v>
      </c>
      <c r="AE359" s="82">
        <v>25.119369480721627</v>
      </c>
      <c r="AF359" s="82">
        <v>97.166819672122344</v>
      </c>
      <c r="AG359" s="82">
        <v>300.92915778689246</v>
      </c>
      <c r="AH359" s="82">
        <v>-26.653069847133139</v>
      </c>
      <c r="AI359" s="82">
        <v>250.77478397131017</v>
      </c>
      <c r="AJ359" s="82">
        <v>355.65690904952919</v>
      </c>
      <c r="AK359" s="82">
        <v>880.317397049536</v>
      </c>
      <c r="AL359" s="82">
        <v>1066.4147472717775</v>
      </c>
      <c r="AM359" s="82">
        <v>463.25031252549047</v>
      </c>
      <c r="AN359" s="82">
        <v>-628.44823807749742</v>
      </c>
      <c r="AO359" s="82">
        <v>-951.49867702199708</v>
      </c>
      <c r="AP359" s="82">
        <v>-1423.9437402905774</v>
      </c>
      <c r="AQ359" s="82">
        <v>-910.18365477663235</v>
      </c>
      <c r="AR359" s="82">
        <v>-741.87072494386655</v>
      </c>
      <c r="AS359" s="82">
        <v>953.93669622854486</v>
      </c>
      <c r="AT359" s="82">
        <v>6092.0480772304118</v>
      </c>
      <c r="AU359" s="82">
        <v>5923.9740376420077</v>
      </c>
      <c r="AV359" s="82">
        <v>5549.731631095603</v>
      </c>
      <c r="AW359" s="83">
        <v>4543.6952561395865</v>
      </c>
      <c r="AX359" s="82">
        <v>4788.0416109912512</v>
      </c>
      <c r="AY359" s="82">
        <v>4866.4952728650069</v>
      </c>
      <c r="AZ359" s="82">
        <v>5148.1566819051222</v>
      </c>
      <c r="BA359" s="82">
        <v>5180.3383505768015</v>
      </c>
      <c r="BB359" s="82">
        <v>5366.2111794475313</v>
      </c>
      <c r="BC359" s="82">
        <v>5378.991194189457</v>
      </c>
      <c r="BD359" s="82">
        <v>5556.8172792447176</v>
      </c>
      <c r="BE359" s="82">
        <v>5600.8748574889587</v>
      </c>
      <c r="BF359" s="82">
        <v>5785.8696132071173</v>
      </c>
      <c r="BG359" s="82">
        <v>5799.7522073525361</v>
      </c>
      <c r="BH359" s="82">
        <v>6008.0101348773578</v>
      </c>
      <c r="BI359" s="82">
        <v>6022.479091296429</v>
      </c>
      <c r="BJ359" s="82">
        <v>6238.7899248074036</v>
      </c>
      <c r="BK359" s="82">
        <v>6253.8699469893172</v>
      </c>
      <c r="BL359" s="82">
        <v>6460.8479549226104</v>
      </c>
      <c r="BM359" s="82">
        <v>6512.3037369351632</v>
      </c>
      <c r="BN359" s="82">
        <v>6727.6405346723959</v>
      </c>
      <c r="BO359" s="82">
        <v>6744.0210195720629</v>
      </c>
      <c r="BP359" s="82">
        <v>6986.432321974582</v>
      </c>
      <c r="BQ359" s="82">
        <v>7003.5044270235467</v>
      </c>
      <c r="BR359" s="82"/>
      <c r="BS359" s="82">
        <v>561.58787500000062</v>
      </c>
      <c r="BT359" s="82">
        <v>456.05167666666733</v>
      </c>
      <c r="BU359" s="82">
        <v>512.29055500000027</v>
      </c>
      <c r="BV359" s="82">
        <v>1627.3277350000005</v>
      </c>
      <c r="BW359" s="82">
        <v>1457.9699049999999</v>
      </c>
      <c r="BX359" s="82">
        <v>1011.159758666667</v>
      </c>
      <c r="BY359" s="82">
        <v>920.00527700000032</v>
      </c>
      <c r="BZ359" s="82">
        <v>1143.6216419999994</v>
      </c>
      <c r="CA359" s="82">
        <v>1633.5001404580119</v>
      </c>
      <c r="CB359" s="82">
        <v>1622.9585292307665</v>
      </c>
      <c r="CC359" s="82">
        <v>1616.7443588867586</v>
      </c>
      <c r="CD359" s="82">
        <v>1991.9944936109591</v>
      </c>
      <c r="CE359" s="82">
        <v>2379.8820980400733</v>
      </c>
      <c r="CF359" s="82">
        <v>2386.2077208328765</v>
      </c>
      <c r="CG359" s="82">
        <v>2665.3734446096032</v>
      </c>
      <c r="CH359" s="82">
        <v>3317.9207746777934</v>
      </c>
      <c r="CI359" s="82">
        <v>6212.0504109690328</v>
      </c>
      <c r="CJ359" s="82">
        <v>832.15261505297883</v>
      </c>
      <c r="CK359" s="82">
        <v>1012.1314657396777</v>
      </c>
      <c r="CL359" s="82">
        <v>1701.6469226976756</v>
      </c>
      <c r="CM359" s="82">
        <v>573.70675563320697</v>
      </c>
      <c r="CN359" s="82">
        <v>-1076.7230109002326</v>
      </c>
      <c r="CO359" s="82">
        <v>-583.57823058116003</v>
      </c>
      <c r="CP359" s="82">
        <v>272.1833994764857</v>
      </c>
      <c r="CQ359" s="82">
        <v>398.09597745901482</v>
      </c>
      <c r="CR359" s="82">
        <v>224.12171412417709</v>
      </c>
      <c r="CS359" s="82">
        <v>1235.9743060990652</v>
      </c>
      <c r="CT359" s="82">
        <v>1529.665059797268</v>
      </c>
      <c r="CU359" s="82">
        <v>-1579.9469150994946</v>
      </c>
      <c r="CV359" s="82">
        <v>-2334.1273950672098</v>
      </c>
      <c r="CW359" s="82">
        <v>212.06597128467826</v>
      </c>
      <c r="CX359" s="82">
        <v>12016.022114872419</v>
      </c>
      <c r="CY359" s="83">
        <v>10093.426887235189</v>
      </c>
      <c r="CZ359" s="82">
        <v>9654.5368838562572</v>
      </c>
      <c r="DA359" s="82">
        <v>10328.495032481924</v>
      </c>
      <c r="DB359" s="82">
        <v>10745.202373636988</v>
      </c>
      <c r="DC359" s="82">
        <v>11157.692136733676</v>
      </c>
      <c r="DD359" s="82">
        <v>11585.621820559652</v>
      </c>
      <c r="DE359" s="82">
        <v>12030.489226173788</v>
      </c>
      <c r="DF359" s="82">
        <v>12492.659871796721</v>
      </c>
      <c r="DG359" s="82">
        <v>12973.151691857773</v>
      </c>
      <c r="DH359" s="82">
        <v>13471.66155424446</v>
      </c>
      <c r="DI359" s="82">
        <v>13989.936748998129</v>
      </c>
    </row>
    <row r="360" spans="1:113" outlineLevel="1">
      <c r="C360" s="55"/>
      <c r="D360" s="55"/>
      <c r="E360" s="55"/>
      <c r="F360" s="55"/>
      <c r="G360" s="55"/>
      <c r="H360" s="55"/>
      <c r="I360" s="55"/>
      <c r="J360" s="55"/>
      <c r="K360" s="55"/>
      <c r="L360" s="55"/>
      <c r="M360" s="55"/>
      <c r="N360" s="55"/>
      <c r="O360" s="55"/>
      <c r="P360" s="55"/>
      <c r="Q360" s="55"/>
      <c r="R360" s="55"/>
      <c r="S360" s="55"/>
      <c r="T360" s="55"/>
      <c r="U360" s="55"/>
      <c r="V360" s="55"/>
      <c r="W360" s="55"/>
      <c r="X360" s="55"/>
      <c r="Y360" s="55"/>
      <c r="Z360" s="55"/>
      <c r="AA360" s="55"/>
      <c r="AB360" s="55"/>
      <c r="AC360" s="55"/>
      <c r="AD360" s="55"/>
      <c r="AE360" s="55"/>
      <c r="AF360" s="55"/>
      <c r="AG360" s="55"/>
      <c r="AH360" s="55"/>
      <c r="AI360" s="55"/>
      <c r="AJ360" s="55"/>
      <c r="AK360" s="55"/>
      <c r="AL360" s="55"/>
      <c r="AM360" s="55"/>
      <c r="AN360" s="55"/>
      <c r="AO360" s="55"/>
      <c r="AP360" s="55"/>
      <c r="AQ360" s="55"/>
      <c r="AR360" s="55"/>
      <c r="AS360" s="55"/>
      <c r="AT360" s="55"/>
      <c r="AU360" s="55"/>
      <c r="AV360" s="55"/>
      <c r="AW360" s="56"/>
      <c r="AX360" s="55"/>
      <c r="AY360" s="55"/>
      <c r="AZ360" s="55"/>
      <c r="BA360" s="55"/>
      <c r="BB360" s="55"/>
      <c r="BC360" s="55"/>
      <c r="BD360" s="55"/>
      <c r="BE360" s="55"/>
      <c r="BF360" s="55"/>
      <c r="BG360" s="55"/>
      <c r="BH360" s="55"/>
      <c r="BI360" s="55"/>
      <c r="BJ360" s="55"/>
      <c r="BK360" s="55"/>
      <c r="BL360" s="55"/>
      <c r="BM360" s="55"/>
      <c r="BN360" s="55"/>
      <c r="BO360" s="55"/>
      <c r="BP360" s="55"/>
      <c r="BQ360" s="55"/>
      <c r="BR360" s="55"/>
      <c r="BS360" s="55"/>
      <c r="BT360" s="55"/>
      <c r="BU360" s="55"/>
      <c r="BV360" s="55"/>
      <c r="BW360" s="55"/>
      <c r="BX360" s="55"/>
      <c r="BY360" s="55"/>
      <c r="BZ360" s="55"/>
      <c r="CA360" s="55"/>
      <c r="CB360" s="55"/>
      <c r="CC360" s="55"/>
      <c r="CD360" s="55"/>
      <c r="CE360" s="55"/>
      <c r="CF360" s="55"/>
      <c r="CG360" s="55"/>
      <c r="CH360" s="55"/>
      <c r="CI360" s="55"/>
      <c r="CJ360" s="55"/>
      <c r="CK360" s="55"/>
      <c r="CL360" s="55"/>
      <c r="CM360" s="55"/>
      <c r="CN360" s="55"/>
      <c r="CO360" s="55"/>
      <c r="CP360" s="55"/>
      <c r="CQ360" s="55"/>
      <c r="CR360" s="55"/>
      <c r="CS360" s="55"/>
      <c r="CT360" s="55"/>
      <c r="CU360" s="55"/>
      <c r="CV360" s="55"/>
      <c r="CW360" s="55"/>
      <c r="CX360" s="55"/>
      <c r="CY360" s="56"/>
      <c r="CZ360" s="55"/>
      <c r="DA360" s="55"/>
      <c r="DB360" s="55"/>
      <c r="DC360" s="55"/>
      <c r="DD360" s="55"/>
      <c r="DE360" s="55"/>
      <c r="DF360" s="55"/>
      <c r="DG360" s="55"/>
      <c r="DH360" s="55"/>
      <c r="DI360" s="55"/>
    </row>
    <row r="361" spans="1:113" s="24" customFormat="1" outlineLevel="1">
      <c r="A361" s="19"/>
      <c r="B361" s="24" t="s">
        <v>591</v>
      </c>
      <c r="C361" s="82"/>
      <c r="D361" s="82"/>
      <c r="E361" s="82"/>
      <c r="F361" s="82"/>
      <c r="G361" s="82"/>
      <c r="H361" s="82"/>
      <c r="I361" s="82"/>
      <c r="J361" s="82"/>
      <c r="K361" s="82"/>
      <c r="L361" s="82"/>
      <c r="M361" s="82"/>
      <c r="N361" s="82"/>
      <c r="O361" s="82"/>
      <c r="P361" s="82"/>
      <c r="Q361" s="82"/>
      <c r="R361" s="82"/>
      <c r="S361" s="82"/>
      <c r="T361" s="82"/>
      <c r="U361" s="82"/>
      <c r="V361" s="82"/>
      <c r="W361" s="82"/>
      <c r="X361" s="82"/>
      <c r="Y361" s="82"/>
      <c r="Z361" s="82"/>
      <c r="AA361" s="82"/>
      <c r="AB361" s="82"/>
      <c r="AC361" s="82"/>
      <c r="AD361" s="82"/>
      <c r="AE361" s="82"/>
      <c r="AF361" s="82"/>
      <c r="AG361" s="82"/>
      <c r="AH361" s="82"/>
      <c r="AI361" s="82"/>
      <c r="AJ361" s="82"/>
      <c r="AK361" s="82"/>
      <c r="AL361" s="82"/>
      <c r="AM361" s="82"/>
      <c r="AN361" s="82"/>
      <c r="AO361" s="82"/>
      <c r="AP361" s="82"/>
      <c r="AQ361" s="82"/>
      <c r="AR361" s="82"/>
      <c r="AS361" s="82"/>
      <c r="AT361" s="82"/>
      <c r="AU361" s="82"/>
      <c r="AV361" s="82"/>
      <c r="AW361" s="83"/>
      <c r="AX361" s="82"/>
      <c r="AY361" s="82"/>
      <c r="AZ361" s="82"/>
      <c r="BA361" s="82"/>
      <c r="BB361" s="82"/>
      <c r="BC361" s="82"/>
      <c r="BD361" s="82"/>
      <c r="BE361" s="82"/>
      <c r="BF361" s="82"/>
      <c r="BG361" s="82"/>
      <c r="BH361" s="82"/>
      <c r="BI361" s="82"/>
      <c r="BJ361" s="82"/>
      <c r="BK361" s="82"/>
      <c r="BL361" s="82"/>
      <c r="BM361" s="82"/>
      <c r="BN361" s="82"/>
      <c r="BO361" s="82"/>
      <c r="BP361" s="82"/>
      <c r="BQ361" s="82"/>
      <c r="BR361" s="82"/>
      <c r="BS361" s="82"/>
      <c r="BT361" s="82"/>
      <c r="BU361" s="82"/>
      <c r="BV361" s="82"/>
      <c r="BW361" s="82"/>
      <c r="BX361" s="82"/>
      <c r="BY361" s="82"/>
      <c r="BZ361" s="82"/>
      <c r="CA361" s="82"/>
      <c r="CB361" s="82"/>
      <c r="CC361" s="82"/>
      <c r="CD361" s="82"/>
      <c r="CE361" s="82"/>
      <c r="CF361" s="82"/>
      <c r="CG361" s="82"/>
      <c r="CH361" s="82"/>
      <c r="CI361" s="82"/>
      <c r="CJ361" s="82"/>
      <c r="CK361" s="82"/>
      <c r="CL361" s="82"/>
      <c r="CM361" s="82"/>
      <c r="CN361" s="82"/>
      <c r="CO361" s="82"/>
      <c r="CP361" s="82"/>
      <c r="CQ361" s="82"/>
      <c r="CR361" s="82"/>
      <c r="CS361" s="82"/>
      <c r="CT361" s="82"/>
      <c r="CU361" s="82"/>
      <c r="CV361" s="82"/>
      <c r="CW361" s="82"/>
      <c r="CX361" s="82"/>
      <c r="CY361" s="83"/>
      <c r="CZ361" s="82"/>
      <c r="DA361" s="82"/>
      <c r="DB361" s="82"/>
      <c r="DC361" s="82"/>
      <c r="DD361" s="82"/>
      <c r="DE361" s="82"/>
      <c r="DF361" s="82"/>
      <c r="DG361" s="82"/>
      <c r="DH361" s="82"/>
      <c r="DI361" s="82"/>
    </row>
    <row r="362" spans="1:113" outlineLevel="1">
      <c r="A362" s="1" t="s">
        <v>138</v>
      </c>
      <c r="B362" s="19" t="s">
        <v>589</v>
      </c>
      <c r="C362" s="55">
        <v>91.233573214427793</v>
      </c>
      <c r="D362" s="55">
        <v>83.807729225889119</v>
      </c>
      <c r="E362" s="55">
        <v>114.31582947317185</v>
      </c>
      <c r="F362" s="55">
        <v>127.18210657814636</v>
      </c>
      <c r="G362" s="55">
        <v>119.3591175697338</v>
      </c>
      <c r="H362" s="55">
        <v>151.28429687631365</v>
      </c>
      <c r="I362" s="55">
        <v>175.09979060038563</v>
      </c>
      <c r="J362" s="55">
        <v>174.4202547659186</v>
      </c>
      <c r="K362" s="55">
        <v>200.99394727374457</v>
      </c>
      <c r="L362" s="55">
        <v>146.70991180058468</v>
      </c>
      <c r="M362" s="55">
        <v>176.27686786531896</v>
      </c>
      <c r="N362" s="55">
        <v>182.76716698167994</v>
      </c>
      <c r="O362" s="55">
        <v>210.17288666188057</v>
      </c>
      <c r="P362" s="55">
        <v>275.77668140614168</v>
      </c>
      <c r="Q362" s="55">
        <v>282.69007444531246</v>
      </c>
      <c r="R362" s="55">
        <v>293.16635164126455</v>
      </c>
      <c r="S362" s="55">
        <v>81.957930146887946</v>
      </c>
      <c r="T362" s="55">
        <v>86.798919685342725</v>
      </c>
      <c r="U362" s="55">
        <v>152.91260246880969</v>
      </c>
      <c r="V362" s="55">
        <v>170.66346011388603</v>
      </c>
      <c r="W362" s="55">
        <v>170.88439980385215</v>
      </c>
      <c r="X362" s="55">
        <v>200.10934951524891</v>
      </c>
      <c r="Y362" s="55">
        <v>178.17434553120532</v>
      </c>
      <c r="Z362" s="55">
        <v>144.99195319038364</v>
      </c>
      <c r="AA362" s="55">
        <v>129.86016170166363</v>
      </c>
      <c r="AB362" s="55">
        <v>127.26442938241699</v>
      </c>
      <c r="AC362" s="55">
        <v>149.05556184971769</v>
      </c>
      <c r="AD362" s="55">
        <v>157.11063045001703</v>
      </c>
      <c r="AE362" s="55">
        <v>129.01668409456366</v>
      </c>
      <c r="AF362" s="55">
        <v>179.01144562086199</v>
      </c>
      <c r="AG362" s="55">
        <v>187.67068257492855</v>
      </c>
      <c r="AH362" s="55">
        <v>100.30014981693596</v>
      </c>
      <c r="AI362" s="55">
        <v>97.638583390408158</v>
      </c>
      <c r="AJ362" s="55">
        <v>125.50468210357499</v>
      </c>
      <c r="AK362" s="55">
        <v>121.05146011880871</v>
      </c>
      <c r="AL362" s="55">
        <v>98.909728660498018</v>
      </c>
      <c r="AM362" s="55">
        <v>95.182540355079908</v>
      </c>
      <c r="AN362" s="55">
        <v>-15.985702897129009</v>
      </c>
      <c r="AO362" s="55">
        <v>-14.998859193310736</v>
      </c>
      <c r="AP362" s="55">
        <v>-118.81413678018015</v>
      </c>
      <c r="AQ362" s="55">
        <v>-116.52888620446191</v>
      </c>
      <c r="AR362" s="55">
        <v>-11.866537729553329</v>
      </c>
      <c r="AS362" s="55">
        <v>-11.731142698858328</v>
      </c>
      <c r="AT362" s="55">
        <v>381.47515100421248</v>
      </c>
      <c r="AU362" s="55">
        <v>367.14038855853784</v>
      </c>
      <c r="AV362" s="55">
        <v>376.16723858720508</v>
      </c>
      <c r="AW362" s="56">
        <v>204.25842570964488</v>
      </c>
      <c r="AX362" s="55"/>
      <c r="AY362" s="55"/>
      <c r="AZ362" s="55"/>
      <c r="BA362" s="55"/>
      <c r="BB362" s="55"/>
      <c r="BC362" s="55"/>
      <c r="BD362" s="55"/>
      <c r="BE362" s="55"/>
      <c r="BF362" s="55"/>
      <c r="BG362" s="55"/>
      <c r="BH362" s="55"/>
      <c r="BI362" s="55"/>
      <c r="BJ362" s="55"/>
      <c r="BK362" s="55"/>
      <c r="BL362" s="55"/>
      <c r="BM362" s="55"/>
      <c r="BN362" s="55"/>
      <c r="BO362" s="55"/>
      <c r="BP362" s="55"/>
      <c r="BQ362" s="55"/>
      <c r="BR362" s="55"/>
      <c r="BS362" s="55"/>
      <c r="BT362" s="55"/>
      <c r="BU362" s="55"/>
      <c r="BV362" s="55"/>
      <c r="BW362" s="55"/>
      <c r="BX362" s="55"/>
      <c r="BY362" s="55"/>
      <c r="BZ362" s="55"/>
      <c r="CA362" s="55"/>
      <c r="CB362" s="55"/>
      <c r="CC362" s="55">
        <v>198.12355869906096</v>
      </c>
      <c r="CD362" s="55">
        <v>246.54122414788014</v>
      </c>
      <c r="CE362" s="55">
        <v>326.38408747669928</v>
      </c>
      <c r="CF362" s="55">
        <v>375.41420203966317</v>
      </c>
      <c r="CG362" s="55">
        <v>322.98677966590367</v>
      </c>
      <c r="CH362" s="55">
        <v>392.94005364356053</v>
      </c>
      <c r="CI362" s="55">
        <v>558.46675585145408</v>
      </c>
      <c r="CJ362" s="55">
        <v>375.12428178815253</v>
      </c>
      <c r="CK362" s="55">
        <v>239.71152215415242</v>
      </c>
      <c r="CL362" s="55">
        <v>341.54785991773815</v>
      </c>
      <c r="CM362" s="55">
        <v>378.28369504645423</v>
      </c>
      <c r="CN362" s="55">
        <v>274.85211489204727</v>
      </c>
      <c r="CO362" s="55">
        <v>276.31999123213467</v>
      </c>
      <c r="CP362" s="55">
        <v>286.12731454458071</v>
      </c>
      <c r="CQ362" s="55">
        <v>366.68212819579054</v>
      </c>
      <c r="CR362" s="55">
        <v>197.93873320734411</v>
      </c>
      <c r="CS362" s="55">
        <v>246.5561422223837</v>
      </c>
      <c r="CT362" s="55">
        <v>194.09226901557793</v>
      </c>
      <c r="CU362" s="55">
        <v>-30.984562090439745</v>
      </c>
      <c r="CV362" s="55">
        <v>-235.34302298464206</v>
      </c>
      <c r="CW362" s="55">
        <v>-23.597680428411657</v>
      </c>
      <c r="CX362" s="55">
        <v>748.61553956275031</v>
      </c>
      <c r="CY362" s="56">
        <v>580.42566429684996</v>
      </c>
      <c r="CZ362" s="55">
        <v>0</v>
      </c>
      <c r="DA362" s="55">
        <v>0</v>
      </c>
      <c r="DB362" s="55">
        <v>0</v>
      </c>
      <c r="DC362" s="55">
        <v>0</v>
      </c>
      <c r="DD362" s="55">
        <v>0</v>
      </c>
      <c r="DE362" s="55">
        <v>0</v>
      </c>
      <c r="DF362" s="55">
        <v>0</v>
      </c>
      <c r="DG362" s="55">
        <v>0</v>
      </c>
      <c r="DH362" s="55">
        <v>0</v>
      </c>
      <c r="DI362" s="55">
        <v>0</v>
      </c>
    </row>
    <row r="363" spans="1:113" outlineLevel="1">
      <c r="A363" s="1" t="s">
        <v>139</v>
      </c>
      <c r="B363" s="19" t="s">
        <v>471</v>
      </c>
      <c r="C363" s="55">
        <v>-132.71304266648261</v>
      </c>
      <c r="D363" s="55">
        <v>-153.42525873821785</v>
      </c>
      <c r="E363" s="55">
        <v>-109.81001396312611</v>
      </c>
      <c r="F363" s="55">
        <v>-108.18552383476731</v>
      </c>
      <c r="G363" s="55">
        <v>-185.50858218160602</v>
      </c>
      <c r="H363" s="55">
        <v>-149.77321882531172</v>
      </c>
      <c r="I363" s="55">
        <v>-180.11171368781734</v>
      </c>
      <c r="J363" s="55">
        <v>-235.09699266546204</v>
      </c>
      <c r="K363" s="55">
        <v>-294.69542320662123</v>
      </c>
      <c r="L363" s="55">
        <v>-86.95437673956387</v>
      </c>
      <c r="M363" s="55">
        <v>-113.56063007438101</v>
      </c>
      <c r="N363" s="55">
        <v>-93.145221210687694</v>
      </c>
      <c r="O363" s="55">
        <v>-66.892812165779361</v>
      </c>
      <c r="P363" s="55">
        <v>-33.552845853897992</v>
      </c>
      <c r="Q363" s="55">
        <v>-41.891733584656805</v>
      </c>
      <c r="R363" s="55">
        <v>-195.49914999742896</v>
      </c>
      <c r="S363" s="55">
        <v>-290.37570355880274</v>
      </c>
      <c r="T363" s="55">
        <v>-300.51483281112121</v>
      </c>
      <c r="U363" s="55">
        <v>-259.24304028977156</v>
      </c>
      <c r="V363" s="55">
        <v>-194.6853090860875</v>
      </c>
      <c r="W363" s="55">
        <v>-137.78404112061983</v>
      </c>
      <c r="X363" s="55">
        <v>-147.36261806736988</v>
      </c>
      <c r="Y363" s="55">
        <v>-200.46753960224405</v>
      </c>
      <c r="Z363" s="55">
        <v>-189.14708914353659</v>
      </c>
      <c r="AA363" s="55">
        <v>-248.27187287197324</v>
      </c>
      <c r="AB363" s="55">
        <v>-269.83137151608292</v>
      </c>
      <c r="AC363" s="55">
        <v>-284.81045602779989</v>
      </c>
      <c r="AD363" s="55">
        <v>-318.89414569709072</v>
      </c>
      <c r="AE363" s="55">
        <v>-416.1894539614857</v>
      </c>
      <c r="AF363" s="55">
        <v>-469.86794504129676</v>
      </c>
      <c r="AG363" s="55">
        <v>-360.58614637274195</v>
      </c>
      <c r="AH363" s="55">
        <v>-342.04383339928921</v>
      </c>
      <c r="AI363" s="55">
        <v>-345.31675388951834</v>
      </c>
      <c r="AJ363" s="55">
        <v>-358.68743928376432</v>
      </c>
      <c r="AK363" s="55">
        <v>-269.70271547679943</v>
      </c>
      <c r="AL363" s="55">
        <v>-234.54890880062126</v>
      </c>
      <c r="AM363" s="55">
        <v>-270.45155688681791</v>
      </c>
      <c r="AN363" s="55">
        <v>-397.02627847395905</v>
      </c>
      <c r="AO363" s="55">
        <v>-441.01145365376004</v>
      </c>
      <c r="AP363" s="55">
        <v>-382.9826803265031</v>
      </c>
      <c r="AQ363" s="55">
        <v>-137.93661462152727</v>
      </c>
      <c r="AR363" s="55">
        <v>-230.8011857105538</v>
      </c>
      <c r="AS363" s="55">
        <v>-64.783750588066198</v>
      </c>
      <c r="AT363" s="55">
        <v>179.05232792482701</v>
      </c>
      <c r="AU363" s="55">
        <v>1534.1480749709865</v>
      </c>
      <c r="AV363" s="55">
        <v>115.63069366096869</v>
      </c>
      <c r="AW363" s="56">
        <v>91.835061099563688</v>
      </c>
      <c r="AX363" s="55"/>
      <c r="AY363" s="55"/>
      <c r="AZ363" s="55"/>
      <c r="BA363" s="55"/>
      <c r="BB363" s="55"/>
      <c r="BC363" s="55"/>
      <c r="BD363" s="55"/>
      <c r="BE363" s="55"/>
      <c r="BF363" s="55"/>
      <c r="BG363" s="55"/>
      <c r="BH363" s="55"/>
      <c r="BI363" s="55"/>
      <c r="BJ363" s="55"/>
      <c r="BK363" s="55"/>
      <c r="BL363" s="55"/>
      <c r="BM363" s="55"/>
      <c r="BN363" s="55"/>
      <c r="BO363" s="55"/>
      <c r="BP363" s="55"/>
      <c r="BQ363" s="55"/>
      <c r="BR363" s="55"/>
      <c r="BS363" s="55"/>
      <c r="BT363" s="55"/>
      <c r="BU363" s="55"/>
      <c r="BV363" s="55"/>
      <c r="BW363" s="55"/>
      <c r="BX363" s="55"/>
      <c r="BY363" s="55"/>
      <c r="BZ363" s="55"/>
      <c r="CA363" s="55"/>
      <c r="CB363" s="55"/>
      <c r="CC363" s="55">
        <v>-263.23527270134394</v>
      </c>
      <c r="CD363" s="55">
        <v>-293.69410601637333</v>
      </c>
      <c r="CE363" s="55">
        <v>-329.88493251312906</v>
      </c>
      <c r="CF363" s="55">
        <v>-529.79241587208321</v>
      </c>
      <c r="CG363" s="55">
        <v>-200.51500681394486</v>
      </c>
      <c r="CH363" s="55">
        <v>-160.03803337646707</v>
      </c>
      <c r="CI363" s="55">
        <v>-75.444579438554797</v>
      </c>
      <c r="CJ363" s="55">
        <v>-485.8748535562317</v>
      </c>
      <c r="CK363" s="55">
        <v>-559.75787310089277</v>
      </c>
      <c r="CL363" s="55">
        <v>-332.4693502067073</v>
      </c>
      <c r="CM363" s="55">
        <v>-347.83015766961393</v>
      </c>
      <c r="CN363" s="55">
        <v>-437.41896201550981</v>
      </c>
      <c r="CO363" s="55">
        <v>-554.64182754388275</v>
      </c>
      <c r="CP363" s="55">
        <v>-735.08359965857642</v>
      </c>
      <c r="CQ363" s="55">
        <v>-830.45409141403866</v>
      </c>
      <c r="CR363" s="55">
        <v>-687.36058728880755</v>
      </c>
      <c r="CS363" s="55">
        <v>-628.39015476056375</v>
      </c>
      <c r="CT363" s="55">
        <v>-505.00046568743915</v>
      </c>
      <c r="CU363" s="55">
        <v>-838.0377321277191</v>
      </c>
      <c r="CV363" s="55">
        <v>-520.91929494803037</v>
      </c>
      <c r="CW363" s="55">
        <v>-295.58493629861999</v>
      </c>
      <c r="CX363" s="55">
        <v>1713.2004028958136</v>
      </c>
      <c r="CY363" s="56">
        <v>207.46575476053238</v>
      </c>
      <c r="CZ363" s="55">
        <v>0</v>
      </c>
      <c r="DA363" s="55">
        <v>0</v>
      </c>
      <c r="DB363" s="55">
        <v>0</v>
      </c>
      <c r="DC363" s="55">
        <v>0</v>
      </c>
      <c r="DD363" s="55">
        <v>0</v>
      </c>
      <c r="DE363" s="55">
        <v>0</v>
      </c>
      <c r="DF363" s="55">
        <v>0</v>
      </c>
      <c r="DG363" s="55">
        <v>0</v>
      </c>
      <c r="DH363" s="55">
        <v>0</v>
      </c>
      <c r="DI363" s="55">
        <v>0</v>
      </c>
    </row>
    <row r="364" spans="1:113" s="24" customFormat="1" outlineLevel="1">
      <c r="A364" s="1" t="s">
        <v>140</v>
      </c>
      <c r="B364" s="24" t="s">
        <v>168</v>
      </c>
      <c r="C364" s="82">
        <v>-41.479469452054815</v>
      </c>
      <c r="D364" s="82">
        <v>-69.617529512328744</v>
      </c>
      <c r="E364" s="82">
        <v>4.5058155100457391</v>
      </c>
      <c r="F364" s="82">
        <v>18.996582743379054</v>
      </c>
      <c r="G364" s="82">
        <v>-66.149464611872205</v>
      </c>
      <c r="H364" s="82">
        <v>1.5110780510019268</v>
      </c>
      <c r="I364" s="82">
        <v>-5.0119230874317093</v>
      </c>
      <c r="J364" s="82">
        <v>-60.676737899543433</v>
      </c>
      <c r="K364" s="82">
        <v>-93.701475932876662</v>
      </c>
      <c r="L364" s="82">
        <v>59.755535061020808</v>
      </c>
      <c r="M364" s="82">
        <v>62.716237790937953</v>
      </c>
      <c r="N364" s="82">
        <v>89.621945770992241</v>
      </c>
      <c r="O364" s="82">
        <v>143.28007449610121</v>
      </c>
      <c r="P364" s="82">
        <v>242.22383555224368</v>
      </c>
      <c r="Q364" s="82">
        <v>240.79834086065566</v>
      </c>
      <c r="R364" s="82">
        <v>97.667201643835597</v>
      </c>
      <c r="S364" s="82">
        <v>-208.41777341191479</v>
      </c>
      <c r="T364" s="82">
        <v>-213.71591312577848</v>
      </c>
      <c r="U364" s="82">
        <v>-106.33043782096185</v>
      </c>
      <c r="V364" s="82">
        <v>-24.021848972201472</v>
      </c>
      <c r="W364" s="82">
        <v>33.100358683232308</v>
      </c>
      <c r="X364" s="82">
        <v>52.746731447879029</v>
      </c>
      <c r="Y364" s="82">
        <v>-22.293194071038734</v>
      </c>
      <c r="Z364" s="82">
        <v>-44.15513595315295</v>
      </c>
      <c r="AA364" s="82">
        <v>-118.41171117030963</v>
      </c>
      <c r="AB364" s="82">
        <v>-142.56694213366595</v>
      </c>
      <c r="AC364" s="82">
        <v>-135.75489417808222</v>
      </c>
      <c r="AD364" s="82">
        <v>-161.78351524707367</v>
      </c>
      <c r="AE364" s="82">
        <v>-287.17276986692201</v>
      </c>
      <c r="AF364" s="82">
        <v>-290.85649942043477</v>
      </c>
      <c r="AG364" s="82">
        <v>-172.91546379781343</v>
      </c>
      <c r="AH364" s="82">
        <v>-241.74368358235327</v>
      </c>
      <c r="AI364" s="82">
        <v>-247.67817049911019</v>
      </c>
      <c r="AJ364" s="82">
        <v>-233.1827571801893</v>
      </c>
      <c r="AK364" s="82">
        <v>-148.65125535799072</v>
      </c>
      <c r="AL364" s="82">
        <v>-135.63918014012324</v>
      </c>
      <c r="AM364" s="82">
        <v>-175.269016531738</v>
      </c>
      <c r="AN364" s="82">
        <v>-413.01198137108804</v>
      </c>
      <c r="AO364" s="82">
        <v>-456.01031284707079</v>
      </c>
      <c r="AP364" s="82">
        <v>-501.79681710668325</v>
      </c>
      <c r="AQ364" s="82">
        <v>-254.46550082598918</v>
      </c>
      <c r="AR364" s="82">
        <v>-242.66772344010712</v>
      </c>
      <c r="AS364" s="82">
        <v>-76.514893286924519</v>
      </c>
      <c r="AT364" s="82">
        <v>560.52747892903949</v>
      </c>
      <c r="AU364" s="82">
        <v>1901.2884635295243</v>
      </c>
      <c r="AV364" s="82">
        <v>491.79793224817377</v>
      </c>
      <c r="AW364" s="83">
        <v>296.09348680920857</v>
      </c>
      <c r="AX364" s="82">
        <v>324.16669490064987</v>
      </c>
      <c r="AY364" s="82">
        <v>322.6867723137176</v>
      </c>
      <c r="AZ364" s="82">
        <v>327.92451476410997</v>
      </c>
      <c r="BA364" s="82">
        <v>319.8009080348823</v>
      </c>
      <c r="BB364" s="82">
        <v>321.10415727423748</v>
      </c>
      <c r="BC364" s="82">
        <v>314.77768448342732</v>
      </c>
      <c r="BD364" s="82">
        <v>320.7151456111045</v>
      </c>
      <c r="BE364" s="82">
        <v>318.83120927037345</v>
      </c>
      <c r="BF364" s="82">
        <v>324.8670949049781</v>
      </c>
      <c r="BG364" s="82">
        <v>321.2168737533903</v>
      </c>
      <c r="BH364" s="82">
        <v>328.2390910307866</v>
      </c>
      <c r="BI364" s="82">
        <v>324.58152270451455</v>
      </c>
      <c r="BJ364" s="82">
        <v>331.70731077345965</v>
      </c>
      <c r="BK364" s="82">
        <v>330.45159447432462</v>
      </c>
      <c r="BL364" s="82">
        <v>341.7445729478315</v>
      </c>
      <c r="BM364" s="82">
        <v>344.82436018077766</v>
      </c>
      <c r="BN364" s="82">
        <v>356.59507649293653</v>
      </c>
      <c r="BO364" s="82">
        <v>357.83172496201348</v>
      </c>
      <c r="BP364" s="82">
        <v>371.07426654480651</v>
      </c>
      <c r="BQ364" s="82">
        <v>372.3611279006883</v>
      </c>
      <c r="BR364" s="82"/>
      <c r="BS364" s="82">
        <v>34.172472500000104</v>
      </c>
      <c r="BT364" s="82">
        <v>10.272428333333346</v>
      </c>
      <c r="BU364" s="82">
        <v>19.634671666666609</v>
      </c>
      <c r="BV364" s="82">
        <v>112.00106250000009</v>
      </c>
      <c r="BW364" s="82">
        <v>23.295079999999988</v>
      </c>
      <c r="BX364" s="82">
        <v>-64.435436833333327</v>
      </c>
      <c r="BY364" s="82">
        <v>-277.74387674999997</v>
      </c>
      <c r="BZ364" s="82">
        <v>-66.606935750000105</v>
      </c>
      <c r="CA364" s="82">
        <v>117.77328854961783</v>
      </c>
      <c r="CB364" s="82">
        <v>-17.111686153846609</v>
      </c>
      <c r="CC364" s="82">
        <v>-65.111714002283009</v>
      </c>
      <c r="CD364" s="82">
        <v>-47.152881868493154</v>
      </c>
      <c r="CE364" s="82">
        <v>-3.5008450364297827</v>
      </c>
      <c r="CF364" s="82">
        <v>-154.3782138324201</v>
      </c>
      <c r="CG364" s="82">
        <v>122.47177285195876</v>
      </c>
      <c r="CH364" s="82">
        <v>232.90202026709346</v>
      </c>
      <c r="CI364" s="82">
        <v>483.02217641289934</v>
      </c>
      <c r="CJ364" s="82">
        <v>-110.7505717680792</v>
      </c>
      <c r="CK364" s="82">
        <v>-320.04635094674035</v>
      </c>
      <c r="CL364" s="82">
        <v>9.0785097110308364</v>
      </c>
      <c r="CM364" s="82">
        <v>30.453537376840295</v>
      </c>
      <c r="CN364" s="82">
        <v>-162.56684712346259</v>
      </c>
      <c r="CO364" s="82">
        <v>-278.32183631174814</v>
      </c>
      <c r="CP364" s="82">
        <v>-448.9562851139957</v>
      </c>
      <c r="CQ364" s="82">
        <v>-463.77196321824817</v>
      </c>
      <c r="CR364" s="82">
        <v>-489.42185408146344</v>
      </c>
      <c r="CS364" s="82">
        <v>-381.83401253818005</v>
      </c>
      <c r="CT364" s="82">
        <v>-310.90819667186122</v>
      </c>
      <c r="CU364" s="82">
        <v>-869.02229421815889</v>
      </c>
      <c r="CV364" s="82">
        <v>-756.26231793267243</v>
      </c>
      <c r="CW364" s="82">
        <v>-319.18261672703164</v>
      </c>
      <c r="CX364" s="82">
        <v>2461.8159424585638</v>
      </c>
      <c r="CY364" s="83">
        <v>787.89141905738234</v>
      </c>
      <c r="CZ364" s="82">
        <v>646.85346721436747</v>
      </c>
      <c r="DA364" s="82">
        <v>647.72542279899221</v>
      </c>
      <c r="DB364" s="82">
        <v>635.8818417576648</v>
      </c>
      <c r="DC364" s="82">
        <v>639.54635488147801</v>
      </c>
      <c r="DD364" s="82">
        <v>646.08396865836835</v>
      </c>
      <c r="DE364" s="82">
        <v>652.82061373530109</v>
      </c>
      <c r="DF364" s="82">
        <v>662.15890524778433</v>
      </c>
      <c r="DG364" s="82">
        <v>686.56893312860916</v>
      </c>
      <c r="DH364" s="82">
        <v>714.42680145495001</v>
      </c>
      <c r="DI364" s="82">
        <v>743.43539444549481</v>
      </c>
    </row>
    <row r="365" spans="1:113" outlineLevel="1">
      <c r="C365" s="55"/>
      <c r="D365" s="55"/>
      <c r="E365" s="55"/>
      <c r="F365" s="55"/>
      <c r="G365" s="55"/>
      <c r="H365" s="55"/>
      <c r="I365" s="55"/>
      <c r="J365" s="55"/>
      <c r="K365" s="55"/>
      <c r="L365" s="55"/>
      <c r="M365" s="55"/>
      <c r="N365" s="55"/>
      <c r="O365" s="55"/>
      <c r="P365" s="55"/>
      <c r="Q365" s="55"/>
      <c r="R365" s="55"/>
      <c r="S365" s="55"/>
      <c r="T365" s="55"/>
      <c r="U365" s="55"/>
      <c r="V365" s="55"/>
      <c r="W365" s="55"/>
      <c r="X365" s="55"/>
      <c r="Y365" s="55"/>
      <c r="Z365" s="55"/>
      <c r="AA365" s="55"/>
      <c r="AB365" s="55"/>
      <c r="AC365" s="55"/>
      <c r="AD365" s="55"/>
      <c r="AE365" s="55"/>
      <c r="AF365" s="55"/>
      <c r="AG365" s="55"/>
      <c r="AH365" s="55"/>
      <c r="AI365" s="55"/>
      <c r="AJ365" s="55"/>
      <c r="AK365" s="55"/>
      <c r="AL365" s="55"/>
      <c r="AM365" s="55"/>
      <c r="AN365" s="55"/>
      <c r="AO365" s="55"/>
      <c r="AP365" s="55"/>
      <c r="AQ365" s="55"/>
      <c r="AR365" s="55"/>
      <c r="AS365" s="55"/>
      <c r="AT365" s="55"/>
      <c r="AU365" s="55"/>
      <c r="AV365" s="55"/>
      <c r="AW365" s="56"/>
      <c r="AX365" s="55"/>
      <c r="AY365" s="55"/>
      <c r="AZ365" s="55"/>
      <c r="BA365" s="55"/>
      <c r="BB365" s="55"/>
      <c r="BC365" s="55"/>
      <c r="BD365" s="55"/>
      <c r="BE365" s="55"/>
      <c r="BF365" s="55"/>
      <c r="BG365" s="55"/>
      <c r="BH365" s="55"/>
      <c r="BI365" s="55"/>
      <c r="BJ365" s="55"/>
      <c r="BK365" s="55"/>
      <c r="BL365" s="55"/>
      <c r="BM365" s="55"/>
      <c r="BN365" s="55"/>
      <c r="BO365" s="55"/>
      <c r="BP365" s="55"/>
      <c r="BQ365" s="55"/>
      <c r="BR365" s="55"/>
      <c r="BS365" s="55"/>
      <c r="BT365" s="55"/>
      <c r="BU365" s="55"/>
      <c r="BV365" s="55"/>
      <c r="BW365" s="55"/>
      <c r="BX365" s="55"/>
      <c r="BY365" s="55"/>
      <c r="BZ365" s="55"/>
      <c r="CA365" s="55"/>
      <c r="CB365" s="55"/>
      <c r="CC365" s="55"/>
      <c r="CD365" s="55"/>
      <c r="CE365" s="55"/>
      <c r="CF365" s="55"/>
      <c r="CG365" s="55"/>
      <c r="CH365" s="55"/>
      <c r="CI365" s="55"/>
      <c r="CJ365" s="55"/>
      <c r="CK365" s="55"/>
      <c r="CL365" s="55"/>
      <c r="CM365" s="55"/>
      <c r="CN365" s="55"/>
      <c r="CO365" s="55"/>
      <c r="CP365" s="55"/>
      <c r="CQ365" s="55"/>
      <c r="CR365" s="55"/>
      <c r="CS365" s="55"/>
      <c r="CT365" s="55"/>
      <c r="CU365" s="55"/>
      <c r="CV365" s="55"/>
      <c r="CW365" s="55"/>
      <c r="CX365" s="55"/>
      <c r="CY365" s="56"/>
      <c r="CZ365" s="55"/>
      <c r="DA365" s="55"/>
      <c r="DB365" s="55"/>
      <c r="DC365" s="55"/>
      <c r="DD365" s="55"/>
      <c r="DE365" s="55"/>
      <c r="DF365" s="55"/>
      <c r="DG365" s="55"/>
      <c r="DH365" s="55"/>
      <c r="DI365" s="55"/>
    </row>
    <row r="366" spans="1:113" s="24" customFormat="1" outlineLevel="1">
      <c r="A366" s="1"/>
      <c r="B366" s="24" t="s">
        <v>491</v>
      </c>
      <c r="C366" s="82"/>
      <c r="D366" s="82"/>
      <c r="E366" s="82"/>
      <c r="F366" s="82"/>
      <c r="G366" s="82"/>
      <c r="H366" s="82"/>
      <c r="I366" s="82"/>
      <c r="J366" s="82"/>
      <c r="K366" s="82"/>
      <c r="L366" s="82"/>
      <c r="M366" s="82"/>
      <c r="N366" s="82"/>
      <c r="O366" s="82"/>
      <c r="P366" s="82"/>
      <c r="Q366" s="82"/>
      <c r="R366" s="82"/>
      <c r="S366" s="82"/>
      <c r="T366" s="82"/>
      <c r="U366" s="82"/>
      <c r="V366" s="82"/>
      <c r="W366" s="82"/>
      <c r="X366" s="82"/>
      <c r="Y366" s="82"/>
      <c r="Z366" s="82"/>
      <c r="AA366" s="82"/>
      <c r="AB366" s="82"/>
      <c r="AC366" s="82"/>
      <c r="AD366" s="82"/>
      <c r="AE366" s="82"/>
      <c r="AF366" s="82"/>
      <c r="AG366" s="82"/>
      <c r="AH366" s="82"/>
      <c r="AI366" s="82"/>
      <c r="AJ366" s="82"/>
      <c r="AK366" s="82"/>
      <c r="AL366" s="82"/>
      <c r="AM366" s="82"/>
      <c r="AN366" s="82"/>
      <c r="AO366" s="82"/>
      <c r="AP366" s="82"/>
      <c r="AQ366" s="82"/>
      <c r="AR366" s="82"/>
      <c r="AS366" s="82"/>
      <c r="AT366" s="82"/>
      <c r="AU366" s="82"/>
      <c r="AV366" s="82"/>
      <c r="AW366" s="83"/>
      <c r="AX366" s="82"/>
      <c r="AY366" s="82"/>
      <c r="AZ366" s="82"/>
      <c r="BA366" s="82"/>
      <c r="BB366" s="82"/>
      <c r="BC366" s="82"/>
      <c r="BD366" s="82"/>
      <c r="BE366" s="82"/>
      <c r="BF366" s="82"/>
      <c r="BG366" s="82"/>
      <c r="BH366" s="82"/>
      <c r="BI366" s="82"/>
      <c r="BJ366" s="82"/>
      <c r="BK366" s="82"/>
      <c r="BL366" s="82"/>
      <c r="BM366" s="82"/>
      <c r="BN366" s="82"/>
      <c r="BO366" s="82"/>
      <c r="BP366" s="82"/>
      <c r="BQ366" s="82"/>
      <c r="BR366" s="82"/>
      <c r="BS366" s="82"/>
      <c r="BT366" s="82"/>
      <c r="BU366" s="82"/>
      <c r="BV366" s="82"/>
      <c r="BW366" s="82"/>
      <c r="BX366" s="82"/>
      <c r="BY366" s="82"/>
      <c r="BZ366" s="82"/>
      <c r="CA366" s="82"/>
      <c r="CB366" s="82"/>
      <c r="CC366" s="82"/>
      <c r="CD366" s="82"/>
      <c r="CE366" s="82"/>
      <c r="CF366" s="82"/>
      <c r="CG366" s="82"/>
      <c r="CH366" s="82"/>
      <c r="CI366" s="82"/>
      <c r="CJ366" s="82"/>
      <c r="CK366" s="82"/>
      <c r="CL366" s="82"/>
      <c r="CM366" s="82"/>
      <c r="CN366" s="82"/>
      <c r="CO366" s="82"/>
      <c r="CP366" s="82"/>
      <c r="CQ366" s="82"/>
      <c r="CR366" s="82"/>
      <c r="CS366" s="82"/>
      <c r="CT366" s="82"/>
      <c r="CU366" s="82"/>
      <c r="CV366" s="82"/>
      <c r="CW366" s="82"/>
      <c r="CX366" s="82"/>
      <c r="CY366" s="83"/>
      <c r="CZ366" s="82"/>
      <c r="DA366" s="82"/>
      <c r="DB366" s="82"/>
      <c r="DC366" s="82"/>
      <c r="DD366" s="82"/>
      <c r="DE366" s="82"/>
      <c r="DF366" s="82"/>
      <c r="DG366" s="82"/>
      <c r="DH366" s="82"/>
      <c r="DI366" s="82"/>
    </row>
    <row r="367" spans="1:113" outlineLevel="1">
      <c r="A367" s="1" t="s">
        <v>222</v>
      </c>
      <c r="B367" s="19" t="s">
        <v>589</v>
      </c>
      <c r="C367" s="55">
        <v>0</v>
      </c>
      <c r="D367" s="55">
        <v>0</v>
      </c>
      <c r="E367" s="55">
        <v>0</v>
      </c>
      <c r="F367" s="55">
        <v>0</v>
      </c>
      <c r="G367" s="55">
        <v>0</v>
      </c>
      <c r="H367" s="55">
        <v>0</v>
      </c>
      <c r="I367" s="55">
        <v>0</v>
      </c>
      <c r="J367" s="55">
        <v>0</v>
      </c>
      <c r="K367" s="55">
        <v>0</v>
      </c>
      <c r="L367" s="55">
        <v>0</v>
      </c>
      <c r="M367" s="55">
        <v>0</v>
      </c>
      <c r="N367" s="55">
        <v>0</v>
      </c>
      <c r="O367" s="55">
        <v>0</v>
      </c>
      <c r="P367" s="55">
        <v>0</v>
      </c>
      <c r="Q367" s="55">
        <v>0</v>
      </c>
      <c r="R367" s="55">
        <v>0</v>
      </c>
      <c r="S367" s="55">
        <v>0</v>
      </c>
      <c r="T367" s="55">
        <v>13.229283803439143</v>
      </c>
      <c r="U367" s="55">
        <v>18.882884084928204</v>
      </c>
      <c r="V367" s="55">
        <v>23.757283857620237</v>
      </c>
      <c r="W367" s="55">
        <v>18.949459295434821</v>
      </c>
      <c r="X367" s="55">
        <v>20.330812881329123</v>
      </c>
      <c r="Y367" s="55">
        <v>14.727475298445347</v>
      </c>
      <c r="Z367" s="55">
        <v>12.207364932634775</v>
      </c>
      <c r="AA367" s="55">
        <v>10.286037208450605</v>
      </c>
      <c r="AB367" s="55">
        <v>8.9564411243941944</v>
      </c>
      <c r="AC367" s="55">
        <v>9.0178450076795222</v>
      </c>
      <c r="AD367" s="55">
        <v>11.728996257339158</v>
      </c>
      <c r="AE367" s="55">
        <v>11.314735217943266</v>
      </c>
      <c r="AF367" s="55">
        <v>16.737537713960577</v>
      </c>
      <c r="AG367" s="55">
        <v>22.517344221651754</v>
      </c>
      <c r="AH367" s="55">
        <v>17.289067044583501</v>
      </c>
      <c r="AI367" s="55">
        <v>17.066107391078926</v>
      </c>
      <c r="AJ367" s="55">
        <v>9.7523593498962153</v>
      </c>
      <c r="AK367" s="55">
        <v>8.9442775080706891</v>
      </c>
      <c r="AL367" s="55">
        <v>15.06648484619352</v>
      </c>
      <c r="AM367" s="55">
        <v>16.796919448986102</v>
      </c>
      <c r="AN367" s="55">
        <v>-3.2317468370508418</v>
      </c>
      <c r="AO367" s="55">
        <v>-2.9669630606203925</v>
      </c>
      <c r="AP367" s="55">
        <v>-5.2442675066506128</v>
      </c>
      <c r="AQ367" s="55">
        <v>-5.170106147970702</v>
      </c>
      <c r="AR367" s="55">
        <v>-1.7367461488943254</v>
      </c>
      <c r="AS367" s="55">
        <v>-1.3213041745308463</v>
      </c>
      <c r="AT367" s="55">
        <v>-3.6448530758293929</v>
      </c>
      <c r="AU367" s="55">
        <v>-3.4924137569255631</v>
      </c>
      <c r="AV367" s="55">
        <v>-3.5970639077566355</v>
      </c>
      <c r="AW367" s="56">
        <v>-1.7260745500114947</v>
      </c>
      <c r="AX367" s="55"/>
      <c r="AY367" s="55"/>
      <c r="AZ367" s="55"/>
      <c r="BA367" s="55"/>
      <c r="BB367" s="55"/>
      <c r="BC367" s="55"/>
      <c r="BD367" s="55"/>
      <c r="BE367" s="55"/>
      <c r="BF367" s="55"/>
      <c r="BG367" s="55"/>
      <c r="BH367" s="55"/>
      <c r="BI367" s="55"/>
      <c r="BJ367" s="55"/>
      <c r="BK367" s="55"/>
      <c r="BL367" s="55"/>
      <c r="BM367" s="55"/>
      <c r="BN367" s="55"/>
      <c r="BO367" s="55"/>
      <c r="BP367" s="55"/>
      <c r="BQ367" s="55"/>
      <c r="BR367" s="55"/>
      <c r="BS367" s="55"/>
      <c r="BT367" s="55"/>
      <c r="BU367" s="55"/>
      <c r="BV367" s="55"/>
      <c r="BW367" s="55"/>
      <c r="BX367" s="55"/>
      <c r="BY367" s="55"/>
      <c r="BZ367" s="55"/>
      <c r="CA367" s="55"/>
      <c r="CB367" s="55"/>
      <c r="CC367" s="55">
        <v>0</v>
      </c>
      <c r="CD367" s="55">
        <v>0</v>
      </c>
      <c r="CE367" s="55">
        <v>0</v>
      </c>
      <c r="CF367" s="55">
        <v>0</v>
      </c>
      <c r="CG367" s="55">
        <v>0</v>
      </c>
      <c r="CH367" s="55">
        <v>0</v>
      </c>
      <c r="CI367" s="55">
        <v>0</v>
      </c>
      <c r="CJ367" s="55">
        <v>0</v>
      </c>
      <c r="CK367" s="55">
        <v>32.112167888367345</v>
      </c>
      <c r="CL367" s="55">
        <v>42.706743153055058</v>
      </c>
      <c r="CM367" s="55">
        <v>35.058288179774472</v>
      </c>
      <c r="CN367" s="55">
        <v>22.493402141085379</v>
      </c>
      <c r="CO367" s="55">
        <v>17.974286132073715</v>
      </c>
      <c r="CP367" s="55">
        <v>23.043731475282424</v>
      </c>
      <c r="CQ367" s="55">
        <v>39.254881935612332</v>
      </c>
      <c r="CR367" s="55">
        <v>34.355174435662427</v>
      </c>
      <c r="CS367" s="55">
        <v>18.696636857966904</v>
      </c>
      <c r="CT367" s="55">
        <v>31.863404295179624</v>
      </c>
      <c r="CU367" s="55">
        <v>-6.1987098976712343</v>
      </c>
      <c r="CV367" s="55">
        <v>-10.414373654621315</v>
      </c>
      <c r="CW367" s="55">
        <v>-3.0580503234251717</v>
      </c>
      <c r="CX367" s="55">
        <v>-7.137266832754956</v>
      </c>
      <c r="CY367" s="56">
        <v>-5.3231384577681302</v>
      </c>
      <c r="CZ367" s="55">
        <v>0</v>
      </c>
      <c r="DA367" s="55">
        <v>0</v>
      </c>
      <c r="DB367" s="55">
        <v>0</v>
      </c>
      <c r="DC367" s="55">
        <v>0</v>
      </c>
      <c r="DD367" s="55">
        <v>0</v>
      </c>
      <c r="DE367" s="55">
        <v>0</v>
      </c>
      <c r="DF367" s="55">
        <v>0</v>
      </c>
      <c r="DG367" s="55">
        <v>0</v>
      </c>
      <c r="DH367" s="55">
        <v>0</v>
      </c>
      <c r="DI367" s="55">
        <v>0</v>
      </c>
    </row>
    <row r="368" spans="1:113" outlineLevel="1">
      <c r="A368" s="1" t="s">
        <v>223</v>
      </c>
      <c r="B368" s="19" t="s">
        <v>471</v>
      </c>
      <c r="C368" s="55">
        <v>0</v>
      </c>
      <c r="D368" s="55">
        <v>0</v>
      </c>
      <c r="E368" s="55">
        <v>0</v>
      </c>
      <c r="F368" s="55">
        <v>0</v>
      </c>
      <c r="G368" s="55">
        <v>0</v>
      </c>
      <c r="H368" s="55">
        <v>0</v>
      </c>
      <c r="I368" s="55">
        <v>0</v>
      </c>
      <c r="J368" s="55">
        <v>0</v>
      </c>
      <c r="K368" s="55">
        <v>0</v>
      </c>
      <c r="L368" s="55">
        <v>0</v>
      </c>
      <c r="M368" s="55">
        <v>0</v>
      </c>
      <c r="N368" s="55">
        <v>0</v>
      </c>
      <c r="O368" s="55">
        <v>0</v>
      </c>
      <c r="P368" s="55">
        <v>0</v>
      </c>
      <c r="Q368" s="55">
        <v>0</v>
      </c>
      <c r="R368" s="55">
        <v>0</v>
      </c>
      <c r="S368" s="55">
        <v>0</v>
      </c>
      <c r="T368" s="55">
        <v>265.39734585534029</v>
      </c>
      <c r="U368" s="55">
        <v>251.98991763536498</v>
      </c>
      <c r="V368" s="55">
        <v>340.35958025806912</v>
      </c>
      <c r="W368" s="55">
        <v>335.19083951628863</v>
      </c>
      <c r="X368" s="55">
        <v>318.84843810102609</v>
      </c>
      <c r="Y368" s="55">
        <v>275.79326746111718</v>
      </c>
      <c r="Z368" s="55">
        <v>247.7355870196813</v>
      </c>
      <c r="AA368" s="55">
        <v>177.60000291407223</v>
      </c>
      <c r="AB368" s="55">
        <v>173.14067254932908</v>
      </c>
      <c r="AC368" s="55">
        <v>173.00206946720633</v>
      </c>
      <c r="AD368" s="55">
        <v>178.03751338475288</v>
      </c>
      <c r="AE368" s="55">
        <v>126.05754785734588</v>
      </c>
      <c r="AF368" s="55">
        <v>22.033069340187119</v>
      </c>
      <c r="AG368" s="55">
        <v>69.987103046108118</v>
      </c>
      <c r="AH368" s="55">
        <v>15.465488392456873</v>
      </c>
      <c r="AI368" s="55">
        <v>-12.598187862837609</v>
      </c>
      <c r="AJ368" s="55">
        <v>-48.803906806165827</v>
      </c>
      <c r="AK368" s="55">
        <v>-41.949201442742279</v>
      </c>
      <c r="AL368" s="55">
        <v>-95.859209037346872</v>
      </c>
      <c r="AM368" s="55">
        <v>-148.22637316551192</v>
      </c>
      <c r="AN368" s="55">
        <v>-180.61480718679425</v>
      </c>
      <c r="AO368" s="55">
        <v>-163.72407956170335</v>
      </c>
      <c r="AP368" s="55">
        <v>-111.17820757844694</v>
      </c>
      <c r="AQ368" s="55">
        <v>-65.117608320867561</v>
      </c>
      <c r="AR368" s="55">
        <v>-51.224839110143691</v>
      </c>
      <c r="AS368" s="55">
        <v>-77.692171679819083</v>
      </c>
      <c r="AT368" s="55">
        <v>-444.07224705551005</v>
      </c>
      <c r="AU368" s="55">
        <v>332.45476966497625</v>
      </c>
      <c r="AV368" s="55">
        <v>-141.46547037950634</v>
      </c>
      <c r="AW368" s="56">
        <v>-132.59660798701779</v>
      </c>
      <c r="AX368" s="55"/>
      <c r="AY368" s="55"/>
      <c r="AZ368" s="55"/>
      <c r="BA368" s="55"/>
      <c r="BB368" s="55"/>
      <c r="BC368" s="55"/>
      <c r="BD368" s="55"/>
      <c r="BE368" s="55"/>
      <c r="BF368" s="55"/>
      <c r="BG368" s="55"/>
      <c r="BH368" s="55"/>
      <c r="BI368" s="55"/>
      <c r="BJ368" s="55"/>
      <c r="BK368" s="55"/>
      <c r="BL368" s="55"/>
      <c r="BM368" s="55"/>
      <c r="BN368" s="55"/>
      <c r="BO368" s="55"/>
      <c r="BP368" s="55"/>
      <c r="BQ368" s="55"/>
      <c r="BR368" s="55"/>
      <c r="BS368" s="55"/>
      <c r="BT368" s="55"/>
      <c r="BU368" s="55"/>
      <c r="BV368" s="55"/>
      <c r="BW368" s="55"/>
      <c r="BX368" s="55"/>
      <c r="BY368" s="55"/>
      <c r="BZ368" s="55"/>
      <c r="CA368" s="55"/>
      <c r="CB368" s="55"/>
      <c r="CC368" s="55">
        <v>0</v>
      </c>
      <c r="CD368" s="55">
        <v>0</v>
      </c>
      <c r="CE368" s="55">
        <v>0</v>
      </c>
      <c r="CF368" s="55">
        <v>0</v>
      </c>
      <c r="CG368" s="55">
        <v>0</v>
      </c>
      <c r="CH368" s="55">
        <v>0</v>
      </c>
      <c r="CI368" s="55">
        <v>0</v>
      </c>
      <c r="CJ368" s="55">
        <v>0</v>
      </c>
      <c r="CK368" s="55">
        <v>517.38726349070521</v>
      </c>
      <c r="CL368" s="55">
        <v>675.55041977435781</v>
      </c>
      <c r="CM368" s="55">
        <v>594.64170556214322</v>
      </c>
      <c r="CN368" s="55">
        <v>425.33558993375357</v>
      </c>
      <c r="CO368" s="55">
        <v>346.14274201653541</v>
      </c>
      <c r="CP368" s="55">
        <v>304.09506124209878</v>
      </c>
      <c r="CQ368" s="55">
        <v>92.020172386295229</v>
      </c>
      <c r="CR368" s="55">
        <v>2.8673005296192642</v>
      </c>
      <c r="CS368" s="55">
        <v>-90.753108248908106</v>
      </c>
      <c r="CT368" s="55">
        <v>-244.0855822028588</v>
      </c>
      <c r="CU368" s="55">
        <v>-344.3388867484976</v>
      </c>
      <c r="CV368" s="55">
        <v>-176.2958158993145</v>
      </c>
      <c r="CW368" s="55">
        <v>-128.91701078996277</v>
      </c>
      <c r="CX368" s="55">
        <v>-111.61747739053379</v>
      </c>
      <c r="CY368" s="56">
        <v>-274.06207836652413</v>
      </c>
      <c r="CZ368" s="55">
        <v>0</v>
      </c>
      <c r="DA368" s="55">
        <v>0</v>
      </c>
      <c r="DB368" s="55">
        <v>0</v>
      </c>
      <c r="DC368" s="55">
        <v>0</v>
      </c>
      <c r="DD368" s="55">
        <v>0</v>
      </c>
      <c r="DE368" s="55">
        <v>0</v>
      </c>
      <c r="DF368" s="55">
        <v>0</v>
      </c>
      <c r="DG368" s="55">
        <v>0</v>
      </c>
      <c r="DH368" s="55">
        <v>0</v>
      </c>
      <c r="DI368" s="55">
        <v>0</v>
      </c>
    </row>
    <row r="369" spans="1:113" s="24" customFormat="1" outlineLevel="1">
      <c r="A369" s="1" t="s">
        <v>224</v>
      </c>
      <c r="B369" s="24" t="s">
        <v>168</v>
      </c>
      <c r="C369" s="82">
        <v>0</v>
      </c>
      <c r="D369" s="82">
        <v>0</v>
      </c>
      <c r="E369" s="82">
        <v>0</v>
      </c>
      <c r="F369" s="82">
        <v>0</v>
      </c>
      <c r="G369" s="82">
        <v>0</v>
      </c>
      <c r="H369" s="82">
        <v>0</v>
      </c>
      <c r="I369" s="82">
        <v>0</v>
      </c>
      <c r="J369" s="82">
        <v>0</v>
      </c>
      <c r="K369" s="82">
        <v>0</v>
      </c>
      <c r="L369" s="82">
        <v>0</v>
      </c>
      <c r="M369" s="82">
        <v>0</v>
      </c>
      <c r="N369" s="82">
        <v>0</v>
      </c>
      <c r="O369" s="82">
        <v>0</v>
      </c>
      <c r="P369" s="82">
        <v>0</v>
      </c>
      <c r="Q369" s="82">
        <v>0</v>
      </c>
      <c r="R369" s="82">
        <v>0</v>
      </c>
      <c r="S369" s="82">
        <v>0</v>
      </c>
      <c r="T369" s="82">
        <v>278.62662965877945</v>
      </c>
      <c r="U369" s="82">
        <v>270.87280172029318</v>
      </c>
      <c r="V369" s="82">
        <v>364.11686411568934</v>
      </c>
      <c r="W369" s="82">
        <v>354.14029881172343</v>
      </c>
      <c r="X369" s="82">
        <v>339.1792509823552</v>
      </c>
      <c r="Y369" s="82">
        <v>290.52074275956255</v>
      </c>
      <c r="Z369" s="82">
        <v>259.94295195231609</v>
      </c>
      <c r="AA369" s="82">
        <v>187.88604012252284</v>
      </c>
      <c r="AB369" s="82">
        <v>182.09711367372327</v>
      </c>
      <c r="AC369" s="82">
        <v>182.01991447488584</v>
      </c>
      <c r="AD369" s="82">
        <v>189.76650964209205</v>
      </c>
      <c r="AE369" s="82">
        <v>137.37228307528915</v>
      </c>
      <c r="AF369" s="82">
        <v>38.770607054147696</v>
      </c>
      <c r="AG369" s="82">
        <v>92.504447267759872</v>
      </c>
      <c r="AH369" s="82">
        <v>32.754555437040374</v>
      </c>
      <c r="AI369" s="82">
        <v>4.4679195282413176</v>
      </c>
      <c r="AJ369" s="82">
        <v>-39.05154745626961</v>
      </c>
      <c r="AK369" s="82">
        <v>-33.004923934671588</v>
      </c>
      <c r="AL369" s="82">
        <v>-80.792724191153354</v>
      </c>
      <c r="AM369" s="82">
        <v>-131.42945371652581</v>
      </c>
      <c r="AN369" s="82">
        <v>-183.8465540238451</v>
      </c>
      <c r="AO369" s="82">
        <v>-166.69104262232375</v>
      </c>
      <c r="AP369" s="82">
        <v>-116.42247508509756</v>
      </c>
      <c r="AQ369" s="82">
        <v>-70.28771446883826</v>
      </c>
      <c r="AR369" s="82">
        <v>-52.961585259038017</v>
      </c>
      <c r="AS369" s="82">
        <v>-79.013475854349934</v>
      </c>
      <c r="AT369" s="82">
        <v>-447.71710013133946</v>
      </c>
      <c r="AU369" s="82">
        <v>328.96235590805071</v>
      </c>
      <c r="AV369" s="82">
        <v>-145.06253428726299</v>
      </c>
      <c r="AW369" s="83">
        <v>-134.32268253702929</v>
      </c>
      <c r="AX369" s="82">
        <v>-146.43631992540358</v>
      </c>
      <c r="AY369" s="82">
        <v>-141.91850114115647</v>
      </c>
      <c r="AZ369" s="82">
        <v>-137.54243118036416</v>
      </c>
      <c r="BA369" s="82">
        <v>-130.77977999301353</v>
      </c>
      <c r="BB369" s="82">
        <v>-131.44139129934365</v>
      </c>
      <c r="BC369" s="82">
        <v>-129.34250491870444</v>
      </c>
      <c r="BD369" s="82">
        <v>-132.65589602290211</v>
      </c>
      <c r="BE369" s="82">
        <v>-132.75519236190598</v>
      </c>
      <c r="BF369" s="82">
        <v>-136.17394536806444</v>
      </c>
      <c r="BG369" s="82">
        <v>-135.5496548044685</v>
      </c>
      <c r="BH369" s="82">
        <v>-139.4493396710379</v>
      </c>
      <c r="BI369" s="82">
        <v>-138.83230764696776</v>
      </c>
      <c r="BJ369" s="82">
        <v>-142.84894659894795</v>
      </c>
      <c r="BK369" s="82">
        <v>-142.86290744269158</v>
      </c>
      <c r="BL369" s="82">
        <v>-147.88991224305198</v>
      </c>
      <c r="BM369" s="82">
        <v>-149.36889396144346</v>
      </c>
      <c r="BN369" s="82">
        <v>-154.61900682884072</v>
      </c>
      <c r="BO369" s="82">
        <v>-155.30723884184533</v>
      </c>
      <c r="BP369" s="82">
        <v>-161.21261525395283</v>
      </c>
      <c r="BQ369" s="82">
        <v>-161.93020324283256</v>
      </c>
      <c r="BR369" s="82"/>
      <c r="BS369" s="82">
        <v>0</v>
      </c>
      <c r="BT369" s="82">
        <v>0</v>
      </c>
      <c r="BU369" s="82">
        <v>0</v>
      </c>
      <c r="BV369" s="82">
        <v>0</v>
      </c>
      <c r="BW369" s="82">
        <v>0</v>
      </c>
      <c r="BX369" s="82">
        <v>0</v>
      </c>
      <c r="BY369" s="82">
        <v>0</v>
      </c>
      <c r="BZ369" s="82">
        <v>0</v>
      </c>
      <c r="CA369" s="82">
        <v>0</v>
      </c>
      <c r="CB369" s="82">
        <v>0</v>
      </c>
      <c r="CC369" s="82">
        <v>0</v>
      </c>
      <c r="CD369" s="82">
        <v>0</v>
      </c>
      <c r="CE369" s="82">
        <v>0</v>
      </c>
      <c r="CF369" s="82">
        <v>0</v>
      </c>
      <c r="CG369" s="82">
        <v>0</v>
      </c>
      <c r="CH369" s="82">
        <v>0</v>
      </c>
      <c r="CI369" s="82">
        <v>0</v>
      </c>
      <c r="CJ369" s="82">
        <v>0</v>
      </c>
      <c r="CK369" s="82">
        <v>549.49943137907258</v>
      </c>
      <c r="CL369" s="82">
        <v>718.25716292741276</v>
      </c>
      <c r="CM369" s="82">
        <v>629.69999374191775</v>
      </c>
      <c r="CN369" s="82">
        <v>447.82899207483894</v>
      </c>
      <c r="CO369" s="82">
        <v>364.11702814860911</v>
      </c>
      <c r="CP369" s="82">
        <v>327.13879271738119</v>
      </c>
      <c r="CQ369" s="82">
        <v>131.27505432190756</v>
      </c>
      <c r="CR369" s="82">
        <v>37.222474965281691</v>
      </c>
      <c r="CS369" s="82">
        <v>-72.056471390941198</v>
      </c>
      <c r="CT369" s="82">
        <v>-212.22217790767917</v>
      </c>
      <c r="CU369" s="82">
        <v>-350.53759664616882</v>
      </c>
      <c r="CV369" s="82">
        <v>-186.71018955393581</v>
      </c>
      <c r="CW369" s="82">
        <v>-131.97506111338794</v>
      </c>
      <c r="CX369" s="82">
        <v>-118.75474422328875</v>
      </c>
      <c r="CY369" s="83">
        <v>-279.38521682429229</v>
      </c>
      <c r="CZ369" s="82">
        <v>-288.35482106656002</v>
      </c>
      <c r="DA369" s="82">
        <v>-268.3222111733777</v>
      </c>
      <c r="DB369" s="82">
        <v>-260.78389621804808</v>
      </c>
      <c r="DC369" s="82">
        <v>-265.41108838480807</v>
      </c>
      <c r="DD369" s="82">
        <v>-271.72360017253294</v>
      </c>
      <c r="DE369" s="82">
        <v>-278.28164731800564</v>
      </c>
      <c r="DF369" s="82">
        <v>-285.71185404163953</v>
      </c>
      <c r="DG369" s="82">
        <v>-297.25880620449544</v>
      </c>
      <c r="DH369" s="82">
        <v>-309.92624567068606</v>
      </c>
      <c r="DI369" s="82">
        <v>-323.14281849678537</v>
      </c>
    </row>
    <row r="370" spans="1:113" outlineLevel="1">
      <c r="C370" s="55"/>
      <c r="D370" s="55"/>
      <c r="E370" s="55"/>
      <c r="F370" s="55"/>
      <c r="G370" s="55"/>
      <c r="H370" s="55"/>
      <c r="I370" s="55"/>
      <c r="J370" s="55"/>
      <c r="K370" s="55"/>
      <c r="L370" s="55"/>
      <c r="M370" s="55"/>
      <c r="N370" s="55"/>
      <c r="O370" s="55"/>
      <c r="P370" s="55"/>
      <c r="Q370" s="55"/>
      <c r="R370" s="55"/>
      <c r="S370" s="55"/>
      <c r="T370" s="55"/>
      <c r="U370" s="55"/>
      <c r="V370" s="55"/>
      <c r="W370" s="55"/>
      <c r="X370" s="55"/>
      <c r="Y370" s="55"/>
      <c r="Z370" s="55"/>
      <c r="AA370" s="55"/>
      <c r="AB370" s="55"/>
      <c r="AC370" s="55"/>
      <c r="AD370" s="55"/>
      <c r="AE370" s="55"/>
      <c r="AF370" s="55"/>
      <c r="AG370" s="55"/>
      <c r="AH370" s="55"/>
      <c r="AI370" s="55"/>
      <c r="AJ370" s="55"/>
      <c r="AK370" s="55"/>
      <c r="AL370" s="55"/>
      <c r="AM370" s="55"/>
      <c r="AN370" s="55"/>
      <c r="AO370" s="55"/>
      <c r="AP370" s="55"/>
      <c r="AQ370" s="55"/>
      <c r="AR370" s="55"/>
      <c r="AS370" s="55"/>
      <c r="AT370" s="55"/>
      <c r="AU370" s="55"/>
      <c r="AV370" s="55"/>
      <c r="AW370" s="56"/>
      <c r="AX370" s="55"/>
      <c r="AY370" s="55"/>
      <c r="AZ370" s="55"/>
      <c r="BA370" s="55"/>
      <c r="BB370" s="55"/>
      <c r="BC370" s="55"/>
      <c r="BD370" s="55"/>
      <c r="BE370" s="55"/>
      <c r="BF370" s="55"/>
      <c r="BG370" s="55"/>
      <c r="BH370" s="55"/>
      <c r="BI370" s="55"/>
      <c r="BJ370" s="55"/>
      <c r="BK370" s="55"/>
      <c r="BL370" s="55"/>
      <c r="BM370" s="55"/>
      <c r="BN370" s="55"/>
      <c r="BO370" s="55"/>
      <c r="BP370" s="55"/>
      <c r="BQ370" s="55"/>
      <c r="BR370" s="55"/>
      <c r="BS370" s="55"/>
      <c r="BT370" s="55"/>
      <c r="BU370" s="55"/>
      <c r="BV370" s="55"/>
      <c r="BW370" s="55"/>
      <c r="BX370" s="55"/>
      <c r="BY370" s="55"/>
      <c r="BZ370" s="55"/>
      <c r="CA370" s="55"/>
      <c r="CB370" s="55"/>
      <c r="CC370" s="55"/>
      <c r="CD370" s="55"/>
      <c r="CE370" s="55"/>
      <c r="CF370" s="55"/>
      <c r="CG370" s="55"/>
      <c r="CH370" s="55"/>
      <c r="CI370" s="55"/>
      <c r="CJ370" s="55"/>
      <c r="CK370" s="55"/>
      <c r="CL370" s="55"/>
      <c r="CM370" s="55"/>
      <c r="CN370" s="55"/>
      <c r="CO370" s="55"/>
      <c r="CP370" s="55"/>
      <c r="CQ370" s="55"/>
      <c r="CR370" s="55"/>
      <c r="CS370" s="55"/>
      <c r="CT370" s="55"/>
      <c r="CU370" s="55"/>
      <c r="CV370" s="55"/>
      <c r="CW370" s="55"/>
      <c r="CX370" s="55"/>
      <c r="CY370" s="56"/>
      <c r="CZ370" s="55"/>
      <c r="DA370" s="55"/>
      <c r="DB370" s="55"/>
    </row>
    <row r="371" spans="1:113" s="24" customFormat="1" outlineLevel="1">
      <c r="A371" s="19"/>
      <c r="B371" s="24" t="s">
        <v>496</v>
      </c>
      <c r="C371" s="82"/>
      <c r="D371" s="82"/>
      <c r="E371" s="82"/>
      <c r="F371" s="82"/>
      <c r="G371" s="82"/>
      <c r="H371" s="82"/>
      <c r="I371" s="82"/>
      <c r="J371" s="82"/>
      <c r="K371" s="82"/>
      <c r="L371" s="82"/>
      <c r="M371" s="82"/>
      <c r="N371" s="82"/>
      <c r="O371" s="82"/>
      <c r="P371" s="82"/>
      <c r="Q371" s="82"/>
      <c r="R371" s="82"/>
      <c r="S371" s="82"/>
      <c r="T371" s="82"/>
      <c r="U371" s="82"/>
      <c r="V371" s="82"/>
      <c r="W371" s="82"/>
      <c r="X371" s="82"/>
      <c r="Y371" s="82"/>
      <c r="Z371" s="82"/>
      <c r="AA371" s="82"/>
      <c r="AB371" s="82"/>
      <c r="AC371" s="82"/>
      <c r="AD371" s="82"/>
      <c r="AE371" s="82"/>
      <c r="AF371" s="82"/>
      <c r="AG371" s="82"/>
      <c r="AH371" s="82"/>
      <c r="AI371" s="82"/>
      <c r="AJ371" s="82"/>
      <c r="AK371" s="82"/>
      <c r="AL371" s="82"/>
      <c r="AM371" s="82"/>
      <c r="AN371" s="82"/>
      <c r="AO371" s="82"/>
      <c r="AP371" s="82"/>
      <c r="AQ371" s="82"/>
      <c r="AR371" s="82"/>
      <c r="AS371" s="82"/>
      <c r="AT371" s="82"/>
      <c r="AU371" s="82"/>
      <c r="AV371" s="82"/>
      <c r="AW371" s="83"/>
      <c r="AX371" s="82"/>
      <c r="AY371" s="82"/>
      <c r="AZ371" s="82"/>
      <c r="BA371" s="82"/>
      <c r="BB371" s="82"/>
      <c r="BC371" s="82"/>
      <c r="BD371" s="82"/>
      <c r="BE371" s="82"/>
      <c r="BF371" s="82"/>
      <c r="BG371" s="82"/>
      <c r="BH371" s="82"/>
      <c r="BI371" s="82"/>
      <c r="BJ371" s="82"/>
      <c r="BK371" s="82"/>
      <c r="BL371" s="82"/>
      <c r="BM371" s="82"/>
      <c r="BN371" s="82"/>
      <c r="BO371" s="82"/>
      <c r="BP371" s="82"/>
      <c r="BQ371" s="82"/>
      <c r="BR371" s="82"/>
      <c r="BS371" s="82"/>
      <c r="BT371" s="82"/>
      <c r="BU371" s="82"/>
      <c r="BV371" s="82"/>
      <c r="BW371" s="82"/>
      <c r="BX371" s="82"/>
      <c r="BY371" s="82"/>
      <c r="BZ371" s="82"/>
      <c r="CA371" s="82"/>
      <c r="CB371" s="82"/>
      <c r="CC371" s="82"/>
      <c r="CD371" s="82"/>
      <c r="CE371" s="82"/>
      <c r="CF371" s="82"/>
      <c r="CG371" s="82"/>
      <c r="CH371" s="82"/>
      <c r="CI371" s="82"/>
      <c r="CJ371" s="82"/>
      <c r="CK371" s="82"/>
      <c r="CL371" s="82"/>
      <c r="CM371" s="82"/>
      <c r="CN371" s="82"/>
      <c r="CO371" s="82"/>
      <c r="CP371" s="82"/>
      <c r="CQ371" s="82"/>
      <c r="CR371" s="82"/>
      <c r="CS371" s="82"/>
      <c r="CT371" s="82"/>
      <c r="CU371" s="82"/>
      <c r="CV371" s="82"/>
      <c r="CW371" s="82"/>
      <c r="CX371" s="82"/>
      <c r="CY371" s="83"/>
      <c r="CZ371" s="82"/>
      <c r="DA371" s="82"/>
      <c r="DB371" s="82"/>
    </row>
    <row r="372" spans="1:113" outlineLevel="1">
      <c r="A372" s="1" t="s">
        <v>313</v>
      </c>
      <c r="B372" s="19" t="s">
        <v>589</v>
      </c>
      <c r="C372" s="55">
        <v>1251.3539843281137</v>
      </c>
      <c r="D372" s="55">
        <v>1212.030158512242</v>
      </c>
      <c r="E372" s="55">
        <v>1311.1386112102514</v>
      </c>
      <c r="F372" s="55">
        <v>1458.4740331253622</v>
      </c>
      <c r="G372" s="55">
        <v>1441.4624844464015</v>
      </c>
      <c r="H372" s="55">
        <v>1607.4148676654168</v>
      </c>
      <c r="I372" s="55">
        <v>1874.9241725636869</v>
      </c>
      <c r="J372" s="55">
        <v>1782.8485660142362</v>
      </c>
      <c r="K372" s="55">
        <v>1954.445856667109</v>
      </c>
      <c r="L372" s="55">
        <v>1896.6228273482782</v>
      </c>
      <c r="M372" s="55">
        <v>2259.5014663090419</v>
      </c>
      <c r="N372" s="55">
        <v>2279.2036855858573</v>
      </c>
      <c r="O372" s="55">
        <v>2840.203717229288</v>
      </c>
      <c r="P372" s="55">
        <v>3863.053126246818</v>
      </c>
      <c r="Q372" s="55">
        <v>3927.2117206258035</v>
      </c>
      <c r="R372" s="55">
        <v>4052.5570679375351</v>
      </c>
      <c r="S372" s="55">
        <v>1750.9192162093939</v>
      </c>
      <c r="T372" s="55">
        <v>2175.6722215705649</v>
      </c>
      <c r="U372" s="55">
        <v>2947.5601150683219</v>
      </c>
      <c r="V372" s="55">
        <v>3106.5657975687659</v>
      </c>
      <c r="W372" s="55">
        <v>3211.9074337154429</v>
      </c>
      <c r="X372" s="55">
        <v>3315.6400174498772</v>
      </c>
      <c r="Y372" s="55">
        <v>2676.5761068071915</v>
      </c>
      <c r="Z372" s="55">
        <v>2423.4612570242866</v>
      </c>
      <c r="AA372" s="55">
        <v>2045.3127340927831</v>
      </c>
      <c r="AB372" s="55">
        <v>2070.1548800564592</v>
      </c>
      <c r="AC372" s="55">
        <v>2293.7369925825551</v>
      </c>
      <c r="AD372" s="55">
        <v>2579.4593895709249</v>
      </c>
      <c r="AE372" s="55">
        <v>2200.5103936839519</v>
      </c>
      <c r="AF372" s="55">
        <v>2335.7514141172555</v>
      </c>
      <c r="AG372" s="55">
        <v>2425.3112873310365</v>
      </c>
      <c r="AH372" s="55">
        <v>1208.2219772630456</v>
      </c>
      <c r="AI372" s="55">
        <v>1170.1274159041975</v>
      </c>
      <c r="AJ372" s="55">
        <v>1415.8915495571921</v>
      </c>
      <c r="AK372" s="55">
        <v>1418.644260651007</v>
      </c>
      <c r="AL372" s="55">
        <v>1583.8891183122046</v>
      </c>
      <c r="AM372" s="55">
        <v>1579.7689551934773</v>
      </c>
      <c r="AN372" s="55">
        <v>458.03918864406455</v>
      </c>
      <c r="AO372" s="55">
        <v>436.64868475778991</v>
      </c>
      <c r="AP372" s="55">
        <v>-349.32201271531608</v>
      </c>
      <c r="AQ372" s="55">
        <v>-339.82177168317213</v>
      </c>
      <c r="AR372" s="55">
        <v>401.40432064258755</v>
      </c>
      <c r="AS372" s="55">
        <v>387.96639560846137</v>
      </c>
      <c r="AT372" s="55">
        <v>5773.6120518603175</v>
      </c>
      <c r="AU372" s="55">
        <v>5693.8521360072191</v>
      </c>
      <c r="AV372" s="55">
        <v>5755.2588988632506</v>
      </c>
      <c r="AW372" s="56">
        <v>5488.3458548056888</v>
      </c>
      <c r="AX372" s="55"/>
      <c r="AY372" s="55"/>
      <c r="AZ372" s="55"/>
      <c r="BA372" s="55"/>
      <c r="BB372" s="55"/>
      <c r="BC372" s="55"/>
      <c r="BD372" s="55"/>
      <c r="BE372" s="55"/>
      <c r="BF372" s="55"/>
      <c r="BG372" s="55"/>
      <c r="BH372" s="55"/>
      <c r="BI372" s="55"/>
      <c r="BJ372" s="55"/>
      <c r="BK372" s="55"/>
      <c r="BL372" s="55"/>
      <c r="BM372" s="55"/>
      <c r="BN372" s="55"/>
      <c r="BO372" s="55"/>
      <c r="BP372" s="55"/>
      <c r="BQ372" s="55"/>
      <c r="BR372" s="55"/>
      <c r="BS372" s="55"/>
      <c r="BT372" s="55"/>
      <c r="BU372" s="55"/>
      <c r="BV372" s="55"/>
      <c r="BW372" s="55"/>
      <c r="BX372" s="55"/>
      <c r="BY372" s="55"/>
      <c r="BZ372" s="55"/>
      <c r="CA372" s="55"/>
      <c r="CB372" s="55"/>
      <c r="CC372" s="55">
        <v>2523.1687697224934</v>
      </c>
      <c r="CD372" s="55">
        <v>2899.9365175717639</v>
      </c>
      <c r="CE372" s="55">
        <v>3482.3390402291034</v>
      </c>
      <c r="CF372" s="55">
        <v>3737.2944226813452</v>
      </c>
      <c r="CG372" s="55">
        <v>4156.1242936573199</v>
      </c>
      <c r="CH372" s="55">
        <v>5119.4074028151454</v>
      </c>
      <c r="CI372" s="55">
        <v>7790.264846872622</v>
      </c>
      <c r="CJ372" s="55">
        <v>5803.4762841469292</v>
      </c>
      <c r="CK372" s="55">
        <v>5123.2323366388864</v>
      </c>
      <c r="CL372" s="55">
        <v>6318.4732312842089</v>
      </c>
      <c r="CM372" s="55">
        <v>5992.2161242570692</v>
      </c>
      <c r="CN372" s="55">
        <v>4468.7739911170702</v>
      </c>
      <c r="CO372" s="55">
        <v>4363.8918726390148</v>
      </c>
      <c r="CP372" s="55">
        <v>4779.9697832548773</v>
      </c>
      <c r="CQ372" s="55">
        <v>4761.0627014482925</v>
      </c>
      <c r="CR372" s="55">
        <v>2378.3493931672429</v>
      </c>
      <c r="CS372" s="55">
        <v>2834.5358102081991</v>
      </c>
      <c r="CT372" s="55">
        <v>3163.6580735056818</v>
      </c>
      <c r="CU372" s="55">
        <v>894.6878734018544</v>
      </c>
      <c r="CV372" s="55">
        <v>-689.14378439848815</v>
      </c>
      <c r="CW372" s="55">
        <v>789.37071625104886</v>
      </c>
      <c r="CX372" s="55">
        <v>11467.464187867536</v>
      </c>
      <c r="CY372" s="56">
        <v>11243.60475366894</v>
      </c>
      <c r="CZ372" s="55">
        <v>0</v>
      </c>
      <c r="DA372" s="55">
        <v>0</v>
      </c>
      <c r="DB372" s="55">
        <v>0</v>
      </c>
      <c r="DC372" s="55">
        <v>0</v>
      </c>
      <c r="DD372" s="55">
        <v>0</v>
      </c>
      <c r="DE372" s="55">
        <v>0</v>
      </c>
      <c r="DF372" s="55">
        <v>0</v>
      </c>
      <c r="DG372" s="55">
        <v>0</v>
      </c>
      <c r="DH372" s="55">
        <v>0</v>
      </c>
      <c r="DI372" s="55">
        <v>0</v>
      </c>
    </row>
    <row r="373" spans="1:113" outlineLevel="1">
      <c r="A373" s="1" t="s">
        <v>314</v>
      </c>
      <c r="B373" s="19" t="s">
        <v>590</v>
      </c>
      <c r="C373" s="55">
        <v>-688.22262014181263</v>
      </c>
      <c r="D373" s="55">
        <v>-597.48473367936492</v>
      </c>
      <c r="E373" s="55">
        <v>-374.05139115865262</v>
      </c>
      <c r="F373" s="55">
        <v>-440.71946024134354</v>
      </c>
      <c r="G373" s="55">
        <v>-514.37544558795435</v>
      </c>
      <c r="H373" s="55">
        <v>-450.29609922461447</v>
      </c>
      <c r="I373" s="55">
        <v>-655.66168800084563</v>
      </c>
      <c r="J373" s="55">
        <v>-696.75670117405389</v>
      </c>
      <c r="K373" s="55">
        <v>-808.70821450683457</v>
      </c>
      <c r="L373" s="55">
        <v>-773.44817893898221</v>
      </c>
      <c r="M373" s="55">
        <v>-594.83089725677621</v>
      </c>
      <c r="N373" s="55">
        <v>-848.42682499650277</v>
      </c>
      <c r="O373" s="55">
        <v>-720.15778287375576</v>
      </c>
      <c r="P373" s="55">
        <v>-274.59365280750814</v>
      </c>
      <c r="Q373" s="55">
        <v>-820.59860668318152</v>
      </c>
      <c r="R373" s="55">
        <v>-2570.2975179599507</v>
      </c>
      <c r="S373" s="55">
        <v>-2511.7767229020783</v>
      </c>
      <c r="T373" s="55">
        <v>-1762.6341120811539</v>
      </c>
      <c r="U373" s="55">
        <v>-2119.0136783857229</v>
      </c>
      <c r="V373" s="55">
        <v>-1905.3406183949041</v>
      </c>
      <c r="W373" s="55">
        <v>-1984.1500175531849</v>
      </c>
      <c r="X373" s="55">
        <v>-2278.1151271733147</v>
      </c>
      <c r="Y373" s="55">
        <v>-2480.2407103317896</v>
      </c>
      <c r="Z373" s="55">
        <v>-2697.4927334731037</v>
      </c>
      <c r="AA373" s="55">
        <v>-2562.7421235928227</v>
      </c>
      <c r="AB373" s="55">
        <v>-2606.6298311066948</v>
      </c>
      <c r="AC373" s="55">
        <v>-2255.0450802766186</v>
      </c>
      <c r="AD373" s="55">
        <v>-2304.4123651801428</v>
      </c>
      <c r="AE373" s="55">
        <v>-2325.1915109948632</v>
      </c>
      <c r="AF373" s="55">
        <v>-2490.6704868114202</v>
      </c>
      <c r="AG373" s="55">
        <v>-2204.7931460741979</v>
      </c>
      <c r="AH373" s="55">
        <v>-1443.8641752554915</v>
      </c>
      <c r="AI373" s="55">
        <v>-1162.562882903756</v>
      </c>
      <c r="AJ373" s="55">
        <v>-1332.4689451441216</v>
      </c>
      <c r="AK373" s="55">
        <v>-719.98304289413352</v>
      </c>
      <c r="AL373" s="55">
        <v>-733.90627537170349</v>
      </c>
      <c r="AM373" s="55">
        <v>-1423.2171129162502</v>
      </c>
      <c r="AN373" s="55">
        <v>-1683.3459621164952</v>
      </c>
      <c r="AO373" s="55">
        <v>-2010.8487172491814</v>
      </c>
      <c r="AP373" s="55">
        <v>-1692.8410197670421</v>
      </c>
      <c r="AQ373" s="55">
        <v>-895.11509838828772</v>
      </c>
      <c r="AR373" s="55">
        <v>-1438.9043542855993</v>
      </c>
      <c r="AS373" s="55">
        <v>410.44193147880907</v>
      </c>
      <c r="AT373" s="55">
        <v>431.24640416779573</v>
      </c>
      <c r="AU373" s="55">
        <v>2460.3727210723628</v>
      </c>
      <c r="AV373" s="55">
        <v>141.2081301932632</v>
      </c>
      <c r="AW373" s="56">
        <v>-782.87979439392393</v>
      </c>
      <c r="AX373" s="55"/>
      <c r="AY373" s="55"/>
      <c r="AZ373" s="55"/>
      <c r="BA373" s="55"/>
      <c r="BB373" s="55"/>
      <c r="BC373" s="55"/>
      <c r="BD373" s="55"/>
      <c r="BE373" s="55"/>
      <c r="BF373" s="55"/>
      <c r="BG373" s="55"/>
      <c r="BH373" s="55"/>
      <c r="BI373" s="55"/>
      <c r="BJ373" s="55"/>
      <c r="BK373" s="55"/>
      <c r="BL373" s="55"/>
      <c r="BM373" s="55"/>
      <c r="BN373" s="55"/>
      <c r="BO373" s="55"/>
      <c r="BP373" s="55"/>
      <c r="BQ373" s="55"/>
      <c r="BR373" s="55"/>
      <c r="BS373" s="55"/>
      <c r="BT373" s="55"/>
      <c r="BU373" s="55"/>
      <c r="BV373" s="55"/>
      <c r="BW373" s="55"/>
      <c r="BX373" s="55"/>
      <c r="BY373" s="55"/>
      <c r="BZ373" s="55"/>
      <c r="CA373" s="55"/>
      <c r="CB373" s="55"/>
      <c r="CC373" s="55">
        <v>-971.53612483801749</v>
      </c>
      <c r="CD373" s="55">
        <v>-955.09490582929789</v>
      </c>
      <c r="CE373" s="55">
        <v>-1105.9577872254602</v>
      </c>
      <c r="CF373" s="55">
        <v>-1505.4649156808885</v>
      </c>
      <c r="CG373" s="55">
        <v>-1368.2790761957585</v>
      </c>
      <c r="CH373" s="55">
        <v>-1568.5846078702584</v>
      </c>
      <c r="CI373" s="55">
        <v>-1095.1922594906896</v>
      </c>
      <c r="CJ373" s="55">
        <v>-5082.074240862029</v>
      </c>
      <c r="CK373" s="55">
        <v>-3881.6477904668768</v>
      </c>
      <c r="CL373" s="55">
        <v>-3889.4906359480892</v>
      </c>
      <c r="CM373" s="55">
        <v>-4758.3558375051043</v>
      </c>
      <c r="CN373" s="55">
        <v>-5260.2348570659269</v>
      </c>
      <c r="CO373" s="55">
        <v>-4861.6749113833139</v>
      </c>
      <c r="CP373" s="55">
        <v>-4629.603876175006</v>
      </c>
      <c r="CQ373" s="55">
        <v>-4695.4636328856177</v>
      </c>
      <c r="CR373" s="55">
        <v>-2606.4270581592473</v>
      </c>
      <c r="CS373" s="55">
        <v>-2052.451988038255</v>
      </c>
      <c r="CT373" s="55">
        <v>-2157.1233882879537</v>
      </c>
      <c r="CU373" s="55">
        <v>-3694.1946793656766</v>
      </c>
      <c r="CV373" s="55">
        <v>-2587.9561181553299</v>
      </c>
      <c r="CW373" s="55">
        <v>-1028.4624228067903</v>
      </c>
      <c r="CX373" s="55">
        <v>2891.6191252401586</v>
      </c>
      <c r="CY373" s="56">
        <v>-641.67166420066076</v>
      </c>
      <c r="CZ373" s="55">
        <v>0</v>
      </c>
      <c r="DA373" s="55">
        <v>0</v>
      </c>
      <c r="DB373" s="55">
        <v>0</v>
      </c>
      <c r="DC373" s="55">
        <v>0</v>
      </c>
      <c r="DD373" s="55">
        <v>0</v>
      </c>
      <c r="DE373" s="55">
        <v>0</v>
      </c>
      <c r="DF373" s="55">
        <v>0</v>
      </c>
      <c r="DG373" s="55">
        <v>0</v>
      </c>
      <c r="DH373" s="55">
        <v>0</v>
      </c>
      <c r="DI373" s="55">
        <v>0</v>
      </c>
    </row>
    <row r="374" spans="1:113" s="24" customFormat="1" outlineLevel="1">
      <c r="A374" s="1" t="s">
        <v>315</v>
      </c>
      <c r="B374" s="24" t="s">
        <v>168</v>
      </c>
      <c r="C374" s="82">
        <v>563.13136418630086</v>
      </c>
      <c r="D374" s="82">
        <v>614.54542483287696</v>
      </c>
      <c r="E374" s="82">
        <v>937.08722005159882</v>
      </c>
      <c r="F374" s="82">
        <v>1017.7545728840186</v>
      </c>
      <c r="G374" s="82">
        <v>927.08703885844716</v>
      </c>
      <c r="H374" s="82">
        <v>1157.1187684408023</v>
      </c>
      <c r="I374" s="82">
        <v>1219.2624845628416</v>
      </c>
      <c r="J374" s="82">
        <v>1086.0918648401826</v>
      </c>
      <c r="K374" s="82">
        <v>1145.7376421602744</v>
      </c>
      <c r="L374" s="82">
        <v>1123.1746484092962</v>
      </c>
      <c r="M374" s="82">
        <v>1664.6705690522658</v>
      </c>
      <c r="N374" s="82">
        <v>1430.7768605893546</v>
      </c>
      <c r="O374" s="82">
        <v>2120.0459343555326</v>
      </c>
      <c r="P374" s="82">
        <v>3588.4594734393099</v>
      </c>
      <c r="Q374" s="82">
        <v>3106.613113942622</v>
      </c>
      <c r="R374" s="82">
        <v>1482.2595499775839</v>
      </c>
      <c r="S374" s="82">
        <v>-760.85750669268475</v>
      </c>
      <c r="T374" s="82">
        <v>413.03810948941134</v>
      </c>
      <c r="U374" s="82">
        <v>828.54643668259848</v>
      </c>
      <c r="V374" s="82">
        <v>1201.2251791738609</v>
      </c>
      <c r="W374" s="82">
        <v>1227.7574161622581</v>
      </c>
      <c r="X374" s="82">
        <v>1037.5248902765625</v>
      </c>
      <c r="Y374" s="82">
        <v>196.3353964754026</v>
      </c>
      <c r="Z374" s="82">
        <v>-274.03147644881625</v>
      </c>
      <c r="AA374" s="82">
        <v>-517.42938950003997</v>
      </c>
      <c r="AB374" s="82">
        <v>-536.47495105023563</v>
      </c>
      <c r="AC374" s="82">
        <v>38.691912305936441</v>
      </c>
      <c r="AD374" s="82">
        <v>275.04702439078244</v>
      </c>
      <c r="AE374" s="82">
        <v>-124.68111731091126</v>
      </c>
      <c r="AF374" s="82">
        <v>-154.9190726941647</v>
      </c>
      <c r="AG374" s="82">
        <v>220.5181412568389</v>
      </c>
      <c r="AH374" s="82">
        <v>-235.64219799244603</v>
      </c>
      <c r="AI374" s="82">
        <v>7.5645330004413562</v>
      </c>
      <c r="AJ374" s="82">
        <v>83.422604413070289</v>
      </c>
      <c r="AK374" s="82">
        <v>698.66121775687361</v>
      </c>
      <c r="AL374" s="82">
        <v>849.98284294050097</v>
      </c>
      <c r="AM374" s="82">
        <v>156.55184227722663</v>
      </c>
      <c r="AN374" s="82">
        <v>-1225.3067734724305</v>
      </c>
      <c r="AO374" s="82">
        <v>-1574.2000324913918</v>
      </c>
      <c r="AP374" s="82">
        <v>-2042.1630324823582</v>
      </c>
      <c r="AQ374" s="82">
        <v>-1234.9368700714599</v>
      </c>
      <c r="AR374" s="82">
        <v>-1037.5000336430119</v>
      </c>
      <c r="AS374" s="82">
        <v>798.40832708727055</v>
      </c>
      <c r="AT374" s="82">
        <v>6204.8584560281115</v>
      </c>
      <c r="AU374" s="82">
        <v>8154.2248570795828</v>
      </c>
      <c r="AV374" s="82">
        <v>5896.4670290565136</v>
      </c>
      <c r="AW374" s="83">
        <v>4705.4660604117662</v>
      </c>
      <c r="AX374" s="82">
        <v>4965.7719859664976</v>
      </c>
      <c r="AY374" s="82">
        <v>5047.263544037568</v>
      </c>
      <c r="AZ374" s="82">
        <v>5338.5387654888682</v>
      </c>
      <c r="BA374" s="82">
        <v>5369.3594786186704</v>
      </c>
      <c r="BB374" s="82">
        <v>5555.8739454224251</v>
      </c>
      <c r="BC374" s="82">
        <v>5564.4263737541796</v>
      </c>
      <c r="BD374" s="82">
        <v>5744.8765288329196</v>
      </c>
      <c r="BE374" s="82">
        <v>5786.9508743974266</v>
      </c>
      <c r="BF374" s="82">
        <v>5974.5627627440308</v>
      </c>
      <c r="BG374" s="82">
        <v>5985.4194263014579</v>
      </c>
      <c r="BH374" s="82">
        <v>6196.7998862371069</v>
      </c>
      <c r="BI374" s="82">
        <v>6208.2283063539762</v>
      </c>
      <c r="BJ374" s="82">
        <v>6427.6482889819154</v>
      </c>
      <c r="BK374" s="82">
        <v>6441.4586340209498</v>
      </c>
      <c r="BL374" s="82">
        <v>6654.7026156273896</v>
      </c>
      <c r="BM374" s="82">
        <v>6707.7592031544982</v>
      </c>
      <c r="BN374" s="82">
        <v>6929.6166043364919</v>
      </c>
      <c r="BO374" s="82">
        <v>6946.545505692231</v>
      </c>
      <c r="BP374" s="82">
        <v>7196.2939732654359</v>
      </c>
      <c r="BQ374" s="82">
        <v>7213.9353516814026</v>
      </c>
      <c r="BR374" s="82"/>
      <c r="BS374" s="82">
        <v>595.76034750000076</v>
      </c>
      <c r="BT374" s="82">
        <v>466.3241050000006</v>
      </c>
      <c r="BU374" s="82">
        <v>531.92522666666684</v>
      </c>
      <c r="BV374" s="82">
        <v>1739.3287975000005</v>
      </c>
      <c r="BW374" s="82">
        <v>1481.264985</v>
      </c>
      <c r="BX374" s="82">
        <v>946.72432183333365</v>
      </c>
      <c r="BY374" s="82">
        <v>642.26140025000041</v>
      </c>
      <c r="BZ374" s="82">
        <v>1077.0147062499993</v>
      </c>
      <c r="CA374" s="82">
        <v>1751.2734290076298</v>
      </c>
      <c r="CB374" s="82">
        <v>1605.8468430769199</v>
      </c>
      <c r="CC374" s="82">
        <v>1551.6326448844757</v>
      </c>
      <c r="CD374" s="82">
        <v>1944.8416117424658</v>
      </c>
      <c r="CE374" s="82">
        <v>2376.3812530036439</v>
      </c>
      <c r="CF374" s="82">
        <v>2231.8295070004569</v>
      </c>
      <c r="CG374" s="82">
        <v>2787.8452174615622</v>
      </c>
      <c r="CH374" s="82">
        <v>3550.8227949448874</v>
      </c>
      <c r="CI374" s="82">
        <v>6695.072587381932</v>
      </c>
      <c r="CJ374" s="82">
        <v>721.40204328489915</v>
      </c>
      <c r="CK374" s="82">
        <v>1241.5845461720098</v>
      </c>
      <c r="CL374" s="82">
        <v>2428.9825953361187</v>
      </c>
      <c r="CM374" s="82">
        <v>1233.8602867519651</v>
      </c>
      <c r="CN374" s="82">
        <v>-791.46086594885628</v>
      </c>
      <c r="CO374" s="82">
        <v>-497.78303874429918</v>
      </c>
      <c r="CP374" s="82">
        <v>150.36590707987119</v>
      </c>
      <c r="CQ374" s="82">
        <v>65.599068562674205</v>
      </c>
      <c r="CR374" s="82">
        <v>-228.07766499200469</v>
      </c>
      <c r="CS374" s="82">
        <v>782.08382216994391</v>
      </c>
      <c r="CT374" s="82">
        <v>1006.5346852177277</v>
      </c>
      <c r="CU374" s="82">
        <v>-2799.5068059638224</v>
      </c>
      <c r="CV374" s="82">
        <v>-3277.0999025538181</v>
      </c>
      <c r="CW374" s="82">
        <v>-239.09170655574133</v>
      </c>
      <c r="CX374" s="82">
        <v>14359.083313107694</v>
      </c>
      <c r="CY374" s="83">
        <v>10601.933089468279</v>
      </c>
      <c r="CZ374" s="82">
        <v>10013.035530004065</v>
      </c>
      <c r="DA374" s="82">
        <v>10707.898244107539</v>
      </c>
      <c r="DB374" s="82">
        <v>11120.300319176604</v>
      </c>
      <c r="DC374" s="82">
        <v>11531.827403230345</v>
      </c>
      <c r="DD374" s="82">
        <v>11959.982189045488</v>
      </c>
      <c r="DE374" s="82">
        <v>12405.028192591082</v>
      </c>
      <c r="DF374" s="82">
        <v>12869.106923002866</v>
      </c>
      <c r="DG374" s="82">
        <v>13362.461818781889</v>
      </c>
      <c r="DH374" s="82">
        <v>13876.162110028723</v>
      </c>
      <c r="DI374" s="82">
        <v>14410.229324946838</v>
      </c>
    </row>
    <row r="375" spans="1:113" outlineLevel="1">
      <c r="A375" s="1" t="s">
        <v>316</v>
      </c>
      <c r="B375" s="19" t="s">
        <v>277</v>
      </c>
      <c r="C375" s="55">
        <v>-166.97064742739704</v>
      </c>
      <c r="D375" s="55">
        <v>30.859852449315053</v>
      </c>
      <c r="E375" s="55">
        <v>158.47040600776236</v>
      </c>
      <c r="F375" s="55">
        <v>126.41896768219164</v>
      </c>
      <c r="G375" s="55">
        <v>117.72892155251104</v>
      </c>
      <c r="H375" s="55">
        <v>252.59797576684869</v>
      </c>
      <c r="I375" s="55">
        <v>361.61390874316794</v>
      </c>
      <c r="J375" s="55">
        <v>268.31807488584388</v>
      </c>
      <c r="K375" s="55">
        <v>258.72615702739756</v>
      </c>
      <c r="L375" s="55">
        <v>180.45633101535921</v>
      </c>
      <c r="M375" s="55">
        <v>457.35110117133894</v>
      </c>
      <c r="N375" s="55">
        <v>138.85797000271845</v>
      </c>
      <c r="O375" s="55">
        <v>137.22353845605926</v>
      </c>
      <c r="P375" s="55">
        <v>819.2108224871663</v>
      </c>
      <c r="Q375" s="55">
        <v>621.99705570491778</v>
      </c>
      <c r="R375" s="55">
        <v>180.7704718306347</v>
      </c>
      <c r="S375" s="55">
        <v>-224.78982016459608</v>
      </c>
      <c r="T375" s="55">
        <v>66.500726356164364</v>
      </c>
      <c r="U375" s="55">
        <v>245.23362583413166</v>
      </c>
      <c r="V375" s="55">
        <v>290.38061537650077</v>
      </c>
      <c r="W375" s="55">
        <v>315.72887767017323</v>
      </c>
      <c r="X375" s="55">
        <v>302.33887268176665</v>
      </c>
      <c r="Y375" s="55">
        <v>-171.34106251366148</v>
      </c>
      <c r="Z375" s="55">
        <v>-233.43062111889625</v>
      </c>
      <c r="AA375" s="55">
        <v>-258.76633036655153</v>
      </c>
      <c r="AB375" s="55">
        <v>-146.37622933997778</v>
      </c>
      <c r="AC375" s="55">
        <v>-74.056376757991586</v>
      </c>
      <c r="AD375" s="55">
        <v>-56.584828575344261</v>
      </c>
      <c r="AE375" s="55">
        <v>-203.52619527425205</v>
      </c>
      <c r="AF375" s="55">
        <v>48.679744328526432</v>
      </c>
      <c r="AG375" s="55">
        <v>-425.5143453551882</v>
      </c>
      <c r="AH375" s="55">
        <v>-651.79065937534222</v>
      </c>
      <c r="AI375" s="55">
        <v>-747.67224973468831</v>
      </c>
      <c r="AJ375" s="55">
        <v>-910.85670278608848</v>
      </c>
      <c r="AK375" s="55">
        <v>-777.34519008881728</v>
      </c>
      <c r="AL375" s="55">
        <v>-1075.4286508874713</v>
      </c>
      <c r="AM375" s="55">
        <v>-1274.4197881779462</v>
      </c>
      <c r="AN375" s="55">
        <v>-1413.6709090909094</v>
      </c>
      <c r="AO375" s="55">
        <v>-1489.0023130823745</v>
      </c>
      <c r="AP375" s="55">
        <v>-849.76861100041549</v>
      </c>
      <c r="AQ375" s="55">
        <v>-1010.2341335701764</v>
      </c>
      <c r="AR375" s="55">
        <v>-999.3517361623235</v>
      </c>
      <c r="AS375" s="55">
        <v>-550.77236676637449</v>
      </c>
      <c r="AT375" s="55">
        <v>142.5257608440881</v>
      </c>
      <c r="AU375" s="55">
        <v>-1995.2467246186898</v>
      </c>
      <c r="AV375" s="55">
        <v>-937.07406488069694</v>
      </c>
      <c r="AW375" s="56">
        <v>-1044.5844302683304</v>
      </c>
      <c r="AX375" s="55">
        <v>-1161.5917373882514</v>
      </c>
      <c r="AY375" s="55">
        <v>-1206.1932132954821</v>
      </c>
      <c r="AZ375" s="55">
        <v>-1271.8319369864805</v>
      </c>
      <c r="BA375" s="55">
        <v>-1290.3189564657498</v>
      </c>
      <c r="BB375" s="55">
        <v>-1349.2412178740178</v>
      </c>
      <c r="BC375" s="55">
        <v>-1363.6126334358819</v>
      </c>
      <c r="BD375" s="55">
        <v>-1408.2095805640276</v>
      </c>
      <c r="BE375" s="55">
        <v>-1415.8208829423349</v>
      </c>
      <c r="BF375" s="55">
        <v>-1461.5235759575496</v>
      </c>
      <c r="BG375" s="55">
        <v>-1461.0429976440437</v>
      </c>
      <c r="BH375" s="55">
        <v>-1512.3023392249736</v>
      </c>
      <c r="BI375" s="55">
        <v>-1512.2444580710908</v>
      </c>
      <c r="BJ375" s="55">
        <v>-1565.0836398734016</v>
      </c>
      <c r="BK375" s="55">
        <v>-1568.0711117157148</v>
      </c>
      <c r="BL375" s="55">
        <v>-1624.0080764287061</v>
      </c>
      <c r="BM375" s="55">
        <v>-1639.3544011781387</v>
      </c>
      <c r="BN375" s="55">
        <v>-1694.9302088648076</v>
      </c>
      <c r="BO375" s="55">
        <v>-1699.426390378821</v>
      </c>
      <c r="BP375" s="55">
        <v>-1763.3844428960767</v>
      </c>
      <c r="BQ375" s="55">
        <v>-1768.0061130755744</v>
      </c>
      <c r="BR375" s="55"/>
      <c r="BS375" s="55">
        <v>33.790805000000091</v>
      </c>
      <c r="BT375" s="55">
        <v>-138.81386500000008</v>
      </c>
      <c r="BU375" s="55">
        <v>-162.12348333333398</v>
      </c>
      <c r="BV375" s="55">
        <v>141.92777500000005</v>
      </c>
      <c r="BW375" s="55">
        <v>111.69255999999929</v>
      </c>
      <c r="BX375" s="55">
        <v>-21.40632100000073</v>
      </c>
      <c r="BY375" s="55">
        <v>-97.981198750000146</v>
      </c>
      <c r="BZ375" s="55">
        <v>-7.2228277500012723</v>
      </c>
      <c r="CA375" s="55">
        <v>-40.164100763359897</v>
      </c>
      <c r="CB375" s="55">
        <v>-158.05044307692413</v>
      </c>
      <c r="CC375" s="55">
        <v>189.33025845707741</v>
      </c>
      <c r="CD375" s="55">
        <v>244.14788923470269</v>
      </c>
      <c r="CE375" s="55">
        <v>614.2118845100166</v>
      </c>
      <c r="CF375" s="55">
        <v>527.04423191324145</v>
      </c>
      <c r="CG375" s="55">
        <v>637.80743218669818</v>
      </c>
      <c r="CH375" s="55">
        <v>276.08150845877771</v>
      </c>
      <c r="CI375" s="55">
        <v>1441.2078781920841</v>
      </c>
      <c r="CJ375" s="55">
        <v>-44.019348333961375</v>
      </c>
      <c r="CK375" s="55">
        <v>311.73435219029602</v>
      </c>
      <c r="CL375" s="55">
        <v>606.10949304667406</v>
      </c>
      <c r="CM375" s="55">
        <v>130.99781016810516</v>
      </c>
      <c r="CN375" s="55">
        <v>-492.19695148544781</v>
      </c>
      <c r="CO375" s="55">
        <v>-220.43260609796937</v>
      </c>
      <c r="CP375" s="55">
        <v>-260.11102384959634</v>
      </c>
      <c r="CQ375" s="55">
        <v>-376.83460102666174</v>
      </c>
      <c r="CR375" s="55">
        <v>-1399.4629091100305</v>
      </c>
      <c r="CS375" s="55">
        <v>-1688.2018928749058</v>
      </c>
      <c r="CT375" s="55">
        <v>-2349.8484390654176</v>
      </c>
      <c r="CU375" s="55">
        <v>-2902.6732221732836</v>
      </c>
      <c r="CV375" s="55">
        <v>-1860.0027445705919</v>
      </c>
      <c r="CW375" s="55">
        <v>-1550.124102928698</v>
      </c>
      <c r="CX375" s="55">
        <v>-1852.7209637746016</v>
      </c>
      <c r="CY375" s="56">
        <v>-1981.6584951490272</v>
      </c>
      <c r="CZ375" s="55">
        <v>-2367.7849506837338</v>
      </c>
      <c r="DA375" s="55">
        <v>-2562.1508934522303</v>
      </c>
      <c r="DB375" s="55">
        <v>-2712.8538513098997</v>
      </c>
      <c r="DC375" s="55">
        <v>-2824.0304635063626</v>
      </c>
      <c r="DD375" s="55">
        <v>-2922.5665736015935</v>
      </c>
      <c r="DE375" s="55">
        <v>-3024.5467972960641</v>
      </c>
      <c r="DF375" s="55">
        <v>-3133.1547515891161</v>
      </c>
      <c r="DG375" s="55">
        <v>-3263.3624776068445</v>
      </c>
      <c r="DH375" s="55">
        <v>-3394.3565992436288</v>
      </c>
      <c r="DI375" s="55">
        <v>-3531.3905559716513</v>
      </c>
    </row>
    <row r="376" spans="1:113" outlineLevel="1">
      <c r="A376" s="1" t="s">
        <v>225</v>
      </c>
      <c r="B376" s="19" t="s">
        <v>278</v>
      </c>
      <c r="C376" s="55">
        <v>203.93865787534244</v>
      </c>
      <c r="D376" s="55">
        <v>162.23238663013697</v>
      </c>
      <c r="E376" s="55">
        <v>177.25022200821923</v>
      </c>
      <c r="F376" s="55">
        <v>164.55119285844751</v>
      </c>
      <c r="G376" s="55">
        <v>232.62345630136983</v>
      </c>
      <c r="H376" s="55">
        <v>239.28591962112938</v>
      </c>
      <c r="I376" s="55">
        <v>304.14550833333328</v>
      </c>
      <c r="J376" s="55">
        <v>273.19492420091319</v>
      </c>
      <c r="K376" s="55">
        <v>333.83481191095893</v>
      </c>
      <c r="L376" s="55">
        <v>337.16912240348677</v>
      </c>
      <c r="M376" s="55">
        <v>383.95210482550056</v>
      </c>
      <c r="N376" s="55">
        <v>394.21433967667048</v>
      </c>
      <c r="O376" s="55">
        <v>411.79893575279243</v>
      </c>
      <c r="P376" s="55">
        <v>506.00595166418276</v>
      </c>
      <c r="Q376" s="55">
        <v>629.47871579508194</v>
      </c>
      <c r="R376" s="55">
        <v>641.9153851755915</v>
      </c>
      <c r="S376" s="55">
        <v>323.44700547785914</v>
      </c>
      <c r="T376" s="55">
        <v>484.96105321046059</v>
      </c>
      <c r="U376" s="55">
        <v>515.52809716045465</v>
      </c>
      <c r="V376" s="55">
        <v>702.33390564847571</v>
      </c>
      <c r="W376" s="55">
        <v>734.46258150791107</v>
      </c>
      <c r="X376" s="55">
        <v>668.24632599174083</v>
      </c>
      <c r="Y376" s="55">
        <v>637.13737002732194</v>
      </c>
      <c r="Z376" s="55">
        <v>578.19971209034793</v>
      </c>
      <c r="AA376" s="55">
        <v>487.93240693131514</v>
      </c>
      <c r="AB376" s="55">
        <v>405.69198410958859</v>
      </c>
      <c r="AC376" s="55">
        <v>437.02740922374426</v>
      </c>
      <c r="AD376" s="55">
        <v>423.87900261444571</v>
      </c>
      <c r="AE376" s="55">
        <v>293.68876780409863</v>
      </c>
      <c r="AF376" s="55">
        <v>304.51734923000447</v>
      </c>
      <c r="AG376" s="55">
        <v>461.90862131147605</v>
      </c>
      <c r="AH376" s="55">
        <v>320.90122906724218</v>
      </c>
      <c r="AI376" s="55">
        <v>339.04720726438359</v>
      </c>
      <c r="AJ376" s="55">
        <v>282.25536840885167</v>
      </c>
      <c r="AK376" s="55">
        <v>296.8356710674388</v>
      </c>
      <c r="AL376" s="55">
        <v>539.41200930097489</v>
      </c>
      <c r="AM376" s="55">
        <v>529.29470958800721</v>
      </c>
      <c r="AN376" s="55">
        <v>289.91997019374054</v>
      </c>
      <c r="AO376" s="55">
        <v>138.66217989071058</v>
      </c>
      <c r="AP376" s="55">
        <v>20.859823839767508</v>
      </c>
      <c r="AQ376" s="55">
        <v>10.051635286471317</v>
      </c>
      <c r="AR376" s="55">
        <v>12.4302718961788</v>
      </c>
      <c r="AS376" s="55">
        <v>142.27234171758511</v>
      </c>
      <c r="AT376" s="55">
        <v>828.25923048666766</v>
      </c>
      <c r="AU376" s="55">
        <v>1130.4861720791041</v>
      </c>
      <c r="AV376" s="55">
        <v>1288.6789490655754</v>
      </c>
      <c r="AW376" s="56">
        <v>1267.261511341803</v>
      </c>
      <c r="AX376" s="55">
        <v>1359.4422994410074</v>
      </c>
      <c r="AY376" s="55">
        <v>1243.8887859512113</v>
      </c>
      <c r="AZ376" s="55">
        <v>1105.6305231010401</v>
      </c>
      <c r="BA376" s="55">
        <v>1053.2199511037645</v>
      </c>
      <c r="BB376" s="55">
        <v>1077.1589022542069</v>
      </c>
      <c r="BC376" s="55">
        <v>1080.4350832578832</v>
      </c>
      <c r="BD376" s="55">
        <v>1105.3374779669321</v>
      </c>
      <c r="BE376" s="55">
        <v>1116.12917472503</v>
      </c>
      <c r="BF376" s="55">
        <v>1144.4986319909804</v>
      </c>
      <c r="BG376" s="55">
        <v>1151.060469095665</v>
      </c>
      <c r="BH376" s="55">
        <v>1184.4384026764876</v>
      </c>
      <c r="BI376" s="55">
        <v>1189.8625946606019</v>
      </c>
      <c r="BJ376" s="55">
        <v>1225.715828206658</v>
      </c>
      <c r="BK376" s="55">
        <v>1226.0551843155602</v>
      </c>
      <c r="BL376" s="55">
        <v>1250.8778379945561</v>
      </c>
      <c r="BM376" s="55">
        <v>1251.8348041313968</v>
      </c>
      <c r="BN376" s="55">
        <v>1288.5767086217136</v>
      </c>
      <c r="BO376" s="55">
        <v>1291.2025607816404</v>
      </c>
      <c r="BP376" s="55">
        <v>1326.762313927891</v>
      </c>
      <c r="BQ376" s="55">
        <v>1329.7598228265153</v>
      </c>
      <c r="BR376" s="55"/>
      <c r="BS376" s="55">
        <v>371.44969583333341</v>
      </c>
      <c r="BT376" s="55">
        <v>213.41200833333335</v>
      </c>
      <c r="BU376" s="55">
        <v>212.74884166666664</v>
      </c>
      <c r="BV376" s="55">
        <v>384.88527000000005</v>
      </c>
      <c r="BW376" s="55">
        <v>544.54518000000007</v>
      </c>
      <c r="BX376" s="55">
        <v>450.15757600000006</v>
      </c>
      <c r="BY376" s="55">
        <v>334.54068975000001</v>
      </c>
      <c r="BZ376" s="55">
        <v>350.99631974999994</v>
      </c>
      <c r="CA376" s="55">
        <v>410.45600610686995</v>
      </c>
      <c r="CB376" s="55">
        <v>464.38875538461514</v>
      </c>
      <c r="CC376" s="55">
        <v>339.48260863835617</v>
      </c>
      <c r="CD376" s="55">
        <v>397.17464915981736</v>
      </c>
      <c r="CE376" s="55">
        <v>543.43142795446261</v>
      </c>
      <c r="CF376" s="55">
        <v>607.02973611187213</v>
      </c>
      <c r="CG376" s="55">
        <v>721.12122722898732</v>
      </c>
      <c r="CH376" s="55">
        <v>806.01327542946296</v>
      </c>
      <c r="CI376" s="55">
        <v>1135.4846674592648</v>
      </c>
      <c r="CJ376" s="55">
        <v>965.36239065345057</v>
      </c>
      <c r="CK376" s="55">
        <v>1000.4891503709152</v>
      </c>
      <c r="CL376" s="55">
        <v>1436.7964871563868</v>
      </c>
      <c r="CM376" s="55">
        <v>1305.3836960190629</v>
      </c>
      <c r="CN376" s="55">
        <v>1066.1321190216631</v>
      </c>
      <c r="CO376" s="55">
        <v>842.71939333333285</v>
      </c>
      <c r="CP376" s="55">
        <v>717.56777041854434</v>
      </c>
      <c r="CQ376" s="55">
        <v>766.42597054148052</v>
      </c>
      <c r="CR376" s="55">
        <v>659.94843633162577</v>
      </c>
      <c r="CS376" s="55">
        <v>579.09103947629046</v>
      </c>
      <c r="CT376" s="55">
        <v>1068.7067188889821</v>
      </c>
      <c r="CU376" s="55">
        <v>428.58215008445109</v>
      </c>
      <c r="CV376" s="55">
        <v>30.911459126238825</v>
      </c>
      <c r="CW376" s="55">
        <v>154.7026136137639</v>
      </c>
      <c r="CX376" s="55">
        <v>1958.7454025657717</v>
      </c>
      <c r="CY376" s="56">
        <v>2555.9404604073784</v>
      </c>
      <c r="CZ376" s="55">
        <v>2603.3310853922185</v>
      </c>
      <c r="DA376" s="55">
        <v>2158.8504742048044</v>
      </c>
      <c r="DB376" s="55">
        <v>2157.5939855120901</v>
      </c>
      <c r="DC376" s="55">
        <v>2221.4666526919618</v>
      </c>
      <c r="DD376" s="55">
        <v>2295.5591010866456</v>
      </c>
      <c r="DE376" s="55">
        <v>2374.3009973370895</v>
      </c>
      <c r="DF376" s="55">
        <v>2451.7710125222184</v>
      </c>
      <c r="DG376" s="55">
        <v>2502.7126421259527</v>
      </c>
      <c r="DH376" s="55">
        <v>2579.7792694033542</v>
      </c>
      <c r="DI376" s="55">
        <v>2656.5221367544063</v>
      </c>
    </row>
    <row r="377" spans="1:113" s="24" customFormat="1" outlineLevel="1">
      <c r="A377" s="1" t="s">
        <v>226</v>
      </c>
      <c r="B377" s="24" t="s">
        <v>579</v>
      </c>
      <c r="C377" s="82">
        <v>600.09937463424626</v>
      </c>
      <c r="D377" s="82">
        <v>807.637663912329</v>
      </c>
      <c r="E377" s="82">
        <v>1272.8078480675804</v>
      </c>
      <c r="F377" s="82">
        <v>1308.7247334246576</v>
      </c>
      <c r="G377" s="82">
        <v>1277.439416712328</v>
      </c>
      <c r="H377" s="82">
        <v>1649.0026638287804</v>
      </c>
      <c r="I377" s="82">
        <v>1885.0219016393428</v>
      </c>
      <c r="J377" s="82">
        <v>1627.6048639269395</v>
      </c>
      <c r="K377" s="82">
        <v>1738.2986110986308</v>
      </c>
      <c r="L377" s="82">
        <v>1640.8001018281423</v>
      </c>
      <c r="M377" s="82">
        <v>2505.9737750491054</v>
      </c>
      <c r="N377" s="82">
        <v>1963.8491702687434</v>
      </c>
      <c r="O377" s="82">
        <v>2669.0684085643843</v>
      </c>
      <c r="P377" s="82">
        <v>4913.6762475906589</v>
      </c>
      <c r="Q377" s="82">
        <v>4358.0888854426221</v>
      </c>
      <c r="R377" s="82">
        <v>2304.9454069838102</v>
      </c>
      <c r="S377" s="82">
        <v>-662.20032137942167</v>
      </c>
      <c r="T377" s="82">
        <v>964.4998890560363</v>
      </c>
      <c r="U377" s="82">
        <v>1589.3081596771847</v>
      </c>
      <c r="V377" s="82">
        <v>2193.9397001988373</v>
      </c>
      <c r="W377" s="82">
        <v>2277.9488753403425</v>
      </c>
      <c r="X377" s="82">
        <v>2008.1100889500699</v>
      </c>
      <c r="Y377" s="82">
        <v>662.13170398906311</v>
      </c>
      <c r="Z377" s="82">
        <v>70.737614522635468</v>
      </c>
      <c r="AA377" s="82">
        <v>-288.2633129352763</v>
      </c>
      <c r="AB377" s="82">
        <v>-277.15919628062483</v>
      </c>
      <c r="AC377" s="82">
        <v>401.66294477168907</v>
      </c>
      <c r="AD377" s="82">
        <v>642.34119842988389</v>
      </c>
      <c r="AE377" s="82">
        <v>-34.518544781064669</v>
      </c>
      <c r="AF377" s="82">
        <v>198.2780208643662</v>
      </c>
      <c r="AG377" s="82">
        <v>256.91241721312679</v>
      </c>
      <c r="AH377" s="82">
        <v>-566.531628300546</v>
      </c>
      <c r="AI377" s="82">
        <v>-401.06050946986346</v>
      </c>
      <c r="AJ377" s="82">
        <v>-545.17872996416645</v>
      </c>
      <c r="AK377" s="82">
        <v>218.15169873549513</v>
      </c>
      <c r="AL377" s="82">
        <v>313.96620135400423</v>
      </c>
      <c r="AM377" s="82">
        <v>-588.57323631271254</v>
      </c>
      <c r="AN377" s="82">
        <v>-2349.0577123695994</v>
      </c>
      <c r="AO377" s="82">
        <v>-2924.5401656830554</v>
      </c>
      <c r="AP377" s="82">
        <v>-2871.0718196430057</v>
      </c>
      <c r="AQ377" s="82">
        <v>-2235.1193683551651</v>
      </c>
      <c r="AR377" s="82">
        <v>-2024.4214979091566</v>
      </c>
      <c r="AS377" s="82">
        <v>389.90830203848105</v>
      </c>
      <c r="AT377" s="82">
        <v>7175.6434473588679</v>
      </c>
      <c r="AU377" s="82">
        <v>7289.4643045399971</v>
      </c>
      <c r="AV377" s="82">
        <v>6248.0719132413924</v>
      </c>
      <c r="AW377" s="83">
        <v>4928.1431414852386</v>
      </c>
      <c r="AX377" s="82">
        <v>5163.6225480192534</v>
      </c>
      <c r="AY377" s="82">
        <v>5084.9591166932969</v>
      </c>
      <c r="AZ377" s="82">
        <v>5172.337351603428</v>
      </c>
      <c r="BA377" s="82">
        <v>5132.2604732566851</v>
      </c>
      <c r="BB377" s="82">
        <v>5283.7916298026139</v>
      </c>
      <c r="BC377" s="82">
        <v>5281.2488235761803</v>
      </c>
      <c r="BD377" s="82">
        <v>5442.0044262358242</v>
      </c>
      <c r="BE377" s="82">
        <v>5487.2591661801216</v>
      </c>
      <c r="BF377" s="82">
        <v>5657.5378187774613</v>
      </c>
      <c r="BG377" s="82">
        <v>5675.4368977530794</v>
      </c>
      <c r="BH377" s="82">
        <v>5868.9359496886209</v>
      </c>
      <c r="BI377" s="82">
        <v>5885.8464429434871</v>
      </c>
      <c r="BJ377" s="82">
        <v>6088.2804773151711</v>
      </c>
      <c r="BK377" s="82">
        <v>6099.4427066207945</v>
      </c>
      <c r="BL377" s="82">
        <v>6281.5723771932398</v>
      </c>
      <c r="BM377" s="82">
        <v>6320.2396061077561</v>
      </c>
      <c r="BN377" s="82">
        <v>6523.2631040933984</v>
      </c>
      <c r="BO377" s="82">
        <v>6538.32167609505</v>
      </c>
      <c r="BP377" s="82">
        <v>6759.6718442972506</v>
      </c>
      <c r="BQ377" s="82">
        <v>6775.6890614323429</v>
      </c>
      <c r="BR377" s="82"/>
      <c r="BS377" s="82">
        <v>1001.0008483333343</v>
      </c>
      <c r="BT377" s="82">
        <v>540.92224833333387</v>
      </c>
      <c r="BU377" s="82">
        <v>582.5505849999995</v>
      </c>
      <c r="BV377" s="82">
        <v>2266.1418425000006</v>
      </c>
      <c r="BW377" s="82">
        <v>2137.5027249999994</v>
      </c>
      <c r="BX377" s="82">
        <v>1375.475576833333</v>
      </c>
      <c r="BY377" s="82">
        <v>878.82089125000027</v>
      </c>
      <c r="BZ377" s="82">
        <v>1420.788198249998</v>
      </c>
      <c r="CA377" s="82">
        <v>2121.5653343511399</v>
      </c>
      <c r="CB377" s="82">
        <v>1912.1851553846109</v>
      </c>
      <c r="CC377" s="82">
        <v>2080.4455119799095</v>
      </c>
      <c r="CD377" s="82">
        <v>2586.1641501369859</v>
      </c>
      <c r="CE377" s="82">
        <v>3534.024565468123</v>
      </c>
      <c r="CF377" s="82">
        <v>3365.9034750255705</v>
      </c>
      <c r="CG377" s="82">
        <v>4146.7738768772479</v>
      </c>
      <c r="CH377" s="82">
        <v>4632.9175788331277</v>
      </c>
      <c r="CI377" s="82">
        <v>9271.765133033281</v>
      </c>
      <c r="CJ377" s="82">
        <v>1642.7450856043886</v>
      </c>
      <c r="CK377" s="82">
        <v>2553.8080487332209</v>
      </c>
      <c r="CL377" s="82">
        <v>4471.8885755391802</v>
      </c>
      <c r="CM377" s="82">
        <v>2670.2417929391331</v>
      </c>
      <c r="CN377" s="82">
        <v>-217.52569841264085</v>
      </c>
      <c r="CO377" s="82">
        <v>124.50374849106424</v>
      </c>
      <c r="CP377" s="82">
        <v>607.82265364881926</v>
      </c>
      <c r="CQ377" s="82">
        <v>455.19043807749301</v>
      </c>
      <c r="CR377" s="82">
        <v>-967.59213777040941</v>
      </c>
      <c r="CS377" s="82">
        <v>-327.02703122867132</v>
      </c>
      <c r="CT377" s="82">
        <v>-274.60703495870831</v>
      </c>
      <c r="CU377" s="82">
        <v>-5273.5978780526548</v>
      </c>
      <c r="CV377" s="82">
        <v>-5106.1911879981708</v>
      </c>
      <c r="CW377" s="82">
        <v>-1634.5131958706756</v>
      </c>
      <c r="CX377" s="82">
        <v>14465.107751898864</v>
      </c>
      <c r="CY377" s="83">
        <v>11176.215054726632</v>
      </c>
      <c r="CZ377" s="82">
        <v>10248.58166471255</v>
      </c>
      <c r="DA377" s="82">
        <v>10304.597824860113</v>
      </c>
      <c r="DB377" s="82">
        <v>10565.040453378795</v>
      </c>
      <c r="DC377" s="82">
        <v>10929.263592415946</v>
      </c>
      <c r="DD377" s="82">
        <v>11332.974716530542</v>
      </c>
      <c r="DE377" s="82">
        <v>11754.782392632107</v>
      </c>
      <c r="DF377" s="82">
        <v>12187.723183935967</v>
      </c>
      <c r="DG377" s="82">
        <v>12601.811983300995</v>
      </c>
      <c r="DH377" s="82">
        <v>13061.584780188448</v>
      </c>
      <c r="DI377" s="82">
        <v>13535.360905729594</v>
      </c>
    </row>
    <row r="378" spans="1:113" outlineLevel="1">
      <c r="C378" s="55"/>
      <c r="D378" s="55"/>
      <c r="E378" s="55"/>
      <c r="F378" s="55"/>
      <c r="G378" s="55"/>
      <c r="H378" s="55"/>
      <c r="I378" s="55"/>
      <c r="J378" s="55"/>
      <c r="K378" s="55"/>
      <c r="L378" s="55"/>
      <c r="M378" s="55"/>
      <c r="N378" s="55"/>
      <c r="O378" s="55"/>
      <c r="P378" s="55"/>
      <c r="Q378" s="55"/>
      <c r="R378" s="55"/>
      <c r="S378" s="55"/>
      <c r="T378" s="55"/>
      <c r="U378" s="55"/>
      <c r="V378" s="55"/>
      <c r="W378" s="55"/>
      <c r="X378" s="55"/>
      <c r="Y378" s="55"/>
      <c r="Z378" s="55"/>
      <c r="AA378" s="55"/>
      <c r="AB378" s="55"/>
      <c r="AC378" s="55"/>
      <c r="AD378" s="55"/>
      <c r="AE378" s="55"/>
      <c r="AF378" s="55"/>
      <c r="AG378" s="55"/>
      <c r="AH378" s="55"/>
      <c r="AI378" s="55"/>
      <c r="AJ378" s="55"/>
      <c r="AK378" s="55"/>
      <c r="AL378" s="55"/>
      <c r="AM378" s="55"/>
      <c r="AN378" s="55"/>
      <c r="AO378" s="55"/>
      <c r="AP378" s="55"/>
      <c r="AQ378" s="55"/>
      <c r="AR378" s="55"/>
      <c r="AS378" s="55"/>
      <c r="AT378" s="55"/>
      <c r="AU378" s="55"/>
      <c r="AV378" s="55"/>
      <c r="AW378" s="56"/>
      <c r="AX378" s="55"/>
      <c r="AY378" s="55"/>
      <c r="AZ378" s="55"/>
      <c r="BA378" s="55"/>
      <c r="BB378" s="55"/>
      <c r="BC378" s="55"/>
      <c r="BD378" s="55"/>
      <c r="BE378" s="55"/>
      <c r="BF378" s="55"/>
      <c r="BG378" s="55"/>
      <c r="BH378" s="55"/>
      <c r="BI378" s="55"/>
      <c r="BJ378" s="55"/>
      <c r="BK378" s="55"/>
      <c r="BL378" s="55"/>
      <c r="BM378" s="55"/>
      <c r="BN378" s="55"/>
      <c r="BO378" s="55"/>
      <c r="BP378" s="55"/>
      <c r="BQ378" s="55"/>
      <c r="BR378" s="55"/>
      <c r="BS378" s="55"/>
      <c r="BT378" s="55"/>
      <c r="BU378" s="55"/>
      <c r="BV378" s="55"/>
      <c r="BW378" s="55"/>
      <c r="BX378" s="55"/>
      <c r="BY378" s="55"/>
      <c r="BZ378" s="55"/>
      <c r="CA378" s="55"/>
      <c r="CB378" s="55"/>
      <c r="CC378" s="55"/>
      <c r="CD378" s="55"/>
      <c r="CE378" s="55"/>
      <c r="CF378" s="55"/>
      <c r="CG378" s="55"/>
      <c r="CH378" s="55"/>
      <c r="CI378" s="55"/>
      <c r="CJ378" s="61"/>
      <c r="CK378" s="61"/>
      <c r="CL378" s="50"/>
      <c r="CM378" s="50"/>
      <c r="CN378" s="55"/>
      <c r="CO378" s="55"/>
      <c r="CP378" s="55"/>
      <c r="CQ378" s="55"/>
      <c r="CR378" s="55"/>
      <c r="CS378" s="55"/>
      <c r="CT378" s="55"/>
      <c r="CU378" s="55"/>
      <c r="CV378" s="55"/>
      <c r="CW378" s="55"/>
      <c r="CX378" s="55"/>
      <c r="CY378" s="56"/>
      <c r="CZ378" s="55"/>
      <c r="DA378" s="55"/>
      <c r="DB378" s="55"/>
      <c r="DC378" s="55"/>
      <c r="DD378" s="55"/>
      <c r="DE378" s="55"/>
      <c r="DF378" s="55"/>
      <c r="DG378" s="55"/>
      <c r="DH378" s="55"/>
      <c r="DI378" s="55"/>
    </row>
    <row r="379" spans="1:113" outlineLevel="1">
      <c r="A379" s="1" t="s">
        <v>238</v>
      </c>
      <c r="B379" s="19" t="s">
        <v>582</v>
      </c>
      <c r="C379" s="55">
        <v>5876</v>
      </c>
      <c r="D379" s="55">
        <v>5369</v>
      </c>
      <c r="E379" s="55">
        <v>5086</v>
      </c>
      <c r="F379" s="55">
        <v>5680</v>
      </c>
      <c r="G379" s="55">
        <v>5860</v>
      </c>
      <c r="H379" s="55">
        <v>6241</v>
      </c>
      <c r="I379" s="55">
        <v>7046.0000000000009</v>
      </c>
      <c r="J379" s="55">
        <v>8089</v>
      </c>
      <c r="K379" s="55">
        <v>8692</v>
      </c>
      <c r="L379" s="55">
        <v>9637.9999999999982</v>
      </c>
      <c r="M379" s="55">
        <v>10120</v>
      </c>
      <c r="N379" s="55">
        <v>11565</v>
      </c>
      <c r="O379" s="55">
        <v>12297</v>
      </c>
      <c r="P379" s="55">
        <v>13781</v>
      </c>
      <c r="Q379" s="55">
        <v>15453</v>
      </c>
      <c r="R379" s="55">
        <v>18990</v>
      </c>
      <c r="S379" s="55">
        <v>15043</v>
      </c>
      <c r="T379" s="55">
        <v>15303</v>
      </c>
      <c r="U379" s="55">
        <v>16939</v>
      </c>
      <c r="V379" s="55">
        <v>18579</v>
      </c>
      <c r="W379" s="55">
        <v>18923.999999999996</v>
      </c>
      <c r="X379" s="55">
        <v>19490</v>
      </c>
      <c r="Y379" s="55">
        <v>18811</v>
      </c>
      <c r="Z379" s="55">
        <v>17794</v>
      </c>
      <c r="AA379" s="55">
        <v>16960</v>
      </c>
      <c r="AB379" s="55">
        <v>16829</v>
      </c>
      <c r="AC379" s="55">
        <v>16805</v>
      </c>
      <c r="AD379" s="55">
        <v>17297</v>
      </c>
      <c r="AE379" s="55">
        <v>16835</v>
      </c>
      <c r="AF379" s="55">
        <v>16842</v>
      </c>
      <c r="AG379" s="55">
        <v>16975</v>
      </c>
      <c r="AH379" s="55">
        <v>16676</v>
      </c>
      <c r="AI379" s="55">
        <v>16621</v>
      </c>
      <c r="AJ379" s="55">
        <v>17181</v>
      </c>
      <c r="AK379" s="55">
        <v>17073</v>
      </c>
      <c r="AL379" s="55">
        <v>17515</v>
      </c>
      <c r="AM379" s="55">
        <v>17131</v>
      </c>
      <c r="AN379" s="55">
        <v>15946</v>
      </c>
      <c r="AO379" s="55">
        <v>14215.999999999998</v>
      </c>
      <c r="AP379" s="55">
        <v>12786</v>
      </c>
      <c r="AQ379" s="55">
        <v>12106</v>
      </c>
      <c r="AR379" s="55">
        <v>11999</v>
      </c>
      <c r="AS379" s="55">
        <v>12294</v>
      </c>
      <c r="AT379" s="55">
        <v>19625</v>
      </c>
      <c r="AU379" s="55">
        <v>24850</v>
      </c>
      <c r="AV379" s="55">
        <v>29618</v>
      </c>
      <c r="AW379" s="56">
        <v>31426</v>
      </c>
      <c r="AX379" s="55">
        <v>33820.135540659714</v>
      </c>
      <c r="AY379" s="55">
        <v>31719.614693878571</v>
      </c>
      <c r="AZ379" s="55">
        <v>29491.911247911412</v>
      </c>
      <c r="BA379" s="55">
        <v>28377.301131738812</v>
      </c>
      <c r="BB379" s="55">
        <v>29168.912422210986</v>
      </c>
      <c r="BC379" s="55">
        <v>29077.694666386011</v>
      </c>
      <c r="BD379" s="55">
        <v>29911.950263219584</v>
      </c>
      <c r="BE379" s="55">
        <v>30007.694800202109</v>
      </c>
      <c r="BF379" s="55">
        <v>30870.103587301594</v>
      </c>
      <c r="BG379" s="55">
        <v>30801.591286056992</v>
      </c>
      <c r="BH379" s="55">
        <v>31839.512712881085</v>
      </c>
      <c r="BI379" s="55">
        <v>31848.82008833552</v>
      </c>
      <c r="BJ379" s="55">
        <v>32923.856259665743</v>
      </c>
      <c r="BK379" s="55">
        <v>32964.534807904274</v>
      </c>
      <c r="BL379" s="55">
        <v>34045.446697898369</v>
      </c>
      <c r="BM379" s="55">
        <v>34306.416670810737</v>
      </c>
      <c r="BN379" s="55">
        <v>35430.270193222466</v>
      </c>
      <c r="BO379" s="55">
        <v>35505.96791144523</v>
      </c>
      <c r="BP379" s="55">
        <v>36771.253104571508</v>
      </c>
      <c r="BQ379" s="55">
        <v>36850.101588542282</v>
      </c>
      <c r="BR379" s="55"/>
      <c r="BS379" s="55">
        <v>8025.7</v>
      </c>
      <c r="BT379" s="55">
        <v>6514.2</v>
      </c>
      <c r="BU379" s="55">
        <v>5932.1</v>
      </c>
      <c r="BV379" s="55">
        <v>6570</v>
      </c>
      <c r="BW379" s="55">
        <v>7716.0000000000009</v>
      </c>
      <c r="BX379" s="55">
        <v>7989.0000000000009</v>
      </c>
      <c r="BY379" s="55">
        <v>7605</v>
      </c>
      <c r="BZ379" s="55">
        <v>7745.0000000000009</v>
      </c>
      <c r="CA379" s="55">
        <v>8842</v>
      </c>
      <c r="CB379" s="55">
        <v>11900</v>
      </c>
      <c r="CC379" s="55">
        <v>10455</v>
      </c>
      <c r="CD379" s="55">
        <v>11540</v>
      </c>
      <c r="CE379" s="55">
        <v>13287</v>
      </c>
      <c r="CF379" s="55">
        <v>16781</v>
      </c>
      <c r="CG379" s="55">
        <v>19758</v>
      </c>
      <c r="CH379" s="55">
        <v>23862</v>
      </c>
      <c r="CI379" s="55">
        <v>29234</v>
      </c>
      <c r="CJ379" s="55">
        <v>34033</v>
      </c>
      <c r="CK379" s="55">
        <v>32242</v>
      </c>
      <c r="CL379" s="55">
        <v>37503</v>
      </c>
      <c r="CM379" s="55">
        <v>38301</v>
      </c>
      <c r="CN379" s="55">
        <v>34754</v>
      </c>
      <c r="CO379" s="55">
        <v>33634</v>
      </c>
      <c r="CP379" s="55">
        <v>34132</v>
      </c>
      <c r="CQ379" s="55">
        <v>33817</v>
      </c>
      <c r="CR379" s="55">
        <v>33297</v>
      </c>
      <c r="CS379" s="55">
        <v>34254</v>
      </c>
      <c r="CT379" s="55">
        <v>34646</v>
      </c>
      <c r="CU379" s="55">
        <v>30162</v>
      </c>
      <c r="CV379" s="55">
        <v>24892</v>
      </c>
      <c r="CW379" s="55">
        <v>24293</v>
      </c>
      <c r="CX379" s="55">
        <v>44475</v>
      </c>
      <c r="CY379" s="56">
        <v>61044</v>
      </c>
      <c r="CZ379" s="55">
        <v>65539.750234538282</v>
      </c>
      <c r="DA379" s="55">
        <v>57869.212379650227</v>
      </c>
      <c r="DB379" s="55">
        <v>58246.607088596997</v>
      </c>
      <c r="DC379" s="55">
        <v>59919.645063421689</v>
      </c>
      <c r="DD379" s="55">
        <v>61671.694873358589</v>
      </c>
      <c r="DE379" s="55">
        <v>63688.332801216602</v>
      </c>
      <c r="DF379" s="55">
        <v>65888.391067570017</v>
      </c>
      <c r="DG379" s="55">
        <v>68351.863368709106</v>
      </c>
      <c r="DH379" s="55">
        <v>70936.238104667689</v>
      </c>
      <c r="DI379" s="55">
        <v>73621.354693113797</v>
      </c>
    </row>
    <row r="380" spans="1:113" outlineLevel="1">
      <c r="A380" s="1" t="s">
        <v>239</v>
      </c>
      <c r="B380" s="19" t="s">
        <v>481</v>
      </c>
      <c r="C380" s="55">
        <v>-3623</v>
      </c>
      <c r="D380" s="55">
        <v>-3020</v>
      </c>
      <c r="E380" s="55">
        <v>-2725</v>
      </c>
      <c r="F380" s="55">
        <v>-3226</v>
      </c>
      <c r="G380" s="55">
        <v>-3288</v>
      </c>
      <c r="H380" s="55">
        <v>-3570</v>
      </c>
      <c r="I380" s="55">
        <v>-4307.0000000000009</v>
      </c>
      <c r="J380" s="55">
        <v>-5131.0000000000009</v>
      </c>
      <c r="K380" s="55">
        <v>-5624</v>
      </c>
      <c r="L380" s="55">
        <v>-6382.9999999999982</v>
      </c>
      <c r="M380" s="55">
        <v>-6861</v>
      </c>
      <c r="N380" s="55">
        <v>-8080</v>
      </c>
      <c r="O380" s="55">
        <v>-8746</v>
      </c>
      <c r="P380" s="55">
        <v>-9882</v>
      </c>
      <c r="Q380" s="55">
        <v>-11445</v>
      </c>
      <c r="R380" s="55">
        <v>-13917</v>
      </c>
      <c r="S380" s="55">
        <v>-9400</v>
      </c>
      <c r="T380" s="55">
        <v>-9241</v>
      </c>
      <c r="U380" s="55">
        <v>-11133</v>
      </c>
      <c r="V380" s="55">
        <v>-12401.999999999998</v>
      </c>
      <c r="W380" s="55">
        <v>-12455.999999999998</v>
      </c>
      <c r="X380" s="55">
        <v>-12846</v>
      </c>
      <c r="Y380" s="55">
        <v>-12297.999999999998</v>
      </c>
      <c r="Z380" s="55">
        <v>-10932</v>
      </c>
      <c r="AA380" s="55">
        <v>-9877.9999999999982</v>
      </c>
      <c r="AB380" s="55">
        <v>-9385</v>
      </c>
      <c r="AC380" s="55">
        <v>-9157.9999999999982</v>
      </c>
      <c r="AD380" s="55">
        <v>-9396</v>
      </c>
      <c r="AE380" s="55">
        <v>-8909</v>
      </c>
      <c r="AF380" s="55">
        <v>-8415</v>
      </c>
      <c r="AG380" s="55">
        <v>-8467</v>
      </c>
      <c r="AH380" s="55">
        <v>-7966</v>
      </c>
      <c r="AI380" s="55">
        <v>-7797</v>
      </c>
      <c r="AJ380" s="55">
        <v>-7923.9999999999991</v>
      </c>
      <c r="AK380" s="55">
        <v>-7987.9999999999991</v>
      </c>
      <c r="AL380" s="55">
        <v>-8328.5752759381867</v>
      </c>
      <c r="AM380" s="55">
        <v>-8093.4247240618097</v>
      </c>
      <c r="AN380" s="55">
        <v>-6596</v>
      </c>
      <c r="AO380" s="55">
        <v>-4955.9999999999982</v>
      </c>
      <c r="AP380" s="55">
        <v>-3186</v>
      </c>
      <c r="AQ380" s="55">
        <v>-2404</v>
      </c>
      <c r="AR380" s="55">
        <v>-2251</v>
      </c>
      <c r="AS380" s="55">
        <v>-2569.0000000000005</v>
      </c>
      <c r="AT380" s="55">
        <v>-7987.9999999999991</v>
      </c>
      <c r="AU380" s="55">
        <v>-13430.999999999998</v>
      </c>
      <c r="AV380" s="55">
        <v>-18214</v>
      </c>
      <c r="AW380" s="56">
        <v>-20006</v>
      </c>
      <c r="AX380" s="55">
        <v>-22037.702892398807</v>
      </c>
      <c r="AY380" s="55">
        <v>-19999.497109947908</v>
      </c>
      <c r="AZ380" s="55">
        <v>-17465.767525017785</v>
      </c>
      <c r="BA380" s="55">
        <v>-16466.133949110186</v>
      </c>
      <c r="BB380" s="55">
        <v>-17002.171007763041</v>
      </c>
      <c r="BC380" s="55">
        <v>-16997.86809943345</v>
      </c>
      <c r="BD380" s="55">
        <v>-17537.291554140673</v>
      </c>
      <c r="BE380" s="55">
        <v>-17638.220483917903</v>
      </c>
      <c r="BF380" s="55">
        <v>-18195.206018994806</v>
      </c>
      <c r="BG380" s="55">
        <v>-18198.511183844752</v>
      </c>
      <c r="BH380" s="55">
        <v>-18825.584538191277</v>
      </c>
      <c r="BI380" s="55">
        <v>-18831.97340173271</v>
      </c>
      <c r="BJ380" s="55">
        <v>-19480.481140321568</v>
      </c>
      <c r="BK380" s="55">
        <v>-19514.666858056931</v>
      </c>
      <c r="BL380" s="55">
        <v>-20183.721318584925</v>
      </c>
      <c r="BM380" s="55">
        <v>-20359.308801141233</v>
      </c>
      <c r="BN380" s="55">
        <v>-21042.05969725073</v>
      </c>
      <c r="BO380" s="55">
        <v>-21097.701336909082</v>
      </c>
      <c r="BP380" s="55">
        <v>-21873.42099078633</v>
      </c>
      <c r="BQ380" s="55">
        <v>-21931.074664335047</v>
      </c>
      <c r="BR380" s="55"/>
      <c r="BS380" s="55">
        <v>-4776.6999999999989</v>
      </c>
      <c r="BT380" s="55">
        <v>-3533.2</v>
      </c>
      <c r="BU380" s="55">
        <v>-3088.1000000000004</v>
      </c>
      <c r="BV380" s="55">
        <v>-3405.9999999999995</v>
      </c>
      <c r="BW380" s="55">
        <v>-4319.0000000000009</v>
      </c>
      <c r="BX380" s="55">
        <v>-4597.0000000000009</v>
      </c>
      <c r="BY380" s="55">
        <v>-4208</v>
      </c>
      <c r="BZ380" s="55">
        <v>-4218.0000000000018</v>
      </c>
      <c r="CA380" s="55">
        <v>-5123</v>
      </c>
      <c r="CB380" s="55">
        <v>-7426</v>
      </c>
      <c r="CC380" s="55">
        <v>-5745</v>
      </c>
      <c r="CD380" s="55">
        <v>-6514</v>
      </c>
      <c r="CE380" s="55">
        <v>-7877.0000000000009</v>
      </c>
      <c r="CF380" s="55">
        <v>-10755</v>
      </c>
      <c r="CG380" s="55">
        <v>-13243.999999999998</v>
      </c>
      <c r="CH380" s="55">
        <v>-16826</v>
      </c>
      <c r="CI380" s="55">
        <v>-21327</v>
      </c>
      <c r="CJ380" s="55">
        <v>-23317</v>
      </c>
      <c r="CK380" s="55">
        <v>-20374</v>
      </c>
      <c r="CL380" s="55">
        <v>-24857.999999999996</v>
      </c>
      <c r="CM380" s="55">
        <v>-25144</v>
      </c>
      <c r="CN380" s="55">
        <v>-20810</v>
      </c>
      <c r="CO380" s="55">
        <v>-18543</v>
      </c>
      <c r="CP380" s="55">
        <v>-18305</v>
      </c>
      <c r="CQ380" s="55">
        <v>-16882</v>
      </c>
      <c r="CR380" s="55">
        <v>-15763</v>
      </c>
      <c r="CS380" s="55">
        <v>-15911.999999999998</v>
      </c>
      <c r="CT380" s="55">
        <v>-16421.999999999996</v>
      </c>
      <c r="CU380" s="55">
        <v>-11551.999999999998</v>
      </c>
      <c r="CV380" s="55">
        <v>-5590</v>
      </c>
      <c r="CW380" s="55">
        <v>-4820</v>
      </c>
      <c r="CX380" s="55">
        <v>-21418.999999999996</v>
      </c>
      <c r="CY380" s="56">
        <v>-38220</v>
      </c>
      <c r="CZ380" s="55">
        <v>-42037.200002346712</v>
      </c>
      <c r="DA380" s="55">
        <v>-33931.901474127968</v>
      </c>
      <c r="DB380" s="55">
        <v>-34000.039107196491</v>
      </c>
      <c r="DC380" s="55">
        <v>-35175.512038058572</v>
      </c>
      <c r="DD380" s="55">
        <v>-36393.717202839558</v>
      </c>
      <c r="DE380" s="55">
        <v>-37657.557939923987</v>
      </c>
      <c r="DF380" s="55">
        <v>-38995.147998378496</v>
      </c>
      <c r="DG380" s="55">
        <v>-40543.030119726158</v>
      </c>
      <c r="DH380" s="55">
        <v>-42139.761034159812</v>
      </c>
      <c r="DI380" s="55">
        <v>-43804.495655121376</v>
      </c>
    </row>
    <row r="381" spans="1:113" s="24" customFormat="1" outlineLevel="1">
      <c r="A381" s="1" t="s">
        <v>240</v>
      </c>
      <c r="B381" s="24" t="s">
        <v>482</v>
      </c>
      <c r="C381" s="82">
        <v>2253</v>
      </c>
      <c r="D381" s="82">
        <v>2349</v>
      </c>
      <c r="E381" s="82">
        <v>2361</v>
      </c>
      <c r="F381" s="82">
        <v>2454</v>
      </c>
      <c r="G381" s="82">
        <v>2572</v>
      </c>
      <c r="H381" s="82">
        <v>2671</v>
      </c>
      <c r="I381" s="82">
        <v>2739</v>
      </c>
      <c r="J381" s="82">
        <v>2958</v>
      </c>
      <c r="K381" s="82">
        <v>3068</v>
      </c>
      <c r="L381" s="82">
        <v>3255</v>
      </c>
      <c r="M381" s="82">
        <v>3259</v>
      </c>
      <c r="N381" s="82">
        <v>3485</v>
      </c>
      <c r="O381" s="82">
        <v>3551</v>
      </c>
      <c r="P381" s="82">
        <v>3899</v>
      </c>
      <c r="Q381" s="82">
        <v>4008</v>
      </c>
      <c r="R381" s="82">
        <v>5073</v>
      </c>
      <c r="S381" s="82">
        <v>5643</v>
      </c>
      <c r="T381" s="82">
        <v>6062</v>
      </c>
      <c r="U381" s="82">
        <v>5806</v>
      </c>
      <c r="V381" s="82">
        <v>6177</v>
      </c>
      <c r="W381" s="82">
        <v>6468</v>
      </c>
      <c r="X381" s="82">
        <v>6644</v>
      </c>
      <c r="Y381" s="82">
        <v>6513</v>
      </c>
      <c r="Z381" s="82">
        <v>6862</v>
      </c>
      <c r="AA381" s="82">
        <v>7082</v>
      </c>
      <c r="AB381" s="82">
        <v>7444</v>
      </c>
      <c r="AC381" s="82">
        <v>7647</v>
      </c>
      <c r="AD381" s="82">
        <v>7901</v>
      </c>
      <c r="AE381" s="82">
        <v>7926</v>
      </c>
      <c r="AF381" s="82">
        <v>8427</v>
      </c>
      <c r="AG381" s="82">
        <v>8508</v>
      </c>
      <c r="AH381" s="82">
        <v>8710</v>
      </c>
      <c r="AI381" s="82">
        <v>8824</v>
      </c>
      <c r="AJ381" s="82">
        <v>9257</v>
      </c>
      <c r="AK381" s="82">
        <v>9085</v>
      </c>
      <c r="AL381" s="82">
        <v>9186.4247240618115</v>
      </c>
      <c r="AM381" s="82">
        <v>9037.5752759381903</v>
      </c>
      <c r="AN381" s="82">
        <v>9350</v>
      </c>
      <c r="AO381" s="82">
        <v>9260</v>
      </c>
      <c r="AP381" s="82">
        <v>9600</v>
      </c>
      <c r="AQ381" s="82">
        <v>9702</v>
      </c>
      <c r="AR381" s="82">
        <v>9748</v>
      </c>
      <c r="AS381" s="82">
        <v>9725</v>
      </c>
      <c r="AT381" s="82">
        <v>11637</v>
      </c>
      <c r="AU381" s="82">
        <v>11419</v>
      </c>
      <c r="AV381" s="82">
        <v>11404</v>
      </c>
      <c r="AW381" s="83">
        <v>11420</v>
      </c>
      <c r="AX381" s="82">
        <v>11782.432648260907</v>
      </c>
      <c r="AY381" s="82">
        <v>11720.117583930663</v>
      </c>
      <c r="AZ381" s="82">
        <v>12026.143722893627</v>
      </c>
      <c r="BA381" s="82">
        <v>11911.167182628626</v>
      </c>
      <c r="BB381" s="82">
        <v>12166.741414447944</v>
      </c>
      <c r="BC381" s="82">
        <v>12079.826566952561</v>
      </c>
      <c r="BD381" s="82">
        <v>12374.658709078911</v>
      </c>
      <c r="BE381" s="82">
        <v>12369.474316284206</v>
      </c>
      <c r="BF381" s="82">
        <v>12674.897568306787</v>
      </c>
      <c r="BG381" s="82">
        <v>12603.08010221224</v>
      </c>
      <c r="BH381" s="82">
        <v>13013.928174689809</v>
      </c>
      <c r="BI381" s="82">
        <v>13016.84668660281</v>
      </c>
      <c r="BJ381" s="82">
        <v>13443.375119344175</v>
      </c>
      <c r="BK381" s="82">
        <v>13449.867949847343</v>
      </c>
      <c r="BL381" s="82">
        <v>13861.725379313444</v>
      </c>
      <c r="BM381" s="82">
        <v>13947.107869669504</v>
      </c>
      <c r="BN381" s="82">
        <v>14388.210495971736</v>
      </c>
      <c r="BO381" s="82">
        <v>14408.266574536148</v>
      </c>
      <c r="BP381" s="82">
        <v>14897.832113785178</v>
      </c>
      <c r="BQ381" s="82">
        <v>14919.026924207235</v>
      </c>
      <c r="BR381" s="82"/>
      <c r="BS381" s="82">
        <v>3249</v>
      </c>
      <c r="BT381" s="82">
        <v>2981</v>
      </c>
      <c r="BU381" s="82">
        <v>2844</v>
      </c>
      <c r="BV381" s="82">
        <v>3164</v>
      </c>
      <c r="BW381" s="82">
        <v>3397</v>
      </c>
      <c r="BX381" s="82">
        <v>3392</v>
      </c>
      <c r="BY381" s="82">
        <v>3397</v>
      </c>
      <c r="BZ381" s="82">
        <v>3527</v>
      </c>
      <c r="CA381" s="82">
        <v>3719</v>
      </c>
      <c r="CB381" s="82">
        <v>4474</v>
      </c>
      <c r="CC381" s="82">
        <v>4710</v>
      </c>
      <c r="CD381" s="82">
        <v>5026</v>
      </c>
      <c r="CE381" s="82">
        <v>5410</v>
      </c>
      <c r="CF381" s="82">
        <v>6026</v>
      </c>
      <c r="CG381" s="82">
        <v>6514</v>
      </c>
      <c r="CH381" s="82">
        <v>7036</v>
      </c>
      <c r="CI381" s="82">
        <v>7907</v>
      </c>
      <c r="CJ381" s="82">
        <v>10716</v>
      </c>
      <c r="CK381" s="82">
        <v>11868</v>
      </c>
      <c r="CL381" s="82">
        <v>12645</v>
      </c>
      <c r="CM381" s="82">
        <v>13157</v>
      </c>
      <c r="CN381" s="82">
        <v>13944</v>
      </c>
      <c r="CO381" s="82">
        <v>15091</v>
      </c>
      <c r="CP381" s="82">
        <v>15827</v>
      </c>
      <c r="CQ381" s="82">
        <v>16935</v>
      </c>
      <c r="CR381" s="82">
        <v>17534</v>
      </c>
      <c r="CS381" s="82">
        <v>18342</v>
      </c>
      <c r="CT381" s="82">
        <v>18224</v>
      </c>
      <c r="CU381" s="82">
        <v>18610</v>
      </c>
      <c r="CV381" s="82">
        <v>19302</v>
      </c>
      <c r="CW381" s="82">
        <v>19473</v>
      </c>
      <c r="CX381" s="82">
        <v>23056</v>
      </c>
      <c r="CY381" s="83">
        <v>22824</v>
      </c>
      <c r="CZ381" s="82">
        <v>23502.55023219157</v>
      </c>
      <c r="DA381" s="82">
        <v>23937.310905522252</v>
      </c>
      <c r="DB381" s="82">
        <v>24246.567981400505</v>
      </c>
      <c r="DC381" s="82">
        <v>24744.133025363117</v>
      </c>
      <c r="DD381" s="82">
        <v>25277.977670519027</v>
      </c>
      <c r="DE381" s="82">
        <v>26030.774861292619</v>
      </c>
      <c r="DF381" s="82">
        <v>26893.243069191518</v>
      </c>
      <c r="DG381" s="82">
        <v>27808.833248982948</v>
      </c>
      <c r="DH381" s="82">
        <v>28796.477070507884</v>
      </c>
      <c r="DI381" s="82">
        <v>29816.859037992414</v>
      </c>
    </row>
    <row r="382" spans="1:113" hidden="1" outlineLevel="2">
      <c r="A382" s="1" t="s">
        <v>928</v>
      </c>
      <c r="B382" s="19" t="s">
        <v>445</v>
      </c>
      <c r="C382" s="53">
        <v>0</v>
      </c>
      <c r="D382" s="53">
        <v>0</v>
      </c>
      <c r="E382" s="53">
        <v>0</v>
      </c>
      <c r="F382" s="53">
        <v>0</v>
      </c>
      <c r="G382" s="53">
        <v>0</v>
      </c>
      <c r="H382" s="53">
        <v>0</v>
      </c>
      <c r="I382" s="53">
        <v>0</v>
      </c>
      <c r="J382" s="53">
        <v>0</v>
      </c>
      <c r="K382" s="53">
        <v>0</v>
      </c>
      <c r="L382" s="53">
        <v>0</v>
      </c>
      <c r="M382" s="53">
        <v>0</v>
      </c>
      <c r="N382" s="53">
        <v>0</v>
      </c>
      <c r="O382" s="53">
        <v>0</v>
      </c>
      <c r="P382" s="53">
        <v>0</v>
      </c>
      <c r="Q382" s="53">
        <v>0</v>
      </c>
      <c r="R382" s="53">
        <v>0</v>
      </c>
      <c r="S382" s="53">
        <v>0</v>
      </c>
      <c r="T382" s="53">
        <v>0</v>
      </c>
      <c r="U382" s="53">
        <v>0</v>
      </c>
      <c r="V382" s="53">
        <v>0</v>
      </c>
      <c r="W382" s="53">
        <v>0</v>
      </c>
      <c r="X382" s="53">
        <v>0</v>
      </c>
      <c r="Y382" s="53">
        <v>0</v>
      </c>
      <c r="Z382" s="53">
        <v>0</v>
      </c>
      <c r="AA382" s="164">
        <v>0</v>
      </c>
      <c r="AB382" s="164">
        <v>0</v>
      </c>
      <c r="AC382" s="164">
        <v>0</v>
      </c>
      <c r="AD382" s="164">
        <v>0</v>
      </c>
      <c r="AE382" s="164">
        <v>0</v>
      </c>
      <c r="AF382" s="164">
        <v>0</v>
      </c>
      <c r="AG382" s="164">
        <v>0</v>
      </c>
      <c r="AH382" s="164">
        <v>0</v>
      </c>
      <c r="AI382" s="164">
        <v>0</v>
      </c>
      <c r="AJ382" s="164">
        <v>0</v>
      </c>
      <c r="AK382" s="164">
        <v>0</v>
      </c>
      <c r="AL382" s="164">
        <v>0</v>
      </c>
      <c r="AM382" s="164">
        <v>0</v>
      </c>
      <c r="AN382" s="164">
        <v>0</v>
      </c>
      <c r="AO382" s="164">
        <v>0</v>
      </c>
      <c r="AP382" s="164">
        <v>0</v>
      </c>
      <c r="AQ382" s="164">
        <v>0</v>
      </c>
      <c r="AR382" s="164">
        <v>0</v>
      </c>
      <c r="AS382" s="164">
        <v>0</v>
      </c>
      <c r="AT382" s="164">
        <v>0</v>
      </c>
      <c r="AU382" s="164">
        <v>0</v>
      </c>
      <c r="AV382" s="164">
        <v>0</v>
      </c>
      <c r="AW382" s="171">
        <v>0</v>
      </c>
      <c r="AX382" s="54">
        <v>0</v>
      </c>
      <c r="AY382" s="54">
        <v>0</v>
      </c>
      <c r="AZ382" s="54">
        <v>0</v>
      </c>
      <c r="BA382" s="54">
        <v>0</v>
      </c>
      <c r="BB382" s="54">
        <v>0</v>
      </c>
      <c r="BC382" s="54">
        <v>0</v>
      </c>
      <c r="BD382" s="54">
        <v>0</v>
      </c>
      <c r="BE382" s="54">
        <v>0</v>
      </c>
      <c r="BF382" s="54">
        <v>0</v>
      </c>
      <c r="BG382" s="54">
        <v>0</v>
      </c>
      <c r="BH382" s="54">
        <v>0</v>
      </c>
      <c r="BI382" s="54">
        <v>0</v>
      </c>
      <c r="BJ382" s="54">
        <v>0</v>
      </c>
      <c r="BK382" s="54">
        <v>0</v>
      </c>
      <c r="BL382" s="54">
        <v>0</v>
      </c>
      <c r="BM382" s="54">
        <v>0</v>
      </c>
      <c r="BN382" s="54">
        <v>0</v>
      </c>
      <c r="BO382" s="54">
        <v>0</v>
      </c>
      <c r="BP382" s="54">
        <v>0</v>
      </c>
      <c r="BQ382" s="54">
        <v>0</v>
      </c>
      <c r="BR382" s="55"/>
      <c r="BS382" s="53">
        <v>0</v>
      </c>
      <c r="BT382" s="53">
        <v>0</v>
      </c>
      <c r="BU382" s="53">
        <v>0</v>
      </c>
      <c r="BV382" s="53">
        <v>0</v>
      </c>
      <c r="BW382" s="53">
        <v>0</v>
      </c>
      <c r="BX382" s="53">
        <v>0</v>
      </c>
      <c r="BY382" s="53">
        <v>0</v>
      </c>
      <c r="BZ382" s="53">
        <v>0</v>
      </c>
      <c r="CA382" s="53">
        <v>0</v>
      </c>
      <c r="CB382" s="53">
        <v>0</v>
      </c>
      <c r="CC382" s="55">
        <v>0</v>
      </c>
      <c r="CD382" s="55">
        <v>0</v>
      </c>
      <c r="CE382" s="55">
        <v>0</v>
      </c>
      <c r="CF382" s="55">
        <v>0</v>
      </c>
      <c r="CG382" s="55">
        <v>0</v>
      </c>
      <c r="CH382" s="55">
        <v>0</v>
      </c>
      <c r="CI382" s="55">
        <v>0</v>
      </c>
      <c r="CJ382" s="55">
        <v>0</v>
      </c>
      <c r="CK382" s="55">
        <v>0</v>
      </c>
      <c r="CL382" s="55">
        <v>0</v>
      </c>
      <c r="CM382" s="55">
        <v>0</v>
      </c>
      <c r="CN382" s="55">
        <v>0</v>
      </c>
      <c r="CO382" s="55">
        <v>0</v>
      </c>
      <c r="CP382" s="55">
        <v>0</v>
      </c>
      <c r="CQ382" s="55">
        <v>0</v>
      </c>
      <c r="CR382" s="55">
        <v>0</v>
      </c>
      <c r="CS382" s="55">
        <v>0</v>
      </c>
      <c r="CT382" s="55">
        <v>0</v>
      </c>
      <c r="CU382" s="55">
        <v>0</v>
      </c>
      <c r="CV382" s="55">
        <v>0</v>
      </c>
      <c r="CW382" s="55">
        <v>0</v>
      </c>
      <c r="CX382" s="55">
        <v>0</v>
      </c>
      <c r="CY382" s="56">
        <v>0</v>
      </c>
      <c r="CZ382" s="55">
        <v>0</v>
      </c>
      <c r="DA382" s="55">
        <v>0</v>
      </c>
      <c r="DB382" s="55">
        <v>0</v>
      </c>
      <c r="DC382" s="55">
        <v>0</v>
      </c>
      <c r="DD382" s="55">
        <v>0</v>
      </c>
      <c r="DE382" s="55">
        <v>0</v>
      </c>
      <c r="DF382" s="55">
        <v>0</v>
      </c>
      <c r="DG382" s="55">
        <v>0</v>
      </c>
      <c r="DH382" s="55">
        <v>0</v>
      </c>
      <c r="DI382" s="55">
        <v>0</v>
      </c>
    </row>
    <row r="383" spans="1:113" hidden="1" outlineLevel="2">
      <c r="A383" s="1" t="s">
        <v>929</v>
      </c>
      <c r="B383" s="19" t="s">
        <v>369</v>
      </c>
      <c r="C383" s="53">
        <v>0</v>
      </c>
      <c r="D383" s="53">
        <v>0</v>
      </c>
      <c r="E383" s="53">
        <v>0</v>
      </c>
      <c r="F383" s="53">
        <v>0</v>
      </c>
      <c r="G383" s="53">
        <v>0</v>
      </c>
      <c r="H383" s="53">
        <v>0</v>
      </c>
      <c r="I383" s="53">
        <v>0</v>
      </c>
      <c r="J383" s="53">
        <v>0</v>
      </c>
      <c r="K383" s="53">
        <v>0</v>
      </c>
      <c r="L383" s="53">
        <v>0</v>
      </c>
      <c r="M383" s="53">
        <v>0</v>
      </c>
      <c r="N383" s="53">
        <v>0</v>
      </c>
      <c r="O383" s="53">
        <v>0</v>
      </c>
      <c r="P383" s="53">
        <v>0</v>
      </c>
      <c r="Q383" s="53">
        <v>0</v>
      </c>
      <c r="R383" s="53">
        <v>0</v>
      </c>
      <c r="S383" s="53">
        <v>0</v>
      </c>
      <c r="T383" s="53">
        <v>0</v>
      </c>
      <c r="U383" s="53">
        <v>0</v>
      </c>
      <c r="V383" s="53">
        <v>0</v>
      </c>
      <c r="W383" s="53">
        <v>0</v>
      </c>
      <c r="X383" s="53">
        <v>0</v>
      </c>
      <c r="Y383" s="53">
        <v>0</v>
      </c>
      <c r="Z383" s="53">
        <v>0</v>
      </c>
      <c r="AA383" s="164">
        <v>0</v>
      </c>
      <c r="AB383" s="164">
        <v>0</v>
      </c>
      <c r="AC383" s="164">
        <v>0</v>
      </c>
      <c r="AD383" s="164">
        <v>0</v>
      </c>
      <c r="AE383" s="164">
        <v>0</v>
      </c>
      <c r="AF383" s="164">
        <v>0</v>
      </c>
      <c r="AG383" s="164">
        <v>0</v>
      </c>
      <c r="AH383" s="164">
        <v>0</v>
      </c>
      <c r="AI383" s="164">
        <v>0</v>
      </c>
      <c r="AJ383" s="164">
        <v>0</v>
      </c>
      <c r="AK383" s="164">
        <v>0</v>
      </c>
      <c r="AL383" s="164">
        <v>0</v>
      </c>
      <c r="AM383" s="164">
        <v>0</v>
      </c>
      <c r="AN383" s="164">
        <v>0</v>
      </c>
      <c r="AO383" s="164">
        <v>0</v>
      </c>
      <c r="AP383" s="164">
        <v>0</v>
      </c>
      <c r="AQ383" s="164">
        <v>0</v>
      </c>
      <c r="AR383" s="164">
        <v>0</v>
      </c>
      <c r="AS383" s="164">
        <v>0</v>
      </c>
      <c r="AT383" s="164">
        <v>0</v>
      </c>
      <c r="AU383" s="164">
        <v>0</v>
      </c>
      <c r="AV383" s="164">
        <v>0</v>
      </c>
      <c r="AW383" s="171">
        <v>0</v>
      </c>
      <c r="AX383" s="54">
        <v>0</v>
      </c>
      <c r="AY383" s="54">
        <v>0</v>
      </c>
      <c r="AZ383" s="54">
        <v>0</v>
      </c>
      <c r="BA383" s="54">
        <v>0</v>
      </c>
      <c r="BB383" s="54">
        <v>0</v>
      </c>
      <c r="BC383" s="54">
        <v>0</v>
      </c>
      <c r="BD383" s="54">
        <v>0</v>
      </c>
      <c r="BE383" s="54">
        <v>0</v>
      </c>
      <c r="BF383" s="54">
        <v>0</v>
      </c>
      <c r="BG383" s="54">
        <v>0</v>
      </c>
      <c r="BH383" s="54">
        <v>0</v>
      </c>
      <c r="BI383" s="54">
        <v>0</v>
      </c>
      <c r="BJ383" s="54">
        <v>0</v>
      </c>
      <c r="BK383" s="54">
        <v>0</v>
      </c>
      <c r="BL383" s="54">
        <v>0</v>
      </c>
      <c r="BM383" s="54">
        <v>0</v>
      </c>
      <c r="BN383" s="54">
        <v>0</v>
      </c>
      <c r="BO383" s="54">
        <v>0</v>
      </c>
      <c r="BP383" s="54">
        <v>0</v>
      </c>
      <c r="BQ383" s="54">
        <v>0</v>
      </c>
      <c r="BR383" s="55"/>
      <c r="BS383" s="53">
        <v>0</v>
      </c>
      <c r="BT383" s="53">
        <v>0</v>
      </c>
      <c r="BU383" s="53">
        <v>0</v>
      </c>
      <c r="BV383" s="53">
        <v>0</v>
      </c>
      <c r="BW383" s="53">
        <v>0</v>
      </c>
      <c r="BX383" s="53">
        <v>0</v>
      </c>
      <c r="BY383" s="53">
        <v>0</v>
      </c>
      <c r="BZ383" s="53">
        <v>0</v>
      </c>
      <c r="CA383" s="53">
        <v>0</v>
      </c>
      <c r="CB383" s="53">
        <v>0</v>
      </c>
      <c r="CC383" s="55">
        <v>0</v>
      </c>
      <c r="CD383" s="55">
        <v>0</v>
      </c>
      <c r="CE383" s="55">
        <v>0</v>
      </c>
      <c r="CF383" s="55">
        <v>0</v>
      </c>
      <c r="CG383" s="55">
        <v>0</v>
      </c>
      <c r="CH383" s="55">
        <v>0</v>
      </c>
      <c r="CI383" s="55">
        <v>0</v>
      </c>
      <c r="CJ383" s="55">
        <v>0</v>
      </c>
      <c r="CK383" s="55">
        <v>0</v>
      </c>
      <c r="CL383" s="55">
        <v>0</v>
      </c>
      <c r="CM383" s="55">
        <v>0</v>
      </c>
      <c r="CN383" s="55">
        <v>0</v>
      </c>
      <c r="CO383" s="55">
        <v>0</v>
      </c>
      <c r="CP383" s="55">
        <v>0</v>
      </c>
      <c r="CQ383" s="55">
        <v>0</v>
      </c>
      <c r="CR383" s="55">
        <v>0</v>
      </c>
      <c r="CS383" s="55">
        <v>0</v>
      </c>
      <c r="CT383" s="55">
        <v>0</v>
      </c>
      <c r="CU383" s="55">
        <v>0</v>
      </c>
      <c r="CV383" s="55">
        <v>0</v>
      </c>
      <c r="CW383" s="55">
        <v>0</v>
      </c>
      <c r="CX383" s="55">
        <v>0</v>
      </c>
      <c r="CY383" s="56">
        <v>0</v>
      </c>
      <c r="CZ383" s="55">
        <v>0</v>
      </c>
      <c r="DA383" s="55">
        <v>0</v>
      </c>
      <c r="DB383" s="55">
        <v>0</v>
      </c>
      <c r="DC383" s="55">
        <v>0</v>
      </c>
      <c r="DD383" s="55">
        <v>0</v>
      </c>
      <c r="DE383" s="55">
        <v>0</v>
      </c>
      <c r="DF383" s="55">
        <v>0</v>
      </c>
      <c r="DG383" s="55">
        <v>0</v>
      </c>
      <c r="DH383" s="55">
        <v>0</v>
      </c>
      <c r="DI383" s="55">
        <v>0</v>
      </c>
    </row>
    <row r="384" spans="1:113" hidden="1" outlineLevel="2">
      <c r="A384" s="1" t="s">
        <v>930</v>
      </c>
      <c r="B384" s="19" t="s">
        <v>370</v>
      </c>
      <c r="C384" s="53">
        <v>0</v>
      </c>
      <c r="D384" s="53">
        <v>0</v>
      </c>
      <c r="E384" s="53">
        <v>0</v>
      </c>
      <c r="F384" s="53">
        <v>0</v>
      </c>
      <c r="G384" s="53">
        <v>0</v>
      </c>
      <c r="H384" s="53">
        <v>0</v>
      </c>
      <c r="I384" s="53">
        <v>0</v>
      </c>
      <c r="J384" s="53">
        <v>0</v>
      </c>
      <c r="K384" s="53">
        <v>0</v>
      </c>
      <c r="L384" s="53">
        <v>0</v>
      </c>
      <c r="M384" s="53">
        <v>0</v>
      </c>
      <c r="N384" s="53">
        <v>0</v>
      </c>
      <c r="O384" s="53">
        <v>0</v>
      </c>
      <c r="P384" s="53">
        <v>0</v>
      </c>
      <c r="Q384" s="53">
        <v>0</v>
      </c>
      <c r="R384" s="53">
        <v>0</v>
      </c>
      <c r="S384" s="53">
        <v>0</v>
      </c>
      <c r="T384" s="53">
        <v>0</v>
      </c>
      <c r="U384" s="53">
        <v>0</v>
      </c>
      <c r="V384" s="53">
        <v>0</v>
      </c>
      <c r="W384" s="53">
        <v>0</v>
      </c>
      <c r="X384" s="53">
        <v>0</v>
      </c>
      <c r="Y384" s="53">
        <v>0</v>
      </c>
      <c r="Z384" s="53">
        <v>0</v>
      </c>
      <c r="AA384" s="164">
        <v>0</v>
      </c>
      <c r="AB384" s="164">
        <v>0</v>
      </c>
      <c r="AC384" s="164">
        <v>0</v>
      </c>
      <c r="AD384" s="164">
        <v>0</v>
      </c>
      <c r="AE384" s="164">
        <v>0</v>
      </c>
      <c r="AF384" s="164">
        <v>0</v>
      </c>
      <c r="AG384" s="164">
        <v>0</v>
      </c>
      <c r="AH384" s="164">
        <v>0</v>
      </c>
      <c r="AI384" s="164">
        <v>0</v>
      </c>
      <c r="AJ384" s="164">
        <v>0</v>
      </c>
      <c r="AK384" s="164">
        <v>0</v>
      </c>
      <c r="AL384" s="164">
        <v>0</v>
      </c>
      <c r="AM384" s="164">
        <v>0</v>
      </c>
      <c r="AN384" s="164">
        <v>0</v>
      </c>
      <c r="AO384" s="164">
        <v>0</v>
      </c>
      <c r="AP384" s="164">
        <v>0</v>
      </c>
      <c r="AQ384" s="164">
        <v>0</v>
      </c>
      <c r="AR384" s="164">
        <v>0</v>
      </c>
      <c r="AS384" s="164">
        <v>0</v>
      </c>
      <c r="AT384" s="164">
        <v>0</v>
      </c>
      <c r="AU384" s="164">
        <v>0</v>
      </c>
      <c r="AV384" s="164">
        <v>0</v>
      </c>
      <c r="AW384" s="171">
        <v>0</v>
      </c>
      <c r="AX384" s="54">
        <v>0</v>
      </c>
      <c r="AY384" s="54">
        <v>0</v>
      </c>
      <c r="AZ384" s="54">
        <v>0</v>
      </c>
      <c r="BA384" s="54">
        <v>0</v>
      </c>
      <c r="BB384" s="54">
        <v>0</v>
      </c>
      <c r="BC384" s="54">
        <v>0</v>
      </c>
      <c r="BD384" s="54">
        <v>0</v>
      </c>
      <c r="BE384" s="54">
        <v>0</v>
      </c>
      <c r="BF384" s="54">
        <v>0</v>
      </c>
      <c r="BG384" s="54">
        <v>0</v>
      </c>
      <c r="BH384" s="54">
        <v>0</v>
      </c>
      <c r="BI384" s="54">
        <v>0</v>
      </c>
      <c r="BJ384" s="54">
        <v>0</v>
      </c>
      <c r="BK384" s="54">
        <v>0</v>
      </c>
      <c r="BL384" s="54">
        <v>0</v>
      </c>
      <c r="BM384" s="54">
        <v>0</v>
      </c>
      <c r="BN384" s="54">
        <v>0</v>
      </c>
      <c r="BO384" s="54">
        <v>0</v>
      </c>
      <c r="BP384" s="54">
        <v>0</v>
      </c>
      <c r="BQ384" s="54">
        <v>0</v>
      </c>
      <c r="BR384" s="55"/>
      <c r="BS384" s="53">
        <v>0</v>
      </c>
      <c r="BT384" s="53">
        <v>0</v>
      </c>
      <c r="BU384" s="53">
        <v>0</v>
      </c>
      <c r="BV384" s="53">
        <v>0</v>
      </c>
      <c r="BW384" s="53">
        <v>0</v>
      </c>
      <c r="BX384" s="53">
        <v>0</v>
      </c>
      <c r="BY384" s="53">
        <v>0</v>
      </c>
      <c r="BZ384" s="53">
        <v>0</v>
      </c>
      <c r="CA384" s="53">
        <v>0</v>
      </c>
      <c r="CB384" s="53">
        <v>0</v>
      </c>
      <c r="CC384" s="55">
        <v>0</v>
      </c>
      <c r="CD384" s="55">
        <v>0</v>
      </c>
      <c r="CE384" s="55">
        <v>0</v>
      </c>
      <c r="CF384" s="55">
        <v>0</v>
      </c>
      <c r="CG384" s="55">
        <v>0</v>
      </c>
      <c r="CH384" s="55">
        <v>0</v>
      </c>
      <c r="CI384" s="55">
        <v>0</v>
      </c>
      <c r="CJ384" s="55">
        <v>0</v>
      </c>
      <c r="CK384" s="55">
        <v>0</v>
      </c>
      <c r="CL384" s="55">
        <v>0</v>
      </c>
      <c r="CM384" s="55">
        <v>0</v>
      </c>
      <c r="CN384" s="55">
        <v>0</v>
      </c>
      <c r="CO384" s="55">
        <v>0</v>
      </c>
      <c r="CP384" s="55">
        <v>0</v>
      </c>
      <c r="CQ384" s="55">
        <v>0</v>
      </c>
      <c r="CR384" s="55">
        <v>0</v>
      </c>
      <c r="CS384" s="55">
        <v>0</v>
      </c>
      <c r="CT384" s="55">
        <v>0</v>
      </c>
      <c r="CU384" s="55">
        <v>0</v>
      </c>
      <c r="CV384" s="55">
        <v>0</v>
      </c>
      <c r="CW384" s="55">
        <v>0</v>
      </c>
      <c r="CX384" s="55">
        <v>0</v>
      </c>
      <c r="CY384" s="56">
        <v>0</v>
      </c>
      <c r="CZ384" s="55">
        <v>0</v>
      </c>
      <c r="DA384" s="55">
        <v>0</v>
      </c>
      <c r="DB384" s="55">
        <v>0</v>
      </c>
      <c r="DC384" s="55">
        <v>0</v>
      </c>
      <c r="DD384" s="55">
        <v>0</v>
      </c>
      <c r="DE384" s="55">
        <v>0</v>
      </c>
      <c r="DF384" s="55">
        <v>0</v>
      </c>
      <c r="DG384" s="55">
        <v>0</v>
      </c>
      <c r="DH384" s="55">
        <v>0</v>
      </c>
      <c r="DI384" s="55">
        <v>0</v>
      </c>
    </row>
    <row r="385" spans="1:113" hidden="1" outlineLevel="2">
      <c r="A385" s="1" t="s">
        <v>988</v>
      </c>
      <c r="B385" s="19" t="s">
        <v>360</v>
      </c>
      <c r="C385" s="53">
        <v>0</v>
      </c>
      <c r="D385" s="53">
        <v>0</v>
      </c>
      <c r="E385" s="53">
        <v>0</v>
      </c>
      <c r="F385" s="53">
        <v>0</v>
      </c>
      <c r="G385" s="53">
        <v>0</v>
      </c>
      <c r="H385" s="53">
        <v>0</v>
      </c>
      <c r="I385" s="53">
        <v>0</v>
      </c>
      <c r="J385" s="53">
        <v>0</v>
      </c>
      <c r="K385" s="53">
        <v>0</v>
      </c>
      <c r="L385" s="53">
        <v>0</v>
      </c>
      <c r="M385" s="53">
        <v>0</v>
      </c>
      <c r="N385" s="53">
        <v>0</v>
      </c>
      <c r="O385" s="53">
        <v>0</v>
      </c>
      <c r="P385" s="53">
        <v>0</v>
      </c>
      <c r="Q385" s="53">
        <v>0</v>
      </c>
      <c r="R385" s="53">
        <v>0</v>
      </c>
      <c r="S385" s="53">
        <v>0</v>
      </c>
      <c r="T385" s="53">
        <v>0</v>
      </c>
      <c r="U385" s="53">
        <v>0</v>
      </c>
      <c r="V385" s="53">
        <v>0</v>
      </c>
      <c r="W385" s="53">
        <v>0</v>
      </c>
      <c r="X385" s="53">
        <v>0</v>
      </c>
      <c r="Y385" s="53">
        <v>0</v>
      </c>
      <c r="Z385" s="53">
        <v>0</v>
      </c>
      <c r="AA385" s="164">
        <v>0</v>
      </c>
      <c r="AB385" s="164">
        <v>0</v>
      </c>
      <c r="AC385" s="164">
        <v>0</v>
      </c>
      <c r="AD385" s="164">
        <v>0</v>
      </c>
      <c r="AE385" s="164">
        <v>0</v>
      </c>
      <c r="AF385" s="164">
        <v>0</v>
      </c>
      <c r="AG385" s="164">
        <v>0</v>
      </c>
      <c r="AH385" s="164">
        <v>0</v>
      </c>
      <c r="AI385" s="164">
        <v>0</v>
      </c>
      <c r="AJ385" s="164">
        <v>0</v>
      </c>
      <c r="AK385" s="164">
        <v>0</v>
      </c>
      <c r="AL385" s="164">
        <v>0</v>
      </c>
      <c r="AM385" s="164">
        <v>0</v>
      </c>
      <c r="AN385" s="164">
        <v>0</v>
      </c>
      <c r="AO385" s="164">
        <v>0</v>
      </c>
      <c r="AP385" s="164">
        <v>0</v>
      </c>
      <c r="AQ385" s="164">
        <v>0</v>
      </c>
      <c r="AR385" s="164">
        <v>0</v>
      </c>
      <c r="AS385" s="164">
        <v>0</v>
      </c>
      <c r="AT385" s="164">
        <v>0</v>
      </c>
      <c r="AU385" s="164">
        <v>0</v>
      </c>
      <c r="AV385" s="164">
        <v>0</v>
      </c>
      <c r="AW385" s="171">
        <v>0</v>
      </c>
      <c r="AX385" s="54">
        <v>0</v>
      </c>
      <c r="AY385" s="54">
        <v>0</v>
      </c>
      <c r="AZ385" s="54">
        <v>0</v>
      </c>
      <c r="BA385" s="54">
        <v>0</v>
      </c>
      <c r="BB385" s="54">
        <v>0</v>
      </c>
      <c r="BC385" s="54">
        <v>0</v>
      </c>
      <c r="BD385" s="54">
        <v>0</v>
      </c>
      <c r="BE385" s="54">
        <v>0</v>
      </c>
      <c r="BF385" s="54">
        <v>0</v>
      </c>
      <c r="BG385" s="54">
        <v>0</v>
      </c>
      <c r="BH385" s="54">
        <v>0</v>
      </c>
      <c r="BI385" s="54">
        <v>0</v>
      </c>
      <c r="BJ385" s="54">
        <v>0</v>
      </c>
      <c r="BK385" s="54">
        <v>0</v>
      </c>
      <c r="BL385" s="54">
        <v>0</v>
      </c>
      <c r="BM385" s="54">
        <v>0</v>
      </c>
      <c r="BN385" s="54">
        <v>0</v>
      </c>
      <c r="BO385" s="54">
        <v>0</v>
      </c>
      <c r="BP385" s="54">
        <v>0</v>
      </c>
      <c r="BQ385" s="54">
        <v>0</v>
      </c>
      <c r="BR385" s="55"/>
      <c r="BS385" s="53">
        <v>0</v>
      </c>
      <c r="BT385" s="53">
        <v>0</v>
      </c>
      <c r="BU385" s="53">
        <v>0</v>
      </c>
      <c r="BV385" s="53">
        <v>0</v>
      </c>
      <c r="BW385" s="53">
        <v>0</v>
      </c>
      <c r="BX385" s="53">
        <v>0</v>
      </c>
      <c r="BY385" s="53">
        <v>0</v>
      </c>
      <c r="BZ385" s="53">
        <v>0</v>
      </c>
      <c r="CA385" s="53">
        <v>0</v>
      </c>
      <c r="CB385" s="53">
        <v>0</v>
      </c>
      <c r="CC385" s="55">
        <v>0</v>
      </c>
      <c r="CD385" s="55">
        <v>0</v>
      </c>
      <c r="CE385" s="55">
        <v>0</v>
      </c>
      <c r="CF385" s="55">
        <v>0</v>
      </c>
      <c r="CG385" s="55">
        <v>0</v>
      </c>
      <c r="CH385" s="55">
        <v>0</v>
      </c>
      <c r="CI385" s="55">
        <v>0</v>
      </c>
      <c r="CJ385" s="55">
        <v>0</v>
      </c>
      <c r="CK385" s="55">
        <v>0</v>
      </c>
      <c r="CL385" s="55">
        <v>0</v>
      </c>
      <c r="CM385" s="55">
        <v>0</v>
      </c>
      <c r="CN385" s="55">
        <v>0</v>
      </c>
      <c r="CO385" s="55">
        <v>0</v>
      </c>
      <c r="CP385" s="55">
        <v>0</v>
      </c>
      <c r="CQ385" s="55">
        <v>0</v>
      </c>
      <c r="CR385" s="55">
        <v>0</v>
      </c>
      <c r="CS385" s="55">
        <v>0</v>
      </c>
      <c r="CT385" s="55">
        <v>0</v>
      </c>
      <c r="CU385" s="55">
        <v>0</v>
      </c>
      <c r="CV385" s="55">
        <v>0</v>
      </c>
      <c r="CW385" s="55">
        <v>0</v>
      </c>
      <c r="CX385" s="55">
        <v>0</v>
      </c>
      <c r="CY385" s="56">
        <v>0</v>
      </c>
      <c r="CZ385" s="55">
        <v>0</v>
      </c>
      <c r="DA385" s="55">
        <v>0</v>
      </c>
      <c r="DB385" s="55">
        <v>0</v>
      </c>
      <c r="DC385" s="55">
        <v>0</v>
      </c>
      <c r="DD385" s="55">
        <v>0</v>
      </c>
      <c r="DE385" s="55">
        <v>0</v>
      </c>
      <c r="DF385" s="55">
        <v>0</v>
      </c>
      <c r="DG385" s="55">
        <v>0</v>
      </c>
      <c r="DH385" s="55">
        <v>0</v>
      </c>
      <c r="DI385" s="55">
        <v>0</v>
      </c>
    </row>
    <row r="386" spans="1:113" hidden="1" outlineLevel="2">
      <c r="A386" s="1" t="s">
        <v>989</v>
      </c>
      <c r="B386" s="19" t="s">
        <v>423</v>
      </c>
      <c r="C386" s="53">
        <v>0</v>
      </c>
      <c r="D386" s="53">
        <v>0</v>
      </c>
      <c r="E386" s="53">
        <v>0</v>
      </c>
      <c r="F386" s="53">
        <v>0</v>
      </c>
      <c r="G386" s="53">
        <v>0</v>
      </c>
      <c r="H386" s="53">
        <v>0</v>
      </c>
      <c r="I386" s="53">
        <v>0</v>
      </c>
      <c r="J386" s="53">
        <v>0</v>
      </c>
      <c r="K386" s="53">
        <v>0</v>
      </c>
      <c r="L386" s="53">
        <v>0</v>
      </c>
      <c r="M386" s="53">
        <v>0</v>
      </c>
      <c r="N386" s="53">
        <v>0</v>
      </c>
      <c r="O386" s="53">
        <v>0</v>
      </c>
      <c r="P386" s="53">
        <v>0</v>
      </c>
      <c r="Q386" s="53">
        <v>0</v>
      </c>
      <c r="R386" s="53">
        <v>0</v>
      </c>
      <c r="S386" s="53">
        <v>0</v>
      </c>
      <c r="T386" s="53">
        <v>0</v>
      </c>
      <c r="U386" s="53">
        <v>0</v>
      </c>
      <c r="V386" s="53">
        <v>0</v>
      </c>
      <c r="W386" s="53">
        <v>0</v>
      </c>
      <c r="X386" s="53">
        <v>0</v>
      </c>
      <c r="Y386" s="53">
        <v>0</v>
      </c>
      <c r="Z386" s="53">
        <v>0</v>
      </c>
      <c r="AA386" s="164">
        <v>0</v>
      </c>
      <c r="AB386" s="164">
        <v>0</v>
      </c>
      <c r="AC386" s="164">
        <v>0</v>
      </c>
      <c r="AD386" s="164">
        <v>0</v>
      </c>
      <c r="AE386" s="164">
        <v>0</v>
      </c>
      <c r="AF386" s="164">
        <v>0</v>
      </c>
      <c r="AG386" s="164">
        <v>0</v>
      </c>
      <c r="AH386" s="164">
        <v>0</v>
      </c>
      <c r="AI386" s="164">
        <v>0</v>
      </c>
      <c r="AJ386" s="164">
        <v>0</v>
      </c>
      <c r="AK386" s="164">
        <v>0</v>
      </c>
      <c r="AL386" s="164">
        <v>0</v>
      </c>
      <c r="AM386" s="164">
        <v>0</v>
      </c>
      <c r="AN386" s="164">
        <v>0</v>
      </c>
      <c r="AO386" s="164">
        <v>0</v>
      </c>
      <c r="AP386" s="164">
        <v>0</v>
      </c>
      <c r="AQ386" s="164">
        <v>0</v>
      </c>
      <c r="AR386" s="164">
        <v>0</v>
      </c>
      <c r="AS386" s="164">
        <v>0</v>
      </c>
      <c r="AT386" s="164">
        <v>0</v>
      </c>
      <c r="AU386" s="164">
        <v>0</v>
      </c>
      <c r="AV386" s="164">
        <v>0</v>
      </c>
      <c r="AW386" s="171">
        <v>0</v>
      </c>
      <c r="AX386" s="54">
        <v>0</v>
      </c>
      <c r="AY386" s="54">
        <v>0</v>
      </c>
      <c r="AZ386" s="54">
        <v>0</v>
      </c>
      <c r="BA386" s="54">
        <v>0</v>
      </c>
      <c r="BB386" s="54">
        <v>0</v>
      </c>
      <c r="BC386" s="54">
        <v>0</v>
      </c>
      <c r="BD386" s="54">
        <v>0</v>
      </c>
      <c r="BE386" s="54">
        <v>0</v>
      </c>
      <c r="BF386" s="54">
        <v>0</v>
      </c>
      <c r="BG386" s="54">
        <v>0</v>
      </c>
      <c r="BH386" s="54">
        <v>0</v>
      </c>
      <c r="BI386" s="54">
        <v>0</v>
      </c>
      <c r="BJ386" s="54">
        <v>0</v>
      </c>
      <c r="BK386" s="54">
        <v>0</v>
      </c>
      <c r="BL386" s="54">
        <v>0</v>
      </c>
      <c r="BM386" s="54">
        <v>0</v>
      </c>
      <c r="BN386" s="54">
        <v>0</v>
      </c>
      <c r="BO386" s="54">
        <v>0</v>
      </c>
      <c r="BP386" s="54">
        <v>0</v>
      </c>
      <c r="BQ386" s="54">
        <v>0</v>
      </c>
      <c r="BR386" s="55"/>
      <c r="BS386" s="53">
        <v>0</v>
      </c>
      <c r="BT386" s="53">
        <v>0</v>
      </c>
      <c r="BU386" s="53">
        <v>0</v>
      </c>
      <c r="BV386" s="53">
        <v>0</v>
      </c>
      <c r="BW386" s="53">
        <v>0</v>
      </c>
      <c r="BX386" s="53">
        <v>0</v>
      </c>
      <c r="BY386" s="53">
        <v>0</v>
      </c>
      <c r="BZ386" s="53">
        <v>0</v>
      </c>
      <c r="CA386" s="53">
        <v>0</v>
      </c>
      <c r="CB386" s="53">
        <v>0</v>
      </c>
      <c r="CC386" s="55">
        <v>0</v>
      </c>
      <c r="CD386" s="55">
        <v>0</v>
      </c>
      <c r="CE386" s="55">
        <v>0</v>
      </c>
      <c r="CF386" s="55">
        <v>0</v>
      </c>
      <c r="CG386" s="55">
        <v>0</v>
      </c>
      <c r="CH386" s="55">
        <v>0</v>
      </c>
      <c r="CI386" s="55">
        <v>0</v>
      </c>
      <c r="CJ386" s="55">
        <v>0</v>
      </c>
      <c r="CK386" s="55">
        <v>0</v>
      </c>
      <c r="CL386" s="55">
        <v>0</v>
      </c>
      <c r="CM386" s="55">
        <v>0</v>
      </c>
      <c r="CN386" s="55">
        <v>0</v>
      </c>
      <c r="CO386" s="55">
        <v>0</v>
      </c>
      <c r="CP386" s="55">
        <v>0</v>
      </c>
      <c r="CQ386" s="55">
        <v>0</v>
      </c>
      <c r="CR386" s="55">
        <v>0</v>
      </c>
      <c r="CS386" s="55">
        <v>0</v>
      </c>
      <c r="CT386" s="55">
        <v>0</v>
      </c>
      <c r="CU386" s="55">
        <v>0</v>
      </c>
      <c r="CV386" s="55">
        <v>0</v>
      </c>
      <c r="CW386" s="55">
        <v>0</v>
      </c>
      <c r="CX386" s="55">
        <v>0</v>
      </c>
      <c r="CY386" s="56">
        <v>0</v>
      </c>
      <c r="CZ386" s="55">
        <v>0</v>
      </c>
      <c r="DA386" s="55">
        <v>0</v>
      </c>
      <c r="DB386" s="55">
        <v>0</v>
      </c>
      <c r="DC386" s="55">
        <v>0</v>
      </c>
      <c r="DD386" s="55">
        <v>0</v>
      </c>
      <c r="DE386" s="55">
        <v>0</v>
      </c>
      <c r="DF386" s="55">
        <v>0</v>
      </c>
      <c r="DG386" s="55">
        <v>0</v>
      </c>
      <c r="DH386" s="55">
        <v>0</v>
      </c>
      <c r="DI386" s="55">
        <v>0</v>
      </c>
    </row>
    <row r="387" spans="1:113" s="24" customFormat="1" hidden="1" outlineLevel="2">
      <c r="A387" s="1" t="s">
        <v>990</v>
      </c>
      <c r="B387" s="24" t="s">
        <v>424</v>
      </c>
      <c r="C387" s="81">
        <v>2253</v>
      </c>
      <c r="D387" s="81">
        <v>2349</v>
      </c>
      <c r="E387" s="81">
        <v>2361</v>
      </c>
      <c r="F387" s="81">
        <v>2454</v>
      </c>
      <c r="G387" s="81">
        <v>2572</v>
      </c>
      <c r="H387" s="81">
        <v>2671</v>
      </c>
      <c r="I387" s="81">
        <v>2739</v>
      </c>
      <c r="J387" s="81">
        <v>2958</v>
      </c>
      <c r="K387" s="81">
        <v>3068</v>
      </c>
      <c r="L387" s="81">
        <v>3255</v>
      </c>
      <c r="M387" s="81">
        <v>3259</v>
      </c>
      <c r="N387" s="81">
        <v>3485</v>
      </c>
      <c r="O387" s="81">
        <v>3551</v>
      </c>
      <c r="P387" s="81">
        <v>3899</v>
      </c>
      <c r="Q387" s="81">
        <v>4008</v>
      </c>
      <c r="R387" s="81">
        <v>5073</v>
      </c>
      <c r="S387" s="81">
        <v>5643</v>
      </c>
      <c r="T387" s="81">
        <v>6062</v>
      </c>
      <c r="U387" s="81">
        <v>5806</v>
      </c>
      <c r="V387" s="81">
        <v>6177</v>
      </c>
      <c r="W387" s="81">
        <v>6468</v>
      </c>
      <c r="X387" s="81">
        <v>6644</v>
      </c>
      <c r="Y387" s="81">
        <v>6513</v>
      </c>
      <c r="Z387" s="81">
        <v>6862</v>
      </c>
      <c r="AA387" s="166">
        <v>7082</v>
      </c>
      <c r="AB387" s="166">
        <v>7444</v>
      </c>
      <c r="AC387" s="166">
        <v>7647</v>
      </c>
      <c r="AD387" s="597">
        <v>7901</v>
      </c>
      <c r="AE387" s="166">
        <v>7926</v>
      </c>
      <c r="AF387" s="166">
        <v>8427</v>
      </c>
      <c r="AG387" s="166">
        <v>8508</v>
      </c>
      <c r="AH387" s="166">
        <v>8710</v>
      </c>
      <c r="AI387" s="166">
        <v>8824</v>
      </c>
      <c r="AJ387" s="166">
        <v>9257</v>
      </c>
      <c r="AK387" s="166">
        <v>9085</v>
      </c>
      <c r="AL387" s="166">
        <v>9186.4247240618115</v>
      </c>
      <c r="AM387" s="166">
        <v>9037.5752759381903</v>
      </c>
      <c r="AN387" s="166">
        <v>9350</v>
      </c>
      <c r="AO387" s="166">
        <v>9260</v>
      </c>
      <c r="AP387" s="166">
        <v>9600</v>
      </c>
      <c r="AQ387" s="166">
        <v>9702</v>
      </c>
      <c r="AR387" s="166">
        <v>9748</v>
      </c>
      <c r="AS387" s="166">
        <v>9725</v>
      </c>
      <c r="AT387" s="166">
        <v>11637</v>
      </c>
      <c r="AU387" s="166">
        <v>11419</v>
      </c>
      <c r="AV387" s="166">
        <v>11404</v>
      </c>
      <c r="AW387" s="167">
        <v>11420</v>
      </c>
      <c r="AX387" s="82">
        <v>11782.432648260907</v>
      </c>
      <c r="AY387" s="82">
        <v>11720.117583930663</v>
      </c>
      <c r="AZ387" s="82">
        <v>12026.143722893627</v>
      </c>
      <c r="BA387" s="82">
        <v>11911.167182628626</v>
      </c>
      <c r="BB387" s="82">
        <v>12166.741414447944</v>
      </c>
      <c r="BC387" s="82">
        <v>12079.826566952561</v>
      </c>
      <c r="BD387" s="82">
        <v>12374.658709078911</v>
      </c>
      <c r="BE387" s="82">
        <v>12369.474316284206</v>
      </c>
      <c r="BF387" s="82">
        <v>12674.897568306787</v>
      </c>
      <c r="BG387" s="82">
        <v>12603.08010221224</v>
      </c>
      <c r="BH387" s="82">
        <v>13013.928174689809</v>
      </c>
      <c r="BI387" s="82">
        <v>13016.84668660281</v>
      </c>
      <c r="BJ387" s="82">
        <v>13443.375119344175</v>
      </c>
      <c r="BK387" s="82">
        <v>13449.867949847343</v>
      </c>
      <c r="BL387" s="82">
        <v>13861.725379313444</v>
      </c>
      <c r="BM387" s="82">
        <v>13947.107869669504</v>
      </c>
      <c r="BN387" s="82">
        <v>14388.210495971736</v>
      </c>
      <c r="BO387" s="82">
        <v>14408.266574536148</v>
      </c>
      <c r="BP387" s="82">
        <v>14897.832113785178</v>
      </c>
      <c r="BQ387" s="82">
        <v>14919.026924207235</v>
      </c>
      <c r="BR387" s="82"/>
      <c r="BS387" s="81">
        <v>3249</v>
      </c>
      <c r="BT387" s="81">
        <v>2981</v>
      </c>
      <c r="BU387" s="81">
        <v>2844</v>
      </c>
      <c r="BV387" s="81">
        <v>3164</v>
      </c>
      <c r="BW387" s="81">
        <v>3397</v>
      </c>
      <c r="BX387" s="81">
        <v>3392</v>
      </c>
      <c r="BY387" s="81">
        <v>3397</v>
      </c>
      <c r="BZ387" s="81">
        <v>3527</v>
      </c>
      <c r="CA387" s="81">
        <v>3719</v>
      </c>
      <c r="CB387" s="81">
        <v>4474</v>
      </c>
      <c r="CC387" s="82">
        <v>4710</v>
      </c>
      <c r="CD387" s="82">
        <v>5026</v>
      </c>
      <c r="CE387" s="82">
        <v>5410</v>
      </c>
      <c r="CF387" s="82">
        <v>6026</v>
      </c>
      <c r="CG387" s="82">
        <v>6514</v>
      </c>
      <c r="CH387" s="82">
        <v>7036</v>
      </c>
      <c r="CI387" s="82">
        <v>7907</v>
      </c>
      <c r="CJ387" s="82">
        <v>10716</v>
      </c>
      <c r="CK387" s="82">
        <v>11868</v>
      </c>
      <c r="CL387" s="82">
        <v>12645</v>
      </c>
      <c r="CM387" s="82">
        <v>13157</v>
      </c>
      <c r="CN387" s="82">
        <v>13944</v>
      </c>
      <c r="CO387" s="82">
        <v>15091</v>
      </c>
      <c r="CP387" s="82">
        <v>15827</v>
      </c>
      <c r="CQ387" s="82">
        <v>16935</v>
      </c>
      <c r="CR387" s="82">
        <v>17534</v>
      </c>
      <c r="CS387" s="82">
        <v>18342</v>
      </c>
      <c r="CT387" s="82">
        <v>18224</v>
      </c>
      <c r="CU387" s="82">
        <v>18610</v>
      </c>
      <c r="CV387" s="82">
        <v>19302</v>
      </c>
      <c r="CW387" s="82">
        <v>19473</v>
      </c>
      <c r="CX387" s="82">
        <v>23056</v>
      </c>
      <c r="CY387" s="83">
        <v>22824</v>
      </c>
      <c r="CZ387" s="82">
        <v>23502.55023219157</v>
      </c>
      <c r="DA387" s="82">
        <v>23937.310905522252</v>
      </c>
      <c r="DB387" s="82">
        <v>24246.567981400505</v>
      </c>
      <c r="DC387" s="82">
        <v>24744.133025363117</v>
      </c>
      <c r="DD387" s="82">
        <v>25277.977670519027</v>
      </c>
      <c r="DE387" s="82">
        <v>26030.774861292619</v>
      </c>
      <c r="DF387" s="82">
        <v>26893.243069191518</v>
      </c>
      <c r="DG387" s="82">
        <v>27808.833248982948</v>
      </c>
      <c r="DH387" s="82">
        <v>28796.477070507884</v>
      </c>
      <c r="DI387" s="82">
        <v>29816.859037992414</v>
      </c>
    </row>
    <row r="388" spans="1:113" hidden="1" outlineLevel="2">
      <c r="A388" s="1" t="s">
        <v>991</v>
      </c>
      <c r="B388" s="19" t="s">
        <v>526</v>
      </c>
      <c r="C388" s="55">
        <v>0</v>
      </c>
      <c r="D388" s="55">
        <v>0</v>
      </c>
      <c r="E388" s="55">
        <v>0</v>
      </c>
      <c r="F388" s="55">
        <v>0</v>
      </c>
      <c r="G388" s="55">
        <v>0</v>
      </c>
      <c r="H388" s="55">
        <v>0</v>
      </c>
      <c r="I388" s="55">
        <v>0</v>
      </c>
      <c r="J388" s="55">
        <v>0</v>
      </c>
      <c r="K388" s="55">
        <v>0</v>
      </c>
      <c r="L388" s="55">
        <v>0</v>
      </c>
      <c r="M388" s="55">
        <v>0</v>
      </c>
      <c r="N388" s="55">
        <v>0</v>
      </c>
      <c r="O388" s="55">
        <v>0</v>
      </c>
      <c r="P388" s="55">
        <v>0</v>
      </c>
      <c r="Q388" s="55">
        <v>0</v>
      </c>
      <c r="R388" s="55">
        <v>-530</v>
      </c>
      <c r="S388" s="55">
        <v>115</v>
      </c>
      <c r="T388" s="55">
        <v>96</v>
      </c>
      <c r="U388" s="55">
        <v>-42</v>
      </c>
      <c r="V388" s="55">
        <v>-48</v>
      </c>
      <c r="W388" s="55">
        <v>-3</v>
      </c>
      <c r="X388" s="55">
        <v>-14</v>
      </c>
      <c r="Y388" s="55">
        <v>-21</v>
      </c>
      <c r="Z388" s="55">
        <v>-10</v>
      </c>
      <c r="AA388" s="55">
        <v>0</v>
      </c>
      <c r="AB388" s="55">
        <v>10</v>
      </c>
      <c r="AC388" s="55">
        <v>0</v>
      </c>
      <c r="AD388" s="55">
        <v>-29</v>
      </c>
      <c r="AE388" s="55">
        <v>25</v>
      </c>
      <c r="AF388" s="55">
        <v>-1</v>
      </c>
      <c r="AG388" s="55">
        <v>1</v>
      </c>
      <c r="AH388" s="55">
        <v>-2</v>
      </c>
      <c r="AI388" s="55">
        <v>2</v>
      </c>
      <c r="AJ388" s="55">
        <v>0</v>
      </c>
      <c r="AK388" s="55">
        <v>0</v>
      </c>
      <c r="AL388" s="55">
        <v>-52.424724061811503</v>
      </c>
      <c r="AM388" s="55">
        <v>-51.575275938190316</v>
      </c>
      <c r="AN388" s="55">
        <v>-57</v>
      </c>
      <c r="AO388" s="55">
        <v>0</v>
      </c>
      <c r="AP388" s="55">
        <v>-229</v>
      </c>
      <c r="AQ388" s="55">
        <v>-234</v>
      </c>
      <c r="AR388" s="55">
        <v>0</v>
      </c>
      <c r="AS388" s="55">
        <v>0</v>
      </c>
      <c r="AT388" s="55">
        <v>0</v>
      </c>
      <c r="AU388" s="55">
        <v>0</v>
      </c>
      <c r="AV388" s="55">
        <v>0</v>
      </c>
      <c r="AW388" s="56">
        <v>0</v>
      </c>
      <c r="AX388" s="54">
        <v>0</v>
      </c>
      <c r="AY388" s="54">
        <v>0</v>
      </c>
      <c r="AZ388" s="54">
        <v>0</v>
      </c>
      <c r="BA388" s="54">
        <v>0</v>
      </c>
      <c r="BB388" s="54">
        <v>0</v>
      </c>
      <c r="BC388" s="54">
        <v>0</v>
      </c>
      <c r="BD388" s="54">
        <v>0</v>
      </c>
      <c r="BE388" s="54">
        <v>0</v>
      </c>
      <c r="BF388" s="54">
        <v>0</v>
      </c>
      <c r="BG388" s="54">
        <v>0</v>
      </c>
      <c r="BH388" s="54">
        <v>0</v>
      </c>
      <c r="BI388" s="54">
        <v>0</v>
      </c>
      <c r="BJ388" s="54">
        <v>0</v>
      </c>
      <c r="BK388" s="54">
        <v>0</v>
      </c>
      <c r="BL388" s="54">
        <v>0</v>
      </c>
      <c r="BM388" s="54">
        <v>0</v>
      </c>
      <c r="BN388" s="54">
        <v>0</v>
      </c>
      <c r="BO388" s="54">
        <v>0</v>
      </c>
      <c r="BP388" s="54">
        <v>0</v>
      </c>
      <c r="BQ388" s="54">
        <v>0</v>
      </c>
      <c r="BR388" s="55"/>
      <c r="BS388" s="55">
        <v>0</v>
      </c>
      <c r="BT388" s="55">
        <v>0</v>
      </c>
      <c r="BU388" s="55">
        <v>0</v>
      </c>
      <c r="BV388" s="55">
        <v>0</v>
      </c>
      <c r="BW388" s="55">
        <v>0</v>
      </c>
      <c r="BX388" s="55">
        <v>0</v>
      </c>
      <c r="BY388" s="55">
        <v>0</v>
      </c>
      <c r="BZ388" s="55">
        <v>0</v>
      </c>
      <c r="CA388" s="55">
        <v>0</v>
      </c>
      <c r="CB388" s="55">
        <v>0</v>
      </c>
      <c r="CC388" s="55">
        <v>0</v>
      </c>
      <c r="CD388" s="55">
        <v>0</v>
      </c>
      <c r="CE388" s="55">
        <v>0</v>
      </c>
      <c r="CF388" s="55">
        <v>0</v>
      </c>
      <c r="CG388" s="55">
        <v>0</v>
      </c>
      <c r="CH388" s="55">
        <v>0</v>
      </c>
      <c r="CI388" s="55">
        <v>0</v>
      </c>
      <c r="CJ388" s="55">
        <v>-415</v>
      </c>
      <c r="CK388" s="55">
        <v>54</v>
      </c>
      <c r="CL388" s="55">
        <v>-51</v>
      </c>
      <c r="CM388" s="55">
        <v>-35</v>
      </c>
      <c r="CN388" s="55">
        <v>-10</v>
      </c>
      <c r="CO388" s="55">
        <v>10</v>
      </c>
      <c r="CP388" s="55">
        <v>-4</v>
      </c>
      <c r="CQ388" s="55">
        <v>0</v>
      </c>
      <c r="CR388" s="55">
        <v>0</v>
      </c>
      <c r="CS388" s="55">
        <v>0</v>
      </c>
      <c r="CT388" s="55">
        <v>-104.00000000000182</v>
      </c>
      <c r="CU388" s="55">
        <v>-57</v>
      </c>
      <c r="CV388" s="55">
        <v>-463</v>
      </c>
      <c r="CW388" s="55">
        <v>0</v>
      </c>
      <c r="CX388" s="55">
        <v>0</v>
      </c>
      <c r="CY388" s="56">
        <v>0</v>
      </c>
      <c r="CZ388" s="55">
        <v>0</v>
      </c>
      <c r="DA388" s="55">
        <v>0</v>
      </c>
      <c r="DB388" s="55">
        <v>0</v>
      </c>
      <c r="DC388" s="55">
        <v>0</v>
      </c>
      <c r="DD388" s="55">
        <v>0</v>
      </c>
      <c r="DE388" s="55">
        <v>0</v>
      </c>
      <c r="DF388" s="55">
        <v>0</v>
      </c>
      <c r="DG388" s="55">
        <v>0</v>
      </c>
      <c r="DH388" s="55">
        <v>0</v>
      </c>
      <c r="DI388" s="55">
        <v>0</v>
      </c>
    </row>
    <row r="389" spans="1:113" s="24" customFormat="1" hidden="1" outlineLevel="2">
      <c r="A389" s="1" t="s">
        <v>992</v>
      </c>
      <c r="B389" s="24" t="s">
        <v>527</v>
      </c>
      <c r="C389" s="81">
        <v>2253</v>
      </c>
      <c r="D389" s="81">
        <v>2349</v>
      </c>
      <c r="E389" s="81">
        <v>2361</v>
      </c>
      <c r="F389" s="81">
        <v>2454</v>
      </c>
      <c r="G389" s="81">
        <v>2572</v>
      </c>
      <c r="H389" s="81">
        <v>2671</v>
      </c>
      <c r="I389" s="81">
        <v>2739</v>
      </c>
      <c r="J389" s="81">
        <v>2958</v>
      </c>
      <c r="K389" s="81">
        <v>3068</v>
      </c>
      <c r="L389" s="81">
        <v>3255</v>
      </c>
      <c r="M389" s="81">
        <v>3259</v>
      </c>
      <c r="N389" s="81">
        <v>3485</v>
      </c>
      <c r="O389" s="81">
        <v>3551</v>
      </c>
      <c r="P389" s="81">
        <v>3899</v>
      </c>
      <c r="Q389" s="81">
        <v>4008</v>
      </c>
      <c r="R389" s="81">
        <v>4543</v>
      </c>
      <c r="S389" s="81">
        <v>5758</v>
      </c>
      <c r="T389" s="81">
        <v>6158</v>
      </c>
      <c r="U389" s="81">
        <v>5764</v>
      </c>
      <c r="V389" s="81">
        <v>6129</v>
      </c>
      <c r="W389" s="81">
        <v>6465</v>
      </c>
      <c r="X389" s="81">
        <v>6630</v>
      </c>
      <c r="Y389" s="81">
        <v>6492</v>
      </c>
      <c r="Z389" s="81">
        <v>6852</v>
      </c>
      <c r="AA389" s="166">
        <v>7082</v>
      </c>
      <c r="AB389" s="166">
        <v>7454</v>
      </c>
      <c r="AC389" s="166">
        <v>7647</v>
      </c>
      <c r="AD389" s="166">
        <v>7872</v>
      </c>
      <c r="AE389" s="166">
        <v>7951</v>
      </c>
      <c r="AF389" s="166">
        <v>8426</v>
      </c>
      <c r="AG389" s="166">
        <v>8509</v>
      </c>
      <c r="AH389" s="166">
        <v>8708</v>
      </c>
      <c r="AI389" s="166">
        <v>8826</v>
      </c>
      <c r="AJ389" s="166">
        <v>9257</v>
      </c>
      <c r="AK389" s="166">
        <v>9085</v>
      </c>
      <c r="AL389" s="166">
        <v>9134</v>
      </c>
      <c r="AM389" s="166">
        <v>8986</v>
      </c>
      <c r="AN389" s="166">
        <v>9293</v>
      </c>
      <c r="AO389" s="166">
        <v>9260</v>
      </c>
      <c r="AP389" s="166">
        <v>9371</v>
      </c>
      <c r="AQ389" s="166">
        <v>9468</v>
      </c>
      <c r="AR389" s="166">
        <v>9748</v>
      </c>
      <c r="AS389" s="166">
        <v>9725</v>
      </c>
      <c r="AT389" s="166">
        <v>11637</v>
      </c>
      <c r="AU389" s="166">
        <v>11419</v>
      </c>
      <c r="AV389" s="166">
        <v>11404</v>
      </c>
      <c r="AW389" s="167">
        <v>11420</v>
      </c>
      <c r="AX389" s="82">
        <v>11782.432648260907</v>
      </c>
      <c r="AY389" s="82">
        <v>11720.117583930663</v>
      </c>
      <c r="AZ389" s="82">
        <v>12026.143722893627</v>
      </c>
      <c r="BA389" s="82">
        <v>11911.167182628626</v>
      </c>
      <c r="BB389" s="82">
        <v>12166.741414447944</v>
      </c>
      <c r="BC389" s="82">
        <v>12079.826566952561</v>
      </c>
      <c r="BD389" s="82">
        <v>12374.658709078911</v>
      </c>
      <c r="BE389" s="82">
        <v>12369.474316284206</v>
      </c>
      <c r="BF389" s="82">
        <v>12674.897568306787</v>
      </c>
      <c r="BG389" s="82">
        <v>12603.08010221224</v>
      </c>
      <c r="BH389" s="82">
        <v>13013.928174689809</v>
      </c>
      <c r="BI389" s="82">
        <v>13016.84668660281</v>
      </c>
      <c r="BJ389" s="82">
        <v>13443.375119344175</v>
      </c>
      <c r="BK389" s="82">
        <v>13449.867949847343</v>
      </c>
      <c r="BL389" s="82">
        <v>13861.725379313444</v>
      </c>
      <c r="BM389" s="82">
        <v>13947.107869669504</v>
      </c>
      <c r="BN389" s="82">
        <v>14388.210495971736</v>
      </c>
      <c r="BO389" s="82">
        <v>14408.266574536148</v>
      </c>
      <c r="BP389" s="82">
        <v>14897.832113785178</v>
      </c>
      <c r="BQ389" s="82">
        <v>14919.026924207235</v>
      </c>
      <c r="BR389" s="82"/>
      <c r="BS389" s="81">
        <v>3249</v>
      </c>
      <c r="BT389" s="81">
        <v>2981</v>
      </c>
      <c r="BU389" s="81">
        <v>2844</v>
      </c>
      <c r="BV389" s="81">
        <v>3164</v>
      </c>
      <c r="BW389" s="81">
        <v>3397</v>
      </c>
      <c r="BX389" s="81">
        <v>3392</v>
      </c>
      <c r="BY389" s="81">
        <v>3397</v>
      </c>
      <c r="BZ389" s="81">
        <v>3527</v>
      </c>
      <c r="CA389" s="81">
        <v>3719</v>
      </c>
      <c r="CB389" s="81">
        <v>4474</v>
      </c>
      <c r="CC389" s="82">
        <v>4710</v>
      </c>
      <c r="CD389" s="82">
        <v>5026</v>
      </c>
      <c r="CE389" s="82">
        <v>5410</v>
      </c>
      <c r="CF389" s="82">
        <v>6026</v>
      </c>
      <c r="CG389" s="82">
        <v>6514</v>
      </c>
      <c r="CH389" s="82">
        <v>7036</v>
      </c>
      <c r="CI389" s="82">
        <v>7907</v>
      </c>
      <c r="CJ389" s="82">
        <v>10301</v>
      </c>
      <c r="CK389" s="82">
        <v>11922</v>
      </c>
      <c r="CL389" s="82">
        <v>12594</v>
      </c>
      <c r="CM389" s="82">
        <v>13122</v>
      </c>
      <c r="CN389" s="82">
        <v>13934</v>
      </c>
      <c r="CO389" s="82">
        <v>15101</v>
      </c>
      <c r="CP389" s="82">
        <v>15823</v>
      </c>
      <c r="CQ389" s="82">
        <v>16935</v>
      </c>
      <c r="CR389" s="82">
        <v>17534</v>
      </c>
      <c r="CS389" s="82">
        <v>18342</v>
      </c>
      <c r="CT389" s="82">
        <v>18120</v>
      </c>
      <c r="CU389" s="82">
        <v>18553</v>
      </c>
      <c r="CV389" s="82">
        <v>18839</v>
      </c>
      <c r="CW389" s="82">
        <v>19473</v>
      </c>
      <c r="CX389" s="82">
        <v>23056</v>
      </c>
      <c r="CY389" s="83">
        <v>22824</v>
      </c>
      <c r="CZ389" s="82">
        <v>23502.55023219157</v>
      </c>
      <c r="DA389" s="82">
        <v>23937.310905522252</v>
      </c>
      <c r="DB389" s="82">
        <v>24246.567981400505</v>
      </c>
      <c r="DC389" s="82">
        <v>24744.133025363117</v>
      </c>
      <c r="DD389" s="82">
        <v>25277.977670519027</v>
      </c>
      <c r="DE389" s="82">
        <v>26030.774861292619</v>
      </c>
      <c r="DF389" s="82">
        <v>26893.243069191518</v>
      </c>
      <c r="DG389" s="82">
        <v>27808.833248982948</v>
      </c>
      <c r="DH389" s="82">
        <v>28796.477070507884</v>
      </c>
      <c r="DI389" s="82">
        <v>29816.859037992414</v>
      </c>
    </row>
    <row r="390" spans="1:113" outlineLevel="1" collapsed="1">
      <c r="C390" s="55"/>
      <c r="D390" s="55"/>
      <c r="E390" s="55"/>
      <c r="F390" s="55"/>
      <c r="G390" s="55"/>
      <c r="H390" s="55"/>
      <c r="I390" s="55"/>
      <c r="J390" s="55"/>
      <c r="K390" s="55"/>
      <c r="L390" s="55"/>
      <c r="M390" s="55"/>
      <c r="N390" s="55"/>
      <c r="O390" s="55"/>
      <c r="P390" s="55"/>
      <c r="Q390" s="55"/>
      <c r="R390" s="55"/>
      <c r="S390" s="55"/>
      <c r="T390" s="55"/>
      <c r="U390" s="55"/>
      <c r="V390" s="55"/>
      <c r="W390" s="55"/>
      <c r="X390" s="55"/>
      <c r="Y390" s="55"/>
      <c r="Z390" s="55"/>
      <c r="AA390" s="55"/>
      <c r="AB390" s="55"/>
      <c r="AC390" s="55"/>
      <c r="AD390" s="55"/>
      <c r="AE390" s="55"/>
      <c r="AF390" s="144"/>
      <c r="AG390" s="144"/>
      <c r="AH390" s="144"/>
      <c r="AI390" s="144"/>
      <c r="AJ390" s="55"/>
      <c r="AK390" s="55"/>
      <c r="AL390" s="55"/>
      <c r="AM390" s="55"/>
      <c r="AN390" s="55"/>
      <c r="AO390" s="55"/>
      <c r="AP390" s="55"/>
      <c r="AQ390" s="55"/>
      <c r="AR390" s="55"/>
      <c r="AS390" s="55"/>
      <c r="AT390" s="55"/>
      <c r="AU390" s="55"/>
      <c r="AV390" s="55"/>
      <c r="AW390" s="56"/>
      <c r="AX390" s="55"/>
      <c r="AY390" s="57"/>
      <c r="AZ390" s="55"/>
      <c r="BA390" s="55"/>
      <c r="BB390" s="55"/>
      <c r="BC390" s="55"/>
      <c r="BD390" s="55"/>
      <c r="BE390" s="55"/>
      <c r="BF390" s="55"/>
      <c r="BG390" s="55"/>
      <c r="BH390" s="55"/>
      <c r="BI390" s="55"/>
      <c r="BJ390" s="55"/>
      <c r="BK390" s="55"/>
      <c r="BL390" s="55"/>
      <c r="BM390" s="55"/>
      <c r="BN390" s="55"/>
      <c r="BO390" s="55"/>
      <c r="BP390" s="55"/>
      <c r="BQ390" s="55"/>
      <c r="BR390" s="55"/>
      <c r="BS390" s="55"/>
      <c r="BT390" s="55"/>
      <c r="BU390" s="55"/>
      <c r="BV390" s="55"/>
      <c r="BW390" s="55"/>
      <c r="BX390" s="55"/>
      <c r="BY390" s="55"/>
      <c r="BZ390" s="55"/>
      <c r="CA390" s="55"/>
      <c r="CB390" s="55"/>
      <c r="CC390" s="55"/>
      <c r="CD390" s="55"/>
      <c r="CE390" s="55"/>
      <c r="CF390" s="55"/>
      <c r="CG390" s="55"/>
      <c r="CH390" s="55"/>
      <c r="CI390" s="55"/>
      <c r="CJ390" s="55"/>
      <c r="CK390" s="55"/>
      <c r="CL390" s="55"/>
      <c r="CM390" s="55"/>
      <c r="CN390" s="55"/>
      <c r="CO390" s="55"/>
      <c r="CP390" s="55"/>
      <c r="CQ390" s="55"/>
      <c r="CR390" s="55"/>
      <c r="CS390" s="55"/>
      <c r="CT390" s="45"/>
      <c r="CU390" s="45"/>
      <c r="CV390" s="45"/>
      <c r="CW390" s="45"/>
      <c r="CX390" s="45"/>
      <c r="CY390" s="56"/>
      <c r="CZ390" s="55"/>
      <c r="DA390" s="55"/>
      <c r="DB390" s="55"/>
    </row>
    <row r="391" spans="1:113" s="5" customFormat="1" ht="12.95" customHeight="1" outlineLevel="1">
      <c r="A391" s="96"/>
      <c r="B391" s="6" t="s">
        <v>640</v>
      </c>
      <c r="C391" s="568" t="s">
        <v>797</v>
      </c>
      <c r="D391" s="568" t="s">
        <v>797</v>
      </c>
      <c r="E391" s="568" t="s">
        <v>797</v>
      </c>
      <c r="F391" s="568" t="s">
        <v>797</v>
      </c>
      <c r="G391" s="568" t="s">
        <v>797</v>
      </c>
      <c r="H391" s="568" t="s">
        <v>797</v>
      </c>
      <c r="I391" s="568" t="s">
        <v>797</v>
      </c>
      <c r="J391" s="568" t="s">
        <v>797</v>
      </c>
      <c r="K391" s="568" t="s">
        <v>797</v>
      </c>
      <c r="L391" s="568" t="s">
        <v>797</v>
      </c>
      <c r="M391" s="97" t="s">
        <v>797</v>
      </c>
      <c r="N391" s="97" t="s">
        <v>797</v>
      </c>
      <c r="O391" s="97" t="s">
        <v>797</v>
      </c>
      <c r="P391" s="97" t="s">
        <v>797</v>
      </c>
      <c r="Q391" s="97" t="s">
        <v>797</v>
      </c>
      <c r="R391" s="97" t="s">
        <v>797</v>
      </c>
      <c r="S391" s="97" t="s">
        <v>797</v>
      </c>
      <c r="T391" s="100" t="s">
        <v>797</v>
      </c>
      <c r="U391" s="97" t="s">
        <v>797</v>
      </c>
      <c r="V391" s="97" t="s">
        <v>797</v>
      </c>
      <c r="W391" s="97" t="s">
        <v>797</v>
      </c>
      <c r="X391" s="97" t="s">
        <v>797</v>
      </c>
      <c r="Y391" s="100" t="s">
        <v>797</v>
      </c>
      <c r="Z391" s="100" t="s">
        <v>797</v>
      </c>
      <c r="AA391" s="100" t="s">
        <v>797</v>
      </c>
      <c r="AB391" s="100" t="s">
        <v>797</v>
      </c>
      <c r="AC391" s="100" t="s">
        <v>797</v>
      </c>
      <c r="AD391" s="100" t="s">
        <v>797</v>
      </c>
      <c r="AE391" s="100" t="s">
        <v>797</v>
      </c>
      <c r="AF391" s="100" t="s">
        <v>797</v>
      </c>
      <c r="AG391" s="100" t="s">
        <v>797</v>
      </c>
      <c r="AH391" s="100" t="s">
        <v>797</v>
      </c>
      <c r="AI391" s="100" t="s">
        <v>797</v>
      </c>
      <c r="AJ391" s="100" t="s">
        <v>797</v>
      </c>
      <c r="AK391" s="100" t="s">
        <v>797</v>
      </c>
      <c r="AL391" s="100" t="s">
        <v>797</v>
      </c>
      <c r="AM391" s="100" t="s">
        <v>797</v>
      </c>
      <c r="AN391" s="100" t="s">
        <v>797</v>
      </c>
      <c r="AO391" s="100" t="s">
        <v>797</v>
      </c>
      <c r="AP391" s="100" t="s">
        <v>797</v>
      </c>
      <c r="AQ391" s="100" t="s">
        <v>797</v>
      </c>
      <c r="AR391" s="100" t="s">
        <v>797</v>
      </c>
      <c r="AS391" s="100" t="s">
        <v>797</v>
      </c>
      <c r="AT391" s="100" t="s">
        <v>797</v>
      </c>
      <c r="AU391" s="100" t="s">
        <v>797</v>
      </c>
      <c r="AV391" s="100" t="s">
        <v>797</v>
      </c>
      <c r="AW391" s="98" t="s">
        <v>797</v>
      </c>
      <c r="AX391" s="97" t="s">
        <v>797</v>
      </c>
      <c r="AY391" s="97" t="s">
        <v>797</v>
      </c>
      <c r="AZ391" s="97" t="s">
        <v>797</v>
      </c>
      <c r="BA391" s="97" t="s">
        <v>797</v>
      </c>
      <c r="BB391" s="97" t="s">
        <v>797</v>
      </c>
      <c r="BC391" s="97" t="s">
        <v>797</v>
      </c>
      <c r="BD391" s="97" t="s">
        <v>797</v>
      </c>
      <c r="BE391" s="97" t="s">
        <v>797</v>
      </c>
      <c r="BF391" s="97" t="s">
        <v>797</v>
      </c>
      <c r="BG391" s="97" t="s">
        <v>797</v>
      </c>
      <c r="BH391" s="97" t="s">
        <v>797</v>
      </c>
      <c r="BI391" s="97" t="s">
        <v>797</v>
      </c>
      <c r="BJ391" s="97" t="s">
        <v>797</v>
      </c>
      <c r="BK391" s="97" t="s">
        <v>797</v>
      </c>
      <c r="BL391" s="568" t="s">
        <v>797</v>
      </c>
      <c r="BM391" s="568" t="s">
        <v>797</v>
      </c>
      <c r="BN391" s="568" t="s">
        <v>797</v>
      </c>
      <c r="BO391" s="568" t="s">
        <v>797</v>
      </c>
      <c r="BP391" s="568" t="s">
        <v>797</v>
      </c>
      <c r="BQ391" s="568" t="s">
        <v>797</v>
      </c>
      <c r="BR391" s="99"/>
      <c r="BS391" s="568" t="s">
        <v>797</v>
      </c>
      <c r="BT391" s="568" t="s">
        <v>797</v>
      </c>
      <c r="BU391" s="568" t="s">
        <v>797</v>
      </c>
      <c r="BV391" s="568" t="s">
        <v>797</v>
      </c>
      <c r="BW391" s="568" t="s">
        <v>797</v>
      </c>
      <c r="BX391" s="568" t="s">
        <v>797</v>
      </c>
      <c r="BY391" s="568" t="s">
        <v>797</v>
      </c>
      <c r="BZ391" s="568" t="s">
        <v>797</v>
      </c>
      <c r="CA391" s="568" t="s">
        <v>797</v>
      </c>
      <c r="CB391" s="568" t="s">
        <v>797</v>
      </c>
      <c r="CC391" s="97" t="s">
        <v>797</v>
      </c>
      <c r="CD391" s="97" t="s">
        <v>797</v>
      </c>
      <c r="CE391" s="97" t="s">
        <v>797</v>
      </c>
      <c r="CF391" s="97" t="s">
        <v>797</v>
      </c>
      <c r="CG391" s="97" t="s">
        <v>797</v>
      </c>
      <c r="CH391" s="97" t="s">
        <v>797</v>
      </c>
      <c r="CI391" s="97" t="s">
        <v>797</v>
      </c>
      <c r="CJ391" s="97" t="s">
        <v>797</v>
      </c>
      <c r="CK391" s="97" t="s">
        <v>797</v>
      </c>
      <c r="CL391" s="97" t="s">
        <v>797</v>
      </c>
      <c r="CM391" s="100" t="s">
        <v>797</v>
      </c>
      <c r="CN391" s="100" t="s">
        <v>797</v>
      </c>
      <c r="CO391" s="100" t="s">
        <v>797</v>
      </c>
      <c r="CP391" s="100" t="s">
        <v>797</v>
      </c>
      <c r="CQ391" s="100" t="s">
        <v>797</v>
      </c>
      <c r="CR391" s="100" t="s">
        <v>797</v>
      </c>
      <c r="CS391" s="100" t="s">
        <v>797</v>
      </c>
      <c r="CT391" s="100" t="s">
        <v>797</v>
      </c>
      <c r="CU391" s="100" t="s">
        <v>797</v>
      </c>
      <c r="CV391" s="100" t="s">
        <v>797</v>
      </c>
      <c r="CW391" s="100" t="s">
        <v>797</v>
      </c>
      <c r="CX391" s="100" t="s">
        <v>797</v>
      </c>
      <c r="CY391" s="98" t="s">
        <v>797</v>
      </c>
      <c r="CZ391" s="97" t="s">
        <v>797</v>
      </c>
      <c r="DA391" s="97" t="s">
        <v>797</v>
      </c>
      <c r="DB391" s="97" t="s">
        <v>797</v>
      </c>
      <c r="DC391" s="97" t="s">
        <v>797</v>
      </c>
      <c r="DD391" s="97" t="s">
        <v>797</v>
      </c>
      <c r="DE391" s="97" t="s">
        <v>797</v>
      </c>
      <c r="DF391" s="97" t="s">
        <v>797</v>
      </c>
      <c r="DG391" s="568" t="s">
        <v>797</v>
      </c>
      <c r="DH391" s="568" t="s">
        <v>797</v>
      </c>
      <c r="DI391" s="568" t="s">
        <v>797</v>
      </c>
    </row>
    <row r="392" spans="1:113">
      <c r="C392" s="55"/>
      <c r="D392" s="55"/>
      <c r="E392" s="55"/>
      <c r="F392" s="55"/>
      <c r="G392" s="55"/>
      <c r="H392" s="55"/>
      <c r="I392" s="55"/>
      <c r="J392" s="55"/>
      <c r="K392" s="55"/>
      <c r="L392" s="55"/>
      <c r="M392" s="55"/>
      <c r="N392" s="55"/>
      <c r="O392" s="55"/>
      <c r="P392" s="55"/>
      <c r="Q392" s="55"/>
      <c r="R392" s="55"/>
      <c r="S392" s="55"/>
      <c r="T392" s="55"/>
      <c r="U392" s="55"/>
      <c r="V392" s="55"/>
      <c r="W392" s="55"/>
      <c r="X392" s="55"/>
      <c r="Y392" s="55"/>
      <c r="Z392" s="55"/>
      <c r="AA392" s="55"/>
      <c r="AB392" s="55"/>
      <c r="AC392" s="55"/>
      <c r="AD392" s="55"/>
      <c r="AE392" s="55"/>
      <c r="AF392" s="55"/>
      <c r="AG392" s="55"/>
      <c r="AH392" s="55"/>
      <c r="AI392" s="55"/>
      <c r="AJ392" s="55"/>
      <c r="AK392" s="55"/>
      <c r="AL392" s="55"/>
      <c r="AM392" s="55"/>
      <c r="AN392" s="55"/>
      <c r="AO392" s="55"/>
      <c r="AP392" s="55"/>
      <c r="AQ392" s="55"/>
      <c r="AR392" s="55"/>
      <c r="AS392" s="55"/>
      <c r="AT392" s="55"/>
      <c r="AU392" s="55"/>
      <c r="AV392" s="55"/>
      <c r="AW392" s="56"/>
      <c r="AX392" s="55"/>
      <c r="AY392" s="55"/>
      <c r="AZ392" s="55"/>
      <c r="BA392" s="55"/>
      <c r="BB392" s="55"/>
      <c r="BC392" s="55"/>
      <c r="BD392" s="55"/>
      <c r="BE392" s="55"/>
      <c r="BF392" s="55"/>
      <c r="BG392" s="55"/>
      <c r="BH392" s="55"/>
      <c r="BI392" s="55"/>
      <c r="BJ392" s="55"/>
      <c r="BK392" s="55"/>
      <c r="BL392" s="55"/>
      <c r="BM392" s="55"/>
      <c r="BN392" s="55"/>
      <c r="BO392" s="55"/>
      <c r="BP392" s="55"/>
      <c r="BQ392" s="55"/>
      <c r="BR392" s="55"/>
      <c r="BS392" s="55"/>
      <c r="BT392" s="55"/>
      <c r="BU392" s="55"/>
      <c r="BV392" s="55"/>
      <c r="BW392" s="55"/>
      <c r="BX392" s="55"/>
      <c r="BY392" s="55"/>
      <c r="BZ392" s="55"/>
      <c r="CA392" s="55"/>
      <c r="CB392" s="55"/>
      <c r="CC392" s="55"/>
      <c r="CD392" s="55"/>
      <c r="CE392" s="55"/>
      <c r="CF392" s="55"/>
      <c r="CG392" s="55"/>
      <c r="CH392" s="55"/>
      <c r="CI392" s="55"/>
      <c r="CJ392" s="55"/>
      <c r="CK392" s="55"/>
      <c r="CL392" s="55"/>
      <c r="CM392" s="55"/>
      <c r="CN392" s="55"/>
      <c r="CO392" s="55"/>
      <c r="CP392" s="55"/>
      <c r="CQ392" s="55"/>
      <c r="CR392" s="55"/>
      <c r="CS392" s="55"/>
      <c r="CT392" s="55"/>
      <c r="CU392" s="55"/>
      <c r="CV392" s="55"/>
      <c r="CW392" s="55"/>
      <c r="CX392" s="55"/>
      <c r="CY392" s="56"/>
      <c r="CZ392" s="55"/>
      <c r="DA392" s="55"/>
      <c r="DB392" s="55"/>
    </row>
    <row r="393" spans="1:113" s="36" customFormat="1" collapsed="1">
      <c r="A393" s="1" t="s">
        <v>993</v>
      </c>
      <c r="B393" s="2" t="s">
        <v>641</v>
      </c>
      <c r="C393" s="79">
        <v>2190</v>
      </c>
      <c r="D393" s="79">
        <v>2197</v>
      </c>
      <c r="E393" s="79">
        <v>2161</v>
      </c>
      <c r="F393" s="79">
        <v>2031</v>
      </c>
      <c r="G393" s="79">
        <v>2342</v>
      </c>
      <c r="H393" s="79">
        <v>2540</v>
      </c>
      <c r="I393" s="79">
        <v>2541</v>
      </c>
      <c r="J393" s="79">
        <v>2497</v>
      </c>
      <c r="K393" s="79">
        <v>2579</v>
      </c>
      <c r="L393" s="79">
        <v>2755</v>
      </c>
      <c r="M393" s="79">
        <v>2812</v>
      </c>
      <c r="N393" s="79">
        <v>3072</v>
      </c>
      <c r="O393" s="79">
        <v>3089</v>
      </c>
      <c r="P393" s="79">
        <v>3117</v>
      </c>
      <c r="Q393" s="79">
        <v>3317</v>
      </c>
      <c r="R393" s="79">
        <v>3408</v>
      </c>
      <c r="S393" s="79">
        <v>3342</v>
      </c>
      <c r="T393" s="79">
        <v>3630</v>
      </c>
      <c r="U393" s="79">
        <v>3561</v>
      </c>
      <c r="V393" s="79">
        <v>3562</v>
      </c>
      <c r="W393" s="79">
        <v>3452</v>
      </c>
      <c r="X393" s="79">
        <v>3461</v>
      </c>
      <c r="Y393" s="79">
        <v>3532</v>
      </c>
      <c r="Z393" s="79">
        <v>3427</v>
      </c>
      <c r="AA393" s="79">
        <v>3450</v>
      </c>
      <c r="AB393" s="79">
        <v>3704</v>
      </c>
      <c r="AC393" s="79">
        <v>3606</v>
      </c>
      <c r="AD393" s="79">
        <v>3826</v>
      </c>
      <c r="AE393" s="79">
        <v>3925</v>
      </c>
      <c r="AF393" s="79">
        <v>3993</v>
      </c>
      <c r="AG393" s="79">
        <v>3819</v>
      </c>
      <c r="AH393" s="79">
        <v>4125</v>
      </c>
      <c r="AI393" s="79">
        <v>3629</v>
      </c>
      <c r="AJ393" s="79">
        <v>3392</v>
      </c>
      <c r="AK393" s="79">
        <v>3188</v>
      </c>
      <c r="AL393" s="79">
        <v>2789.4349070100143</v>
      </c>
      <c r="AM393" s="79">
        <v>2565.5650929899857</v>
      </c>
      <c r="AN393" s="79">
        <v>2673</v>
      </c>
      <c r="AO393" s="79">
        <v>2478</v>
      </c>
      <c r="AP393" s="79">
        <v>2361</v>
      </c>
      <c r="AQ393" s="79">
        <v>2493</v>
      </c>
      <c r="AR393" s="79">
        <v>2359</v>
      </c>
      <c r="AS393" s="79">
        <v>2857</v>
      </c>
      <c r="AT393" s="79">
        <v>1986</v>
      </c>
      <c r="AU393" s="79">
        <v>2093</v>
      </c>
      <c r="AV393" s="79">
        <v>2245</v>
      </c>
      <c r="AW393" s="80">
        <v>2105</v>
      </c>
      <c r="AX393" s="79">
        <v>2139.7502083688928</v>
      </c>
      <c r="AY393" s="79">
        <v>2119.306344634073</v>
      </c>
      <c r="AZ393" s="79">
        <v>2208.8347776378514</v>
      </c>
      <c r="BA393" s="79">
        <v>2191.2782205482263</v>
      </c>
      <c r="BB393" s="79">
        <v>2279.6771688780386</v>
      </c>
      <c r="BC393" s="79">
        <v>2262.3443245088561</v>
      </c>
      <c r="BD393" s="79">
        <v>2353.7509085179654</v>
      </c>
      <c r="BE393" s="79">
        <v>2352.0093020247291</v>
      </c>
      <c r="BF393" s="79">
        <v>2447.0862876788483</v>
      </c>
      <c r="BG393" s="79">
        <v>2432.0545905515178</v>
      </c>
      <c r="BH393" s="79">
        <v>2537.5321105721659</v>
      </c>
      <c r="BI393" s="79">
        <v>2522.1612513697223</v>
      </c>
      <c r="BJ393" s="79">
        <v>2631.6801913860922</v>
      </c>
      <c r="BK393" s="79">
        <v>2618.1675330382318</v>
      </c>
      <c r="BL393" s="79">
        <v>2729.0365827877054</v>
      </c>
      <c r="BM393" s="79">
        <v>2732.4160079005342</v>
      </c>
      <c r="BN393" s="79">
        <v>2847.9864368174412</v>
      </c>
      <c r="BO393" s="79">
        <v>2835.9466528963276</v>
      </c>
      <c r="BP393" s="79">
        <v>2964.0751411565016</v>
      </c>
      <c r="BQ393" s="79">
        <v>2951.6496961644775</v>
      </c>
      <c r="BR393" s="79"/>
      <c r="BS393" s="79">
        <v>1404</v>
      </c>
      <c r="BT393" s="79">
        <v>1386</v>
      </c>
      <c r="BU393" s="79">
        <v>1415</v>
      </c>
      <c r="BV393" s="79">
        <v>1484</v>
      </c>
      <c r="BW393" s="79">
        <v>1355</v>
      </c>
      <c r="BX393" s="79">
        <v>1489</v>
      </c>
      <c r="BY393" s="79">
        <v>1833</v>
      </c>
      <c r="BZ393" s="79">
        <v>1997</v>
      </c>
      <c r="CA393" s="79">
        <v>2420</v>
      </c>
      <c r="CB393" s="79">
        <v>4350</v>
      </c>
      <c r="CC393" s="79">
        <v>4358</v>
      </c>
      <c r="CD393" s="79">
        <v>4373</v>
      </c>
      <c r="CE393" s="79">
        <v>5081</v>
      </c>
      <c r="CF393" s="79">
        <v>5076</v>
      </c>
      <c r="CG393" s="79">
        <v>5567</v>
      </c>
      <c r="CH393" s="79">
        <v>6161</v>
      </c>
      <c r="CI393" s="79">
        <v>6434</v>
      </c>
      <c r="CJ393" s="79">
        <v>6750</v>
      </c>
      <c r="CK393" s="79">
        <v>7191</v>
      </c>
      <c r="CL393" s="79">
        <v>7014</v>
      </c>
      <c r="CM393" s="79">
        <v>6993</v>
      </c>
      <c r="CN393" s="79">
        <v>6877</v>
      </c>
      <c r="CO393" s="79">
        <v>7310</v>
      </c>
      <c r="CP393" s="79">
        <v>7751</v>
      </c>
      <c r="CQ393" s="79">
        <v>7812</v>
      </c>
      <c r="CR393" s="79">
        <v>7754</v>
      </c>
      <c r="CS393" s="79">
        <v>6580</v>
      </c>
      <c r="CT393" s="79">
        <v>5355</v>
      </c>
      <c r="CU393" s="79">
        <v>5151</v>
      </c>
      <c r="CV393" s="79">
        <v>4854</v>
      </c>
      <c r="CW393" s="79">
        <v>5216</v>
      </c>
      <c r="CX393" s="79">
        <v>4079</v>
      </c>
      <c r="CY393" s="80">
        <v>4350</v>
      </c>
      <c r="CZ393" s="79">
        <v>4259.0565530029653</v>
      </c>
      <c r="DA393" s="79">
        <v>4400.1129981860777</v>
      </c>
      <c r="DB393" s="79">
        <v>4542.0214933868947</v>
      </c>
      <c r="DC393" s="79">
        <v>4705.760210542694</v>
      </c>
      <c r="DD393" s="79">
        <v>4879.1408782303661</v>
      </c>
      <c r="DE393" s="79">
        <v>5059.6933619418887</v>
      </c>
      <c r="DF393" s="79">
        <v>5249.847724424324</v>
      </c>
      <c r="DG393" s="79">
        <v>5461.4525906882391</v>
      </c>
      <c r="DH393" s="79">
        <v>5683.9330897137688</v>
      </c>
      <c r="DI393" s="79">
        <v>5915.7248373209786</v>
      </c>
    </row>
    <row r="394" spans="1:113" outlineLevel="1">
      <c r="C394" s="55"/>
      <c r="D394" s="55"/>
      <c r="E394" s="55"/>
      <c r="F394" s="55"/>
      <c r="G394" s="55"/>
      <c r="H394" s="55"/>
      <c r="I394" s="55"/>
      <c r="J394" s="55"/>
      <c r="K394" s="55"/>
      <c r="L394" s="55"/>
      <c r="M394" s="55"/>
      <c r="N394" s="55"/>
      <c r="O394" s="55"/>
      <c r="P394" s="55"/>
      <c r="Q394" s="55"/>
      <c r="R394" s="55"/>
      <c r="S394" s="55"/>
      <c r="T394" s="55"/>
      <c r="U394" s="55"/>
      <c r="V394" s="55"/>
      <c r="W394" s="55"/>
      <c r="X394" s="55"/>
      <c r="Y394" s="55"/>
      <c r="Z394" s="55"/>
      <c r="AA394" s="55"/>
      <c r="AB394" s="55"/>
      <c r="AC394" s="58"/>
      <c r="AD394" s="58"/>
      <c r="AE394" s="164"/>
      <c r="AF394" s="58"/>
      <c r="AG394" s="55"/>
      <c r="AH394" s="55"/>
      <c r="AI394" s="55"/>
      <c r="AJ394" s="58"/>
      <c r="AK394" s="164"/>
      <c r="AL394" s="164"/>
      <c r="AM394" s="164"/>
      <c r="AN394" s="164"/>
      <c r="AO394" s="164"/>
      <c r="AP394" s="164"/>
      <c r="AQ394" s="164"/>
      <c r="AR394" s="164"/>
      <c r="AS394" s="164"/>
      <c r="AT394" s="164"/>
      <c r="AU394" s="164"/>
      <c r="AV394" s="164"/>
      <c r="AW394" s="171"/>
      <c r="AX394" s="57"/>
      <c r="AY394" s="57"/>
      <c r="AZ394" s="57"/>
      <c r="BA394" s="57"/>
      <c r="BB394" s="57"/>
      <c r="BC394" s="57"/>
      <c r="BD394" s="57"/>
      <c r="BE394" s="57"/>
      <c r="BF394" s="57"/>
      <c r="BG394" s="57"/>
      <c r="BH394" s="57"/>
      <c r="BI394" s="57"/>
      <c r="BJ394" s="57"/>
      <c r="BK394" s="57"/>
      <c r="BL394" s="230"/>
      <c r="BM394" s="230"/>
      <c r="BN394" s="230"/>
      <c r="BO394" s="230"/>
      <c r="BP394" s="230"/>
      <c r="BQ394" s="230"/>
      <c r="BR394" s="55"/>
      <c r="BS394" s="55"/>
      <c r="BT394" s="55"/>
      <c r="BU394" s="55"/>
      <c r="BV394" s="55"/>
      <c r="BW394" s="55"/>
      <c r="BX394" s="55"/>
      <c r="BY394" s="55"/>
      <c r="BZ394" s="55"/>
      <c r="CA394" s="55"/>
      <c r="CB394" s="55"/>
      <c r="CC394" s="55"/>
      <c r="CD394" s="55"/>
      <c r="CE394" s="55"/>
      <c r="CF394" s="55"/>
      <c r="CG394" s="55"/>
      <c r="CH394" s="55"/>
      <c r="CI394" s="55"/>
      <c r="CJ394" s="55"/>
      <c r="CK394" s="55"/>
      <c r="CL394" s="55"/>
      <c r="CM394" s="55"/>
      <c r="CN394" s="55"/>
      <c r="CO394" s="55"/>
      <c r="CP394" s="55"/>
      <c r="CQ394" s="55"/>
      <c r="CR394" s="55"/>
      <c r="CS394" s="55"/>
      <c r="CT394" s="55"/>
      <c r="CU394" s="58"/>
      <c r="CV394" s="58"/>
      <c r="CW394" s="58"/>
      <c r="CX394" s="58"/>
      <c r="CY394" s="43"/>
      <c r="CZ394" s="42"/>
      <c r="DA394" s="42"/>
      <c r="DB394" s="42"/>
    </row>
    <row r="395" spans="1:113" outlineLevel="1">
      <c r="A395" s="1" t="s">
        <v>994</v>
      </c>
      <c r="B395" s="19" t="s">
        <v>533</v>
      </c>
      <c r="C395" s="53">
        <v>284</v>
      </c>
      <c r="D395" s="53">
        <v>293</v>
      </c>
      <c r="E395" s="53">
        <v>325</v>
      </c>
      <c r="F395" s="53">
        <v>314</v>
      </c>
      <c r="G395" s="53">
        <v>338</v>
      </c>
      <c r="H395" s="53">
        <v>342</v>
      </c>
      <c r="I395" s="53">
        <v>382</v>
      </c>
      <c r="J395" s="53">
        <v>349</v>
      </c>
      <c r="K395" s="53">
        <v>384</v>
      </c>
      <c r="L395" s="53">
        <v>389</v>
      </c>
      <c r="M395" s="53">
        <v>411</v>
      </c>
      <c r="N395" s="53">
        <v>417</v>
      </c>
      <c r="O395" s="53">
        <v>479</v>
      </c>
      <c r="P395" s="53">
        <v>469</v>
      </c>
      <c r="Q395" s="53">
        <v>507</v>
      </c>
      <c r="R395" s="53">
        <v>649</v>
      </c>
      <c r="S395" s="53">
        <v>779</v>
      </c>
      <c r="T395" s="53">
        <v>719</v>
      </c>
      <c r="U395" s="53">
        <v>716</v>
      </c>
      <c r="V395" s="53">
        <v>700</v>
      </c>
      <c r="W395" s="53">
        <v>282</v>
      </c>
      <c r="X395" s="53">
        <v>461</v>
      </c>
      <c r="Y395" s="53">
        <v>536</v>
      </c>
      <c r="Z395" s="53">
        <v>509</v>
      </c>
      <c r="AA395" s="164">
        <v>544</v>
      </c>
      <c r="AB395" s="164">
        <v>537</v>
      </c>
      <c r="AC395" s="164">
        <v>546</v>
      </c>
      <c r="AD395" s="164">
        <v>528</v>
      </c>
      <c r="AE395" s="164">
        <v>522</v>
      </c>
      <c r="AF395" s="164">
        <v>507</v>
      </c>
      <c r="AG395" s="164">
        <v>503</v>
      </c>
      <c r="AH395" s="164">
        <v>533</v>
      </c>
      <c r="AI395" s="164">
        <v>545</v>
      </c>
      <c r="AJ395" s="164">
        <v>558</v>
      </c>
      <c r="AK395" s="164">
        <v>551</v>
      </c>
      <c r="AL395" s="164">
        <v>506</v>
      </c>
      <c r="AM395" s="164">
        <v>485</v>
      </c>
      <c r="AN395" s="164">
        <v>483</v>
      </c>
      <c r="AO395" s="164">
        <v>503</v>
      </c>
      <c r="AP395" s="164">
        <v>296</v>
      </c>
      <c r="AQ395" s="164">
        <v>369</v>
      </c>
      <c r="AR395" s="164">
        <v>377</v>
      </c>
      <c r="AS395" s="164">
        <v>359</v>
      </c>
      <c r="AT395" s="164">
        <v>357</v>
      </c>
      <c r="AU395" s="164">
        <v>396</v>
      </c>
      <c r="AV395" s="164">
        <v>404</v>
      </c>
      <c r="AW395" s="171">
        <v>417</v>
      </c>
      <c r="AX395" s="55">
        <v>424.29901853952879</v>
      </c>
      <c r="AY395" s="55">
        <v>417.43499118457623</v>
      </c>
      <c r="AZ395" s="55">
        <v>430.19852956046873</v>
      </c>
      <c r="BA395" s="55">
        <v>429.27533542982951</v>
      </c>
      <c r="BB395" s="55">
        <v>443.16535351615005</v>
      </c>
      <c r="BC395" s="55">
        <v>443.49440347225226</v>
      </c>
      <c r="BD395" s="55">
        <v>458.13797294662248</v>
      </c>
      <c r="BE395" s="55">
        <v>461.77146859951984</v>
      </c>
      <c r="BF395" s="55">
        <v>477.04428201862981</v>
      </c>
      <c r="BG395" s="55">
        <v>478.22875326899981</v>
      </c>
      <c r="BH395" s="55">
        <v>495.46167863227504</v>
      </c>
      <c r="BI395" s="55">
        <v>496.73467159654837</v>
      </c>
      <c r="BJ395" s="55">
        <v>514.67789727762408</v>
      </c>
      <c r="BK395" s="55">
        <v>516.5456767476303</v>
      </c>
      <c r="BL395" s="55">
        <v>534.80676958090226</v>
      </c>
      <c r="BM395" s="55">
        <v>540.24468983981399</v>
      </c>
      <c r="BN395" s="55">
        <v>559.32996753920236</v>
      </c>
      <c r="BO395" s="55">
        <v>561.92016479008385</v>
      </c>
      <c r="BP395" s="55">
        <v>583.39468171826411</v>
      </c>
      <c r="BQ395" s="55">
        <v>586.10390304034365</v>
      </c>
      <c r="BR395" s="55"/>
      <c r="BS395" s="53">
        <v>510.1</v>
      </c>
      <c r="BT395" s="53">
        <v>524.79999999999995</v>
      </c>
      <c r="BU395" s="53">
        <v>491.9</v>
      </c>
      <c r="BV395" s="53">
        <v>501</v>
      </c>
      <c r="BW395" s="53">
        <v>464</v>
      </c>
      <c r="BX395" s="53">
        <v>447</v>
      </c>
      <c r="BY395" s="53">
        <v>472</v>
      </c>
      <c r="BZ395" s="53">
        <v>474</v>
      </c>
      <c r="CA395" s="53">
        <v>554</v>
      </c>
      <c r="CB395" s="53">
        <v>602</v>
      </c>
      <c r="CC395" s="55">
        <v>618</v>
      </c>
      <c r="CD395" s="55">
        <v>652</v>
      </c>
      <c r="CE395" s="55">
        <v>724</v>
      </c>
      <c r="CF395" s="55">
        <v>733</v>
      </c>
      <c r="CG395" s="55">
        <v>800</v>
      </c>
      <c r="CH395" s="55">
        <v>896</v>
      </c>
      <c r="CI395" s="55">
        <v>976</v>
      </c>
      <c r="CJ395" s="55">
        <v>1428</v>
      </c>
      <c r="CK395" s="55">
        <v>1435</v>
      </c>
      <c r="CL395" s="55">
        <v>982</v>
      </c>
      <c r="CM395" s="55">
        <v>997</v>
      </c>
      <c r="CN395" s="55">
        <v>1053</v>
      </c>
      <c r="CO395" s="55">
        <v>1083</v>
      </c>
      <c r="CP395" s="55">
        <v>1050</v>
      </c>
      <c r="CQ395" s="55">
        <v>1010</v>
      </c>
      <c r="CR395" s="55">
        <v>1078</v>
      </c>
      <c r="CS395" s="55">
        <v>1109</v>
      </c>
      <c r="CT395" s="55">
        <v>991</v>
      </c>
      <c r="CU395" s="55">
        <v>986</v>
      </c>
      <c r="CV395" s="55">
        <v>665</v>
      </c>
      <c r="CW395" s="55">
        <v>736</v>
      </c>
      <c r="CX395" s="55">
        <v>753</v>
      </c>
      <c r="CY395" s="56">
        <v>821</v>
      </c>
      <c r="CZ395" s="55">
        <v>841.73400972410502</v>
      </c>
      <c r="DA395" s="55">
        <v>859.47386499029824</v>
      </c>
      <c r="DB395" s="55">
        <v>886.65975698840225</v>
      </c>
      <c r="DC395" s="55">
        <v>919.90944154614226</v>
      </c>
      <c r="DD395" s="55">
        <v>955.27303528762968</v>
      </c>
      <c r="DE395" s="55">
        <v>992.19635022882335</v>
      </c>
      <c r="DF395" s="55">
        <v>1031.2235740252545</v>
      </c>
      <c r="DG395" s="55">
        <v>1075.0514594207161</v>
      </c>
      <c r="DH395" s="55">
        <v>1121.2501323292863</v>
      </c>
      <c r="DI395" s="55">
        <v>1169.4985847586076</v>
      </c>
    </row>
    <row r="396" spans="1:113" outlineLevel="1">
      <c r="A396" s="1" t="s">
        <v>995</v>
      </c>
      <c r="B396" s="19" t="s">
        <v>534</v>
      </c>
      <c r="C396" s="53">
        <v>594</v>
      </c>
      <c r="D396" s="53">
        <v>603</v>
      </c>
      <c r="E396" s="53">
        <v>636</v>
      </c>
      <c r="F396" s="53">
        <v>691</v>
      </c>
      <c r="G396" s="53">
        <v>703</v>
      </c>
      <c r="H396" s="53">
        <v>771</v>
      </c>
      <c r="I396" s="53">
        <v>732</v>
      </c>
      <c r="J396" s="53">
        <v>777</v>
      </c>
      <c r="K396" s="53">
        <v>768</v>
      </c>
      <c r="L396" s="53">
        <v>815</v>
      </c>
      <c r="M396" s="53">
        <v>820</v>
      </c>
      <c r="N396" s="53">
        <v>859</v>
      </c>
      <c r="O396" s="53">
        <v>870</v>
      </c>
      <c r="P396" s="53">
        <v>908</v>
      </c>
      <c r="Q396" s="53">
        <v>919</v>
      </c>
      <c r="R396" s="53">
        <v>1024</v>
      </c>
      <c r="S396" s="53">
        <v>1050</v>
      </c>
      <c r="T396" s="53">
        <v>1034</v>
      </c>
      <c r="U396" s="53">
        <v>972</v>
      </c>
      <c r="V396" s="53">
        <v>985</v>
      </c>
      <c r="W396" s="53">
        <v>961</v>
      </c>
      <c r="X396" s="53">
        <v>1009</v>
      </c>
      <c r="Y396" s="53">
        <v>988</v>
      </c>
      <c r="Z396" s="53">
        <v>993</v>
      </c>
      <c r="AA396" s="164">
        <v>997</v>
      </c>
      <c r="AB396" s="164">
        <v>1081</v>
      </c>
      <c r="AC396" s="164">
        <v>1049</v>
      </c>
      <c r="AD396" s="164">
        <v>1127</v>
      </c>
      <c r="AE396" s="164">
        <v>1099</v>
      </c>
      <c r="AF396" s="164">
        <v>1151</v>
      </c>
      <c r="AG396" s="164">
        <v>1064</v>
      </c>
      <c r="AH396" s="164">
        <v>1286</v>
      </c>
      <c r="AI396" s="164">
        <v>1271</v>
      </c>
      <c r="AJ396" s="164">
        <v>1396</v>
      </c>
      <c r="AK396" s="164">
        <v>1405</v>
      </c>
      <c r="AL396" s="164">
        <v>1360</v>
      </c>
      <c r="AM396" s="164">
        <v>1313</v>
      </c>
      <c r="AN396" s="164">
        <v>1321</v>
      </c>
      <c r="AO396" s="164">
        <v>1236</v>
      </c>
      <c r="AP396" s="164">
        <v>1299</v>
      </c>
      <c r="AQ396" s="164">
        <v>1265</v>
      </c>
      <c r="AR396" s="164">
        <v>1067</v>
      </c>
      <c r="AS396" s="164">
        <v>1011</v>
      </c>
      <c r="AT396" s="164">
        <v>1013</v>
      </c>
      <c r="AU396" s="164">
        <v>967</v>
      </c>
      <c r="AV396" s="164">
        <v>1047</v>
      </c>
      <c r="AW396" s="171">
        <v>1069</v>
      </c>
      <c r="AX396" s="55">
        <v>1080.7493085308865</v>
      </c>
      <c r="AY396" s="55">
        <v>1064.1665509572542</v>
      </c>
      <c r="AZ396" s="55">
        <v>1125.2745095278801</v>
      </c>
      <c r="BA396" s="55">
        <v>1105.6815253574425</v>
      </c>
      <c r="BB396" s="55">
        <v>1163.2759559719864</v>
      </c>
      <c r="BC396" s="55">
        <v>1140.8629318954022</v>
      </c>
      <c r="BD396" s="55">
        <v>1199.7647260910055</v>
      </c>
      <c r="BE396" s="55">
        <v>1184.4724397862469</v>
      </c>
      <c r="BF396" s="55">
        <v>1245.6472667426526</v>
      </c>
      <c r="BG396" s="55">
        <v>1223.0789803614759</v>
      </c>
      <c r="BH396" s="55">
        <v>1289.8882622335689</v>
      </c>
      <c r="BI396" s="55">
        <v>1266.5837680130376</v>
      </c>
      <c r="BJ396" s="55">
        <v>1335.8369533886857</v>
      </c>
      <c r="BK396" s="55">
        <v>1312.7199559334497</v>
      </c>
      <c r="BL396" s="55">
        <v>1382.7544429950785</v>
      </c>
      <c r="BM396" s="55">
        <v>1367.332080927534</v>
      </c>
      <c r="BN396" s="55">
        <v>1440.2376578697542</v>
      </c>
      <c r="BO396" s="55">
        <v>1416.3606092443001</v>
      </c>
      <c r="BP396" s="55">
        <v>1496.0363159019671</v>
      </c>
      <c r="BQ396" s="55">
        <v>1471.2462004594511</v>
      </c>
      <c r="BR396" s="55"/>
      <c r="BS396" s="53">
        <v>504.4</v>
      </c>
      <c r="BT396" s="53">
        <v>443.5</v>
      </c>
      <c r="BU396" s="53">
        <v>520.5</v>
      </c>
      <c r="BV396" s="53">
        <v>507</v>
      </c>
      <c r="BW396" s="53">
        <v>506</v>
      </c>
      <c r="BX396" s="53">
        <v>568</v>
      </c>
      <c r="BY396" s="53">
        <v>678</v>
      </c>
      <c r="BZ396" s="53">
        <v>807</v>
      </c>
      <c r="CA396" s="53">
        <v>946</v>
      </c>
      <c r="CB396" s="53">
        <v>1173</v>
      </c>
      <c r="CC396" s="55">
        <v>1239</v>
      </c>
      <c r="CD396" s="55">
        <v>1394</v>
      </c>
      <c r="CE396" s="55">
        <v>1503</v>
      </c>
      <c r="CF396" s="55">
        <v>1545</v>
      </c>
      <c r="CG396" s="55">
        <v>1635</v>
      </c>
      <c r="CH396" s="55">
        <v>1729</v>
      </c>
      <c r="CI396" s="55">
        <v>1827</v>
      </c>
      <c r="CJ396" s="55">
        <v>2074</v>
      </c>
      <c r="CK396" s="55">
        <v>2006</v>
      </c>
      <c r="CL396" s="55">
        <v>1946</v>
      </c>
      <c r="CM396" s="55">
        <v>1997</v>
      </c>
      <c r="CN396" s="55">
        <v>1990</v>
      </c>
      <c r="CO396" s="55">
        <v>2130</v>
      </c>
      <c r="CP396" s="55">
        <v>2226</v>
      </c>
      <c r="CQ396" s="55">
        <v>2215</v>
      </c>
      <c r="CR396" s="55">
        <v>2557</v>
      </c>
      <c r="CS396" s="55">
        <v>2801</v>
      </c>
      <c r="CT396" s="55">
        <v>2673</v>
      </c>
      <c r="CU396" s="55">
        <v>2557</v>
      </c>
      <c r="CV396" s="55">
        <v>2564</v>
      </c>
      <c r="CW396" s="55">
        <v>2078</v>
      </c>
      <c r="CX396" s="55">
        <v>1980</v>
      </c>
      <c r="CY396" s="56">
        <v>2116</v>
      </c>
      <c r="CZ396" s="55">
        <v>2144.915859488141</v>
      </c>
      <c r="DA396" s="55">
        <v>2230.9560348853229</v>
      </c>
      <c r="DB396" s="55">
        <v>2304.1388878673888</v>
      </c>
      <c r="DC396" s="55">
        <v>2384.2371658772527</v>
      </c>
      <c r="DD396" s="55">
        <v>2468.7262471041286</v>
      </c>
      <c r="DE396" s="55">
        <v>2556.4720302466067</v>
      </c>
      <c r="DF396" s="55">
        <v>2648.5569093221357</v>
      </c>
      <c r="DG396" s="55">
        <v>2750.0865239226123</v>
      </c>
      <c r="DH396" s="55">
        <v>2856.5982671140546</v>
      </c>
      <c r="DI396" s="55">
        <v>2967.2825163614179</v>
      </c>
    </row>
    <row r="397" spans="1:113" outlineLevel="1">
      <c r="A397" s="1" t="s">
        <v>996</v>
      </c>
      <c r="B397" s="19" t="s">
        <v>535</v>
      </c>
      <c r="C397" s="53">
        <v>222</v>
      </c>
      <c r="D397" s="53">
        <v>251</v>
      </c>
      <c r="E397" s="53">
        <v>238</v>
      </c>
      <c r="F397" s="53">
        <v>226</v>
      </c>
      <c r="G397" s="53">
        <v>276</v>
      </c>
      <c r="H397" s="53">
        <v>269</v>
      </c>
      <c r="I397" s="53">
        <v>230</v>
      </c>
      <c r="J397" s="53">
        <v>219</v>
      </c>
      <c r="K397" s="53">
        <v>221</v>
      </c>
      <c r="L397" s="53">
        <v>244</v>
      </c>
      <c r="M397" s="53">
        <v>261</v>
      </c>
      <c r="N397" s="53">
        <v>306</v>
      </c>
      <c r="O397" s="53">
        <v>249</v>
      </c>
      <c r="P397" s="53">
        <v>200</v>
      </c>
      <c r="Q397" s="53">
        <v>346</v>
      </c>
      <c r="R397" s="53">
        <v>442</v>
      </c>
      <c r="S397" s="53">
        <v>293</v>
      </c>
      <c r="T397" s="53">
        <v>291</v>
      </c>
      <c r="U397" s="53">
        <v>306</v>
      </c>
      <c r="V397" s="53">
        <v>426</v>
      </c>
      <c r="W397" s="53">
        <v>291</v>
      </c>
      <c r="X397" s="53">
        <v>241</v>
      </c>
      <c r="Y397" s="53">
        <v>281</v>
      </c>
      <c r="Z397" s="53">
        <v>443</v>
      </c>
      <c r="AA397" s="164">
        <v>420</v>
      </c>
      <c r="AB397" s="164">
        <v>508</v>
      </c>
      <c r="AC397" s="164">
        <v>414</v>
      </c>
      <c r="AD397" s="164">
        <v>529</v>
      </c>
      <c r="AE397" s="164">
        <v>510</v>
      </c>
      <c r="AF397" s="164">
        <v>496</v>
      </c>
      <c r="AG397" s="164">
        <v>591</v>
      </c>
      <c r="AH397" s="164">
        <v>600</v>
      </c>
      <c r="AI397" s="164">
        <v>549</v>
      </c>
      <c r="AJ397" s="164">
        <v>556</v>
      </c>
      <c r="AK397" s="164">
        <v>469</v>
      </c>
      <c r="AL397" s="164">
        <v>494</v>
      </c>
      <c r="AM397" s="164">
        <v>480</v>
      </c>
      <c r="AN397" s="164">
        <v>508</v>
      </c>
      <c r="AO397" s="164">
        <v>432</v>
      </c>
      <c r="AP397" s="164">
        <v>535</v>
      </c>
      <c r="AQ397" s="164">
        <v>317</v>
      </c>
      <c r="AR397" s="164">
        <v>368</v>
      </c>
      <c r="AS397" s="164">
        <v>438</v>
      </c>
      <c r="AT397" s="164">
        <v>513</v>
      </c>
      <c r="AU397" s="164">
        <v>582</v>
      </c>
      <c r="AV397" s="164">
        <v>609</v>
      </c>
      <c r="AW397" s="171">
        <v>516</v>
      </c>
      <c r="AX397" s="55">
        <v>529.16447128770233</v>
      </c>
      <c r="AY397" s="55">
        <v>532.89832138136046</v>
      </c>
      <c r="AZ397" s="55">
        <v>545.01854342430545</v>
      </c>
      <c r="BA397" s="55">
        <v>548.0137278664937</v>
      </c>
      <c r="BB397" s="55">
        <v>561.44621348720705</v>
      </c>
      <c r="BC397" s="55">
        <v>566.16581777613908</v>
      </c>
      <c r="BD397" s="55">
        <v>580.41502595985753</v>
      </c>
      <c r="BE397" s="55">
        <v>589.49835465441924</v>
      </c>
      <c r="BF397" s="55">
        <v>604.36743008007386</v>
      </c>
      <c r="BG397" s="55">
        <v>610.50775626201766</v>
      </c>
      <c r="BH397" s="55">
        <v>627.70043097687437</v>
      </c>
      <c r="BI397" s="55">
        <v>634.13244758074472</v>
      </c>
      <c r="BJ397" s="55">
        <v>652.0454595545209</v>
      </c>
      <c r="BK397" s="55">
        <v>659.42321527592583</v>
      </c>
      <c r="BL397" s="55">
        <v>677.54672910724366</v>
      </c>
      <c r="BM397" s="55">
        <v>689.6774214683229</v>
      </c>
      <c r="BN397" s="55">
        <v>708.61517010120554</v>
      </c>
      <c r="BO397" s="55">
        <v>717.34837493430837</v>
      </c>
      <c r="BP397" s="55">
        <v>739.10275796719554</v>
      </c>
      <c r="BQ397" s="55">
        <v>748.22138220597537</v>
      </c>
      <c r="BR397" s="55"/>
      <c r="BS397" s="53">
        <v>96.6</v>
      </c>
      <c r="BT397" s="53">
        <v>175.39999999999998</v>
      </c>
      <c r="BU397" s="53">
        <v>194.4</v>
      </c>
      <c r="BV397" s="53">
        <v>142</v>
      </c>
      <c r="BW397" s="53">
        <v>148</v>
      </c>
      <c r="BX397" s="53">
        <v>174</v>
      </c>
      <c r="BY397" s="53">
        <v>243</v>
      </c>
      <c r="BZ397" s="53">
        <v>273</v>
      </c>
      <c r="CA397" s="53">
        <v>311</v>
      </c>
      <c r="CB397" s="53">
        <v>426</v>
      </c>
      <c r="CC397" s="55">
        <v>489</v>
      </c>
      <c r="CD397" s="55">
        <v>502</v>
      </c>
      <c r="CE397" s="55">
        <v>499</v>
      </c>
      <c r="CF397" s="55">
        <v>440</v>
      </c>
      <c r="CG397" s="55">
        <v>505</v>
      </c>
      <c r="CH397" s="55">
        <v>555</v>
      </c>
      <c r="CI397" s="55">
        <v>546</v>
      </c>
      <c r="CJ397" s="55">
        <v>735</v>
      </c>
      <c r="CK397" s="55">
        <v>597</v>
      </c>
      <c r="CL397" s="55">
        <v>717</v>
      </c>
      <c r="CM397" s="55">
        <v>522</v>
      </c>
      <c r="CN397" s="55">
        <v>863</v>
      </c>
      <c r="CO397" s="55">
        <v>922</v>
      </c>
      <c r="CP397" s="55">
        <v>1039</v>
      </c>
      <c r="CQ397" s="55">
        <v>1087</v>
      </c>
      <c r="CR397" s="55">
        <v>1149</v>
      </c>
      <c r="CS397" s="55">
        <v>1025</v>
      </c>
      <c r="CT397" s="55">
        <v>974</v>
      </c>
      <c r="CU397" s="55">
        <v>940</v>
      </c>
      <c r="CV397" s="55">
        <v>852</v>
      </c>
      <c r="CW397" s="55">
        <v>806</v>
      </c>
      <c r="CX397" s="55">
        <v>1095</v>
      </c>
      <c r="CY397" s="56">
        <v>1125</v>
      </c>
      <c r="CZ397" s="55">
        <v>1062.0627926690627</v>
      </c>
      <c r="DA397" s="55">
        <v>1093.0322712907991</v>
      </c>
      <c r="DB397" s="55">
        <v>1127.6120312633461</v>
      </c>
      <c r="DC397" s="55">
        <v>1169.9133806142768</v>
      </c>
      <c r="DD397" s="55">
        <v>1214.8751863420916</v>
      </c>
      <c r="DE397" s="55">
        <v>1261.8328785576191</v>
      </c>
      <c r="DF397" s="55">
        <v>1311.4686748304466</v>
      </c>
      <c r="DG397" s="55">
        <v>1367.2241505755665</v>
      </c>
      <c r="DH397" s="55">
        <v>1425.963545035514</v>
      </c>
      <c r="DI397" s="55">
        <v>1487.3241401731709</v>
      </c>
    </row>
    <row r="398" spans="1:113" outlineLevel="1">
      <c r="A398" s="1" t="s">
        <v>997</v>
      </c>
      <c r="B398" s="19" t="s">
        <v>432</v>
      </c>
      <c r="C398" s="53">
        <v>381</v>
      </c>
      <c r="D398" s="53">
        <v>390</v>
      </c>
      <c r="E398" s="53">
        <v>419</v>
      </c>
      <c r="F398" s="53">
        <v>575</v>
      </c>
      <c r="G398" s="53">
        <v>540</v>
      </c>
      <c r="H398" s="53">
        <v>582</v>
      </c>
      <c r="I398" s="53">
        <v>576</v>
      </c>
      <c r="J398" s="53">
        <v>609</v>
      </c>
      <c r="K398" s="53">
        <v>638</v>
      </c>
      <c r="L398" s="53">
        <v>715</v>
      </c>
      <c r="M398" s="53">
        <v>828</v>
      </c>
      <c r="N398" s="53">
        <v>893</v>
      </c>
      <c r="O398" s="53">
        <v>981</v>
      </c>
      <c r="P398" s="53">
        <v>1141</v>
      </c>
      <c r="Q398" s="53">
        <v>1166</v>
      </c>
      <c r="R398" s="53">
        <v>1015</v>
      </c>
      <c r="S398" s="53">
        <v>808</v>
      </c>
      <c r="T398" s="53">
        <v>947</v>
      </c>
      <c r="U398" s="53">
        <v>951</v>
      </c>
      <c r="V398" s="53">
        <v>1017</v>
      </c>
      <c r="W398" s="53">
        <v>1024</v>
      </c>
      <c r="X398" s="53">
        <v>977</v>
      </c>
      <c r="Y398" s="53">
        <v>980</v>
      </c>
      <c r="Z398" s="53">
        <v>884</v>
      </c>
      <c r="AA398" s="164">
        <v>944</v>
      </c>
      <c r="AB398" s="164">
        <v>1003</v>
      </c>
      <c r="AC398" s="164">
        <v>930</v>
      </c>
      <c r="AD398" s="164">
        <v>970</v>
      </c>
      <c r="AE398" s="164">
        <v>968</v>
      </c>
      <c r="AF398" s="164">
        <v>1032</v>
      </c>
      <c r="AG398" s="164">
        <v>984</v>
      </c>
      <c r="AH398" s="164">
        <v>943</v>
      </c>
      <c r="AI398" s="164">
        <v>970</v>
      </c>
      <c r="AJ398" s="164">
        <v>568</v>
      </c>
      <c r="AK398" s="164">
        <v>551</v>
      </c>
      <c r="AL398" s="164">
        <v>135.58768656716418</v>
      </c>
      <c r="AM398" s="164">
        <v>119.41231343283583</v>
      </c>
      <c r="AN398" s="164">
        <v>98</v>
      </c>
      <c r="AO398" s="164">
        <v>75</v>
      </c>
      <c r="AP398" s="164">
        <v>80</v>
      </c>
      <c r="AQ398" s="164">
        <v>85</v>
      </c>
      <c r="AR398" s="164">
        <v>98</v>
      </c>
      <c r="AS398" s="164">
        <v>110</v>
      </c>
      <c r="AT398" s="164">
        <v>28</v>
      </c>
      <c r="AU398" s="164">
        <v>54</v>
      </c>
      <c r="AV398" s="164">
        <v>55</v>
      </c>
      <c r="AW398" s="171">
        <v>56</v>
      </c>
      <c r="AX398" s="54">
        <v>56.980203928569814</v>
      </c>
      <c r="AY398" s="54">
        <v>56.058416082341168</v>
      </c>
      <c r="AZ398" s="54">
        <v>57.77246440140587</v>
      </c>
      <c r="BA398" s="54">
        <v>57.648486292734894</v>
      </c>
      <c r="BB398" s="54">
        <v>59.513812462600484</v>
      </c>
      <c r="BC398" s="54">
        <v>59.558001425530279</v>
      </c>
      <c r="BD398" s="54">
        <v>61.524523944870168</v>
      </c>
      <c r="BE398" s="54">
        <v>62.012475399455909</v>
      </c>
      <c r="BF398" s="54">
        <v>64.063500702741663</v>
      </c>
      <c r="BG398" s="54">
        <v>64.222566386244594</v>
      </c>
      <c r="BH398" s="54">
        <v>66.536820152056137</v>
      </c>
      <c r="BI398" s="54">
        <v>66.707773643661184</v>
      </c>
      <c r="BJ398" s="54">
        <v>69.117415461743292</v>
      </c>
      <c r="BK398" s="54">
        <v>69.368244359394012</v>
      </c>
      <c r="BL398" s="54">
        <v>71.820573372974906</v>
      </c>
      <c r="BM398" s="54">
        <v>72.550845637960663</v>
      </c>
      <c r="BN398" s="54">
        <v>75.113856552027215</v>
      </c>
      <c r="BO398" s="54">
        <v>75.461700787157582</v>
      </c>
      <c r="BP398" s="54">
        <v>78.345568767920398</v>
      </c>
      <c r="BQ398" s="54">
        <v>78.709397050981437</v>
      </c>
      <c r="BR398" s="54"/>
      <c r="BS398" s="53">
        <v>0</v>
      </c>
      <c r="BT398" s="53">
        <v>0</v>
      </c>
      <c r="BU398" s="53">
        <v>0</v>
      </c>
      <c r="BV398" s="53">
        <v>80.400000000000006</v>
      </c>
      <c r="BW398" s="53">
        <v>51.951219512195131</v>
      </c>
      <c r="BX398" s="53">
        <v>72.073170731707322</v>
      </c>
      <c r="BY398" s="53">
        <v>75</v>
      </c>
      <c r="BZ398" s="53">
        <v>97</v>
      </c>
      <c r="CA398" s="53">
        <v>143</v>
      </c>
      <c r="CB398" s="53">
        <v>701</v>
      </c>
      <c r="CC398" s="55">
        <v>809</v>
      </c>
      <c r="CD398" s="55">
        <v>1115</v>
      </c>
      <c r="CE398" s="55">
        <v>1158</v>
      </c>
      <c r="CF398" s="55">
        <v>1247</v>
      </c>
      <c r="CG398" s="55">
        <v>1543</v>
      </c>
      <c r="CH398" s="55">
        <v>1874</v>
      </c>
      <c r="CI398" s="55">
        <v>2307</v>
      </c>
      <c r="CJ398" s="55">
        <v>1823</v>
      </c>
      <c r="CK398" s="55">
        <v>1898</v>
      </c>
      <c r="CL398" s="55">
        <v>2041</v>
      </c>
      <c r="CM398" s="55">
        <v>1957</v>
      </c>
      <c r="CN398" s="55">
        <v>1828</v>
      </c>
      <c r="CO398" s="55">
        <v>1933</v>
      </c>
      <c r="CP398" s="55">
        <v>1938</v>
      </c>
      <c r="CQ398" s="55">
        <v>2016</v>
      </c>
      <c r="CR398" s="55">
        <v>1913</v>
      </c>
      <c r="CS398" s="55">
        <v>1119</v>
      </c>
      <c r="CT398" s="55">
        <v>255</v>
      </c>
      <c r="CU398" s="55">
        <v>173</v>
      </c>
      <c r="CV398" s="55">
        <v>165</v>
      </c>
      <c r="CW398" s="55">
        <v>208</v>
      </c>
      <c r="CX398" s="55">
        <v>82</v>
      </c>
      <c r="CY398" s="56">
        <v>111</v>
      </c>
      <c r="CZ398" s="55">
        <v>113.03862001091099</v>
      </c>
      <c r="DA398" s="55">
        <v>115.42095069414077</v>
      </c>
      <c r="DB398" s="55">
        <v>119.07181388813076</v>
      </c>
      <c r="DC398" s="55">
        <v>123.53699934432608</v>
      </c>
      <c r="DD398" s="55">
        <v>128.28606708898627</v>
      </c>
      <c r="DE398" s="55">
        <v>133.24459379571732</v>
      </c>
      <c r="DF398" s="55">
        <v>138.48565982113729</v>
      </c>
      <c r="DG398" s="55">
        <v>144.37141901093557</v>
      </c>
      <c r="DH398" s="55">
        <v>150.5755573391848</v>
      </c>
      <c r="DI398" s="55">
        <v>157.05496581890185</v>
      </c>
    </row>
    <row r="399" spans="1:113" outlineLevel="1">
      <c r="A399" s="1" t="s">
        <v>998</v>
      </c>
      <c r="B399" s="19" t="s">
        <v>780</v>
      </c>
      <c r="C399" s="53">
        <v>624</v>
      </c>
      <c r="D399" s="53">
        <v>529</v>
      </c>
      <c r="E399" s="53">
        <v>468</v>
      </c>
      <c r="F399" s="53">
        <v>280</v>
      </c>
      <c r="G399" s="53">
        <v>318</v>
      </c>
      <c r="H399" s="53">
        <v>322</v>
      </c>
      <c r="I399" s="53">
        <v>356</v>
      </c>
      <c r="J399" s="53">
        <v>360</v>
      </c>
      <c r="K399" s="53">
        <v>387</v>
      </c>
      <c r="L399" s="53">
        <v>386</v>
      </c>
      <c r="M399" s="53">
        <v>356</v>
      </c>
      <c r="N399" s="53">
        <v>382</v>
      </c>
      <c r="O399" s="53">
        <v>435</v>
      </c>
      <c r="P399" s="53">
        <v>393</v>
      </c>
      <c r="Q399" s="53">
        <v>439</v>
      </c>
      <c r="R399" s="53">
        <v>453</v>
      </c>
      <c r="S399" s="53">
        <v>478</v>
      </c>
      <c r="T399" s="53">
        <v>463</v>
      </c>
      <c r="U399" s="53">
        <v>482</v>
      </c>
      <c r="V399" s="53">
        <v>458</v>
      </c>
      <c r="W399" s="53">
        <v>398</v>
      </c>
      <c r="X399" s="53">
        <v>501</v>
      </c>
      <c r="Y399" s="53">
        <v>459</v>
      </c>
      <c r="Z399" s="53">
        <v>354</v>
      </c>
      <c r="AA399" s="164">
        <v>385</v>
      </c>
      <c r="AB399" s="164">
        <v>386</v>
      </c>
      <c r="AC399" s="164">
        <v>433</v>
      </c>
      <c r="AD399" s="164">
        <v>416</v>
      </c>
      <c r="AE399" s="164">
        <v>376</v>
      </c>
      <c r="AF399" s="164">
        <v>487</v>
      </c>
      <c r="AG399" s="164">
        <v>308</v>
      </c>
      <c r="AH399" s="164">
        <v>162</v>
      </c>
      <c r="AI399" s="164">
        <v>61</v>
      </c>
      <c r="AJ399" s="164">
        <v>112</v>
      </c>
      <c r="AK399" s="164">
        <v>126</v>
      </c>
      <c r="AL399" s="164">
        <v>68</v>
      </c>
      <c r="AM399" s="164">
        <v>79</v>
      </c>
      <c r="AN399" s="164">
        <v>32</v>
      </c>
      <c r="AO399" s="164">
        <v>109</v>
      </c>
      <c r="AP399" s="164">
        <v>91</v>
      </c>
      <c r="AQ399" s="164">
        <v>54</v>
      </c>
      <c r="AR399" s="164">
        <v>0</v>
      </c>
      <c r="AS399" s="164">
        <v>0</v>
      </c>
      <c r="AT399" s="164">
        <v>0</v>
      </c>
      <c r="AU399" s="164">
        <v>0</v>
      </c>
      <c r="AV399" s="164">
        <v>0</v>
      </c>
      <c r="AW399" s="171">
        <v>0</v>
      </c>
      <c r="AX399" s="54">
        <v>0</v>
      </c>
      <c r="AY399" s="54">
        <v>0</v>
      </c>
      <c r="AZ399" s="54">
        <v>0</v>
      </c>
      <c r="BA399" s="54">
        <v>0</v>
      </c>
      <c r="BB399" s="54">
        <v>0</v>
      </c>
      <c r="BC399" s="54">
        <v>0</v>
      </c>
      <c r="BD399" s="54">
        <v>0</v>
      </c>
      <c r="BE399" s="54">
        <v>0</v>
      </c>
      <c r="BF399" s="54">
        <v>0</v>
      </c>
      <c r="BG399" s="54">
        <v>0</v>
      </c>
      <c r="BH399" s="54">
        <v>0</v>
      </c>
      <c r="BI399" s="54">
        <v>0</v>
      </c>
      <c r="BJ399" s="54">
        <v>0</v>
      </c>
      <c r="BK399" s="54">
        <v>0</v>
      </c>
      <c r="BL399" s="54">
        <v>0</v>
      </c>
      <c r="BM399" s="54">
        <v>0</v>
      </c>
      <c r="BN399" s="54">
        <v>0</v>
      </c>
      <c r="BO399" s="54">
        <v>0</v>
      </c>
      <c r="BP399" s="54">
        <v>0</v>
      </c>
      <c r="BQ399" s="54">
        <v>0</v>
      </c>
      <c r="BR399" s="368"/>
      <c r="BS399" s="53">
        <v>0</v>
      </c>
      <c r="BT399" s="53">
        <v>0</v>
      </c>
      <c r="BU399" s="53">
        <v>36.299999999999997</v>
      </c>
      <c r="BV399" s="53">
        <v>45.6</v>
      </c>
      <c r="BW399" s="53">
        <v>90.048780487804876</v>
      </c>
      <c r="BX399" s="53">
        <v>124.92682926829268</v>
      </c>
      <c r="BY399" s="53">
        <v>130</v>
      </c>
      <c r="BZ399" s="53">
        <v>157</v>
      </c>
      <c r="CA399" s="53">
        <v>326</v>
      </c>
      <c r="CB399" s="53">
        <v>1268</v>
      </c>
      <c r="CC399" s="55">
        <v>997</v>
      </c>
      <c r="CD399" s="55">
        <v>598</v>
      </c>
      <c r="CE399" s="55">
        <v>678</v>
      </c>
      <c r="CF399" s="55">
        <v>747</v>
      </c>
      <c r="CG399" s="55">
        <v>742</v>
      </c>
      <c r="CH399" s="55">
        <v>817</v>
      </c>
      <c r="CI399" s="55">
        <v>832</v>
      </c>
      <c r="CJ399" s="55">
        <v>931</v>
      </c>
      <c r="CK399" s="55">
        <v>945</v>
      </c>
      <c r="CL399" s="55">
        <v>856</v>
      </c>
      <c r="CM399" s="55">
        <v>960</v>
      </c>
      <c r="CN399" s="55">
        <v>739</v>
      </c>
      <c r="CO399" s="55">
        <v>819</v>
      </c>
      <c r="CP399" s="55">
        <v>792</v>
      </c>
      <c r="CQ399" s="55">
        <v>795</v>
      </c>
      <c r="CR399" s="55">
        <v>223</v>
      </c>
      <c r="CS399" s="55">
        <v>238</v>
      </c>
      <c r="CT399" s="55">
        <v>147</v>
      </c>
      <c r="CU399" s="55">
        <v>141</v>
      </c>
      <c r="CV399" s="55">
        <v>145</v>
      </c>
      <c r="CW399" s="55">
        <v>0</v>
      </c>
      <c r="CX399" s="55">
        <v>0</v>
      </c>
      <c r="CY399" s="56">
        <v>0</v>
      </c>
      <c r="CZ399" s="55">
        <v>0</v>
      </c>
      <c r="DA399" s="55">
        <v>0</v>
      </c>
      <c r="DB399" s="55">
        <v>0</v>
      </c>
      <c r="DC399" s="55">
        <v>0</v>
      </c>
      <c r="DD399" s="55">
        <v>0</v>
      </c>
      <c r="DE399" s="55">
        <v>0</v>
      </c>
      <c r="DF399" s="55">
        <v>0</v>
      </c>
      <c r="DG399" s="55">
        <v>0</v>
      </c>
      <c r="DH399" s="55">
        <v>0</v>
      </c>
      <c r="DI399" s="55">
        <v>0</v>
      </c>
    </row>
    <row r="400" spans="1:113" outlineLevel="1">
      <c r="A400" s="1" t="s">
        <v>804</v>
      </c>
      <c r="B400" s="19" t="s">
        <v>800</v>
      </c>
      <c r="C400" s="53">
        <v>58</v>
      </c>
      <c r="D400" s="53">
        <v>48</v>
      </c>
      <c r="E400" s="53">
        <v>-1</v>
      </c>
      <c r="F400" s="53">
        <v>-5</v>
      </c>
      <c r="G400" s="53">
        <v>96</v>
      </c>
      <c r="H400" s="53">
        <v>141</v>
      </c>
      <c r="I400" s="53">
        <v>55</v>
      </c>
      <c r="J400" s="53">
        <v>145</v>
      </c>
      <c r="K400" s="53">
        <v>92</v>
      </c>
      <c r="L400" s="181">
        <v>64</v>
      </c>
      <c r="M400" s="53">
        <v>37</v>
      </c>
      <c r="N400" s="53">
        <v>85</v>
      </c>
      <c r="O400" s="53">
        <v>64</v>
      </c>
      <c r="P400" s="53">
        <v>42</v>
      </c>
      <c r="Q400" s="53">
        <v>-59</v>
      </c>
      <c r="R400" s="53">
        <v>-179</v>
      </c>
      <c r="S400" s="53">
        <v>-84</v>
      </c>
      <c r="T400" s="53">
        <v>142</v>
      </c>
      <c r="U400" s="53">
        <v>94</v>
      </c>
      <c r="V400" s="53">
        <v>35</v>
      </c>
      <c r="W400" s="53">
        <v>86</v>
      </c>
      <c r="X400" s="53">
        <v>56</v>
      </c>
      <c r="Y400" s="53">
        <v>93</v>
      </c>
      <c r="Z400" s="53">
        <v>84</v>
      </c>
      <c r="AA400" s="164">
        <v>70</v>
      </c>
      <c r="AB400" s="164">
        <v>81</v>
      </c>
      <c r="AC400" s="164">
        <v>154</v>
      </c>
      <c r="AD400" s="164">
        <v>80</v>
      </c>
      <c r="AE400" s="164">
        <v>130</v>
      </c>
      <c r="AF400" s="164">
        <v>58</v>
      </c>
      <c r="AG400" s="164">
        <v>83</v>
      </c>
      <c r="AH400" s="164">
        <v>2</v>
      </c>
      <c r="AI400" s="164">
        <v>21</v>
      </c>
      <c r="AJ400" s="164">
        <v>6</v>
      </c>
      <c r="AK400" s="164">
        <v>2</v>
      </c>
      <c r="AL400" s="164">
        <v>3</v>
      </c>
      <c r="AM400" s="164">
        <v>1</v>
      </c>
      <c r="AN400" s="164">
        <v>0</v>
      </c>
      <c r="AO400" s="164">
        <v>0</v>
      </c>
      <c r="AP400" s="164">
        <v>0</v>
      </c>
      <c r="AQ400" s="164">
        <v>0</v>
      </c>
      <c r="AR400" s="164">
        <v>0</v>
      </c>
      <c r="AS400" s="164">
        <v>0</v>
      </c>
      <c r="AT400" s="164">
        <v>0</v>
      </c>
      <c r="AU400" s="164">
        <v>0</v>
      </c>
      <c r="AV400" s="164">
        <v>0</v>
      </c>
      <c r="AW400" s="171">
        <v>0</v>
      </c>
      <c r="AX400" s="54">
        <v>0</v>
      </c>
      <c r="AY400" s="54">
        <v>0</v>
      </c>
      <c r="AZ400" s="54">
        <v>0</v>
      </c>
      <c r="BA400" s="54">
        <v>0</v>
      </c>
      <c r="BB400" s="54">
        <v>0</v>
      </c>
      <c r="BC400" s="54">
        <v>0</v>
      </c>
      <c r="BD400" s="54">
        <v>0</v>
      </c>
      <c r="BE400" s="54">
        <v>0</v>
      </c>
      <c r="BF400" s="54">
        <v>0</v>
      </c>
      <c r="BG400" s="54">
        <v>0</v>
      </c>
      <c r="BH400" s="54">
        <v>0</v>
      </c>
      <c r="BI400" s="54">
        <v>0</v>
      </c>
      <c r="BJ400" s="54">
        <v>0</v>
      </c>
      <c r="BK400" s="54">
        <v>0</v>
      </c>
      <c r="BL400" s="54">
        <v>0</v>
      </c>
      <c r="BM400" s="54">
        <v>0</v>
      </c>
      <c r="BN400" s="54">
        <v>0</v>
      </c>
      <c r="BO400" s="54">
        <v>0</v>
      </c>
      <c r="BP400" s="54">
        <v>0</v>
      </c>
      <c r="BQ400" s="54">
        <v>0</v>
      </c>
      <c r="BR400" s="368"/>
      <c r="BS400" s="53">
        <v>0</v>
      </c>
      <c r="BT400" s="53">
        <v>0</v>
      </c>
      <c r="BU400" s="53">
        <v>0</v>
      </c>
      <c r="BV400" s="53">
        <v>0</v>
      </c>
      <c r="BW400" s="53">
        <v>0</v>
      </c>
      <c r="BX400" s="53">
        <v>0</v>
      </c>
      <c r="BY400" s="53">
        <v>0</v>
      </c>
      <c r="BZ400" s="53">
        <v>0</v>
      </c>
      <c r="CA400" s="53">
        <v>0</v>
      </c>
      <c r="CB400" s="53">
        <v>0</v>
      </c>
      <c r="CC400" s="55">
        <v>47</v>
      </c>
      <c r="CD400" s="55">
        <v>91</v>
      </c>
      <c r="CE400" s="55">
        <v>196</v>
      </c>
      <c r="CF400" s="55">
        <v>237</v>
      </c>
      <c r="CG400" s="55">
        <v>101</v>
      </c>
      <c r="CH400" s="55">
        <v>149</v>
      </c>
      <c r="CI400" s="55">
        <v>-17</v>
      </c>
      <c r="CJ400" s="55">
        <v>-263</v>
      </c>
      <c r="CK400" s="55">
        <v>236</v>
      </c>
      <c r="CL400" s="55">
        <v>121</v>
      </c>
      <c r="CM400" s="55">
        <v>149</v>
      </c>
      <c r="CN400" s="55">
        <v>154</v>
      </c>
      <c r="CO400" s="55">
        <v>235</v>
      </c>
      <c r="CP400" s="55">
        <v>210</v>
      </c>
      <c r="CQ400" s="55">
        <v>141</v>
      </c>
      <c r="CR400" s="55">
        <v>23</v>
      </c>
      <c r="CS400" s="55">
        <v>8</v>
      </c>
      <c r="CT400" s="55">
        <v>4</v>
      </c>
      <c r="CU400" s="55">
        <v>0</v>
      </c>
      <c r="CV400" s="55">
        <v>0</v>
      </c>
      <c r="CW400" s="55">
        <v>0</v>
      </c>
      <c r="CX400" s="55">
        <v>0</v>
      </c>
      <c r="CY400" s="56">
        <v>0</v>
      </c>
      <c r="CZ400" s="55">
        <v>0</v>
      </c>
      <c r="DA400" s="55">
        <v>0</v>
      </c>
      <c r="DB400" s="55">
        <v>0</v>
      </c>
      <c r="DC400" s="55">
        <v>0</v>
      </c>
      <c r="DD400" s="55">
        <v>0</v>
      </c>
      <c r="DE400" s="55">
        <v>0</v>
      </c>
      <c r="DF400" s="55">
        <v>0</v>
      </c>
      <c r="DG400" s="55">
        <v>0</v>
      </c>
      <c r="DH400" s="55">
        <v>0</v>
      </c>
      <c r="DI400" s="55">
        <v>0</v>
      </c>
    </row>
    <row r="401" spans="1:113" hidden="1" outlineLevel="2">
      <c r="A401" s="1" t="s">
        <v>805</v>
      </c>
      <c r="B401" s="19" t="s">
        <v>801</v>
      </c>
      <c r="C401" s="55"/>
      <c r="D401" s="55"/>
      <c r="E401" s="55"/>
      <c r="F401" s="55"/>
      <c r="G401" s="55"/>
      <c r="H401" s="55"/>
      <c r="I401" s="55"/>
      <c r="J401" s="55"/>
      <c r="K401" s="55"/>
      <c r="L401" s="55"/>
      <c r="M401" s="55"/>
      <c r="N401" s="55"/>
      <c r="O401" s="55"/>
      <c r="P401" s="55"/>
      <c r="Q401" s="55"/>
      <c r="R401" s="55"/>
      <c r="S401" s="55"/>
      <c r="T401" s="55"/>
      <c r="U401" s="55"/>
      <c r="V401" s="55"/>
      <c r="W401" s="55"/>
      <c r="X401" s="55"/>
      <c r="Y401" s="55"/>
      <c r="Z401" s="55"/>
      <c r="AA401" s="55"/>
      <c r="AB401" s="55"/>
      <c r="AC401" s="55"/>
      <c r="AD401" s="55"/>
      <c r="AE401" s="55"/>
      <c r="AF401" s="55"/>
      <c r="AG401" s="55"/>
      <c r="AH401" s="55"/>
      <c r="AI401" s="55"/>
      <c r="AJ401" s="55"/>
      <c r="AK401" s="55"/>
      <c r="AL401" s="55"/>
      <c r="AM401" s="55"/>
      <c r="AN401" s="55"/>
      <c r="AO401" s="55"/>
      <c r="AP401" s="55"/>
      <c r="AQ401" s="55"/>
      <c r="AR401" s="55"/>
      <c r="AS401" s="55"/>
      <c r="AT401" s="55"/>
      <c r="AU401" s="55"/>
      <c r="AV401" s="55"/>
      <c r="AW401" s="56"/>
      <c r="AX401" s="55"/>
      <c r="AY401" s="55"/>
      <c r="AZ401" s="55"/>
      <c r="BA401" s="55"/>
      <c r="BB401" s="55"/>
      <c r="BC401" s="55"/>
      <c r="BD401" s="55"/>
      <c r="BE401" s="55"/>
      <c r="BF401" s="55"/>
      <c r="BG401" s="55"/>
      <c r="BH401" s="55"/>
      <c r="BI401" s="55"/>
      <c r="BJ401" s="55"/>
      <c r="BK401" s="55"/>
      <c r="BL401" s="55"/>
      <c r="BM401" s="55"/>
      <c r="BN401" s="55"/>
      <c r="BO401" s="55"/>
      <c r="BP401" s="55"/>
      <c r="BQ401" s="55"/>
      <c r="BR401" s="55"/>
      <c r="BS401" s="55"/>
      <c r="BT401" s="55"/>
      <c r="BU401" s="55"/>
      <c r="BV401" s="55"/>
      <c r="BW401" s="55"/>
      <c r="BX401" s="55"/>
      <c r="BY401" s="55"/>
      <c r="BZ401" s="55"/>
      <c r="CA401" s="55"/>
      <c r="CB401" s="55"/>
      <c r="CC401" s="55"/>
      <c r="CD401" s="55"/>
      <c r="CE401" s="55"/>
      <c r="CF401" s="55"/>
      <c r="CG401" s="55"/>
      <c r="CH401" s="55"/>
      <c r="CI401" s="55"/>
      <c r="CJ401" s="55"/>
      <c r="CK401" s="55"/>
      <c r="CL401" s="55"/>
      <c r="CM401" s="55"/>
      <c r="CN401" s="55"/>
      <c r="CO401" s="55"/>
      <c r="CP401" s="55"/>
      <c r="CQ401" s="55"/>
      <c r="CR401" s="55"/>
      <c r="CS401" s="55"/>
      <c r="CT401" s="55"/>
      <c r="CU401" s="55"/>
      <c r="CV401" s="55"/>
      <c r="CW401" s="55"/>
      <c r="CX401" s="55"/>
      <c r="CY401" s="56"/>
      <c r="CZ401" s="55"/>
      <c r="DA401" s="55"/>
      <c r="DB401" s="55"/>
    </row>
    <row r="402" spans="1:113" hidden="1" outlineLevel="2">
      <c r="A402" s="1" t="s">
        <v>110</v>
      </c>
      <c r="B402" s="19" t="s">
        <v>801</v>
      </c>
      <c r="C402" s="55"/>
      <c r="D402" s="55"/>
      <c r="E402" s="55"/>
      <c r="F402" s="55"/>
      <c r="G402" s="55"/>
      <c r="H402" s="55"/>
      <c r="I402" s="55"/>
      <c r="J402" s="55"/>
      <c r="K402" s="55"/>
      <c r="L402" s="55"/>
      <c r="M402" s="55"/>
      <c r="N402" s="55"/>
      <c r="O402" s="55"/>
      <c r="P402" s="55"/>
      <c r="Q402" s="55"/>
      <c r="R402" s="55"/>
      <c r="S402" s="55"/>
      <c r="T402" s="55"/>
      <c r="U402" s="55"/>
      <c r="V402" s="55"/>
      <c r="W402" s="55"/>
      <c r="X402" s="55"/>
      <c r="Y402" s="55"/>
      <c r="Z402" s="55"/>
      <c r="AA402" s="55"/>
      <c r="AB402" s="55"/>
      <c r="AC402" s="55"/>
      <c r="AD402" s="55"/>
      <c r="AE402" s="55"/>
      <c r="AF402" s="55"/>
      <c r="AG402" s="55"/>
      <c r="AH402" s="55"/>
      <c r="AI402" s="55"/>
      <c r="AJ402" s="55"/>
      <c r="AK402" s="55"/>
      <c r="AL402" s="55"/>
      <c r="AM402" s="55"/>
      <c r="AN402" s="55"/>
      <c r="AO402" s="55"/>
      <c r="AP402" s="55"/>
      <c r="AQ402" s="55"/>
      <c r="AR402" s="55"/>
      <c r="AS402" s="55"/>
      <c r="AT402" s="55"/>
      <c r="AU402" s="55"/>
      <c r="AV402" s="55"/>
      <c r="AW402" s="56"/>
      <c r="AX402" s="55"/>
      <c r="AY402" s="55"/>
      <c r="AZ402" s="55"/>
      <c r="BA402" s="55"/>
      <c r="BB402" s="55"/>
      <c r="BC402" s="55"/>
      <c r="BD402" s="55"/>
      <c r="BE402" s="55"/>
      <c r="BF402" s="55"/>
      <c r="BG402" s="55"/>
      <c r="BH402" s="55"/>
      <c r="BI402" s="55"/>
      <c r="BJ402" s="55"/>
      <c r="BK402" s="55"/>
      <c r="BL402" s="55"/>
      <c r="BM402" s="55"/>
      <c r="BN402" s="55"/>
      <c r="BO402" s="55"/>
      <c r="BP402" s="55"/>
      <c r="BQ402" s="55"/>
      <c r="BR402" s="55"/>
      <c r="BS402" s="55"/>
      <c r="BT402" s="55"/>
      <c r="BU402" s="55"/>
      <c r="BV402" s="55"/>
      <c r="BW402" s="55"/>
      <c r="BX402" s="55"/>
      <c r="BY402" s="55"/>
      <c r="BZ402" s="55"/>
      <c r="CA402" s="55"/>
      <c r="CB402" s="55"/>
      <c r="CC402" s="55"/>
      <c r="CD402" s="55"/>
      <c r="CE402" s="55"/>
      <c r="CF402" s="55"/>
      <c r="CG402" s="55"/>
      <c r="CH402" s="55"/>
      <c r="CI402" s="55"/>
      <c r="CJ402" s="55"/>
      <c r="CK402" s="55"/>
      <c r="CL402" s="55"/>
      <c r="CM402" s="55"/>
      <c r="CN402" s="55"/>
      <c r="CO402" s="55"/>
      <c r="CP402" s="55"/>
      <c r="CQ402" s="55"/>
      <c r="CR402" s="55"/>
      <c r="CS402" s="55"/>
      <c r="CT402" s="55"/>
      <c r="CU402" s="55"/>
      <c r="CV402" s="55"/>
      <c r="CW402" s="55"/>
      <c r="CX402" s="55"/>
      <c r="CY402" s="56"/>
      <c r="CZ402" s="55"/>
      <c r="DA402" s="55"/>
      <c r="DB402" s="55"/>
    </row>
    <row r="403" spans="1:113" hidden="1" outlineLevel="2">
      <c r="A403" s="1" t="s">
        <v>111</v>
      </c>
      <c r="B403" s="19" t="s">
        <v>801</v>
      </c>
      <c r="C403" s="55"/>
      <c r="D403" s="55"/>
      <c r="E403" s="55"/>
      <c r="F403" s="55"/>
      <c r="G403" s="55"/>
      <c r="H403" s="55"/>
      <c r="I403" s="55"/>
      <c r="J403" s="55"/>
      <c r="K403" s="55"/>
      <c r="L403" s="55"/>
      <c r="M403" s="55"/>
      <c r="N403" s="55"/>
      <c r="O403" s="55"/>
      <c r="P403" s="55"/>
      <c r="Q403" s="55"/>
      <c r="R403" s="55"/>
      <c r="S403" s="55"/>
      <c r="T403" s="55"/>
      <c r="U403" s="55"/>
      <c r="V403" s="55"/>
      <c r="W403" s="55"/>
      <c r="X403" s="55"/>
      <c r="Y403" s="55"/>
      <c r="Z403" s="55"/>
      <c r="AA403" s="55"/>
      <c r="AB403" s="55"/>
      <c r="AC403" s="55"/>
      <c r="AD403" s="55"/>
      <c r="AE403" s="55"/>
      <c r="AF403" s="55"/>
      <c r="AG403" s="55"/>
      <c r="AH403" s="55"/>
      <c r="AI403" s="55"/>
      <c r="AJ403" s="55"/>
      <c r="AK403" s="55"/>
      <c r="AL403" s="55"/>
      <c r="AM403" s="55"/>
      <c r="AN403" s="55"/>
      <c r="AO403" s="55"/>
      <c r="AP403" s="55"/>
      <c r="AQ403" s="55"/>
      <c r="AR403" s="55"/>
      <c r="AS403" s="55"/>
      <c r="AT403" s="55"/>
      <c r="AU403" s="55"/>
      <c r="AV403" s="55"/>
      <c r="AW403" s="56"/>
      <c r="AX403" s="55"/>
      <c r="AY403" s="55"/>
      <c r="AZ403" s="55"/>
      <c r="BA403" s="55"/>
      <c r="BB403" s="55"/>
      <c r="BC403" s="55"/>
      <c r="BD403" s="55"/>
      <c r="BE403" s="55"/>
      <c r="BF403" s="55"/>
      <c r="BG403" s="55"/>
      <c r="BH403" s="55"/>
      <c r="BI403" s="55"/>
      <c r="BJ403" s="55"/>
      <c r="BK403" s="55"/>
      <c r="BL403" s="55"/>
      <c r="BM403" s="55"/>
      <c r="BN403" s="55"/>
      <c r="BO403" s="55"/>
      <c r="BP403" s="55"/>
      <c r="BQ403" s="55"/>
      <c r="BR403" s="55"/>
      <c r="BS403" s="55"/>
      <c r="BT403" s="55"/>
      <c r="BU403" s="55"/>
      <c r="BV403" s="55"/>
      <c r="BW403" s="55"/>
      <c r="BX403" s="55"/>
      <c r="BY403" s="55"/>
      <c r="BZ403" s="55"/>
      <c r="CA403" s="55"/>
      <c r="CB403" s="55"/>
      <c r="CC403" s="55"/>
      <c r="CD403" s="55"/>
      <c r="CE403" s="55"/>
      <c r="CF403" s="55"/>
      <c r="CG403" s="55"/>
      <c r="CH403" s="55"/>
      <c r="CI403" s="55"/>
      <c r="CJ403" s="55"/>
      <c r="CK403" s="55"/>
      <c r="CL403" s="55"/>
      <c r="CM403" s="55"/>
      <c r="CN403" s="55"/>
      <c r="CO403" s="55"/>
      <c r="CP403" s="55"/>
      <c r="CQ403" s="55"/>
      <c r="CR403" s="55"/>
      <c r="CS403" s="55"/>
      <c r="CT403" s="55"/>
      <c r="CU403" s="55"/>
      <c r="CV403" s="55"/>
      <c r="CW403" s="55"/>
      <c r="CX403" s="55"/>
      <c r="CY403" s="56"/>
      <c r="CZ403" s="55"/>
      <c r="DA403" s="55"/>
      <c r="DB403" s="55"/>
    </row>
    <row r="404" spans="1:113" hidden="1" outlineLevel="2">
      <c r="A404" s="1" t="s">
        <v>112</v>
      </c>
      <c r="B404" s="19" t="s">
        <v>801</v>
      </c>
      <c r="C404" s="55"/>
      <c r="D404" s="55"/>
      <c r="E404" s="55"/>
      <c r="F404" s="55"/>
      <c r="G404" s="55"/>
      <c r="H404" s="55"/>
      <c r="I404" s="55"/>
      <c r="J404" s="55"/>
      <c r="K404" s="55"/>
      <c r="L404" s="55"/>
      <c r="M404" s="55"/>
      <c r="N404" s="55"/>
      <c r="O404" s="55"/>
      <c r="P404" s="55"/>
      <c r="Q404" s="55"/>
      <c r="R404" s="55"/>
      <c r="S404" s="55"/>
      <c r="T404" s="55"/>
      <c r="U404" s="55"/>
      <c r="V404" s="55"/>
      <c r="W404" s="55"/>
      <c r="X404" s="55"/>
      <c r="Y404" s="55"/>
      <c r="Z404" s="55"/>
      <c r="AA404" s="55"/>
      <c r="AB404" s="55"/>
      <c r="AC404" s="55"/>
      <c r="AD404" s="55"/>
      <c r="AE404" s="55"/>
      <c r="AF404" s="55"/>
      <c r="AG404" s="55"/>
      <c r="AH404" s="55"/>
      <c r="AI404" s="55"/>
      <c r="AJ404" s="55"/>
      <c r="AK404" s="55"/>
      <c r="AL404" s="55"/>
      <c r="AM404" s="55"/>
      <c r="AN404" s="55"/>
      <c r="AO404" s="55"/>
      <c r="AP404" s="55"/>
      <c r="AQ404" s="55"/>
      <c r="AR404" s="55"/>
      <c r="AS404" s="55"/>
      <c r="AT404" s="55"/>
      <c r="AU404" s="55"/>
      <c r="AV404" s="55"/>
      <c r="AW404" s="56"/>
      <c r="AX404" s="55"/>
      <c r="AY404" s="55"/>
      <c r="AZ404" s="55"/>
      <c r="BA404" s="55"/>
      <c r="BB404" s="55"/>
      <c r="BC404" s="55"/>
      <c r="BD404" s="55"/>
      <c r="BE404" s="55"/>
      <c r="BF404" s="55"/>
      <c r="BG404" s="55"/>
      <c r="BH404" s="55"/>
      <c r="BI404" s="55"/>
      <c r="BJ404" s="55"/>
      <c r="BK404" s="55"/>
      <c r="BL404" s="55"/>
      <c r="BM404" s="55"/>
      <c r="BN404" s="55"/>
      <c r="BO404" s="55"/>
      <c r="BP404" s="55"/>
      <c r="BQ404" s="55"/>
      <c r="BR404" s="55"/>
      <c r="BS404" s="55"/>
      <c r="BT404" s="55"/>
      <c r="BU404" s="55"/>
      <c r="BV404" s="55"/>
      <c r="BW404" s="55"/>
      <c r="BX404" s="55"/>
      <c r="BY404" s="55"/>
      <c r="BZ404" s="55"/>
      <c r="CA404" s="55"/>
      <c r="CB404" s="55"/>
      <c r="CC404" s="55"/>
      <c r="CD404" s="55"/>
      <c r="CE404" s="55"/>
      <c r="CF404" s="55"/>
      <c r="CG404" s="55"/>
      <c r="CH404" s="55"/>
      <c r="CI404" s="55"/>
      <c r="CJ404" s="55"/>
      <c r="CK404" s="55"/>
      <c r="CL404" s="55"/>
      <c r="CM404" s="55"/>
      <c r="CN404" s="55"/>
      <c r="CO404" s="55"/>
      <c r="CP404" s="55"/>
      <c r="CQ404" s="55"/>
      <c r="CR404" s="55"/>
      <c r="CS404" s="55"/>
      <c r="CT404" s="55"/>
      <c r="CU404" s="55"/>
      <c r="CV404" s="55"/>
      <c r="CW404" s="55"/>
      <c r="CX404" s="55"/>
      <c r="CY404" s="56"/>
      <c r="CZ404" s="55"/>
      <c r="DA404" s="55"/>
      <c r="DB404" s="55"/>
    </row>
    <row r="405" spans="1:113" outlineLevel="1" collapsed="1">
      <c r="A405" s="1" t="s">
        <v>806</v>
      </c>
      <c r="B405" s="19" t="s">
        <v>655</v>
      </c>
      <c r="C405" s="55">
        <v>27</v>
      </c>
      <c r="D405" s="55">
        <v>83</v>
      </c>
      <c r="E405" s="55">
        <v>76</v>
      </c>
      <c r="F405" s="55">
        <v>-50</v>
      </c>
      <c r="G405" s="55">
        <v>71</v>
      </c>
      <c r="H405" s="55">
        <v>113</v>
      </c>
      <c r="I405" s="55">
        <v>210</v>
      </c>
      <c r="J405" s="55">
        <v>38</v>
      </c>
      <c r="K405" s="55">
        <v>89</v>
      </c>
      <c r="L405" s="55">
        <v>-3</v>
      </c>
      <c r="M405" s="55">
        <v>99</v>
      </c>
      <c r="N405" s="55">
        <v>130</v>
      </c>
      <c r="O405" s="55">
        <v>11</v>
      </c>
      <c r="P405" s="55">
        <v>-36</v>
      </c>
      <c r="Q405" s="55">
        <v>-1</v>
      </c>
      <c r="R405" s="55">
        <v>4</v>
      </c>
      <c r="S405" s="55">
        <v>18</v>
      </c>
      <c r="T405" s="55">
        <v>34</v>
      </c>
      <c r="U405" s="55">
        <v>40</v>
      </c>
      <c r="V405" s="55">
        <v>-59</v>
      </c>
      <c r="W405" s="55">
        <v>410</v>
      </c>
      <c r="X405" s="55">
        <v>216</v>
      </c>
      <c r="Y405" s="55">
        <v>195</v>
      </c>
      <c r="Z405" s="55">
        <v>160</v>
      </c>
      <c r="AA405" s="55">
        <v>90</v>
      </c>
      <c r="AB405" s="55">
        <v>108</v>
      </c>
      <c r="AC405" s="55">
        <v>80</v>
      </c>
      <c r="AD405" s="55">
        <v>176</v>
      </c>
      <c r="AE405" s="55">
        <v>320</v>
      </c>
      <c r="AF405" s="55">
        <v>262</v>
      </c>
      <c r="AG405" s="55">
        <v>286</v>
      </c>
      <c r="AH405" s="55">
        <v>202</v>
      </c>
      <c r="AI405" s="55">
        <v>212</v>
      </c>
      <c r="AJ405" s="55">
        <v>196</v>
      </c>
      <c r="AK405" s="55">
        <v>84</v>
      </c>
      <c r="AL405" s="55">
        <v>222.8472204428499</v>
      </c>
      <c r="AM405" s="55">
        <v>88.152779557150097</v>
      </c>
      <c r="AN405" s="55">
        <v>231</v>
      </c>
      <c r="AO405" s="55">
        <v>123</v>
      </c>
      <c r="AP405" s="55">
        <v>60</v>
      </c>
      <c r="AQ405" s="55">
        <v>403</v>
      </c>
      <c r="AR405" s="55">
        <v>449</v>
      </c>
      <c r="AS405" s="55">
        <v>423</v>
      </c>
      <c r="AT405" s="55">
        <v>75</v>
      </c>
      <c r="AU405" s="55">
        <v>94</v>
      </c>
      <c r="AV405" s="55">
        <v>130</v>
      </c>
      <c r="AW405" s="56">
        <v>47</v>
      </c>
      <c r="AX405" s="55">
        <v>48.557206082205589</v>
      </c>
      <c r="AY405" s="55">
        <v>48.748065028541106</v>
      </c>
      <c r="AZ405" s="55">
        <v>50.570730723791456</v>
      </c>
      <c r="BA405" s="55">
        <v>50.659145601725307</v>
      </c>
      <c r="BB405" s="55">
        <v>52.275833440094516</v>
      </c>
      <c r="BC405" s="55">
        <v>52.263169939532418</v>
      </c>
      <c r="BD405" s="55">
        <v>53.908659575609946</v>
      </c>
      <c r="BE405" s="55">
        <v>54.254563585086778</v>
      </c>
      <c r="BF405" s="55">
        <v>55.963808134750295</v>
      </c>
      <c r="BG405" s="55">
        <v>56.016534272780035</v>
      </c>
      <c r="BH405" s="55">
        <v>57.944918577391711</v>
      </c>
      <c r="BI405" s="55">
        <v>58.002590535730285</v>
      </c>
      <c r="BJ405" s="55">
        <v>60.002465703518318</v>
      </c>
      <c r="BK405" s="55">
        <v>60.110440721832106</v>
      </c>
      <c r="BL405" s="55">
        <v>62.108067731505656</v>
      </c>
      <c r="BM405" s="55">
        <v>62.610970026902528</v>
      </c>
      <c r="BN405" s="55">
        <v>64.689784755251736</v>
      </c>
      <c r="BO405" s="55">
        <v>64.855803140477846</v>
      </c>
      <c r="BP405" s="55">
        <v>67.19581680115482</v>
      </c>
      <c r="BQ405" s="55">
        <v>67.36881340772608</v>
      </c>
      <c r="BR405" s="55"/>
      <c r="BS405" s="55">
        <v>292.90000000000009</v>
      </c>
      <c r="BT405" s="55">
        <v>242.30000000000018</v>
      </c>
      <c r="BU405" s="55">
        <v>171.90000000000009</v>
      </c>
      <c r="BV405" s="55">
        <v>208</v>
      </c>
      <c r="BW405" s="55">
        <v>95</v>
      </c>
      <c r="BX405" s="55">
        <v>103</v>
      </c>
      <c r="BY405" s="55">
        <v>235</v>
      </c>
      <c r="BZ405" s="55">
        <v>189</v>
      </c>
      <c r="CA405" s="55">
        <v>140</v>
      </c>
      <c r="CB405" s="55">
        <v>180</v>
      </c>
      <c r="CC405" s="55">
        <v>159</v>
      </c>
      <c r="CD405" s="55">
        <v>21</v>
      </c>
      <c r="CE405" s="55">
        <v>323</v>
      </c>
      <c r="CF405" s="55">
        <v>127</v>
      </c>
      <c r="CG405" s="55">
        <v>96</v>
      </c>
      <c r="CH405" s="55">
        <v>141</v>
      </c>
      <c r="CI405" s="55">
        <v>-37</v>
      </c>
      <c r="CJ405" s="55">
        <v>22</v>
      </c>
      <c r="CK405" s="55">
        <v>74</v>
      </c>
      <c r="CL405" s="55">
        <v>351</v>
      </c>
      <c r="CM405" s="55">
        <v>411</v>
      </c>
      <c r="CN405" s="55">
        <v>250</v>
      </c>
      <c r="CO405" s="55">
        <v>188</v>
      </c>
      <c r="CP405" s="55">
        <v>496</v>
      </c>
      <c r="CQ405" s="55">
        <v>548</v>
      </c>
      <c r="CR405" s="55">
        <v>414</v>
      </c>
      <c r="CS405" s="55">
        <v>280</v>
      </c>
      <c r="CT405" s="55">
        <v>311</v>
      </c>
      <c r="CU405" s="55">
        <v>354</v>
      </c>
      <c r="CV405" s="55">
        <v>463</v>
      </c>
      <c r="CW405" s="55">
        <v>872</v>
      </c>
      <c r="CX405" s="55">
        <v>169</v>
      </c>
      <c r="CY405" s="56">
        <v>177</v>
      </c>
      <c r="CZ405" s="55">
        <v>97.305271110746702</v>
      </c>
      <c r="DA405" s="55">
        <v>101.22987632551676</v>
      </c>
      <c r="DB405" s="55">
        <v>104.53900337962693</v>
      </c>
      <c r="DC405" s="55">
        <v>108.16322316069673</v>
      </c>
      <c r="DD405" s="55">
        <v>111.98034240753033</v>
      </c>
      <c r="DE405" s="55">
        <v>115.947509113122</v>
      </c>
      <c r="DF405" s="55">
        <v>120.11290642535042</v>
      </c>
      <c r="DG405" s="55">
        <v>124.71903775840818</v>
      </c>
      <c r="DH405" s="55">
        <v>129.54558789572957</v>
      </c>
      <c r="DI405" s="55">
        <v>134.56463020888089</v>
      </c>
    </row>
    <row r="406" spans="1:113" s="24" customFormat="1" outlineLevel="1">
      <c r="A406" s="1" t="s">
        <v>807</v>
      </c>
      <c r="B406" s="24" t="s">
        <v>571</v>
      </c>
      <c r="C406" s="82">
        <v>2190</v>
      </c>
      <c r="D406" s="82">
        <v>2197</v>
      </c>
      <c r="E406" s="82">
        <v>2161</v>
      </c>
      <c r="F406" s="82">
        <v>2031</v>
      </c>
      <c r="G406" s="82">
        <v>2342</v>
      </c>
      <c r="H406" s="82">
        <v>2540</v>
      </c>
      <c r="I406" s="82">
        <v>2541</v>
      </c>
      <c r="J406" s="82">
        <v>2497</v>
      </c>
      <c r="K406" s="82">
        <v>2579</v>
      </c>
      <c r="L406" s="82">
        <v>2610</v>
      </c>
      <c r="M406" s="82">
        <v>2812</v>
      </c>
      <c r="N406" s="82">
        <v>3072</v>
      </c>
      <c r="O406" s="82">
        <v>3089</v>
      </c>
      <c r="P406" s="82">
        <v>3117</v>
      </c>
      <c r="Q406" s="82">
        <v>3317</v>
      </c>
      <c r="R406" s="82">
        <v>3408</v>
      </c>
      <c r="S406" s="82">
        <v>3342</v>
      </c>
      <c r="T406" s="82">
        <v>3630</v>
      </c>
      <c r="U406" s="82">
        <v>3561</v>
      </c>
      <c r="V406" s="82">
        <v>3562</v>
      </c>
      <c r="W406" s="82">
        <v>3452</v>
      </c>
      <c r="X406" s="82">
        <v>3461</v>
      </c>
      <c r="Y406" s="82">
        <v>3532</v>
      </c>
      <c r="Z406" s="82">
        <v>3427</v>
      </c>
      <c r="AA406" s="82">
        <v>3450</v>
      </c>
      <c r="AB406" s="82">
        <v>3704</v>
      </c>
      <c r="AC406" s="82">
        <v>3606</v>
      </c>
      <c r="AD406" s="82">
        <v>3826</v>
      </c>
      <c r="AE406" s="82">
        <v>3925</v>
      </c>
      <c r="AF406" s="82">
        <v>3993</v>
      </c>
      <c r="AG406" s="82">
        <v>3819</v>
      </c>
      <c r="AH406" s="82">
        <v>3728</v>
      </c>
      <c r="AI406" s="82">
        <v>3629</v>
      </c>
      <c r="AJ406" s="82">
        <v>3392</v>
      </c>
      <c r="AK406" s="82">
        <v>3188</v>
      </c>
      <c r="AL406" s="82">
        <v>2789.4349070100143</v>
      </c>
      <c r="AM406" s="82">
        <v>2565.5650929899857</v>
      </c>
      <c r="AN406" s="82">
        <v>2673</v>
      </c>
      <c r="AO406" s="82">
        <v>2478</v>
      </c>
      <c r="AP406" s="82">
        <v>2361</v>
      </c>
      <c r="AQ406" s="82">
        <v>2493</v>
      </c>
      <c r="AR406" s="82">
        <v>2359</v>
      </c>
      <c r="AS406" s="82">
        <v>2341</v>
      </c>
      <c r="AT406" s="82">
        <v>1986</v>
      </c>
      <c r="AU406" s="82">
        <v>2093</v>
      </c>
      <c r="AV406" s="82">
        <v>2245</v>
      </c>
      <c r="AW406" s="83">
        <v>2105</v>
      </c>
      <c r="AX406" s="82">
        <v>2139.7502083688928</v>
      </c>
      <c r="AY406" s="82">
        <v>2119.306344634073</v>
      </c>
      <c r="AZ406" s="82">
        <v>2208.8347776378514</v>
      </c>
      <c r="BA406" s="82">
        <v>2191.2782205482263</v>
      </c>
      <c r="BB406" s="82">
        <v>2279.6771688780386</v>
      </c>
      <c r="BC406" s="82">
        <v>2262.3443245088561</v>
      </c>
      <c r="BD406" s="82">
        <v>2353.7509085179654</v>
      </c>
      <c r="BE406" s="82">
        <v>2352.0093020247291</v>
      </c>
      <c r="BF406" s="82">
        <v>2447.0862876788483</v>
      </c>
      <c r="BG406" s="82">
        <v>2432.0545905515178</v>
      </c>
      <c r="BH406" s="82">
        <v>2537.5321105721659</v>
      </c>
      <c r="BI406" s="82">
        <v>2522.1612513697223</v>
      </c>
      <c r="BJ406" s="82">
        <v>2631.6801913860922</v>
      </c>
      <c r="BK406" s="82">
        <v>2618.1675330382318</v>
      </c>
      <c r="BL406" s="82">
        <v>2729.0365827877054</v>
      </c>
      <c r="BM406" s="82">
        <v>2732.4160079005342</v>
      </c>
      <c r="BN406" s="82">
        <v>2847.9864368174412</v>
      </c>
      <c r="BO406" s="82">
        <v>2835.9466528963276</v>
      </c>
      <c r="BP406" s="82">
        <v>2964.0751411565016</v>
      </c>
      <c r="BQ406" s="82">
        <v>2951.6496961644775</v>
      </c>
      <c r="BR406" s="82"/>
      <c r="BS406" s="82">
        <v>1404</v>
      </c>
      <c r="BT406" s="82">
        <v>1386</v>
      </c>
      <c r="BU406" s="82">
        <v>1415</v>
      </c>
      <c r="BV406" s="82">
        <v>1484</v>
      </c>
      <c r="BW406" s="82">
        <v>1355</v>
      </c>
      <c r="BX406" s="82">
        <v>1489</v>
      </c>
      <c r="BY406" s="82">
        <v>1833</v>
      </c>
      <c r="BZ406" s="82">
        <v>1997</v>
      </c>
      <c r="CA406" s="82">
        <v>2420</v>
      </c>
      <c r="CB406" s="82">
        <v>4350</v>
      </c>
      <c r="CC406" s="82">
        <v>4358</v>
      </c>
      <c r="CD406" s="82">
        <v>4373</v>
      </c>
      <c r="CE406" s="82">
        <v>5081</v>
      </c>
      <c r="CF406" s="82">
        <v>5076</v>
      </c>
      <c r="CG406" s="82">
        <v>5422</v>
      </c>
      <c r="CH406" s="82">
        <v>6161</v>
      </c>
      <c r="CI406" s="82">
        <v>6434</v>
      </c>
      <c r="CJ406" s="82">
        <v>6750</v>
      </c>
      <c r="CK406" s="82">
        <v>7191</v>
      </c>
      <c r="CL406" s="82">
        <v>7014</v>
      </c>
      <c r="CM406" s="82">
        <v>6993</v>
      </c>
      <c r="CN406" s="82">
        <v>6877</v>
      </c>
      <c r="CO406" s="82">
        <v>7310</v>
      </c>
      <c r="CP406" s="82">
        <v>7751</v>
      </c>
      <c r="CQ406" s="82">
        <v>7812</v>
      </c>
      <c r="CR406" s="82">
        <v>7357</v>
      </c>
      <c r="CS406" s="82">
        <v>6580</v>
      </c>
      <c r="CT406" s="82">
        <v>5355</v>
      </c>
      <c r="CU406" s="82">
        <v>5151</v>
      </c>
      <c r="CV406" s="82">
        <v>4854</v>
      </c>
      <c r="CW406" s="82">
        <v>4700</v>
      </c>
      <c r="CX406" s="82">
        <v>4079</v>
      </c>
      <c r="CY406" s="83">
        <v>4350</v>
      </c>
      <c r="CZ406" s="82">
        <v>4259.0565530029653</v>
      </c>
      <c r="DA406" s="82">
        <v>4400.1129981860777</v>
      </c>
      <c r="DB406" s="82">
        <v>4542.0214933868947</v>
      </c>
      <c r="DC406" s="82">
        <v>4705.760210542694</v>
      </c>
      <c r="DD406" s="82">
        <v>4879.1408782303661</v>
      </c>
      <c r="DE406" s="82">
        <v>5059.6933619418887</v>
      </c>
      <c r="DF406" s="82">
        <v>5249.847724424324</v>
      </c>
      <c r="DG406" s="82">
        <v>5461.4525906882391</v>
      </c>
      <c r="DH406" s="82">
        <v>5683.9330897137688</v>
      </c>
      <c r="DI406" s="82">
        <v>5915.7248373209786</v>
      </c>
    </row>
    <row r="407" spans="1:113" outlineLevel="1">
      <c r="A407" s="1" t="s">
        <v>808</v>
      </c>
      <c r="B407" s="19" t="s">
        <v>712</v>
      </c>
      <c r="C407" s="53">
        <v>0</v>
      </c>
      <c r="D407" s="53">
        <v>0</v>
      </c>
      <c r="E407" s="53">
        <v>0</v>
      </c>
      <c r="F407" s="53">
        <v>0</v>
      </c>
      <c r="G407" s="53">
        <v>0</v>
      </c>
      <c r="H407" s="53">
        <v>0</v>
      </c>
      <c r="I407" s="53">
        <v>0</v>
      </c>
      <c r="J407" s="53">
        <v>0</v>
      </c>
      <c r="K407" s="53">
        <v>0</v>
      </c>
      <c r="L407" s="53">
        <v>145</v>
      </c>
      <c r="M407" s="53">
        <v>0</v>
      </c>
      <c r="N407" s="53">
        <v>0</v>
      </c>
      <c r="O407" s="53">
        <v>0</v>
      </c>
      <c r="P407" s="53">
        <v>0</v>
      </c>
      <c r="Q407" s="53">
        <v>0</v>
      </c>
      <c r="R407" s="53">
        <v>0</v>
      </c>
      <c r="S407" s="53">
        <v>0</v>
      </c>
      <c r="T407" s="53">
        <v>0</v>
      </c>
      <c r="U407" s="53">
        <v>0</v>
      </c>
      <c r="V407" s="53">
        <v>0</v>
      </c>
      <c r="W407" s="53">
        <v>0</v>
      </c>
      <c r="X407" s="53">
        <v>0</v>
      </c>
      <c r="Y407" s="53">
        <v>0</v>
      </c>
      <c r="Z407" s="53">
        <v>0</v>
      </c>
      <c r="AA407" s="164">
        <v>0</v>
      </c>
      <c r="AB407" s="164">
        <v>0</v>
      </c>
      <c r="AC407" s="164">
        <v>0</v>
      </c>
      <c r="AD407" s="164">
        <v>0</v>
      </c>
      <c r="AE407" s="164">
        <v>0</v>
      </c>
      <c r="AF407" s="164">
        <v>0</v>
      </c>
      <c r="AG407" s="164">
        <v>0</v>
      </c>
      <c r="AH407" s="164">
        <v>397</v>
      </c>
      <c r="AI407" s="164">
        <v>0</v>
      </c>
      <c r="AJ407" s="164">
        <v>0</v>
      </c>
      <c r="AK407" s="164">
        <v>0</v>
      </c>
      <c r="AL407" s="164">
        <v>0</v>
      </c>
      <c r="AM407" s="164">
        <v>0</v>
      </c>
      <c r="AN407" s="164">
        <v>0</v>
      </c>
      <c r="AO407" s="164">
        <v>0</v>
      </c>
      <c r="AP407" s="164">
        <v>0</v>
      </c>
      <c r="AQ407" s="164">
        <v>0</v>
      </c>
      <c r="AR407" s="164">
        <v>0</v>
      </c>
      <c r="AS407" s="164">
        <v>516</v>
      </c>
      <c r="AT407" s="164">
        <v>0</v>
      </c>
      <c r="AU407" s="164">
        <v>0</v>
      </c>
      <c r="AV407" s="164">
        <v>0</v>
      </c>
      <c r="AW407" s="171">
        <v>0</v>
      </c>
      <c r="AX407" s="54">
        <v>0</v>
      </c>
      <c r="AY407" s="54">
        <v>0</v>
      </c>
      <c r="AZ407" s="54">
        <v>0</v>
      </c>
      <c r="BA407" s="54">
        <v>0</v>
      </c>
      <c r="BB407" s="54">
        <v>0</v>
      </c>
      <c r="BC407" s="54">
        <v>0</v>
      </c>
      <c r="BD407" s="54">
        <v>0</v>
      </c>
      <c r="BE407" s="54">
        <v>0</v>
      </c>
      <c r="BF407" s="54">
        <v>0</v>
      </c>
      <c r="BG407" s="54">
        <v>0</v>
      </c>
      <c r="BH407" s="54">
        <v>0</v>
      </c>
      <c r="BI407" s="54">
        <v>0</v>
      </c>
      <c r="BJ407" s="54">
        <v>0</v>
      </c>
      <c r="BK407" s="54">
        <v>0</v>
      </c>
      <c r="BL407" s="54">
        <v>0</v>
      </c>
      <c r="BM407" s="54">
        <v>0</v>
      </c>
      <c r="BN407" s="54">
        <v>0</v>
      </c>
      <c r="BO407" s="54">
        <v>0</v>
      </c>
      <c r="BP407" s="54">
        <v>0</v>
      </c>
      <c r="BQ407" s="54">
        <v>0</v>
      </c>
      <c r="BR407" s="55"/>
      <c r="BS407" s="53">
        <v>0</v>
      </c>
      <c r="BT407" s="53">
        <v>0</v>
      </c>
      <c r="BU407" s="53">
        <v>0</v>
      </c>
      <c r="BV407" s="53">
        <v>0</v>
      </c>
      <c r="BW407" s="53">
        <v>0</v>
      </c>
      <c r="BX407" s="53">
        <v>0</v>
      </c>
      <c r="BY407" s="53">
        <v>0</v>
      </c>
      <c r="BZ407" s="53">
        <v>0</v>
      </c>
      <c r="CA407" s="53">
        <v>0</v>
      </c>
      <c r="CB407" s="53">
        <v>0</v>
      </c>
      <c r="CC407" s="55">
        <v>0</v>
      </c>
      <c r="CD407" s="55">
        <v>0</v>
      </c>
      <c r="CE407" s="55">
        <v>0</v>
      </c>
      <c r="CF407" s="55">
        <v>0</v>
      </c>
      <c r="CG407" s="55">
        <v>145</v>
      </c>
      <c r="CH407" s="55">
        <v>0</v>
      </c>
      <c r="CI407" s="55">
        <v>0</v>
      </c>
      <c r="CJ407" s="55">
        <v>0</v>
      </c>
      <c r="CK407" s="55">
        <v>0</v>
      </c>
      <c r="CL407" s="55">
        <v>0</v>
      </c>
      <c r="CM407" s="55">
        <v>0</v>
      </c>
      <c r="CN407" s="55">
        <v>0</v>
      </c>
      <c r="CO407" s="55">
        <v>0</v>
      </c>
      <c r="CP407" s="55">
        <v>0</v>
      </c>
      <c r="CQ407" s="55">
        <v>0</v>
      </c>
      <c r="CR407" s="55">
        <v>397</v>
      </c>
      <c r="CS407" s="55">
        <v>0</v>
      </c>
      <c r="CT407" s="55">
        <v>0</v>
      </c>
      <c r="CU407" s="55">
        <v>0</v>
      </c>
      <c r="CV407" s="55">
        <v>0</v>
      </c>
      <c r="CW407" s="55">
        <v>516</v>
      </c>
      <c r="CX407" s="55">
        <v>0</v>
      </c>
      <c r="CY407" s="56">
        <v>0</v>
      </c>
      <c r="CZ407" s="55">
        <v>0</v>
      </c>
      <c r="DA407" s="55">
        <v>0</v>
      </c>
      <c r="DB407" s="55">
        <v>0</v>
      </c>
      <c r="DC407" s="55">
        <v>0</v>
      </c>
      <c r="DD407" s="55">
        <v>0</v>
      </c>
      <c r="DE407" s="55">
        <v>0</v>
      </c>
      <c r="DF407" s="55">
        <v>0</v>
      </c>
      <c r="DG407" s="55">
        <v>0</v>
      </c>
      <c r="DH407" s="55">
        <v>0</v>
      </c>
      <c r="DI407" s="55">
        <v>0</v>
      </c>
    </row>
    <row r="408" spans="1:113" s="24" customFormat="1" outlineLevel="1">
      <c r="A408" s="1" t="s">
        <v>120</v>
      </c>
      <c r="B408" s="24" t="s">
        <v>168</v>
      </c>
      <c r="C408" s="82">
        <v>2190</v>
      </c>
      <c r="D408" s="82">
        <v>2197</v>
      </c>
      <c r="E408" s="82">
        <v>2161</v>
      </c>
      <c r="F408" s="82">
        <v>2031</v>
      </c>
      <c r="G408" s="82">
        <v>2342</v>
      </c>
      <c r="H408" s="82">
        <v>2540</v>
      </c>
      <c r="I408" s="82">
        <v>2541</v>
      </c>
      <c r="J408" s="82">
        <v>2497</v>
      </c>
      <c r="K408" s="82">
        <v>2579</v>
      </c>
      <c r="L408" s="82">
        <v>2755</v>
      </c>
      <c r="M408" s="82">
        <v>2812</v>
      </c>
      <c r="N408" s="82">
        <v>3072</v>
      </c>
      <c r="O408" s="82">
        <v>3089</v>
      </c>
      <c r="P408" s="82">
        <v>3117</v>
      </c>
      <c r="Q408" s="82">
        <v>3317</v>
      </c>
      <c r="R408" s="82">
        <v>3408</v>
      </c>
      <c r="S408" s="82">
        <v>3342</v>
      </c>
      <c r="T408" s="82">
        <v>3630</v>
      </c>
      <c r="U408" s="82">
        <v>3561</v>
      </c>
      <c r="V408" s="82">
        <v>3562</v>
      </c>
      <c r="W408" s="82">
        <v>3452</v>
      </c>
      <c r="X408" s="82">
        <v>3461</v>
      </c>
      <c r="Y408" s="82">
        <v>3532</v>
      </c>
      <c r="Z408" s="82">
        <v>3427</v>
      </c>
      <c r="AA408" s="82">
        <v>3450</v>
      </c>
      <c r="AB408" s="82">
        <v>3704</v>
      </c>
      <c r="AC408" s="82">
        <v>3606</v>
      </c>
      <c r="AD408" s="82">
        <v>3826</v>
      </c>
      <c r="AE408" s="82">
        <v>3925</v>
      </c>
      <c r="AF408" s="82">
        <v>3993</v>
      </c>
      <c r="AG408" s="82">
        <v>3819</v>
      </c>
      <c r="AH408" s="82">
        <v>4125</v>
      </c>
      <c r="AI408" s="82">
        <v>3629</v>
      </c>
      <c r="AJ408" s="82">
        <v>3392</v>
      </c>
      <c r="AK408" s="82">
        <v>3188</v>
      </c>
      <c r="AL408" s="82">
        <v>2789.4349070100143</v>
      </c>
      <c r="AM408" s="82">
        <v>2565.5650929899857</v>
      </c>
      <c r="AN408" s="82">
        <v>2673</v>
      </c>
      <c r="AO408" s="82">
        <v>2478</v>
      </c>
      <c r="AP408" s="82">
        <v>2361</v>
      </c>
      <c r="AQ408" s="82">
        <v>2493</v>
      </c>
      <c r="AR408" s="82">
        <v>2359</v>
      </c>
      <c r="AS408" s="82">
        <v>2857</v>
      </c>
      <c r="AT408" s="82">
        <v>1986</v>
      </c>
      <c r="AU408" s="82">
        <v>2093</v>
      </c>
      <c r="AV408" s="82">
        <v>2245</v>
      </c>
      <c r="AW408" s="83">
        <v>2105</v>
      </c>
      <c r="AX408" s="82">
        <v>2139.7502083688928</v>
      </c>
      <c r="AY408" s="82">
        <v>2119.306344634073</v>
      </c>
      <c r="AZ408" s="82">
        <v>2208.8347776378514</v>
      </c>
      <c r="BA408" s="82">
        <v>2191.2782205482263</v>
      </c>
      <c r="BB408" s="82">
        <v>2279.6771688780386</v>
      </c>
      <c r="BC408" s="82">
        <v>2262.3443245088561</v>
      </c>
      <c r="BD408" s="82">
        <v>2353.7509085179654</v>
      </c>
      <c r="BE408" s="82">
        <v>2352.0093020247291</v>
      </c>
      <c r="BF408" s="82">
        <v>2447.0862876788483</v>
      </c>
      <c r="BG408" s="82">
        <v>2432.0545905515178</v>
      </c>
      <c r="BH408" s="82">
        <v>2537.5321105721659</v>
      </c>
      <c r="BI408" s="82">
        <v>2522.1612513697223</v>
      </c>
      <c r="BJ408" s="82">
        <v>2631.6801913860922</v>
      </c>
      <c r="BK408" s="82">
        <v>2618.1675330382318</v>
      </c>
      <c r="BL408" s="82">
        <v>2729.0365827877054</v>
      </c>
      <c r="BM408" s="82">
        <v>2732.4160079005342</v>
      </c>
      <c r="BN408" s="82">
        <v>2847.9864368174412</v>
      </c>
      <c r="BO408" s="82">
        <v>2835.9466528963276</v>
      </c>
      <c r="BP408" s="82">
        <v>2964.0751411565016</v>
      </c>
      <c r="BQ408" s="82">
        <v>2951.6496961644775</v>
      </c>
      <c r="BR408" s="82"/>
      <c r="BS408" s="82">
        <v>1404</v>
      </c>
      <c r="BT408" s="82">
        <v>1386</v>
      </c>
      <c r="BU408" s="82">
        <v>1415</v>
      </c>
      <c r="BV408" s="82">
        <v>1484</v>
      </c>
      <c r="BW408" s="82">
        <v>1355</v>
      </c>
      <c r="BX408" s="82">
        <v>1489</v>
      </c>
      <c r="BY408" s="82">
        <v>1833</v>
      </c>
      <c r="BZ408" s="82">
        <v>1997</v>
      </c>
      <c r="CA408" s="82">
        <v>2420</v>
      </c>
      <c r="CB408" s="82">
        <v>4350</v>
      </c>
      <c r="CC408" s="82">
        <v>4358</v>
      </c>
      <c r="CD408" s="82">
        <v>4373</v>
      </c>
      <c r="CE408" s="82">
        <v>5081</v>
      </c>
      <c r="CF408" s="82">
        <v>5076</v>
      </c>
      <c r="CG408" s="82">
        <v>5567</v>
      </c>
      <c r="CH408" s="82">
        <v>6161</v>
      </c>
      <c r="CI408" s="82">
        <v>6434</v>
      </c>
      <c r="CJ408" s="82">
        <v>6750</v>
      </c>
      <c r="CK408" s="82">
        <v>7191</v>
      </c>
      <c r="CL408" s="82">
        <v>7014</v>
      </c>
      <c r="CM408" s="82">
        <v>6993</v>
      </c>
      <c r="CN408" s="82">
        <v>6877</v>
      </c>
      <c r="CO408" s="82">
        <v>7310</v>
      </c>
      <c r="CP408" s="82">
        <v>7751</v>
      </c>
      <c r="CQ408" s="82">
        <v>7812</v>
      </c>
      <c r="CR408" s="82">
        <v>7754</v>
      </c>
      <c r="CS408" s="82">
        <v>6580</v>
      </c>
      <c r="CT408" s="82">
        <v>5355</v>
      </c>
      <c r="CU408" s="82">
        <v>5151</v>
      </c>
      <c r="CV408" s="82">
        <v>4854</v>
      </c>
      <c r="CW408" s="82">
        <v>5216</v>
      </c>
      <c r="CX408" s="82">
        <v>4079</v>
      </c>
      <c r="CY408" s="83">
        <v>4350</v>
      </c>
      <c r="CZ408" s="82">
        <v>4259.0565530029653</v>
      </c>
      <c r="DA408" s="82">
        <v>4400.1129981860777</v>
      </c>
      <c r="DB408" s="82">
        <v>4542.0214933868947</v>
      </c>
      <c r="DC408" s="82">
        <v>4705.760210542694</v>
      </c>
      <c r="DD408" s="82">
        <v>4879.1408782303661</v>
      </c>
      <c r="DE408" s="82">
        <v>5059.6933619418887</v>
      </c>
      <c r="DF408" s="82">
        <v>5249.847724424324</v>
      </c>
      <c r="DG408" s="82">
        <v>5461.4525906882391</v>
      </c>
      <c r="DH408" s="82">
        <v>5683.9330897137688</v>
      </c>
      <c r="DI408" s="82">
        <v>5915.7248373209786</v>
      </c>
    </row>
    <row r="409" spans="1:113" hidden="1" outlineLevel="2">
      <c r="A409" s="1" t="s">
        <v>809</v>
      </c>
      <c r="B409" s="19" t="s">
        <v>854</v>
      </c>
      <c r="C409" s="55">
        <v>0</v>
      </c>
      <c r="D409" s="55">
        <v>0</v>
      </c>
      <c r="E409" s="55">
        <v>0</v>
      </c>
      <c r="F409" s="55">
        <v>0</v>
      </c>
      <c r="G409" s="55">
        <v>0</v>
      </c>
      <c r="H409" s="55">
        <v>0</v>
      </c>
      <c r="I409" s="55">
        <v>0</v>
      </c>
      <c r="J409" s="55">
        <v>0</v>
      </c>
      <c r="K409" s="55">
        <v>0</v>
      </c>
      <c r="L409" s="55">
        <v>0</v>
      </c>
      <c r="M409" s="55">
        <v>0</v>
      </c>
      <c r="N409" s="55">
        <v>0</v>
      </c>
      <c r="O409" s="55">
        <v>0</v>
      </c>
      <c r="P409" s="55">
        <v>0</v>
      </c>
      <c r="Q409" s="55">
        <v>0</v>
      </c>
      <c r="R409" s="55">
        <v>0</v>
      </c>
      <c r="S409" s="55">
        <v>0</v>
      </c>
      <c r="T409" s="55">
        <v>0</v>
      </c>
      <c r="U409" s="55">
        <v>0</v>
      </c>
      <c r="V409" s="55">
        <v>0</v>
      </c>
      <c r="W409" s="55">
        <v>0</v>
      </c>
      <c r="X409" s="55">
        <v>0</v>
      </c>
      <c r="Y409" s="55">
        <v>0</v>
      </c>
      <c r="Z409" s="55">
        <v>0</v>
      </c>
      <c r="AA409" s="55">
        <v>0</v>
      </c>
      <c r="AB409" s="55">
        <v>0</v>
      </c>
      <c r="AC409" s="55">
        <v>0</v>
      </c>
      <c r="AD409" s="55">
        <v>0</v>
      </c>
      <c r="AE409" s="55">
        <v>0</v>
      </c>
      <c r="AF409" s="55">
        <v>0</v>
      </c>
      <c r="AG409" s="55">
        <v>0</v>
      </c>
      <c r="AH409" s="55">
        <v>0</v>
      </c>
      <c r="AI409" s="55">
        <v>0</v>
      </c>
      <c r="AJ409" s="55">
        <v>0</v>
      </c>
      <c r="AK409" s="55">
        <v>0</v>
      </c>
      <c r="AL409" s="55">
        <v>0</v>
      </c>
      <c r="AM409" s="55">
        <v>0</v>
      </c>
      <c r="AN409" s="55">
        <v>0</v>
      </c>
      <c r="AO409" s="55">
        <v>0</v>
      </c>
      <c r="AP409" s="55">
        <v>0</v>
      </c>
      <c r="AQ409" s="55">
        <v>0</v>
      </c>
      <c r="AR409" s="55">
        <v>0</v>
      </c>
      <c r="AS409" s="55">
        <v>0</v>
      </c>
      <c r="AT409" s="55">
        <v>0</v>
      </c>
      <c r="AU409" s="55">
        <v>0</v>
      </c>
      <c r="AV409" s="55">
        <v>0</v>
      </c>
      <c r="AW409" s="56">
        <v>0</v>
      </c>
      <c r="AX409" s="55">
        <v>0</v>
      </c>
      <c r="AY409" s="55">
        <v>0</v>
      </c>
      <c r="AZ409" s="55">
        <v>0</v>
      </c>
      <c r="BA409" s="55">
        <v>0</v>
      </c>
      <c r="BB409" s="55">
        <v>0</v>
      </c>
      <c r="BC409" s="55">
        <v>0</v>
      </c>
      <c r="BD409" s="55">
        <v>0</v>
      </c>
      <c r="BE409" s="55">
        <v>0</v>
      </c>
      <c r="BF409" s="55">
        <v>0</v>
      </c>
      <c r="BG409" s="55">
        <v>0</v>
      </c>
      <c r="BH409" s="55">
        <v>0</v>
      </c>
      <c r="BI409" s="55">
        <v>0</v>
      </c>
      <c r="BJ409" s="55">
        <v>0</v>
      </c>
      <c r="BK409" s="55">
        <v>0</v>
      </c>
      <c r="BL409" s="55">
        <v>0</v>
      </c>
      <c r="BM409" s="55">
        <v>0</v>
      </c>
      <c r="BN409" s="55">
        <v>0</v>
      </c>
      <c r="BO409" s="55">
        <v>0</v>
      </c>
      <c r="BP409" s="55">
        <v>0</v>
      </c>
      <c r="BQ409" s="55">
        <v>0</v>
      </c>
      <c r="BR409" s="55"/>
      <c r="BS409" s="55">
        <v>0</v>
      </c>
      <c r="BT409" s="55">
        <v>0</v>
      </c>
      <c r="BU409" s="55">
        <v>0</v>
      </c>
      <c r="BV409" s="55">
        <v>0</v>
      </c>
      <c r="BW409" s="55">
        <v>0</v>
      </c>
      <c r="BX409" s="55">
        <v>0</v>
      </c>
      <c r="BY409" s="55">
        <v>0</v>
      </c>
      <c r="BZ409" s="55">
        <v>0</v>
      </c>
      <c r="CA409" s="55">
        <v>0</v>
      </c>
      <c r="CB409" s="55">
        <v>0</v>
      </c>
      <c r="CC409" s="55">
        <v>0</v>
      </c>
      <c r="CD409" s="55">
        <v>0</v>
      </c>
      <c r="CE409" s="55">
        <v>0</v>
      </c>
      <c r="CF409" s="55">
        <v>0</v>
      </c>
      <c r="CG409" s="55">
        <v>0</v>
      </c>
      <c r="CH409" s="55">
        <v>0</v>
      </c>
      <c r="CI409" s="55">
        <v>0</v>
      </c>
      <c r="CJ409" s="55">
        <v>0</v>
      </c>
      <c r="CK409" s="55">
        <v>0</v>
      </c>
      <c r="CL409" s="55">
        <v>0</v>
      </c>
      <c r="CM409" s="55">
        <v>0</v>
      </c>
      <c r="CN409" s="55">
        <v>0</v>
      </c>
      <c r="CO409" s="55">
        <v>0</v>
      </c>
      <c r="CP409" s="55">
        <v>0</v>
      </c>
      <c r="CQ409" s="55">
        <v>0</v>
      </c>
      <c r="CR409" s="55">
        <v>0</v>
      </c>
      <c r="CS409" s="55">
        <v>0</v>
      </c>
      <c r="CT409" s="55">
        <v>0</v>
      </c>
      <c r="CU409" s="55">
        <v>0</v>
      </c>
      <c r="CV409" s="55">
        <v>0</v>
      </c>
      <c r="CW409" s="55">
        <v>0</v>
      </c>
      <c r="CX409" s="55">
        <v>0</v>
      </c>
      <c r="CY409" s="56">
        <v>0</v>
      </c>
      <c r="CZ409" s="55">
        <v>0</v>
      </c>
      <c r="DA409" s="55">
        <v>0</v>
      </c>
      <c r="DB409" s="55">
        <v>0</v>
      </c>
      <c r="DC409" s="55">
        <v>0</v>
      </c>
      <c r="DD409" s="55">
        <v>0</v>
      </c>
      <c r="DE409" s="55">
        <v>0</v>
      </c>
      <c r="DF409" s="55">
        <v>0</v>
      </c>
      <c r="DG409" s="55">
        <v>0</v>
      </c>
      <c r="DH409" s="55">
        <v>0</v>
      </c>
      <c r="DI409" s="55">
        <v>0</v>
      </c>
    </row>
    <row r="410" spans="1:113" hidden="1" outlineLevel="2">
      <c r="A410" s="1" t="s">
        <v>113</v>
      </c>
      <c r="B410" s="19" t="s">
        <v>369</v>
      </c>
      <c r="C410" s="53"/>
      <c r="D410" s="53"/>
      <c r="E410" s="53"/>
      <c r="F410" s="53"/>
      <c r="G410" s="53"/>
      <c r="H410" s="53"/>
      <c r="I410" s="53"/>
      <c r="J410" s="53"/>
      <c r="K410" s="53"/>
      <c r="L410" s="53">
        <v>0</v>
      </c>
      <c r="M410" s="53">
        <v>0</v>
      </c>
      <c r="N410" s="53">
        <v>0</v>
      </c>
      <c r="O410" s="53">
        <v>0</v>
      </c>
      <c r="P410" s="53">
        <v>0</v>
      </c>
      <c r="Q410" s="53">
        <v>0</v>
      </c>
      <c r="R410" s="53">
        <v>0</v>
      </c>
      <c r="S410" s="53">
        <v>0</v>
      </c>
      <c r="T410" s="53">
        <v>0</v>
      </c>
      <c r="U410" s="53">
        <v>0</v>
      </c>
      <c r="V410" s="53">
        <v>0</v>
      </c>
      <c r="W410" s="53">
        <v>0</v>
      </c>
      <c r="X410" s="53">
        <v>0</v>
      </c>
      <c r="Y410" s="53">
        <v>0</v>
      </c>
      <c r="Z410" s="53">
        <v>0</v>
      </c>
      <c r="AA410" s="164">
        <v>0</v>
      </c>
      <c r="AB410" s="164">
        <v>0</v>
      </c>
      <c r="AC410" s="164">
        <v>0</v>
      </c>
      <c r="AD410" s="164">
        <v>0</v>
      </c>
      <c r="AE410" s="164">
        <v>0</v>
      </c>
      <c r="AF410" s="164">
        <v>0</v>
      </c>
      <c r="AG410" s="164">
        <v>0</v>
      </c>
      <c r="AH410" s="164">
        <v>0</v>
      </c>
      <c r="AI410" s="164">
        <v>0</v>
      </c>
      <c r="AJ410" s="164">
        <v>0</v>
      </c>
      <c r="AK410" s="164">
        <v>0</v>
      </c>
      <c r="AL410" s="164">
        <v>0</v>
      </c>
      <c r="AM410" s="164">
        <v>0</v>
      </c>
      <c r="AN410" s="164">
        <v>0</v>
      </c>
      <c r="AO410" s="164">
        <v>0</v>
      </c>
      <c r="AP410" s="164">
        <v>0</v>
      </c>
      <c r="AQ410" s="164">
        <v>0</v>
      </c>
      <c r="AR410" s="164">
        <v>0</v>
      </c>
      <c r="AS410" s="164">
        <v>0</v>
      </c>
      <c r="AT410" s="164">
        <v>0</v>
      </c>
      <c r="AU410" s="164">
        <v>0</v>
      </c>
      <c r="AV410" s="164">
        <v>0</v>
      </c>
      <c r="AW410" s="171">
        <v>0</v>
      </c>
      <c r="AX410" s="54">
        <v>0</v>
      </c>
      <c r="AY410" s="54">
        <v>0</v>
      </c>
      <c r="AZ410" s="54">
        <v>0</v>
      </c>
      <c r="BA410" s="54">
        <v>0</v>
      </c>
      <c r="BB410" s="54">
        <v>0</v>
      </c>
      <c r="BC410" s="54">
        <v>0</v>
      </c>
      <c r="BD410" s="54">
        <v>0</v>
      </c>
      <c r="BE410" s="54">
        <v>0</v>
      </c>
      <c r="BF410" s="54">
        <v>0</v>
      </c>
      <c r="BG410" s="54">
        <v>0</v>
      </c>
      <c r="BH410" s="54">
        <v>0</v>
      </c>
      <c r="BI410" s="54">
        <v>0</v>
      </c>
      <c r="BJ410" s="54">
        <v>0</v>
      </c>
      <c r="BK410" s="54">
        <v>0</v>
      </c>
      <c r="BL410" s="54">
        <v>0</v>
      </c>
      <c r="BM410" s="54">
        <v>0</v>
      </c>
      <c r="BN410" s="54">
        <v>0</v>
      </c>
      <c r="BO410" s="54">
        <v>0</v>
      </c>
      <c r="BP410" s="54">
        <v>0</v>
      </c>
      <c r="BQ410" s="54">
        <v>0</v>
      </c>
      <c r="BR410" s="55"/>
      <c r="BS410" s="53">
        <v>0</v>
      </c>
      <c r="BT410" s="53">
        <v>0</v>
      </c>
      <c r="BU410" s="53">
        <v>0</v>
      </c>
      <c r="BV410" s="53">
        <v>0</v>
      </c>
      <c r="BW410" s="53">
        <v>0</v>
      </c>
      <c r="BX410" s="53">
        <v>0</v>
      </c>
      <c r="BY410" s="53">
        <v>0</v>
      </c>
      <c r="BZ410" s="53">
        <v>0</v>
      </c>
      <c r="CA410" s="53">
        <v>0</v>
      </c>
      <c r="CB410" s="53">
        <v>0</v>
      </c>
      <c r="CC410" s="55">
        <v>0</v>
      </c>
      <c r="CD410" s="55">
        <v>0</v>
      </c>
      <c r="CE410" s="55">
        <v>0</v>
      </c>
      <c r="CF410" s="55">
        <v>0</v>
      </c>
      <c r="CG410" s="55">
        <v>0</v>
      </c>
      <c r="CH410" s="55">
        <v>0</v>
      </c>
      <c r="CI410" s="55">
        <v>0</v>
      </c>
      <c r="CJ410" s="55">
        <v>0</v>
      </c>
      <c r="CK410" s="55">
        <v>0</v>
      </c>
      <c r="CL410" s="55">
        <v>0</v>
      </c>
      <c r="CM410" s="55">
        <v>0</v>
      </c>
      <c r="CN410" s="55">
        <v>0</v>
      </c>
      <c r="CO410" s="55">
        <v>0</v>
      </c>
      <c r="CP410" s="55">
        <v>0</v>
      </c>
      <c r="CQ410" s="55">
        <v>0</v>
      </c>
      <c r="CR410" s="55">
        <v>0</v>
      </c>
      <c r="CS410" s="55">
        <v>0</v>
      </c>
      <c r="CT410" s="55">
        <v>0</v>
      </c>
      <c r="CU410" s="55">
        <v>0</v>
      </c>
      <c r="CV410" s="55">
        <v>0</v>
      </c>
      <c r="CW410" s="55">
        <v>0</v>
      </c>
      <c r="CX410" s="55">
        <v>0</v>
      </c>
      <c r="CY410" s="56">
        <v>0</v>
      </c>
      <c r="CZ410" s="55">
        <v>0</v>
      </c>
      <c r="DA410" s="55">
        <v>0</v>
      </c>
      <c r="DB410" s="55">
        <v>0</v>
      </c>
      <c r="DC410" s="55">
        <v>0</v>
      </c>
      <c r="DD410" s="55">
        <v>0</v>
      </c>
      <c r="DE410" s="55">
        <v>0</v>
      </c>
      <c r="DF410" s="55">
        <v>0</v>
      </c>
      <c r="DG410" s="55">
        <v>0</v>
      </c>
      <c r="DH410" s="55">
        <v>0</v>
      </c>
      <c r="DI410" s="55">
        <v>0</v>
      </c>
    </row>
    <row r="411" spans="1:113" hidden="1" outlineLevel="2">
      <c r="A411" s="1" t="s">
        <v>114</v>
      </c>
      <c r="B411" s="19" t="s">
        <v>370</v>
      </c>
      <c r="C411" s="53"/>
      <c r="D411" s="53"/>
      <c r="E411" s="53"/>
      <c r="F411" s="53"/>
      <c r="G411" s="53"/>
      <c r="H411" s="53"/>
      <c r="I411" s="53"/>
      <c r="J411" s="53"/>
      <c r="K411" s="53"/>
      <c r="L411" s="53">
        <v>0</v>
      </c>
      <c r="M411" s="53">
        <v>0</v>
      </c>
      <c r="N411" s="53">
        <v>0</v>
      </c>
      <c r="O411" s="53">
        <v>0</v>
      </c>
      <c r="P411" s="53">
        <v>0</v>
      </c>
      <c r="Q411" s="53">
        <v>0</v>
      </c>
      <c r="R411" s="53">
        <v>0</v>
      </c>
      <c r="S411" s="53">
        <v>0</v>
      </c>
      <c r="T411" s="53">
        <v>0</v>
      </c>
      <c r="U411" s="53">
        <v>0</v>
      </c>
      <c r="V411" s="53">
        <v>0</v>
      </c>
      <c r="W411" s="53">
        <v>0</v>
      </c>
      <c r="X411" s="53">
        <v>0</v>
      </c>
      <c r="Y411" s="53">
        <v>0</v>
      </c>
      <c r="Z411" s="53">
        <v>0</v>
      </c>
      <c r="AA411" s="164">
        <v>0</v>
      </c>
      <c r="AB411" s="164">
        <v>0</v>
      </c>
      <c r="AC411" s="164">
        <v>0</v>
      </c>
      <c r="AD411" s="164">
        <v>0</v>
      </c>
      <c r="AE411" s="164">
        <v>0</v>
      </c>
      <c r="AF411" s="164">
        <v>0</v>
      </c>
      <c r="AG411" s="164">
        <v>0</v>
      </c>
      <c r="AH411" s="164">
        <v>0</v>
      </c>
      <c r="AI411" s="164">
        <v>0</v>
      </c>
      <c r="AJ411" s="164">
        <v>0</v>
      </c>
      <c r="AK411" s="164">
        <v>0</v>
      </c>
      <c r="AL411" s="164">
        <v>0</v>
      </c>
      <c r="AM411" s="164">
        <v>0</v>
      </c>
      <c r="AN411" s="164">
        <v>0</v>
      </c>
      <c r="AO411" s="164">
        <v>0</v>
      </c>
      <c r="AP411" s="164">
        <v>0</v>
      </c>
      <c r="AQ411" s="164">
        <v>0</v>
      </c>
      <c r="AR411" s="164">
        <v>0</v>
      </c>
      <c r="AS411" s="164">
        <v>0</v>
      </c>
      <c r="AT411" s="164">
        <v>0</v>
      </c>
      <c r="AU411" s="164">
        <v>0</v>
      </c>
      <c r="AV411" s="164">
        <v>0</v>
      </c>
      <c r="AW411" s="171">
        <v>0</v>
      </c>
      <c r="AX411" s="54">
        <v>0</v>
      </c>
      <c r="AY411" s="54">
        <v>0</v>
      </c>
      <c r="AZ411" s="54">
        <v>0</v>
      </c>
      <c r="BA411" s="54">
        <v>0</v>
      </c>
      <c r="BB411" s="54">
        <v>0</v>
      </c>
      <c r="BC411" s="54">
        <v>0</v>
      </c>
      <c r="BD411" s="54">
        <v>0</v>
      </c>
      <c r="BE411" s="54">
        <v>0</v>
      </c>
      <c r="BF411" s="54">
        <v>0</v>
      </c>
      <c r="BG411" s="54">
        <v>0</v>
      </c>
      <c r="BH411" s="54">
        <v>0</v>
      </c>
      <c r="BI411" s="54">
        <v>0</v>
      </c>
      <c r="BJ411" s="54">
        <v>0</v>
      </c>
      <c r="BK411" s="54">
        <v>0</v>
      </c>
      <c r="BL411" s="54">
        <v>0</v>
      </c>
      <c r="BM411" s="54">
        <v>0</v>
      </c>
      <c r="BN411" s="54">
        <v>0</v>
      </c>
      <c r="BO411" s="54">
        <v>0</v>
      </c>
      <c r="BP411" s="54">
        <v>0</v>
      </c>
      <c r="BQ411" s="54">
        <v>0</v>
      </c>
      <c r="BR411" s="55"/>
      <c r="BS411" s="53">
        <v>0</v>
      </c>
      <c r="BT411" s="53">
        <v>0</v>
      </c>
      <c r="BU411" s="53">
        <v>0</v>
      </c>
      <c r="BV411" s="53">
        <v>0</v>
      </c>
      <c r="BW411" s="53">
        <v>0</v>
      </c>
      <c r="BX411" s="53">
        <v>0</v>
      </c>
      <c r="BY411" s="53">
        <v>0</v>
      </c>
      <c r="BZ411" s="53">
        <v>0</v>
      </c>
      <c r="CA411" s="53">
        <v>0</v>
      </c>
      <c r="CB411" s="53">
        <v>0</v>
      </c>
      <c r="CC411" s="55">
        <v>0</v>
      </c>
      <c r="CD411" s="55">
        <v>0</v>
      </c>
      <c r="CE411" s="55">
        <v>0</v>
      </c>
      <c r="CF411" s="55">
        <v>0</v>
      </c>
      <c r="CG411" s="55">
        <v>0</v>
      </c>
      <c r="CH411" s="55">
        <v>0</v>
      </c>
      <c r="CI411" s="55">
        <v>0</v>
      </c>
      <c r="CJ411" s="55">
        <v>0</v>
      </c>
      <c r="CK411" s="55">
        <v>0</v>
      </c>
      <c r="CL411" s="55">
        <v>0</v>
      </c>
      <c r="CM411" s="55">
        <v>0</v>
      </c>
      <c r="CN411" s="55">
        <v>0</v>
      </c>
      <c r="CO411" s="55">
        <v>0</v>
      </c>
      <c r="CP411" s="55">
        <v>0</v>
      </c>
      <c r="CQ411" s="55">
        <v>0</v>
      </c>
      <c r="CR411" s="55">
        <v>0</v>
      </c>
      <c r="CS411" s="55">
        <v>0</v>
      </c>
      <c r="CT411" s="55">
        <v>0</v>
      </c>
      <c r="CU411" s="55">
        <v>0</v>
      </c>
      <c r="CV411" s="55">
        <v>0</v>
      </c>
      <c r="CW411" s="55">
        <v>0</v>
      </c>
      <c r="CX411" s="55">
        <v>0</v>
      </c>
      <c r="CY411" s="56">
        <v>0</v>
      </c>
      <c r="CZ411" s="55">
        <v>0</v>
      </c>
      <c r="DA411" s="55">
        <v>0</v>
      </c>
      <c r="DB411" s="55">
        <v>0</v>
      </c>
      <c r="DC411" s="55">
        <v>0</v>
      </c>
      <c r="DD411" s="55">
        <v>0</v>
      </c>
      <c r="DE411" s="55">
        <v>0</v>
      </c>
      <c r="DF411" s="55">
        <v>0</v>
      </c>
      <c r="DG411" s="55">
        <v>0</v>
      </c>
      <c r="DH411" s="55">
        <v>0</v>
      </c>
      <c r="DI411" s="55">
        <v>0</v>
      </c>
    </row>
    <row r="412" spans="1:113" hidden="1" outlineLevel="2">
      <c r="A412" s="1" t="s">
        <v>115</v>
      </c>
      <c r="B412" s="19" t="s">
        <v>360</v>
      </c>
      <c r="C412" s="53"/>
      <c r="D412" s="53"/>
      <c r="E412" s="53"/>
      <c r="F412" s="53"/>
      <c r="G412" s="53"/>
      <c r="H412" s="53"/>
      <c r="I412" s="53"/>
      <c r="J412" s="53"/>
      <c r="K412" s="53"/>
      <c r="L412" s="53">
        <v>0</v>
      </c>
      <c r="M412" s="53">
        <v>0</v>
      </c>
      <c r="N412" s="53">
        <v>0</v>
      </c>
      <c r="O412" s="53">
        <v>0</v>
      </c>
      <c r="P412" s="53">
        <v>0</v>
      </c>
      <c r="Q412" s="53">
        <v>0</v>
      </c>
      <c r="R412" s="53">
        <v>0</v>
      </c>
      <c r="S412" s="53">
        <v>0</v>
      </c>
      <c r="T412" s="53">
        <v>0</v>
      </c>
      <c r="U412" s="53">
        <v>0</v>
      </c>
      <c r="V412" s="53">
        <v>0</v>
      </c>
      <c r="W412" s="53">
        <v>0</v>
      </c>
      <c r="X412" s="53">
        <v>0</v>
      </c>
      <c r="Y412" s="53">
        <v>0</v>
      </c>
      <c r="Z412" s="53">
        <v>0</v>
      </c>
      <c r="AA412" s="164">
        <v>0</v>
      </c>
      <c r="AB412" s="164">
        <v>0</v>
      </c>
      <c r="AC412" s="164">
        <v>0</v>
      </c>
      <c r="AD412" s="164">
        <v>0</v>
      </c>
      <c r="AE412" s="164">
        <v>0</v>
      </c>
      <c r="AF412" s="164">
        <v>0</v>
      </c>
      <c r="AG412" s="164">
        <v>0</v>
      </c>
      <c r="AH412" s="164">
        <v>0</v>
      </c>
      <c r="AI412" s="164">
        <v>0</v>
      </c>
      <c r="AJ412" s="164">
        <v>0</v>
      </c>
      <c r="AK412" s="164">
        <v>0</v>
      </c>
      <c r="AL412" s="164">
        <v>0</v>
      </c>
      <c r="AM412" s="164">
        <v>0</v>
      </c>
      <c r="AN412" s="164">
        <v>0</v>
      </c>
      <c r="AO412" s="164">
        <v>0</v>
      </c>
      <c r="AP412" s="164">
        <v>0</v>
      </c>
      <c r="AQ412" s="164">
        <v>0</v>
      </c>
      <c r="AR412" s="164">
        <v>0</v>
      </c>
      <c r="AS412" s="164">
        <v>0</v>
      </c>
      <c r="AT412" s="164">
        <v>0</v>
      </c>
      <c r="AU412" s="164">
        <v>0</v>
      </c>
      <c r="AV412" s="164">
        <v>0</v>
      </c>
      <c r="AW412" s="171">
        <v>0</v>
      </c>
      <c r="AX412" s="54">
        <v>0</v>
      </c>
      <c r="AY412" s="54">
        <v>0</v>
      </c>
      <c r="AZ412" s="54">
        <v>0</v>
      </c>
      <c r="BA412" s="54">
        <v>0</v>
      </c>
      <c r="BB412" s="54">
        <v>0</v>
      </c>
      <c r="BC412" s="54">
        <v>0</v>
      </c>
      <c r="BD412" s="54">
        <v>0</v>
      </c>
      <c r="BE412" s="54">
        <v>0</v>
      </c>
      <c r="BF412" s="54">
        <v>0</v>
      </c>
      <c r="BG412" s="54">
        <v>0</v>
      </c>
      <c r="BH412" s="54">
        <v>0</v>
      </c>
      <c r="BI412" s="54">
        <v>0</v>
      </c>
      <c r="BJ412" s="54">
        <v>0</v>
      </c>
      <c r="BK412" s="54">
        <v>0</v>
      </c>
      <c r="BL412" s="54">
        <v>0</v>
      </c>
      <c r="BM412" s="54">
        <v>0</v>
      </c>
      <c r="BN412" s="54">
        <v>0</v>
      </c>
      <c r="BO412" s="54">
        <v>0</v>
      </c>
      <c r="BP412" s="54">
        <v>0</v>
      </c>
      <c r="BQ412" s="54">
        <v>0</v>
      </c>
      <c r="BR412" s="55"/>
      <c r="BS412" s="53">
        <v>0</v>
      </c>
      <c r="BT412" s="53">
        <v>0</v>
      </c>
      <c r="BU412" s="53">
        <v>0</v>
      </c>
      <c r="BV412" s="53">
        <v>0</v>
      </c>
      <c r="BW412" s="53">
        <v>0</v>
      </c>
      <c r="BX412" s="53">
        <v>0</v>
      </c>
      <c r="BY412" s="53">
        <v>0</v>
      </c>
      <c r="BZ412" s="53">
        <v>0</v>
      </c>
      <c r="CA412" s="53">
        <v>0</v>
      </c>
      <c r="CB412" s="53">
        <v>0</v>
      </c>
      <c r="CC412" s="55">
        <v>0</v>
      </c>
      <c r="CD412" s="55">
        <v>0</v>
      </c>
      <c r="CE412" s="55">
        <v>0</v>
      </c>
      <c r="CF412" s="55">
        <v>0</v>
      </c>
      <c r="CG412" s="55">
        <v>0</v>
      </c>
      <c r="CH412" s="55">
        <v>0</v>
      </c>
      <c r="CI412" s="55">
        <v>0</v>
      </c>
      <c r="CJ412" s="55">
        <v>0</v>
      </c>
      <c r="CK412" s="55">
        <v>0</v>
      </c>
      <c r="CL412" s="55">
        <v>0</v>
      </c>
      <c r="CM412" s="55">
        <v>0</v>
      </c>
      <c r="CN412" s="55">
        <v>0</v>
      </c>
      <c r="CO412" s="55">
        <v>0</v>
      </c>
      <c r="CP412" s="55">
        <v>0</v>
      </c>
      <c r="CQ412" s="55">
        <v>0</v>
      </c>
      <c r="CR412" s="55">
        <v>0</v>
      </c>
      <c r="CS412" s="55">
        <v>0</v>
      </c>
      <c r="CT412" s="55">
        <v>0</v>
      </c>
      <c r="CU412" s="55">
        <v>0</v>
      </c>
      <c r="CV412" s="55">
        <v>0</v>
      </c>
      <c r="CW412" s="55">
        <v>0</v>
      </c>
      <c r="CX412" s="55">
        <v>0</v>
      </c>
      <c r="CY412" s="56">
        <v>0</v>
      </c>
      <c r="CZ412" s="55">
        <v>0</v>
      </c>
      <c r="DA412" s="55">
        <v>0</v>
      </c>
      <c r="DB412" s="55">
        <v>0</v>
      </c>
      <c r="DC412" s="55">
        <v>0</v>
      </c>
      <c r="DD412" s="55">
        <v>0</v>
      </c>
      <c r="DE412" s="55">
        <v>0</v>
      </c>
      <c r="DF412" s="55">
        <v>0</v>
      </c>
      <c r="DG412" s="55">
        <v>0</v>
      </c>
      <c r="DH412" s="55">
        <v>0</v>
      </c>
      <c r="DI412" s="55">
        <v>0</v>
      </c>
    </row>
    <row r="413" spans="1:113" hidden="1" outlineLevel="2">
      <c r="A413" s="1" t="s">
        <v>116</v>
      </c>
      <c r="B413" s="19" t="s">
        <v>423</v>
      </c>
      <c r="C413" s="53"/>
      <c r="D413" s="53"/>
      <c r="E413" s="53"/>
      <c r="F413" s="53"/>
      <c r="G413" s="53"/>
      <c r="H413" s="53"/>
      <c r="I413" s="53"/>
      <c r="J413" s="53"/>
      <c r="K413" s="53"/>
      <c r="L413" s="53">
        <v>0</v>
      </c>
      <c r="M413" s="53">
        <v>0</v>
      </c>
      <c r="N413" s="53">
        <v>0</v>
      </c>
      <c r="O413" s="53">
        <v>0</v>
      </c>
      <c r="P413" s="53">
        <v>0</v>
      </c>
      <c r="Q413" s="53">
        <v>0</v>
      </c>
      <c r="R413" s="53">
        <v>0</v>
      </c>
      <c r="S413" s="53">
        <v>0</v>
      </c>
      <c r="T413" s="53">
        <v>0</v>
      </c>
      <c r="U413" s="53">
        <v>0</v>
      </c>
      <c r="V413" s="53">
        <v>0</v>
      </c>
      <c r="W413" s="53">
        <v>0</v>
      </c>
      <c r="X413" s="53">
        <v>0</v>
      </c>
      <c r="Y413" s="53">
        <v>0</v>
      </c>
      <c r="Z413" s="53">
        <v>0</v>
      </c>
      <c r="AA413" s="164">
        <v>0</v>
      </c>
      <c r="AB413" s="164">
        <v>0</v>
      </c>
      <c r="AC413" s="164">
        <v>0</v>
      </c>
      <c r="AD413" s="164">
        <v>0</v>
      </c>
      <c r="AE413" s="164">
        <v>0</v>
      </c>
      <c r="AF413" s="164">
        <v>0</v>
      </c>
      <c r="AG413" s="164">
        <v>0</v>
      </c>
      <c r="AH413" s="164">
        <v>0</v>
      </c>
      <c r="AI413" s="164">
        <v>0</v>
      </c>
      <c r="AJ413" s="164">
        <v>0</v>
      </c>
      <c r="AK413" s="164">
        <v>0</v>
      </c>
      <c r="AL413" s="164">
        <v>0</v>
      </c>
      <c r="AM413" s="164">
        <v>0</v>
      </c>
      <c r="AN413" s="164">
        <v>0</v>
      </c>
      <c r="AO413" s="164">
        <v>0</v>
      </c>
      <c r="AP413" s="164">
        <v>0</v>
      </c>
      <c r="AQ413" s="164">
        <v>0</v>
      </c>
      <c r="AR413" s="164">
        <v>0</v>
      </c>
      <c r="AS413" s="164">
        <v>0</v>
      </c>
      <c r="AT413" s="164">
        <v>0</v>
      </c>
      <c r="AU413" s="164">
        <v>0</v>
      </c>
      <c r="AV413" s="164">
        <v>0</v>
      </c>
      <c r="AW413" s="171">
        <v>0</v>
      </c>
      <c r="AX413" s="54">
        <v>0</v>
      </c>
      <c r="AY413" s="54">
        <v>0</v>
      </c>
      <c r="AZ413" s="54">
        <v>0</v>
      </c>
      <c r="BA413" s="54">
        <v>0</v>
      </c>
      <c r="BB413" s="54">
        <v>0</v>
      </c>
      <c r="BC413" s="54">
        <v>0</v>
      </c>
      <c r="BD413" s="54">
        <v>0</v>
      </c>
      <c r="BE413" s="54">
        <v>0</v>
      </c>
      <c r="BF413" s="54">
        <v>0</v>
      </c>
      <c r="BG413" s="54">
        <v>0</v>
      </c>
      <c r="BH413" s="54">
        <v>0</v>
      </c>
      <c r="BI413" s="54">
        <v>0</v>
      </c>
      <c r="BJ413" s="54">
        <v>0</v>
      </c>
      <c r="BK413" s="54">
        <v>0</v>
      </c>
      <c r="BL413" s="54">
        <v>0</v>
      </c>
      <c r="BM413" s="54">
        <v>0</v>
      </c>
      <c r="BN413" s="54">
        <v>0</v>
      </c>
      <c r="BO413" s="54">
        <v>0</v>
      </c>
      <c r="BP413" s="54">
        <v>0</v>
      </c>
      <c r="BQ413" s="54">
        <v>0</v>
      </c>
      <c r="BR413" s="55"/>
      <c r="BS413" s="53">
        <v>0</v>
      </c>
      <c r="BT413" s="53">
        <v>0</v>
      </c>
      <c r="BU413" s="53">
        <v>0</v>
      </c>
      <c r="BV413" s="53">
        <v>0</v>
      </c>
      <c r="BW413" s="53">
        <v>0</v>
      </c>
      <c r="BX413" s="53">
        <v>0</v>
      </c>
      <c r="BY413" s="53">
        <v>0</v>
      </c>
      <c r="BZ413" s="53">
        <v>0</v>
      </c>
      <c r="CA413" s="53">
        <v>0</v>
      </c>
      <c r="CB413" s="53">
        <v>0</v>
      </c>
      <c r="CC413" s="55">
        <v>0</v>
      </c>
      <c r="CD413" s="55">
        <v>0</v>
      </c>
      <c r="CE413" s="55">
        <v>0</v>
      </c>
      <c r="CF413" s="55">
        <v>0</v>
      </c>
      <c r="CG413" s="55">
        <v>0</v>
      </c>
      <c r="CH413" s="55">
        <v>0</v>
      </c>
      <c r="CI413" s="55">
        <v>0</v>
      </c>
      <c r="CJ413" s="55">
        <v>0</v>
      </c>
      <c r="CK413" s="55">
        <v>0</v>
      </c>
      <c r="CL413" s="55">
        <v>0</v>
      </c>
      <c r="CM413" s="55">
        <v>0</v>
      </c>
      <c r="CN413" s="55">
        <v>0</v>
      </c>
      <c r="CO413" s="55">
        <v>0</v>
      </c>
      <c r="CP413" s="55">
        <v>0</v>
      </c>
      <c r="CQ413" s="55">
        <v>0</v>
      </c>
      <c r="CR413" s="55">
        <v>0</v>
      </c>
      <c r="CS413" s="55">
        <v>0</v>
      </c>
      <c r="CT413" s="55">
        <v>0</v>
      </c>
      <c r="CU413" s="55">
        <v>0</v>
      </c>
      <c r="CV413" s="55">
        <v>0</v>
      </c>
      <c r="CW413" s="55">
        <v>0</v>
      </c>
      <c r="CX413" s="55">
        <v>0</v>
      </c>
      <c r="CY413" s="56">
        <v>0</v>
      </c>
      <c r="CZ413" s="55">
        <v>0</v>
      </c>
      <c r="DA413" s="55">
        <v>0</v>
      </c>
      <c r="DB413" s="55">
        <v>0</v>
      </c>
      <c r="DC413" s="55">
        <v>0</v>
      </c>
      <c r="DD413" s="55">
        <v>0</v>
      </c>
      <c r="DE413" s="55">
        <v>0</v>
      </c>
      <c r="DF413" s="55">
        <v>0</v>
      </c>
      <c r="DG413" s="55">
        <v>0</v>
      </c>
      <c r="DH413" s="55">
        <v>0</v>
      </c>
      <c r="DI413" s="55">
        <v>0</v>
      </c>
    </row>
    <row r="414" spans="1:113" s="24" customFormat="1" hidden="1" outlineLevel="2">
      <c r="A414" s="1" t="s">
        <v>117</v>
      </c>
      <c r="B414" s="24" t="s">
        <v>578</v>
      </c>
      <c r="C414" s="81">
        <v>2190</v>
      </c>
      <c r="D414" s="81">
        <v>2197</v>
      </c>
      <c r="E414" s="81">
        <v>2161</v>
      </c>
      <c r="F414" s="81">
        <v>2031</v>
      </c>
      <c r="G414" s="81">
        <v>2342</v>
      </c>
      <c r="H414" s="81">
        <v>2540</v>
      </c>
      <c r="I414" s="81">
        <v>2541</v>
      </c>
      <c r="J414" s="81">
        <v>2497</v>
      </c>
      <c r="K414" s="81">
        <v>2579</v>
      </c>
      <c r="L414" s="81">
        <v>2755</v>
      </c>
      <c r="M414" s="81">
        <v>2812</v>
      </c>
      <c r="N414" s="81">
        <v>3072</v>
      </c>
      <c r="O414" s="81">
        <v>3089</v>
      </c>
      <c r="P414" s="81">
        <v>3117</v>
      </c>
      <c r="Q414" s="81">
        <v>3317</v>
      </c>
      <c r="R414" s="81">
        <v>3408</v>
      </c>
      <c r="S414" s="81">
        <v>3342</v>
      </c>
      <c r="T414" s="81">
        <v>3630</v>
      </c>
      <c r="U414" s="81">
        <v>3561</v>
      </c>
      <c r="V414" s="81">
        <v>3562</v>
      </c>
      <c r="W414" s="81">
        <v>3452</v>
      </c>
      <c r="X414" s="81">
        <v>3461</v>
      </c>
      <c r="Y414" s="81">
        <v>3532</v>
      </c>
      <c r="Z414" s="81">
        <v>3427</v>
      </c>
      <c r="AA414" s="166">
        <v>3450</v>
      </c>
      <c r="AB414" s="166">
        <v>3704</v>
      </c>
      <c r="AC414" s="166">
        <v>3606</v>
      </c>
      <c r="AD414" s="166">
        <v>3826</v>
      </c>
      <c r="AE414" s="166">
        <v>3925</v>
      </c>
      <c r="AF414" s="166">
        <v>3993</v>
      </c>
      <c r="AG414" s="166">
        <v>3819</v>
      </c>
      <c r="AH414" s="166">
        <v>4125</v>
      </c>
      <c r="AI414" s="166">
        <v>3629</v>
      </c>
      <c r="AJ414" s="166">
        <v>3392</v>
      </c>
      <c r="AK414" s="166">
        <v>3188</v>
      </c>
      <c r="AL414" s="166">
        <v>2789.4349070100143</v>
      </c>
      <c r="AM414" s="166">
        <v>2565.5650929899857</v>
      </c>
      <c r="AN414" s="166">
        <v>2673</v>
      </c>
      <c r="AO414" s="166">
        <v>2478</v>
      </c>
      <c r="AP414" s="166">
        <v>2361</v>
      </c>
      <c r="AQ414" s="166">
        <v>2493</v>
      </c>
      <c r="AR414" s="166">
        <v>2359</v>
      </c>
      <c r="AS414" s="166">
        <v>2857</v>
      </c>
      <c r="AT414" s="166">
        <v>1986</v>
      </c>
      <c r="AU414" s="166">
        <v>2093</v>
      </c>
      <c r="AV414" s="166">
        <v>2245</v>
      </c>
      <c r="AW414" s="167">
        <v>2105</v>
      </c>
      <c r="AX414" s="82">
        <v>2139.7502083688928</v>
      </c>
      <c r="AY414" s="82">
        <v>2119.306344634073</v>
      </c>
      <c r="AZ414" s="82">
        <v>2208.8347776378514</v>
      </c>
      <c r="BA414" s="82">
        <v>2191.2782205482263</v>
      </c>
      <c r="BB414" s="82">
        <v>2279.6771688780386</v>
      </c>
      <c r="BC414" s="82">
        <v>2262.3443245088561</v>
      </c>
      <c r="BD414" s="82">
        <v>2353.7509085179654</v>
      </c>
      <c r="BE414" s="82">
        <v>2352.0093020247291</v>
      </c>
      <c r="BF414" s="82">
        <v>2447.0862876788483</v>
      </c>
      <c r="BG414" s="82">
        <v>2432.0545905515178</v>
      </c>
      <c r="BH414" s="82">
        <v>2537.5321105721659</v>
      </c>
      <c r="BI414" s="82">
        <v>2522.1612513697223</v>
      </c>
      <c r="BJ414" s="82">
        <v>2631.6801913860922</v>
      </c>
      <c r="BK414" s="82">
        <v>2618.1675330382318</v>
      </c>
      <c r="BL414" s="82">
        <v>2729.0365827877054</v>
      </c>
      <c r="BM414" s="82">
        <v>2732.4160079005342</v>
      </c>
      <c r="BN414" s="82">
        <v>2847.9864368174412</v>
      </c>
      <c r="BO414" s="82">
        <v>2835.9466528963276</v>
      </c>
      <c r="BP414" s="82">
        <v>2964.0751411565016</v>
      </c>
      <c r="BQ414" s="82">
        <v>2951.6496961644775</v>
      </c>
      <c r="BR414" s="82"/>
      <c r="BS414" s="81">
        <v>1404</v>
      </c>
      <c r="BT414" s="81">
        <v>1386</v>
      </c>
      <c r="BU414" s="81">
        <v>1415</v>
      </c>
      <c r="BV414" s="81">
        <v>1484</v>
      </c>
      <c r="BW414" s="81">
        <v>1355</v>
      </c>
      <c r="BX414" s="81">
        <v>1489</v>
      </c>
      <c r="BY414" s="81">
        <v>1833</v>
      </c>
      <c r="BZ414" s="81">
        <v>1997</v>
      </c>
      <c r="CA414" s="81">
        <v>2420</v>
      </c>
      <c r="CB414" s="81">
        <v>4350</v>
      </c>
      <c r="CC414" s="82">
        <v>4358</v>
      </c>
      <c r="CD414" s="82">
        <v>4373</v>
      </c>
      <c r="CE414" s="82">
        <v>5081</v>
      </c>
      <c r="CF414" s="82">
        <v>5076</v>
      </c>
      <c r="CG414" s="82">
        <v>5567</v>
      </c>
      <c r="CH414" s="82">
        <v>6161</v>
      </c>
      <c r="CI414" s="82">
        <v>6434</v>
      </c>
      <c r="CJ414" s="82">
        <v>6750</v>
      </c>
      <c r="CK414" s="82">
        <v>7191</v>
      </c>
      <c r="CL414" s="82">
        <v>7014</v>
      </c>
      <c r="CM414" s="82">
        <v>6993</v>
      </c>
      <c r="CN414" s="82">
        <v>6877</v>
      </c>
      <c r="CO414" s="82">
        <v>7310</v>
      </c>
      <c r="CP414" s="82">
        <v>7751</v>
      </c>
      <c r="CQ414" s="82">
        <v>7812</v>
      </c>
      <c r="CR414" s="82">
        <v>7754</v>
      </c>
      <c r="CS414" s="82">
        <v>6580</v>
      </c>
      <c r="CT414" s="82">
        <v>5355</v>
      </c>
      <c r="CU414" s="82">
        <v>5151</v>
      </c>
      <c r="CV414" s="82">
        <v>4854</v>
      </c>
      <c r="CW414" s="82">
        <v>5216</v>
      </c>
      <c r="CX414" s="82">
        <v>4079</v>
      </c>
      <c r="CY414" s="83">
        <v>4350</v>
      </c>
      <c r="CZ414" s="82">
        <v>4259.0565530029653</v>
      </c>
      <c r="DA414" s="82">
        <v>4400.1129981860777</v>
      </c>
      <c r="DB414" s="82">
        <v>4542.0214933868947</v>
      </c>
      <c r="DC414" s="82">
        <v>4705.760210542694</v>
      </c>
      <c r="DD414" s="82">
        <v>4879.1408782303661</v>
      </c>
      <c r="DE414" s="82">
        <v>5059.6933619418887</v>
      </c>
      <c r="DF414" s="82">
        <v>5249.847724424324</v>
      </c>
      <c r="DG414" s="82">
        <v>5461.4525906882391</v>
      </c>
      <c r="DH414" s="82">
        <v>5683.9330897137688</v>
      </c>
      <c r="DI414" s="82">
        <v>5915.7248373209786</v>
      </c>
    </row>
    <row r="415" spans="1:113" hidden="1" outlineLevel="2">
      <c r="A415" s="1" t="s">
        <v>118</v>
      </c>
      <c r="B415" s="19" t="s">
        <v>526</v>
      </c>
      <c r="C415" s="55">
        <v>0</v>
      </c>
      <c r="D415" s="55">
        <v>0</v>
      </c>
      <c r="E415" s="55">
        <v>0</v>
      </c>
      <c r="F415" s="55">
        <v>0</v>
      </c>
      <c r="G415" s="55">
        <v>0</v>
      </c>
      <c r="H415" s="55">
        <v>0</v>
      </c>
      <c r="I415" s="55">
        <v>0</v>
      </c>
      <c r="J415" s="55">
        <v>122</v>
      </c>
      <c r="K415" s="55">
        <v>54</v>
      </c>
      <c r="L415" s="55">
        <v>143</v>
      </c>
      <c r="M415" s="55">
        <v>62</v>
      </c>
      <c r="N415" s="55">
        <v>-16</v>
      </c>
      <c r="O415" s="55">
        <v>210</v>
      </c>
      <c r="P415" s="55">
        <v>28</v>
      </c>
      <c r="Q415" s="55">
        <v>200</v>
      </c>
      <c r="R415" s="55">
        <v>508</v>
      </c>
      <c r="S415" s="55">
        <v>-102</v>
      </c>
      <c r="T415" s="55">
        <v>342</v>
      </c>
      <c r="U415" s="55">
        <v>-167</v>
      </c>
      <c r="V415" s="55">
        <v>-185</v>
      </c>
      <c r="W415" s="55">
        <v>-26</v>
      </c>
      <c r="X415" s="55">
        <v>197</v>
      </c>
      <c r="Y415" s="55">
        <v>72</v>
      </c>
      <c r="Z415" s="55">
        <v>30</v>
      </c>
      <c r="AA415" s="55">
        <v>35</v>
      </c>
      <c r="AB415" s="55">
        <v>2</v>
      </c>
      <c r="AC415" s="55">
        <v>75</v>
      </c>
      <c r="AD415" s="55">
        <v>13</v>
      </c>
      <c r="AE415" s="55">
        <v>81</v>
      </c>
      <c r="AF415" s="55">
        <v>-213</v>
      </c>
      <c r="AG415" s="55">
        <v>44</v>
      </c>
      <c r="AH415" s="55">
        <v>12</v>
      </c>
      <c r="AI415" s="55">
        <v>94</v>
      </c>
      <c r="AJ415" s="55">
        <v>202</v>
      </c>
      <c r="AK415" s="55">
        <v>6</v>
      </c>
      <c r="AL415" s="55">
        <v>382.56509298998571</v>
      </c>
      <c r="AM415" s="55">
        <v>479.43490701001429</v>
      </c>
      <c r="AN415" s="55">
        <v>504</v>
      </c>
      <c r="AO415" s="55">
        <v>114</v>
      </c>
      <c r="AP415" s="55">
        <v>164</v>
      </c>
      <c r="AQ415" s="55">
        <v>557</v>
      </c>
      <c r="AR415" s="55">
        <v>60</v>
      </c>
      <c r="AS415" s="55">
        <v>187</v>
      </c>
      <c r="AT415" s="55">
        <v>355</v>
      </c>
      <c r="AU415" s="55">
        <v>-62</v>
      </c>
      <c r="AV415" s="55">
        <v>-71</v>
      </c>
      <c r="AW415" s="56">
        <v>-182</v>
      </c>
      <c r="AX415" s="54">
        <v>0</v>
      </c>
      <c r="AY415" s="54">
        <v>0</v>
      </c>
      <c r="AZ415" s="54">
        <v>0</v>
      </c>
      <c r="BA415" s="54">
        <v>0</v>
      </c>
      <c r="BB415" s="54">
        <v>0</v>
      </c>
      <c r="BC415" s="54">
        <v>0</v>
      </c>
      <c r="BD415" s="54">
        <v>0</v>
      </c>
      <c r="BE415" s="54">
        <v>0</v>
      </c>
      <c r="BF415" s="54">
        <v>0</v>
      </c>
      <c r="BG415" s="54">
        <v>0</v>
      </c>
      <c r="BH415" s="54">
        <v>0</v>
      </c>
      <c r="BI415" s="54">
        <v>0</v>
      </c>
      <c r="BJ415" s="54">
        <v>0</v>
      </c>
      <c r="BK415" s="54">
        <v>0</v>
      </c>
      <c r="BL415" s="54">
        <v>0</v>
      </c>
      <c r="BM415" s="54">
        <v>0</v>
      </c>
      <c r="BN415" s="54">
        <v>0</v>
      </c>
      <c r="BO415" s="54">
        <v>0</v>
      </c>
      <c r="BP415" s="54">
        <v>0</v>
      </c>
      <c r="BQ415" s="54">
        <v>0</v>
      </c>
      <c r="BR415" s="54"/>
      <c r="BS415" s="55">
        <v>0</v>
      </c>
      <c r="BT415" s="55">
        <v>-136</v>
      </c>
      <c r="BU415" s="55">
        <v>0</v>
      </c>
      <c r="BV415" s="55">
        <v>-28</v>
      </c>
      <c r="BW415" s="55">
        <v>0</v>
      </c>
      <c r="BX415" s="55">
        <v>-128</v>
      </c>
      <c r="BY415" s="55">
        <v>-161</v>
      </c>
      <c r="BZ415" s="55">
        <v>0</v>
      </c>
      <c r="CA415" s="55">
        <v>1165</v>
      </c>
      <c r="CB415" s="55">
        <v>474</v>
      </c>
      <c r="CC415" s="55">
        <v>0</v>
      </c>
      <c r="CD415" s="55">
        <v>0</v>
      </c>
      <c r="CE415" s="55">
        <v>0</v>
      </c>
      <c r="CF415" s="55">
        <v>176</v>
      </c>
      <c r="CG415" s="55">
        <v>205</v>
      </c>
      <c r="CH415" s="55">
        <v>194</v>
      </c>
      <c r="CI415" s="55">
        <v>228</v>
      </c>
      <c r="CJ415" s="55">
        <v>406</v>
      </c>
      <c r="CK415" s="55">
        <v>175</v>
      </c>
      <c r="CL415" s="55">
        <v>-211</v>
      </c>
      <c r="CM415" s="55">
        <v>269</v>
      </c>
      <c r="CN415" s="55">
        <v>65</v>
      </c>
      <c r="CO415" s="55">
        <v>77</v>
      </c>
      <c r="CP415" s="55">
        <v>94</v>
      </c>
      <c r="CQ415" s="55">
        <v>-169</v>
      </c>
      <c r="CR415" s="55">
        <v>106</v>
      </c>
      <c r="CS415" s="55">
        <v>208</v>
      </c>
      <c r="CT415" s="55">
        <v>862</v>
      </c>
      <c r="CU415" s="55">
        <v>618</v>
      </c>
      <c r="CV415" s="55">
        <v>721</v>
      </c>
      <c r="CW415" s="55">
        <v>247</v>
      </c>
      <c r="CX415" s="55">
        <v>293</v>
      </c>
      <c r="CY415" s="56">
        <v>-253</v>
      </c>
      <c r="CZ415" s="55">
        <v>0</v>
      </c>
      <c r="DA415" s="55">
        <v>0</v>
      </c>
      <c r="DB415" s="55">
        <v>0</v>
      </c>
      <c r="DC415" s="55">
        <v>0</v>
      </c>
      <c r="DD415" s="55">
        <v>0</v>
      </c>
      <c r="DE415" s="55">
        <v>0</v>
      </c>
      <c r="DF415" s="55">
        <v>0</v>
      </c>
      <c r="DG415" s="55">
        <v>0</v>
      </c>
      <c r="DH415" s="55">
        <v>0</v>
      </c>
      <c r="DI415" s="55">
        <v>0</v>
      </c>
    </row>
    <row r="416" spans="1:113" s="24" customFormat="1" hidden="1" outlineLevel="2">
      <c r="A416" s="1" t="s">
        <v>119</v>
      </c>
      <c r="B416" s="24" t="s">
        <v>713</v>
      </c>
      <c r="C416" s="81">
        <v>2190</v>
      </c>
      <c r="D416" s="81">
        <v>2197</v>
      </c>
      <c r="E416" s="81">
        <v>2161</v>
      </c>
      <c r="F416" s="81">
        <v>2031</v>
      </c>
      <c r="G416" s="81">
        <v>2342</v>
      </c>
      <c r="H416" s="81">
        <v>2540</v>
      </c>
      <c r="I416" s="81">
        <v>2541</v>
      </c>
      <c r="J416" s="81">
        <v>2619</v>
      </c>
      <c r="K416" s="81">
        <v>2633</v>
      </c>
      <c r="L416" s="81">
        <v>2898</v>
      </c>
      <c r="M416" s="81">
        <v>2874</v>
      </c>
      <c r="N416" s="81">
        <v>3056</v>
      </c>
      <c r="O416" s="81">
        <v>3299</v>
      </c>
      <c r="P416" s="81">
        <v>3145</v>
      </c>
      <c r="Q416" s="81">
        <v>3517</v>
      </c>
      <c r="R416" s="81">
        <v>3916</v>
      </c>
      <c r="S416" s="81">
        <v>3240</v>
      </c>
      <c r="T416" s="81">
        <v>3972</v>
      </c>
      <c r="U416" s="81">
        <v>3394</v>
      </c>
      <c r="V416" s="81">
        <v>3377</v>
      </c>
      <c r="W416" s="81">
        <v>3426</v>
      </c>
      <c r="X416" s="81">
        <v>3658</v>
      </c>
      <c r="Y416" s="81">
        <v>3604</v>
      </c>
      <c r="Z416" s="81">
        <v>3457</v>
      </c>
      <c r="AA416" s="166">
        <v>3485</v>
      </c>
      <c r="AB416" s="166">
        <v>3706</v>
      </c>
      <c r="AC416" s="166">
        <v>3681</v>
      </c>
      <c r="AD416" s="166">
        <v>3839</v>
      </c>
      <c r="AE416" s="166">
        <v>4006</v>
      </c>
      <c r="AF416" s="166">
        <v>3780</v>
      </c>
      <c r="AG416" s="166">
        <v>3863</v>
      </c>
      <c r="AH416" s="166">
        <v>4137</v>
      </c>
      <c r="AI416" s="166">
        <v>3723</v>
      </c>
      <c r="AJ416" s="166">
        <v>3594</v>
      </c>
      <c r="AK416" s="166">
        <v>3194</v>
      </c>
      <c r="AL416" s="166">
        <v>3172</v>
      </c>
      <c r="AM416" s="166">
        <v>3045</v>
      </c>
      <c r="AN416" s="166">
        <v>3177</v>
      </c>
      <c r="AO416" s="166">
        <v>2592</v>
      </c>
      <c r="AP416" s="166">
        <v>2525</v>
      </c>
      <c r="AQ416" s="166">
        <v>3050</v>
      </c>
      <c r="AR416" s="166">
        <v>2419</v>
      </c>
      <c r="AS416" s="166">
        <v>3044</v>
      </c>
      <c r="AT416" s="166">
        <v>2341</v>
      </c>
      <c r="AU416" s="166">
        <v>2031</v>
      </c>
      <c r="AV416" s="166">
        <v>2174</v>
      </c>
      <c r="AW416" s="167">
        <v>1923</v>
      </c>
      <c r="AX416" s="82">
        <v>2139.7502083688928</v>
      </c>
      <c r="AY416" s="82">
        <v>2119.306344634073</v>
      </c>
      <c r="AZ416" s="82">
        <v>2208.8347776378514</v>
      </c>
      <c r="BA416" s="82">
        <v>2191.2782205482263</v>
      </c>
      <c r="BB416" s="82">
        <v>2279.6771688780386</v>
      </c>
      <c r="BC416" s="82">
        <v>2262.3443245088561</v>
      </c>
      <c r="BD416" s="82">
        <v>2353.7509085179654</v>
      </c>
      <c r="BE416" s="82">
        <v>2352.0093020247291</v>
      </c>
      <c r="BF416" s="82">
        <v>2447.0862876788483</v>
      </c>
      <c r="BG416" s="82">
        <v>2432.0545905515178</v>
      </c>
      <c r="BH416" s="82">
        <v>2537.5321105721659</v>
      </c>
      <c r="BI416" s="82">
        <v>2522.1612513697223</v>
      </c>
      <c r="BJ416" s="82">
        <v>2631.6801913860922</v>
      </c>
      <c r="BK416" s="82">
        <v>2618.1675330382318</v>
      </c>
      <c r="BL416" s="82">
        <v>2729.0365827877054</v>
      </c>
      <c r="BM416" s="82">
        <v>2732.4160079005342</v>
      </c>
      <c r="BN416" s="82">
        <v>2847.9864368174412</v>
      </c>
      <c r="BO416" s="82">
        <v>2835.9466528963276</v>
      </c>
      <c r="BP416" s="82">
        <v>2964.0751411565016</v>
      </c>
      <c r="BQ416" s="82">
        <v>2951.6496961644775</v>
      </c>
      <c r="BR416" s="82"/>
      <c r="BS416" s="81">
        <v>1404</v>
      </c>
      <c r="BT416" s="81">
        <v>1250</v>
      </c>
      <c r="BU416" s="81">
        <v>1415</v>
      </c>
      <c r="BV416" s="81">
        <v>1456</v>
      </c>
      <c r="BW416" s="81">
        <v>1355</v>
      </c>
      <c r="BX416" s="81">
        <v>1361</v>
      </c>
      <c r="BY416" s="81">
        <v>1672</v>
      </c>
      <c r="BZ416" s="81">
        <v>1997</v>
      </c>
      <c r="CA416" s="81">
        <v>3585</v>
      </c>
      <c r="CB416" s="81">
        <v>4824</v>
      </c>
      <c r="CC416" s="82">
        <v>4358</v>
      </c>
      <c r="CD416" s="82">
        <v>4373</v>
      </c>
      <c r="CE416" s="82">
        <v>5081</v>
      </c>
      <c r="CF416" s="82">
        <v>5252</v>
      </c>
      <c r="CG416" s="82">
        <v>5772</v>
      </c>
      <c r="CH416" s="82">
        <v>6355</v>
      </c>
      <c r="CI416" s="82">
        <v>6662</v>
      </c>
      <c r="CJ416" s="82">
        <v>7156</v>
      </c>
      <c r="CK416" s="82">
        <v>7366</v>
      </c>
      <c r="CL416" s="82">
        <v>6803</v>
      </c>
      <c r="CM416" s="82">
        <v>7262</v>
      </c>
      <c r="CN416" s="82">
        <v>6942</v>
      </c>
      <c r="CO416" s="82">
        <v>7387</v>
      </c>
      <c r="CP416" s="82">
        <v>7845</v>
      </c>
      <c r="CQ416" s="82">
        <v>7643</v>
      </c>
      <c r="CR416" s="82">
        <v>7860</v>
      </c>
      <c r="CS416" s="82">
        <v>6788</v>
      </c>
      <c r="CT416" s="82">
        <v>6217</v>
      </c>
      <c r="CU416" s="82">
        <v>5769</v>
      </c>
      <c r="CV416" s="82">
        <v>5575</v>
      </c>
      <c r="CW416" s="82">
        <v>5463</v>
      </c>
      <c r="CX416" s="82">
        <v>4372</v>
      </c>
      <c r="CY416" s="83">
        <v>4097</v>
      </c>
      <c r="CZ416" s="82">
        <v>4259.0565530029653</v>
      </c>
      <c r="DA416" s="82">
        <v>4400.1129981860777</v>
      </c>
      <c r="DB416" s="82">
        <v>4542.0214933868947</v>
      </c>
      <c r="DC416" s="82">
        <v>4705.760210542694</v>
      </c>
      <c r="DD416" s="82">
        <v>4879.1408782303661</v>
      </c>
      <c r="DE416" s="82">
        <v>5059.6933619418887</v>
      </c>
      <c r="DF416" s="82">
        <v>5249.847724424324</v>
      </c>
      <c r="DG416" s="82">
        <v>5461.4525906882391</v>
      </c>
      <c r="DH416" s="82">
        <v>5683.9330897137688</v>
      </c>
      <c r="DI416" s="82">
        <v>5915.7248373209786</v>
      </c>
    </row>
    <row r="417" spans="1:113" outlineLevel="1" collapsed="1">
      <c r="A417" s="96"/>
      <c r="C417" s="55"/>
      <c r="D417" s="55"/>
      <c r="E417" s="55"/>
      <c r="F417" s="55"/>
      <c r="G417" s="55"/>
      <c r="H417" s="55"/>
      <c r="I417" s="55"/>
      <c r="J417" s="55"/>
      <c r="K417" s="55"/>
      <c r="L417" s="55"/>
      <c r="M417" s="55"/>
      <c r="N417" s="55"/>
      <c r="O417" s="55"/>
      <c r="P417" s="55"/>
      <c r="Q417" s="55"/>
      <c r="R417" s="55"/>
      <c r="S417" s="55"/>
      <c r="T417" s="55"/>
      <c r="U417" s="55"/>
      <c r="V417" s="55"/>
      <c r="W417" s="55"/>
      <c r="X417" s="55"/>
      <c r="Y417" s="55"/>
      <c r="Z417" s="55"/>
      <c r="AA417" s="55"/>
      <c r="AB417" s="176"/>
      <c r="AC417" s="176"/>
      <c r="AD417" s="176"/>
      <c r="AE417" s="176"/>
      <c r="AF417" s="82"/>
      <c r="AG417" s="82"/>
      <c r="AH417" s="82"/>
      <c r="AI417" s="55"/>
      <c r="AJ417" s="494"/>
      <c r="AK417" s="579"/>
      <c r="AL417" s="166"/>
      <c r="AM417" s="166"/>
      <c r="AN417" s="82"/>
      <c r="AO417" s="82"/>
      <c r="AP417" s="82"/>
      <c r="AQ417" s="82"/>
      <c r="AR417" s="82"/>
      <c r="AS417" s="82"/>
      <c r="AT417" s="82"/>
      <c r="AU417" s="82"/>
      <c r="AV417" s="82"/>
      <c r="AW417" s="83"/>
      <c r="AX417" s="57"/>
      <c r="AY417" s="57"/>
      <c r="AZ417" s="57"/>
      <c r="BA417" s="57"/>
      <c r="BB417" s="57"/>
      <c r="BC417" s="57"/>
      <c r="BD417" s="57"/>
      <c r="BE417" s="57"/>
      <c r="BF417" s="57"/>
      <c r="BG417" s="57"/>
      <c r="BH417" s="57"/>
      <c r="BI417" s="57"/>
      <c r="BJ417" s="57"/>
      <c r="BK417" s="57"/>
      <c r="BL417" s="230"/>
      <c r="BM417" s="230"/>
      <c r="BN417" s="230"/>
      <c r="BO417" s="230"/>
      <c r="BP417" s="230"/>
      <c r="BQ417" s="230"/>
      <c r="BR417" s="55"/>
      <c r="BS417" s="55"/>
      <c r="BT417" s="55"/>
      <c r="BU417" s="55"/>
      <c r="BV417" s="55"/>
      <c r="BW417" s="55"/>
      <c r="BX417" s="55"/>
      <c r="BY417" s="55"/>
      <c r="BZ417" s="55"/>
      <c r="CA417" s="55"/>
      <c r="CB417" s="55"/>
      <c r="CC417" s="55"/>
      <c r="CD417" s="55"/>
      <c r="CE417" s="55"/>
      <c r="CF417" s="55"/>
      <c r="CG417" s="55"/>
      <c r="CH417" s="55"/>
      <c r="CI417" s="55"/>
      <c r="CJ417" s="55"/>
      <c r="CK417" s="55"/>
      <c r="CL417" s="55"/>
      <c r="CM417" s="55"/>
      <c r="CN417" s="55"/>
      <c r="CO417" s="55"/>
      <c r="CP417" s="55"/>
      <c r="CQ417" s="55"/>
      <c r="CR417" s="45"/>
      <c r="CS417" s="45"/>
      <c r="CT417" s="45"/>
      <c r="CU417" s="45"/>
      <c r="CV417" s="45"/>
      <c r="CW417" s="45"/>
      <c r="CX417" s="45"/>
      <c r="CY417" s="43"/>
      <c r="CZ417" s="42"/>
      <c r="DA417" s="42"/>
      <c r="DB417" s="42"/>
    </row>
    <row r="418" spans="1:113">
      <c r="C418" s="55"/>
      <c r="D418" s="55"/>
      <c r="E418" s="55"/>
      <c r="F418" s="55"/>
      <c r="G418" s="55"/>
      <c r="H418" s="55"/>
      <c r="I418" s="55"/>
      <c r="J418" s="55"/>
      <c r="K418" s="55"/>
      <c r="L418" s="55"/>
      <c r="M418" s="55"/>
      <c r="N418" s="55"/>
      <c r="O418" s="55"/>
      <c r="P418" s="55"/>
      <c r="Q418" s="55"/>
      <c r="R418" s="55"/>
      <c r="S418" s="55"/>
      <c r="T418" s="55"/>
      <c r="U418" s="55"/>
      <c r="V418" s="55"/>
      <c r="W418" s="55"/>
      <c r="X418" s="55"/>
      <c r="Y418" s="55"/>
      <c r="Z418" s="55"/>
      <c r="AA418" s="55"/>
      <c r="AB418" s="55"/>
      <c r="AC418" s="55"/>
      <c r="AD418" s="55"/>
      <c r="AE418" s="55"/>
      <c r="AF418" s="55"/>
      <c r="AG418" s="42"/>
      <c r="AH418" s="45"/>
      <c r="AI418" s="55"/>
      <c r="AJ418" s="45"/>
      <c r="AK418" s="55"/>
      <c r="AL418" s="55"/>
      <c r="AM418" s="55"/>
      <c r="AN418" s="55"/>
      <c r="AO418" s="55"/>
      <c r="AP418" s="55"/>
      <c r="AQ418" s="55"/>
      <c r="AR418" s="55"/>
      <c r="AS418" s="55"/>
      <c r="AT418" s="55"/>
      <c r="AU418" s="55"/>
      <c r="AV418" s="55"/>
      <c r="AW418" s="56"/>
      <c r="AX418" s="55"/>
      <c r="AZ418" s="55"/>
      <c r="BA418" s="55"/>
      <c r="BB418" s="55"/>
      <c r="BC418" s="55"/>
      <c r="BD418" s="55"/>
      <c r="BE418" s="55"/>
      <c r="BF418" s="55"/>
      <c r="BG418" s="55"/>
      <c r="BH418" s="55"/>
      <c r="BI418" s="55"/>
      <c r="BJ418" s="55"/>
      <c r="BK418" s="55"/>
      <c r="BL418" s="55"/>
      <c r="BM418" s="55"/>
      <c r="BN418" s="55"/>
      <c r="BO418" s="55"/>
      <c r="BP418" s="55"/>
      <c r="BQ418" s="55"/>
      <c r="BR418" s="55"/>
      <c r="BS418" s="55"/>
      <c r="BT418" s="55"/>
      <c r="BU418" s="55"/>
      <c r="BV418" s="55"/>
      <c r="BW418" s="55"/>
      <c r="BX418" s="55"/>
      <c r="BY418" s="55"/>
      <c r="BZ418" s="55"/>
      <c r="CA418" s="55"/>
      <c r="CB418" s="55"/>
      <c r="CC418" s="55"/>
      <c r="CD418" s="55"/>
      <c r="CE418" s="55"/>
      <c r="CF418" s="55"/>
      <c r="CG418" s="55"/>
      <c r="CH418" s="55"/>
      <c r="CI418" s="55"/>
      <c r="CJ418" s="55"/>
      <c r="CK418" s="55"/>
      <c r="CL418" s="55"/>
      <c r="CM418" s="55"/>
      <c r="CN418" s="55"/>
      <c r="CO418" s="55"/>
      <c r="CP418" s="55"/>
      <c r="CQ418" s="55"/>
      <c r="CR418" s="55"/>
      <c r="CS418" s="55"/>
      <c r="CT418" s="55"/>
      <c r="CU418" s="55"/>
      <c r="CV418" s="55"/>
      <c r="CW418" s="55"/>
      <c r="CX418" s="55"/>
      <c r="CY418" s="56"/>
      <c r="CZ418" s="55"/>
      <c r="DA418" s="55"/>
      <c r="DB418" s="55"/>
    </row>
    <row r="419" spans="1:113" s="36" customFormat="1" collapsed="1">
      <c r="A419" s="1" t="s">
        <v>810</v>
      </c>
      <c r="B419" s="2" t="s">
        <v>501</v>
      </c>
      <c r="C419" s="79">
        <v>4443</v>
      </c>
      <c r="D419" s="79">
        <v>4546</v>
      </c>
      <c r="E419" s="79">
        <v>4522</v>
      </c>
      <c r="F419" s="79">
        <v>4485</v>
      </c>
      <c r="G419" s="79">
        <v>4914</v>
      </c>
      <c r="H419" s="79">
        <v>5211</v>
      </c>
      <c r="I419" s="79">
        <v>5280</v>
      </c>
      <c r="J419" s="79">
        <v>5455</v>
      </c>
      <c r="K419" s="79">
        <v>5647</v>
      </c>
      <c r="L419" s="79">
        <v>6010</v>
      </c>
      <c r="M419" s="79">
        <v>6071</v>
      </c>
      <c r="N419" s="79">
        <v>6557</v>
      </c>
      <c r="O419" s="79">
        <v>6640</v>
      </c>
      <c r="P419" s="79">
        <v>7016</v>
      </c>
      <c r="Q419" s="79">
        <v>7325</v>
      </c>
      <c r="R419" s="79">
        <v>8481</v>
      </c>
      <c r="S419" s="79">
        <v>8985</v>
      </c>
      <c r="T419" s="79">
        <v>9692</v>
      </c>
      <c r="U419" s="79">
        <v>9367</v>
      </c>
      <c r="V419" s="79">
        <v>9739</v>
      </c>
      <c r="W419" s="79">
        <v>9920</v>
      </c>
      <c r="X419" s="79">
        <v>10105</v>
      </c>
      <c r="Y419" s="79">
        <v>10045</v>
      </c>
      <c r="Z419" s="79">
        <v>10289</v>
      </c>
      <c r="AA419" s="79">
        <v>10532</v>
      </c>
      <c r="AB419" s="79">
        <v>11148</v>
      </c>
      <c r="AC419" s="79">
        <v>11253</v>
      </c>
      <c r="AD419" s="79">
        <v>11727</v>
      </c>
      <c r="AE419" s="79">
        <v>11851</v>
      </c>
      <c r="AF419" s="79">
        <v>12420</v>
      </c>
      <c r="AG419" s="79">
        <v>12327</v>
      </c>
      <c r="AH419" s="79">
        <v>12835</v>
      </c>
      <c r="AI419" s="79">
        <v>12453</v>
      </c>
      <c r="AJ419" s="79">
        <v>12649</v>
      </c>
      <c r="AK419" s="79">
        <v>12273</v>
      </c>
      <c r="AL419" s="79">
        <v>11975.859631071826</v>
      </c>
      <c r="AM419" s="79">
        <v>11603.140368928176</v>
      </c>
      <c r="AN419" s="79">
        <v>12023</v>
      </c>
      <c r="AO419" s="79">
        <v>11738</v>
      </c>
      <c r="AP419" s="79">
        <v>11961</v>
      </c>
      <c r="AQ419" s="79">
        <v>12195</v>
      </c>
      <c r="AR419" s="79">
        <v>12107</v>
      </c>
      <c r="AS419" s="79">
        <v>12582</v>
      </c>
      <c r="AT419" s="79">
        <v>13623</v>
      </c>
      <c r="AU419" s="79">
        <v>13512</v>
      </c>
      <c r="AV419" s="79">
        <v>13649</v>
      </c>
      <c r="AW419" s="80">
        <v>13525</v>
      </c>
      <c r="AX419" s="79">
        <v>13922.182856629799</v>
      </c>
      <c r="AY419" s="79">
        <v>13839.423928564736</v>
      </c>
      <c r="AZ419" s="79">
        <v>14234.978500531477</v>
      </c>
      <c r="BA419" s="79">
        <v>14102.445403176851</v>
      </c>
      <c r="BB419" s="79">
        <v>14446.418583325983</v>
      </c>
      <c r="BC419" s="79">
        <v>14342.170891461417</v>
      </c>
      <c r="BD419" s="79">
        <v>14728.409617596877</v>
      </c>
      <c r="BE419" s="79">
        <v>14721.483618308936</v>
      </c>
      <c r="BF419" s="79">
        <v>15121.983855985636</v>
      </c>
      <c r="BG419" s="79">
        <v>15035.134692763757</v>
      </c>
      <c r="BH419" s="79">
        <v>15551.460285261976</v>
      </c>
      <c r="BI419" s="79">
        <v>15539.007937972532</v>
      </c>
      <c r="BJ419" s="79">
        <v>16075.055310730268</v>
      </c>
      <c r="BK419" s="79">
        <v>16068.035482885574</v>
      </c>
      <c r="BL419" s="79">
        <v>16590.761962101151</v>
      </c>
      <c r="BM419" s="79">
        <v>16679.523877570038</v>
      </c>
      <c r="BN419" s="79">
        <v>17236.196932789178</v>
      </c>
      <c r="BO419" s="79">
        <v>17244.213227432476</v>
      </c>
      <c r="BP419" s="79">
        <v>17861.907254941681</v>
      </c>
      <c r="BQ419" s="79">
        <v>17870.676620371712</v>
      </c>
      <c r="BR419" s="79"/>
      <c r="BS419" s="79">
        <v>4653</v>
      </c>
      <c r="BT419" s="79">
        <v>4367</v>
      </c>
      <c r="BU419" s="79">
        <v>4259</v>
      </c>
      <c r="BV419" s="79">
        <v>4648</v>
      </c>
      <c r="BW419" s="79">
        <v>4752</v>
      </c>
      <c r="BX419" s="79">
        <v>4881</v>
      </c>
      <c r="BY419" s="79">
        <v>5230</v>
      </c>
      <c r="BZ419" s="79">
        <v>5524</v>
      </c>
      <c r="CA419" s="79">
        <v>6139</v>
      </c>
      <c r="CB419" s="79">
        <v>8824</v>
      </c>
      <c r="CC419" s="79">
        <v>9068</v>
      </c>
      <c r="CD419" s="79">
        <v>9399</v>
      </c>
      <c r="CE419" s="79">
        <v>10491</v>
      </c>
      <c r="CF419" s="79">
        <v>11102</v>
      </c>
      <c r="CG419" s="79">
        <v>12081</v>
      </c>
      <c r="CH419" s="79">
        <v>13197</v>
      </c>
      <c r="CI419" s="79">
        <v>14341</v>
      </c>
      <c r="CJ419" s="79">
        <v>17466</v>
      </c>
      <c r="CK419" s="79">
        <v>19059</v>
      </c>
      <c r="CL419" s="79">
        <v>19659</v>
      </c>
      <c r="CM419" s="79">
        <v>20150</v>
      </c>
      <c r="CN419" s="79">
        <v>20821</v>
      </c>
      <c r="CO419" s="79">
        <v>22401</v>
      </c>
      <c r="CP419" s="79">
        <v>23578</v>
      </c>
      <c r="CQ419" s="79">
        <v>24747</v>
      </c>
      <c r="CR419" s="79">
        <v>25288</v>
      </c>
      <c r="CS419" s="79">
        <v>24922</v>
      </c>
      <c r="CT419" s="79">
        <v>23579</v>
      </c>
      <c r="CU419" s="79">
        <v>23761</v>
      </c>
      <c r="CV419" s="79">
        <v>24156</v>
      </c>
      <c r="CW419" s="79">
        <v>24689</v>
      </c>
      <c r="CX419" s="79">
        <v>27135</v>
      </c>
      <c r="CY419" s="80">
        <v>27174</v>
      </c>
      <c r="CZ419" s="79">
        <v>27761.606785194534</v>
      </c>
      <c r="DA419" s="79">
        <v>28337.423903708332</v>
      </c>
      <c r="DB419" s="79">
        <v>28788.589474787401</v>
      </c>
      <c r="DC419" s="79">
        <v>29449.893235905809</v>
      </c>
      <c r="DD419" s="79">
        <v>30157.118548749393</v>
      </c>
      <c r="DE419" s="79">
        <v>31090.468223234508</v>
      </c>
      <c r="DF419" s="79">
        <v>32143.09079361584</v>
      </c>
      <c r="DG419" s="79">
        <v>33270.285839671189</v>
      </c>
      <c r="DH419" s="79">
        <v>34480.410160221654</v>
      </c>
      <c r="DI419" s="79">
        <v>35732.583875313394</v>
      </c>
    </row>
    <row r="420" spans="1:113" hidden="1" outlineLevel="2">
      <c r="A420" s="1" t="s">
        <v>94</v>
      </c>
      <c r="B420" s="19" t="s">
        <v>854</v>
      </c>
      <c r="C420" s="55">
        <v>0</v>
      </c>
      <c r="D420" s="55">
        <v>0</v>
      </c>
      <c r="E420" s="55">
        <v>0</v>
      </c>
      <c r="F420" s="55">
        <v>0</v>
      </c>
      <c r="G420" s="55">
        <v>0</v>
      </c>
      <c r="H420" s="55">
        <v>0</v>
      </c>
      <c r="I420" s="55">
        <v>0</v>
      </c>
      <c r="J420" s="55">
        <v>0</v>
      </c>
      <c r="K420" s="55">
        <v>0</v>
      </c>
      <c r="L420" s="55">
        <v>0</v>
      </c>
      <c r="M420" s="55">
        <v>0</v>
      </c>
      <c r="N420" s="55">
        <v>0</v>
      </c>
      <c r="O420" s="55">
        <v>0</v>
      </c>
      <c r="P420" s="55">
        <v>0</v>
      </c>
      <c r="Q420" s="55">
        <v>0</v>
      </c>
      <c r="R420" s="55">
        <v>0</v>
      </c>
      <c r="S420" s="55">
        <v>0</v>
      </c>
      <c r="T420" s="55">
        <v>0</v>
      </c>
      <c r="U420" s="55">
        <v>0</v>
      </c>
      <c r="V420" s="55">
        <v>0</v>
      </c>
      <c r="W420" s="55">
        <v>0</v>
      </c>
      <c r="X420" s="55">
        <v>0</v>
      </c>
      <c r="Y420" s="55">
        <v>0</v>
      </c>
      <c r="Z420" s="55">
        <v>0</v>
      </c>
      <c r="AA420" s="55">
        <v>0</v>
      </c>
      <c r="AB420" s="55">
        <v>0</v>
      </c>
      <c r="AC420" s="55">
        <v>0</v>
      </c>
      <c r="AD420" s="55">
        <v>0</v>
      </c>
      <c r="AE420" s="55">
        <v>0</v>
      </c>
      <c r="AF420" s="55">
        <v>0</v>
      </c>
      <c r="AG420" s="55">
        <v>0</v>
      </c>
      <c r="AH420" s="55">
        <v>0</v>
      </c>
      <c r="AI420" s="55">
        <v>0</v>
      </c>
      <c r="AJ420" s="55">
        <v>0</v>
      </c>
      <c r="AK420" s="55">
        <v>0</v>
      </c>
      <c r="AL420" s="55">
        <v>0</v>
      </c>
      <c r="AM420" s="55">
        <v>0</v>
      </c>
      <c r="AN420" s="55">
        <v>0</v>
      </c>
      <c r="AO420" s="55">
        <v>0</v>
      </c>
      <c r="AP420" s="55">
        <v>0</v>
      </c>
      <c r="AQ420" s="55">
        <v>0</v>
      </c>
      <c r="AR420" s="55">
        <v>0</v>
      </c>
      <c r="AS420" s="55">
        <v>0</v>
      </c>
      <c r="AT420" s="55">
        <v>0</v>
      </c>
      <c r="AU420" s="55">
        <v>0</v>
      </c>
      <c r="AV420" s="55">
        <v>0</v>
      </c>
      <c r="AW420" s="56">
        <v>0</v>
      </c>
      <c r="AX420" s="55">
        <v>0</v>
      </c>
      <c r="AY420" s="55">
        <v>0</v>
      </c>
      <c r="AZ420" s="55">
        <v>0</v>
      </c>
      <c r="BA420" s="55">
        <v>0</v>
      </c>
      <c r="BB420" s="55">
        <v>0</v>
      </c>
      <c r="BC420" s="55">
        <v>0</v>
      </c>
      <c r="BD420" s="55">
        <v>0</v>
      </c>
      <c r="BE420" s="55">
        <v>0</v>
      </c>
      <c r="BF420" s="55">
        <v>0</v>
      </c>
      <c r="BG420" s="55">
        <v>0</v>
      </c>
      <c r="BH420" s="55">
        <v>0</v>
      </c>
      <c r="BI420" s="55">
        <v>0</v>
      </c>
      <c r="BJ420" s="55">
        <v>0</v>
      </c>
      <c r="BK420" s="55">
        <v>0</v>
      </c>
      <c r="BL420" s="55">
        <v>0</v>
      </c>
      <c r="BM420" s="55">
        <v>0</v>
      </c>
      <c r="BN420" s="55">
        <v>0</v>
      </c>
      <c r="BO420" s="55">
        <v>0</v>
      </c>
      <c r="BP420" s="55">
        <v>0</v>
      </c>
      <c r="BQ420" s="55">
        <v>0</v>
      </c>
      <c r="BR420" s="55"/>
      <c r="BS420" s="55">
        <v>0</v>
      </c>
      <c r="BT420" s="55">
        <v>0</v>
      </c>
      <c r="BU420" s="55">
        <v>0</v>
      </c>
      <c r="BV420" s="55">
        <v>0</v>
      </c>
      <c r="BW420" s="55">
        <v>0</v>
      </c>
      <c r="BX420" s="55">
        <v>0</v>
      </c>
      <c r="BY420" s="55">
        <v>0</v>
      </c>
      <c r="BZ420" s="55">
        <v>0</v>
      </c>
      <c r="CA420" s="55">
        <v>0</v>
      </c>
      <c r="CB420" s="55">
        <v>0</v>
      </c>
      <c r="CC420" s="55">
        <v>0</v>
      </c>
      <c r="CD420" s="55">
        <v>0</v>
      </c>
      <c r="CE420" s="55">
        <v>0</v>
      </c>
      <c r="CF420" s="55">
        <v>0</v>
      </c>
      <c r="CG420" s="55">
        <v>0</v>
      </c>
      <c r="CH420" s="55">
        <v>0</v>
      </c>
      <c r="CI420" s="55">
        <v>0</v>
      </c>
      <c r="CJ420" s="55">
        <v>0</v>
      </c>
      <c r="CK420" s="55">
        <v>0</v>
      </c>
      <c r="CL420" s="55">
        <v>0</v>
      </c>
      <c r="CM420" s="55">
        <v>0</v>
      </c>
      <c r="CN420" s="55">
        <v>0</v>
      </c>
      <c r="CO420" s="55">
        <v>0</v>
      </c>
      <c r="CP420" s="55">
        <v>0</v>
      </c>
      <c r="CQ420" s="55">
        <v>0</v>
      </c>
      <c r="CR420" s="55">
        <v>0</v>
      </c>
      <c r="CS420" s="55">
        <v>0</v>
      </c>
      <c r="CT420" s="55">
        <v>0</v>
      </c>
      <c r="CU420" s="55">
        <v>0</v>
      </c>
      <c r="CV420" s="55">
        <v>0</v>
      </c>
      <c r="CW420" s="55">
        <v>0</v>
      </c>
      <c r="CX420" s="55">
        <v>0</v>
      </c>
      <c r="CY420" s="56">
        <v>0</v>
      </c>
      <c r="CZ420" s="55">
        <v>0</v>
      </c>
      <c r="DA420" s="55">
        <v>0</v>
      </c>
      <c r="DB420" s="55">
        <v>0</v>
      </c>
      <c r="DC420" s="55">
        <v>0</v>
      </c>
      <c r="DD420" s="55">
        <v>0</v>
      </c>
      <c r="DE420" s="55">
        <v>0</v>
      </c>
      <c r="DF420" s="55">
        <v>0</v>
      </c>
      <c r="DG420" s="55">
        <v>0</v>
      </c>
      <c r="DH420" s="55">
        <v>0</v>
      </c>
      <c r="DI420" s="55">
        <v>0</v>
      </c>
    </row>
    <row r="421" spans="1:113" hidden="1" outlineLevel="2">
      <c r="A421" s="1" t="s">
        <v>666</v>
      </c>
      <c r="B421" s="19" t="s">
        <v>445</v>
      </c>
      <c r="C421" s="55">
        <v>0</v>
      </c>
      <c r="D421" s="55">
        <v>0</v>
      </c>
      <c r="E421" s="55">
        <v>0</v>
      </c>
      <c r="F421" s="55">
        <v>0</v>
      </c>
      <c r="G421" s="55">
        <v>0</v>
      </c>
      <c r="H421" s="55">
        <v>0</v>
      </c>
      <c r="I421" s="55">
        <v>0</v>
      </c>
      <c r="J421" s="55">
        <v>0</v>
      </c>
      <c r="K421" s="55">
        <v>0</v>
      </c>
      <c r="L421" s="55">
        <v>0</v>
      </c>
      <c r="M421" s="55">
        <v>0</v>
      </c>
      <c r="N421" s="55">
        <v>0</v>
      </c>
      <c r="O421" s="55">
        <v>0</v>
      </c>
      <c r="P421" s="55">
        <v>0</v>
      </c>
      <c r="Q421" s="55">
        <v>0</v>
      </c>
      <c r="R421" s="55">
        <v>0</v>
      </c>
      <c r="S421" s="55">
        <v>0</v>
      </c>
      <c r="T421" s="55">
        <v>0</v>
      </c>
      <c r="U421" s="55">
        <v>0</v>
      </c>
      <c r="V421" s="55">
        <v>0</v>
      </c>
      <c r="W421" s="55">
        <v>0</v>
      </c>
      <c r="X421" s="55">
        <v>0</v>
      </c>
      <c r="Y421" s="55">
        <v>0</v>
      </c>
      <c r="Z421" s="55">
        <v>0</v>
      </c>
      <c r="AA421" s="55">
        <v>0</v>
      </c>
      <c r="AB421" s="55">
        <v>0</v>
      </c>
      <c r="AC421" s="55">
        <v>0</v>
      </c>
      <c r="AD421" s="55">
        <v>0</v>
      </c>
      <c r="AE421" s="55">
        <v>0</v>
      </c>
      <c r="AF421" s="55">
        <v>0</v>
      </c>
      <c r="AG421" s="55">
        <v>0</v>
      </c>
      <c r="AH421" s="55">
        <v>0</v>
      </c>
      <c r="AI421" s="55">
        <v>0</v>
      </c>
      <c r="AJ421" s="55">
        <v>0</v>
      </c>
      <c r="AK421" s="55">
        <v>0</v>
      </c>
      <c r="AL421" s="55">
        <v>0</v>
      </c>
      <c r="AM421" s="55">
        <v>0</v>
      </c>
      <c r="AN421" s="55">
        <v>0</v>
      </c>
      <c r="AO421" s="55">
        <v>0</v>
      </c>
      <c r="AP421" s="55">
        <v>0</v>
      </c>
      <c r="AQ421" s="55">
        <v>0</v>
      </c>
      <c r="AR421" s="55">
        <v>0</v>
      </c>
      <c r="AS421" s="55">
        <v>0</v>
      </c>
      <c r="AT421" s="55">
        <v>0</v>
      </c>
      <c r="AU421" s="55">
        <v>0</v>
      </c>
      <c r="AV421" s="55">
        <v>0</v>
      </c>
      <c r="AW421" s="56">
        <v>0</v>
      </c>
      <c r="AX421" s="55">
        <v>0</v>
      </c>
      <c r="AY421" s="55">
        <v>0</v>
      </c>
      <c r="AZ421" s="55">
        <v>0</v>
      </c>
      <c r="BA421" s="55">
        <v>0</v>
      </c>
      <c r="BB421" s="55">
        <v>0</v>
      </c>
      <c r="BC421" s="55">
        <v>0</v>
      </c>
      <c r="BD421" s="55">
        <v>0</v>
      </c>
      <c r="BE421" s="55">
        <v>0</v>
      </c>
      <c r="BF421" s="55">
        <v>0</v>
      </c>
      <c r="BG421" s="55">
        <v>0</v>
      </c>
      <c r="BH421" s="55">
        <v>0</v>
      </c>
      <c r="BI421" s="55">
        <v>0</v>
      </c>
      <c r="BJ421" s="55">
        <v>0</v>
      </c>
      <c r="BK421" s="55">
        <v>0</v>
      </c>
      <c r="BL421" s="55">
        <v>0</v>
      </c>
      <c r="BM421" s="55">
        <v>0</v>
      </c>
      <c r="BN421" s="55">
        <v>0</v>
      </c>
      <c r="BO421" s="55">
        <v>0</v>
      </c>
      <c r="BP421" s="55">
        <v>0</v>
      </c>
      <c r="BQ421" s="55">
        <v>0</v>
      </c>
      <c r="BR421" s="55"/>
      <c r="BS421" s="55">
        <v>0</v>
      </c>
      <c r="BT421" s="55">
        <v>0</v>
      </c>
      <c r="BU421" s="55">
        <v>0</v>
      </c>
      <c r="BV421" s="55">
        <v>0</v>
      </c>
      <c r="BW421" s="55">
        <v>0</v>
      </c>
      <c r="BX421" s="55">
        <v>0</v>
      </c>
      <c r="BY421" s="55">
        <v>0</v>
      </c>
      <c r="BZ421" s="55">
        <v>0</v>
      </c>
      <c r="CA421" s="55">
        <v>0</v>
      </c>
      <c r="CB421" s="55">
        <v>0</v>
      </c>
      <c r="CC421" s="55">
        <v>0</v>
      </c>
      <c r="CD421" s="55">
        <v>0</v>
      </c>
      <c r="CE421" s="55">
        <v>0</v>
      </c>
      <c r="CF421" s="55">
        <v>0</v>
      </c>
      <c r="CG421" s="55">
        <v>0</v>
      </c>
      <c r="CH421" s="55">
        <v>0</v>
      </c>
      <c r="CI421" s="55">
        <v>0</v>
      </c>
      <c r="CJ421" s="55">
        <v>0</v>
      </c>
      <c r="CK421" s="55">
        <v>0</v>
      </c>
      <c r="CL421" s="55">
        <v>0</v>
      </c>
      <c r="CM421" s="55">
        <v>0</v>
      </c>
      <c r="CN421" s="55">
        <v>0</v>
      </c>
      <c r="CO421" s="55">
        <v>0</v>
      </c>
      <c r="CP421" s="55">
        <v>0</v>
      </c>
      <c r="CQ421" s="55">
        <v>0</v>
      </c>
      <c r="CR421" s="55">
        <v>0</v>
      </c>
      <c r="CS421" s="55">
        <v>0</v>
      </c>
      <c r="CT421" s="55">
        <v>0</v>
      </c>
      <c r="CU421" s="55">
        <v>0</v>
      </c>
      <c r="CV421" s="55">
        <v>0</v>
      </c>
      <c r="CW421" s="55">
        <v>0</v>
      </c>
      <c r="CX421" s="55">
        <v>0</v>
      </c>
      <c r="CY421" s="56">
        <v>0</v>
      </c>
      <c r="CZ421" s="55">
        <v>0</v>
      </c>
      <c r="DA421" s="55">
        <v>0</v>
      </c>
      <c r="DB421" s="55">
        <v>0</v>
      </c>
      <c r="DC421" s="55">
        <v>0</v>
      </c>
      <c r="DD421" s="55">
        <v>0</v>
      </c>
      <c r="DE421" s="55">
        <v>0</v>
      </c>
      <c r="DF421" s="55">
        <v>0</v>
      </c>
      <c r="DG421" s="55">
        <v>0</v>
      </c>
      <c r="DH421" s="55">
        <v>0</v>
      </c>
      <c r="DI421" s="55">
        <v>0</v>
      </c>
    </row>
    <row r="422" spans="1:113" hidden="1" outlineLevel="2">
      <c r="A422" s="1" t="s">
        <v>667</v>
      </c>
      <c r="B422" s="19" t="s">
        <v>369</v>
      </c>
      <c r="C422" s="55">
        <v>0</v>
      </c>
      <c r="D422" s="55">
        <v>0</v>
      </c>
      <c r="E422" s="55">
        <v>0</v>
      </c>
      <c r="F422" s="55">
        <v>0</v>
      </c>
      <c r="G422" s="55">
        <v>0</v>
      </c>
      <c r="H422" s="55">
        <v>0</v>
      </c>
      <c r="I422" s="55">
        <v>0</v>
      </c>
      <c r="J422" s="55">
        <v>0</v>
      </c>
      <c r="K422" s="55">
        <v>0</v>
      </c>
      <c r="L422" s="55">
        <v>0</v>
      </c>
      <c r="M422" s="55">
        <v>0</v>
      </c>
      <c r="N422" s="55">
        <v>0</v>
      </c>
      <c r="O422" s="55">
        <v>0</v>
      </c>
      <c r="P422" s="55">
        <v>0</v>
      </c>
      <c r="Q422" s="55">
        <v>0</v>
      </c>
      <c r="R422" s="55">
        <v>0</v>
      </c>
      <c r="S422" s="55">
        <v>0</v>
      </c>
      <c r="T422" s="55">
        <v>0</v>
      </c>
      <c r="U422" s="55">
        <v>0</v>
      </c>
      <c r="V422" s="55">
        <v>0</v>
      </c>
      <c r="W422" s="55">
        <v>0</v>
      </c>
      <c r="X422" s="55">
        <v>0</v>
      </c>
      <c r="Y422" s="55">
        <v>0</v>
      </c>
      <c r="Z422" s="55">
        <v>0</v>
      </c>
      <c r="AA422" s="55">
        <v>0</v>
      </c>
      <c r="AB422" s="55">
        <v>0</v>
      </c>
      <c r="AC422" s="55">
        <v>0</v>
      </c>
      <c r="AD422" s="55">
        <v>0</v>
      </c>
      <c r="AE422" s="55">
        <v>0</v>
      </c>
      <c r="AF422" s="55">
        <v>0</v>
      </c>
      <c r="AG422" s="55">
        <v>0</v>
      </c>
      <c r="AH422" s="55">
        <v>0</v>
      </c>
      <c r="AI422" s="55">
        <v>0</v>
      </c>
      <c r="AJ422" s="55">
        <v>0</v>
      </c>
      <c r="AK422" s="55">
        <v>0</v>
      </c>
      <c r="AL422" s="55">
        <v>0</v>
      </c>
      <c r="AM422" s="55">
        <v>0</v>
      </c>
      <c r="AN422" s="55">
        <v>0</v>
      </c>
      <c r="AO422" s="55">
        <v>0</v>
      </c>
      <c r="AP422" s="55">
        <v>0</v>
      </c>
      <c r="AQ422" s="55">
        <v>0</v>
      </c>
      <c r="AR422" s="55">
        <v>0</v>
      </c>
      <c r="AS422" s="55">
        <v>0</v>
      </c>
      <c r="AT422" s="55">
        <v>0</v>
      </c>
      <c r="AU422" s="55">
        <v>0</v>
      </c>
      <c r="AV422" s="55">
        <v>0</v>
      </c>
      <c r="AW422" s="56">
        <v>0</v>
      </c>
      <c r="AX422" s="55">
        <v>0</v>
      </c>
      <c r="AY422" s="55">
        <v>0</v>
      </c>
      <c r="AZ422" s="55">
        <v>0</v>
      </c>
      <c r="BA422" s="55">
        <v>0</v>
      </c>
      <c r="BB422" s="55">
        <v>0</v>
      </c>
      <c r="BC422" s="55">
        <v>0</v>
      </c>
      <c r="BD422" s="55">
        <v>0</v>
      </c>
      <c r="BE422" s="55">
        <v>0</v>
      </c>
      <c r="BF422" s="55">
        <v>0</v>
      </c>
      <c r="BG422" s="55">
        <v>0</v>
      </c>
      <c r="BH422" s="55">
        <v>0</v>
      </c>
      <c r="BI422" s="55">
        <v>0</v>
      </c>
      <c r="BJ422" s="55">
        <v>0</v>
      </c>
      <c r="BK422" s="55">
        <v>0</v>
      </c>
      <c r="BL422" s="55">
        <v>0</v>
      </c>
      <c r="BM422" s="55">
        <v>0</v>
      </c>
      <c r="BN422" s="55">
        <v>0</v>
      </c>
      <c r="BO422" s="55">
        <v>0</v>
      </c>
      <c r="BP422" s="55">
        <v>0</v>
      </c>
      <c r="BQ422" s="55">
        <v>0</v>
      </c>
      <c r="BR422" s="55"/>
      <c r="BS422" s="55">
        <v>0</v>
      </c>
      <c r="BT422" s="55">
        <v>0</v>
      </c>
      <c r="BU422" s="55">
        <v>0</v>
      </c>
      <c r="BV422" s="55">
        <v>0</v>
      </c>
      <c r="BW422" s="55">
        <v>0</v>
      </c>
      <c r="BX422" s="55">
        <v>0</v>
      </c>
      <c r="BY422" s="55">
        <v>0</v>
      </c>
      <c r="BZ422" s="55">
        <v>0</v>
      </c>
      <c r="CA422" s="55">
        <v>0</v>
      </c>
      <c r="CB422" s="55">
        <v>0</v>
      </c>
      <c r="CC422" s="55">
        <v>0</v>
      </c>
      <c r="CD422" s="55">
        <v>0</v>
      </c>
      <c r="CE422" s="55">
        <v>0</v>
      </c>
      <c r="CF422" s="55">
        <v>0</v>
      </c>
      <c r="CG422" s="55">
        <v>0</v>
      </c>
      <c r="CH422" s="55">
        <v>0</v>
      </c>
      <c r="CI422" s="55">
        <v>0</v>
      </c>
      <c r="CJ422" s="55">
        <v>0</v>
      </c>
      <c r="CK422" s="55">
        <v>0</v>
      </c>
      <c r="CL422" s="55">
        <v>0</v>
      </c>
      <c r="CM422" s="55">
        <v>0</v>
      </c>
      <c r="CN422" s="55">
        <v>0</v>
      </c>
      <c r="CO422" s="55">
        <v>0</v>
      </c>
      <c r="CP422" s="55">
        <v>0</v>
      </c>
      <c r="CQ422" s="55">
        <v>0</v>
      </c>
      <c r="CR422" s="55">
        <v>0</v>
      </c>
      <c r="CS422" s="55">
        <v>0</v>
      </c>
      <c r="CT422" s="55">
        <v>0</v>
      </c>
      <c r="CU422" s="55">
        <v>0</v>
      </c>
      <c r="CV422" s="55">
        <v>0</v>
      </c>
      <c r="CW422" s="55">
        <v>0</v>
      </c>
      <c r="CX422" s="55">
        <v>0</v>
      </c>
      <c r="CY422" s="56">
        <v>0</v>
      </c>
      <c r="CZ422" s="55">
        <v>0</v>
      </c>
      <c r="DA422" s="55">
        <v>0</v>
      </c>
      <c r="DB422" s="55">
        <v>0</v>
      </c>
      <c r="DC422" s="55">
        <v>0</v>
      </c>
      <c r="DD422" s="55">
        <v>0</v>
      </c>
      <c r="DE422" s="55">
        <v>0</v>
      </c>
      <c r="DF422" s="55">
        <v>0</v>
      </c>
      <c r="DG422" s="55">
        <v>0</v>
      </c>
      <c r="DH422" s="55">
        <v>0</v>
      </c>
      <c r="DI422" s="55">
        <v>0</v>
      </c>
    </row>
    <row r="423" spans="1:113" hidden="1" outlineLevel="2">
      <c r="A423" s="1" t="s">
        <v>88</v>
      </c>
      <c r="B423" s="19" t="s">
        <v>370</v>
      </c>
      <c r="C423" s="55">
        <v>0</v>
      </c>
      <c r="D423" s="55">
        <v>0</v>
      </c>
      <c r="E423" s="55">
        <v>0</v>
      </c>
      <c r="F423" s="55">
        <v>0</v>
      </c>
      <c r="G423" s="55">
        <v>0</v>
      </c>
      <c r="H423" s="55">
        <v>0</v>
      </c>
      <c r="I423" s="55">
        <v>0</v>
      </c>
      <c r="J423" s="55">
        <v>0</v>
      </c>
      <c r="K423" s="55">
        <v>0</v>
      </c>
      <c r="L423" s="55">
        <v>0</v>
      </c>
      <c r="M423" s="55">
        <v>0</v>
      </c>
      <c r="N423" s="55">
        <v>0</v>
      </c>
      <c r="O423" s="55">
        <v>0</v>
      </c>
      <c r="P423" s="55">
        <v>0</v>
      </c>
      <c r="Q423" s="55">
        <v>0</v>
      </c>
      <c r="R423" s="55">
        <v>0</v>
      </c>
      <c r="S423" s="55">
        <v>0</v>
      </c>
      <c r="T423" s="55">
        <v>0</v>
      </c>
      <c r="U423" s="55">
        <v>0</v>
      </c>
      <c r="V423" s="55">
        <v>0</v>
      </c>
      <c r="W423" s="55">
        <v>0</v>
      </c>
      <c r="X423" s="55">
        <v>0</v>
      </c>
      <c r="Y423" s="55">
        <v>0</v>
      </c>
      <c r="Z423" s="55">
        <v>0</v>
      </c>
      <c r="AA423" s="55">
        <v>0</v>
      </c>
      <c r="AB423" s="55">
        <v>0</v>
      </c>
      <c r="AC423" s="55">
        <v>0</v>
      </c>
      <c r="AD423" s="55">
        <v>0</v>
      </c>
      <c r="AE423" s="55">
        <v>0</v>
      </c>
      <c r="AF423" s="55">
        <v>0</v>
      </c>
      <c r="AG423" s="55">
        <v>0</v>
      </c>
      <c r="AH423" s="55">
        <v>0</v>
      </c>
      <c r="AI423" s="55">
        <v>0</v>
      </c>
      <c r="AJ423" s="55">
        <v>0</v>
      </c>
      <c r="AK423" s="55">
        <v>0</v>
      </c>
      <c r="AL423" s="55">
        <v>0</v>
      </c>
      <c r="AM423" s="55">
        <v>0</v>
      </c>
      <c r="AN423" s="55">
        <v>0</v>
      </c>
      <c r="AO423" s="55">
        <v>0</v>
      </c>
      <c r="AP423" s="55">
        <v>0</v>
      </c>
      <c r="AQ423" s="55">
        <v>0</v>
      </c>
      <c r="AR423" s="55">
        <v>0</v>
      </c>
      <c r="AS423" s="55">
        <v>0</v>
      </c>
      <c r="AT423" s="55">
        <v>0</v>
      </c>
      <c r="AU423" s="55">
        <v>0</v>
      </c>
      <c r="AV423" s="55">
        <v>0</v>
      </c>
      <c r="AW423" s="56">
        <v>0</v>
      </c>
      <c r="AX423" s="55">
        <v>0</v>
      </c>
      <c r="AY423" s="55">
        <v>0</v>
      </c>
      <c r="AZ423" s="55">
        <v>0</v>
      </c>
      <c r="BA423" s="55">
        <v>0</v>
      </c>
      <c r="BB423" s="55">
        <v>0</v>
      </c>
      <c r="BC423" s="55">
        <v>0</v>
      </c>
      <c r="BD423" s="55">
        <v>0</v>
      </c>
      <c r="BE423" s="55">
        <v>0</v>
      </c>
      <c r="BF423" s="55">
        <v>0</v>
      </c>
      <c r="BG423" s="55">
        <v>0</v>
      </c>
      <c r="BH423" s="55">
        <v>0</v>
      </c>
      <c r="BI423" s="55">
        <v>0</v>
      </c>
      <c r="BJ423" s="55">
        <v>0</v>
      </c>
      <c r="BK423" s="55">
        <v>0</v>
      </c>
      <c r="BL423" s="55">
        <v>0</v>
      </c>
      <c r="BM423" s="55">
        <v>0</v>
      </c>
      <c r="BN423" s="55">
        <v>0</v>
      </c>
      <c r="BO423" s="55">
        <v>0</v>
      </c>
      <c r="BP423" s="55">
        <v>0</v>
      </c>
      <c r="BQ423" s="55">
        <v>0</v>
      </c>
      <c r="BR423" s="55"/>
      <c r="BS423" s="55">
        <v>0</v>
      </c>
      <c r="BT423" s="55">
        <v>0</v>
      </c>
      <c r="BU423" s="55">
        <v>0</v>
      </c>
      <c r="BV423" s="55">
        <v>0</v>
      </c>
      <c r="BW423" s="55">
        <v>0</v>
      </c>
      <c r="BX423" s="55">
        <v>0</v>
      </c>
      <c r="BY423" s="55">
        <v>0</v>
      </c>
      <c r="BZ423" s="55">
        <v>0</v>
      </c>
      <c r="CA423" s="55">
        <v>0</v>
      </c>
      <c r="CB423" s="55">
        <v>0</v>
      </c>
      <c r="CC423" s="55">
        <v>0</v>
      </c>
      <c r="CD423" s="55">
        <v>0</v>
      </c>
      <c r="CE423" s="55">
        <v>0</v>
      </c>
      <c r="CF423" s="55">
        <v>0</v>
      </c>
      <c r="CG423" s="55">
        <v>0</v>
      </c>
      <c r="CH423" s="55">
        <v>0</v>
      </c>
      <c r="CI423" s="55">
        <v>0</v>
      </c>
      <c r="CJ423" s="55">
        <v>0</v>
      </c>
      <c r="CK423" s="55">
        <v>0</v>
      </c>
      <c r="CL423" s="55">
        <v>0</v>
      </c>
      <c r="CM423" s="55">
        <v>0</v>
      </c>
      <c r="CN423" s="55">
        <v>0</v>
      </c>
      <c r="CO423" s="55">
        <v>0</v>
      </c>
      <c r="CP423" s="55">
        <v>0</v>
      </c>
      <c r="CQ423" s="55">
        <v>0</v>
      </c>
      <c r="CR423" s="55">
        <v>0</v>
      </c>
      <c r="CS423" s="55">
        <v>0</v>
      </c>
      <c r="CT423" s="55">
        <v>0</v>
      </c>
      <c r="CU423" s="55">
        <v>0</v>
      </c>
      <c r="CV423" s="55">
        <v>0</v>
      </c>
      <c r="CW423" s="55">
        <v>0</v>
      </c>
      <c r="CX423" s="55">
        <v>0</v>
      </c>
      <c r="CY423" s="56">
        <v>0</v>
      </c>
      <c r="CZ423" s="55">
        <v>0</v>
      </c>
      <c r="DA423" s="55">
        <v>0</v>
      </c>
      <c r="DB423" s="55">
        <v>0</v>
      </c>
      <c r="DC423" s="55">
        <v>0</v>
      </c>
      <c r="DD423" s="55">
        <v>0</v>
      </c>
      <c r="DE423" s="55">
        <v>0</v>
      </c>
      <c r="DF423" s="55">
        <v>0</v>
      </c>
      <c r="DG423" s="55">
        <v>0</v>
      </c>
      <c r="DH423" s="55">
        <v>0</v>
      </c>
      <c r="DI423" s="55">
        <v>0</v>
      </c>
    </row>
    <row r="424" spans="1:113" hidden="1" outlineLevel="2">
      <c r="A424" s="1" t="s">
        <v>89</v>
      </c>
      <c r="B424" s="19" t="s">
        <v>360</v>
      </c>
      <c r="C424" s="55">
        <v>0</v>
      </c>
      <c r="D424" s="55">
        <v>0</v>
      </c>
      <c r="E424" s="55">
        <v>0</v>
      </c>
      <c r="F424" s="55">
        <v>0</v>
      </c>
      <c r="G424" s="55">
        <v>0</v>
      </c>
      <c r="H424" s="55">
        <v>0</v>
      </c>
      <c r="I424" s="55">
        <v>0</v>
      </c>
      <c r="J424" s="55">
        <v>0</v>
      </c>
      <c r="K424" s="55">
        <v>0</v>
      </c>
      <c r="L424" s="55">
        <v>0</v>
      </c>
      <c r="M424" s="55">
        <v>0</v>
      </c>
      <c r="N424" s="55">
        <v>0</v>
      </c>
      <c r="O424" s="55">
        <v>0</v>
      </c>
      <c r="P424" s="55">
        <v>0</v>
      </c>
      <c r="Q424" s="55">
        <v>0</v>
      </c>
      <c r="R424" s="55">
        <v>0</v>
      </c>
      <c r="S424" s="55">
        <v>0</v>
      </c>
      <c r="T424" s="55">
        <v>0</v>
      </c>
      <c r="U424" s="55">
        <v>0</v>
      </c>
      <c r="V424" s="55">
        <v>0</v>
      </c>
      <c r="W424" s="55">
        <v>0</v>
      </c>
      <c r="X424" s="55">
        <v>0</v>
      </c>
      <c r="Y424" s="55">
        <v>0</v>
      </c>
      <c r="Z424" s="55">
        <v>0</v>
      </c>
      <c r="AA424" s="55">
        <v>0</v>
      </c>
      <c r="AB424" s="55">
        <v>0</v>
      </c>
      <c r="AC424" s="55">
        <v>0</v>
      </c>
      <c r="AD424" s="55">
        <v>0</v>
      </c>
      <c r="AE424" s="55">
        <v>0</v>
      </c>
      <c r="AF424" s="55">
        <v>0</v>
      </c>
      <c r="AG424" s="55">
        <v>0</v>
      </c>
      <c r="AH424" s="55">
        <v>0</v>
      </c>
      <c r="AI424" s="55">
        <v>0</v>
      </c>
      <c r="AJ424" s="55">
        <v>0</v>
      </c>
      <c r="AK424" s="55">
        <v>0</v>
      </c>
      <c r="AL424" s="55">
        <v>0</v>
      </c>
      <c r="AM424" s="55">
        <v>0</v>
      </c>
      <c r="AN424" s="55">
        <v>0</v>
      </c>
      <c r="AO424" s="55">
        <v>0</v>
      </c>
      <c r="AP424" s="55">
        <v>0</v>
      </c>
      <c r="AQ424" s="55">
        <v>0</v>
      </c>
      <c r="AR424" s="55">
        <v>0</v>
      </c>
      <c r="AS424" s="55">
        <v>0</v>
      </c>
      <c r="AT424" s="55">
        <v>0</v>
      </c>
      <c r="AU424" s="55">
        <v>0</v>
      </c>
      <c r="AV424" s="55">
        <v>0</v>
      </c>
      <c r="AW424" s="56">
        <v>0</v>
      </c>
      <c r="AX424" s="55">
        <v>0</v>
      </c>
      <c r="AY424" s="55">
        <v>0</v>
      </c>
      <c r="AZ424" s="55">
        <v>0</v>
      </c>
      <c r="BA424" s="55">
        <v>0</v>
      </c>
      <c r="BB424" s="55">
        <v>0</v>
      </c>
      <c r="BC424" s="55">
        <v>0</v>
      </c>
      <c r="BD424" s="55">
        <v>0</v>
      </c>
      <c r="BE424" s="55">
        <v>0</v>
      </c>
      <c r="BF424" s="55">
        <v>0</v>
      </c>
      <c r="BG424" s="55">
        <v>0</v>
      </c>
      <c r="BH424" s="55">
        <v>0</v>
      </c>
      <c r="BI424" s="55">
        <v>0</v>
      </c>
      <c r="BJ424" s="55">
        <v>0</v>
      </c>
      <c r="BK424" s="55">
        <v>0</v>
      </c>
      <c r="BL424" s="55">
        <v>0</v>
      </c>
      <c r="BM424" s="55">
        <v>0</v>
      </c>
      <c r="BN424" s="55">
        <v>0</v>
      </c>
      <c r="BO424" s="55">
        <v>0</v>
      </c>
      <c r="BP424" s="55">
        <v>0</v>
      </c>
      <c r="BQ424" s="55">
        <v>0</v>
      </c>
      <c r="BR424" s="55"/>
      <c r="BS424" s="55">
        <v>0</v>
      </c>
      <c r="BT424" s="55">
        <v>0</v>
      </c>
      <c r="BU424" s="55">
        <v>0</v>
      </c>
      <c r="BV424" s="55">
        <v>0</v>
      </c>
      <c r="BW424" s="55">
        <v>0</v>
      </c>
      <c r="BX424" s="55">
        <v>0</v>
      </c>
      <c r="BY424" s="55">
        <v>0</v>
      </c>
      <c r="BZ424" s="55">
        <v>0</v>
      </c>
      <c r="CA424" s="55">
        <v>0</v>
      </c>
      <c r="CB424" s="55">
        <v>0</v>
      </c>
      <c r="CC424" s="55">
        <v>0</v>
      </c>
      <c r="CD424" s="55">
        <v>0</v>
      </c>
      <c r="CE424" s="55">
        <v>0</v>
      </c>
      <c r="CF424" s="55">
        <v>0</v>
      </c>
      <c r="CG424" s="55">
        <v>0</v>
      </c>
      <c r="CH424" s="55">
        <v>0</v>
      </c>
      <c r="CI424" s="55">
        <v>0</v>
      </c>
      <c r="CJ424" s="55">
        <v>0</v>
      </c>
      <c r="CK424" s="55">
        <v>0</v>
      </c>
      <c r="CL424" s="55">
        <v>0</v>
      </c>
      <c r="CM424" s="55">
        <v>0</v>
      </c>
      <c r="CN424" s="55">
        <v>0</v>
      </c>
      <c r="CO424" s="55">
        <v>0</v>
      </c>
      <c r="CP424" s="55">
        <v>0</v>
      </c>
      <c r="CQ424" s="55">
        <v>0</v>
      </c>
      <c r="CR424" s="55">
        <v>0</v>
      </c>
      <c r="CS424" s="55">
        <v>0</v>
      </c>
      <c r="CT424" s="55">
        <v>0</v>
      </c>
      <c r="CU424" s="55">
        <v>0</v>
      </c>
      <c r="CV424" s="55">
        <v>0</v>
      </c>
      <c r="CW424" s="55">
        <v>0</v>
      </c>
      <c r="CX424" s="55">
        <v>0</v>
      </c>
      <c r="CY424" s="56">
        <v>0</v>
      </c>
      <c r="CZ424" s="55">
        <v>0</v>
      </c>
      <c r="DA424" s="55">
        <v>0</v>
      </c>
      <c r="DB424" s="55">
        <v>0</v>
      </c>
      <c r="DC424" s="55">
        <v>0</v>
      </c>
      <c r="DD424" s="55">
        <v>0</v>
      </c>
      <c r="DE424" s="55">
        <v>0</v>
      </c>
      <c r="DF424" s="55">
        <v>0</v>
      </c>
      <c r="DG424" s="55">
        <v>0</v>
      </c>
      <c r="DH424" s="55">
        <v>0</v>
      </c>
      <c r="DI424" s="55">
        <v>0</v>
      </c>
    </row>
    <row r="425" spans="1:113" hidden="1" outlineLevel="2">
      <c r="A425" s="1" t="s">
        <v>90</v>
      </c>
      <c r="B425" s="19" t="s">
        <v>423</v>
      </c>
      <c r="C425" s="55">
        <v>0</v>
      </c>
      <c r="D425" s="55">
        <v>0</v>
      </c>
      <c r="E425" s="55">
        <v>0</v>
      </c>
      <c r="F425" s="55">
        <v>0</v>
      </c>
      <c r="G425" s="55">
        <v>0</v>
      </c>
      <c r="H425" s="55">
        <v>0</v>
      </c>
      <c r="I425" s="55">
        <v>0</v>
      </c>
      <c r="J425" s="55">
        <v>0</v>
      </c>
      <c r="K425" s="55">
        <v>0</v>
      </c>
      <c r="L425" s="55">
        <v>0</v>
      </c>
      <c r="M425" s="55">
        <v>0</v>
      </c>
      <c r="N425" s="55">
        <v>0</v>
      </c>
      <c r="O425" s="55">
        <v>0</v>
      </c>
      <c r="P425" s="55">
        <v>0</v>
      </c>
      <c r="Q425" s="55">
        <v>0</v>
      </c>
      <c r="R425" s="55">
        <v>0</v>
      </c>
      <c r="S425" s="55">
        <v>0</v>
      </c>
      <c r="T425" s="55">
        <v>0</v>
      </c>
      <c r="U425" s="55">
        <v>0</v>
      </c>
      <c r="V425" s="55">
        <v>0</v>
      </c>
      <c r="W425" s="55">
        <v>0</v>
      </c>
      <c r="X425" s="55">
        <v>0</v>
      </c>
      <c r="Y425" s="55">
        <v>0</v>
      </c>
      <c r="Z425" s="55">
        <v>0</v>
      </c>
      <c r="AA425" s="55">
        <v>0</v>
      </c>
      <c r="AB425" s="55">
        <v>0</v>
      </c>
      <c r="AC425" s="55">
        <v>0</v>
      </c>
      <c r="AD425" s="55">
        <v>0</v>
      </c>
      <c r="AE425" s="55">
        <v>0</v>
      </c>
      <c r="AF425" s="55">
        <v>0</v>
      </c>
      <c r="AG425" s="55">
        <v>0</v>
      </c>
      <c r="AH425" s="55">
        <v>0</v>
      </c>
      <c r="AI425" s="55">
        <v>0</v>
      </c>
      <c r="AJ425" s="55">
        <v>0</v>
      </c>
      <c r="AK425" s="55">
        <v>0</v>
      </c>
      <c r="AL425" s="55">
        <v>0</v>
      </c>
      <c r="AM425" s="55">
        <v>0</v>
      </c>
      <c r="AN425" s="55">
        <v>0</v>
      </c>
      <c r="AO425" s="55">
        <v>0</v>
      </c>
      <c r="AP425" s="55">
        <v>0</v>
      </c>
      <c r="AQ425" s="55">
        <v>0</v>
      </c>
      <c r="AR425" s="55">
        <v>0</v>
      </c>
      <c r="AS425" s="55">
        <v>0</v>
      </c>
      <c r="AT425" s="55">
        <v>0</v>
      </c>
      <c r="AU425" s="55">
        <v>0</v>
      </c>
      <c r="AV425" s="55">
        <v>0</v>
      </c>
      <c r="AW425" s="56">
        <v>0</v>
      </c>
      <c r="AX425" s="55">
        <v>0</v>
      </c>
      <c r="AY425" s="55">
        <v>0</v>
      </c>
      <c r="AZ425" s="55">
        <v>0</v>
      </c>
      <c r="BA425" s="55">
        <v>0</v>
      </c>
      <c r="BB425" s="55">
        <v>0</v>
      </c>
      <c r="BC425" s="55">
        <v>0</v>
      </c>
      <c r="BD425" s="55">
        <v>0</v>
      </c>
      <c r="BE425" s="55">
        <v>0</v>
      </c>
      <c r="BF425" s="55">
        <v>0</v>
      </c>
      <c r="BG425" s="55">
        <v>0</v>
      </c>
      <c r="BH425" s="55">
        <v>0</v>
      </c>
      <c r="BI425" s="55">
        <v>0</v>
      </c>
      <c r="BJ425" s="55">
        <v>0</v>
      </c>
      <c r="BK425" s="55">
        <v>0</v>
      </c>
      <c r="BL425" s="55">
        <v>0</v>
      </c>
      <c r="BM425" s="55">
        <v>0</v>
      </c>
      <c r="BN425" s="55">
        <v>0</v>
      </c>
      <c r="BO425" s="55">
        <v>0</v>
      </c>
      <c r="BP425" s="55">
        <v>0</v>
      </c>
      <c r="BQ425" s="55">
        <v>0</v>
      </c>
      <c r="BR425" s="55"/>
      <c r="BS425" s="55">
        <v>0</v>
      </c>
      <c r="BT425" s="55">
        <v>0</v>
      </c>
      <c r="BU425" s="55">
        <v>0</v>
      </c>
      <c r="BV425" s="55">
        <v>0</v>
      </c>
      <c r="BW425" s="55">
        <v>0</v>
      </c>
      <c r="BX425" s="55">
        <v>0</v>
      </c>
      <c r="BY425" s="55">
        <v>0</v>
      </c>
      <c r="BZ425" s="55">
        <v>0</v>
      </c>
      <c r="CA425" s="55">
        <v>0</v>
      </c>
      <c r="CB425" s="55">
        <v>0</v>
      </c>
      <c r="CC425" s="55">
        <v>0</v>
      </c>
      <c r="CD425" s="55">
        <v>0</v>
      </c>
      <c r="CE425" s="55">
        <v>0</v>
      </c>
      <c r="CF425" s="55">
        <v>0</v>
      </c>
      <c r="CG425" s="55">
        <v>0</v>
      </c>
      <c r="CH425" s="55">
        <v>0</v>
      </c>
      <c r="CI425" s="55">
        <v>0</v>
      </c>
      <c r="CJ425" s="55">
        <v>0</v>
      </c>
      <c r="CK425" s="55">
        <v>0</v>
      </c>
      <c r="CL425" s="55">
        <v>0</v>
      </c>
      <c r="CM425" s="55">
        <v>0</v>
      </c>
      <c r="CN425" s="55">
        <v>0</v>
      </c>
      <c r="CO425" s="55">
        <v>0</v>
      </c>
      <c r="CP425" s="55">
        <v>0</v>
      </c>
      <c r="CQ425" s="55">
        <v>0</v>
      </c>
      <c r="CR425" s="55">
        <v>0</v>
      </c>
      <c r="CS425" s="55">
        <v>0</v>
      </c>
      <c r="CT425" s="55">
        <v>0</v>
      </c>
      <c r="CU425" s="55">
        <v>0</v>
      </c>
      <c r="CV425" s="55">
        <v>0</v>
      </c>
      <c r="CW425" s="55">
        <v>0</v>
      </c>
      <c r="CX425" s="55">
        <v>0</v>
      </c>
      <c r="CY425" s="56">
        <v>0</v>
      </c>
      <c r="CZ425" s="55">
        <v>0</v>
      </c>
      <c r="DA425" s="55">
        <v>0</v>
      </c>
      <c r="DB425" s="55">
        <v>0</v>
      </c>
      <c r="DC425" s="55">
        <v>0</v>
      </c>
      <c r="DD425" s="55">
        <v>0</v>
      </c>
      <c r="DE425" s="55">
        <v>0</v>
      </c>
      <c r="DF425" s="55">
        <v>0</v>
      </c>
      <c r="DG425" s="55">
        <v>0</v>
      </c>
      <c r="DH425" s="55">
        <v>0</v>
      </c>
      <c r="DI425" s="55">
        <v>0</v>
      </c>
    </row>
    <row r="426" spans="1:113" s="24" customFormat="1" hidden="1" outlineLevel="2">
      <c r="A426" s="1" t="s">
        <v>91</v>
      </c>
      <c r="B426" s="24" t="s">
        <v>502</v>
      </c>
      <c r="C426" s="82">
        <v>4443</v>
      </c>
      <c r="D426" s="82">
        <v>4546</v>
      </c>
      <c r="E426" s="82">
        <v>4522</v>
      </c>
      <c r="F426" s="82">
        <v>4485</v>
      </c>
      <c r="G426" s="82">
        <v>4914</v>
      </c>
      <c r="H426" s="82">
        <v>5211</v>
      </c>
      <c r="I426" s="82">
        <v>5280</v>
      </c>
      <c r="J426" s="82">
        <v>5455</v>
      </c>
      <c r="K426" s="82">
        <v>5647</v>
      </c>
      <c r="L426" s="82">
        <v>6010</v>
      </c>
      <c r="M426" s="82">
        <v>6071</v>
      </c>
      <c r="N426" s="82">
        <v>6557</v>
      </c>
      <c r="O426" s="82">
        <v>6640</v>
      </c>
      <c r="P426" s="82">
        <v>7016</v>
      </c>
      <c r="Q426" s="82">
        <v>7325</v>
      </c>
      <c r="R426" s="82">
        <v>8481</v>
      </c>
      <c r="S426" s="82">
        <v>8985</v>
      </c>
      <c r="T426" s="82">
        <v>9692</v>
      </c>
      <c r="U426" s="82">
        <v>9367</v>
      </c>
      <c r="V426" s="82">
        <v>9739</v>
      </c>
      <c r="W426" s="82">
        <v>9920</v>
      </c>
      <c r="X426" s="82">
        <v>10105</v>
      </c>
      <c r="Y426" s="82">
        <v>10045</v>
      </c>
      <c r="Z426" s="82">
        <v>10289</v>
      </c>
      <c r="AA426" s="82">
        <v>10532</v>
      </c>
      <c r="AB426" s="82">
        <v>11148</v>
      </c>
      <c r="AC426" s="82">
        <v>11253</v>
      </c>
      <c r="AD426" s="82">
        <v>11727</v>
      </c>
      <c r="AE426" s="82">
        <v>11851</v>
      </c>
      <c r="AF426" s="82">
        <v>12420</v>
      </c>
      <c r="AG426" s="82">
        <v>12327</v>
      </c>
      <c r="AH426" s="82">
        <v>12835</v>
      </c>
      <c r="AI426" s="82">
        <v>12453</v>
      </c>
      <c r="AJ426" s="82">
        <v>12649</v>
      </c>
      <c r="AK426" s="82">
        <v>12273</v>
      </c>
      <c r="AL426" s="82">
        <v>11975.859631071826</v>
      </c>
      <c r="AM426" s="82">
        <v>11603.140368928176</v>
      </c>
      <c r="AN426" s="82">
        <v>12023</v>
      </c>
      <c r="AO426" s="82">
        <v>11738</v>
      </c>
      <c r="AP426" s="82">
        <v>11961</v>
      </c>
      <c r="AQ426" s="82">
        <v>12195</v>
      </c>
      <c r="AR426" s="82">
        <v>12107</v>
      </c>
      <c r="AS426" s="82">
        <v>12582</v>
      </c>
      <c r="AT426" s="82">
        <v>13623</v>
      </c>
      <c r="AU426" s="82">
        <v>13512</v>
      </c>
      <c r="AV426" s="82">
        <v>13649</v>
      </c>
      <c r="AW426" s="83">
        <v>13525</v>
      </c>
      <c r="AX426" s="82">
        <v>13922.182856629799</v>
      </c>
      <c r="AY426" s="82">
        <v>13839.423928564736</v>
      </c>
      <c r="AZ426" s="82">
        <v>14234.978500531477</v>
      </c>
      <c r="BA426" s="82">
        <v>14102.445403176851</v>
      </c>
      <c r="BB426" s="82">
        <v>14446.418583325983</v>
      </c>
      <c r="BC426" s="82">
        <v>14342.170891461417</v>
      </c>
      <c r="BD426" s="82">
        <v>14728.409617596877</v>
      </c>
      <c r="BE426" s="82">
        <v>14721.483618308936</v>
      </c>
      <c r="BF426" s="82">
        <v>15121.983855985636</v>
      </c>
      <c r="BG426" s="82">
        <v>15035.134692763757</v>
      </c>
      <c r="BH426" s="82">
        <v>15551.460285261976</v>
      </c>
      <c r="BI426" s="82">
        <v>15539.007937972532</v>
      </c>
      <c r="BJ426" s="82">
        <v>16075.055310730268</v>
      </c>
      <c r="BK426" s="82">
        <v>16068.035482885574</v>
      </c>
      <c r="BL426" s="82">
        <v>16590.761962101151</v>
      </c>
      <c r="BM426" s="82">
        <v>16679.523877570038</v>
      </c>
      <c r="BN426" s="82">
        <v>17236.196932789178</v>
      </c>
      <c r="BO426" s="82">
        <v>17244.213227432476</v>
      </c>
      <c r="BP426" s="82">
        <v>17861.907254941681</v>
      </c>
      <c r="BQ426" s="82">
        <v>17870.676620371712</v>
      </c>
      <c r="BR426" s="82"/>
      <c r="BS426" s="82">
        <v>4653</v>
      </c>
      <c r="BT426" s="82">
        <v>4367</v>
      </c>
      <c r="BU426" s="82">
        <v>4259</v>
      </c>
      <c r="BV426" s="82">
        <v>4648</v>
      </c>
      <c r="BW426" s="82">
        <v>4752</v>
      </c>
      <c r="BX426" s="82">
        <v>4881</v>
      </c>
      <c r="BY426" s="82">
        <v>5230</v>
      </c>
      <c r="BZ426" s="82">
        <v>5524</v>
      </c>
      <c r="CA426" s="82">
        <v>6139</v>
      </c>
      <c r="CB426" s="82">
        <v>8824</v>
      </c>
      <c r="CC426" s="82">
        <v>9068</v>
      </c>
      <c r="CD426" s="82">
        <v>9399</v>
      </c>
      <c r="CE426" s="82">
        <v>10491</v>
      </c>
      <c r="CF426" s="82">
        <v>11102</v>
      </c>
      <c r="CG426" s="82">
        <v>12081</v>
      </c>
      <c r="CH426" s="82">
        <v>13197</v>
      </c>
      <c r="CI426" s="82">
        <v>14341</v>
      </c>
      <c r="CJ426" s="82">
        <v>17466</v>
      </c>
      <c r="CK426" s="82">
        <v>19059</v>
      </c>
      <c r="CL426" s="82">
        <v>19659</v>
      </c>
      <c r="CM426" s="82">
        <v>20150</v>
      </c>
      <c r="CN426" s="82">
        <v>20821</v>
      </c>
      <c r="CO426" s="82">
        <v>22401</v>
      </c>
      <c r="CP426" s="82">
        <v>23578</v>
      </c>
      <c r="CQ426" s="82">
        <v>24747</v>
      </c>
      <c r="CR426" s="82">
        <v>25288</v>
      </c>
      <c r="CS426" s="82">
        <v>24922</v>
      </c>
      <c r="CT426" s="82">
        <v>23579</v>
      </c>
      <c r="CU426" s="82">
        <v>23761</v>
      </c>
      <c r="CV426" s="82">
        <v>24156</v>
      </c>
      <c r="CW426" s="82">
        <v>24689</v>
      </c>
      <c r="CX426" s="82">
        <v>27135</v>
      </c>
      <c r="CY426" s="83">
        <v>27174</v>
      </c>
      <c r="CZ426" s="82">
        <v>27761.606785194534</v>
      </c>
      <c r="DA426" s="82">
        <v>28337.423903708332</v>
      </c>
      <c r="DB426" s="82">
        <v>28788.589474787401</v>
      </c>
      <c r="DC426" s="82">
        <v>29449.893235905809</v>
      </c>
      <c r="DD426" s="82">
        <v>30157.118548749393</v>
      </c>
      <c r="DE426" s="82">
        <v>31090.468223234508</v>
      </c>
      <c r="DF426" s="82">
        <v>32143.09079361584</v>
      </c>
      <c r="DG426" s="82">
        <v>33270.285839671189</v>
      </c>
      <c r="DH426" s="82">
        <v>34480.410160221654</v>
      </c>
      <c r="DI426" s="82">
        <v>35732.583875313394</v>
      </c>
    </row>
    <row r="427" spans="1:113" hidden="1" outlineLevel="2">
      <c r="A427" s="1" t="s">
        <v>92</v>
      </c>
      <c r="B427" s="19" t="s">
        <v>526</v>
      </c>
      <c r="C427" s="55">
        <v>0</v>
      </c>
      <c r="D427" s="55">
        <v>0</v>
      </c>
      <c r="E427" s="55">
        <v>0</v>
      </c>
      <c r="F427" s="55">
        <v>0</v>
      </c>
      <c r="G427" s="55">
        <v>0</v>
      </c>
      <c r="H427" s="55">
        <v>0</v>
      </c>
      <c r="I427" s="55">
        <v>0</v>
      </c>
      <c r="J427" s="55">
        <v>122</v>
      </c>
      <c r="K427" s="55">
        <v>54</v>
      </c>
      <c r="L427" s="55">
        <v>143</v>
      </c>
      <c r="M427" s="55">
        <v>62</v>
      </c>
      <c r="N427" s="55">
        <v>-16</v>
      </c>
      <c r="O427" s="55">
        <v>210</v>
      </c>
      <c r="P427" s="55">
        <v>28</v>
      </c>
      <c r="Q427" s="55">
        <v>200</v>
      </c>
      <c r="R427" s="55">
        <v>-22</v>
      </c>
      <c r="S427" s="55">
        <v>13</v>
      </c>
      <c r="T427" s="55">
        <v>438</v>
      </c>
      <c r="U427" s="55">
        <v>-209</v>
      </c>
      <c r="V427" s="55">
        <v>-233</v>
      </c>
      <c r="W427" s="55">
        <v>-29</v>
      </c>
      <c r="X427" s="55">
        <v>183</v>
      </c>
      <c r="Y427" s="55">
        <v>51</v>
      </c>
      <c r="Z427" s="55">
        <v>20</v>
      </c>
      <c r="AA427" s="55">
        <v>35</v>
      </c>
      <c r="AB427" s="55">
        <v>12</v>
      </c>
      <c r="AC427" s="55">
        <v>75</v>
      </c>
      <c r="AD427" s="55">
        <v>-16</v>
      </c>
      <c r="AE427" s="55">
        <v>106</v>
      </c>
      <c r="AF427" s="55">
        <v>-214</v>
      </c>
      <c r="AG427" s="55">
        <v>45</v>
      </c>
      <c r="AH427" s="55">
        <v>10</v>
      </c>
      <c r="AI427" s="55">
        <v>96</v>
      </c>
      <c r="AJ427" s="55">
        <v>202</v>
      </c>
      <c r="AK427" s="55">
        <v>6</v>
      </c>
      <c r="AL427" s="55">
        <v>330.14036892817421</v>
      </c>
      <c r="AM427" s="55">
        <v>427.85963107182397</v>
      </c>
      <c r="AN427" s="55">
        <v>447</v>
      </c>
      <c r="AO427" s="55">
        <v>114</v>
      </c>
      <c r="AP427" s="55">
        <v>-65</v>
      </c>
      <c r="AQ427" s="55">
        <v>323</v>
      </c>
      <c r="AR427" s="55">
        <v>60</v>
      </c>
      <c r="AS427" s="55">
        <v>187</v>
      </c>
      <c r="AT427" s="55">
        <v>355</v>
      </c>
      <c r="AU427" s="55">
        <v>-62</v>
      </c>
      <c r="AV427" s="55">
        <v>-71</v>
      </c>
      <c r="AW427" s="56">
        <v>-182</v>
      </c>
      <c r="AX427" s="55">
        <v>0</v>
      </c>
      <c r="AY427" s="55">
        <v>0</v>
      </c>
      <c r="AZ427" s="55">
        <v>0</v>
      </c>
      <c r="BA427" s="55">
        <v>0</v>
      </c>
      <c r="BB427" s="55">
        <v>0</v>
      </c>
      <c r="BC427" s="55">
        <v>0</v>
      </c>
      <c r="BD427" s="55">
        <v>0</v>
      </c>
      <c r="BE427" s="55">
        <v>0</v>
      </c>
      <c r="BF427" s="55">
        <v>0</v>
      </c>
      <c r="BG427" s="55">
        <v>0</v>
      </c>
      <c r="BH427" s="55">
        <v>0</v>
      </c>
      <c r="BI427" s="55">
        <v>0</v>
      </c>
      <c r="BJ427" s="55">
        <v>0</v>
      </c>
      <c r="BK427" s="55">
        <v>0</v>
      </c>
      <c r="BL427" s="55">
        <v>0</v>
      </c>
      <c r="BM427" s="55">
        <v>0</v>
      </c>
      <c r="BN427" s="55">
        <v>0</v>
      </c>
      <c r="BO427" s="55">
        <v>0</v>
      </c>
      <c r="BP427" s="55">
        <v>0</v>
      </c>
      <c r="BQ427" s="55">
        <v>0</v>
      </c>
      <c r="BR427" s="55"/>
      <c r="BS427" s="55">
        <v>0</v>
      </c>
      <c r="BT427" s="55">
        <v>-136</v>
      </c>
      <c r="BU427" s="55">
        <v>0</v>
      </c>
      <c r="BV427" s="55">
        <v>-28</v>
      </c>
      <c r="BW427" s="55">
        <v>0</v>
      </c>
      <c r="BX427" s="55">
        <v>-128</v>
      </c>
      <c r="BY427" s="55">
        <v>-161</v>
      </c>
      <c r="BZ427" s="55">
        <v>0</v>
      </c>
      <c r="CA427" s="55">
        <v>1165</v>
      </c>
      <c r="CB427" s="55">
        <v>474</v>
      </c>
      <c r="CC427" s="55">
        <v>0</v>
      </c>
      <c r="CD427" s="55">
        <v>0</v>
      </c>
      <c r="CE427" s="55">
        <v>0</v>
      </c>
      <c r="CF427" s="55">
        <v>176</v>
      </c>
      <c r="CG427" s="55">
        <v>205</v>
      </c>
      <c r="CH427" s="55">
        <v>194</v>
      </c>
      <c r="CI427" s="55">
        <v>228</v>
      </c>
      <c r="CJ427" s="55">
        <v>-9</v>
      </c>
      <c r="CK427" s="55">
        <v>229</v>
      </c>
      <c r="CL427" s="55">
        <v>-262</v>
      </c>
      <c r="CM427" s="55">
        <v>234</v>
      </c>
      <c r="CN427" s="55">
        <v>55</v>
      </c>
      <c r="CO427" s="55">
        <v>87</v>
      </c>
      <c r="CP427" s="55">
        <v>90</v>
      </c>
      <c r="CQ427" s="55">
        <v>-169</v>
      </c>
      <c r="CR427" s="55">
        <v>106</v>
      </c>
      <c r="CS427" s="55">
        <v>208</v>
      </c>
      <c r="CT427" s="55">
        <v>757.99999999999818</v>
      </c>
      <c r="CU427" s="55">
        <v>561</v>
      </c>
      <c r="CV427" s="55">
        <v>258</v>
      </c>
      <c r="CW427" s="55">
        <v>247</v>
      </c>
      <c r="CX427" s="55">
        <v>293</v>
      </c>
      <c r="CY427" s="56">
        <v>-253</v>
      </c>
      <c r="CZ427" s="55">
        <v>0</v>
      </c>
      <c r="DA427" s="55">
        <v>0</v>
      </c>
      <c r="DB427" s="55">
        <v>0</v>
      </c>
      <c r="DC427" s="55">
        <v>0</v>
      </c>
      <c r="DD427" s="55">
        <v>0</v>
      </c>
      <c r="DE427" s="55">
        <v>0</v>
      </c>
      <c r="DF427" s="55">
        <v>0</v>
      </c>
      <c r="DG427" s="55">
        <v>0</v>
      </c>
      <c r="DH427" s="55">
        <v>0</v>
      </c>
      <c r="DI427" s="55">
        <v>0</v>
      </c>
    </row>
    <row r="428" spans="1:113" s="24" customFormat="1" hidden="1" outlineLevel="2">
      <c r="A428" s="1" t="s">
        <v>93</v>
      </c>
      <c r="B428" s="24" t="s">
        <v>549</v>
      </c>
      <c r="C428" s="82">
        <v>4443</v>
      </c>
      <c r="D428" s="82">
        <v>4546</v>
      </c>
      <c r="E428" s="82">
        <v>4522</v>
      </c>
      <c r="F428" s="82">
        <v>4485</v>
      </c>
      <c r="G428" s="82">
        <v>4914</v>
      </c>
      <c r="H428" s="82">
        <v>5211</v>
      </c>
      <c r="I428" s="82">
        <v>5280</v>
      </c>
      <c r="J428" s="82">
        <v>5577</v>
      </c>
      <c r="K428" s="82">
        <v>5701</v>
      </c>
      <c r="L428" s="82">
        <v>6153</v>
      </c>
      <c r="M428" s="82">
        <v>6133</v>
      </c>
      <c r="N428" s="82">
        <v>6541</v>
      </c>
      <c r="O428" s="82">
        <v>6850</v>
      </c>
      <c r="P428" s="82">
        <v>7044</v>
      </c>
      <c r="Q428" s="82">
        <v>7525</v>
      </c>
      <c r="R428" s="82">
        <v>8459</v>
      </c>
      <c r="S428" s="82">
        <v>8998</v>
      </c>
      <c r="T428" s="82">
        <v>10130</v>
      </c>
      <c r="U428" s="82">
        <v>9158</v>
      </c>
      <c r="V428" s="82">
        <v>9506</v>
      </c>
      <c r="W428" s="82">
        <v>9891</v>
      </c>
      <c r="X428" s="82">
        <v>10288</v>
      </c>
      <c r="Y428" s="82">
        <v>10096</v>
      </c>
      <c r="Z428" s="82">
        <v>10309</v>
      </c>
      <c r="AA428" s="82">
        <v>10567</v>
      </c>
      <c r="AB428" s="82">
        <v>11160</v>
      </c>
      <c r="AC428" s="82">
        <v>11328</v>
      </c>
      <c r="AD428" s="82">
        <v>11711</v>
      </c>
      <c r="AE428" s="82">
        <v>11957</v>
      </c>
      <c r="AF428" s="82">
        <v>12206</v>
      </c>
      <c r="AG428" s="82">
        <v>12372</v>
      </c>
      <c r="AH428" s="82">
        <v>12845</v>
      </c>
      <c r="AI428" s="82">
        <v>12549</v>
      </c>
      <c r="AJ428" s="82">
        <v>12851</v>
      </c>
      <c r="AK428" s="82">
        <v>12279</v>
      </c>
      <c r="AL428" s="82">
        <v>12306</v>
      </c>
      <c r="AM428" s="82">
        <v>12031</v>
      </c>
      <c r="AN428" s="82">
        <v>12470</v>
      </c>
      <c r="AO428" s="82">
        <v>11852</v>
      </c>
      <c r="AP428" s="82">
        <v>11896</v>
      </c>
      <c r="AQ428" s="82">
        <v>12518</v>
      </c>
      <c r="AR428" s="82">
        <v>12167</v>
      </c>
      <c r="AS428" s="82">
        <v>12769</v>
      </c>
      <c r="AT428" s="82">
        <v>13978</v>
      </c>
      <c r="AU428" s="82">
        <v>13450</v>
      </c>
      <c r="AV428" s="82">
        <v>13578</v>
      </c>
      <c r="AW428" s="83">
        <v>13343</v>
      </c>
      <c r="AX428" s="82">
        <v>13922.182856629799</v>
      </c>
      <c r="AY428" s="82">
        <v>13839.423928564736</v>
      </c>
      <c r="AZ428" s="82">
        <v>14234.978500531477</v>
      </c>
      <c r="BA428" s="82">
        <v>14102.445403176851</v>
      </c>
      <c r="BB428" s="82">
        <v>14446.418583325983</v>
      </c>
      <c r="BC428" s="82">
        <v>14342.170891461417</v>
      </c>
      <c r="BD428" s="82">
        <v>14728.409617596877</v>
      </c>
      <c r="BE428" s="82">
        <v>14721.483618308936</v>
      </c>
      <c r="BF428" s="82">
        <v>15121.983855985636</v>
      </c>
      <c r="BG428" s="82">
        <v>15035.134692763757</v>
      </c>
      <c r="BH428" s="82">
        <v>15551.460285261976</v>
      </c>
      <c r="BI428" s="82">
        <v>15539.007937972532</v>
      </c>
      <c r="BJ428" s="82">
        <v>16075.055310730268</v>
      </c>
      <c r="BK428" s="82">
        <v>16068.035482885574</v>
      </c>
      <c r="BL428" s="82">
        <v>16590.761962101151</v>
      </c>
      <c r="BM428" s="82">
        <v>16679.523877570038</v>
      </c>
      <c r="BN428" s="82">
        <v>17236.196932789178</v>
      </c>
      <c r="BO428" s="82">
        <v>17244.213227432476</v>
      </c>
      <c r="BP428" s="82">
        <v>17861.907254941681</v>
      </c>
      <c r="BQ428" s="82">
        <v>17870.676620371712</v>
      </c>
      <c r="BR428" s="82"/>
      <c r="BS428" s="82">
        <v>4653</v>
      </c>
      <c r="BT428" s="82">
        <v>4231</v>
      </c>
      <c r="BU428" s="82">
        <v>4259</v>
      </c>
      <c r="BV428" s="82">
        <v>4620</v>
      </c>
      <c r="BW428" s="82">
        <v>4752</v>
      </c>
      <c r="BX428" s="82">
        <v>4753</v>
      </c>
      <c r="BY428" s="82">
        <v>5069</v>
      </c>
      <c r="BZ428" s="82">
        <v>5524</v>
      </c>
      <c r="CA428" s="82">
        <v>7304</v>
      </c>
      <c r="CB428" s="82">
        <v>9298</v>
      </c>
      <c r="CC428" s="82">
        <v>9068</v>
      </c>
      <c r="CD428" s="82">
        <v>9399</v>
      </c>
      <c r="CE428" s="82">
        <v>10491</v>
      </c>
      <c r="CF428" s="82">
        <v>11278</v>
      </c>
      <c r="CG428" s="82">
        <v>12286</v>
      </c>
      <c r="CH428" s="82">
        <v>13391</v>
      </c>
      <c r="CI428" s="82">
        <v>14569</v>
      </c>
      <c r="CJ428" s="82">
        <v>17457</v>
      </c>
      <c r="CK428" s="82">
        <v>19288</v>
      </c>
      <c r="CL428" s="82">
        <v>19397</v>
      </c>
      <c r="CM428" s="82">
        <v>20384</v>
      </c>
      <c r="CN428" s="82">
        <v>20876</v>
      </c>
      <c r="CO428" s="82">
        <v>22488</v>
      </c>
      <c r="CP428" s="82">
        <v>23668</v>
      </c>
      <c r="CQ428" s="82">
        <v>24578</v>
      </c>
      <c r="CR428" s="82">
        <v>25394</v>
      </c>
      <c r="CS428" s="82">
        <v>25130</v>
      </c>
      <c r="CT428" s="82">
        <v>24337</v>
      </c>
      <c r="CU428" s="82">
        <v>24322</v>
      </c>
      <c r="CV428" s="82">
        <v>24414</v>
      </c>
      <c r="CW428" s="82">
        <v>24936</v>
      </c>
      <c r="CX428" s="82">
        <v>27428</v>
      </c>
      <c r="CY428" s="83">
        <v>26921</v>
      </c>
      <c r="CZ428" s="82">
        <v>27761.606785194534</v>
      </c>
      <c r="DA428" s="82">
        <v>28337.423903708332</v>
      </c>
      <c r="DB428" s="82">
        <v>28788.589474787401</v>
      </c>
      <c r="DC428" s="82">
        <v>29449.893235905809</v>
      </c>
      <c r="DD428" s="82">
        <v>30157.118548749393</v>
      </c>
      <c r="DE428" s="82">
        <v>31090.468223234508</v>
      </c>
      <c r="DF428" s="82">
        <v>32143.09079361584</v>
      </c>
      <c r="DG428" s="82">
        <v>33270.285839671189</v>
      </c>
      <c r="DH428" s="82">
        <v>34480.410160221654</v>
      </c>
      <c r="DI428" s="82">
        <v>35732.583875313394</v>
      </c>
    </row>
    <row r="429" spans="1:113" collapsed="1">
      <c r="C429" s="55"/>
      <c r="D429" s="55"/>
      <c r="E429" s="55"/>
      <c r="F429" s="55"/>
      <c r="G429" s="55"/>
      <c r="H429" s="55"/>
      <c r="I429" s="55"/>
      <c r="J429" s="55"/>
      <c r="K429" s="55"/>
      <c r="L429" s="55"/>
      <c r="M429" s="55"/>
      <c r="N429" s="55"/>
      <c r="O429" s="55"/>
      <c r="P429" s="55"/>
      <c r="Q429" s="55"/>
      <c r="R429" s="55"/>
      <c r="S429" s="55"/>
      <c r="T429" s="55"/>
      <c r="U429" s="55"/>
      <c r="V429" s="55"/>
      <c r="W429" s="55"/>
      <c r="X429" s="55"/>
      <c r="Y429" s="55"/>
      <c r="Z429" s="55"/>
      <c r="AA429" s="55"/>
      <c r="AB429" s="55"/>
      <c r="AC429" s="45"/>
      <c r="AD429" s="55"/>
      <c r="AE429" s="55"/>
      <c r="AI429" s="55"/>
      <c r="AJ429" s="55"/>
      <c r="AK429" s="55"/>
      <c r="AL429" s="55"/>
      <c r="AM429" s="58"/>
      <c r="AN429" s="55"/>
      <c r="AO429" s="55"/>
      <c r="AP429" s="45"/>
      <c r="AQ429" s="45"/>
      <c r="AR429" s="45"/>
      <c r="AS429" s="45"/>
      <c r="AT429" s="45"/>
      <c r="AU429" s="45"/>
      <c r="AV429" s="45"/>
      <c r="AW429" s="43"/>
      <c r="AX429" s="55"/>
      <c r="AY429" s="42"/>
      <c r="AZ429" s="55"/>
      <c r="BA429" s="55"/>
      <c r="BB429" s="55"/>
      <c r="BC429" s="55"/>
      <c r="BD429" s="55"/>
      <c r="BE429" s="55"/>
      <c r="BF429" s="55"/>
      <c r="BG429" s="55"/>
      <c r="BH429" s="55"/>
      <c r="BI429" s="55"/>
      <c r="BJ429" s="55"/>
      <c r="BK429" s="55"/>
      <c r="BL429" s="55"/>
      <c r="BM429" s="55"/>
      <c r="BN429" s="55"/>
      <c r="BO429" s="55"/>
      <c r="BP429" s="55"/>
      <c r="BQ429" s="55"/>
      <c r="BR429" s="55"/>
      <c r="BS429" s="55"/>
      <c r="BT429" s="55"/>
      <c r="BU429" s="55"/>
      <c r="BV429" s="55"/>
      <c r="BW429" s="55"/>
      <c r="BX429" s="55"/>
      <c r="BY429" s="55"/>
      <c r="BZ429" s="55"/>
      <c r="CA429" s="55"/>
      <c r="CB429" s="55"/>
      <c r="CC429" s="55"/>
      <c r="CD429" s="55"/>
      <c r="CE429" s="55"/>
      <c r="CF429" s="55"/>
      <c r="CG429" s="55"/>
      <c r="CH429" s="55"/>
      <c r="CI429" s="55"/>
      <c r="CJ429" s="55"/>
      <c r="CK429" s="55"/>
      <c r="CL429" s="55"/>
      <c r="CM429" s="55"/>
      <c r="CN429" s="55"/>
      <c r="CO429" s="55"/>
      <c r="CP429" s="45"/>
      <c r="CQ429" s="55"/>
      <c r="CR429" s="55"/>
      <c r="CS429" s="55"/>
      <c r="CT429" s="45"/>
      <c r="CU429" s="55"/>
      <c r="CV429" s="55"/>
      <c r="CW429" s="55"/>
      <c r="CX429" s="55"/>
      <c r="CY429" s="56"/>
      <c r="CZ429" s="55"/>
      <c r="DA429" s="55"/>
      <c r="DB429" s="55"/>
    </row>
    <row r="430" spans="1:113" s="36" customFormat="1" collapsed="1">
      <c r="A430" s="1" t="s">
        <v>668</v>
      </c>
      <c r="B430" s="2" t="s">
        <v>550</v>
      </c>
      <c r="C430" s="79">
        <v>-2585</v>
      </c>
      <c r="D430" s="79">
        <v>-2594</v>
      </c>
      <c r="E430" s="79">
        <v>-2607</v>
      </c>
      <c r="F430" s="79">
        <v>-2710</v>
      </c>
      <c r="G430" s="79">
        <v>-2841</v>
      </c>
      <c r="H430" s="79">
        <v>-3203</v>
      </c>
      <c r="I430" s="79">
        <v>-3046</v>
      </c>
      <c r="J430" s="79">
        <v>-2869</v>
      </c>
      <c r="K430" s="79">
        <v>-3000</v>
      </c>
      <c r="L430" s="79">
        <v>-2967</v>
      </c>
      <c r="M430" s="79">
        <v>-3027</v>
      </c>
      <c r="N430" s="79">
        <v>-3144</v>
      </c>
      <c r="O430" s="79">
        <v>-3283</v>
      </c>
      <c r="P430" s="79">
        <v>-3378</v>
      </c>
      <c r="Q430" s="79">
        <v>-3643</v>
      </c>
      <c r="R430" s="79">
        <v>-4008</v>
      </c>
      <c r="S430" s="79">
        <v>-4214</v>
      </c>
      <c r="T430" s="79">
        <v>-4268</v>
      </c>
      <c r="U430" s="79">
        <v>-4333</v>
      </c>
      <c r="V430" s="79">
        <v>-4408</v>
      </c>
      <c r="W430" s="79">
        <v>-4483</v>
      </c>
      <c r="X430" s="79">
        <v>-4602</v>
      </c>
      <c r="Y430" s="79">
        <v>-4594</v>
      </c>
      <c r="Z430" s="79">
        <v>-4467</v>
      </c>
      <c r="AA430" s="79">
        <v>-4543</v>
      </c>
      <c r="AB430" s="79">
        <v>-4751</v>
      </c>
      <c r="AC430" s="79">
        <v>-4748</v>
      </c>
      <c r="AD430" s="79">
        <v>-4914</v>
      </c>
      <c r="AE430" s="79">
        <v>-5079</v>
      </c>
      <c r="AF430" s="79">
        <v>-5210</v>
      </c>
      <c r="AG430" s="79">
        <v>-5224</v>
      </c>
      <c r="AH430" s="79">
        <v>-5474</v>
      </c>
      <c r="AI430" s="79">
        <v>-5195</v>
      </c>
      <c r="AJ430" s="79">
        <v>-5456</v>
      </c>
      <c r="AK430" s="79">
        <v>-5539</v>
      </c>
      <c r="AL430" s="79">
        <v>-5080.1434022539706</v>
      </c>
      <c r="AM430" s="79">
        <v>-5743.8565977460285</v>
      </c>
      <c r="AN430" s="79">
        <v>-5253</v>
      </c>
      <c r="AO430" s="79">
        <v>-5743</v>
      </c>
      <c r="AP430" s="79">
        <v>-5591</v>
      </c>
      <c r="AQ430" s="79">
        <v>-5768</v>
      </c>
      <c r="AR430" s="79">
        <v>-5490</v>
      </c>
      <c r="AS430" s="79">
        <v>-5938</v>
      </c>
      <c r="AT430" s="79">
        <v>-5773</v>
      </c>
      <c r="AU430" s="79">
        <v>-6085</v>
      </c>
      <c r="AV430" s="79">
        <v>-6011</v>
      </c>
      <c r="AW430" s="80">
        <v>-6207</v>
      </c>
      <c r="AX430" s="79">
        <v>-6292.0023209234369</v>
      </c>
      <c r="AY430" s="79">
        <v>-6283.1830516769151</v>
      </c>
      <c r="AZ430" s="79">
        <v>-6445.7909799131357</v>
      </c>
      <c r="BA430" s="79">
        <v>-6438.0618002647989</v>
      </c>
      <c r="BB430" s="79">
        <v>-6602.6304518517418</v>
      </c>
      <c r="BC430" s="79">
        <v>-6594.05474928476</v>
      </c>
      <c r="BD430" s="79">
        <v>-6723.532138291238</v>
      </c>
      <c r="BE430" s="79">
        <v>-6717.0497515197349</v>
      </c>
      <c r="BF430" s="79">
        <v>-6887.9782715579486</v>
      </c>
      <c r="BG430" s="79">
        <v>-6904.4278158823545</v>
      </c>
      <c r="BH430" s="79">
        <v>-7113.3890729740751</v>
      </c>
      <c r="BI430" s="79">
        <v>-7134.5395132618432</v>
      </c>
      <c r="BJ430" s="79">
        <v>-7350.6834690550222</v>
      </c>
      <c r="BK430" s="79">
        <v>-7387.5100919213792</v>
      </c>
      <c r="BL430" s="79">
        <v>-7595.5277747269174</v>
      </c>
      <c r="BM430" s="79">
        <v>-7668.0131772305813</v>
      </c>
      <c r="BN430" s="79">
        <v>-7853.3341125187853</v>
      </c>
      <c r="BO430" s="79">
        <v>-7846.9630752169796</v>
      </c>
      <c r="BP430" s="79">
        <v>-8053.89681065269</v>
      </c>
      <c r="BQ430" s="79">
        <v>-8046.5560630350701</v>
      </c>
      <c r="BR430" s="79"/>
      <c r="BS430" s="79">
        <v>-3149</v>
      </c>
      <c r="BT430" s="79">
        <v>-2954</v>
      </c>
      <c r="BU430" s="79">
        <v>-2884</v>
      </c>
      <c r="BV430" s="79">
        <v>-2943</v>
      </c>
      <c r="BW430" s="79">
        <v>-2863</v>
      </c>
      <c r="BX430" s="79">
        <v>-2924</v>
      </c>
      <c r="BY430" s="79">
        <v>-3039</v>
      </c>
      <c r="BZ430" s="79">
        <v>-3070</v>
      </c>
      <c r="CA430" s="79">
        <v>-3407</v>
      </c>
      <c r="CB430" s="79">
        <v>-5170</v>
      </c>
      <c r="CC430" s="79">
        <v>-5201</v>
      </c>
      <c r="CD430" s="79">
        <v>-5551</v>
      </c>
      <c r="CE430" s="79">
        <v>-6249</v>
      </c>
      <c r="CF430" s="79">
        <v>-5869</v>
      </c>
      <c r="CG430" s="79">
        <v>-5994</v>
      </c>
      <c r="CH430" s="79">
        <v>-6427</v>
      </c>
      <c r="CI430" s="79">
        <v>-7021</v>
      </c>
      <c r="CJ430" s="79">
        <v>-8222</v>
      </c>
      <c r="CK430" s="79">
        <v>-8601</v>
      </c>
      <c r="CL430" s="79">
        <v>-8891</v>
      </c>
      <c r="CM430" s="79">
        <v>-9196</v>
      </c>
      <c r="CN430" s="79">
        <v>-9010</v>
      </c>
      <c r="CO430" s="79">
        <v>-9499</v>
      </c>
      <c r="CP430" s="79">
        <v>-9993</v>
      </c>
      <c r="CQ430" s="79">
        <v>-10434</v>
      </c>
      <c r="CR430" s="79">
        <v>-10669</v>
      </c>
      <c r="CS430" s="79">
        <v>-10995</v>
      </c>
      <c r="CT430" s="79">
        <v>-10824</v>
      </c>
      <c r="CU430" s="79">
        <v>-10996</v>
      </c>
      <c r="CV430" s="79">
        <v>-11359</v>
      </c>
      <c r="CW430" s="79">
        <v>-11428</v>
      </c>
      <c r="CX430" s="79">
        <v>-11858</v>
      </c>
      <c r="CY430" s="80">
        <v>-12218</v>
      </c>
      <c r="CZ430" s="79">
        <v>-12575.185372600352</v>
      </c>
      <c r="DA430" s="79">
        <v>-12883.852780177935</v>
      </c>
      <c r="DB430" s="79">
        <v>-13196.685201136501</v>
      </c>
      <c r="DC430" s="79">
        <v>-13440.581889810972</v>
      </c>
      <c r="DD430" s="79">
        <v>-13792.406087440304</v>
      </c>
      <c r="DE430" s="79">
        <v>-14247.928586235917</v>
      </c>
      <c r="DF430" s="79">
        <v>-14738.1935609764</v>
      </c>
      <c r="DG430" s="79">
        <v>-15263.540951957499</v>
      </c>
      <c r="DH430" s="79">
        <v>-15700.297187735765</v>
      </c>
      <c r="DI430" s="79">
        <v>-16100.45287368776</v>
      </c>
    </row>
    <row r="431" spans="1:113" outlineLevel="1">
      <c r="C431" s="55"/>
      <c r="D431" s="55"/>
      <c r="E431" s="55"/>
      <c r="F431" s="55"/>
      <c r="G431" s="55"/>
      <c r="H431" s="55"/>
      <c r="I431" s="55"/>
      <c r="J431" s="55"/>
      <c r="K431" s="55"/>
      <c r="L431" s="55"/>
      <c r="M431" s="55"/>
      <c r="N431" s="55"/>
      <c r="O431" s="55"/>
      <c r="P431" s="55"/>
      <c r="Q431" s="55"/>
      <c r="R431" s="55"/>
      <c r="S431" s="55"/>
      <c r="T431" s="55"/>
      <c r="U431" s="55"/>
      <c r="V431" s="55"/>
      <c r="W431" s="55"/>
      <c r="X431" s="55"/>
      <c r="Y431" s="55"/>
      <c r="Z431" s="55"/>
      <c r="AA431" s="368"/>
      <c r="AB431" s="55"/>
      <c r="AC431" s="55"/>
      <c r="AD431" s="55"/>
      <c r="AE431" s="55"/>
      <c r="AF431" s="55"/>
      <c r="AG431" s="55"/>
      <c r="AH431" s="55"/>
      <c r="AI431" s="55"/>
      <c r="AJ431" s="55"/>
      <c r="AK431" s="55"/>
      <c r="AL431" s="55"/>
      <c r="AM431" s="55"/>
      <c r="AN431" s="55"/>
      <c r="AO431" s="55"/>
      <c r="AP431" s="55"/>
      <c r="AQ431" s="55"/>
      <c r="AR431" s="55"/>
      <c r="AS431" s="55"/>
      <c r="AT431" s="55"/>
      <c r="AU431" s="55"/>
      <c r="AV431" s="55"/>
      <c r="AW431" s="56"/>
      <c r="AX431" s="55"/>
      <c r="AZ431" s="55"/>
      <c r="BA431" s="55"/>
      <c r="BB431" s="55"/>
      <c r="BC431" s="55"/>
      <c r="BD431" s="55"/>
      <c r="BE431" s="55"/>
      <c r="BF431" s="55"/>
      <c r="BG431" s="55"/>
      <c r="BH431" s="55"/>
      <c r="BI431" s="55"/>
      <c r="BJ431" s="55"/>
      <c r="BK431" s="55"/>
      <c r="BL431" s="55"/>
      <c r="BM431" s="55"/>
      <c r="BN431" s="55"/>
      <c r="BO431" s="55"/>
      <c r="BP431" s="55"/>
      <c r="BQ431" s="55"/>
      <c r="BR431" s="55"/>
      <c r="BS431" s="55"/>
      <c r="BT431" s="55"/>
      <c r="BU431" s="55"/>
      <c r="BV431" s="55"/>
      <c r="BW431" s="55"/>
      <c r="BX431" s="55"/>
      <c r="BY431" s="55"/>
      <c r="BZ431" s="55"/>
      <c r="CA431" s="55"/>
      <c r="CB431" s="55"/>
      <c r="CC431" s="55"/>
      <c r="CD431" s="55"/>
      <c r="CE431" s="55"/>
      <c r="CF431" s="55"/>
      <c r="CG431" s="55"/>
      <c r="CH431" s="55"/>
      <c r="CI431" s="55"/>
      <c r="CJ431" s="55"/>
      <c r="CK431" s="55"/>
      <c r="CL431" s="55"/>
      <c r="CM431" s="55"/>
      <c r="CN431" s="55"/>
      <c r="CO431" s="55"/>
      <c r="CP431" s="55"/>
      <c r="CQ431" s="55"/>
      <c r="CR431" s="55"/>
      <c r="CS431" s="55"/>
      <c r="CT431" s="55"/>
      <c r="CV431" s="55"/>
      <c r="CW431" s="55"/>
      <c r="CX431" s="55"/>
      <c r="CY431" s="56"/>
      <c r="CZ431" s="55"/>
      <c r="DA431" s="55"/>
      <c r="DB431" s="55"/>
    </row>
    <row r="432" spans="1:113" outlineLevel="1">
      <c r="A432" s="1" t="s">
        <v>669</v>
      </c>
      <c r="B432" s="19" t="s">
        <v>551</v>
      </c>
      <c r="C432" s="53">
        <v>-1161</v>
      </c>
      <c r="D432" s="53">
        <v>-1215</v>
      </c>
      <c r="E432" s="53">
        <v>-1175</v>
      </c>
      <c r="F432" s="53">
        <v>-1212</v>
      </c>
      <c r="G432" s="53">
        <v>-1265</v>
      </c>
      <c r="H432" s="53">
        <v>-1400</v>
      </c>
      <c r="I432" s="53">
        <v>-1321</v>
      </c>
      <c r="J432" s="53">
        <v>-1341</v>
      </c>
      <c r="K432" s="53">
        <v>-1382</v>
      </c>
      <c r="L432" s="53">
        <v>-1386</v>
      </c>
      <c r="M432" s="53">
        <v>-1437</v>
      </c>
      <c r="N432" s="53">
        <v>-1587</v>
      </c>
      <c r="O432" s="53">
        <v>-1642</v>
      </c>
      <c r="P432" s="53">
        <v>-1780</v>
      </c>
      <c r="Q432" s="53">
        <v>-1881</v>
      </c>
      <c r="R432" s="53">
        <v>-2153</v>
      </c>
      <c r="S432" s="53">
        <v>-2099</v>
      </c>
      <c r="T432" s="53">
        <v>-2289</v>
      </c>
      <c r="U432" s="53">
        <v>-2294</v>
      </c>
      <c r="V432" s="53">
        <v>-2417</v>
      </c>
      <c r="W432" s="53">
        <v>-2370</v>
      </c>
      <c r="X432" s="53">
        <v>-2478</v>
      </c>
      <c r="Y432" s="53">
        <v>-2469</v>
      </c>
      <c r="Z432" s="53">
        <v>-2606</v>
      </c>
      <c r="AA432" s="164">
        <v>-2626</v>
      </c>
      <c r="AB432" s="164">
        <v>-2785</v>
      </c>
      <c r="AC432" s="164">
        <v>-2757</v>
      </c>
      <c r="AD432" s="164">
        <v>-2906</v>
      </c>
      <c r="AE432" s="164">
        <v>-2910</v>
      </c>
      <c r="AF432" s="164">
        <v>-3079</v>
      </c>
      <c r="AG432" s="164">
        <v>-3090</v>
      </c>
      <c r="AH432" s="164">
        <v>-2996</v>
      </c>
      <c r="AI432" s="164">
        <v>-3047</v>
      </c>
      <c r="AJ432" s="164">
        <v>-2739</v>
      </c>
      <c r="AK432" s="164">
        <v>-2700</v>
      </c>
      <c r="AL432" s="164">
        <v>-2762</v>
      </c>
      <c r="AM432" s="164">
        <v>-2815</v>
      </c>
      <c r="AN432" s="164">
        <v>-2885</v>
      </c>
      <c r="AO432" s="164">
        <v>-2846</v>
      </c>
      <c r="AP432" s="164">
        <v>-2963</v>
      </c>
      <c r="AQ432" s="164">
        <v>-3022</v>
      </c>
      <c r="AR432" s="164">
        <v>-3358</v>
      </c>
      <c r="AS432" s="164">
        <v>-3194</v>
      </c>
      <c r="AT432" s="164">
        <v>-3537</v>
      </c>
      <c r="AU432" s="164">
        <v>-3640</v>
      </c>
      <c r="AV432" s="164">
        <v>-3719</v>
      </c>
      <c r="AW432" s="171">
        <v>-3769</v>
      </c>
      <c r="AX432" s="55">
        <v>-3880.4537631946923</v>
      </c>
      <c r="AY432" s="55">
        <v>-3855.3573502696827</v>
      </c>
      <c r="AZ432" s="55">
        <v>-3962.4676582837378</v>
      </c>
      <c r="BA432" s="55">
        <v>-3944.8224222001741</v>
      </c>
      <c r="BB432" s="55">
        <v>-4058.5033046762537</v>
      </c>
      <c r="BC432" s="55">
        <v>-4040.3973985034513</v>
      </c>
      <c r="BD432" s="55">
        <v>-4124.9193471755125</v>
      </c>
      <c r="BE432" s="55">
        <v>-4108.7301716324409</v>
      </c>
      <c r="BF432" s="55">
        <v>-4225.7917675307435</v>
      </c>
      <c r="BG432" s="55">
        <v>-4227.6977223450567</v>
      </c>
      <c r="BH432" s="55">
        <v>-4370.9568986731292</v>
      </c>
      <c r="BI432" s="55">
        <v>-4372.8934470376498</v>
      </c>
      <c r="BJ432" s="55">
        <v>-4521.0367872827246</v>
      </c>
      <c r="BK432" s="55">
        <v>-4534.144441424336</v>
      </c>
      <c r="BL432" s="55">
        <v>-4674.9056779186812</v>
      </c>
      <c r="BM432" s="55">
        <v>-4714.3255186556771</v>
      </c>
      <c r="BN432" s="55">
        <v>-4836.5160452022255</v>
      </c>
      <c r="BO432" s="55">
        <v>-4814.7097028191611</v>
      </c>
      <c r="BP432" s="55">
        <v>-4953.1832549070323</v>
      </c>
      <c r="BQ432" s="55">
        <v>-4930.8127933449832</v>
      </c>
      <c r="BR432" s="55"/>
      <c r="BS432" s="53">
        <v>-1754.3</v>
      </c>
      <c r="BT432" s="53">
        <v>-1676.1</v>
      </c>
      <c r="BU432" s="53">
        <v>-1624</v>
      </c>
      <c r="BV432" s="53">
        <v>-1523</v>
      </c>
      <c r="BW432" s="53">
        <v>-1582</v>
      </c>
      <c r="BX432" s="53">
        <v>-1663</v>
      </c>
      <c r="BY432" s="53">
        <v>-1622</v>
      </c>
      <c r="BZ432" s="53">
        <v>-1604</v>
      </c>
      <c r="CA432" s="53">
        <v>-1705</v>
      </c>
      <c r="CB432" s="53">
        <v>-2360</v>
      </c>
      <c r="CC432" s="55">
        <v>-2390</v>
      </c>
      <c r="CD432" s="55">
        <v>-2477</v>
      </c>
      <c r="CE432" s="55">
        <v>-2721</v>
      </c>
      <c r="CF432" s="55">
        <v>-2723</v>
      </c>
      <c r="CG432" s="55">
        <v>-2823</v>
      </c>
      <c r="CH432" s="55">
        <v>-3229</v>
      </c>
      <c r="CI432" s="55">
        <v>-3661</v>
      </c>
      <c r="CJ432" s="55">
        <v>-4252</v>
      </c>
      <c r="CK432" s="55">
        <v>-4583</v>
      </c>
      <c r="CL432" s="55">
        <v>-4787</v>
      </c>
      <c r="CM432" s="55">
        <v>-4947</v>
      </c>
      <c r="CN432" s="55">
        <v>-5232</v>
      </c>
      <c r="CO432" s="55">
        <v>-5542</v>
      </c>
      <c r="CP432" s="55">
        <v>-5816</v>
      </c>
      <c r="CQ432" s="55">
        <v>-6169</v>
      </c>
      <c r="CR432" s="55">
        <v>-6043</v>
      </c>
      <c r="CS432" s="55">
        <v>-5439</v>
      </c>
      <c r="CT432" s="55">
        <v>-5577</v>
      </c>
      <c r="CU432" s="55">
        <v>-5731</v>
      </c>
      <c r="CV432" s="55">
        <v>-5985</v>
      </c>
      <c r="CW432" s="55">
        <v>-6552</v>
      </c>
      <c r="CX432" s="55">
        <v>-7177</v>
      </c>
      <c r="CY432" s="56">
        <v>-7488</v>
      </c>
      <c r="CZ432" s="55">
        <v>-7735.811113464375</v>
      </c>
      <c r="DA432" s="55">
        <v>-7907.2900804839119</v>
      </c>
      <c r="DB432" s="55">
        <v>-8098.9007031797046</v>
      </c>
      <c r="DC432" s="55">
        <v>-8233.6495188079534</v>
      </c>
      <c r="DD432" s="55">
        <v>-8453.4894898757993</v>
      </c>
      <c r="DE432" s="55">
        <v>-8743.8503457107799</v>
      </c>
      <c r="DF432" s="55">
        <v>-9055.1812287070607</v>
      </c>
      <c r="DG432" s="55">
        <v>-9389.2311965743575</v>
      </c>
      <c r="DH432" s="55">
        <v>-9651.2257480213866</v>
      </c>
      <c r="DI432" s="55">
        <v>-9883.9960482520146</v>
      </c>
    </row>
    <row r="433" spans="1:113" outlineLevel="1">
      <c r="A433" s="1" t="s">
        <v>670</v>
      </c>
      <c r="B433" s="19" t="s">
        <v>448</v>
      </c>
      <c r="C433" s="53">
        <v>-210</v>
      </c>
      <c r="D433" s="53">
        <v>-211.66666666666666</v>
      </c>
      <c r="E433" s="53">
        <v>-216.66666666666666</v>
      </c>
      <c r="F433" s="53">
        <v>-227.33333333333331</v>
      </c>
      <c r="G433" s="53">
        <v>-216</v>
      </c>
      <c r="H433" s="53">
        <v>-219.33333333333331</v>
      </c>
      <c r="I433" s="53">
        <v>-217</v>
      </c>
      <c r="J433" s="53">
        <v>-220.66666666666666</v>
      </c>
      <c r="K433" s="53">
        <v>-225.66666666666666</v>
      </c>
      <c r="L433" s="53">
        <v>-235.66666666666666</v>
      </c>
      <c r="M433" s="53">
        <v>-243</v>
      </c>
      <c r="N433" s="53">
        <v>-260.66666666666663</v>
      </c>
      <c r="O433" s="53">
        <v>-276.33333333333331</v>
      </c>
      <c r="P433" s="53">
        <v>-274.66666666666663</v>
      </c>
      <c r="Q433" s="53">
        <v>-295.66666666666663</v>
      </c>
      <c r="R433" s="53">
        <v>-284.66666666666663</v>
      </c>
      <c r="S433" s="53">
        <v>-276.33333333333331</v>
      </c>
      <c r="T433" s="53">
        <v>-283.66666666666663</v>
      </c>
      <c r="U433" s="53">
        <v>-285</v>
      </c>
      <c r="V433" s="53">
        <v>-289.66666666666663</v>
      </c>
      <c r="W433" s="53">
        <v>-310.66666666666663</v>
      </c>
      <c r="X433" s="53">
        <v>-352.87484161839234</v>
      </c>
      <c r="Y433" s="53">
        <v>-342.19076788095055</v>
      </c>
      <c r="Z433" s="53">
        <v>-344.17724058803333</v>
      </c>
      <c r="AA433" s="53">
        <v>-349.90588043345787</v>
      </c>
      <c r="AB433" s="164">
        <v>-348.26175258529707</v>
      </c>
      <c r="AC433" s="164">
        <v>-366.65721797241559</v>
      </c>
      <c r="AD433" s="164">
        <v>-369.07650938328345</v>
      </c>
      <c r="AE433" s="164">
        <v>-372.56817396660716</v>
      </c>
      <c r="AF433" s="164">
        <v>-330.62778496836881</v>
      </c>
      <c r="AG433" s="164">
        <v>-344.05084820815796</v>
      </c>
      <c r="AH433" s="164">
        <v>-294.77653271397458</v>
      </c>
      <c r="AI433" s="164">
        <v>-276.2499775721613</v>
      </c>
      <c r="AJ433" s="164">
        <v>-275.22040119806087</v>
      </c>
      <c r="AK433" s="164">
        <v>-287.41596158032291</v>
      </c>
      <c r="AL433" s="164">
        <v>0</v>
      </c>
      <c r="AM433" s="164">
        <v>0</v>
      </c>
      <c r="AN433" s="164">
        <v>0</v>
      </c>
      <c r="AO433" s="164">
        <v>0</v>
      </c>
      <c r="AP433" s="164">
        <v>0</v>
      </c>
      <c r="AQ433" s="164">
        <v>0</v>
      </c>
      <c r="AR433" s="164">
        <v>0</v>
      </c>
      <c r="AS433" s="164">
        <v>0</v>
      </c>
      <c r="AT433" s="164">
        <v>0</v>
      </c>
      <c r="AU433" s="164">
        <v>0</v>
      </c>
      <c r="AV433" s="164">
        <v>0</v>
      </c>
      <c r="AW433" s="171">
        <v>0</v>
      </c>
      <c r="AX433" s="54">
        <v>0</v>
      </c>
      <c r="AY433" s="54">
        <v>0</v>
      </c>
      <c r="AZ433" s="54">
        <v>0</v>
      </c>
      <c r="BA433" s="54">
        <v>0</v>
      </c>
      <c r="BB433" s="54">
        <v>0</v>
      </c>
      <c r="BC433" s="54">
        <v>0</v>
      </c>
      <c r="BD433" s="54">
        <v>0</v>
      </c>
      <c r="BE433" s="54">
        <v>0</v>
      </c>
      <c r="BF433" s="54">
        <v>0</v>
      </c>
      <c r="BG433" s="54">
        <v>0</v>
      </c>
      <c r="BH433" s="54">
        <v>0</v>
      </c>
      <c r="BI433" s="54">
        <v>0</v>
      </c>
      <c r="BJ433" s="54">
        <v>0</v>
      </c>
      <c r="BK433" s="54">
        <v>0</v>
      </c>
      <c r="BL433" s="54">
        <v>0</v>
      </c>
      <c r="BM433" s="54">
        <v>0</v>
      </c>
      <c r="BN433" s="54">
        <v>0</v>
      </c>
      <c r="BO433" s="54">
        <v>0</v>
      </c>
      <c r="BP433" s="54">
        <v>0</v>
      </c>
      <c r="BQ433" s="54">
        <v>0</v>
      </c>
      <c r="BR433" s="54"/>
      <c r="BS433" s="53"/>
      <c r="BT433" s="53"/>
      <c r="BU433" s="53">
        <v>0</v>
      </c>
      <c r="BV433" s="53">
        <v>-19.303496503496486</v>
      </c>
      <c r="BW433" s="53">
        <v>-12.473136619478073</v>
      </c>
      <c r="BX433" s="53">
        <v>-17.304281084768874</v>
      </c>
      <c r="BY433" s="53">
        <v>-18.006993006992989</v>
      </c>
      <c r="BZ433" s="53">
        <v>-23.289044289044266</v>
      </c>
      <c r="CA433" s="53">
        <v>-34.3333333333333</v>
      </c>
      <c r="CB433" s="53">
        <v>-165.33333333333317</v>
      </c>
      <c r="CC433" s="55">
        <v>-428.33333333333331</v>
      </c>
      <c r="CD433" s="55">
        <v>-443.33333333333331</v>
      </c>
      <c r="CE433" s="55">
        <v>-436.33333333333331</v>
      </c>
      <c r="CF433" s="55">
        <v>-446.33333333333331</v>
      </c>
      <c r="CG433" s="55">
        <v>-478.66666666666663</v>
      </c>
      <c r="CH433" s="55">
        <v>-537</v>
      </c>
      <c r="CI433" s="55">
        <v>-570.33333333333326</v>
      </c>
      <c r="CJ433" s="55">
        <v>-561</v>
      </c>
      <c r="CK433" s="55">
        <v>-568.66666666666663</v>
      </c>
      <c r="CL433" s="55">
        <v>-600.33333333333326</v>
      </c>
      <c r="CM433" s="55">
        <v>-695.06560949934283</v>
      </c>
      <c r="CN433" s="55">
        <v>-694.08312102149125</v>
      </c>
      <c r="CO433" s="55">
        <v>-714.91897055771267</v>
      </c>
      <c r="CP433" s="55">
        <v>-741.64468334989056</v>
      </c>
      <c r="CQ433" s="55">
        <v>-674.67863317652677</v>
      </c>
      <c r="CR433" s="55">
        <v>-571.02651028613582</v>
      </c>
      <c r="CS433" s="55">
        <v>-562.63636277838373</v>
      </c>
      <c r="CT433" s="55">
        <v>0</v>
      </c>
      <c r="CU433" s="55">
        <v>0</v>
      </c>
      <c r="CV433" s="55">
        <v>0</v>
      </c>
      <c r="CW433" s="55">
        <v>0</v>
      </c>
      <c r="CX433" s="55">
        <v>0</v>
      </c>
      <c r="CY433" s="56">
        <v>0</v>
      </c>
      <c r="CZ433" s="55">
        <v>0</v>
      </c>
      <c r="DA433" s="55">
        <v>0</v>
      </c>
      <c r="DB433" s="55">
        <v>0</v>
      </c>
      <c r="DC433" s="55">
        <v>0</v>
      </c>
      <c r="DD433" s="55">
        <v>0</v>
      </c>
      <c r="DE433" s="55">
        <v>0</v>
      </c>
      <c r="DF433" s="55">
        <v>0</v>
      </c>
      <c r="DG433" s="55">
        <v>0</v>
      </c>
      <c r="DH433" s="55">
        <v>0</v>
      </c>
      <c r="DI433" s="55">
        <v>0</v>
      </c>
    </row>
    <row r="434" spans="1:113" outlineLevel="1">
      <c r="A434" s="1" t="s">
        <v>671</v>
      </c>
      <c r="B434" s="19" t="s">
        <v>694</v>
      </c>
      <c r="C434" s="55">
        <v>-22</v>
      </c>
      <c r="D434" s="55">
        <v>-22</v>
      </c>
      <c r="E434" s="55">
        <v>-22</v>
      </c>
      <c r="F434" s="55">
        <v>-31</v>
      </c>
      <c r="G434" s="55">
        <v>-47</v>
      </c>
      <c r="H434" s="55">
        <v>-4</v>
      </c>
      <c r="I434" s="55">
        <v>-7</v>
      </c>
      <c r="J434" s="55">
        <v>-5</v>
      </c>
      <c r="K434" s="55">
        <v>-13</v>
      </c>
      <c r="L434" s="55">
        <v>-16</v>
      </c>
      <c r="M434" s="55">
        <v>-27</v>
      </c>
      <c r="N434" s="55">
        <v>-30</v>
      </c>
      <c r="O434" s="55">
        <v>-32</v>
      </c>
      <c r="P434" s="55">
        <v>-42</v>
      </c>
      <c r="Q434" s="55">
        <v>-46</v>
      </c>
      <c r="R434" s="55">
        <v>-49</v>
      </c>
      <c r="S434" s="55">
        <v>-73</v>
      </c>
      <c r="T434" s="55">
        <v>-104</v>
      </c>
      <c r="U434" s="55">
        <v>-74</v>
      </c>
      <c r="V434" s="55">
        <v>-81</v>
      </c>
      <c r="W434" s="55">
        <v>-102</v>
      </c>
      <c r="X434" s="55">
        <v>-89</v>
      </c>
      <c r="Y434" s="55">
        <v>-90</v>
      </c>
      <c r="Z434" s="55">
        <v>-112</v>
      </c>
      <c r="AA434" s="55">
        <v>-133</v>
      </c>
      <c r="AB434" s="55">
        <v>-130</v>
      </c>
      <c r="AC434" s="55">
        <v>-198</v>
      </c>
      <c r="AD434" s="55">
        <v>-143</v>
      </c>
      <c r="AE434" s="55">
        <v>-165</v>
      </c>
      <c r="AF434" s="55">
        <v>-177</v>
      </c>
      <c r="AG434" s="55">
        <v>-202</v>
      </c>
      <c r="AH434" s="55">
        <v>-220</v>
      </c>
      <c r="AI434" s="55">
        <v>-172</v>
      </c>
      <c r="AJ434" s="55">
        <v>-202</v>
      </c>
      <c r="AK434" s="164">
        <v>-300</v>
      </c>
      <c r="AL434" s="55">
        <v>-231</v>
      </c>
      <c r="AM434" s="55">
        <v>-219</v>
      </c>
      <c r="AN434" s="55">
        <v>-275</v>
      </c>
      <c r="AO434" s="55">
        <v>-274</v>
      </c>
      <c r="AP434" s="55">
        <v>-238</v>
      </c>
      <c r="AQ434" s="55">
        <v>-184</v>
      </c>
      <c r="AR434" s="55">
        <v>-160</v>
      </c>
      <c r="AS434" s="55">
        <v>-212</v>
      </c>
      <c r="AT434" s="55">
        <v>-183</v>
      </c>
      <c r="AU434" s="55">
        <v>-212</v>
      </c>
      <c r="AV434" s="55">
        <v>-314</v>
      </c>
      <c r="AW434" s="56">
        <v>-371</v>
      </c>
      <c r="AX434" s="55">
        <v>-392.51172769802446</v>
      </c>
      <c r="AY434" s="55">
        <v>-401.47542985736345</v>
      </c>
      <c r="AZ434" s="55">
        <v>-421.64831612637352</v>
      </c>
      <c r="BA434" s="55">
        <v>-426.87231583802668</v>
      </c>
      <c r="BB434" s="55">
        <v>-445.20155351403599</v>
      </c>
      <c r="BC434" s="55">
        <v>-448.19667811398944</v>
      </c>
      <c r="BD434" s="55">
        <v>-464.15547542128564</v>
      </c>
      <c r="BE434" s="55">
        <v>-467.86038161855441</v>
      </c>
      <c r="BF434" s="55">
        <v>-482.38125241575221</v>
      </c>
      <c r="BG434" s="55">
        <v>-482.31425143156576</v>
      </c>
      <c r="BH434" s="55">
        <v>-498.12298044971368</v>
      </c>
      <c r="BI434" s="55">
        <v>-497.8569138928795</v>
      </c>
      <c r="BJ434" s="55">
        <v>-514.24595727968824</v>
      </c>
      <c r="BK434" s="55">
        <v>-514.05766402219319</v>
      </c>
      <c r="BL434" s="55">
        <v>-529.8193245832349</v>
      </c>
      <c r="BM434" s="55">
        <v>-532.66506212826437</v>
      </c>
      <c r="BN434" s="55">
        <v>-548.94903513373094</v>
      </c>
      <c r="BO434" s="55">
        <v>-549.11801858931483</v>
      </c>
      <c r="BP434" s="55">
        <v>-567.10066303065457</v>
      </c>
      <c r="BQ434" s="55">
        <v>-566.43114519759342</v>
      </c>
      <c r="BR434" s="55"/>
      <c r="BS434" s="55">
        <v>0</v>
      </c>
      <c r="BT434" s="55">
        <v>0</v>
      </c>
      <c r="BU434" s="55">
        <v>0</v>
      </c>
      <c r="BV434" s="55">
        <v>0</v>
      </c>
      <c r="BW434" s="55">
        <v>0</v>
      </c>
      <c r="BX434" s="55">
        <v>0</v>
      </c>
      <c r="BY434" s="55">
        <v>0</v>
      </c>
      <c r="BZ434" s="55">
        <v>0</v>
      </c>
      <c r="CA434" s="55">
        <v>0</v>
      </c>
      <c r="CB434" s="55">
        <v>0</v>
      </c>
      <c r="CC434" s="55">
        <v>-44</v>
      </c>
      <c r="CD434" s="55">
        <v>-78</v>
      </c>
      <c r="CE434" s="55">
        <v>-11</v>
      </c>
      <c r="CF434" s="55">
        <v>-18</v>
      </c>
      <c r="CG434" s="55">
        <v>-43</v>
      </c>
      <c r="CH434" s="55">
        <v>-62</v>
      </c>
      <c r="CI434" s="55">
        <v>-88</v>
      </c>
      <c r="CJ434" s="55">
        <v>-122</v>
      </c>
      <c r="CK434" s="55">
        <v>-178</v>
      </c>
      <c r="CL434" s="55">
        <v>-183</v>
      </c>
      <c r="CM434" s="55">
        <v>-179</v>
      </c>
      <c r="CN434" s="55">
        <v>-245</v>
      </c>
      <c r="CO434" s="55">
        <v>-328</v>
      </c>
      <c r="CP434" s="55">
        <v>-308</v>
      </c>
      <c r="CQ434" s="55">
        <v>-379</v>
      </c>
      <c r="CR434" s="55">
        <v>-392</v>
      </c>
      <c r="CS434" s="55">
        <v>-502</v>
      </c>
      <c r="CT434" s="55">
        <v>-450</v>
      </c>
      <c r="CU434" s="55">
        <v>-549</v>
      </c>
      <c r="CV434" s="55">
        <v>-422</v>
      </c>
      <c r="CW434" s="55">
        <v>-372</v>
      </c>
      <c r="CX434" s="55">
        <v>-395</v>
      </c>
      <c r="CY434" s="56">
        <v>-685</v>
      </c>
      <c r="CZ434" s="55">
        <v>-793.98715755538797</v>
      </c>
      <c r="DA434" s="55">
        <v>-848.5206319644002</v>
      </c>
      <c r="DB434" s="55">
        <v>-893.39823162802543</v>
      </c>
      <c r="DC434" s="55">
        <v>-932.01585703984006</v>
      </c>
      <c r="DD434" s="55">
        <v>-964.69550384731792</v>
      </c>
      <c r="DE434" s="55">
        <v>-995.97989434259318</v>
      </c>
      <c r="DF434" s="55">
        <v>-1028.3036213018813</v>
      </c>
      <c r="DG434" s="55">
        <v>-1062.4843867114992</v>
      </c>
      <c r="DH434" s="55">
        <v>-1098.0670537230458</v>
      </c>
      <c r="DI434" s="55">
        <v>-1133.5318082282479</v>
      </c>
    </row>
    <row r="435" spans="1:113" outlineLevel="1">
      <c r="A435" s="1" t="s">
        <v>672</v>
      </c>
      <c r="B435" s="19" t="s">
        <v>449</v>
      </c>
      <c r="C435" s="53">
        <v>0</v>
      </c>
      <c r="D435" s="53">
        <v>0</v>
      </c>
      <c r="E435" s="53">
        <v>0</v>
      </c>
      <c r="F435" s="53">
        <v>0</v>
      </c>
      <c r="G435" s="53">
        <v>0</v>
      </c>
      <c r="H435" s="53">
        <v>0</v>
      </c>
      <c r="I435" s="53">
        <v>0</v>
      </c>
      <c r="J435" s="53">
        <v>0</v>
      </c>
      <c r="K435" s="53">
        <v>0</v>
      </c>
      <c r="L435" s="53">
        <v>0</v>
      </c>
      <c r="M435" s="53">
        <v>0</v>
      </c>
      <c r="N435" s="53">
        <v>0</v>
      </c>
      <c r="O435" s="53">
        <v>0</v>
      </c>
      <c r="P435" s="53">
        <v>0</v>
      </c>
      <c r="Q435" s="53">
        <v>0</v>
      </c>
      <c r="R435" s="53">
        <v>0</v>
      </c>
      <c r="S435" s="53">
        <v>0</v>
      </c>
      <c r="T435" s="53">
        <v>0</v>
      </c>
      <c r="U435" s="53">
        <v>0</v>
      </c>
      <c r="V435" s="53">
        <v>0</v>
      </c>
      <c r="W435" s="53">
        <v>0</v>
      </c>
      <c r="X435" s="53">
        <v>0</v>
      </c>
      <c r="Y435" s="53">
        <v>0</v>
      </c>
      <c r="Z435" s="53">
        <v>0</v>
      </c>
      <c r="AA435" s="164">
        <v>0</v>
      </c>
      <c r="AB435" s="164">
        <v>0</v>
      </c>
      <c r="AC435" s="164">
        <v>0</v>
      </c>
      <c r="AD435" s="164">
        <v>0</v>
      </c>
      <c r="AE435" s="164">
        <v>0</v>
      </c>
      <c r="AF435" s="164">
        <v>0</v>
      </c>
      <c r="AG435" s="164">
        <v>0</v>
      </c>
      <c r="AH435" s="164">
        <v>0</v>
      </c>
      <c r="AI435" s="164">
        <v>0</v>
      </c>
      <c r="AJ435" s="164">
        <v>0</v>
      </c>
      <c r="AK435" s="164">
        <v>0</v>
      </c>
      <c r="AL435" s="164">
        <v>0</v>
      </c>
      <c r="AM435" s="164">
        <v>0</v>
      </c>
      <c r="AN435" s="164">
        <v>0</v>
      </c>
      <c r="AO435" s="164">
        <v>0</v>
      </c>
      <c r="AP435" s="164">
        <v>0</v>
      </c>
      <c r="AQ435" s="164">
        <v>0</v>
      </c>
      <c r="AR435" s="164">
        <v>0</v>
      </c>
      <c r="AS435" s="164">
        <v>0</v>
      </c>
      <c r="AT435" s="164">
        <v>0</v>
      </c>
      <c r="AU435" s="164">
        <v>0</v>
      </c>
      <c r="AV435" s="164">
        <v>0</v>
      </c>
      <c r="AW435" s="171">
        <v>0</v>
      </c>
      <c r="AX435" s="54">
        <v>0</v>
      </c>
      <c r="AY435" s="54">
        <v>0</v>
      </c>
      <c r="AZ435" s="54">
        <v>0</v>
      </c>
      <c r="BA435" s="54">
        <v>0</v>
      </c>
      <c r="BB435" s="54">
        <v>0</v>
      </c>
      <c r="BC435" s="54">
        <v>0</v>
      </c>
      <c r="BD435" s="54">
        <v>0</v>
      </c>
      <c r="BE435" s="54">
        <v>0</v>
      </c>
      <c r="BF435" s="54">
        <v>0</v>
      </c>
      <c r="BG435" s="54">
        <v>0</v>
      </c>
      <c r="BH435" s="54">
        <v>0</v>
      </c>
      <c r="BI435" s="54">
        <v>0</v>
      </c>
      <c r="BJ435" s="54">
        <v>0</v>
      </c>
      <c r="BK435" s="54">
        <v>0</v>
      </c>
      <c r="BL435" s="54">
        <v>0</v>
      </c>
      <c r="BM435" s="54">
        <v>0</v>
      </c>
      <c r="BN435" s="54">
        <v>0</v>
      </c>
      <c r="BO435" s="54">
        <v>0</v>
      </c>
      <c r="BP435" s="54">
        <v>0</v>
      </c>
      <c r="BQ435" s="54">
        <v>0</v>
      </c>
      <c r="BR435" s="55"/>
      <c r="BS435" s="53">
        <v>0</v>
      </c>
      <c r="BT435" s="53">
        <v>0</v>
      </c>
      <c r="BU435" s="53">
        <v>0</v>
      </c>
      <c r="BV435" s="53">
        <v>0</v>
      </c>
      <c r="BW435" s="53">
        <v>0</v>
      </c>
      <c r="BX435" s="53">
        <v>0</v>
      </c>
      <c r="BY435" s="53">
        <v>0</v>
      </c>
      <c r="BZ435" s="53">
        <v>0</v>
      </c>
      <c r="CA435" s="53">
        <v>0</v>
      </c>
      <c r="CB435" s="53">
        <v>0</v>
      </c>
      <c r="CC435" s="55">
        <v>0</v>
      </c>
      <c r="CD435" s="55">
        <v>0</v>
      </c>
      <c r="CE435" s="55">
        <v>0</v>
      </c>
      <c r="CF435" s="55">
        <v>0</v>
      </c>
      <c r="CG435" s="55">
        <v>0</v>
      </c>
      <c r="CH435" s="55">
        <v>0</v>
      </c>
      <c r="CI435" s="55">
        <v>0</v>
      </c>
      <c r="CJ435" s="55">
        <v>0</v>
      </c>
      <c r="CK435" s="55">
        <v>0</v>
      </c>
      <c r="CL435" s="55">
        <v>0</v>
      </c>
      <c r="CM435" s="55">
        <v>0</v>
      </c>
      <c r="CN435" s="55">
        <v>0</v>
      </c>
      <c r="CO435" s="55">
        <v>0</v>
      </c>
      <c r="CP435" s="55">
        <v>0</v>
      </c>
      <c r="CQ435" s="55">
        <v>0</v>
      </c>
      <c r="CR435" s="55">
        <v>0</v>
      </c>
      <c r="CS435" s="55">
        <v>0</v>
      </c>
      <c r="CT435" s="55">
        <v>0</v>
      </c>
      <c r="CU435" s="55">
        <v>0</v>
      </c>
      <c r="CV435" s="55">
        <v>0</v>
      </c>
      <c r="CW435" s="55">
        <v>0</v>
      </c>
      <c r="CX435" s="55">
        <v>0</v>
      </c>
      <c r="CY435" s="56">
        <v>0</v>
      </c>
      <c r="CZ435" s="55">
        <v>0</v>
      </c>
      <c r="DA435" s="55">
        <v>0</v>
      </c>
      <c r="DB435" s="55">
        <v>0</v>
      </c>
      <c r="DC435" s="55">
        <v>0</v>
      </c>
      <c r="DD435" s="55">
        <v>0</v>
      </c>
      <c r="DE435" s="55">
        <v>0</v>
      </c>
      <c r="DF435" s="55">
        <v>0</v>
      </c>
      <c r="DG435" s="55">
        <v>0</v>
      </c>
      <c r="DH435" s="55">
        <v>0</v>
      </c>
      <c r="DI435" s="55">
        <v>0</v>
      </c>
    </row>
    <row r="436" spans="1:113" hidden="1" outlineLevel="2">
      <c r="A436" s="1" t="s">
        <v>673</v>
      </c>
      <c r="B436" s="19" t="s">
        <v>801</v>
      </c>
      <c r="C436" s="55"/>
      <c r="D436" s="55"/>
      <c r="E436" s="55"/>
      <c r="F436" s="55"/>
      <c r="G436" s="55"/>
      <c r="H436" s="55"/>
      <c r="I436" s="55"/>
      <c r="J436" s="55"/>
      <c r="K436" s="55"/>
      <c r="L436" s="55"/>
      <c r="M436" s="55"/>
      <c r="N436" s="55"/>
      <c r="O436" s="55"/>
      <c r="P436" s="55"/>
      <c r="Q436" s="55"/>
      <c r="R436" s="55"/>
      <c r="S436" s="55"/>
      <c r="T436" s="55"/>
      <c r="U436" s="55"/>
      <c r="V436" s="55"/>
      <c r="W436" s="55"/>
      <c r="X436" s="55"/>
      <c r="Y436" s="55"/>
      <c r="Z436" s="55"/>
      <c r="AA436" s="55"/>
      <c r="AB436" s="55"/>
      <c r="AC436" s="55"/>
      <c r="AD436" s="55"/>
      <c r="AE436" s="55"/>
      <c r="AF436" s="55"/>
      <c r="AG436" s="55"/>
      <c r="AH436" s="55"/>
      <c r="AI436" s="55"/>
      <c r="AJ436" s="55"/>
      <c r="AK436" s="55"/>
      <c r="AL436" s="55"/>
      <c r="AM436" s="55"/>
      <c r="AN436" s="55"/>
      <c r="AO436" s="55"/>
      <c r="AP436" s="55"/>
      <c r="AQ436" s="55"/>
      <c r="AR436" s="55"/>
      <c r="AS436" s="55"/>
      <c r="AT436" s="55"/>
      <c r="AU436" s="55"/>
      <c r="AV436" s="55"/>
      <c r="AW436" s="56"/>
      <c r="AX436" s="55"/>
      <c r="AY436" s="55"/>
      <c r="AZ436" s="55"/>
      <c r="BA436" s="55"/>
      <c r="BB436" s="55"/>
      <c r="BC436" s="55"/>
      <c r="BD436" s="55"/>
      <c r="BE436" s="55"/>
      <c r="BF436" s="55"/>
      <c r="BG436" s="55"/>
      <c r="BH436" s="55"/>
      <c r="BI436" s="55"/>
      <c r="BJ436" s="55"/>
      <c r="BK436" s="55"/>
      <c r="BL436" s="55"/>
      <c r="BM436" s="55"/>
      <c r="BN436" s="55"/>
      <c r="BO436" s="55"/>
      <c r="BP436" s="55"/>
      <c r="BQ436" s="55"/>
      <c r="BR436" s="55"/>
      <c r="BS436" s="55"/>
      <c r="BT436" s="55"/>
      <c r="BU436" s="55"/>
      <c r="BV436" s="55"/>
      <c r="BW436" s="55"/>
      <c r="BX436" s="55"/>
      <c r="BY436" s="55"/>
      <c r="BZ436" s="55"/>
      <c r="CA436" s="55"/>
      <c r="CB436" s="55"/>
      <c r="CC436" s="55"/>
      <c r="CD436" s="55"/>
      <c r="CE436" s="55"/>
      <c r="CF436" s="55"/>
      <c r="CG436" s="55"/>
      <c r="CH436" s="55"/>
      <c r="CI436" s="55"/>
      <c r="CJ436" s="55"/>
      <c r="CK436" s="55"/>
      <c r="CL436" s="55"/>
      <c r="CM436" s="55"/>
      <c r="CN436" s="55"/>
      <c r="CO436" s="55"/>
      <c r="CP436" s="55"/>
      <c r="CQ436" s="55"/>
      <c r="CR436" s="55"/>
      <c r="CS436" s="55"/>
      <c r="CT436" s="55"/>
      <c r="CU436" s="55"/>
      <c r="CV436" s="55"/>
      <c r="CW436" s="55"/>
      <c r="CX436" s="55"/>
      <c r="CY436" s="56"/>
      <c r="CZ436" s="55"/>
      <c r="DA436" s="55"/>
      <c r="DB436" s="55"/>
      <c r="DC436" s="55"/>
      <c r="DD436" s="55"/>
      <c r="DE436" s="55"/>
      <c r="DF436" s="55"/>
      <c r="DG436" s="55"/>
      <c r="DH436" s="55"/>
      <c r="DI436" s="55"/>
    </row>
    <row r="437" spans="1:113" hidden="1" outlineLevel="2">
      <c r="A437" s="1" t="s">
        <v>51</v>
      </c>
      <c r="B437" s="19" t="s">
        <v>801</v>
      </c>
      <c r="C437" s="55"/>
      <c r="D437" s="55"/>
      <c r="E437" s="55"/>
      <c r="F437" s="55"/>
      <c r="G437" s="55"/>
      <c r="H437" s="55"/>
      <c r="I437" s="55"/>
      <c r="J437" s="55"/>
      <c r="K437" s="55"/>
      <c r="L437" s="55"/>
      <c r="M437" s="55"/>
      <c r="N437" s="55"/>
      <c r="O437" s="55"/>
      <c r="P437" s="55"/>
      <c r="Q437" s="55"/>
      <c r="R437" s="55"/>
      <c r="S437" s="55"/>
      <c r="T437" s="55"/>
      <c r="U437" s="55"/>
      <c r="V437" s="55"/>
      <c r="W437" s="55"/>
      <c r="X437" s="55"/>
      <c r="Y437" s="55"/>
      <c r="Z437" s="55"/>
      <c r="AA437" s="55"/>
      <c r="AB437" s="55"/>
      <c r="AC437" s="55"/>
      <c r="AD437" s="55"/>
      <c r="AE437" s="55"/>
      <c r="AF437" s="55"/>
      <c r="AG437" s="55"/>
      <c r="AH437" s="55"/>
      <c r="AI437" s="55"/>
      <c r="AJ437" s="55"/>
      <c r="AK437" s="55"/>
      <c r="AL437" s="55"/>
      <c r="AM437" s="55"/>
      <c r="AN437" s="55"/>
      <c r="AO437" s="55"/>
      <c r="AP437" s="55"/>
      <c r="AQ437" s="55"/>
      <c r="AR437" s="55"/>
      <c r="AS437" s="55"/>
      <c r="AT437" s="55"/>
      <c r="AU437" s="55"/>
      <c r="AV437" s="55"/>
      <c r="AW437" s="56"/>
      <c r="AX437" s="55"/>
      <c r="AY437" s="55"/>
      <c r="AZ437" s="55"/>
      <c r="BA437" s="55"/>
      <c r="BB437" s="55"/>
      <c r="BC437" s="55"/>
      <c r="BD437" s="55"/>
      <c r="BE437" s="55"/>
      <c r="BF437" s="55"/>
      <c r="BG437" s="55"/>
      <c r="BH437" s="55"/>
      <c r="BI437" s="55"/>
      <c r="BJ437" s="55"/>
      <c r="BK437" s="55"/>
      <c r="BL437" s="55"/>
      <c r="BM437" s="55"/>
      <c r="BN437" s="55"/>
      <c r="BO437" s="55"/>
      <c r="BP437" s="55"/>
      <c r="BQ437" s="55"/>
      <c r="BR437" s="55"/>
      <c r="BS437" s="55"/>
      <c r="BT437" s="55"/>
      <c r="BU437" s="55"/>
      <c r="BV437" s="55"/>
      <c r="BW437" s="55"/>
      <c r="BX437" s="55"/>
      <c r="BY437" s="55"/>
      <c r="BZ437" s="55"/>
      <c r="CA437" s="55"/>
      <c r="CB437" s="55"/>
      <c r="CC437" s="55"/>
      <c r="CD437" s="55"/>
      <c r="CE437" s="55"/>
      <c r="CF437" s="55"/>
      <c r="CG437" s="55"/>
      <c r="CH437" s="55"/>
      <c r="CI437" s="55"/>
      <c r="CJ437" s="55"/>
      <c r="CK437" s="55"/>
      <c r="CL437" s="55"/>
      <c r="CM437" s="55"/>
      <c r="CN437" s="55"/>
      <c r="CO437" s="55"/>
      <c r="CP437" s="55"/>
      <c r="CQ437" s="55"/>
      <c r="CR437" s="55"/>
      <c r="CS437" s="55"/>
      <c r="CT437" s="55"/>
      <c r="CU437" s="55"/>
      <c r="CV437" s="55"/>
      <c r="CW437" s="55"/>
      <c r="CX437" s="55"/>
      <c r="CY437" s="56"/>
      <c r="CZ437" s="55"/>
      <c r="DA437" s="55"/>
      <c r="DB437" s="55"/>
      <c r="DC437" s="55"/>
      <c r="DD437" s="55"/>
      <c r="DE437" s="55"/>
      <c r="DF437" s="55"/>
      <c r="DG437" s="55"/>
      <c r="DH437" s="55"/>
      <c r="DI437" s="55"/>
    </row>
    <row r="438" spans="1:113" hidden="1" outlineLevel="2">
      <c r="A438" s="1" t="s">
        <v>52</v>
      </c>
      <c r="B438" s="19" t="s">
        <v>801</v>
      </c>
      <c r="C438" s="55"/>
      <c r="D438" s="55"/>
      <c r="E438" s="55"/>
      <c r="F438" s="55"/>
      <c r="G438" s="55"/>
      <c r="H438" s="55"/>
      <c r="I438" s="55"/>
      <c r="J438" s="55"/>
      <c r="K438" s="55"/>
      <c r="L438" s="55"/>
      <c r="M438" s="55"/>
      <c r="N438" s="55"/>
      <c r="O438" s="55"/>
      <c r="P438" s="55"/>
      <c r="Q438" s="55"/>
      <c r="R438" s="55"/>
      <c r="S438" s="55"/>
      <c r="T438" s="55"/>
      <c r="U438" s="55"/>
      <c r="V438" s="55"/>
      <c r="W438" s="55"/>
      <c r="X438" s="55"/>
      <c r="Y438" s="55"/>
      <c r="Z438" s="55"/>
      <c r="AA438" s="55"/>
      <c r="AB438" s="55"/>
      <c r="AC438" s="55"/>
      <c r="AD438" s="55"/>
      <c r="AE438" s="55"/>
      <c r="AF438" s="55"/>
      <c r="AG438" s="55"/>
      <c r="AH438" s="55"/>
      <c r="AI438" s="55"/>
      <c r="AJ438" s="55"/>
      <c r="AK438" s="55"/>
      <c r="AL438" s="55"/>
      <c r="AM438" s="55"/>
      <c r="AN438" s="55"/>
      <c r="AO438" s="55"/>
      <c r="AP438" s="55"/>
      <c r="AQ438" s="55"/>
      <c r="AR438" s="55"/>
      <c r="AS438" s="55"/>
      <c r="AT438" s="55"/>
      <c r="AU438" s="55"/>
      <c r="AV438" s="55"/>
      <c r="AW438" s="56"/>
      <c r="AX438" s="55"/>
      <c r="AY438" s="55"/>
      <c r="AZ438" s="55"/>
      <c r="BA438" s="55"/>
      <c r="BB438" s="55"/>
      <c r="BC438" s="55"/>
      <c r="BD438" s="55"/>
      <c r="BE438" s="55"/>
      <c r="BF438" s="55"/>
      <c r="BG438" s="55"/>
      <c r="BH438" s="55"/>
      <c r="BI438" s="55"/>
      <c r="BJ438" s="55"/>
      <c r="BK438" s="55"/>
      <c r="BL438" s="55"/>
      <c r="BM438" s="55"/>
      <c r="BN438" s="55"/>
      <c r="BO438" s="55"/>
      <c r="BP438" s="55"/>
      <c r="BQ438" s="55"/>
      <c r="BR438" s="55"/>
      <c r="BS438" s="55"/>
      <c r="BT438" s="55"/>
      <c r="BU438" s="55"/>
      <c r="BV438" s="55"/>
      <c r="BW438" s="55"/>
      <c r="BX438" s="55"/>
      <c r="BY438" s="55"/>
      <c r="BZ438" s="55"/>
      <c r="CA438" s="55"/>
      <c r="CB438" s="55"/>
      <c r="CC438" s="55"/>
      <c r="CD438" s="55"/>
      <c r="CE438" s="55"/>
      <c r="CF438" s="55"/>
      <c r="CG438" s="55"/>
      <c r="CH438" s="55"/>
      <c r="CI438" s="55"/>
      <c r="CJ438" s="55"/>
      <c r="CK438" s="55"/>
      <c r="CL438" s="55"/>
      <c r="CM438" s="55"/>
      <c r="CN438" s="55"/>
      <c r="CO438" s="55"/>
      <c r="CP438" s="55"/>
      <c r="CQ438" s="55"/>
      <c r="CR438" s="55"/>
      <c r="CS438" s="55"/>
      <c r="CT438" s="55"/>
      <c r="CU438" s="55"/>
      <c r="CV438" s="55"/>
      <c r="CW438" s="55"/>
      <c r="CX438" s="55"/>
      <c r="CY438" s="56"/>
      <c r="CZ438" s="55"/>
      <c r="DA438" s="55"/>
      <c r="DB438" s="55"/>
      <c r="DC438" s="55"/>
      <c r="DD438" s="55"/>
      <c r="DE438" s="55"/>
      <c r="DF438" s="55"/>
      <c r="DG438" s="55"/>
      <c r="DH438" s="55"/>
      <c r="DI438" s="55"/>
    </row>
    <row r="439" spans="1:113" hidden="1" outlineLevel="2">
      <c r="A439" s="1" t="s">
        <v>54</v>
      </c>
      <c r="B439" s="19" t="s">
        <v>801</v>
      </c>
      <c r="C439" s="55"/>
      <c r="D439" s="55"/>
      <c r="E439" s="55"/>
      <c r="F439" s="55"/>
      <c r="G439" s="55"/>
      <c r="H439" s="55"/>
      <c r="I439" s="55"/>
      <c r="J439" s="55"/>
      <c r="K439" s="55"/>
      <c r="L439" s="55"/>
      <c r="M439" s="55"/>
      <c r="N439" s="55"/>
      <c r="O439" s="55"/>
      <c r="P439" s="55"/>
      <c r="Q439" s="55"/>
      <c r="R439" s="55"/>
      <c r="S439" s="55"/>
      <c r="T439" s="55"/>
      <c r="U439" s="55"/>
      <c r="V439" s="55"/>
      <c r="W439" s="55"/>
      <c r="X439" s="55"/>
      <c r="Y439" s="55"/>
      <c r="Z439" s="55"/>
      <c r="AA439" s="55"/>
      <c r="AB439" s="55"/>
      <c r="AC439" s="55"/>
      <c r="AD439" s="55"/>
      <c r="AE439" s="55"/>
      <c r="AF439" s="55"/>
      <c r="AG439" s="55"/>
      <c r="AH439" s="55"/>
      <c r="AI439" s="55"/>
      <c r="AJ439" s="55"/>
      <c r="AK439" s="55"/>
      <c r="AL439" s="55"/>
      <c r="AM439" s="55"/>
      <c r="AN439" s="55"/>
      <c r="AO439" s="55"/>
      <c r="AP439" s="55"/>
      <c r="AQ439" s="55"/>
      <c r="AR439" s="55"/>
      <c r="AS439" s="55"/>
      <c r="AT439" s="55"/>
      <c r="AU439" s="55"/>
      <c r="AV439" s="55"/>
      <c r="AW439" s="56"/>
      <c r="AX439" s="55"/>
      <c r="AY439" s="55"/>
      <c r="AZ439" s="55"/>
      <c r="BA439" s="55"/>
      <c r="BB439" s="55"/>
      <c r="BC439" s="55"/>
      <c r="BD439" s="55"/>
      <c r="BE439" s="55"/>
      <c r="BF439" s="55"/>
      <c r="BG439" s="55"/>
      <c r="BH439" s="55"/>
      <c r="BI439" s="55"/>
      <c r="BJ439" s="55"/>
      <c r="BK439" s="55"/>
      <c r="BL439" s="55"/>
      <c r="BM439" s="55"/>
      <c r="BN439" s="55"/>
      <c r="BO439" s="55"/>
      <c r="BP439" s="55"/>
      <c r="BQ439" s="55"/>
      <c r="BR439" s="55"/>
      <c r="BS439" s="55"/>
      <c r="BT439" s="55"/>
      <c r="BU439" s="55"/>
      <c r="BV439" s="55"/>
      <c r="BW439" s="55"/>
      <c r="BX439" s="55"/>
      <c r="BY439" s="55"/>
      <c r="BZ439" s="55"/>
      <c r="CA439" s="55"/>
      <c r="CB439" s="55"/>
      <c r="CC439" s="55"/>
      <c r="CD439" s="55"/>
      <c r="CE439" s="55"/>
      <c r="CF439" s="55"/>
      <c r="CG439" s="55"/>
      <c r="CH439" s="55"/>
      <c r="CI439" s="55"/>
      <c r="CJ439" s="55"/>
      <c r="CK439" s="55"/>
      <c r="CL439" s="55"/>
      <c r="CM439" s="55"/>
      <c r="CN439" s="55"/>
      <c r="CO439" s="55"/>
      <c r="CP439" s="55"/>
      <c r="CQ439" s="55"/>
      <c r="CR439" s="55"/>
      <c r="CS439" s="55"/>
      <c r="CT439" s="55"/>
      <c r="CU439" s="55"/>
      <c r="CV439" s="55"/>
      <c r="CW439" s="55"/>
      <c r="CX439" s="55"/>
      <c r="CY439" s="56"/>
      <c r="CZ439" s="55"/>
      <c r="DA439" s="55"/>
      <c r="DB439" s="55"/>
      <c r="DC439" s="55"/>
      <c r="DD439" s="55"/>
      <c r="DE439" s="55"/>
      <c r="DF439" s="55"/>
      <c r="DG439" s="55"/>
      <c r="DH439" s="55"/>
      <c r="DI439" s="55"/>
    </row>
    <row r="440" spans="1:113" outlineLevel="1" collapsed="1">
      <c r="A440" s="1" t="s">
        <v>675</v>
      </c>
      <c r="B440" s="19" t="s">
        <v>450</v>
      </c>
      <c r="C440" s="55">
        <v>-1192</v>
      </c>
      <c r="D440" s="55">
        <v>-1145.3333333333333</v>
      </c>
      <c r="E440" s="55">
        <v>-1193.3333333333333</v>
      </c>
      <c r="F440" s="55">
        <v>-1239.6666666666667</v>
      </c>
      <c r="G440" s="55">
        <v>-1313</v>
      </c>
      <c r="H440" s="55">
        <v>-1579.6666666666667</v>
      </c>
      <c r="I440" s="55">
        <v>-1501</v>
      </c>
      <c r="J440" s="55">
        <v>-1302.3333333333333</v>
      </c>
      <c r="K440" s="55">
        <v>-1379.3333333333333</v>
      </c>
      <c r="L440" s="55">
        <v>-1329.3333333333333</v>
      </c>
      <c r="M440" s="55">
        <v>-1320</v>
      </c>
      <c r="N440" s="55">
        <v>-1266.3333333333335</v>
      </c>
      <c r="O440" s="55">
        <v>-1332.6666666666667</v>
      </c>
      <c r="P440" s="55">
        <v>-1281.3333333333335</v>
      </c>
      <c r="Q440" s="55">
        <v>-1420.3333333333335</v>
      </c>
      <c r="R440" s="55">
        <v>-1521.3333333333335</v>
      </c>
      <c r="S440" s="55">
        <v>-1765.6666666666665</v>
      </c>
      <c r="T440" s="55">
        <v>-1591.3333333333335</v>
      </c>
      <c r="U440" s="55">
        <v>-1680</v>
      </c>
      <c r="V440" s="55">
        <v>-1620.3333333333335</v>
      </c>
      <c r="W440" s="55">
        <v>-1700.3333333333335</v>
      </c>
      <c r="X440" s="55">
        <v>-1682.1251583816074</v>
      </c>
      <c r="Y440" s="55">
        <v>-1692.8092321190493</v>
      </c>
      <c r="Z440" s="55">
        <v>-1404.8227594119667</v>
      </c>
      <c r="AA440" s="55">
        <v>-1434.0941195665423</v>
      </c>
      <c r="AB440" s="55">
        <v>-1419.738247414703</v>
      </c>
      <c r="AC440" s="55">
        <v>-1426.3427820275842</v>
      </c>
      <c r="AD440" s="55">
        <v>-1495.9234906167167</v>
      </c>
      <c r="AE440" s="55">
        <v>-1480.431826033393</v>
      </c>
      <c r="AF440" s="55">
        <v>-1623.3722150316312</v>
      </c>
      <c r="AG440" s="55">
        <v>-1587.9491517918423</v>
      </c>
      <c r="AH440" s="55">
        <v>-1570.2234672860254</v>
      </c>
      <c r="AI440" s="55">
        <v>-1699.7500224278388</v>
      </c>
      <c r="AJ440" s="55">
        <v>-1654.7795988019393</v>
      </c>
      <c r="AK440" s="55">
        <v>-1606.5840384196772</v>
      </c>
      <c r="AL440" s="55">
        <v>-1811.1434022539706</v>
      </c>
      <c r="AM440" s="55">
        <v>-1854.8565977460285</v>
      </c>
      <c r="AN440" s="55">
        <v>-2093</v>
      </c>
      <c r="AO440" s="55">
        <v>-2162</v>
      </c>
      <c r="AP440" s="55">
        <v>-2148</v>
      </c>
      <c r="AQ440" s="55">
        <v>-2229</v>
      </c>
      <c r="AR440" s="55">
        <v>-1879</v>
      </c>
      <c r="AS440" s="55">
        <v>-1985</v>
      </c>
      <c r="AT440" s="55">
        <v>-2053</v>
      </c>
      <c r="AU440" s="55">
        <v>-2021</v>
      </c>
      <c r="AV440" s="55">
        <v>-1978</v>
      </c>
      <c r="AW440" s="56">
        <v>-1978</v>
      </c>
      <c r="AX440" s="55">
        <v>-2019.0368300307205</v>
      </c>
      <c r="AY440" s="55">
        <v>-2026.3502715498694</v>
      </c>
      <c r="AZ440" s="55">
        <v>-2061.6750055030247</v>
      </c>
      <c r="BA440" s="55">
        <v>-2066.3670622265981</v>
      </c>
      <c r="BB440" s="55">
        <v>-2098.9255936614518</v>
      </c>
      <c r="BC440" s="55">
        <v>-2105.4606726673192</v>
      </c>
      <c r="BD440" s="55">
        <v>-2134.4573156944398</v>
      </c>
      <c r="BE440" s="55">
        <v>-2140.4591982687402</v>
      </c>
      <c r="BF440" s="55">
        <v>-2179.8052516114531</v>
      </c>
      <c r="BG440" s="55">
        <v>-2194.4158421057323</v>
      </c>
      <c r="BH440" s="55">
        <v>-2244.3091938512325</v>
      </c>
      <c r="BI440" s="55">
        <v>-2263.7891523313137</v>
      </c>
      <c r="BJ440" s="55">
        <v>-2315.4007244926092</v>
      </c>
      <c r="BK440" s="55">
        <v>-2339.3079864748497</v>
      </c>
      <c r="BL440" s="55">
        <v>-2390.8027722250013</v>
      </c>
      <c r="BM440" s="55">
        <v>-2421.0225964466395</v>
      </c>
      <c r="BN440" s="55">
        <v>-2467.869032182829</v>
      </c>
      <c r="BO440" s="55">
        <v>-2483.1353538085036</v>
      </c>
      <c r="BP440" s="55">
        <v>-2533.6128927150025</v>
      </c>
      <c r="BQ440" s="55">
        <v>-2549.3121244924937</v>
      </c>
      <c r="BR440" s="55"/>
      <c r="BS440" s="55">
        <v>-1394.7</v>
      </c>
      <c r="BT440" s="55">
        <v>-1277.9000000000001</v>
      </c>
      <c r="BU440" s="55">
        <v>-1260</v>
      </c>
      <c r="BV440" s="55">
        <v>-1400.6965034965035</v>
      </c>
      <c r="BW440" s="55">
        <v>-1268.5268633805219</v>
      </c>
      <c r="BX440" s="55">
        <v>-1243.6957189152311</v>
      </c>
      <c r="BY440" s="55">
        <v>-1398.9930069930069</v>
      </c>
      <c r="BZ440" s="55">
        <v>-1442.7109557109557</v>
      </c>
      <c r="CA440" s="55">
        <v>-1667.6666666666667</v>
      </c>
      <c r="CB440" s="55">
        <v>-2644.666666666667</v>
      </c>
      <c r="CC440" s="55">
        <v>-2338.6666666666665</v>
      </c>
      <c r="CD440" s="55">
        <v>-2552.666666666667</v>
      </c>
      <c r="CE440" s="55">
        <v>-3080.666666666667</v>
      </c>
      <c r="CF440" s="55">
        <v>-2681.6666666666665</v>
      </c>
      <c r="CG440" s="55">
        <v>-2649.333333333333</v>
      </c>
      <c r="CH440" s="55">
        <v>-2599</v>
      </c>
      <c r="CI440" s="55">
        <v>-2701.666666666667</v>
      </c>
      <c r="CJ440" s="55">
        <v>-3287</v>
      </c>
      <c r="CK440" s="55">
        <v>-3271.3333333333335</v>
      </c>
      <c r="CL440" s="55">
        <v>-3320.666666666667</v>
      </c>
      <c r="CM440" s="55">
        <v>-3374.9343905006567</v>
      </c>
      <c r="CN440" s="55">
        <v>-2838.916878978509</v>
      </c>
      <c r="CO440" s="55">
        <v>-2846.0810294422872</v>
      </c>
      <c r="CP440" s="55">
        <v>-2976.3553166501097</v>
      </c>
      <c r="CQ440" s="55">
        <v>-3211.3213668234735</v>
      </c>
      <c r="CR440" s="55">
        <v>-3269.9734897138642</v>
      </c>
      <c r="CS440" s="55">
        <v>-3261.3636372216165</v>
      </c>
      <c r="CT440" s="55">
        <v>-3665.9999999999991</v>
      </c>
      <c r="CU440" s="55">
        <v>-4255</v>
      </c>
      <c r="CV440" s="55">
        <v>-4377</v>
      </c>
      <c r="CW440" s="55">
        <v>-3864</v>
      </c>
      <c r="CX440" s="55">
        <v>-4074</v>
      </c>
      <c r="CY440" s="56">
        <v>-3956</v>
      </c>
      <c r="CZ440" s="55">
        <v>-4045.3871015805898</v>
      </c>
      <c r="DA440" s="55">
        <v>-4128.0420677296224</v>
      </c>
      <c r="DB440" s="55">
        <v>-4204.3862663287709</v>
      </c>
      <c r="DC440" s="55">
        <v>-4274.9165139631805</v>
      </c>
      <c r="DD440" s="55">
        <v>-4374.2210937171858</v>
      </c>
      <c r="DE440" s="55">
        <v>-4508.0983461825463</v>
      </c>
      <c r="DF440" s="55">
        <v>-4654.7087109674594</v>
      </c>
      <c r="DG440" s="55">
        <v>-4811.8253686716407</v>
      </c>
      <c r="DH440" s="55">
        <v>-4951.004385991333</v>
      </c>
      <c r="DI440" s="55">
        <v>-5082.9250172074962</v>
      </c>
    </row>
    <row r="441" spans="1:113" s="24" customFormat="1" outlineLevel="1">
      <c r="A441" s="1" t="s">
        <v>87</v>
      </c>
      <c r="B441" s="24" t="s">
        <v>375</v>
      </c>
      <c r="C441" s="82">
        <v>-2585</v>
      </c>
      <c r="D441" s="82">
        <v>-2594</v>
      </c>
      <c r="E441" s="82">
        <v>-2607</v>
      </c>
      <c r="F441" s="82">
        <v>-2710</v>
      </c>
      <c r="G441" s="82">
        <v>-2841</v>
      </c>
      <c r="H441" s="82">
        <v>-3203</v>
      </c>
      <c r="I441" s="82">
        <v>-3046</v>
      </c>
      <c r="J441" s="82">
        <v>-2869</v>
      </c>
      <c r="K441" s="82">
        <v>-3000</v>
      </c>
      <c r="L441" s="82">
        <v>-2967</v>
      </c>
      <c r="M441" s="82">
        <v>-3027</v>
      </c>
      <c r="N441" s="82">
        <v>-3144</v>
      </c>
      <c r="O441" s="82">
        <v>-3283</v>
      </c>
      <c r="P441" s="82">
        <v>-3378</v>
      </c>
      <c r="Q441" s="82">
        <v>-3643</v>
      </c>
      <c r="R441" s="82">
        <v>-4008</v>
      </c>
      <c r="S441" s="82">
        <v>-4214</v>
      </c>
      <c r="T441" s="82">
        <v>-4268</v>
      </c>
      <c r="U441" s="82">
        <v>-4333</v>
      </c>
      <c r="V441" s="82">
        <v>-4408</v>
      </c>
      <c r="W441" s="82">
        <v>-4483</v>
      </c>
      <c r="X441" s="82">
        <v>-4602</v>
      </c>
      <c r="Y441" s="82">
        <v>-4594</v>
      </c>
      <c r="Z441" s="82">
        <v>-4467</v>
      </c>
      <c r="AA441" s="82">
        <v>-4543</v>
      </c>
      <c r="AB441" s="82">
        <v>-4683</v>
      </c>
      <c r="AC441" s="82">
        <v>-4748</v>
      </c>
      <c r="AD441" s="82">
        <v>-4914</v>
      </c>
      <c r="AE441" s="82">
        <v>-4928</v>
      </c>
      <c r="AF441" s="82">
        <v>-5210</v>
      </c>
      <c r="AG441" s="82">
        <v>-5224</v>
      </c>
      <c r="AH441" s="82">
        <v>-5081</v>
      </c>
      <c r="AI441" s="82">
        <v>-5195</v>
      </c>
      <c r="AJ441" s="82">
        <v>-4871</v>
      </c>
      <c r="AK441" s="82">
        <v>-4894</v>
      </c>
      <c r="AL441" s="82">
        <v>-4804.1434022539706</v>
      </c>
      <c r="AM441" s="82">
        <v>-4888.8565977460285</v>
      </c>
      <c r="AN441" s="82">
        <v>-5253</v>
      </c>
      <c r="AO441" s="82">
        <v>-5282</v>
      </c>
      <c r="AP441" s="82">
        <v>-5349</v>
      </c>
      <c r="AQ441" s="82">
        <v>-5435</v>
      </c>
      <c r="AR441" s="82">
        <v>-5397</v>
      </c>
      <c r="AS441" s="82">
        <v>-5391</v>
      </c>
      <c r="AT441" s="82">
        <v>-5773</v>
      </c>
      <c r="AU441" s="82">
        <v>-5873</v>
      </c>
      <c r="AV441" s="82">
        <v>-6011</v>
      </c>
      <c r="AW441" s="83">
        <v>-6118</v>
      </c>
      <c r="AX441" s="82">
        <v>-6292.0023209234369</v>
      </c>
      <c r="AY441" s="82">
        <v>-6283.1830516769151</v>
      </c>
      <c r="AZ441" s="82">
        <v>-6445.7909799131357</v>
      </c>
      <c r="BA441" s="82">
        <v>-6438.0618002647989</v>
      </c>
      <c r="BB441" s="82">
        <v>-6602.6304518517418</v>
      </c>
      <c r="BC441" s="82">
        <v>-6594.05474928476</v>
      </c>
      <c r="BD441" s="82">
        <v>-6723.532138291238</v>
      </c>
      <c r="BE441" s="82">
        <v>-6717.0497515197349</v>
      </c>
      <c r="BF441" s="82">
        <v>-6887.9782715579486</v>
      </c>
      <c r="BG441" s="82">
        <v>-6904.4278158823545</v>
      </c>
      <c r="BH441" s="82">
        <v>-7113.3890729740751</v>
      </c>
      <c r="BI441" s="82">
        <v>-7134.5395132618432</v>
      </c>
      <c r="BJ441" s="82">
        <v>-7350.6834690550222</v>
      </c>
      <c r="BK441" s="82">
        <v>-7387.5100919213792</v>
      </c>
      <c r="BL441" s="82">
        <v>-7595.5277747269174</v>
      </c>
      <c r="BM441" s="82">
        <v>-7668.0131772305813</v>
      </c>
      <c r="BN441" s="82">
        <v>-7853.3341125187853</v>
      </c>
      <c r="BO441" s="82">
        <v>-7846.9630752169796</v>
      </c>
      <c r="BP441" s="82">
        <v>-8053.89681065269</v>
      </c>
      <c r="BQ441" s="82">
        <v>-8046.5560630350701</v>
      </c>
      <c r="BR441" s="82"/>
      <c r="BS441" s="82">
        <v>-3149</v>
      </c>
      <c r="BT441" s="82">
        <v>-2954</v>
      </c>
      <c r="BU441" s="82">
        <v>-2884</v>
      </c>
      <c r="BV441" s="82">
        <v>-2943</v>
      </c>
      <c r="BW441" s="82">
        <v>-2863</v>
      </c>
      <c r="BX441" s="82">
        <v>-2924</v>
      </c>
      <c r="BY441" s="82">
        <v>-3039</v>
      </c>
      <c r="BZ441" s="82">
        <v>-3070</v>
      </c>
      <c r="CA441" s="82">
        <v>-3407</v>
      </c>
      <c r="CB441" s="82">
        <v>-5170</v>
      </c>
      <c r="CC441" s="82">
        <v>-5201</v>
      </c>
      <c r="CD441" s="82">
        <v>-5551</v>
      </c>
      <c r="CE441" s="82">
        <v>-6249</v>
      </c>
      <c r="CF441" s="82">
        <v>-5869</v>
      </c>
      <c r="CG441" s="82">
        <v>-5994</v>
      </c>
      <c r="CH441" s="82">
        <v>-6427</v>
      </c>
      <c r="CI441" s="82">
        <v>-7021</v>
      </c>
      <c r="CJ441" s="82">
        <v>-8222</v>
      </c>
      <c r="CK441" s="82">
        <v>-8601</v>
      </c>
      <c r="CL441" s="82">
        <v>-8891</v>
      </c>
      <c r="CM441" s="82">
        <v>-9196</v>
      </c>
      <c r="CN441" s="82">
        <v>-9010</v>
      </c>
      <c r="CO441" s="82">
        <v>-9431</v>
      </c>
      <c r="CP441" s="82">
        <v>-9842</v>
      </c>
      <c r="CQ441" s="82">
        <v>-10434</v>
      </c>
      <c r="CR441" s="82">
        <v>-10276</v>
      </c>
      <c r="CS441" s="82">
        <v>-9765</v>
      </c>
      <c r="CT441" s="82">
        <v>-9693</v>
      </c>
      <c r="CU441" s="82">
        <v>-10535</v>
      </c>
      <c r="CV441" s="82">
        <v>-10784</v>
      </c>
      <c r="CW441" s="82">
        <v>-10788</v>
      </c>
      <c r="CX441" s="82">
        <v>-11646</v>
      </c>
      <c r="CY441" s="83">
        <v>-12129</v>
      </c>
      <c r="CZ441" s="82">
        <v>-12575.185372600352</v>
      </c>
      <c r="DA441" s="82">
        <v>-12883.852780177935</v>
      </c>
      <c r="DB441" s="82">
        <v>-13196.685201136501</v>
      </c>
      <c r="DC441" s="82">
        <v>-13440.581889810972</v>
      </c>
      <c r="DD441" s="82">
        <v>-13792.406087440304</v>
      </c>
      <c r="DE441" s="82">
        <v>-14247.928586235917</v>
      </c>
      <c r="DF441" s="82">
        <v>-14738.1935609764</v>
      </c>
      <c r="DG441" s="82">
        <v>-15263.540951957499</v>
      </c>
      <c r="DH441" s="82">
        <v>-15700.297187735765</v>
      </c>
      <c r="DI441" s="82">
        <v>-16100.45287368776</v>
      </c>
    </row>
    <row r="442" spans="1:113" outlineLevel="1">
      <c r="A442" s="1" t="s">
        <v>0</v>
      </c>
      <c r="B442" s="19" t="s">
        <v>376</v>
      </c>
      <c r="C442" s="164">
        <v>0</v>
      </c>
      <c r="D442" s="164">
        <v>0</v>
      </c>
      <c r="E442" s="164">
        <v>0</v>
      </c>
      <c r="F442" s="164">
        <v>0</v>
      </c>
      <c r="G442" s="164">
        <v>0</v>
      </c>
      <c r="H442" s="164">
        <v>0</v>
      </c>
      <c r="I442" s="164">
        <v>0</v>
      </c>
      <c r="J442" s="164">
        <v>0</v>
      </c>
      <c r="K442" s="164">
        <v>0</v>
      </c>
      <c r="L442" s="164">
        <v>0</v>
      </c>
      <c r="M442" s="164">
        <v>0</v>
      </c>
      <c r="N442" s="164">
        <v>0</v>
      </c>
      <c r="O442" s="164">
        <v>0</v>
      </c>
      <c r="P442" s="164">
        <v>0</v>
      </c>
      <c r="Q442" s="164">
        <v>0</v>
      </c>
      <c r="R442" s="164">
        <v>0</v>
      </c>
      <c r="S442" s="164">
        <v>0</v>
      </c>
      <c r="T442" s="164">
        <v>0</v>
      </c>
      <c r="U442" s="164">
        <v>0</v>
      </c>
      <c r="V442" s="164">
        <v>0</v>
      </c>
      <c r="W442" s="164">
        <v>0</v>
      </c>
      <c r="X442" s="164">
        <v>0</v>
      </c>
      <c r="Y442" s="164">
        <v>0</v>
      </c>
      <c r="Z442" s="164">
        <v>0</v>
      </c>
      <c r="AA442" s="164">
        <v>0</v>
      </c>
      <c r="AB442" s="164">
        <v>-68</v>
      </c>
      <c r="AC442" s="164">
        <v>0</v>
      </c>
      <c r="AD442" s="164">
        <v>0</v>
      </c>
      <c r="AE442" s="164">
        <v>-151</v>
      </c>
      <c r="AF442" s="164">
        <v>0</v>
      </c>
      <c r="AG442" s="164">
        <v>0</v>
      </c>
      <c r="AH442" s="164">
        <v>-393</v>
      </c>
      <c r="AI442" s="164">
        <v>0</v>
      </c>
      <c r="AJ442" s="164">
        <v>-585</v>
      </c>
      <c r="AK442" s="164">
        <v>-645</v>
      </c>
      <c r="AL442" s="164">
        <v>-276</v>
      </c>
      <c r="AM442" s="164">
        <v>-855</v>
      </c>
      <c r="AN442" s="164">
        <v>0</v>
      </c>
      <c r="AO442" s="164">
        <v>-461</v>
      </c>
      <c r="AP442" s="164">
        <v>-242</v>
      </c>
      <c r="AQ442" s="164">
        <v>-333</v>
      </c>
      <c r="AR442" s="164">
        <v>-93</v>
      </c>
      <c r="AS442" s="164">
        <v>-547</v>
      </c>
      <c r="AT442" s="164">
        <v>0</v>
      </c>
      <c r="AU442" s="164">
        <v>-212</v>
      </c>
      <c r="AV442" s="164">
        <v>0</v>
      </c>
      <c r="AW442" s="171">
        <v>-89</v>
      </c>
      <c r="AX442" s="54">
        <v>0</v>
      </c>
      <c r="AY442" s="54">
        <v>0</v>
      </c>
      <c r="AZ442" s="54">
        <v>0</v>
      </c>
      <c r="BA442" s="54">
        <v>0</v>
      </c>
      <c r="BB442" s="54">
        <v>0</v>
      </c>
      <c r="BC442" s="54">
        <v>0</v>
      </c>
      <c r="BD442" s="54">
        <v>0</v>
      </c>
      <c r="BE442" s="54">
        <v>0</v>
      </c>
      <c r="BF442" s="54">
        <v>0</v>
      </c>
      <c r="BG442" s="54">
        <v>0</v>
      </c>
      <c r="BH442" s="54">
        <v>0</v>
      </c>
      <c r="BI442" s="54">
        <v>0</v>
      </c>
      <c r="BJ442" s="54">
        <v>0</v>
      </c>
      <c r="BK442" s="54">
        <v>0</v>
      </c>
      <c r="BL442" s="54">
        <v>0</v>
      </c>
      <c r="BM442" s="54">
        <v>0</v>
      </c>
      <c r="BN442" s="54">
        <v>0</v>
      </c>
      <c r="BO442" s="54">
        <v>0</v>
      </c>
      <c r="BP442" s="54">
        <v>0</v>
      </c>
      <c r="BQ442" s="54">
        <v>0</v>
      </c>
      <c r="BR442" s="55"/>
      <c r="BS442" s="53">
        <v>0</v>
      </c>
      <c r="BT442" s="53">
        <v>0</v>
      </c>
      <c r="BU442" s="53">
        <v>0</v>
      </c>
      <c r="BV442" s="53">
        <v>0</v>
      </c>
      <c r="BW442" s="53">
        <v>0</v>
      </c>
      <c r="BX442" s="53">
        <v>0</v>
      </c>
      <c r="BY442" s="53">
        <v>0</v>
      </c>
      <c r="BZ442" s="53">
        <v>0</v>
      </c>
      <c r="CA442" s="53">
        <v>0</v>
      </c>
      <c r="CB442" s="53">
        <v>0</v>
      </c>
      <c r="CC442" s="55">
        <v>0</v>
      </c>
      <c r="CD442" s="55">
        <v>0</v>
      </c>
      <c r="CE442" s="55">
        <v>0</v>
      </c>
      <c r="CF442" s="55">
        <v>0</v>
      </c>
      <c r="CG442" s="55">
        <v>0</v>
      </c>
      <c r="CH442" s="55">
        <v>0</v>
      </c>
      <c r="CI442" s="55">
        <v>0</v>
      </c>
      <c r="CJ442" s="55">
        <v>0</v>
      </c>
      <c r="CK442" s="55">
        <v>0</v>
      </c>
      <c r="CL442" s="55">
        <v>0</v>
      </c>
      <c r="CM442" s="55">
        <v>0</v>
      </c>
      <c r="CN442" s="55">
        <v>0</v>
      </c>
      <c r="CO442" s="55">
        <v>-68</v>
      </c>
      <c r="CP442" s="55">
        <v>-151</v>
      </c>
      <c r="CQ442" s="55">
        <v>0</v>
      </c>
      <c r="CR442" s="55">
        <v>-393</v>
      </c>
      <c r="CS442" s="55">
        <v>-1230</v>
      </c>
      <c r="CT442" s="55">
        <v>-1131</v>
      </c>
      <c r="CU442" s="55">
        <v>-461</v>
      </c>
      <c r="CV442" s="55">
        <v>-575</v>
      </c>
      <c r="CW442" s="55">
        <v>-640</v>
      </c>
      <c r="CX442" s="55">
        <v>-212</v>
      </c>
      <c r="CY442" s="56">
        <v>-89</v>
      </c>
      <c r="CZ442" s="55">
        <v>0</v>
      </c>
      <c r="DA442" s="55">
        <v>0</v>
      </c>
      <c r="DB442" s="55">
        <v>0</v>
      </c>
      <c r="DC442" s="55">
        <v>0</v>
      </c>
      <c r="DD442" s="55">
        <v>0</v>
      </c>
      <c r="DE442" s="55">
        <v>0</v>
      </c>
      <c r="DF442" s="55">
        <v>0</v>
      </c>
      <c r="DG442" s="55">
        <v>0</v>
      </c>
      <c r="DH442" s="55">
        <v>0</v>
      </c>
      <c r="DI442" s="55">
        <v>0</v>
      </c>
    </row>
    <row r="443" spans="1:113" s="24" customFormat="1" outlineLevel="1">
      <c r="A443" s="1" t="s">
        <v>1</v>
      </c>
      <c r="B443" s="24" t="s">
        <v>168</v>
      </c>
      <c r="C443" s="82">
        <v>-2585</v>
      </c>
      <c r="D443" s="82">
        <v>-2594</v>
      </c>
      <c r="E443" s="82">
        <v>-2607</v>
      </c>
      <c r="F443" s="82">
        <v>-2710</v>
      </c>
      <c r="G443" s="82">
        <v>-2841</v>
      </c>
      <c r="H443" s="82">
        <v>-3203</v>
      </c>
      <c r="I443" s="82">
        <v>-3046</v>
      </c>
      <c r="J443" s="82">
        <v>-2869</v>
      </c>
      <c r="K443" s="82">
        <v>-3000</v>
      </c>
      <c r="L443" s="82">
        <v>-2967</v>
      </c>
      <c r="M443" s="82">
        <v>-3027</v>
      </c>
      <c r="N443" s="82">
        <v>-3144</v>
      </c>
      <c r="O443" s="82">
        <v>-3283</v>
      </c>
      <c r="P443" s="82">
        <v>-3378</v>
      </c>
      <c r="Q443" s="82">
        <v>-3643</v>
      </c>
      <c r="R443" s="82">
        <v>-4008</v>
      </c>
      <c r="S443" s="82">
        <v>-4214</v>
      </c>
      <c r="T443" s="82">
        <v>-4268</v>
      </c>
      <c r="U443" s="82">
        <v>-4333</v>
      </c>
      <c r="V443" s="82">
        <v>-4408</v>
      </c>
      <c r="W443" s="82">
        <v>-4483</v>
      </c>
      <c r="X443" s="82">
        <v>-4602</v>
      </c>
      <c r="Y443" s="82">
        <v>-4594</v>
      </c>
      <c r="Z443" s="82">
        <v>-4467</v>
      </c>
      <c r="AA443" s="82">
        <v>-4543</v>
      </c>
      <c r="AB443" s="82">
        <v>-4751</v>
      </c>
      <c r="AC443" s="82">
        <v>-4748</v>
      </c>
      <c r="AD443" s="82">
        <v>-4914</v>
      </c>
      <c r="AE443" s="82">
        <v>-5079</v>
      </c>
      <c r="AF443" s="82">
        <v>-5210</v>
      </c>
      <c r="AG443" s="82">
        <v>-5224</v>
      </c>
      <c r="AH443" s="82">
        <v>-5474</v>
      </c>
      <c r="AI443" s="82">
        <v>-5195</v>
      </c>
      <c r="AJ443" s="82">
        <v>-5456</v>
      </c>
      <c r="AK443" s="82">
        <v>-5539</v>
      </c>
      <c r="AL443" s="82">
        <v>-5080.1434022539706</v>
      </c>
      <c r="AM443" s="82">
        <v>-5743.8565977460285</v>
      </c>
      <c r="AN443" s="82">
        <v>-5253</v>
      </c>
      <c r="AO443" s="82">
        <v>-5743</v>
      </c>
      <c r="AP443" s="82">
        <v>-5591</v>
      </c>
      <c r="AQ443" s="82">
        <v>-5768</v>
      </c>
      <c r="AR443" s="82">
        <v>-5490</v>
      </c>
      <c r="AS443" s="82">
        <v>-5938</v>
      </c>
      <c r="AT443" s="82">
        <v>-5773</v>
      </c>
      <c r="AU443" s="82">
        <v>-6085</v>
      </c>
      <c r="AV443" s="82">
        <v>-6011</v>
      </c>
      <c r="AW443" s="83">
        <v>-6207</v>
      </c>
      <c r="AX443" s="82">
        <v>-6292.0023209234369</v>
      </c>
      <c r="AY443" s="82">
        <v>-6283.1830516769151</v>
      </c>
      <c r="AZ443" s="82">
        <v>-6445.7909799131357</v>
      </c>
      <c r="BA443" s="82">
        <v>-6438.0618002647989</v>
      </c>
      <c r="BB443" s="82">
        <v>-6602.6304518517418</v>
      </c>
      <c r="BC443" s="82">
        <v>-6594.05474928476</v>
      </c>
      <c r="BD443" s="82">
        <v>-6723.532138291238</v>
      </c>
      <c r="BE443" s="82">
        <v>-6717.0497515197349</v>
      </c>
      <c r="BF443" s="82">
        <v>-6887.9782715579486</v>
      </c>
      <c r="BG443" s="82">
        <v>-6904.4278158823545</v>
      </c>
      <c r="BH443" s="82">
        <v>-7113.3890729740751</v>
      </c>
      <c r="BI443" s="82">
        <v>-7134.5395132618432</v>
      </c>
      <c r="BJ443" s="82">
        <v>-7350.6834690550222</v>
      </c>
      <c r="BK443" s="82">
        <v>-7387.5100919213792</v>
      </c>
      <c r="BL443" s="82">
        <v>-7595.5277747269174</v>
      </c>
      <c r="BM443" s="82">
        <v>-7668.0131772305813</v>
      </c>
      <c r="BN443" s="82">
        <v>-7853.3341125187853</v>
      </c>
      <c r="BO443" s="82">
        <v>-7846.9630752169796</v>
      </c>
      <c r="BP443" s="82">
        <v>-8053.89681065269</v>
      </c>
      <c r="BQ443" s="82">
        <v>-8046.5560630350701</v>
      </c>
      <c r="BR443" s="82"/>
      <c r="BS443" s="82">
        <v>-3149</v>
      </c>
      <c r="BT443" s="82">
        <v>-2954</v>
      </c>
      <c r="BU443" s="82">
        <v>-2884</v>
      </c>
      <c r="BV443" s="82">
        <v>-2943</v>
      </c>
      <c r="BW443" s="82">
        <v>-2863</v>
      </c>
      <c r="BX443" s="82">
        <v>-2924</v>
      </c>
      <c r="BY443" s="82">
        <v>-3039</v>
      </c>
      <c r="BZ443" s="82">
        <v>-3070</v>
      </c>
      <c r="CA443" s="82">
        <v>-3407</v>
      </c>
      <c r="CB443" s="82">
        <v>-5170</v>
      </c>
      <c r="CC443" s="82">
        <v>-5201</v>
      </c>
      <c r="CD443" s="82">
        <v>-5551</v>
      </c>
      <c r="CE443" s="82">
        <v>-6249</v>
      </c>
      <c r="CF443" s="82">
        <v>-5869</v>
      </c>
      <c r="CG443" s="82">
        <v>-5994</v>
      </c>
      <c r="CH443" s="82">
        <v>-6427</v>
      </c>
      <c r="CI443" s="82">
        <v>-7021</v>
      </c>
      <c r="CJ443" s="82">
        <v>-8222</v>
      </c>
      <c r="CK443" s="82">
        <v>-8601</v>
      </c>
      <c r="CL443" s="82">
        <v>-8891</v>
      </c>
      <c r="CM443" s="82">
        <v>-9196</v>
      </c>
      <c r="CN443" s="82">
        <v>-9010</v>
      </c>
      <c r="CO443" s="82">
        <v>-9499</v>
      </c>
      <c r="CP443" s="82">
        <v>-9993</v>
      </c>
      <c r="CQ443" s="82">
        <v>-10434</v>
      </c>
      <c r="CR443" s="82">
        <v>-10669</v>
      </c>
      <c r="CS443" s="82">
        <v>-10995</v>
      </c>
      <c r="CT443" s="82">
        <v>-10824</v>
      </c>
      <c r="CU443" s="82">
        <v>-10996</v>
      </c>
      <c r="CV443" s="82">
        <v>-11359</v>
      </c>
      <c r="CW443" s="82">
        <v>-11428</v>
      </c>
      <c r="CX443" s="82">
        <v>-11858</v>
      </c>
      <c r="CY443" s="83">
        <v>-12218</v>
      </c>
      <c r="CZ443" s="82">
        <v>-12575.185372600352</v>
      </c>
      <c r="DA443" s="82">
        <v>-12883.852780177935</v>
      </c>
      <c r="DB443" s="82">
        <v>-13196.685201136501</v>
      </c>
      <c r="DC443" s="82">
        <v>-13440.581889810972</v>
      </c>
      <c r="DD443" s="82">
        <v>-13792.406087440304</v>
      </c>
      <c r="DE443" s="82">
        <v>-14247.928586235917</v>
      </c>
      <c r="DF443" s="82">
        <v>-14738.1935609764</v>
      </c>
      <c r="DG443" s="82">
        <v>-15263.540951957499</v>
      </c>
      <c r="DH443" s="82">
        <v>-15700.297187735765</v>
      </c>
      <c r="DI443" s="82">
        <v>-16100.45287368776</v>
      </c>
    </row>
    <row r="444" spans="1:113" hidden="1" outlineLevel="2">
      <c r="A444" s="1" t="s">
        <v>2</v>
      </c>
      <c r="B444" s="19" t="s">
        <v>854</v>
      </c>
      <c r="C444" s="55">
        <v>0</v>
      </c>
      <c r="D444" s="55">
        <v>0</v>
      </c>
      <c r="E444" s="55">
        <v>0</v>
      </c>
      <c r="F444" s="55">
        <v>0</v>
      </c>
      <c r="G444" s="55">
        <v>0</v>
      </c>
      <c r="H444" s="55">
        <v>0</v>
      </c>
      <c r="I444" s="55">
        <v>0</v>
      </c>
      <c r="J444" s="55">
        <v>0</v>
      </c>
      <c r="K444" s="55">
        <v>0</v>
      </c>
      <c r="L444" s="55">
        <v>0</v>
      </c>
      <c r="M444" s="55">
        <v>0</v>
      </c>
      <c r="N444" s="55">
        <v>0</v>
      </c>
      <c r="O444" s="55">
        <v>0</v>
      </c>
      <c r="P444" s="55">
        <v>0</v>
      </c>
      <c r="Q444" s="55">
        <v>0</v>
      </c>
      <c r="R444" s="55">
        <v>0</v>
      </c>
      <c r="S444" s="55">
        <v>0</v>
      </c>
      <c r="T444" s="55">
        <v>0</v>
      </c>
      <c r="U444" s="55">
        <v>0</v>
      </c>
      <c r="V444" s="55">
        <v>0</v>
      </c>
      <c r="W444" s="55">
        <v>0</v>
      </c>
      <c r="X444" s="55">
        <v>0</v>
      </c>
      <c r="Y444" s="55">
        <v>0</v>
      </c>
      <c r="Z444" s="55">
        <v>0</v>
      </c>
      <c r="AA444" s="55">
        <v>0</v>
      </c>
      <c r="AB444" s="55">
        <v>0</v>
      </c>
      <c r="AC444" s="55">
        <v>0</v>
      </c>
      <c r="AD444" s="55">
        <v>0</v>
      </c>
      <c r="AE444" s="55">
        <v>0</v>
      </c>
      <c r="AF444" s="55">
        <v>0</v>
      </c>
      <c r="AG444" s="55">
        <v>0</v>
      </c>
      <c r="AH444" s="55">
        <v>0</v>
      </c>
      <c r="AI444" s="55">
        <v>0</v>
      </c>
      <c r="AJ444" s="55">
        <v>0</v>
      </c>
      <c r="AK444" s="55">
        <v>0</v>
      </c>
      <c r="AL444" s="55">
        <v>0</v>
      </c>
      <c r="AM444" s="55">
        <v>0</v>
      </c>
      <c r="AN444" s="55">
        <v>0</v>
      </c>
      <c r="AO444" s="55">
        <v>0</v>
      </c>
      <c r="AP444" s="55">
        <v>0</v>
      </c>
      <c r="AQ444" s="55">
        <v>0</v>
      </c>
      <c r="AR444" s="55">
        <v>0</v>
      </c>
      <c r="AS444" s="55">
        <v>0</v>
      </c>
      <c r="AT444" s="55">
        <v>0</v>
      </c>
      <c r="AU444" s="55">
        <v>0</v>
      </c>
      <c r="AV444" s="55">
        <v>0</v>
      </c>
      <c r="AW444" s="56">
        <v>0</v>
      </c>
      <c r="AX444" s="55">
        <v>0</v>
      </c>
      <c r="AY444" s="55">
        <v>0</v>
      </c>
      <c r="AZ444" s="55">
        <v>0</v>
      </c>
      <c r="BA444" s="55">
        <v>0</v>
      </c>
      <c r="BB444" s="55">
        <v>0</v>
      </c>
      <c r="BC444" s="55">
        <v>0</v>
      </c>
      <c r="BD444" s="55">
        <v>0</v>
      </c>
      <c r="BE444" s="55">
        <v>0</v>
      </c>
      <c r="BF444" s="55">
        <v>0</v>
      </c>
      <c r="BG444" s="55">
        <v>0</v>
      </c>
      <c r="BH444" s="55">
        <v>0</v>
      </c>
      <c r="BI444" s="55">
        <v>0</v>
      </c>
      <c r="BJ444" s="55">
        <v>0</v>
      </c>
      <c r="BK444" s="55">
        <v>0</v>
      </c>
      <c r="BL444" s="55">
        <v>0</v>
      </c>
      <c r="BM444" s="55">
        <v>0</v>
      </c>
      <c r="BN444" s="55">
        <v>0</v>
      </c>
      <c r="BO444" s="55">
        <v>0</v>
      </c>
      <c r="BP444" s="55">
        <v>0</v>
      </c>
      <c r="BQ444" s="55">
        <v>0</v>
      </c>
      <c r="BR444" s="55"/>
      <c r="BS444" s="55">
        <v>0</v>
      </c>
      <c r="BT444" s="55">
        <v>0</v>
      </c>
      <c r="BU444" s="55">
        <v>0</v>
      </c>
      <c r="BV444" s="55">
        <v>0</v>
      </c>
      <c r="BW444" s="55">
        <v>0</v>
      </c>
      <c r="BX444" s="55">
        <v>0</v>
      </c>
      <c r="BY444" s="55">
        <v>0</v>
      </c>
      <c r="BZ444" s="55">
        <v>0</v>
      </c>
      <c r="CA444" s="55">
        <v>0</v>
      </c>
      <c r="CB444" s="55">
        <v>0</v>
      </c>
      <c r="CC444" s="55">
        <v>0</v>
      </c>
      <c r="CD444" s="55">
        <v>0</v>
      </c>
      <c r="CE444" s="55">
        <v>0</v>
      </c>
      <c r="CF444" s="55">
        <v>0</v>
      </c>
      <c r="CG444" s="55">
        <v>0</v>
      </c>
      <c r="CH444" s="55">
        <v>0</v>
      </c>
      <c r="CI444" s="55">
        <v>0</v>
      </c>
      <c r="CJ444" s="55">
        <v>0</v>
      </c>
      <c r="CK444" s="55">
        <v>0</v>
      </c>
      <c r="CL444" s="55">
        <v>0</v>
      </c>
      <c r="CM444" s="55">
        <v>0</v>
      </c>
      <c r="CN444" s="55">
        <v>0</v>
      </c>
      <c r="CO444" s="55">
        <v>0</v>
      </c>
      <c r="CP444" s="55">
        <v>0</v>
      </c>
      <c r="CQ444" s="55">
        <v>0</v>
      </c>
      <c r="CR444" s="55">
        <v>0</v>
      </c>
      <c r="CS444" s="55">
        <v>0</v>
      </c>
      <c r="CT444" s="55">
        <v>0</v>
      </c>
      <c r="CU444" s="55">
        <v>0</v>
      </c>
      <c r="CV444" s="55">
        <v>0</v>
      </c>
      <c r="CW444" s="55">
        <v>0</v>
      </c>
      <c r="CX444" s="55">
        <v>0</v>
      </c>
      <c r="CY444" s="56">
        <v>0</v>
      </c>
      <c r="CZ444" s="55">
        <v>0</v>
      </c>
      <c r="DA444" s="55">
        <v>0</v>
      </c>
      <c r="DB444" s="55">
        <v>0</v>
      </c>
      <c r="DC444" s="55">
        <v>0</v>
      </c>
      <c r="DD444" s="55">
        <v>0</v>
      </c>
      <c r="DE444" s="55">
        <v>0</v>
      </c>
      <c r="DF444" s="55">
        <v>0</v>
      </c>
      <c r="DG444" s="55">
        <v>0</v>
      </c>
      <c r="DH444" s="55">
        <v>0</v>
      </c>
      <c r="DI444" s="55">
        <v>0</v>
      </c>
    </row>
    <row r="445" spans="1:113" hidden="1" outlineLevel="2">
      <c r="A445" s="1" t="s">
        <v>676</v>
      </c>
      <c r="B445" s="19" t="s">
        <v>445</v>
      </c>
      <c r="C445" s="55">
        <v>0</v>
      </c>
      <c r="D445" s="55">
        <v>0</v>
      </c>
      <c r="E445" s="55">
        <v>0</v>
      </c>
      <c r="F445" s="55">
        <v>0</v>
      </c>
      <c r="G445" s="55">
        <v>0</v>
      </c>
      <c r="H445" s="55">
        <v>0</v>
      </c>
      <c r="I445" s="55">
        <v>0</v>
      </c>
      <c r="J445" s="55">
        <v>0</v>
      </c>
      <c r="K445" s="55">
        <v>0</v>
      </c>
      <c r="L445" s="55">
        <v>0</v>
      </c>
      <c r="M445" s="55">
        <v>0</v>
      </c>
      <c r="N445" s="55">
        <v>0</v>
      </c>
      <c r="O445" s="55">
        <v>0</v>
      </c>
      <c r="P445" s="55">
        <v>0</v>
      </c>
      <c r="Q445" s="55">
        <v>0</v>
      </c>
      <c r="R445" s="55">
        <v>0</v>
      </c>
      <c r="S445" s="55">
        <v>0</v>
      </c>
      <c r="T445" s="55">
        <v>0</v>
      </c>
      <c r="U445" s="55">
        <v>0</v>
      </c>
      <c r="V445" s="55">
        <v>0</v>
      </c>
      <c r="W445" s="55">
        <v>0</v>
      </c>
      <c r="X445" s="55">
        <v>0</v>
      </c>
      <c r="Y445" s="55">
        <v>0</v>
      </c>
      <c r="Z445" s="55">
        <v>0</v>
      </c>
      <c r="AA445" s="55">
        <v>0</v>
      </c>
      <c r="AB445" s="55">
        <v>0</v>
      </c>
      <c r="AC445" s="55">
        <v>0</v>
      </c>
      <c r="AD445" s="55">
        <v>0</v>
      </c>
      <c r="AE445" s="55">
        <v>0</v>
      </c>
      <c r="AF445" s="55">
        <v>0</v>
      </c>
      <c r="AG445" s="55">
        <v>0</v>
      </c>
      <c r="AH445" s="55">
        <v>0</v>
      </c>
      <c r="AI445" s="55">
        <v>0</v>
      </c>
      <c r="AJ445" s="55">
        <v>0</v>
      </c>
      <c r="AK445" s="55">
        <v>0</v>
      </c>
      <c r="AL445" s="55">
        <v>0</v>
      </c>
      <c r="AM445" s="55">
        <v>0</v>
      </c>
      <c r="AN445" s="55">
        <v>0</v>
      </c>
      <c r="AO445" s="55">
        <v>0</v>
      </c>
      <c r="AP445" s="55">
        <v>0</v>
      </c>
      <c r="AQ445" s="55">
        <v>0</v>
      </c>
      <c r="AR445" s="55">
        <v>0</v>
      </c>
      <c r="AS445" s="55">
        <v>0</v>
      </c>
      <c r="AT445" s="55">
        <v>0</v>
      </c>
      <c r="AU445" s="55">
        <v>0</v>
      </c>
      <c r="AV445" s="55">
        <v>0</v>
      </c>
      <c r="AW445" s="56">
        <v>0</v>
      </c>
      <c r="AX445" s="55">
        <v>0</v>
      </c>
      <c r="AY445" s="55">
        <v>0</v>
      </c>
      <c r="AZ445" s="55">
        <v>0</v>
      </c>
      <c r="BA445" s="55">
        <v>0</v>
      </c>
      <c r="BB445" s="55">
        <v>0</v>
      </c>
      <c r="BC445" s="55">
        <v>0</v>
      </c>
      <c r="BD445" s="55">
        <v>0</v>
      </c>
      <c r="BE445" s="55">
        <v>0</v>
      </c>
      <c r="BF445" s="55">
        <v>0</v>
      </c>
      <c r="BG445" s="55">
        <v>0</v>
      </c>
      <c r="BH445" s="55">
        <v>0</v>
      </c>
      <c r="BI445" s="55">
        <v>0</v>
      </c>
      <c r="BJ445" s="55">
        <v>0</v>
      </c>
      <c r="BK445" s="55">
        <v>0</v>
      </c>
      <c r="BL445" s="55">
        <v>0</v>
      </c>
      <c r="BM445" s="55">
        <v>0</v>
      </c>
      <c r="BN445" s="55">
        <v>0</v>
      </c>
      <c r="BO445" s="55">
        <v>0</v>
      </c>
      <c r="BP445" s="55">
        <v>0</v>
      </c>
      <c r="BQ445" s="55">
        <v>0</v>
      </c>
      <c r="BR445" s="55"/>
      <c r="BS445" s="55">
        <v>0</v>
      </c>
      <c r="BT445" s="55">
        <v>0</v>
      </c>
      <c r="BU445" s="55">
        <v>0</v>
      </c>
      <c r="BV445" s="55">
        <v>0</v>
      </c>
      <c r="BW445" s="55">
        <v>0</v>
      </c>
      <c r="BX445" s="55">
        <v>0</v>
      </c>
      <c r="BY445" s="55">
        <v>0</v>
      </c>
      <c r="BZ445" s="55">
        <v>0</v>
      </c>
      <c r="CA445" s="55">
        <v>0</v>
      </c>
      <c r="CB445" s="55">
        <v>0</v>
      </c>
      <c r="CC445" s="55">
        <v>0</v>
      </c>
      <c r="CD445" s="55">
        <v>0</v>
      </c>
      <c r="CE445" s="55">
        <v>0</v>
      </c>
      <c r="CF445" s="55">
        <v>0</v>
      </c>
      <c r="CG445" s="55">
        <v>0</v>
      </c>
      <c r="CH445" s="55">
        <v>0</v>
      </c>
      <c r="CI445" s="55">
        <v>0</v>
      </c>
      <c r="CJ445" s="55">
        <v>0</v>
      </c>
      <c r="CK445" s="55">
        <v>0</v>
      </c>
      <c r="CL445" s="55">
        <v>0</v>
      </c>
      <c r="CM445" s="55">
        <v>0</v>
      </c>
      <c r="CN445" s="55">
        <v>0</v>
      </c>
      <c r="CO445" s="55">
        <v>0</v>
      </c>
      <c r="CP445" s="55">
        <v>0</v>
      </c>
      <c r="CQ445" s="55">
        <v>0</v>
      </c>
      <c r="CR445" s="55">
        <v>0</v>
      </c>
      <c r="CS445" s="55">
        <v>0</v>
      </c>
      <c r="CT445" s="55">
        <v>0</v>
      </c>
      <c r="CU445" s="55">
        <v>0</v>
      </c>
      <c r="CV445" s="55">
        <v>0</v>
      </c>
      <c r="CW445" s="55">
        <v>0</v>
      </c>
      <c r="CX445" s="55">
        <v>0</v>
      </c>
      <c r="CY445" s="56">
        <v>0</v>
      </c>
      <c r="CZ445" s="55">
        <v>0</v>
      </c>
      <c r="DA445" s="55">
        <v>0</v>
      </c>
      <c r="DB445" s="55">
        <v>0</v>
      </c>
      <c r="DC445" s="55">
        <v>0</v>
      </c>
      <c r="DD445" s="55">
        <v>0</v>
      </c>
      <c r="DE445" s="55">
        <v>0</v>
      </c>
      <c r="DF445" s="55">
        <v>0</v>
      </c>
      <c r="DG445" s="55">
        <v>0</v>
      </c>
      <c r="DH445" s="55">
        <v>0</v>
      </c>
      <c r="DI445" s="55">
        <v>0</v>
      </c>
    </row>
    <row r="446" spans="1:113" hidden="1" outlineLevel="2">
      <c r="A446" s="1" t="s">
        <v>3</v>
      </c>
      <c r="B446" s="19" t="s">
        <v>370</v>
      </c>
      <c r="C446" s="53"/>
      <c r="D446" s="53"/>
      <c r="E446" s="53"/>
      <c r="F446" s="53"/>
      <c r="G446" s="53"/>
      <c r="H446" s="53"/>
      <c r="I446" s="53"/>
      <c r="J446" s="53"/>
      <c r="K446" s="53"/>
      <c r="L446" s="53">
        <v>0</v>
      </c>
      <c r="M446" s="53">
        <v>0</v>
      </c>
      <c r="N446" s="53">
        <v>0</v>
      </c>
      <c r="O446" s="53">
        <v>0</v>
      </c>
      <c r="P446" s="53">
        <v>0</v>
      </c>
      <c r="Q446" s="53">
        <v>0</v>
      </c>
      <c r="R446" s="53">
        <v>0</v>
      </c>
      <c r="S446" s="53">
        <v>0</v>
      </c>
      <c r="T446" s="53">
        <v>0</v>
      </c>
      <c r="U446" s="53">
        <v>0</v>
      </c>
      <c r="V446" s="53">
        <v>0</v>
      </c>
      <c r="W446" s="53">
        <v>0</v>
      </c>
      <c r="X446" s="53">
        <v>0</v>
      </c>
      <c r="Y446" s="53">
        <v>0</v>
      </c>
      <c r="Z446" s="53">
        <v>0</v>
      </c>
      <c r="AA446" s="164">
        <v>0</v>
      </c>
      <c r="AB446" s="164">
        <v>0</v>
      </c>
      <c r="AC446" s="164">
        <v>0</v>
      </c>
      <c r="AD446" s="164">
        <v>0</v>
      </c>
      <c r="AE446" s="164">
        <v>0</v>
      </c>
      <c r="AF446" s="164">
        <v>0</v>
      </c>
      <c r="AG446" s="164">
        <v>0</v>
      </c>
      <c r="AH446" s="164">
        <v>0</v>
      </c>
      <c r="AI446" s="164">
        <v>0</v>
      </c>
      <c r="AJ446" s="164">
        <v>0</v>
      </c>
      <c r="AK446" s="164">
        <v>0</v>
      </c>
      <c r="AL446" s="164">
        <v>0</v>
      </c>
      <c r="AM446" s="164">
        <v>0</v>
      </c>
      <c r="AN446" s="164">
        <v>0</v>
      </c>
      <c r="AO446" s="164">
        <v>0</v>
      </c>
      <c r="AP446" s="164">
        <v>0</v>
      </c>
      <c r="AQ446" s="164">
        <v>0</v>
      </c>
      <c r="AR446" s="164">
        <v>0</v>
      </c>
      <c r="AS446" s="164">
        <v>0</v>
      </c>
      <c r="AT446" s="164">
        <v>0</v>
      </c>
      <c r="AU446" s="164">
        <v>0</v>
      </c>
      <c r="AV446" s="164">
        <v>0</v>
      </c>
      <c r="AW446" s="171">
        <v>0</v>
      </c>
      <c r="AX446" s="54">
        <v>0</v>
      </c>
      <c r="AY446" s="54">
        <v>0</v>
      </c>
      <c r="AZ446" s="54">
        <v>0</v>
      </c>
      <c r="BA446" s="54">
        <v>0</v>
      </c>
      <c r="BB446" s="54">
        <v>0</v>
      </c>
      <c r="BC446" s="54">
        <v>0</v>
      </c>
      <c r="BD446" s="54">
        <v>0</v>
      </c>
      <c r="BE446" s="54">
        <v>0</v>
      </c>
      <c r="BF446" s="54">
        <v>0</v>
      </c>
      <c r="BG446" s="54">
        <v>0</v>
      </c>
      <c r="BH446" s="54">
        <v>0</v>
      </c>
      <c r="BI446" s="54">
        <v>0</v>
      </c>
      <c r="BJ446" s="54">
        <v>0</v>
      </c>
      <c r="BK446" s="54">
        <v>0</v>
      </c>
      <c r="BL446" s="54">
        <v>0</v>
      </c>
      <c r="BM446" s="54">
        <v>0</v>
      </c>
      <c r="BN446" s="54">
        <v>0</v>
      </c>
      <c r="BO446" s="54">
        <v>0</v>
      </c>
      <c r="BP446" s="54">
        <v>0</v>
      </c>
      <c r="BQ446" s="54">
        <v>0</v>
      </c>
      <c r="BR446" s="55"/>
      <c r="BS446" s="53">
        <v>0</v>
      </c>
      <c r="BT446" s="53">
        <v>0</v>
      </c>
      <c r="BU446" s="53">
        <v>0</v>
      </c>
      <c r="BV446" s="53">
        <v>0</v>
      </c>
      <c r="BW446" s="53">
        <v>0</v>
      </c>
      <c r="BX446" s="53">
        <v>0</v>
      </c>
      <c r="BY446" s="53">
        <v>0</v>
      </c>
      <c r="BZ446" s="53">
        <v>0</v>
      </c>
      <c r="CA446" s="53">
        <v>0</v>
      </c>
      <c r="CB446" s="53">
        <v>0</v>
      </c>
      <c r="CC446" s="55">
        <v>0</v>
      </c>
      <c r="CD446" s="55">
        <v>0</v>
      </c>
      <c r="CE446" s="55">
        <v>0</v>
      </c>
      <c r="CF446" s="55">
        <v>0</v>
      </c>
      <c r="CG446" s="55">
        <v>0</v>
      </c>
      <c r="CH446" s="55">
        <v>0</v>
      </c>
      <c r="CI446" s="55">
        <v>0</v>
      </c>
      <c r="CJ446" s="55">
        <v>0</v>
      </c>
      <c r="CK446" s="55">
        <v>0</v>
      </c>
      <c r="CL446" s="55">
        <v>0</v>
      </c>
      <c r="CM446" s="55">
        <v>0</v>
      </c>
      <c r="CN446" s="55">
        <v>0</v>
      </c>
      <c r="CO446" s="55">
        <v>0</v>
      </c>
      <c r="CP446" s="55">
        <v>0</v>
      </c>
      <c r="CQ446" s="55">
        <v>0</v>
      </c>
      <c r="CR446" s="55">
        <v>0</v>
      </c>
      <c r="CS446" s="55">
        <v>0</v>
      </c>
      <c r="CT446" s="55">
        <v>0</v>
      </c>
      <c r="CU446" s="55">
        <v>0</v>
      </c>
      <c r="CV446" s="55">
        <v>0</v>
      </c>
      <c r="CW446" s="55">
        <v>0</v>
      </c>
      <c r="CX446" s="55">
        <v>0</v>
      </c>
      <c r="CY446" s="56">
        <v>0</v>
      </c>
      <c r="CZ446" s="55">
        <v>0</v>
      </c>
      <c r="DA446" s="55">
        <v>0</v>
      </c>
      <c r="DB446" s="55">
        <v>0</v>
      </c>
      <c r="DC446" s="55">
        <v>0</v>
      </c>
      <c r="DD446" s="55">
        <v>0</v>
      </c>
      <c r="DE446" s="55">
        <v>0</v>
      </c>
      <c r="DF446" s="55">
        <v>0</v>
      </c>
      <c r="DG446" s="55">
        <v>0</v>
      </c>
      <c r="DH446" s="55">
        <v>0</v>
      </c>
      <c r="DI446" s="55">
        <v>0</v>
      </c>
    </row>
    <row r="447" spans="1:113" hidden="1" outlineLevel="2">
      <c r="A447" s="1" t="s">
        <v>4</v>
      </c>
      <c r="B447" s="19" t="s">
        <v>360</v>
      </c>
      <c r="C447" s="53"/>
      <c r="D447" s="53"/>
      <c r="E447" s="53"/>
      <c r="F447" s="53"/>
      <c r="G447" s="53"/>
      <c r="H447" s="53"/>
      <c r="I447" s="53"/>
      <c r="J447" s="53"/>
      <c r="K447" s="53"/>
      <c r="L447" s="53">
        <v>0</v>
      </c>
      <c r="M447" s="53">
        <v>0</v>
      </c>
      <c r="N447" s="53">
        <v>0</v>
      </c>
      <c r="O447" s="53">
        <v>0</v>
      </c>
      <c r="P447" s="53">
        <v>0</v>
      </c>
      <c r="Q447" s="53">
        <v>0</v>
      </c>
      <c r="R447" s="53">
        <v>0</v>
      </c>
      <c r="S447" s="53">
        <v>0</v>
      </c>
      <c r="T447" s="53">
        <v>0</v>
      </c>
      <c r="U447" s="53">
        <v>0</v>
      </c>
      <c r="V447" s="53">
        <v>0</v>
      </c>
      <c r="W447" s="53">
        <v>0</v>
      </c>
      <c r="X447" s="53">
        <v>0</v>
      </c>
      <c r="Y447" s="53">
        <v>0</v>
      </c>
      <c r="Z447" s="53">
        <v>0</v>
      </c>
      <c r="AA447" s="164">
        <v>0</v>
      </c>
      <c r="AB447" s="164">
        <v>0</v>
      </c>
      <c r="AC447" s="164">
        <v>0</v>
      </c>
      <c r="AD447" s="164">
        <v>0</v>
      </c>
      <c r="AE447" s="164">
        <v>0</v>
      </c>
      <c r="AF447" s="164">
        <v>0</v>
      </c>
      <c r="AG447" s="164">
        <v>0</v>
      </c>
      <c r="AH447" s="164">
        <v>0</v>
      </c>
      <c r="AI447" s="164">
        <v>0</v>
      </c>
      <c r="AJ447" s="164">
        <v>0</v>
      </c>
      <c r="AK447" s="164">
        <v>0</v>
      </c>
      <c r="AL447" s="164">
        <v>0</v>
      </c>
      <c r="AM447" s="164">
        <v>0</v>
      </c>
      <c r="AN447" s="164">
        <v>0</v>
      </c>
      <c r="AO447" s="164">
        <v>0</v>
      </c>
      <c r="AP447" s="164">
        <v>0</v>
      </c>
      <c r="AQ447" s="164">
        <v>0</v>
      </c>
      <c r="AR447" s="164">
        <v>0</v>
      </c>
      <c r="AS447" s="164">
        <v>0</v>
      </c>
      <c r="AT447" s="164">
        <v>0</v>
      </c>
      <c r="AU447" s="164">
        <v>0</v>
      </c>
      <c r="AV447" s="164">
        <v>0</v>
      </c>
      <c r="AW447" s="171">
        <v>0</v>
      </c>
      <c r="AX447" s="54">
        <v>0</v>
      </c>
      <c r="AY447" s="54">
        <v>0</v>
      </c>
      <c r="AZ447" s="54">
        <v>0</v>
      </c>
      <c r="BA447" s="54">
        <v>0</v>
      </c>
      <c r="BB447" s="54">
        <v>0</v>
      </c>
      <c r="BC447" s="54">
        <v>0</v>
      </c>
      <c r="BD447" s="54">
        <v>0</v>
      </c>
      <c r="BE447" s="54">
        <v>0</v>
      </c>
      <c r="BF447" s="54">
        <v>0</v>
      </c>
      <c r="BG447" s="54">
        <v>0</v>
      </c>
      <c r="BH447" s="54">
        <v>0</v>
      </c>
      <c r="BI447" s="54">
        <v>0</v>
      </c>
      <c r="BJ447" s="54">
        <v>0</v>
      </c>
      <c r="BK447" s="54">
        <v>0</v>
      </c>
      <c r="BL447" s="54">
        <v>0</v>
      </c>
      <c r="BM447" s="54">
        <v>0</v>
      </c>
      <c r="BN447" s="54">
        <v>0</v>
      </c>
      <c r="BO447" s="54">
        <v>0</v>
      </c>
      <c r="BP447" s="54">
        <v>0</v>
      </c>
      <c r="BQ447" s="54">
        <v>0</v>
      </c>
      <c r="BR447" s="55"/>
      <c r="BS447" s="53">
        <v>0</v>
      </c>
      <c r="BT447" s="53">
        <v>0</v>
      </c>
      <c r="BU447" s="53">
        <v>0</v>
      </c>
      <c r="BV447" s="53">
        <v>0</v>
      </c>
      <c r="BW447" s="53">
        <v>0</v>
      </c>
      <c r="BX447" s="53">
        <v>0</v>
      </c>
      <c r="BY447" s="53">
        <v>0</v>
      </c>
      <c r="BZ447" s="53">
        <v>0</v>
      </c>
      <c r="CA447" s="53">
        <v>0</v>
      </c>
      <c r="CB447" s="53">
        <v>0</v>
      </c>
      <c r="CC447" s="55">
        <v>0</v>
      </c>
      <c r="CD447" s="55">
        <v>0</v>
      </c>
      <c r="CE447" s="55">
        <v>0</v>
      </c>
      <c r="CF447" s="55">
        <v>0</v>
      </c>
      <c r="CG447" s="55">
        <v>0</v>
      </c>
      <c r="CH447" s="55">
        <v>0</v>
      </c>
      <c r="CI447" s="55">
        <v>0</v>
      </c>
      <c r="CJ447" s="55">
        <v>0</v>
      </c>
      <c r="CK447" s="55">
        <v>0</v>
      </c>
      <c r="CL447" s="55">
        <v>0</v>
      </c>
      <c r="CM447" s="55">
        <v>0</v>
      </c>
      <c r="CN447" s="55">
        <v>0</v>
      </c>
      <c r="CO447" s="55">
        <v>0</v>
      </c>
      <c r="CP447" s="55">
        <v>0</v>
      </c>
      <c r="CQ447" s="55">
        <v>0</v>
      </c>
      <c r="CR447" s="55">
        <v>0</v>
      </c>
      <c r="CS447" s="55">
        <v>0</v>
      </c>
      <c r="CT447" s="55">
        <v>0</v>
      </c>
      <c r="CU447" s="55">
        <v>0</v>
      </c>
      <c r="CV447" s="55">
        <v>0</v>
      </c>
      <c r="CW447" s="55">
        <v>0</v>
      </c>
      <c r="CX447" s="55">
        <v>0</v>
      </c>
      <c r="CY447" s="56">
        <v>0</v>
      </c>
      <c r="CZ447" s="55">
        <v>0</v>
      </c>
      <c r="DA447" s="55">
        <v>0</v>
      </c>
      <c r="DB447" s="55">
        <v>0</v>
      </c>
      <c r="DC447" s="55">
        <v>0</v>
      </c>
      <c r="DD447" s="55">
        <v>0</v>
      </c>
      <c r="DE447" s="55">
        <v>0</v>
      </c>
      <c r="DF447" s="55">
        <v>0</v>
      </c>
      <c r="DG447" s="55">
        <v>0</v>
      </c>
      <c r="DH447" s="55">
        <v>0</v>
      </c>
      <c r="DI447" s="55">
        <v>0</v>
      </c>
    </row>
    <row r="448" spans="1:113" hidden="1" outlineLevel="2">
      <c r="A448" s="1" t="s">
        <v>5</v>
      </c>
      <c r="B448" s="19" t="s">
        <v>423</v>
      </c>
      <c r="C448" s="53"/>
      <c r="D448" s="53"/>
      <c r="E448" s="53"/>
      <c r="F448" s="53"/>
      <c r="G448" s="53"/>
      <c r="H448" s="53"/>
      <c r="I448" s="53"/>
      <c r="J448" s="53"/>
      <c r="K448" s="53"/>
      <c r="L448" s="53">
        <v>0</v>
      </c>
      <c r="M448" s="53">
        <v>0</v>
      </c>
      <c r="N448" s="53">
        <v>0</v>
      </c>
      <c r="O448" s="53">
        <v>0</v>
      </c>
      <c r="P448" s="53">
        <v>0</v>
      </c>
      <c r="Q448" s="53">
        <v>0</v>
      </c>
      <c r="R448" s="53">
        <v>0</v>
      </c>
      <c r="S448" s="53">
        <v>0</v>
      </c>
      <c r="T448" s="53">
        <v>0</v>
      </c>
      <c r="U448" s="53">
        <v>0</v>
      </c>
      <c r="V448" s="53">
        <v>0</v>
      </c>
      <c r="W448" s="53">
        <v>0</v>
      </c>
      <c r="X448" s="53">
        <v>0</v>
      </c>
      <c r="Y448" s="53">
        <v>0</v>
      </c>
      <c r="Z448" s="53">
        <v>0</v>
      </c>
      <c r="AA448" s="164">
        <v>0</v>
      </c>
      <c r="AB448" s="164">
        <v>0</v>
      </c>
      <c r="AC448" s="164">
        <v>0</v>
      </c>
      <c r="AD448" s="164">
        <v>0</v>
      </c>
      <c r="AE448" s="164">
        <v>0</v>
      </c>
      <c r="AF448" s="164">
        <v>0</v>
      </c>
      <c r="AG448" s="164">
        <v>0</v>
      </c>
      <c r="AH448" s="164">
        <v>0</v>
      </c>
      <c r="AI448" s="164">
        <v>0</v>
      </c>
      <c r="AJ448" s="164">
        <v>0</v>
      </c>
      <c r="AK448" s="164">
        <v>0</v>
      </c>
      <c r="AL448" s="164">
        <v>0</v>
      </c>
      <c r="AM448" s="164">
        <v>0</v>
      </c>
      <c r="AN448" s="164">
        <v>0</v>
      </c>
      <c r="AO448" s="164">
        <v>0</v>
      </c>
      <c r="AP448" s="164">
        <v>0</v>
      </c>
      <c r="AQ448" s="164">
        <v>0</v>
      </c>
      <c r="AR448" s="164">
        <v>0</v>
      </c>
      <c r="AS448" s="164">
        <v>0</v>
      </c>
      <c r="AT448" s="164">
        <v>0</v>
      </c>
      <c r="AU448" s="164">
        <v>0</v>
      </c>
      <c r="AV448" s="164">
        <v>0</v>
      </c>
      <c r="AW448" s="171">
        <v>0</v>
      </c>
      <c r="AX448" s="54">
        <v>0</v>
      </c>
      <c r="AY448" s="54">
        <v>0</v>
      </c>
      <c r="AZ448" s="54">
        <v>0</v>
      </c>
      <c r="BA448" s="54">
        <v>0</v>
      </c>
      <c r="BB448" s="54">
        <v>0</v>
      </c>
      <c r="BC448" s="54">
        <v>0</v>
      </c>
      <c r="BD448" s="54">
        <v>0</v>
      </c>
      <c r="BE448" s="54">
        <v>0</v>
      </c>
      <c r="BF448" s="54">
        <v>0</v>
      </c>
      <c r="BG448" s="54">
        <v>0</v>
      </c>
      <c r="BH448" s="54">
        <v>0</v>
      </c>
      <c r="BI448" s="54">
        <v>0</v>
      </c>
      <c r="BJ448" s="54">
        <v>0</v>
      </c>
      <c r="BK448" s="54">
        <v>0</v>
      </c>
      <c r="BL448" s="54">
        <v>0</v>
      </c>
      <c r="BM448" s="54">
        <v>0</v>
      </c>
      <c r="BN448" s="54">
        <v>0</v>
      </c>
      <c r="BO448" s="54">
        <v>0</v>
      </c>
      <c r="BP448" s="54">
        <v>0</v>
      </c>
      <c r="BQ448" s="54">
        <v>0</v>
      </c>
      <c r="BR448" s="55"/>
      <c r="BS448" s="53">
        <v>0</v>
      </c>
      <c r="BT448" s="53">
        <v>0</v>
      </c>
      <c r="BU448" s="53">
        <v>0</v>
      </c>
      <c r="BV448" s="53">
        <v>0</v>
      </c>
      <c r="BW448" s="53">
        <v>0</v>
      </c>
      <c r="BX448" s="53">
        <v>0</v>
      </c>
      <c r="BY448" s="53">
        <v>0</v>
      </c>
      <c r="BZ448" s="53">
        <v>0</v>
      </c>
      <c r="CA448" s="53">
        <v>0</v>
      </c>
      <c r="CB448" s="53">
        <v>0</v>
      </c>
      <c r="CC448" s="55">
        <v>0</v>
      </c>
      <c r="CD448" s="55">
        <v>0</v>
      </c>
      <c r="CE448" s="55">
        <v>0</v>
      </c>
      <c r="CF448" s="55">
        <v>0</v>
      </c>
      <c r="CG448" s="55">
        <v>0</v>
      </c>
      <c r="CH448" s="55">
        <v>0</v>
      </c>
      <c r="CI448" s="55">
        <v>0</v>
      </c>
      <c r="CJ448" s="55">
        <v>0</v>
      </c>
      <c r="CK448" s="55">
        <v>0</v>
      </c>
      <c r="CL448" s="55">
        <v>0</v>
      </c>
      <c r="CM448" s="55">
        <v>0</v>
      </c>
      <c r="CN448" s="55">
        <v>0</v>
      </c>
      <c r="CO448" s="55">
        <v>0</v>
      </c>
      <c r="CP448" s="55">
        <v>0</v>
      </c>
      <c r="CQ448" s="55">
        <v>0</v>
      </c>
      <c r="CR448" s="55">
        <v>0</v>
      </c>
      <c r="CS448" s="55">
        <v>0</v>
      </c>
      <c r="CT448" s="55">
        <v>0</v>
      </c>
      <c r="CU448" s="55">
        <v>0</v>
      </c>
      <c r="CV448" s="55">
        <v>0</v>
      </c>
      <c r="CW448" s="55">
        <v>0</v>
      </c>
      <c r="CX448" s="55">
        <v>0</v>
      </c>
      <c r="CY448" s="56">
        <v>0</v>
      </c>
      <c r="CZ448" s="55">
        <v>0</v>
      </c>
      <c r="DA448" s="55">
        <v>0</v>
      </c>
      <c r="DB448" s="55">
        <v>0</v>
      </c>
      <c r="DC448" s="55">
        <v>0</v>
      </c>
      <c r="DD448" s="55">
        <v>0</v>
      </c>
      <c r="DE448" s="55">
        <v>0</v>
      </c>
      <c r="DF448" s="55">
        <v>0</v>
      </c>
      <c r="DG448" s="55">
        <v>0</v>
      </c>
      <c r="DH448" s="55">
        <v>0</v>
      </c>
      <c r="DI448" s="55">
        <v>0</v>
      </c>
    </row>
    <row r="449" spans="1:113" s="24" customFormat="1" hidden="1" outlineLevel="2">
      <c r="A449" s="1" t="s">
        <v>84</v>
      </c>
      <c r="B449" s="24" t="s">
        <v>451</v>
      </c>
      <c r="C449" s="81">
        <v>-2585</v>
      </c>
      <c r="D449" s="81">
        <v>-2594</v>
      </c>
      <c r="E449" s="81">
        <v>-2607</v>
      </c>
      <c r="F449" s="81">
        <v>-2710</v>
      </c>
      <c r="G449" s="81">
        <v>-2841</v>
      </c>
      <c r="H449" s="81">
        <v>-3203</v>
      </c>
      <c r="I449" s="81">
        <v>-3046</v>
      </c>
      <c r="J449" s="81">
        <v>-2869</v>
      </c>
      <c r="K449" s="81">
        <v>-3000</v>
      </c>
      <c r="L449" s="81">
        <v>-2967</v>
      </c>
      <c r="M449" s="81">
        <v>-3027</v>
      </c>
      <c r="N449" s="81">
        <v>-3144</v>
      </c>
      <c r="O449" s="81">
        <v>-3283</v>
      </c>
      <c r="P449" s="81">
        <v>-3378</v>
      </c>
      <c r="Q449" s="81">
        <v>-3643</v>
      </c>
      <c r="R449" s="81">
        <v>-4008</v>
      </c>
      <c r="S449" s="81">
        <v>-4214</v>
      </c>
      <c r="T449" s="81">
        <v>-4268</v>
      </c>
      <c r="U449" s="81">
        <v>-4333</v>
      </c>
      <c r="V449" s="81">
        <v>-4408</v>
      </c>
      <c r="W449" s="81">
        <v>-4483</v>
      </c>
      <c r="X449" s="81">
        <v>-4602</v>
      </c>
      <c r="Y449" s="81">
        <v>-4594</v>
      </c>
      <c r="Z449" s="81">
        <v>-4467</v>
      </c>
      <c r="AA449" s="166">
        <v>-4543</v>
      </c>
      <c r="AB449" s="166">
        <v>-4751</v>
      </c>
      <c r="AC449" s="166">
        <v>-4748</v>
      </c>
      <c r="AD449" s="166">
        <v>-4914</v>
      </c>
      <c r="AE449" s="166">
        <v>-5079</v>
      </c>
      <c r="AF449" s="166">
        <v>-5210</v>
      </c>
      <c r="AG449" s="166">
        <v>-5224</v>
      </c>
      <c r="AH449" s="166">
        <v>-5474</v>
      </c>
      <c r="AI449" s="166">
        <v>-5195</v>
      </c>
      <c r="AJ449" s="166">
        <v>-5456</v>
      </c>
      <c r="AK449" s="166">
        <v>-5539</v>
      </c>
      <c r="AL449" s="166">
        <v>-5080.1434022539706</v>
      </c>
      <c r="AM449" s="166">
        <v>-5743.8565977460285</v>
      </c>
      <c r="AN449" s="166">
        <v>-5253</v>
      </c>
      <c r="AO449" s="166">
        <v>-5743</v>
      </c>
      <c r="AP449" s="166">
        <v>-5591</v>
      </c>
      <c r="AQ449" s="166">
        <v>-5768</v>
      </c>
      <c r="AR449" s="166">
        <v>-5490</v>
      </c>
      <c r="AS449" s="166">
        <v>-5938</v>
      </c>
      <c r="AT449" s="166">
        <v>-5773</v>
      </c>
      <c r="AU449" s="166">
        <v>-6085</v>
      </c>
      <c r="AV449" s="166">
        <v>-6011</v>
      </c>
      <c r="AW449" s="167">
        <v>-6207</v>
      </c>
      <c r="AX449" s="82">
        <v>-6292.0023209234369</v>
      </c>
      <c r="AY449" s="82">
        <v>-6283.1830516769151</v>
      </c>
      <c r="AZ449" s="82">
        <v>-6445.7909799131357</v>
      </c>
      <c r="BA449" s="82">
        <v>-6438.0618002647989</v>
      </c>
      <c r="BB449" s="82">
        <v>-6602.6304518517418</v>
      </c>
      <c r="BC449" s="82">
        <v>-6594.05474928476</v>
      </c>
      <c r="BD449" s="82">
        <v>-6723.532138291238</v>
      </c>
      <c r="BE449" s="82">
        <v>-6717.0497515197349</v>
      </c>
      <c r="BF449" s="82">
        <v>-6887.9782715579486</v>
      </c>
      <c r="BG449" s="82">
        <v>-6904.4278158823545</v>
      </c>
      <c r="BH449" s="82">
        <v>-7113.3890729740751</v>
      </c>
      <c r="BI449" s="82">
        <v>-7134.5395132618432</v>
      </c>
      <c r="BJ449" s="82">
        <v>-7350.6834690550222</v>
      </c>
      <c r="BK449" s="82">
        <v>-7387.5100919213792</v>
      </c>
      <c r="BL449" s="82">
        <v>-7595.5277747269174</v>
      </c>
      <c r="BM449" s="82">
        <v>-7668.0131772305813</v>
      </c>
      <c r="BN449" s="82">
        <v>-7853.3341125187853</v>
      </c>
      <c r="BO449" s="82">
        <v>-7846.9630752169796</v>
      </c>
      <c r="BP449" s="82">
        <v>-8053.89681065269</v>
      </c>
      <c r="BQ449" s="82">
        <v>-8046.5560630350701</v>
      </c>
      <c r="BR449" s="82"/>
      <c r="BS449" s="81">
        <v>-3149</v>
      </c>
      <c r="BT449" s="81">
        <v>-2954</v>
      </c>
      <c r="BU449" s="81">
        <v>-2884</v>
      </c>
      <c r="BV449" s="81">
        <v>-2943</v>
      </c>
      <c r="BW449" s="81">
        <v>-2863</v>
      </c>
      <c r="BX449" s="81">
        <v>-2924</v>
      </c>
      <c r="BY449" s="81">
        <v>-3039</v>
      </c>
      <c r="BZ449" s="81">
        <v>-3070</v>
      </c>
      <c r="CA449" s="81">
        <v>-3407</v>
      </c>
      <c r="CB449" s="81">
        <v>-5170</v>
      </c>
      <c r="CC449" s="82">
        <v>-5201</v>
      </c>
      <c r="CD449" s="82">
        <v>-5551</v>
      </c>
      <c r="CE449" s="82">
        <v>-6249</v>
      </c>
      <c r="CF449" s="82">
        <v>-5869</v>
      </c>
      <c r="CG449" s="82">
        <v>-5994</v>
      </c>
      <c r="CH449" s="82">
        <v>-6427</v>
      </c>
      <c r="CI449" s="82">
        <v>-7021</v>
      </c>
      <c r="CJ449" s="82">
        <v>-8222</v>
      </c>
      <c r="CK449" s="82">
        <v>-8601</v>
      </c>
      <c r="CL449" s="82">
        <v>-8891</v>
      </c>
      <c r="CM449" s="82">
        <v>-9196</v>
      </c>
      <c r="CN449" s="82">
        <v>-9010</v>
      </c>
      <c r="CO449" s="82">
        <v>-9499</v>
      </c>
      <c r="CP449" s="82">
        <v>-9993</v>
      </c>
      <c r="CQ449" s="82">
        <v>-10434</v>
      </c>
      <c r="CR449" s="82">
        <v>-10669</v>
      </c>
      <c r="CS449" s="82">
        <v>-10995</v>
      </c>
      <c r="CT449" s="82">
        <v>-10824</v>
      </c>
      <c r="CU449" s="82">
        <v>-10996</v>
      </c>
      <c r="CV449" s="82">
        <v>-11359</v>
      </c>
      <c r="CW449" s="82">
        <v>-11428</v>
      </c>
      <c r="CX449" s="82">
        <v>-11858</v>
      </c>
      <c r="CY449" s="83">
        <v>-12218</v>
      </c>
      <c r="CZ449" s="82">
        <v>-12575.185372600352</v>
      </c>
      <c r="DA449" s="82">
        <v>-12883.852780177935</v>
      </c>
      <c r="DB449" s="82">
        <v>-13196.685201136501</v>
      </c>
      <c r="DC449" s="82">
        <v>-13440.581889810972</v>
      </c>
      <c r="DD449" s="82">
        <v>-13792.406087440304</v>
      </c>
      <c r="DE449" s="82">
        <v>-14247.928586235917</v>
      </c>
      <c r="DF449" s="82">
        <v>-14738.1935609764</v>
      </c>
      <c r="DG449" s="82">
        <v>-15263.540951957499</v>
      </c>
      <c r="DH449" s="82">
        <v>-15700.297187735765</v>
      </c>
      <c r="DI449" s="82">
        <v>-16100.45287368776</v>
      </c>
    </row>
    <row r="450" spans="1:113" hidden="1" outlineLevel="2">
      <c r="A450" s="1" t="s">
        <v>85</v>
      </c>
      <c r="B450" s="19" t="s">
        <v>526</v>
      </c>
      <c r="C450" s="55">
        <v>0</v>
      </c>
      <c r="D450" s="55">
        <v>0</v>
      </c>
      <c r="E450" s="55">
        <v>0</v>
      </c>
      <c r="F450" s="55">
        <v>0</v>
      </c>
      <c r="G450" s="55">
        <v>0</v>
      </c>
      <c r="H450" s="55">
        <v>0</v>
      </c>
      <c r="I450" s="55">
        <v>0</v>
      </c>
      <c r="J450" s="55">
        <v>-40</v>
      </c>
      <c r="K450" s="55">
        <v>-35</v>
      </c>
      <c r="L450" s="55">
        <v>-27</v>
      </c>
      <c r="M450" s="55">
        <v>8</v>
      </c>
      <c r="N450" s="55">
        <v>5</v>
      </c>
      <c r="O450" s="55">
        <v>3</v>
      </c>
      <c r="P450" s="55">
        <v>-6</v>
      </c>
      <c r="Q450" s="55">
        <v>-357</v>
      </c>
      <c r="R450" s="55">
        <v>439</v>
      </c>
      <c r="S450" s="55">
        <v>-177</v>
      </c>
      <c r="T450" s="55">
        <v>-56</v>
      </c>
      <c r="U450" s="55">
        <v>-59</v>
      </c>
      <c r="V450" s="55">
        <v>-54</v>
      </c>
      <c r="W450" s="55">
        <v>-115</v>
      </c>
      <c r="X450" s="55">
        <v>-80</v>
      </c>
      <c r="Y450" s="55">
        <v>-55</v>
      </c>
      <c r="Z450" s="55">
        <v>-37</v>
      </c>
      <c r="AA450" s="55">
        <v>-38</v>
      </c>
      <c r="AB450" s="55">
        <v>-37</v>
      </c>
      <c r="AC450" s="55">
        <v>-37</v>
      </c>
      <c r="AD450" s="55">
        <v>-37</v>
      </c>
      <c r="AE450" s="55">
        <v>-38</v>
      </c>
      <c r="AF450" s="55">
        <v>-37</v>
      </c>
      <c r="AG450" s="55">
        <v>-2</v>
      </c>
      <c r="AH450" s="55">
        <v>-2</v>
      </c>
      <c r="AI450" s="55">
        <v>-2</v>
      </c>
      <c r="AJ450" s="55">
        <v>-2</v>
      </c>
      <c r="AK450" s="55">
        <v>-32</v>
      </c>
      <c r="AL450" s="55">
        <v>-236.85659774602937</v>
      </c>
      <c r="AM450" s="55">
        <v>-312.14340225397154</v>
      </c>
      <c r="AN450" s="55">
        <v>-181</v>
      </c>
      <c r="AO450" s="55">
        <v>25</v>
      </c>
      <c r="AP450" s="55">
        <v>-61</v>
      </c>
      <c r="AQ450" s="55">
        <v>-65</v>
      </c>
      <c r="AR450" s="55">
        <v>-106</v>
      </c>
      <c r="AS450" s="55">
        <v>-75</v>
      </c>
      <c r="AT450" s="55">
        <v>-219</v>
      </c>
      <c r="AU450" s="55">
        <v>-2</v>
      </c>
      <c r="AV450" s="55">
        <v>-87</v>
      </c>
      <c r="AW450" s="56">
        <v>-32</v>
      </c>
      <c r="AX450" s="54">
        <v>0</v>
      </c>
      <c r="AY450" s="54">
        <v>0</v>
      </c>
      <c r="AZ450" s="54">
        <v>0</v>
      </c>
      <c r="BA450" s="54">
        <v>0</v>
      </c>
      <c r="BB450" s="54">
        <v>0</v>
      </c>
      <c r="BC450" s="54">
        <v>0</v>
      </c>
      <c r="BD450" s="54">
        <v>0</v>
      </c>
      <c r="BE450" s="54">
        <v>0</v>
      </c>
      <c r="BF450" s="54">
        <v>0</v>
      </c>
      <c r="BG450" s="54">
        <v>0</v>
      </c>
      <c r="BH450" s="54">
        <v>0</v>
      </c>
      <c r="BI450" s="54">
        <v>0</v>
      </c>
      <c r="BJ450" s="54">
        <v>0</v>
      </c>
      <c r="BK450" s="54">
        <v>0</v>
      </c>
      <c r="BL450" s="54">
        <v>0</v>
      </c>
      <c r="BM450" s="54">
        <v>0</v>
      </c>
      <c r="BN450" s="54">
        <v>0</v>
      </c>
      <c r="BO450" s="54">
        <v>0</v>
      </c>
      <c r="BP450" s="54">
        <v>0</v>
      </c>
      <c r="BQ450" s="54">
        <v>0</v>
      </c>
      <c r="BR450" s="55"/>
      <c r="BS450" s="55">
        <v>0</v>
      </c>
      <c r="BT450" s="55">
        <v>0</v>
      </c>
      <c r="BU450" s="55">
        <v>0</v>
      </c>
      <c r="BV450" s="55">
        <v>0</v>
      </c>
      <c r="BW450" s="55">
        <v>0</v>
      </c>
      <c r="BX450" s="55">
        <v>-43</v>
      </c>
      <c r="BY450" s="55">
        <v>-46</v>
      </c>
      <c r="BZ450" s="55">
        <v>-47</v>
      </c>
      <c r="CA450" s="55">
        <v>-163</v>
      </c>
      <c r="CB450" s="55">
        <v>-338</v>
      </c>
      <c r="CC450" s="55">
        <v>0</v>
      </c>
      <c r="CD450" s="55">
        <v>0</v>
      </c>
      <c r="CE450" s="55">
        <v>0</v>
      </c>
      <c r="CF450" s="55">
        <v>-75</v>
      </c>
      <c r="CG450" s="55">
        <v>-19</v>
      </c>
      <c r="CH450" s="55">
        <v>8</v>
      </c>
      <c r="CI450" s="55">
        <v>-363</v>
      </c>
      <c r="CJ450" s="55">
        <v>262</v>
      </c>
      <c r="CK450" s="55">
        <v>-115</v>
      </c>
      <c r="CL450" s="55">
        <v>-169</v>
      </c>
      <c r="CM450" s="55">
        <v>-135</v>
      </c>
      <c r="CN450" s="55">
        <v>-75</v>
      </c>
      <c r="CO450" s="55">
        <v>-74</v>
      </c>
      <c r="CP450" s="55">
        <v>-75</v>
      </c>
      <c r="CQ450" s="55">
        <v>-39</v>
      </c>
      <c r="CR450" s="55">
        <v>-4</v>
      </c>
      <c r="CS450" s="55">
        <v>-34</v>
      </c>
      <c r="CT450" s="55">
        <v>-549.00000000000091</v>
      </c>
      <c r="CU450" s="55">
        <v>-156</v>
      </c>
      <c r="CV450" s="55">
        <v>-126</v>
      </c>
      <c r="CW450" s="55">
        <v>-181</v>
      </c>
      <c r="CX450" s="55">
        <v>-221</v>
      </c>
      <c r="CY450" s="56">
        <v>-119</v>
      </c>
      <c r="CZ450" s="55">
        <v>0</v>
      </c>
      <c r="DA450" s="55">
        <v>0</v>
      </c>
      <c r="DB450" s="55">
        <v>0</v>
      </c>
      <c r="DC450" s="55">
        <v>0</v>
      </c>
      <c r="DD450" s="55">
        <v>0</v>
      </c>
      <c r="DE450" s="55">
        <v>0</v>
      </c>
      <c r="DF450" s="55">
        <v>0</v>
      </c>
      <c r="DG450" s="55">
        <v>0</v>
      </c>
      <c r="DH450" s="55">
        <v>0</v>
      </c>
      <c r="DI450" s="55">
        <v>0</v>
      </c>
    </row>
    <row r="451" spans="1:113" s="24" customFormat="1" hidden="1" outlineLevel="2">
      <c r="A451" s="1" t="s">
        <v>86</v>
      </c>
      <c r="B451" s="24" t="s">
        <v>379</v>
      </c>
      <c r="C451" s="81">
        <v>-2585</v>
      </c>
      <c r="D451" s="81">
        <v>-2594</v>
      </c>
      <c r="E451" s="81">
        <v>-2607</v>
      </c>
      <c r="F451" s="81">
        <v>-2710</v>
      </c>
      <c r="G451" s="81">
        <v>-2841</v>
      </c>
      <c r="H451" s="81">
        <v>-3203</v>
      </c>
      <c r="I451" s="81">
        <v>-3046</v>
      </c>
      <c r="J451" s="81">
        <v>-2909</v>
      </c>
      <c r="K451" s="81">
        <v>-3035</v>
      </c>
      <c r="L451" s="81">
        <v>-2994</v>
      </c>
      <c r="M451" s="81">
        <v>-3019</v>
      </c>
      <c r="N451" s="81">
        <v>-3139</v>
      </c>
      <c r="O451" s="81">
        <v>-3280</v>
      </c>
      <c r="P451" s="81">
        <v>-3384</v>
      </c>
      <c r="Q451" s="81">
        <v>-4000</v>
      </c>
      <c r="R451" s="81">
        <v>-3569</v>
      </c>
      <c r="S451" s="81">
        <v>-4391</v>
      </c>
      <c r="T451" s="81">
        <v>-4324</v>
      </c>
      <c r="U451" s="81">
        <v>-4392</v>
      </c>
      <c r="V451" s="81">
        <v>-4462</v>
      </c>
      <c r="W451" s="81">
        <v>-4598</v>
      </c>
      <c r="X451" s="81">
        <v>-4682</v>
      </c>
      <c r="Y451" s="81">
        <v>-4649</v>
      </c>
      <c r="Z451" s="81">
        <v>-4504</v>
      </c>
      <c r="AA451" s="166">
        <v>-4581</v>
      </c>
      <c r="AB451" s="166">
        <v>-4788</v>
      </c>
      <c r="AC451" s="166">
        <v>-4785</v>
      </c>
      <c r="AD451" s="166">
        <v>-4951</v>
      </c>
      <c r="AE451" s="166">
        <v>-5117</v>
      </c>
      <c r="AF451" s="166">
        <v>-5247</v>
      </c>
      <c r="AG451" s="166">
        <v>-5226</v>
      </c>
      <c r="AH451" s="166">
        <v>-5476</v>
      </c>
      <c r="AI451" s="166">
        <v>-5197</v>
      </c>
      <c r="AJ451" s="166">
        <v>-5458</v>
      </c>
      <c r="AK451" s="166">
        <v>-5571</v>
      </c>
      <c r="AL451" s="166">
        <v>-5317</v>
      </c>
      <c r="AM451" s="166">
        <v>-6056</v>
      </c>
      <c r="AN451" s="166">
        <v>-5434</v>
      </c>
      <c r="AO451" s="166">
        <v>-5718</v>
      </c>
      <c r="AP451" s="166">
        <v>-5652</v>
      </c>
      <c r="AQ451" s="166">
        <v>-5833</v>
      </c>
      <c r="AR451" s="166">
        <v>-5596</v>
      </c>
      <c r="AS451" s="166">
        <v>-6013</v>
      </c>
      <c r="AT451" s="166">
        <v>-5992</v>
      </c>
      <c r="AU451" s="166">
        <v>-6087</v>
      </c>
      <c r="AV451" s="166">
        <v>-6098</v>
      </c>
      <c r="AW451" s="167">
        <v>-6239</v>
      </c>
      <c r="AX451" s="82">
        <v>-6292.0023209234369</v>
      </c>
      <c r="AY451" s="82">
        <v>-6283.1830516769151</v>
      </c>
      <c r="AZ451" s="82">
        <v>-6445.7909799131357</v>
      </c>
      <c r="BA451" s="82">
        <v>-6438.0618002647989</v>
      </c>
      <c r="BB451" s="82">
        <v>-6602.6304518517418</v>
      </c>
      <c r="BC451" s="82">
        <v>-6594.05474928476</v>
      </c>
      <c r="BD451" s="82">
        <v>-6723.532138291238</v>
      </c>
      <c r="BE451" s="82">
        <v>-6717.0497515197349</v>
      </c>
      <c r="BF451" s="82">
        <v>-6887.9782715579486</v>
      </c>
      <c r="BG451" s="82">
        <v>-6904.4278158823545</v>
      </c>
      <c r="BH451" s="82">
        <v>-7113.3890729740751</v>
      </c>
      <c r="BI451" s="82">
        <v>-7134.5395132618432</v>
      </c>
      <c r="BJ451" s="82">
        <v>-7350.6834690550222</v>
      </c>
      <c r="BK451" s="82">
        <v>-7387.5100919213792</v>
      </c>
      <c r="BL451" s="82">
        <v>-7595.5277747269174</v>
      </c>
      <c r="BM451" s="82">
        <v>-7668.0131772305813</v>
      </c>
      <c r="BN451" s="82">
        <v>-7853.3341125187853</v>
      </c>
      <c r="BO451" s="82">
        <v>-7846.9630752169796</v>
      </c>
      <c r="BP451" s="82">
        <v>-8053.89681065269</v>
      </c>
      <c r="BQ451" s="82">
        <v>-8046.5560630350701</v>
      </c>
      <c r="BR451" s="82"/>
      <c r="BS451" s="81">
        <v>-3149</v>
      </c>
      <c r="BT451" s="81">
        <v>-2954</v>
      </c>
      <c r="BU451" s="81">
        <v>-2884</v>
      </c>
      <c r="BV451" s="81">
        <v>-2943</v>
      </c>
      <c r="BW451" s="81">
        <v>-2863</v>
      </c>
      <c r="BX451" s="81">
        <v>-2967</v>
      </c>
      <c r="BY451" s="81">
        <v>-3085</v>
      </c>
      <c r="BZ451" s="81">
        <v>-3117</v>
      </c>
      <c r="CA451" s="81">
        <v>-3570</v>
      </c>
      <c r="CB451" s="81">
        <v>-5508</v>
      </c>
      <c r="CC451" s="82">
        <v>-5201</v>
      </c>
      <c r="CD451" s="82">
        <v>-5551</v>
      </c>
      <c r="CE451" s="82">
        <v>-6249</v>
      </c>
      <c r="CF451" s="82">
        <v>-5944</v>
      </c>
      <c r="CG451" s="82">
        <v>-6013</v>
      </c>
      <c r="CH451" s="82">
        <v>-6419</v>
      </c>
      <c r="CI451" s="82">
        <v>-7384</v>
      </c>
      <c r="CJ451" s="82">
        <v>-7960</v>
      </c>
      <c r="CK451" s="82">
        <v>-8716</v>
      </c>
      <c r="CL451" s="82">
        <v>-9060</v>
      </c>
      <c r="CM451" s="82">
        <v>-9331</v>
      </c>
      <c r="CN451" s="82">
        <v>-9085</v>
      </c>
      <c r="CO451" s="82">
        <v>-9573</v>
      </c>
      <c r="CP451" s="82">
        <v>-10068</v>
      </c>
      <c r="CQ451" s="82">
        <v>-10473</v>
      </c>
      <c r="CR451" s="82">
        <v>-10673</v>
      </c>
      <c r="CS451" s="82">
        <v>-11029</v>
      </c>
      <c r="CT451" s="82">
        <v>-11373</v>
      </c>
      <c r="CU451" s="82">
        <v>-11152</v>
      </c>
      <c r="CV451" s="82">
        <v>-11485</v>
      </c>
      <c r="CW451" s="82">
        <v>-11609</v>
      </c>
      <c r="CX451" s="82">
        <v>-12079</v>
      </c>
      <c r="CY451" s="83">
        <v>-12337</v>
      </c>
      <c r="CZ451" s="82">
        <v>-12575.185372600352</v>
      </c>
      <c r="DA451" s="82">
        <v>-12883.852780177935</v>
      </c>
      <c r="DB451" s="82">
        <v>-13196.685201136501</v>
      </c>
      <c r="DC451" s="82">
        <v>-13440.581889810972</v>
      </c>
      <c r="DD451" s="82">
        <v>-13792.406087440304</v>
      </c>
      <c r="DE451" s="82">
        <v>-14247.928586235917</v>
      </c>
      <c r="DF451" s="82">
        <v>-14738.1935609764</v>
      </c>
      <c r="DG451" s="82">
        <v>-15263.540951957499</v>
      </c>
      <c r="DH451" s="82">
        <v>-15700.297187735765</v>
      </c>
      <c r="DI451" s="82">
        <v>-16100.45287368776</v>
      </c>
    </row>
    <row r="452" spans="1:113" outlineLevel="1" collapsed="1">
      <c r="A452" s="96"/>
      <c r="C452" s="55"/>
      <c r="D452" s="55"/>
      <c r="E452" s="55"/>
      <c r="F452" s="55"/>
      <c r="G452" s="55"/>
      <c r="H452" s="55"/>
      <c r="I452" s="55"/>
      <c r="J452" s="55"/>
      <c r="K452" s="55"/>
      <c r="L452" s="55"/>
      <c r="M452" s="55"/>
      <c r="N452" s="55"/>
      <c r="O452" s="55"/>
      <c r="P452" s="55"/>
      <c r="Q452" s="55"/>
      <c r="R452" s="55"/>
      <c r="S452" s="55"/>
      <c r="T452" s="55"/>
      <c r="U452" s="55"/>
      <c r="V452" s="55"/>
      <c r="W452" s="55"/>
      <c r="X452" s="55"/>
      <c r="Y452" s="45"/>
      <c r="Z452" s="55"/>
      <c r="AA452" s="55"/>
      <c r="AB452" s="45"/>
      <c r="AC452" s="45"/>
      <c r="AD452" s="55"/>
      <c r="AE452" s="55"/>
      <c r="AF452" s="55"/>
      <c r="AG452" s="55"/>
      <c r="AH452" s="55"/>
      <c r="AI452" s="45"/>
      <c r="AJ452" s="55"/>
      <c r="AK452" s="166"/>
      <c r="AL452" s="42"/>
      <c r="AM452" s="42"/>
      <c r="AN452" s="55"/>
      <c r="AO452" s="166"/>
      <c r="AP452" s="82"/>
      <c r="AQ452" s="82"/>
      <c r="AR452" s="82"/>
      <c r="AS452" s="82"/>
      <c r="AT452" s="42"/>
      <c r="AU452" s="82"/>
      <c r="AV452" s="82"/>
      <c r="AW452" s="22"/>
      <c r="AY452" s="42"/>
      <c r="AZ452" s="55"/>
      <c r="BA452" s="55"/>
      <c r="BB452" s="55"/>
      <c r="BC452" s="55"/>
      <c r="BD452" s="55"/>
      <c r="BE452" s="55"/>
      <c r="BF452" s="55"/>
      <c r="BG452" s="55"/>
      <c r="BH452" s="55"/>
      <c r="BI452" s="55"/>
      <c r="BJ452" s="55"/>
      <c r="BK452" s="55"/>
      <c r="BL452" s="55"/>
      <c r="BM452" s="55"/>
      <c r="BN452" s="55"/>
      <c r="BO452" s="55"/>
      <c r="BP452" s="55"/>
      <c r="BQ452" s="55"/>
      <c r="BR452" s="55"/>
      <c r="BS452" s="55"/>
      <c r="BT452" s="55"/>
      <c r="BU452" s="55"/>
      <c r="BV452" s="55"/>
      <c r="BW452" s="55"/>
      <c r="BX452" s="55"/>
      <c r="BY452" s="55"/>
      <c r="BZ452" s="55"/>
      <c r="CA452" s="55"/>
      <c r="CB452" s="55"/>
      <c r="CC452" s="55"/>
      <c r="CD452" s="55"/>
      <c r="CE452" s="55"/>
      <c r="CF452" s="55"/>
      <c r="CG452" s="55"/>
      <c r="CH452" s="55"/>
      <c r="CI452" s="55"/>
      <c r="CJ452" s="55"/>
      <c r="CK452" s="55"/>
      <c r="CL452" s="55"/>
      <c r="CM452" s="55"/>
      <c r="CN452" s="55"/>
      <c r="CO452" s="45"/>
      <c r="CP452" s="45"/>
      <c r="CQ452" s="45"/>
      <c r="CR452" s="45"/>
      <c r="CS452" s="45"/>
      <c r="CT452" s="45"/>
      <c r="CU452" s="45"/>
      <c r="CX452" s="45"/>
      <c r="CY452" s="22"/>
      <c r="DA452" s="42"/>
      <c r="DB452" s="42"/>
    </row>
    <row r="453" spans="1:113">
      <c r="C453" s="55"/>
      <c r="D453" s="55"/>
      <c r="E453" s="55"/>
      <c r="F453" s="55"/>
      <c r="G453" s="55"/>
      <c r="H453" s="55"/>
      <c r="I453" s="55"/>
      <c r="J453" s="55"/>
      <c r="K453" s="55"/>
      <c r="L453" s="55"/>
      <c r="M453" s="55"/>
      <c r="N453" s="55"/>
      <c r="O453" s="55"/>
      <c r="P453" s="55"/>
      <c r="Q453" s="55"/>
      <c r="R453" s="55"/>
      <c r="S453" s="55"/>
      <c r="T453" s="55"/>
      <c r="U453" s="55"/>
      <c r="V453" s="55"/>
      <c r="W453" s="55"/>
      <c r="X453" s="55"/>
      <c r="Y453" s="55"/>
      <c r="Z453" s="55"/>
      <c r="AA453" s="55"/>
      <c r="AB453" s="55"/>
      <c r="AC453" s="55"/>
      <c r="AD453" s="55"/>
      <c r="AE453" s="55"/>
      <c r="AF453" s="55"/>
      <c r="AG453" s="55"/>
      <c r="AH453" s="55"/>
      <c r="AI453" s="55"/>
      <c r="AJ453" s="55"/>
      <c r="AK453" s="55"/>
      <c r="AL453" s="55"/>
      <c r="AM453" s="55"/>
      <c r="AN453" s="55"/>
      <c r="AO453" s="55"/>
      <c r="AP453" s="55"/>
      <c r="AQ453" s="55"/>
      <c r="AR453" s="55"/>
      <c r="AS453" s="55"/>
      <c r="AT453" s="55"/>
      <c r="AU453" s="55"/>
      <c r="AV453" s="55"/>
      <c r="AW453" s="56"/>
      <c r="AY453" s="55"/>
      <c r="AZ453" s="55"/>
      <c r="BA453" s="55"/>
      <c r="BB453" s="55"/>
      <c r="BC453" s="55"/>
      <c r="BD453" s="55"/>
      <c r="BE453" s="55"/>
      <c r="BF453" s="55"/>
      <c r="BG453" s="55"/>
      <c r="BH453" s="55"/>
      <c r="BI453" s="55"/>
      <c r="BJ453" s="55"/>
      <c r="BK453" s="55"/>
      <c r="BL453" s="55"/>
      <c r="BM453" s="55"/>
      <c r="BN453" s="55"/>
      <c r="BO453" s="55"/>
      <c r="BP453" s="55"/>
      <c r="BQ453" s="55"/>
      <c r="BR453" s="55"/>
      <c r="BS453" s="55"/>
      <c r="BT453" s="55"/>
      <c r="BU453" s="55"/>
      <c r="BV453" s="55"/>
      <c r="BW453" s="55"/>
      <c r="BX453" s="55"/>
      <c r="BY453" s="55"/>
      <c r="BZ453" s="55"/>
      <c r="CA453" s="55"/>
      <c r="CB453" s="55"/>
      <c r="CC453" s="55"/>
      <c r="CD453" s="55"/>
      <c r="CE453" s="55"/>
      <c r="CF453" s="55"/>
      <c r="CG453" s="55"/>
      <c r="CH453" s="55"/>
      <c r="CI453" s="55"/>
      <c r="CJ453" s="55"/>
      <c r="CK453" s="55"/>
      <c r="CL453" s="55"/>
      <c r="CM453" s="55"/>
      <c r="CN453" s="55"/>
      <c r="CO453" s="55"/>
      <c r="CP453" s="45"/>
      <c r="CQ453" s="55"/>
      <c r="CR453" s="55"/>
      <c r="CS453" s="55"/>
      <c r="CT453" s="50"/>
      <c r="CU453" s="50"/>
      <c r="CV453" s="50"/>
      <c r="CW453" s="50"/>
      <c r="CX453" s="50"/>
      <c r="CY453" s="49"/>
      <c r="CZ453" s="48"/>
      <c r="DA453" s="48"/>
      <c r="DB453" s="48"/>
    </row>
    <row r="454" spans="1:113" s="36" customFormat="1" collapsed="1">
      <c r="A454" s="1" t="s">
        <v>100</v>
      </c>
      <c r="B454" s="2" t="s">
        <v>380</v>
      </c>
      <c r="C454" s="79">
        <v>1858</v>
      </c>
      <c r="D454" s="79">
        <v>1952</v>
      </c>
      <c r="E454" s="79">
        <v>1915</v>
      </c>
      <c r="F454" s="79">
        <v>1775</v>
      </c>
      <c r="G454" s="79">
        <v>2073</v>
      </c>
      <c r="H454" s="79">
        <v>2008</v>
      </c>
      <c r="I454" s="79">
        <v>2234</v>
      </c>
      <c r="J454" s="79">
        <v>2586</v>
      </c>
      <c r="K454" s="79">
        <v>2647</v>
      </c>
      <c r="L454" s="79">
        <v>3043</v>
      </c>
      <c r="M454" s="79">
        <v>3044</v>
      </c>
      <c r="N454" s="79">
        <v>3413</v>
      </c>
      <c r="O454" s="79">
        <v>3357</v>
      </c>
      <c r="P454" s="79">
        <v>3638</v>
      </c>
      <c r="Q454" s="79">
        <v>3682</v>
      </c>
      <c r="R454" s="79">
        <v>4473</v>
      </c>
      <c r="S454" s="79">
        <v>4771</v>
      </c>
      <c r="T454" s="79">
        <v>5424</v>
      </c>
      <c r="U454" s="79">
        <v>5034</v>
      </c>
      <c r="V454" s="79">
        <v>5331</v>
      </c>
      <c r="W454" s="79">
        <v>5437</v>
      </c>
      <c r="X454" s="79">
        <v>5503</v>
      </c>
      <c r="Y454" s="79">
        <v>5451</v>
      </c>
      <c r="Z454" s="79">
        <v>5822</v>
      </c>
      <c r="AA454" s="79">
        <v>5989</v>
      </c>
      <c r="AB454" s="79">
        <v>6397</v>
      </c>
      <c r="AC454" s="79">
        <v>6505</v>
      </c>
      <c r="AD454" s="79">
        <v>6813</v>
      </c>
      <c r="AE454" s="79">
        <v>6772</v>
      </c>
      <c r="AF454" s="79">
        <v>7210</v>
      </c>
      <c r="AG454" s="79">
        <v>7103</v>
      </c>
      <c r="AH454" s="79">
        <v>7361</v>
      </c>
      <c r="AI454" s="79">
        <v>7258</v>
      </c>
      <c r="AJ454" s="79">
        <v>7193</v>
      </c>
      <c r="AK454" s="79">
        <v>6734</v>
      </c>
      <c r="AL454" s="79">
        <v>6895.7162288178552</v>
      </c>
      <c r="AM454" s="79">
        <v>5859.2837711821476</v>
      </c>
      <c r="AN454" s="79">
        <v>6770</v>
      </c>
      <c r="AO454" s="79">
        <v>5995</v>
      </c>
      <c r="AP454" s="79">
        <v>6370</v>
      </c>
      <c r="AQ454" s="79">
        <v>6427</v>
      </c>
      <c r="AR454" s="79">
        <v>6617</v>
      </c>
      <c r="AS454" s="79">
        <v>6644</v>
      </c>
      <c r="AT454" s="79">
        <v>7850</v>
      </c>
      <c r="AU454" s="79">
        <v>7427</v>
      </c>
      <c r="AV454" s="79">
        <v>7638</v>
      </c>
      <c r="AW454" s="80">
        <v>7318</v>
      </c>
      <c r="AX454" s="79">
        <v>7630.1805357063622</v>
      </c>
      <c r="AY454" s="79">
        <v>7556.2408768878213</v>
      </c>
      <c r="AZ454" s="79">
        <v>7789.1875206183413</v>
      </c>
      <c r="BA454" s="79">
        <v>7664.3836029120521</v>
      </c>
      <c r="BB454" s="79">
        <v>7843.7881314742417</v>
      </c>
      <c r="BC454" s="79">
        <v>7748.1161421766574</v>
      </c>
      <c r="BD454" s="79">
        <v>8004.8774793056391</v>
      </c>
      <c r="BE454" s="79">
        <v>8004.4338667892007</v>
      </c>
      <c r="BF454" s="79">
        <v>8234.0055844276867</v>
      </c>
      <c r="BG454" s="79">
        <v>8130.7068768814024</v>
      </c>
      <c r="BH454" s="79">
        <v>8438.0712122879013</v>
      </c>
      <c r="BI454" s="79">
        <v>8404.4684247106889</v>
      </c>
      <c r="BJ454" s="79">
        <v>8724.3718416752454</v>
      </c>
      <c r="BK454" s="79">
        <v>8680.5253909641942</v>
      </c>
      <c r="BL454" s="79">
        <v>8995.2341873742334</v>
      </c>
      <c r="BM454" s="79">
        <v>9011.5107003394569</v>
      </c>
      <c r="BN454" s="79">
        <v>9382.8628202703931</v>
      </c>
      <c r="BO454" s="79">
        <v>9397.2501522154962</v>
      </c>
      <c r="BP454" s="79">
        <v>9808.0104442889915</v>
      </c>
      <c r="BQ454" s="79">
        <v>9824.1205573366424</v>
      </c>
      <c r="BR454" s="79"/>
      <c r="BS454" s="79">
        <v>1504</v>
      </c>
      <c r="BT454" s="79">
        <v>1413</v>
      </c>
      <c r="BU454" s="79">
        <v>1375</v>
      </c>
      <c r="BV454" s="79">
        <v>1705</v>
      </c>
      <c r="BW454" s="79">
        <v>1889</v>
      </c>
      <c r="BX454" s="79">
        <v>1957</v>
      </c>
      <c r="BY454" s="79">
        <v>2191</v>
      </c>
      <c r="BZ454" s="79">
        <v>2454</v>
      </c>
      <c r="CA454" s="79">
        <v>2732</v>
      </c>
      <c r="CB454" s="79">
        <v>3654</v>
      </c>
      <c r="CC454" s="79">
        <v>3867</v>
      </c>
      <c r="CD454" s="79">
        <v>3848</v>
      </c>
      <c r="CE454" s="79">
        <v>4242</v>
      </c>
      <c r="CF454" s="79">
        <v>5233</v>
      </c>
      <c r="CG454" s="79">
        <v>6087</v>
      </c>
      <c r="CH454" s="79">
        <v>6770</v>
      </c>
      <c r="CI454" s="79">
        <v>7320</v>
      </c>
      <c r="CJ454" s="79">
        <v>9244</v>
      </c>
      <c r="CK454" s="79">
        <v>10458</v>
      </c>
      <c r="CL454" s="79">
        <v>10768</v>
      </c>
      <c r="CM454" s="79">
        <v>10954</v>
      </c>
      <c r="CN454" s="79">
        <v>11811</v>
      </c>
      <c r="CO454" s="79">
        <v>12902</v>
      </c>
      <c r="CP454" s="79">
        <v>13585</v>
      </c>
      <c r="CQ454" s="79">
        <v>14313</v>
      </c>
      <c r="CR454" s="79">
        <v>14619</v>
      </c>
      <c r="CS454" s="79">
        <v>13927</v>
      </c>
      <c r="CT454" s="79">
        <v>12755</v>
      </c>
      <c r="CU454" s="79">
        <v>12765</v>
      </c>
      <c r="CV454" s="79">
        <v>12797</v>
      </c>
      <c r="CW454" s="79">
        <v>13261</v>
      </c>
      <c r="CX454" s="79">
        <v>15277</v>
      </c>
      <c r="CY454" s="80">
        <v>14956</v>
      </c>
      <c r="CZ454" s="79">
        <v>15186.421412594182</v>
      </c>
      <c r="DA454" s="79">
        <v>15453.571123530397</v>
      </c>
      <c r="DB454" s="79">
        <v>15591.9042736509</v>
      </c>
      <c r="DC454" s="79">
        <v>16009.311346094837</v>
      </c>
      <c r="DD454" s="79">
        <v>16364.712461309089</v>
      </c>
      <c r="DE454" s="79">
        <v>16842.53963699859</v>
      </c>
      <c r="DF454" s="79">
        <v>17404.89723263944</v>
      </c>
      <c r="DG454" s="79">
        <v>18006.744887713692</v>
      </c>
      <c r="DH454" s="79">
        <v>18780.112972485891</v>
      </c>
      <c r="DI454" s="79">
        <v>19632.131001625632</v>
      </c>
    </row>
    <row r="455" spans="1:113" hidden="1" outlineLevel="2">
      <c r="A455" s="1" t="s">
        <v>176</v>
      </c>
      <c r="B455" s="19" t="s">
        <v>854</v>
      </c>
      <c r="C455" s="55">
        <v>0</v>
      </c>
      <c r="D455" s="55">
        <v>0</v>
      </c>
      <c r="E455" s="55">
        <v>0</v>
      </c>
      <c r="F455" s="55">
        <v>0</v>
      </c>
      <c r="G455" s="55">
        <v>0</v>
      </c>
      <c r="H455" s="55">
        <v>0</v>
      </c>
      <c r="I455" s="55">
        <v>0</v>
      </c>
      <c r="J455" s="55">
        <v>0</v>
      </c>
      <c r="K455" s="55">
        <v>0</v>
      </c>
      <c r="L455" s="55">
        <v>0</v>
      </c>
      <c r="M455" s="55">
        <v>0</v>
      </c>
      <c r="N455" s="55">
        <v>0</v>
      </c>
      <c r="O455" s="55">
        <v>0</v>
      </c>
      <c r="P455" s="55">
        <v>0</v>
      </c>
      <c r="Q455" s="55">
        <v>0</v>
      </c>
      <c r="R455" s="55">
        <v>0</v>
      </c>
      <c r="S455" s="55">
        <v>0</v>
      </c>
      <c r="T455" s="55">
        <v>0</v>
      </c>
      <c r="U455" s="55">
        <v>0</v>
      </c>
      <c r="V455" s="55">
        <v>0</v>
      </c>
      <c r="W455" s="55">
        <v>0</v>
      </c>
      <c r="X455" s="55">
        <v>0</v>
      </c>
      <c r="Y455" s="55">
        <v>0</v>
      </c>
      <c r="Z455" s="55">
        <v>0</v>
      </c>
      <c r="AA455" s="55">
        <v>0</v>
      </c>
      <c r="AB455" s="55">
        <v>0</v>
      </c>
      <c r="AC455" s="55">
        <v>0</v>
      </c>
      <c r="AD455" s="55">
        <v>0</v>
      </c>
      <c r="AE455" s="55">
        <v>0</v>
      </c>
      <c r="AF455" s="55">
        <v>0</v>
      </c>
      <c r="AG455" s="55">
        <v>0</v>
      </c>
      <c r="AH455" s="55">
        <v>0</v>
      </c>
      <c r="AI455" s="55">
        <v>0</v>
      </c>
      <c r="AJ455" s="55">
        <v>0</v>
      </c>
      <c r="AK455" s="55">
        <v>0</v>
      </c>
      <c r="AL455" s="55">
        <v>0</v>
      </c>
      <c r="AM455" s="55">
        <v>0</v>
      </c>
      <c r="AN455" s="55">
        <v>0</v>
      </c>
      <c r="AO455" s="55">
        <v>0</v>
      </c>
      <c r="AP455" s="55">
        <v>0</v>
      </c>
      <c r="AQ455" s="55">
        <v>0</v>
      </c>
      <c r="AR455" s="55">
        <v>0</v>
      </c>
      <c r="AS455" s="55">
        <v>0</v>
      </c>
      <c r="AT455" s="55">
        <v>0</v>
      </c>
      <c r="AU455" s="55">
        <v>0</v>
      </c>
      <c r="AV455" s="55">
        <v>0</v>
      </c>
      <c r="AW455" s="56">
        <v>0</v>
      </c>
      <c r="AX455" s="55">
        <v>0</v>
      </c>
      <c r="AY455" s="55">
        <v>0</v>
      </c>
      <c r="AZ455" s="55">
        <v>0</v>
      </c>
      <c r="BA455" s="55">
        <v>0</v>
      </c>
      <c r="BB455" s="55">
        <v>0</v>
      </c>
      <c r="BC455" s="55">
        <v>0</v>
      </c>
      <c r="BD455" s="55">
        <v>0</v>
      </c>
      <c r="BE455" s="55">
        <v>0</v>
      </c>
      <c r="BF455" s="55">
        <v>0</v>
      </c>
      <c r="BG455" s="55">
        <v>0</v>
      </c>
      <c r="BH455" s="55">
        <v>0</v>
      </c>
      <c r="BI455" s="55">
        <v>0</v>
      </c>
      <c r="BJ455" s="55">
        <v>0</v>
      </c>
      <c r="BK455" s="55">
        <v>0</v>
      </c>
      <c r="BL455" s="55">
        <v>0</v>
      </c>
      <c r="BM455" s="55">
        <v>0</v>
      </c>
      <c r="BN455" s="55">
        <v>0</v>
      </c>
      <c r="BO455" s="55">
        <v>0</v>
      </c>
      <c r="BP455" s="55">
        <v>0</v>
      </c>
      <c r="BQ455" s="55">
        <v>0</v>
      </c>
      <c r="BR455" s="55"/>
      <c r="BS455" s="55">
        <v>0</v>
      </c>
      <c r="BT455" s="55">
        <v>0</v>
      </c>
      <c r="BU455" s="55">
        <v>0</v>
      </c>
      <c r="BV455" s="55">
        <v>0</v>
      </c>
      <c r="BW455" s="55">
        <v>0</v>
      </c>
      <c r="BX455" s="55">
        <v>0</v>
      </c>
      <c r="BY455" s="55">
        <v>0</v>
      </c>
      <c r="BZ455" s="55">
        <v>0</v>
      </c>
      <c r="CA455" s="55">
        <v>0</v>
      </c>
      <c r="CB455" s="55">
        <v>0</v>
      </c>
      <c r="CC455" s="55">
        <v>0</v>
      </c>
      <c r="CD455" s="55">
        <v>0</v>
      </c>
      <c r="CE455" s="55">
        <v>0</v>
      </c>
      <c r="CF455" s="55">
        <v>0</v>
      </c>
      <c r="CG455" s="55">
        <v>0</v>
      </c>
      <c r="CH455" s="55">
        <v>0</v>
      </c>
      <c r="CI455" s="55">
        <v>0</v>
      </c>
      <c r="CJ455" s="55">
        <v>0</v>
      </c>
      <c r="CK455" s="55">
        <v>0</v>
      </c>
      <c r="CL455" s="55">
        <v>0</v>
      </c>
      <c r="CM455" s="55">
        <v>0</v>
      </c>
      <c r="CN455" s="55">
        <v>0</v>
      </c>
      <c r="CO455" s="55">
        <v>0</v>
      </c>
      <c r="CP455" s="55">
        <v>0</v>
      </c>
      <c r="CQ455" s="55">
        <v>0</v>
      </c>
      <c r="CR455" s="55">
        <v>0</v>
      </c>
      <c r="CS455" s="55">
        <v>0</v>
      </c>
      <c r="CT455" s="55">
        <v>0</v>
      </c>
      <c r="CU455" s="55">
        <v>0</v>
      </c>
      <c r="CV455" s="55">
        <v>0</v>
      </c>
      <c r="CW455" s="55">
        <v>0</v>
      </c>
      <c r="CX455" s="55">
        <v>0</v>
      </c>
      <c r="CY455" s="56">
        <v>0</v>
      </c>
      <c r="CZ455" s="55">
        <v>0</v>
      </c>
      <c r="DA455" s="55">
        <v>0</v>
      </c>
      <c r="DB455" s="55">
        <v>0</v>
      </c>
      <c r="DC455" s="55">
        <v>0</v>
      </c>
      <c r="DD455" s="55">
        <v>0</v>
      </c>
      <c r="DE455" s="55">
        <v>0</v>
      </c>
      <c r="DF455" s="55">
        <v>0</v>
      </c>
      <c r="DG455" s="55">
        <v>0</v>
      </c>
      <c r="DH455" s="55">
        <v>0</v>
      </c>
      <c r="DI455" s="55">
        <v>0</v>
      </c>
    </row>
    <row r="456" spans="1:113" hidden="1" outlineLevel="2">
      <c r="A456" s="1" t="s">
        <v>677</v>
      </c>
      <c r="B456" s="19" t="s">
        <v>445</v>
      </c>
      <c r="C456" s="55">
        <v>0</v>
      </c>
      <c r="D456" s="55">
        <v>0</v>
      </c>
      <c r="E456" s="55">
        <v>0</v>
      </c>
      <c r="F456" s="55">
        <v>0</v>
      </c>
      <c r="G456" s="55">
        <v>0</v>
      </c>
      <c r="H456" s="55">
        <v>0</v>
      </c>
      <c r="I456" s="55">
        <v>0</v>
      </c>
      <c r="J456" s="55">
        <v>0</v>
      </c>
      <c r="K456" s="55">
        <v>0</v>
      </c>
      <c r="L456" s="55">
        <v>0</v>
      </c>
      <c r="M456" s="55">
        <v>0</v>
      </c>
      <c r="N456" s="55">
        <v>0</v>
      </c>
      <c r="O456" s="55">
        <v>0</v>
      </c>
      <c r="P456" s="55">
        <v>0</v>
      </c>
      <c r="Q456" s="55">
        <v>0</v>
      </c>
      <c r="R456" s="55">
        <v>0</v>
      </c>
      <c r="S456" s="55">
        <v>0</v>
      </c>
      <c r="T456" s="55">
        <v>0</v>
      </c>
      <c r="U456" s="55">
        <v>0</v>
      </c>
      <c r="V456" s="55">
        <v>0</v>
      </c>
      <c r="W456" s="55">
        <v>0</v>
      </c>
      <c r="X456" s="55">
        <v>0</v>
      </c>
      <c r="Y456" s="55">
        <v>0</v>
      </c>
      <c r="Z456" s="55">
        <v>0</v>
      </c>
      <c r="AA456" s="55">
        <v>0</v>
      </c>
      <c r="AB456" s="55">
        <v>0</v>
      </c>
      <c r="AC456" s="55">
        <v>0</v>
      </c>
      <c r="AD456" s="55">
        <v>0</v>
      </c>
      <c r="AE456" s="55">
        <v>0</v>
      </c>
      <c r="AF456" s="55">
        <v>0</v>
      </c>
      <c r="AG456" s="55">
        <v>0</v>
      </c>
      <c r="AH456" s="55">
        <v>0</v>
      </c>
      <c r="AI456" s="55">
        <v>0</v>
      </c>
      <c r="AJ456" s="55">
        <v>0</v>
      </c>
      <c r="AK456" s="55">
        <v>0</v>
      </c>
      <c r="AL456" s="55">
        <v>0</v>
      </c>
      <c r="AM456" s="55">
        <v>0</v>
      </c>
      <c r="AN456" s="55">
        <v>0</v>
      </c>
      <c r="AO456" s="55">
        <v>0</v>
      </c>
      <c r="AP456" s="55">
        <v>0</v>
      </c>
      <c r="AQ456" s="55">
        <v>0</v>
      </c>
      <c r="AR456" s="55">
        <v>0</v>
      </c>
      <c r="AS456" s="55">
        <v>0</v>
      </c>
      <c r="AT456" s="55">
        <v>0</v>
      </c>
      <c r="AU456" s="55">
        <v>0</v>
      </c>
      <c r="AV456" s="55">
        <v>0</v>
      </c>
      <c r="AW456" s="56">
        <v>0</v>
      </c>
      <c r="AX456" s="55">
        <v>0</v>
      </c>
      <c r="AY456" s="55">
        <v>0</v>
      </c>
      <c r="AZ456" s="55">
        <v>0</v>
      </c>
      <c r="BA456" s="55">
        <v>0</v>
      </c>
      <c r="BB456" s="55">
        <v>0</v>
      </c>
      <c r="BC456" s="55">
        <v>0</v>
      </c>
      <c r="BD456" s="55">
        <v>0</v>
      </c>
      <c r="BE456" s="55">
        <v>0</v>
      </c>
      <c r="BF456" s="55">
        <v>0</v>
      </c>
      <c r="BG456" s="55">
        <v>0</v>
      </c>
      <c r="BH456" s="55">
        <v>0</v>
      </c>
      <c r="BI456" s="55">
        <v>0</v>
      </c>
      <c r="BJ456" s="55">
        <v>0</v>
      </c>
      <c r="BK456" s="55">
        <v>0</v>
      </c>
      <c r="BL456" s="55">
        <v>0</v>
      </c>
      <c r="BM456" s="55">
        <v>0</v>
      </c>
      <c r="BN456" s="55">
        <v>0</v>
      </c>
      <c r="BO456" s="55">
        <v>0</v>
      </c>
      <c r="BP456" s="55">
        <v>0</v>
      </c>
      <c r="BQ456" s="55">
        <v>0</v>
      </c>
      <c r="BR456" s="55"/>
      <c r="BS456" s="55">
        <v>0</v>
      </c>
      <c r="BT456" s="55">
        <v>0</v>
      </c>
      <c r="BU456" s="55">
        <v>0</v>
      </c>
      <c r="BV456" s="55">
        <v>0</v>
      </c>
      <c r="BW456" s="55">
        <v>0</v>
      </c>
      <c r="BX456" s="55">
        <v>0</v>
      </c>
      <c r="BY456" s="55">
        <v>0</v>
      </c>
      <c r="BZ456" s="55">
        <v>0</v>
      </c>
      <c r="CA456" s="55">
        <v>0</v>
      </c>
      <c r="CB456" s="55">
        <v>0</v>
      </c>
      <c r="CC456" s="55">
        <v>0</v>
      </c>
      <c r="CD456" s="55">
        <v>0</v>
      </c>
      <c r="CE456" s="55">
        <v>0</v>
      </c>
      <c r="CF456" s="55">
        <v>0</v>
      </c>
      <c r="CG456" s="55">
        <v>0</v>
      </c>
      <c r="CH456" s="55">
        <v>0</v>
      </c>
      <c r="CI456" s="55">
        <v>0</v>
      </c>
      <c r="CJ456" s="55">
        <v>0</v>
      </c>
      <c r="CK456" s="55">
        <v>0</v>
      </c>
      <c r="CL456" s="55">
        <v>0</v>
      </c>
      <c r="CM456" s="55">
        <v>0</v>
      </c>
      <c r="CN456" s="55">
        <v>0</v>
      </c>
      <c r="CO456" s="55">
        <v>0</v>
      </c>
      <c r="CP456" s="55">
        <v>0</v>
      </c>
      <c r="CQ456" s="55">
        <v>0</v>
      </c>
      <c r="CR456" s="55">
        <v>0</v>
      </c>
      <c r="CS456" s="55">
        <v>0</v>
      </c>
      <c r="CT456" s="55">
        <v>0</v>
      </c>
      <c r="CU456" s="55">
        <v>0</v>
      </c>
      <c r="CV456" s="55">
        <v>0</v>
      </c>
      <c r="CW456" s="55">
        <v>0</v>
      </c>
      <c r="CX456" s="55">
        <v>0</v>
      </c>
      <c r="CY456" s="56">
        <v>0</v>
      </c>
      <c r="CZ456" s="55">
        <v>0</v>
      </c>
      <c r="DA456" s="55">
        <v>0</v>
      </c>
      <c r="DB456" s="55">
        <v>0</v>
      </c>
      <c r="DC456" s="55">
        <v>0</v>
      </c>
      <c r="DD456" s="55">
        <v>0</v>
      </c>
      <c r="DE456" s="55">
        <v>0</v>
      </c>
      <c r="DF456" s="55">
        <v>0</v>
      </c>
      <c r="DG456" s="55">
        <v>0</v>
      </c>
      <c r="DH456" s="55">
        <v>0</v>
      </c>
      <c r="DI456" s="55">
        <v>0</v>
      </c>
    </row>
    <row r="457" spans="1:113" hidden="1" outlineLevel="2">
      <c r="A457" s="1" t="s">
        <v>678</v>
      </c>
      <c r="B457" s="19" t="s">
        <v>369</v>
      </c>
      <c r="C457" s="55">
        <v>0</v>
      </c>
      <c r="D457" s="55">
        <v>0</v>
      </c>
      <c r="E457" s="55">
        <v>0</v>
      </c>
      <c r="F457" s="55">
        <v>0</v>
      </c>
      <c r="G457" s="55">
        <v>0</v>
      </c>
      <c r="H457" s="55">
        <v>0</v>
      </c>
      <c r="I457" s="55">
        <v>0</v>
      </c>
      <c r="J457" s="55">
        <v>0</v>
      </c>
      <c r="K457" s="55">
        <v>0</v>
      </c>
      <c r="L457" s="55">
        <v>0</v>
      </c>
      <c r="M457" s="55">
        <v>0</v>
      </c>
      <c r="N457" s="55">
        <v>0</v>
      </c>
      <c r="O457" s="55">
        <v>0</v>
      </c>
      <c r="P457" s="55">
        <v>0</v>
      </c>
      <c r="Q457" s="55">
        <v>0</v>
      </c>
      <c r="R457" s="55">
        <v>0</v>
      </c>
      <c r="S457" s="55">
        <v>0</v>
      </c>
      <c r="T457" s="55">
        <v>0</v>
      </c>
      <c r="U457" s="55">
        <v>0</v>
      </c>
      <c r="V457" s="55">
        <v>0</v>
      </c>
      <c r="W457" s="55">
        <v>0</v>
      </c>
      <c r="X457" s="55">
        <v>0</v>
      </c>
      <c r="Y457" s="55">
        <v>0</v>
      </c>
      <c r="Z457" s="55">
        <v>0</v>
      </c>
      <c r="AA457" s="55">
        <v>0</v>
      </c>
      <c r="AB457" s="55">
        <v>0</v>
      </c>
      <c r="AC457" s="55">
        <v>0</v>
      </c>
      <c r="AD457" s="55">
        <v>0</v>
      </c>
      <c r="AE457" s="55">
        <v>0</v>
      </c>
      <c r="AF457" s="55">
        <v>0</v>
      </c>
      <c r="AG457" s="55">
        <v>0</v>
      </c>
      <c r="AH457" s="55">
        <v>0</v>
      </c>
      <c r="AI457" s="55">
        <v>0</v>
      </c>
      <c r="AJ457" s="55">
        <v>0</v>
      </c>
      <c r="AK457" s="55">
        <v>0</v>
      </c>
      <c r="AL457" s="55">
        <v>0</v>
      </c>
      <c r="AM457" s="55">
        <v>0</v>
      </c>
      <c r="AN457" s="55">
        <v>0</v>
      </c>
      <c r="AO457" s="55">
        <v>0</v>
      </c>
      <c r="AP457" s="55">
        <v>0</v>
      </c>
      <c r="AQ457" s="55">
        <v>0</v>
      </c>
      <c r="AR457" s="55">
        <v>0</v>
      </c>
      <c r="AS457" s="55">
        <v>0</v>
      </c>
      <c r="AT457" s="55">
        <v>0</v>
      </c>
      <c r="AU457" s="55">
        <v>0</v>
      </c>
      <c r="AV457" s="55">
        <v>0</v>
      </c>
      <c r="AW457" s="56">
        <v>0</v>
      </c>
      <c r="AX457" s="55">
        <v>0</v>
      </c>
      <c r="AY457" s="55">
        <v>0</v>
      </c>
      <c r="AZ457" s="55">
        <v>0</v>
      </c>
      <c r="BA457" s="55">
        <v>0</v>
      </c>
      <c r="BB457" s="55">
        <v>0</v>
      </c>
      <c r="BC457" s="55">
        <v>0</v>
      </c>
      <c r="BD457" s="55">
        <v>0</v>
      </c>
      <c r="BE457" s="55">
        <v>0</v>
      </c>
      <c r="BF457" s="55">
        <v>0</v>
      </c>
      <c r="BG457" s="55">
        <v>0</v>
      </c>
      <c r="BH457" s="55">
        <v>0</v>
      </c>
      <c r="BI457" s="55">
        <v>0</v>
      </c>
      <c r="BJ457" s="55">
        <v>0</v>
      </c>
      <c r="BK457" s="55">
        <v>0</v>
      </c>
      <c r="BL457" s="55">
        <v>0</v>
      </c>
      <c r="BM457" s="55">
        <v>0</v>
      </c>
      <c r="BN457" s="55">
        <v>0</v>
      </c>
      <c r="BO457" s="55">
        <v>0</v>
      </c>
      <c r="BP457" s="55">
        <v>0</v>
      </c>
      <c r="BQ457" s="55">
        <v>0</v>
      </c>
      <c r="BR457" s="55"/>
      <c r="BS457" s="55">
        <v>0</v>
      </c>
      <c r="BT457" s="55">
        <v>0</v>
      </c>
      <c r="BU457" s="55">
        <v>0</v>
      </c>
      <c r="BV457" s="55">
        <v>0</v>
      </c>
      <c r="BW457" s="55">
        <v>0</v>
      </c>
      <c r="BX457" s="55">
        <v>0</v>
      </c>
      <c r="BY457" s="55">
        <v>0</v>
      </c>
      <c r="BZ457" s="55">
        <v>0</v>
      </c>
      <c r="CA457" s="55">
        <v>0</v>
      </c>
      <c r="CB457" s="55">
        <v>0</v>
      </c>
      <c r="CC457" s="55">
        <v>0</v>
      </c>
      <c r="CD457" s="55">
        <v>0</v>
      </c>
      <c r="CE457" s="55">
        <v>0</v>
      </c>
      <c r="CF457" s="55">
        <v>0</v>
      </c>
      <c r="CG457" s="55">
        <v>0</v>
      </c>
      <c r="CH457" s="55">
        <v>0</v>
      </c>
      <c r="CI457" s="55">
        <v>0</v>
      </c>
      <c r="CJ457" s="55">
        <v>0</v>
      </c>
      <c r="CK457" s="55">
        <v>0</v>
      </c>
      <c r="CL457" s="55">
        <v>0</v>
      </c>
      <c r="CM457" s="55">
        <v>0</v>
      </c>
      <c r="CN457" s="55">
        <v>0</v>
      </c>
      <c r="CO457" s="55">
        <v>0</v>
      </c>
      <c r="CP457" s="55">
        <v>0</v>
      </c>
      <c r="CQ457" s="55">
        <v>0</v>
      </c>
      <c r="CR457" s="55">
        <v>0</v>
      </c>
      <c r="CS457" s="55">
        <v>0</v>
      </c>
      <c r="CT457" s="55">
        <v>0</v>
      </c>
      <c r="CU457" s="55">
        <v>0</v>
      </c>
      <c r="CV457" s="55">
        <v>0</v>
      </c>
      <c r="CW457" s="55">
        <v>0</v>
      </c>
      <c r="CX457" s="55">
        <v>0</v>
      </c>
      <c r="CY457" s="56">
        <v>0</v>
      </c>
      <c r="CZ457" s="55">
        <v>0</v>
      </c>
      <c r="DA457" s="55">
        <v>0</v>
      </c>
      <c r="DB457" s="55">
        <v>0</v>
      </c>
      <c r="DC457" s="55">
        <v>0</v>
      </c>
      <c r="DD457" s="55">
        <v>0</v>
      </c>
      <c r="DE457" s="55">
        <v>0</v>
      </c>
      <c r="DF457" s="55">
        <v>0</v>
      </c>
      <c r="DG457" s="55">
        <v>0</v>
      </c>
      <c r="DH457" s="55">
        <v>0</v>
      </c>
      <c r="DI457" s="55">
        <v>0</v>
      </c>
    </row>
    <row r="458" spans="1:113" hidden="1" outlineLevel="2">
      <c r="A458" s="1" t="s">
        <v>177</v>
      </c>
      <c r="B458" s="19" t="s">
        <v>370</v>
      </c>
      <c r="C458" s="55">
        <v>0</v>
      </c>
      <c r="D458" s="55">
        <v>0</v>
      </c>
      <c r="E458" s="55">
        <v>0</v>
      </c>
      <c r="F458" s="55">
        <v>0</v>
      </c>
      <c r="G458" s="55">
        <v>0</v>
      </c>
      <c r="H458" s="55">
        <v>0</v>
      </c>
      <c r="I458" s="55">
        <v>0</v>
      </c>
      <c r="J458" s="55">
        <v>0</v>
      </c>
      <c r="K458" s="55">
        <v>0</v>
      </c>
      <c r="L458" s="55">
        <v>0</v>
      </c>
      <c r="M458" s="55">
        <v>0</v>
      </c>
      <c r="N458" s="55">
        <v>0</v>
      </c>
      <c r="O458" s="55">
        <v>0</v>
      </c>
      <c r="P458" s="55">
        <v>0</v>
      </c>
      <c r="Q458" s="55">
        <v>0</v>
      </c>
      <c r="R458" s="55">
        <v>0</v>
      </c>
      <c r="S458" s="55">
        <v>0</v>
      </c>
      <c r="T458" s="55">
        <v>0</v>
      </c>
      <c r="U458" s="55">
        <v>0</v>
      </c>
      <c r="V458" s="55">
        <v>0</v>
      </c>
      <c r="W458" s="55">
        <v>0</v>
      </c>
      <c r="X458" s="55">
        <v>0</v>
      </c>
      <c r="Y458" s="55">
        <v>0</v>
      </c>
      <c r="Z458" s="55">
        <v>0</v>
      </c>
      <c r="AA458" s="55">
        <v>0</v>
      </c>
      <c r="AB458" s="55">
        <v>0</v>
      </c>
      <c r="AC458" s="55">
        <v>0</v>
      </c>
      <c r="AD458" s="55">
        <v>0</v>
      </c>
      <c r="AE458" s="55">
        <v>0</v>
      </c>
      <c r="AF458" s="55">
        <v>0</v>
      </c>
      <c r="AG458" s="55">
        <v>0</v>
      </c>
      <c r="AH458" s="55">
        <v>0</v>
      </c>
      <c r="AI458" s="55">
        <v>0</v>
      </c>
      <c r="AJ458" s="55">
        <v>0</v>
      </c>
      <c r="AK458" s="55">
        <v>0</v>
      </c>
      <c r="AL458" s="55">
        <v>0</v>
      </c>
      <c r="AM458" s="55">
        <v>0</v>
      </c>
      <c r="AN458" s="55">
        <v>0</v>
      </c>
      <c r="AO458" s="55">
        <v>0</v>
      </c>
      <c r="AP458" s="55">
        <v>0</v>
      </c>
      <c r="AQ458" s="55">
        <v>0</v>
      </c>
      <c r="AR458" s="55">
        <v>0</v>
      </c>
      <c r="AS458" s="55">
        <v>0</v>
      </c>
      <c r="AT458" s="55">
        <v>0</v>
      </c>
      <c r="AU458" s="55">
        <v>0</v>
      </c>
      <c r="AV458" s="55">
        <v>0</v>
      </c>
      <c r="AW458" s="56">
        <v>0</v>
      </c>
      <c r="AX458" s="55">
        <v>0</v>
      </c>
      <c r="AY458" s="55">
        <v>0</v>
      </c>
      <c r="AZ458" s="55">
        <v>0</v>
      </c>
      <c r="BA458" s="55">
        <v>0</v>
      </c>
      <c r="BB458" s="55">
        <v>0</v>
      </c>
      <c r="BC458" s="55">
        <v>0</v>
      </c>
      <c r="BD458" s="55">
        <v>0</v>
      </c>
      <c r="BE458" s="55">
        <v>0</v>
      </c>
      <c r="BF458" s="55">
        <v>0</v>
      </c>
      <c r="BG458" s="55">
        <v>0</v>
      </c>
      <c r="BH458" s="55">
        <v>0</v>
      </c>
      <c r="BI458" s="55">
        <v>0</v>
      </c>
      <c r="BJ458" s="55">
        <v>0</v>
      </c>
      <c r="BK458" s="55">
        <v>0</v>
      </c>
      <c r="BL458" s="55">
        <v>0</v>
      </c>
      <c r="BM458" s="55">
        <v>0</v>
      </c>
      <c r="BN458" s="55">
        <v>0</v>
      </c>
      <c r="BO458" s="55">
        <v>0</v>
      </c>
      <c r="BP458" s="55">
        <v>0</v>
      </c>
      <c r="BQ458" s="55">
        <v>0</v>
      </c>
      <c r="BR458" s="55"/>
      <c r="BS458" s="55">
        <v>0</v>
      </c>
      <c r="BT458" s="55">
        <v>0</v>
      </c>
      <c r="BU458" s="55">
        <v>0</v>
      </c>
      <c r="BV458" s="55">
        <v>0</v>
      </c>
      <c r="BW458" s="55">
        <v>0</v>
      </c>
      <c r="BX458" s="55">
        <v>0</v>
      </c>
      <c r="BY458" s="55">
        <v>0</v>
      </c>
      <c r="BZ458" s="55">
        <v>0</v>
      </c>
      <c r="CA458" s="55">
        <v>0</v>
      </c>
      <c r="CB458" s="55">
        <v>0</v>
      </c>
      <c r="CC458" s="55">
        <v>0</v>
      </c>
      <c r="CD458" s="55">
        <v>0</v>
      </c>
      <c r="CE458" s="55">
        <v>0</v>
      </c>
      <c r="CF458" s="55">
        <v>0</v>
      </c>
      <c r="CG458" s="55">
        <v>0</v>
      </c>
      <c r="CH458" s="55">
        <v>0</v>
      </c>
      <c r="CI458" s="55">
        <v>0</v>
      </c>
      <c r="CJ458" s="55">
        <v>0</v>
      </c>
      <c r="CK458" s="55">
        <v>0</v>
      </c>
      <c r="CL458" s="55">
        <v>0</v>
      </c>
      <c r="CM458" s="55">
        <v>0</v>
      </c>
      <c r="CN458" s="55">
        <v>0</v>
      </c>
      <c r="CO458" s="55">
        <v>0</v>
      </c>
      <c r="CP458" s="55">
        <v>0</v>
      </c>
      <c r="CQ458" s="55">
        <v>0</v>
      </c>
      <c r="CR458" s="55">
        <v>0</v>
      </c>
      <c r="CS458" s="55">
        <v>0</v>
      </c>
      <c r="CT458" s="55">
        <v>0</v>
      </c>
      <c r="CU458" s="55">
        <v>0</v>
      </c>
      <c r="CV458" s="55">
        <v>0</v>
      </c>
      <c r="CW458" s="55">
        <v>0</v>
      </c>
      <c r="CX458" s="55">
        <v>0</v>
      </c>
      <c r="CY458" s="56">
        <v>0</v>
      </c>
      <c r="CZ458" s="55">
        <v>0</v>
      </c>
      <c r="DA458" s="55">
        <v>0</v>
      </c>
      <c r="DB458" s="55">
        <v>0</v>
      </c>
      <c r="DC458" s="55">
        <v>0</v>
      </c>
      <c r="DD458" s="55">
        <v>0</v>
      </c>
      <c r="DE458" s="55">
        <v>0</v>
      </c>
      <c r="DF458" s="55">
        <v>0</v>
      </c>
      <c r="DG458" s="55">
        <v>0</v>
      </c>
      <c r="DH458" s="55">
        <v>0</v>
      </c>
      <c r="DI458" s="55">
        <v>0</v>
      </c>
    </row>
    <row r="459" spans="1:113" hidden="1" outlineLevel="2">
      <c r="A459" s="1" t="s">
        <v>95</v>
      </c>
      <c r="B459" s="19" t="s">
        <v>360</v>
      </c>
      <c r="C459" s="55">
        <v>0</v>
      </c>
      <c r="D459" s="55">
        <v>0</v>
      </c>
      <c r="E459" s="55">
        <v>0</v>
      </c>
      <c r="F459" s="55">
        <v>0</v>
      </c>
      <c r="G459" s="55">
        <v>0</v>
      </c>
      <c r="H459" s="55">
        <v>0</v>
      </c>
      <c r="I459" s="55">
        <v>0</v>
      </c>
      <c r="J459" s="55">
        <v>0</v>
      </c>
      <c r="K459" s="55">
        <v>0</v>
      </c>
      <c r="L459" s="55">
        <v>0</v>
      </c>
      <c r="M459" s="55">
        <v>0</v>
      </c>
      <c r="N459" s="55">
        <v>0</v>
      </c>
      <c r="O459" s="55">
        <v>0</v>
      </c>
      <c r="P459" s="55">
        <v>0</v>
      </c>
      <c r="Q459" s="55">
        <v>0</v>
      </c>
      <c r="R459" s="55">
        <v>0</v>
      </c>
      <c r="S459" s="55">
        <v>0</v>
      </c>
      <c r="T459" s="55">
        <v>0</v>
      </c>
      <c r="U459" s="55">
        <v>0</v>
      </c>
      <c r="V459" s="55">
        <v>0</v>
      </c>
      <c r="W459" s="55">
        <v>0</v>
      </c>
      <c r="X459" s="55">
        <v>0</v>
      </c>
      <c r="Y459" s="55">
        <v>0</v>
      </c>
      <c r="Z459" s="55">
        <v>0</v>
      </c>
      <c r="AA459" s="55">
        <v>0</v>
      </c>
      <c r="AB459" s="55">
        <v>0</v>
      </c>
      <c r="AC459" s="55">
        <v>0</v>
      </c>
      <c r="AD459" s="55">
        <v>0</v>
      </c>
      <c r="AE459" s="55">
        <v>0</v>
      </c>
      <c r="AF459" s="55">
        <v>0</v>
      </c>
      <c r="AG459" s="55">
        <v>0</v>
      </c>
      <c r="AH459" s="55">
        <v>0</v>
      </c>
      <c r="AI459" s="55">
        <v>0</v>
      </c>
      <c r="AJ459" s="55">
        <v>0</v>
      </c>
      <c r="AK459" s="55">
        <v>0</v>
      </c>
      <c r="AL459" s="55">
        <v>0</v>
      </c>
      <c r="AM459" s="55">
        <v>0</v>
      </c>
      <c r="AN459" s="55">
        <v>0</v>
      </c>
      <c r="AO459" s="55">
        <v>0</v>
      </c>
      <c r="AP459" s="55">
        <v>0</v>
      </c>
      <c r="AQ459" s="55">
        <v>0</v>
      </c>
      <c r="AR459" s="55">
        <v>0</v>
      </c>
      <c r="AS459" s="55">
        <v>0</v>
      </c>
      <c r="AT459" s="55">
        <v>0</v>
      </c>
      <c r="AU459" s="55">
        <v>0</v>
      </c>
      <c r="AV459" s="55">
        <v>0</v>
      </c>
      <c r="AW459" s="56">
        <v>0</v>
      </c>
      <c r="AX459" s="55">
        <v>0</v>
      </c>
      <c r="AY459" s="55">
        <v>0</v>
      </c>
      <c r="AZ459" s="55">
        <v>0</v>
      </c>
      <c r="BA459" s="55">
        <v>0</v>
      </c>
      <c r="BB459" s="55">
        <v>0</v>
      </c>
      <c r="BC459" s="55">
        <v>0</v>
      </c>
      <c r="BD459" s="55">
        <v>0</v>
      </c>
      <c r="BE459" s="55">
        <v>0</v>
      </c>
      <c r="BF459" s="55">
        <v>0</v>
      </c>
      <c r="BG459" s="55">
        <v>0</v>
      </c>
      <c r="BH459" s="55">
        <v>0</v>
      </c>
      <c r="BI459" s="55">
        <v>0</v>
      </c>
      <c r="BJ459" s="55">
        <v>0</v>
      </c>
      <c r="BK459" s="55">
        <v>0</v>
      </c>
      <c r="BL459" s="55">
        <v>0</v>
      </c>
      <c r="BM459" s="55">
        <v>0</v>
      </c>
      <c r="BN459" s="55">
        <v>0</v>
      </c>
      <c r="BO459" s="55">
        <v>0</v>
      </c>
      <c r="BP459" s="55">
        <v>0</v>
      </c>
      <c r="BQ459" s="55">
        <v>0</v>
      </c>
      <c r="BR459" s="55"/>
      <c r="BS459" s="55">
        <v>0</v>
      </c>
      <c r="BT459" s="55">
        <v>0</v>
      </c>
      <c r="BU459" s="55">
        <v>0</v>
      </c>
      <c r="BV459" s="55">
        <v>0</v>
      </c>
      <c r="BW459" s="55">
        <v>0</v>
      </c>
      <c r="BX459" s="55">
        <v>0</v>
      </c>
      <c r="BY459" s="55">
        <v>0</v>
      </c>
      <c r="BZ459" s="55">
        <v>0</v>
      </c>
      <c r="CA459" s="55">
        <v>0</v>
      </c>
      <c r="CB459" s="55">
        <v>0</v>
      </c>
      <c r="CC459" s="55">
        <v>0</v>
      </c>
      <c r="CD459" s="55">
        <v>0</v>
      </c>
      <c r="CE459" s="55">
        <v>0</v>
      </c>
      <c r="CF459" s="55">
        <v>0</v>
      </c>
      <c r="CG459" s="55">
        <v>0</v>
      </c>
      <c r="CH459" s="55">
        <v>0</v>
      </c>
      <c r="CI459" s="55">
        <v>0</v>
      </c>
      <c r="CJ459" s="55">
        <v>0</v>
      </c>
      <c r="CK459" s="55">
        <v>0</v>
      </c>
      <c r="CL459" s="55">
        <v>0</v>
      </c>
      <c r="CM459" s="55">
        <v>0</v>
      </c>
      <c r="CN459" s="55">
        <v>0</v>
      </c>
      <c r="CO459" s="55">
        <v>0</v>
      </c>
      <c r="CP459" s="55">
        <v>0</v>
      </c>
      <c r="CQ459" s="55">
        <v>0</v>
      </c>
      <c r="CR459" s="55">
        <v>0</v>
      </c>
      <c r="CS459" s="55">
        <v>0</v>
      </c>
      <c r="CT459" s="55">
        <v>0</v>
      </c>
      <c r="CU459" s="55">
        <v>0</v>
      </c>
      <c r="CV459" s="55">
        <v>0</v>
      </c>
      <c r="CW459" s="55">
        <v>0</v>
      </c>
      <c r="CX459" s="55">
        <v>0</v>
      </c>
      <c r="CY459" s="56">
        <v>0</v>
      </c>
      <c r="CZ459" s="55">
        <v>0</v>
      </c>
      <c r="DA459" s="55">
        <v>0</v>
      </c>
      <c r="DB459" s="55">
        <v>0</v>
      </c>
      <c r="DC459" s="55">
        <v>0</v>
      </c>
      <c r="DD459" s="55">
        <v>0</v>
      </c>
      <c r="DE459" s="55">
        <v>0</v>
      </c>
      <c r="DF459" s="55">
        <v>0</v>
      </c>
      <c r="DG459" s="55">
        <v>0</v>
      </c>
      <c r="DH459" s="55">
        <v>0</v>
      </c>
      <c r="DI459" s="55">
        <v>0</v>
      </c>
    </row>
    <row r="460" spans="1:113" hidden="1" outlineLevel="2">
      <c r="A460" s="1" t="s">
        <v>96</v>
      </c>
      <c r="B460" s="19" t="s">
        <v>423</v>
      </c>
      <c r="C460" s="55">
        <v>0</v>
      </c>
      <c r="D460" s="55">
        <v>0</v>
      </c>
      <c r="E460" s="55">
        <v>0</v>
      </c>
      <c r="F460" s="55">
        <v>0</v>
      </c>
      <c r="G460" s="55">
        <v>0</v>
      </c>
      <c r="H460" s="55">
        <v>0</v>
      </c>
      <c r="I460" s="55">
        <v>0</v>
      </c>
      <c r="J460" s="55">
        <v>0</v>
      </c>
      <c r="K460" s="55">
        <v>0</v>
      </c>
      <c r="L460" s="55">
        <v>0</v>
      </c>
      <c r="M460" s="55">
        <v>0</v>
      </c>
      <c r="N460" s="55">
        <v>0</v>
      </c>
      <c r="O460" s="55">
        <v>0</v>
      </c>
      <c r="P460" s="55">
        <v>0</v>
      </c>
      <c r="Q460" s="55">
        <v>0</v>
      </c>
      <c r="R460" s="55">
        <v>0</v>
      </c>
      <c r="S460" s="55">
        <v>0</v>
      </c>
      <c r="T460" s="55">
        <v>0</v>
      </c>
      <c r="U460" s="55">
        <v>0</v>
      </c>
      <c r="V460" s="55">
        <v>0</v>
      </c>
      <c r="W460" s="55">
        <v>0</v>
      </c>
      <c r="X460" s="55">
        <v>0</v>
      </c>
      <c r="Y460" s="55">
        <v>0</v>
      </c>
      <c r="Z460" s="55">
        <v>0</v>
      </c>
      <c r="AA460" s="55">
        <v>0</v>
      </c>
      <c r="AB460" s="55">
        <v>0</v>
      </c>
      <c r="AC460" s="55">
        <v>0</v>
      </c>
      <c r="AD460" s="55">
        <v>0</v>
      </c>
      <c r="AE460" s="55">
        <v>0</v>
      </c>
      <c r="AF460" s="55">
        <v>0</v>
      </c>
      <c r="AG460" s="55">
        <v>0</v>
      </c>
      <c r="AH460" s="55">
        <v>0</v>
      </c>
      <c r="AI460" s="55">
        <v>0</v>
      </c>
      <c r="AJ460" s="55">
        <v>0</v>
      </c>
      <c r="AK460" s="55">
        <v>0</v>
      </c>
      <c r="AL460" s="55">
        <v>0</v>
      </c>
      <c r="AM460" s="55">
        <v>0</v>
      </c>
      <c r="AN460" s="55">
        <v>0</v>
      </c>
      <c r="AO460" s="55">
        <v>0</v>
      </c>
      <c r="AP460" s="55">
        <v>0</v>
      </c>
      <c r="AQ460" s="55">
        <v>0</v>
      </c>
      <c r="AR460" s="55">
        <v>0</v>
      </c>
      <c r="AS460" s="55">
        <v>0</v>
      </c>
      <c r="AT460" s="55">
        <v>0</v>
      </c>
      <c r="AU460" s="55">
        <v>0</v>
      </c>
      <c r="AV460" s="55">
        <v>0</v>
      </c>
      <c r="AW460" s="56">
        <v>0</v>
      </c>
      <c r="AX460" s="55">
        <v>0</v>
      </c>
      <c r="AY460" s="55">
        <v>0</v>
      </c>
      <c r="AZ460" s="55">
        <v>0</v>
      </c>
      <c r="BA460" s="55">
        <v>0</v>
      </c>
      <c r="BB460" s="55">
        <v>0</v>
      </c>
      <c r="BC460" s="55">
        <v>0</v>
      </c>
      <c r="BD460" s="55">
        <v>0</v>
      </c>
      <c r="BE460" s="55">
        <v>0</v>
      </c>
      <c r="BF460" s="55">
        <v>0</v>
      </c>
      <c r="BG460" s="55">
        <v>0</v>
      </c>
      <c r="BH460" s="55">
        <v>0</v>
      </c>
      <c r="BI460" s="55">
        <v>0</v>
      </c>
      <c r="BJ460" s="55">
        <v>0</v>
      </c>
      <c r="BK460" s="55">
        <v>0</v>
      </c>
      <c r="BL460" s="55">
        <v>0</v>
      </c>
      <c r="BM460" s="55">
        <v>0</v>
      </c>
      <c r="BN460" s="55">
        <v>0</v>
      </c>
      <c r="BO460" s="55">
        <v>0</v>
      </c>
      <c r="BP460" s="55">
        <v>0</v>
      </c>
      <c r="BQ460" s="55">
        <v>0</v>
      </c>
      <c r="BR460" s="55"/>
      <c r="BS460" s="55">
        <v>0</v>
      </c>
      <c r="BT460" s="55">
        <v>0</v>
      </c>
      <c r="BU460" s="55">
        <v>0</v>
      </c>
      <c r="BV460" s="55">
        <v>0</v>
      </c>
      <c r="BW460" s="55">
        <v>0</v>
      </c>
      <c r="BX460" s="55">
        <v>0</v>
      </c>
      <c r="BY460" s="55">
        <v>0</v>
      </c>
      <c r="BZ460" s="55">
        <v>0</v>
      </c>
      <c r="CA460" s="55">
        <v>0</v>
      </c>
      <c r="CB460" s="55">
        <v>0</v>
      </c>
      <c r="CC460" s="55">
        <v>0</v>
      </c>
      <c r="CD460" s="55">
        <v>0</v>
      </c>
      <c r="CE460" s="55">
        <v>0</v>
      </c>
      <c r="CF460" s="55">
        <v>0</v>
      </c>
      <c r="CG460" s="55">
        <v>0</v>
      </c>
      <c r="CH460" s="55">
        <v>0</v>
      </c>
      <c r="CI460" s="55">
        <v>0</v>
      </c>
      <c r="CJ460" s="55">
        <v>0</v>
      </c>
      <c r="CK460" s="55">
        <v>0</v>
      </c>
      <c r="CL460" s="55">
        <v>0</v>
      </c>
      <c r="CM460" s="55">
        <v>0</v>
      </c>
      <c r="CN460" s="55">
        <v>0</v>
      </c>
      <c r="CO460" s="55">
        <v>0</v>
      </c>
      <c r="CP460" s="55">
        <v>0</v>
      </c>
      <c r="CQ460" s="55">
        <v>0</v>
      </c>
      <c r="CR460" s="55">
        <v>0</v>
      </c>
      <c r="CS460" s="55">
        <v>0</v>
      </c>
      <c r="CT460" s="55">
        <v>0</v>
      </c>
      <c r="CU460" s="55">
        <v>0</v>
      </c>
      <c r="CV460" s="55">
        <v>0</v>
      </c>
      <c r="CW460" s="55">
        <v>0</v>
      </c>
      <c r="CX460" s="55">
        <v>0</v>
      </c>
      <c r="CY460" s="56">
        <v>0</v>
      </c>
      <c r="CZ460" s="55">
        <v>0</v>
      </c>
      <c r="DA460" s="55">
        <v>0</v>
      </c>
      <c r="DB460" s="55">
        <v>0</v>
      </c>
      <c r="DC460" s="55">
        <v>0</v>
      </c>
      <c r="DD460" s="55">
        <v>0</v>
      </c>
      <c r="DE460" s="55">
        <v>0</v>
      </c>
      <c r="DF460" s="55">
        <v>0</v>
      </c>
      <c r="DG460" s="55">
        <v>0</v>
      </c>
      <c r="DH460" s="55">
        <v>0</v>
      </c>
      <c r="DI460" s="55">
        <v>0</v>
      </c>
    </row>
    <row r="461" spans="1:113" s="24" customFormat="1" hidden="1" outlineLevel="2">
      <c r="A461" s="1" t="s">
        <v>97</v>
      </c>
      <c r="B461" s="24" t="s">
        <v>320</v>
      </c>
      <c r="C461" s="82">
        <v>1858</v>
      </c>
      <c r="D461" s="82">
        <v>1952</v>
      </c>
      <c r="E461" s="82">
        <v>1915</v>
      </c>
      <c r="F461" s="82">
        <v>1775</v>
      </c>
      <c r="G461" s="82">
        <v>2073</v>
      </c>
      <c r="H461" s="82">
        <v>2008</v>
      </c>
      <c r="I461" s="82">
        <v>2234</v>
      </c>
      <c r="J461" s="82">
        <v>2586</v>
      </c>
      <c r="K461" s="82">
        <v>2647</v>
      </c>
      <c r="L461" s="82">
        <v>3043</v>
      </c>
      <c r="M461" s="82">
        <v>3044</v>
      </c>
      <c r="N461" s="82">
        <v>3413</v>
      </c>
      <c r="O461" s="82">
        <v>3357</v>
      </c>
      <c r="P461" s="82">
        <v>3638</v>
      </c>
      <c r="Q461" s="82">
        <v>3682</v>
      </c>
      <c r="R461" s="82">
        <v>4473</v>
      </c>
      <c r="S461" s="82">
        <v>4771</v>
      </c>
      <c r="T461" s="82">
        <v>5424</v>
      </c>
      <c r="U461" s="82">
        <v>5034</v>
      </c>
      <c r="V461" s="82">
        <v>5331</v>
      </c>
      <c r="W461" s="82">
        <v>5437</v>
      </c>
      <c r="X461" s="82">
        <v>5503</v>
      </c>
      <c r="Y461" s="82">
        <v>5451</v>
      </c>
      <c r="Z461" s="82">
        <v>5822</v>
      </c>
      <c r="AA461" s="82">
        <v>5989</v>
      </c>
      <c r="AB461" s="82">
        <v>6397</v>
      </c>
      <c r="AC461" s="82">
        <v>6505</v>
      </c>
      <c r="AD461" s="82">
        <v>6813</v>
      </c>
      <c r="AE461" s="82">
        <v>6772</v>
      </c>
      <c r="AF461" s="82">
        <v>7210</v>
      </c>
      <c r="AG461" s="82">
        <v>7103</v>
      </c>
      <c r="AH461" s="82">
        <v>7361</v>
      </c>
      <c r="AI461" s="82">
        <v>7258</v>
      </c>
      <c r="AJ461" s="82">
        <v>7193</v>
      </c>
      <c r="AK461" s="82">
        <v>6734</v>
      </c>
      <c r="AL461" s="82">
        <v>6895.7162288178552</v>
      </c>
      <c r="AM461" s="82">
        <v>5859.2837711821476</v>
      </c>
      <c r="AN461" s="82">
        <v>6770</v>
      </c>
      <c r="AO461" s="82">
        <v>5995</v>
      </c>
      <c r="AP461" s="82">
        <v>6370</v>
      </c>
      <c r="AQ461" s="82">
        <v>6427</v>
      </c>
      <c r="AR461" s="82">
        <v>6617</v>
      </c>
      <c r="AS461" s="82">
        <v>6644</v>
      </c>
      <c r="AT461" s="82">
        <v>7850</v>
      </c>
      <c r="AU461" s="82">
        <v>7427</v>
      </c>
      <c r="AV461" s="82">
        <v>7638</v>
      </c>
      <c r="AW461" s="83">
        <v>7318</v>
      </c>
      <c r="AX461" s="82">
        <v>7630.1805357063622</v>
      </c>
      <c r="AY461" s="82">
        <v>7556.2408768878213</v>
      </c>
      <c r="AZ461" s="82">
        <v>7789.1875206183413</v>
      </c>
      <c r="BA461" s="82">
        <v>7664.3836029120521</v>
      </c>
      <c r="BB461" s="82">
        <v>7843.7881314742417</v>
      </c>
      <c r="BC461" s="82">
        <v>7748.1161421766574</v>
      </c>
      <c r="BD461" s="82">
        <v>8004.8774793056391</v>
      </c>
      <c r="BE461" s="82">
        <v>8004.4338667892007</v>
      </c>
      <c r="BF461" s="82">
        <v>8234.0055844276867</v>
      </c>
      <c r="BG461" s="82">
        <v>8130.7068768814024</v>
      </c>
      <c r="BH461" s="82">
        <v>8438.0712122879013</v>
      </c>
      <c r="BI461" s="82">
        <v>8404.4684247106889</v>
      </c>
      <c r="BJ461" s="82">
        <v>8724.3718416752454</v>
      </c>
      <c r="BK461" s="82">
        <v>8680.5253909641942</v>
      </c>
      <c r="BL461" s="82">
        <v>8995.2341873742334</v>
      </c>
      <c r="BM461" s="82">
        <v>9011.5107003394569</v>
      </c>
      <c r="BN461" s="82">
        <v>9382.8628202703931</v>
      </c>
      <c r="BO461" s="82">
        <v>9397.2501522154962</v>
      </c>
      <c r="BP461" s="82">
        <v>9808.0104442889915</v>
      </c>
      <c r="BQ461" s="82">
        <v>9824.1205573366424</v>
      </c>
      <c r="BR461" s="82"/>
      <c r="BS461" s="82">
        <v>1504</v>
      </c>
      <c r="BT461" s="82">
        <v>1413</v>
      </c>
      <c r="BU461" s="82">
        <v>1375</v>
      </c>
      <c r="BV461" s="82">
        <v>1705</v>
      </c>
      <c r="BW461" s="82">
        <v>1889</v>
      </c>
      <c r="BX461" s="82">
        <v>1957</v>
      </c>
      <c r="BY461" s="82">
        <v>2191</v>
      </c>
      <c r="BZ461" s="82">
        <v>2454</v>
      </c>
      <c r="CA461" s="82">
        <v>2732</v>
      </c>
      <c r="CB461" s="82">
        <v>3654</v>
      </c>
      <c r="CC461" s="82">
        <v>3867</v>
      </c>
      <c r="CD461" s="82">
        <v>3848</v>
      </c>
      <c r="CE461" s="82">
        <v>4242</v>
      </c>
      <c r="CF461" s="82">
        <v>5233</v>
      </c>
      <c r="CG461" s="82">
        <v>6087</v>
      </c>
      <c r="CH461" s="82">
        <v>6770</v>
      </c>
      <c r="CI461" s="82">
        <v>7320</v>
      </c>
      <c r="CJ461" s="82">
        <v>9244</v>
      </c>
      <c r="CK461" s="82">
        <v>10458</v>
      </c>
      <c r="CL461" s="82">
        <v>10768</v>
      </c>
      <c r="CM461" s="82">
        <v>10954</v>
      </c>
      <c r="CN461" s="82">
        <v>11811</v>
      </c>
      <c r="CO461" s="82">
        <v>12902</v>
      </c>
      <c r="CP461" s="82">
        <v>13585</v>
      </c>
      <c r="CQ461" s="82">
        <v>14313</v>
      </c>
      <c r="CR461" s="82">
        <v>14619</v>
      </c>
      <c r="CS461" s="82">
        <v>13927</v>
      </c>
      <c r="CT461" s="82">
        <v>12755</v>
      </c>
      <c r="CU461" s="82">
        <v>12765</v>
      </c>
      <c r="CV461" s="82">
        <v>12797</v>
      </c>
      <c r="CW461" s="82">
        <v>13261</v>
      </c>
      <c r="CX461" s="82">
        <v>15277</v>
      </c>
      <c r="CY461" s="83">
        <v>14956</v>
      </c>
      <c r="CZ461" s="82">
        <v>15186.421412594182</v>
      </c>
      <c r="DA461" s="82">
        <v>15453.571123530397</v>
      </c>
      <c r="DB461" s="82">
        <v>15591.9042736509</v>
      </c>
      <c r="DC461" s="82">
        <v>16009.311346094837</v>
      </c>
      <c r="DD461" s="82">
        <v>16364.712461309089</v>
      </c>
      <c r="DE461" s="82">
        <v>16842.53963699859</v>
      </c>
      <c r="DF461" s="82">
        <v>17404.89723263944</v>
      </c>
      <c r="DG461" s="82">
        <v>18006.744887713692</v>
      </c>
      <c r="DH461" s="82">
        <v>18780.112972485891</v>
      </c>
      <c r="DI461" s="82">
        <v>19632.131001625632</v>
      </c>
    </row>
    <row r="462" spans="1:113" hidden="1" outlineLevel="2">
      <c r="A462" s="1" t="s">
        <v>98</v>
      </c>
      <c r="B462" s="19" t="s">
        <v>526</v>
      </c>
      <c r="C462" s="55">
        <v>0</v>
      </c>
      <c r="D462" s="55">
        <v>0</v>
      </c>
      <c r="E462" s="55">
        <v>0</v>
      </c>
      <c r="F462" s="55">
        <v>0</v>
      </c>
      <c r="G462" s="55">
        <v>0</v>
      </c>
      <c r="H462" s="55">
        <v>0</v>
      </c>
      <c r="I462" s="55">
        <v>0</v>
      </c>
      <c r="J462" s="55">
        <v>82</v>
      </c>
      <c r="K462" s="55">
        <v>19</v>
      </c>
      <c r="L462" s="55">
        <v>116</v>
      </c>
      <c r="M462" s="55">
        <v>70</v>
      </c>
      <c r="N462" s="55">
        <v>-11</v>
      </c>
      <c r="O462" s="55">
        <v>213</v>
      </c>
      <c r="P462" s="55">
        <v>22</v>
      </c>
      <c r="Q462" s="55">
        <v>-157</v>
      </c>
      <c r="R462" s="55">
        <v>417</v>
      </c>
      <c r="S462" s="55">
        <v>-164</v>
      </c>
      <c r="T462" s="55">
        <v>382</v>
      </c>
      <c r="U462" s="55">
        <v>-268</v>
      </c>
      <c r="V462" s="55">
        <v>-287</v>
      </c>
      <c r="W462" s="55">
        <v>-144</v>
      </c>
      <c r="X462" s="55">
        <v>103</v>
      </c>
      <c r="Y462" s="55">
        <v>-4</v>
      </c>
      <c r="Z462" s="55">
        <v>-17</v>
      </c>
      <c r="AA462" s="55">
        <v>-3</v>
      </c>
      <c r="AB462" s="55">
        <v>-25</v>
      </c>
      <c r="AC462" s="55">
        <v>38</v>
      </c>
      <c r="AD462" s="55">
        <v>-53</v>
      </c>
      <c r="AE462" s="55">
        <v>68</v>
      </c>
      <c r="AF462" s="55">
        <v>-251</v>
      </c>
      <c r="AG462" s="55">
        <v>43</v>
      </c>
      <c r="AH462" s="55">
        <v>8</v>
      </c>
      <c r="AI462" s="55">
        <v>94</v>
      </c>
      <c r="AJ462" s="55">
        <v>200</v>
      </c>
      <c r="AK462" s="55">
        <v>-26</v>
      </c>
      <c r="AL462" s="55">
        <v>93.283771182144847</v>
      </c>
      <c r="AM462" s="55">
        <v>115.71622881785242</v>
      </c>
      <c r="AN462" s="55">
        <v>266</v>
      </c>
      <c r="AO462" s="55">
        <v>139</v>
      </c>
      <c r="AP462" s="55">
        <v>-126</v>
      </c>
      <c r="AQ462" s="55">
        <v>258</v>
      </c>
      <c r="AR462" s="55">
        <v>-46</v>
      </c>
      <c r="AS462" s="55">
        <v>112</v>
      </c>
      <c r="AT462" s="55">
        <v>136</v>
      </c>
      <c r="AU462" s="55">
        <v>-64</v>
      </c>
      <c r="AV462" s="55">
        <v>-158</v>
      </c>
      <c r="AW462" s="56">
        <v>-214</v>
      </c>
      <c r="AX462" s="55">
        <v>0</v>
      </c>
      <c r="AY462" s="55">
        <v>0</v>
      </c>
      <c r="AZ462" s="55">
        <v>0</v>
      </c>
      <c r="BA462" s="55">
        <v>0</v>
      </c>
      <c r="BB462" s="55">
        <v>0</v>
      </c>
      <c r="BC462" s="55">
        <v>0</v>
      </c>
      <c r="BD462" s="55">
        <v>0</v>
      </c>
      <c r="BE462" s="55">
        <v>0</v>
      </c>
      <c r="BF462" s="55">
        <v>0</v>
      </c>
      <c r="BG462" s="55">
        <v>0</v>
      </c>
      <c r="BH462" s="55">
        <v>0</v>
      </c>
      <c r="BI462" s="55">
        <v>0</v>
      </c>
      <c r="BJ462" s="55">
        <v>0</v>
      </c>
      <c r="BK462" s="55">
        <v>0</v>
      </c>
      <c r="BL462" s="55">
        <v>0</v>
      </c>
      <c r="BM462" s="55">
        <v>0</v>
      </c>
      <c r="BN462" s="55">
        <v>0</v>
      </c>
      <c r="BO462" s="55">
        <v>0</v>
      </c>
      <c r="BP462" s="55">
        <v>0</v>
      </c>
      <c r="BQ462" s="55">
        <v>0</v>
      </c>
      <c r="BR462" s="55"/>
      <c r="BS462" s="55">
        <v>0</v>
      </c>
      <c r="BT462" s="55">
        <v>-136</v>
      </c>
      <c r="BU462" s="55">
        <v>0</v>
      </c>
      <c r="BV462" s="55">
        <v>-28</v>
      </c>
      <c r="BW462" s="55">
        <v>0</v>
      </c>
      <c r="BX462" s="55">
        <v>-171</v>
      </c>
      <c r="BY462" s="55">
        <v>-207</v>
      </c>
      <c r="BZ462" s="55">
        <v>-47</v>
      </c>
      <c r="CA462" s="55">
        <v>1002</v>
      </c>
      <c r="CB462" s="55">
        <v>136</v>
      </c>
      <c r="CC462" s="55">
        <v>0</v>
      </c>
      <c r="CD462" s="55">
        <v>0</v>
      </c>
      <c r="CE462" s="55">
        <v>0</v>
      </c>
      <c r="CF462" s="55">
        <v>101</v>
      </c>
      <c r="CG462" s="55">
        <v>186</v>
      </c>
      <c r="CH462" s="55">
        <v>202</v>
      </c>
      <c r="CI462" s="55">
        <v>-135</v>
      </c>
      <c r="CJ462" s="55">
        <v>253</v>
      </c>
      <c r="CK462" s="55">
        <v>114</v>
      </c>
      <c r="CL462" s="55">
        <v>-431</v>
      </c>
      <c r="CM462" s="55">
        <v>99</v>
      </c>
      <c r="CN462" s="55">
        <v>-20</v>
      </c>
      <c r="CO462" s="55">
        <v>13</v>
      </c>
      <c r="CP462" s="55">
        <v>15</v>
      </c>
      <c r="CQ462" s="55">
        <v>-208</v>
      </c>
      <c r="CR462" s="55">
        <v>102</v>
      </c>
      <c r="CS462" s="55">
        <v>174</v>
      </c>
      <c r="CT462" s="55">
        <v>208.99999999999727</v>
      </c>
      <c r="CU462" s="55">
        <v>405</v>
      </c>
      <c r="CV462" s="55">
        <v>132</v>
      </c>
      <c r="CW462" s="55">
        <v>66</v>
      </c>
      <c r="CX462" s="55">
        <v>72</v>
      </c>
      <c r="CY462" s="56">
        <v>-372</v>
      </c>
      <c r="CZ462" s="55">
        <v>0</v>
      </c>
      <c r="DA462" s="55">
        <v>0</v>
      </c>
      <c r="DB462" s="55">
        <v>0</v>
      </c>
      <c r="DC462" s="55">
        <v>0</v>
      </c>
      <c r="DD462" s="55">
        <v>0</v>
      </c>
      <c r="DE462" s="55">
        <v>0</v>
      </c>
      <c r="DF462" s="55">
        <v>0</v>
      </c>
      <c r="DG462" s="55">
        <v>0</v>
      </c>
      <c r="DH462" s="55">
        <v>0</v>
      </c>
      <c r="DI462" s="55">
        <v>0</v>
      </c>
    </row>
    <row r="463" spans="1:113" s="24" customFormat="1" hidden="1" outlineLevel="2">
      <c r="A463" s="1" t="s">
        <v>99</v>
      </c>
      <c r="B463" s="24" t="s">
        <v>476</v>
      </c>
      <c r="C463" s="82">
        <v>1858</v>
      </c>
      <c r="D463" s="82">
        <v>1952</v>
      </c>
      <c r="E463" s="82">
        <v>1915</v>
      </c>
      <c r="F463" s="82">
        <v>1775</v>
      </c>
      <c r="G463" s="82">
        <v>2073</v>
      </c>
      <c r="H463" s="82">
        <v>2008</v>
      </c>
      <c r="I463" s="82">
        <v>2234</v>
      </c>
      <c r="J463" s="82">
        <v>2668</v>
      </c>
      <c r="K463" s="82">
        <v>2666</v>
      </c>
      <c r="L463" s="82">
        <v>3159</v>
      </c>
      <c r="M463" s="82">
        <v>3114</v>
      </c>
      <c r="N463" s="82">
        <v>3402</v>
      </c>
      <c r="O463" s="82">
        <v>3570</v>
      </c>
      <c r="P463" s="82">
        <v>3660</v>
      </c>
      <c r="Q463" s="82">
        <v>3525</v>
      </c>
      <c r="R463" s="82">
        <v>4890</v>
      </c>
      <c r="S463" s="82">
        <v>4607</v>
      </c>
      <c r="T463" s="82">
        <v>5806</v>
      </c>
      <c r="U463" s="82">
        <v>4766</v>
      </c>
      <c r="V463" s="82">
        <v>5044</v>
      </c>
      <c r="W463" s="82">
        <v>5293</v>
      </c>
      <c r="X463" s="82">
        <v>5606</v>
      </c>
      <c r="Y463" s="82">
        <v>5447</v>
      </c>
      <c r="Z463" s="82">
        <v>5805</v>
      </c>
      <c r="AA463" s="82">
        <v>5986</v>
      </c>
      <c r="AB463" s="82">
        <v>6372</v>
      </c>
      <c r="AC463" s="82">
        <v>6543</v>
      </c>
      <c r="AD463" s="82">
        <v>6760</v>
      </c>
      <c r="AE463" s="82">
        <v>6840</v>
      </c>
      <c r="AF463" s="82">
        <v>6959</v>
      </c>
      <c r="AG463" s="82">
        <v>7146</v>
      </c>
      <c r="AH463" s="82">
        <v>7369</v>
      </c>
      <c r="AI463" s="82">
        <v>7352</v>
      </c>
      <c r="AJ463" s="82">
        <v>7393</v>
      </c>
      <c r="AK463" s="82">
        <v>6708</v>
      </c>
      <c r="AL463" s="82">
        <v>6989</v>
      </c>
      <c r="AM463" s="82">
        <v>5975</v>
      </c>
      <c r="AN463" s="82">
        <v>7036</v>
      </c>
      <c r="AO463" s="82">
        <v>6134</v>
      </c>
      <c r="AP463" s="82">
        <v>6244</v>
      </c>
      <c r="AQ463" s="82">
        <v>6685</v>
      </c>
      <c r="AR463" s="82">
        <v>6571</v>
      </c>
      <c r="AS463" s="82">
        <v>6756</v>
      </c>
      <c r="AT463" s="82">
        <v>7986</v>
      </c>
      <c r="AU463" s="82">
        <v>7363</v>
      </c>
      <c r="AV463" s="82">
        <v>7480</v>
      </c>
      <c r="AW463" s="83">
        <v>7104</v>
      </c>
      <c r="AX463" s="82">
        <v>7630.1805357063622</v>
      </c>
      <c r="AY463" s="82">
        <v>7556.2408768878213</v>
      </c>
      <c r="AZ463" s="82">
        <v>7789.1875206183413</v>
      </c>
      <c r="BA463" s="82">
        <v>7664.3836029120521</v>
      </c>
      <c r="BB463" s="82">
        <v>7843.7881314742417</v>
      </c>
      <c r="BC463" s="82">
        <v>7748.1161421766574</v>
      </c>
      <c r="BD463" s="82">
        <v>8004.8774793056391</v>
      </c>
      <c r="BE463" s="82">
        <v>8004.4338667892007</v>
      </c>
      <c r="BF463" s="82">
        <v>8234.0055844276867</v>
      </c>
      <c r="BG463" s="82">
        <v>8130.7068768814024</v>
      </c>
      <c r="BH463" s="82">
        <v>8438.0712122879013</v>
      </c>
      <c r="BI463" s="82">
        <v>8404.4684247106889</v>
      </c>
      <c r="BJ463" s="82">
        <v>8724.3718416752454</v>
      </c>
      <c r="BK463" s="82">
        <v>8680.5253909641942</v>
      </c>
      <c r="BL463" s="82">
        <v>8995.2341873742334</v>
      </c>
      <c r="BM463" s="82">
        <v>9011.5107003394569</v>
      </c>
      <c r="BN463" s="82">
        <v>9382.8628202703931</v>
      </c>
      <c r="BO463" s="82">
        <v>9397.2501522154962</v>
      </c>
      <c r="BP463" s="82">
        <v>9808.0104442889915</v>
      </c>
      <c r="BQ463" s="82">
        <v>9824.1205573366424</v>
      </c>
      <c r="BR463" s="82"/>
      <c r="BS463" s="82">
        <v>1504</v>
      </c>
      <c r="BT463" s="82">
        <v>1277</v>
      </c>
      <c r="BU463" s="82">
        <v>1375</v>
      </c>
      <c r="BV463" s="82">
        <v>1677</v>
      </c>
      <c r="BW463" s="82">
        <v>1889</v>
      </c>
      <c r="BX463" s="82">
        <v>1786</v>
      </c>
      <c r="BY463" s="82">
        <v>1984</v>
      </c>
      <c r="BZ463" s="82">
        <v>2407</v>
      </c>
      <c r="CA463" s="82">
        <v>3734</v>
      </c>
      <c r="CB463" s="82">
        <v>3790</v>
      </c>
      <c r="CC463" s="82">
        <v>3867</v>
      </c>
      <c r="CD463" s="82">
        <v>3848</v>
      </c>
      <c r="CE463" s="82">
        <v>4242</v>
      </c>
      <c r="CF463" s="82">
        <v>5334</v>
      </c>
      <c r="CG463" s="82">
        <v>6273</v>
      </c>
      <c r="CH463" s="82">
        <v>6972</v>
      </c>
      <c r="CI463" s="82">
        <v>7185</v>
      </c>
      <c r="CJ463" s="82">
        <v>9497</v>
      </c>
      <c r="CK463" s="82">
        <v>10572</v>
      </c>
      <c r="CL463" s="82">
        <v>10337</v>
      </c>
      <c r="CM463" s="82">
        <v>11053</v>
      </c>
      <c r="CN463" s="82">
        <v>11791</v>
      </c>
      <c r="CO463" s="82">
        <v>12915</v>
      </c>
      <c r="CP463" s="82">
        <v>13600</v>
      </c>
      <c r="CQ463" s="82">
        <v>14105</v>
      </c>
      <c r="CR463" s="82">
        <v>14721</v>
      </c>
      <c r="CS463" s="82">
        <v>14101</v>
      </c>
      <c r="CT463" s="82">
        <v>12963.999999999996</v>
      </c>
      <c r="CU463" s="82">
        <v>13170</v>
      </c>
      <c r="CV463" s="82">
        <v>12929</v>
      </c>
      <c r="CW463" s="82">
        <v>13327</v>
      </c>
      <c r="CX463" s="82">
        <v>15349</v>
      </c>
      <c r="CY463" s="83">
        <v>14584</v>
      </c>
      <c r="CZ463" s="82">
        <v>15186.421412594182</v>
      </c>
      <c r="DA463" s="82">
        <v>15453.571123530397</v>
      </c>
      <c r="DB463" s="82">
        <v>15591.9042736509</v>
      </c>
      <c r="DC463" s="82">
        <v>16009.311346094837</v>
      </c>
      <c r="DD463" s="82">
        <v>16364.712461309089</v>
      </c>
      <c r="DE463" s="82">
        <v>16842.53963699859</v>
      </c>
      <c r="DF463" s="82">
        <v>17404.89723263944</v>
      </c>
      <c r="DG463" s="82">
        <v>18006.744887713692</v>
      </c>
      <c r="DH463" s="82">
        <v>18780.112972485891</v>
      </c>
      <c r="DI463" s="82">
        <v>19632.131001625632</v>
      </c>
    </row>
    <row r="464" spans="1:113" collapsed="1">
      <c r="C464" s="55"/>
      <c r="D464" s="55"/>
      <c r="E464" s="55"/>
      <c r="F464" s="55"/>
      <c r="G464" s="55"/>
      <c r="H464" s="55"/>
      <c r="I464" s="55"/>
      <c r="J464" s="55"/>
      <c r="K464" s="55"/>
      <c r="L464" s="55"/>
      <c r="M464" s="55"/>
      <c r="N464" s="55"/>
      <c r="O464" s="55"/>
      <c r="P464" s="55"/>
      <c r="Q464" s="55"/>
      <c r="R464" s="55"/>
      <c r="S464" s="55"/>
      <c r="T464" s="55"/>
      <c r="U464" s="55"/>
      <c r="V464" s="55"/>
      <c r="W464" s="55"/>
      <c r="X464" s="55"/>
      <c r="Y464" s="55"/>
      <c r="Z464" s="55"/>
      <c r="AA464" s="55"/>
      <c r="AB464" s="55"/>
      <c r="AC464" s="55"/>
      <c r="AD464" s="55"/>
      <c r="AE464" s="55"/>
      <c r="AF464" s="55"/>
      <c r="AG464" s="55"/>
      <c r="AH464" s="55"/>
      <c r="AI464" s="55"/>
      <c r="AJ464" s="55"/>
      <c r="AK464" s="55"/>
      <c r="AL464" s="55"/>
      <c r="AM464" s="45"/>
      <c r="AN464" s="55"/>
      <c r="AO464" s="55"/>
      <c r="AP464" s="82"/>
      <c r="AQ464" s="82"/>
      <c r="AR464" s="82"/>
      <c r="AS464" s="82"/>
      <c r="AT464" s="82"/>
      <c r="AU464" s="82"/>
      <c r="AV464" s="82"/>
      <c r="AW464" s="83"/>
      <c r="AX464" s="55"/>
      <c r="AY464" s="55"/>
      <c r="AZ464" s="55"/>
      <c r="BA464" s="55"/>
      <c r="BB464" s="55"/>
      <c r="BC464" s="55"/>
      <c r="BD464" s="55"/>
      <c r="BE464" s="55"/>
      <c r="BF464" s="55"/>
      <c r="BG464" s="55"/>
      <c r="BH464" s="55"/>
      <c r="BI464" s="55"/>
      <c r="BJ464" s="55"/>
      <c r="BK464" s="55"/>
      <c r="BL464" s="55"/>
      <c r="BM464" s="55"/>
      <c r="BN464" s="55"/>
      <c r="BO464" s="55"/>
      <c r="BP464" s="55"/>
      <c r="BQ464" s="55"/>
      <c r="BR464" s="55"/>
      <c r="BS464" s="55"/>
      <c r="BT464" s="55"/>
      <c r="BU464" s="55"/>
      <c r="BV464" s="55"/>
      <c r="BW464" s="55"/>
      <c r="BX464" s="55"/>
      <c r="BY464" s="55"/>
      <c r="BZ464" s="55"/>
      <c r="CA464" s="55"/>
      <c r="CB464" s="55"/>
      <c r="CC464" s="55"/>
      <c r="CD464" s="55"/>
      <c r="CE464" s="55"/>
      <c r="CF464" s="55"/>
      <c r="CG464" s="55"/>
      <c r="CH464" s="55"/>
      <c r="CI464" s="55"/>
      <c r="CJ464" s="55"/>
      <c r="CK464" s="55"/>
      <c r="CL464" s="55"/>
      <c r="CM464" s="55"/>
      <c r="CN464" s="55"/>
      <c r="CO464" s="55"/>
      <c r="CP464" s="55"/>
      <c r="CQ464" s="55"/>
      <c r="CR464" s="55"/>
      <c r="CS464" s="55"/>
      <c r="CT464" s="50"/>
      <c r="CU464" s="50"/>
      <c r="CV464" s="50"/>
      <c r="CW464" s="50"/>
      <c r="CX464" s="50"/>
      <c r="CY464" s="49"/>
      <c r="CZ464" s="48"/>
      <c r="DA464" s="48"/>
      <c r="DB464" s="48"/>
    </row>
    <row r="465" spans="1:113" s="36" customFormat="1" collapsed="1">
      <c r="A465" s="1" t="s">
        <v>679</v>
      </c>
      <c r="B465" s="2" t="s">
        <v>477</v>
      </c>
      <c r="C465" s="79">
        <v>-203</v>
      </c>
      <c r="D465" s="79">
        <v>-290</v>
      </c>
      <c r="E465" s="79">
        <v>-159</v>
      </c>
      <c r="F465" s="79">
        <v>-151</v>
      </c>
      <c r="G465" s="79">
        <v>-154</v>
      </c>
      <c r="H465" s="79">
        <v>-150</v>
      </c>
      <c r="I465" s="79">
        <v>-126</v>
      </c>
      <c r="J465" s="79">
        <v>-146</v>
      </c>
      <c r="K465" s="79">
        <v>-176</v>
      </c>
      <c r="L465" s="79">
        <v>-188</v>
      </c>
      <c r="M465" s="79">
        <v>-210</v>
      </c>
      <c r="N465" s="79">
        <v>-195</v>
      </c>
      <c r="O465" s="79">
        <v>-239</v>
      </c>
      <c r="P465" s="79">
        <v>-333</v>
      </c>
      <c r="Q465" s="79">
        <v>-597</v>
      </c>
      <c r="R465" s="79">
        <v>-1951</v>
      </c>
      <c r="S465" s="79">
        <v>-1441</v>
      </c>
      <c r="T465" s="79">
        <v>-1383</v>
      </c>
      <c r="U465" s="79">
        <v>-692</v>
      </c>
      <c r="V465" s="79">
        <v>-722</v>
      </c>
      <c r="W465" s="79">
        <v>-558</v>
      </c>
      <c r="X465" s="79">
        <v>-545</v>
      </c>
      <c r="Y465" s="79">
        <v>-544</v>
      </c>
      <c r="Z465" s="79">
        <v>-616</v>
      </c>
      <c r="AA465" s="79">
        <v>-466</v>
      </c>
      <c r="AB465" s="79">
        <v>-457</v>
      </c>
      <c r="AC465" s="79">
        <v>-496</v>
      </c>
      <c r="AD465" s="79">
        <v>-440</v>
      </c>
      <c r="AE465" s="79">
        <v>-548</v>
      </c>
      <c r="AF465" s="79">
        <v>-564</v>
      </c>
      <c r="AG465" s="79">
        <v>-692</v>
      </c>
      <c r="AH465" s="79">
        <v>-599</v>
      </c>
      <c r="AI465" s="79">
        <v>-496</v>
      </c>
      <c r="AJ465" s="79">
        <v>-596</v>
      </c>
      <c r="AK465" s="79">
        <v>-483</v>
      </c>
      <c r="AL465" s="79">
        <v>-577</v>
      </c>
      <c r="AM465" s="79">
        <v>-624</v>
      </c>
      <c r="AN465" s="79">
        <v>-649</v>
      </c>
      <c r="AO465" s="79">
        <v>-1869</v>
      </c>
      <c r="AP465" s="79">
        <v>-882</v>
      </c>
      <c r="AQ465" s="79">
        <v>328</v>
      </c>
      <c r="AR465" s="79">
        <v>75</v>
      </c>
      <c r="AS465" s="79">
        <v>282</v>
      </c>
      <c r="AT465" s="79">
        <v>-511</v>
      </c>
      <c r="AU465" s="79">
        <v>-597</v>
      </c>
      <c r="AV465" s="79">
        <v>-415</v>
      </c>
      <c r="AW465" s="80">
        <v>-387</v>
      </c>
      <c r="AX465" s="79">
        <v>-537.522531997996</v>
      </c>
      <c r="AY465" s="79">
        <v>-655.02457107004261</v>
      </c>
      <c r="AZ465" s="79">
        <v>-680.2800915140499</v>
      </c>
      <c r="BA465" s="79">
        <v>-676.27745066477576</v>
      </c>
      <c r="BB465" s="79">
        <v>-697.61331688862902</v>
      </c>
      <c r="BC465" s="79">
        <v>-696.77564945571794</v>
      </c>
      <c r="BD465" s="79">
        <v>-716.72523759505611</v>
      </c>
      <c r="BE465" s="79">
        <v>-722.54801404077489</v>
      </c>
      <c r="BF465" s="79">
        <v>-743.26373668581607</v>
      </c>
      <c r="BG465" s="79">
        <v>-746.00178916229663</v>
      </c>
      <c r="BH465" s="79">
        <v>-769.17878614398717</v>
      </c>
      <c r="BI465" s="79">
        <v>-772.08620443443954</v>
      </c>
      <c r="BJ465" s="79">
        <v>-1852.9897741997597</v>
      </c>
      <c r="BK465" s="79">
        <v>-2794.1088266794704</v>
      </c>
      <c r="BL465" s="79">
        <v>-2868.883163989859</v>
      </c>
      <c r="BM465" s="79">
        <v>-1912.456817530199</v>
      </c>
      <c r="BN465" s="79">
        <v>-1224.2529215566606</v>
      </c>
      <c r="BO465" s="79">
        <v>-1230.6592006740732</v>
      </c>
      <c r="BP465" s="79">
        <v>-1257.8087568339022</v>
      </c>
      <c r="BQ465" s="79">
        <v>-1263.8285449243908</v>
      </c>
      <c r="BR465" s="79"/>
      <c r="BS465" s="79">
        <v>-843</v>
      </c>
      <c r="BT465" s="79">
        <v>-468</v>
      </c>
      <c r="BU465" s="79">
        <v>-321</v>
      </c>
      <c r="BV465" s="79">
        <v>-182</v>
      </c>
      <c r="BW465" s="79">
        <v>-113</v>
      </c>
      <c r="BX465" s="79">
        <v>-98</v>
      </c>
      <c r="BY465" s="79">
        <v>-233</v>
      </c>
      <c r="BZ465" s="79">
        <v>-247</v>
      </c>
      <c r="CA465" s="79">
        <v>-196</v>
      </c>
      <c r="CB465" s="79">
        <v>-385</v>
      </c>
      <c r="CC465" s="79">
        <v>-449</v>
      </c>
      <c r="CD465" s="79">
        <v>-305</v>
      </c>
      <c r="CE465" s="79">
        <v>-276</v>
      </c>
      <c r="CF465" s="79">
        <v>-322</v>
      </c>
      <c r="CG465" s="79">
        <v>-398</v>
      </c>
      <c r="CH465" s="79">
        <v>-434</v>
      </c>
      <c r="CI465" s="79">
        <v>-930</v>
      </c>
      <c r="CJ465" s="79">
        <v>-3392</v>
      </c>
      <c r="CK465" s="79">
        <v>-2075</v>
      </c>
      <c r="CL465" s="79">
        <v>-1280</v>
      </c>
      <c r="CM465" s="79">
        <v>-1089</v>
      </c>
      <c r="CN465" s="79">
        <v>-1082</v>
      </c>
      <c r="CO465" s="79">
        <v>-953</v>
      </c>
      <c r="CP465" s="79">
        <v>-988</v>
      </c>
      <c r="CQ465" s="79">
        <v>-1256</v>
      </c>
      <c r="CR465" s="79">
        <v>-1095</v>
      </c>
      <c r="CS465" s="79">
        <v>-1079</v>
      </c>
      <c r="CT465" s="79">
        <v>-1201</v>
      </c>
      <c r="CU465" s="79">
        <v>-2518</v>
      </c>
      <c r="CV465" s="79">
        <v>-554</v>
      </c>
      <c r="CW465" s="79">
        <v>357</v>
      </c>
      <c r="CX465" s="79">
        <v>-1108</v>
      </c>
      <c r="CY465" s="80">
        <v>-802</v>
      </c>
      <c r="CZ465" s="79">
        <v>-1192.5471030680387</v>
      </c>
      <c r="DA465" s="79">
        <v>-1356.5575421788258</v>
      </c>
      <c r="DB465" s="79">
        <v>-1394.388966344347</v>
      </c>
      <c r="DC465" s="79">
        <v>-1439.273251635831</v>
      </c>
      <c r="DD465" s="79">
        <v>-1489.2655258481127</v>
      </c>
      <c r="DE465" s="79">
        <v>-1541.2649905784267</v>
      </c>
      <c r="DF465" s="79">
        <v>-4647.0986008792297</v>
      </c>
      <c r="DG465" s="79">
        <v>-4781.3399815200582</v>
      </c>
      <c r="DH465" s="79">
        <v>-2454.912122230734</v>
      </c>
      <c r="DI465" s="79">
        <v>-2521.6373017582928</v>
      </c>
    </row>
    <row r="466" spans="1:113" outlineLevel="1">
      <c r="C466" s="55"/>
      <c r="D466" s="55"/>
      <c r="E466" s="55"/>
      <c r="F466" s="55"/>
      <c r="G466" s="55"/>
      <c r="H466" s="55"/>
      <c r="I466" s="55"/>
      <c r="J466" s="55"/>
      <c r="K466" s="55"/>
      <c r="L466" s="55"/>
      <c r="M466" s="55"/>
      <c r="N466" s="55"/>
      <c r="O466" s="55"/>
      <c r="P466" s="55"/>
      <c r="Q466" s="55"/>
      <c r="R466" s="55"/>
      <c r="S466" s="55"/>
      <c r="T466" s="55"/>
      <c r="U466" s="55"/>
      <c r="V466" s="55"/>
      <c r="W466" s="55"/>
      <c r="X466" s="55"/>
      <c r="Y466" s="55"/>
      <c r="Z466" s="55"/>
      <c r="AA466" s="55"/>
      <c r="AB466" s="55"/>
      <c r="AC466" s="55"/>
      <c r="AD466" s="55"/>
      <c r="AE466" s="55"/>
      <c r="AF466" s="55"/>
      <c r="AG466" s="55"/>
      <c r="AH466" s="55"/>
      <c r="AI466" s="55"/>
      <c r="AJ466" s="55"/>
      <c r="AK466" s="55"/>
      <c r="AW466" s="22"/>
      <c r="AX466" s="55"/>
      <c r="AY466" s="55"/>
      <c r="AZ466" s="55"/>
      <c r="BA466" s="55"/>
      <c r="BB466" s="55"/>
      <c r="BC466" s="55"/>
      <c r="BD466" s="55"/>
      <c r="BE466" s="55"/>
      <c r="BF466" s="55"/>
      <c r="BG466" s="55"/>
      <c r="BH466" s="55"/>
      <c r="BI466" s="55"/>
      <c r="BJ466" s="55"/>
      <c r="BK466" s="55"/>
      <c r="BL466" s="55"/>
      <c r="BM466" s="55"/>
      <c r="BN466" s="55"/>
      <c r="BO466" s="55"/>
      <c r="BP466" s="55"/>
      <c r="BQ466" s="55"/>
      <c r="BR466" s="55"/>
      <c r="BS466" s="55"/>
      <c r="BT466" s="55"/>
      <c r="BU466" s="55"/>
      <c r="BV466" s="55"/>
      <c r="BW466" s="55"/>
      <c r="BX466" s="55"/>
      <c r="BY466" s="55"/>
      <c r="BZ466" s="55"/>
      <c r="CA466" s="55"/>
      <c r="CB466" s="55"/>
      <c r="CC466" s="55"/>
      <c r="CD466" s="55"/>
      <c r="CE466" s="55"/>
      <c r="CF466" s="55"/>
      <c r="CG466" s="55"/>
      <c r="CH466" s="55"/>
      <c r="CI466" s="55"/>
      <c r="CJ466" s="55"/>
      <c r="CK466" s="55"/>
      <c r="CL466" s="55"/>
      <c r="CM466" s="55"/>
      <c r="CN466" s="55"/>
      <c r="CO466" s="55"/>
      <c r="CP466" s="55"/>
      <c r="CQ466" s="55"/>
      <c r="CR466" s="55"/>
      <c r="CS466" s="55"/>
      <c r="CT466" s="55"/>
      <c r="CU466" s="55"/>
      <c r="CV466" s="55"/>
      <c r="CW466" s="55"/>
      <c r="CX466" s="55"/>
      <c r="CY466" s="56"/>
      <c r="CZ466" s="55"/>
      <c r="DA466" s="55"/>
      <c r="DB466" s="55"/>
    </row>
    <row r="467" spans="1:113" outlineLevel="1">
      <c r="A467" s="1" t="s">
        <v>680</v>
      </c>
      <c r="B467" s="19" t="s">
        <v>486</v>
      </c>
      <c r="C467" s="53">
        <v>-5</v>
      </c>
      <c r="D467" s="53">
        <v>-6</v>
      </c>
      <c r="E467" s="53">
        <v>-6</v>
      </c>
      <c r="F467" s="53">
        <v>-5</v>
      </c>
      <c r="G467" s="53">
        <v>-5</v>
      </c>
      <c r="H467" s="53">
        <v>-2.5</v>
      </c>
      <c r="I467" s="53">
        <v>-2.5</v>
      </c>
      <c r="J467" s="53">
        <v>-6.5</v>
      </c>
      <c r="K467" s="53">
        <v>-6.5</v>
      </c>
      <c r="L467" s="53">
        <v>-4</v>
      </c>
      <c r="M467" s="53"/>
      <c r="N467" s="53"/>
      <c r="O467" s="53"/>
      <c r="P467" s="53">
        <v>-11.5</v>
      </c>
      <c r="Q467" s="53">
        <v>-11.5</v>
      </c>
      <c r="R467" s="53">
        <v>-14</v>
      </c>
      <c r="S467" s="53">
        <v>-39</v>
      </c>
      <c r="T467" s="53">
        <v>-41</v>
      </c>
      <c r="U467" s="53">
        <v>-76</v>
      </c>
      <c r="V467" s="53">
        <v>-46</v>
      </c>
      <c r="W467" s="53">
        <v>-21</v>
      </c>
      <c r="X467" s="53">
        <v>-39</v>
      </c>
      <c r="Y467" s="53">
        <v>-68</v>
      </c>
      <c r="Z467" s="53">
        <v>-104</v>
      </c>
      <c r="AA467" s="164">
        <v>-129</v>
      </c>
      <c r="AB467" s="164">
        <v>-57</v>
      </c>
      <c r="AC467" s="164">
        <v>-64</v>
      </c>
      <c r="AD467" s="164">
        <v>-35</v>
      </c>
      <c r="AE467" s="164">
        <v>-41</v>
      </c>
      <c r="AF467" s="164">
        <v>-51</v>
      </c>
      <c r="AG467" s="164">
        <v>-34</v>
      </c>
      <c r="AH467" s="164">
        <v>-54</v>
      </c>
      <c r="AI467" s="164">
        <v>-61</v>
      </c>
      <c r="AJ467" s="164">
        <v>-55</v>
      </c>
      <c r="AK467" s="164">
        <v>-70</v>
      </c>
      <c r="AL467" s="164">
        <v>-60</v>
      </c>
      <c r="AM467" s="164">
        <v>-71</v>
      </c>
      <c r="AN467" s="164">
        <v>-55</v>
      </c>
      <c r="AO467" s="164">
        <v>-61</v>
      </c>
      <c r="AP467" s="164">
        <v>-36</v>
      </c>
      <c r="AQ467" s="164">
        <v>-27</v>
      </c>
      <c r="AR467" s="164">
        <v>-22</v>
      </c>
      <c r="AS467" s="164">
        <v>-16</v>
      </c>
      <c r="AT467" s="164">
        <v>-15</v>
      </c>
      <c r="AU467" s="164">
        <v>-13</v>
      </c>
      <c r="AV467" s="164">
        <v>-4</v>
      </c>
      <c r="AW467" s="171">
        <v>-19</v>
      </c>
      <c r="AX467" s="55">
        <v>-61.642980944530983</v>
      </c>
      <c r="AY467" s="55">
        <v>-62.01363876255256</v>
      </c>
      <c r="AZ467" s="55">
        <v>-64.525751205820697</v>
      </c>
      <c r="BA467" s="55">
        <v>-64.747242507978939</v>
      </c>
      <c r="BB467" s="55">
        <v>-66.794208333328001</v>
      </c>
      <c r="BC467" s="55">
        <v>-66.74422393778606</v>
      </c>
      <c r="BD467" s="55">
        <v>-68.797137673564961</v>
      </c>
      <c r="BE467" s="55">
        <v>-69.189246119921251</v>
      </c>
      <c r="BF467" s="55">
        <v>-71.317595933062691</v>
      </c>
      <c r="BG467" s="55">
        <v>-71.33282747425406</v>
      </c>
      <c r="BH467" s="55">
        <v>-73.734206879742757</v>
      </c>
      <c r="BI467" s="55">
        <v>-73.752749455111811</v>
      </c>
      <c r="BJ467" s="55">
        <v>-76.238410705101131</v>
      </c>
      <c r="BK467" s="55">
        <v>-114.46969890533511</v>
      </c>
      <c r="BL467" s="55">
        <v>-196.94922555989805</v>
      </c>
      <c r="BM467" s="55">
        <v>-198.36815269609329</v>
      </c>
      <c r="BN467" s="55">
        <v>-122.8632809523852</v>
      </c>
      <c r="BO467" s="55">
        <v>-123.06860011949175</v>
      </c>
      <c r="BP467" s="55">
        <v>-127.39461072430774</v>
      </c>
      <c r="BQ467" s="55">
        <v>-127.60758882755552</v>
      </c>
      <c r="BR467" s="55"/>
      <c r="BS467" s="164">
        <v>-3</v>
      </c>
      <c r="BT467" s="164">
        <v>-11.299999999999999</v>
      </c>
      <c r="BU467" s="164">
        <v>-10.6</v>
      </c>
      <c r="BV467" s="164">
        <v>-7</v>
      </c>
      <c r="BW467" s="164">
        <v>-5</v>
      </c>
      <c r="BX467" s="164">
        <v>-10</v>
      </c>
      <c r="BY467" s="164">
        <v>-12</v>
      </c>
      <c r="BZ467" s="164">
        <v>-9</v>
      </c>
      <c r="CA467" s="164">
        <v>-8</v>
      </c>
      <c r="CB467" s="164">
        <v>-10</v>
      </c>
      <c r="CC467" s="55">
        <v>-18.410954339544027</v>
      </c>
      <c r="CD467" s="55">
        <v>-10.678494367802719</v>
      </c>
      <c r="CE467" s="55">
        <v>-7.9360510707937042</v>
      </c>
      <c r="CF467" s="55">
        <v>-4.5881644029989648</v>
      </c>
      <c r="CG467" s="55">
        <v>-6.0533215125789628</v>
      </c>
      <c r="CH467" s="55">
        <v>-13.61817831286613</v>
      </c>
      <c r="CI467" s="55">
        <v>-23</v>
      </c>
      <c r="CJ467" s="55">
        <v>-53</v>
      </c>
      <c r="CK467" s="55">
        <v>-117</v>
      </c>
      <c r="CL467" s="55">
        <v>-67</v>
      </c>
      <c r="CM467" s="55">
        <v>-107</v>
      </c>
      <c r="CN467" s="55">
        <v>-233</v>
      </c>
      <c r="CO467" s="55">
        <v>-121</v>
      </c>
      <c r="CP467" s="55">
        <v>-76</v>
      </c>
      <c r="CQ467" s="55">
        <v>-85</v>
      </c>
      <c r="CR467" s="55">
        <v>-115</v>
      </c>
      <c r="CS467" s="55">
        <v>-125</v>
      </c>
      <c r="CT467" s="55">
        <v>-131</v>
      </c>
      <c r="CU467" s="55">
        <v>-116</v>
      </c>
      <c r="CV467" s="55">
        <v>-63</v>
      </c>
      <c r="CW467" s="55">
        <v>-38</v>
      </c>
      <c r="CX467" s="55">
        <v>-28</v>
      </c>
      <c r="CY467" s="56">
        <v>-23</v>
      </c>
      <c r="CZ467" s="55">
        <v>-123.65661970708354</v>
      </c>
      <c r="DA467" s="55">
        <v>-129.27299371379962</v>
      </c>
      <c r="DB467" s="55">
        <v>-133.53843227111406</v>
      </c>
      <c r="DC467" s="55">
        <v>-137.9863837934862</v>
      </c>
      <c r="DD467" s="55">
        <v>-142.65042340731674</v>
      </c>
      <c r="DE467" s="55">
        <v>-147.48695633485457</v>
      </c>
      <c r="DF467" s="55">
        <v>-190.70810961043622</v>
      </c>
      <c r="DG467" s="55">
        <v>-395.31737825599134</v>
      </c>
      <c r="DH467" s="55">
        <v>-245.93188107187694</v>
      </c>
      <c r="DI467" s="55">
        <v>-255.00219955186327</v>
      </c>
    </row>
    <row r="468" spans="1:113" outlineLevel="1">
      <c r="A468" s="1" t="s">
        <v>681</v>
      </c>
      <c r="B468" s="19" t="s">
        <v>488</v>
      </c>
      <c r="C468" s="53">
        <v>-186.5</v>
      </c>
      <c r="D468" s="53">
        <v>-196.5</v>
      </c>
      <c r="E468" s="53">
        <v>-84.5</v>
      </c>
      <c r="F468" s="53">
        <v>-94</v>
      </c>
      <c r="G468" s="53">
        <v>-103</v>
      </c>
      <c r="H468" s="53">
        <v>-28</v>
      </c>
      <c r="I468" s="53">
        <v>-61</v>
      </c>
      <c r="J468" s="53">
        <v>-0.5</v>
      </c>
      <c r="K468" s="53">
        <v>-70.5</v>
      </c>
      <c r="L468" s="53">
        <v>-29</v>
      </c>
      <c r="M468" s="53"/>
      <c r="N468" s="53"/>
      <c r="O468" s="53"/>
      <c r="P468" s="53">
        <v>-33</v>
      </c>
      <c r="Q468" s="53">
        <v>-57</v>
      </c>
      <c r="R468" s="53">
        <v>-51</v>
      </c>
      <c r="S468" s="53">
        <v>-511</v>
      </c>
      <c r="T468" s="53">
        <v>-834</v>
      </c>
      <c r="U468" s="53">
        <v>-441</v>
      </c>
      <c r="V468" s="53">
        <v>-474</v>
      </c>
      <c r="W468" s="53">
        <v>-780</v>
      </c>
      <c r="X468" s="53">
        <v>-442</v>
      </c>
      <c r="Y468" s="53">
        <v>-579</v>
      </c>
      <c r="Z468" s="53">
        <v>-570</v>
      </c>
      <c r="AA468" s="164">
        <v>-406</v>
      </c>
      <c r="AB468" s="164">
        <v>-406</v>
      </c>
      <c r="AC468" s="164">
        <v>-528</v>
      </c>
      <c r="AD468" s="164">
        <v>-187</v>
      </c>
      <c r="AE468" s="164">
        <v>-155</v>
      </c>
      <c r="AF468" s="164">
        <v>-162</v>
      </c>
      <c r="AG468" s="164">
        <v>-308</v>
      </c>
      <c r="AH468" s="164">
        <v>-162</v>
      </c>
      <c r="AI468" s="164">
        <v>-190</v>
      </c>
      <c r="AJ468" s="164">
        <v>-188</v>
      </c>
      <c r="AK468" s="164">
        <v>-251</v>
      </c>
      <c r="AL468" s="164">
        <v>-200</v>
      </c>
      <c r="AM468" s="164">
        <v>-187</v>
      </c>
      <c r="AN468" s="164">
        <v>-131</v>
      </c>
      <c r="AO468" s="164">
        <v>-259</v>
      </c>
      <c r="AP468" s="164">
        <v>-172</v>
      </c>
      <c r="AQ468" s="164">
        <v>-106</v>
      </c>
      <c r="AR468" s="164">
        <v>-190</v>
      </c>
      <c r="AS468" s="164">
        <v>-120</v>
      </c>
      <c r="AT468" s="164">
        <v>-258</v>
      </c>
      <c r="AU468" s="164">
        <v>-48</v>
      </c>
      <c r="AV468" s="164">
        <v>-135</v>
      </c>
      <c r="AW468" s="171">
        <v>-137</v>
      </c>
      <c r="AX468" s="55">
        <v>-124.55201879683537</v>
      </c>
      <c r="AY468" s="55">
        <v>-249.05891689102879</v>
      </c>
      <c r="AZ468" s="55">
        <v>-333.77837861041013</v>
      </c>
      <c r="BA468" s="55">
        <v>-333.17931233455164</v>
      </c>
      <c r="BB468" s="55">
        <v>-344.10395327191623</v>
      </c>
      <c r="BC468" s="55">
        <v>-344.52770672836687</v>
      </c>
      <c r="BD468" s="55">
        <v>-356.09904751562703</v>
      </c>
      <c r="BE468" s="55">
        <v>-359.11939062298075</v>
      </c>
      <c r="BF468" s="55">
        <v>-371.19865216270841</v>
      </c>
      <c r="BG468" s="55">
        <v>-372.32139244268217</v>
      </c>
      <c r="BH468" s="55">
        <v>-385.94519263038461</v>
      </c>
      <c r="BI468" s="55">
        <v>-387.14346141710445</v>
      </c>
      <c r="BJ468" s="55">
        <v>-401.34094448966727</v>
      </c>
      <c r="BK468" s="55">
        <v>-1162.5650361216603</v>
      </c>
      <c r="BL468" s="55">
        <v>-2448.8807475960975</v>
      </c>
      <c r="BM468" s="55">
        <v>-2475.2103922156839</v>
      </c>
      <c r="BN468" s="55">
        <v>-630.52057590788331</v>
      </c>
      <c r="BO468" s="55">
        <v>-633.79852656747312</v>
      </c>
      <c r="BP468" s="55">
        <v>-658.38788254681504</v>
      </c>
      <c r="BQ468" s="55">
        <v>-661.81115491979949</v>
      </c>
      <c r="BR468" s="55"/>
      <c r="BS468" s="55">
        <v>-531</v>
      </c>
      <c r="BT468" s="55">
        <v>-1334</v>
      </c>
      <c r="BU468" s="55">
        <v>-237.19655172413792</v>
      </c>
      <c r="BV468" s="55">
        <v>-243</v>
      </c>
      <c r="BW468" s="55">
        <v>-119</v>
      </c>
      <c r="BX468" s="55">
        <v>320</v>
      </c>
      <c r="BY468" s="55">
        <v>-92</v>
      </c>
      <c r="BZ468" s="55">
        <v>-158</v>
      </c>
      <c r="CA468" s="55">
        <v>-112</v>
      </c>
      <c r="CB468" s="55">
        <v>-396</v>
      </c>
      <c r="CC468" s="55">
        <v>-300.72882051974301</v>
      </c>
      <c r="CD468" s="55">
        <v>-263.18567425046427</v>
      </c>
      <c r="CE468" s="55">
        <v>-165.16355052283177</v>
      </c>
      <c r="CF468" s="55">
        <v>-187.05231921433491</v>
      </c>
      <c r="CG468" s="55">
        <v>-171.53508010631558</v>
      </c>
      <c r="CH468" s="55">
        <v>-153.79321455740214</v>
      </c>
      <c r="CI468" s="55">
        <v>-90</v>
      </c>
      <c r="CJ468" s="55">
        <v>-562</v>
      </c>
      <c r="CK468" s="55">
        <v>-1275</v>
      </c>
      <c r="CL468" s="55">
        <v>-1254</v>
      </c>
      <c r="CM468" s="55">
        <v>-1021</v>
      </c>
      <c r="CN468" s="55">
        <v>-976</v>
      </c>
      <c r="CO468" s="55">
        <v>-934</v>
      </c>
      <c r="CP468" s="55">
        <v>-342</v>
      </c>
      <c r="CQ468" s="55">
        <v>-470</v>
      </c>
      <c r="CR468" s="55">
        <v>-352</v>
      </c>
      <c r="CS468" s="55">
        <v>-439</v>
      </c>
      <c r="CT468" s="55">
        <v>-387</v>
      </c>
      <c r="CU468" s="55">
        <v>-390</v>
      </c>
      <c r="CV468" s="55">
        <v>-278</v>
      </c>
      <c r="CW468" s="55">
        <v>-310</v>
      </c>
      <c r="CX468" s="55">
        <v>-306</v>
      </c>
      <c r="CY468" s="56">
        <v>-272</v>
      </c>
      <c r="CZ468" s="55">
        <v>-373.61093568786418</v>
      </c>
      <c r="DA468" s="55">
        <v>-666.95769094496177</v>
      </c>
      <c r="DB468" s="55">
        <v>-688.63166000028309</v>
      </c>
      <c r="DC468" s="55">
        <v>-715.21843813860778</v>
      </c>
      <c r="DD468" s="55">
        <v>-743.52004460539058</v>
      </c>
      <c r="DE468" s="55">
        <v>-773.08865404748906</v>
      </c>
      <c r="DF468" s="55">
        <v>-1563.9059806113275</v>
      </c>
      <c r="DG468" s="55">
        <v>-4924.0911398117814</v>
      </c>
      <c r="DH468" s="55">
        <v>-1264.3191024753564</v>
      </c>
      <c r="DI468" s="55">
        <v>-1320.1990374666145</v>
      </c>
    </row>
    <row r="469" spans="1:113" outlineLevel="1">
      <c r="A469" s="1" t="s">
        <v>682</v>
      </c>
      <c r="B469" s="19" t="s">
        <v>487</v>
      </c>
      <c r="C469" s="55">
        <v>-73.5</v>
      </c>
      <c r="D469" s="55">
        <v>-76.5</v>
      </c>
      <c r="E469" s="55">
        <v>-76.5</v>
      </c>
      <c r="F469" s="55">
        <v>-87</v>
      </c>
      <c r="G469" s="55">
        <v>-87</v>
      </c>
      <c r="H469" s="55">
        <v>-90.5</v>
      </c>
      <c r="I469" s="55">
        <v>-90.5</v>
      </c>
      <c r="J469" s="55">
        <v>-113</v>
      </c>
      <c r="K469" s="55">
        <v>-113</v>
      </c>
      <c r="L469" s="55">
        <v>-145</v>
      </c>
      <c r="M469" s="55">
        <v>-192</v>
      </c>
      <c r="N469" s="55">
        <v>-204</v>
      </c>
      <c r="O469" s="55">
        <v>-212</v>
      </c>
      <c r="P469" s="55">
        <v>-156.5</v>
      </c>
      <c r="Q469" s="55">
        <v>-156.5</v>
      </c>
      <c r="R469" s="55">
        <v>-167</v>
      </c>
      <c r="S469" s="55">
        <v>-288</v>
      </c>
      <c r="T469" s="55">
        <v>-243</v>
      </c>
      <c r="U469" s="55">
        <v>-361</v>
      </c>
      <c r="V469" s="55">
        <v>-254</v>
      </c>
      <c r="W469" s="55">
        <v>-194</v>
      </c>
      <c r="X469" s="55">
        <v>-261</v>
      </c>
      <c r="Y469" s="55">
        <v>-260</v>
      </c>
      <c r="Z469" s="55">
        <v>-262</v>
      </c>
      <c r="AA469" s="55">
        <v>-264</v>
      </c>
      <c r="AB469" s="55">
        <v>-294</v>
      </c>
      <c r="AC469" s="55">
        <v>-299</v>
      </c>
      <c r="AD469" s="55">
        <v>-292</v>
      </c>
      <c r="AE469" s="55">
        <v>-593</v>
      </c>
      <c r="AF469" s="55">
        <v>-314</v>
      </c>
      <c r="AG469" s="55">
        <v>-323</v>
      </c>
      <c r="AH469" s="55">
        <v>-327</v>
      </c>
      <c r="AI469" s="55">
        <v>-344</v>
      </c>
      <c r="AJ469" s="55">
        <v>-321</v>
      </c>
      <c r="AK469" s="55">
        <v>-333</v>
      </c>
      <c r="AL469" s="55">
        <v>-318</v>
      </c>
      <c r="AM469" s="55">
        <v>-359</v>
      </c>
      <c r="AN469" s="55">
        <v>-282</v>
      </c>
      <c r="AO469" s="55">
        <v>-234</v>
      </c>
      <c r="AP469" s="55">
        <v>-225</v>
      </c>
      <c r="AQ469" s="55">
        <v>-162</v>
      </c>
      <c r="AR469" s="55">
        <v>-114</v>
      </c>
      <c r="AS469" s="55">
        <v>-96</v>
      </c>
      <c r="AT469" s="55">
        <v>-91</v>
      </c>
      <c r="AU469" s="55">
        <v>-151</v>
      </c>
      <c r="AV469" s="55">
        <v>-185</v>
      </c>
      <c r="AW469" s="56">
        <v>-198</v>
      </c>
      <c r="AX469" s="55">
        <v>-154.78198050180401</v>
      </c>
      <c r="AY469" s="55">
        <v>-153.65291046409914</v>
      </c>
      <c r="AZ469" s="55">
        <v>-157.56672781068008</v>
      </c>
      <c r="BA469" s="55">
        <v>-156.32695642967946</v>
      </c>
      <c r="BB469" s="55">
        <v>-160.2775807289876</v>
      </c>
      <c r="BC469" s="55">
        <v>-159.1023058038937</v>
      </c>
      <c r="BD469" s="55">
        <v>-162.85168737138693</v>
      </c>
      <c r="BE469" s="55">
        <v>-162.63465817824056</v>
      </c>
      <c r="BF469" s="55">
        <v>-166.46290299492014</v>
      </c>
      <c r="BG469" s="55">
        <v>-165.32947280067637</v>
      </c>
      <c r="BH469" s="55">
        <v>-169.69298080448974</v>
      </c>
      <c r="BI469" s="55">
        <v>-168.53930292061892</v>
      </c>
      <c r="BJ469" s="55">
        <v>-172.98926323670196</v>
      </c>
      <c r="BK469" s="55">
        <v>-214.85664717381388</v>
      </c>
      <c r="BL469" s="55">
        <v>-264.13014516446259</v>
      </c>
      <c r="BM469" s="55">
        <v>-264.00388427774038</v>
      </c>
      <c r="BN469" s="55">
        <v>-270.44916849597502</v>
      </c>
      <c r="BO469" s="55">
        <v>-268.83697113653926</v>
      </c>
      <c r="BP469" s="55">
        <v>-276.16762437944544</v>
      </c>
      <c r="BQ469" s="55">
        <v>-274.52379033598282</v>
      </c>
      <c r="BR469" s="55"/>
      <c r="BS469" s="164">
        <v>-49</v>
      </c>
      <c r="BT469" s="164">
        <v>-58.199999999999996</v>
      </c>
      <c r="BU469" s="164">
        <v>-35.50344827586207</v>
      </c>
      <c r="BV469" s="164">
        <v>-72</v>
      </c>
      <c r="BW469" s="164">
        <v>-38</v>
      </c>
      <c r="BX469" s="164">
        <v>-44</v>
      </c>
      <c r="BY469" s="164">
        <v>-69</v>
      </c>
      <c r="BZ469" s="164">
        <v>-64</v>
      </c>
      <c r="CA469" s="164">
        <v>-77</v>
      </c>
      <c r="CB469" s="164">
        <v>-147</v>
      </c>
      <c r="CC469" s="55">
        <v>-126.86022514071296</v>
      </c>
      <c r="CD469" s="55">
        <v>-107.13583138173301</v>
      </c>
      <c r="CE469" s="55">
        <v>-101.90039840637451</v>
      </c>
      <c r="CF469" s="55">
        <v>-118.3595163826661</v>
      </c>
      <c r="CG469" s="55">
        <v>-192.41159838110545</v>
      </c>
      <c r="CH469" s="55">
        <v>-248.58860712973174</v>
      </c>
      <c r="CI469" s="55">
        <v>-313</v>
      </c>
      <c r="CJ469" s="55">
        <v>-455</v>
      </c>
      <c r="CK469" s="55">
        <v>-604</v>
      </c>
      <c r="CL469" s="55">
        <v>-448</v>
      </c>
      <c r="CM469" s="55">
        <v>-521</v>
      </c>
      <c r="CN469" s="55">
        <v>-526</v>
      </c>
      <c r="CO469" s="55">
        <v>-593</v>
      </c>
      <c r="CP469" s="55">
        <v>-885</v>
      </c>
      <c r="CQ469" s="55">
        <v>-637</v>
      </c>
      <c r="CR469" s="55">
        <v>-671</v>
      </c>
      <c r="CS469" s="55">
        <v>-654</v>
      </c>
      <c r="CT469" s="55">
        <v>-677</v>
      </c>
      <c r="CU469" s="55">
        <v>-516</v>
      </c>
      <c r="CV469" s="55">
        <v>-387</v>
      </c>
      <c r="CW469" s="55">
        <v>-210</v>
      </c>
      <c r="CX469" s="55">
        <v>-242</v>
      </c>
      <c r="CY469" s="56">
        <v>-383</v>
      </c>
      <c r="CZ469" s="55">
        <v>-308.43489096590315</v>
      </c>
      <c r="DA469" s="55">
        <v>-313.89368424035956</v>
      </c>
      <c r="DB469" s="55">
        <v>-319.3798865328813</v>
      </c>
      <c r="DC469" s="55">
        <v>-325.48634554962746</v>
      </c>
      <c r="DD469" s="55">
        <v>-331.79237579559651</v>
      </c>
      <c r="DE469" s="55">
        <v>-338.23228372510869</v>
      </c>
      <c r="DF469" s="55">
        <v>-387.84591041051584</v>
      </c>
      <c r="DG469" s="55">
        <v>-528.13402944220297</v>
      </c>
      <c r="DH469" s="55">
        <v>-539.28613963251428</v>
      </c>
      <c r="DI469" s="55">
        <v>-550.69141471542821</v>
      </c>
    </row>
    <row r="470" spans="1:113" s="24" customFormat="1" outlineLevel="1">
      <c r="A470" s="1" t="s">
        <v>683</v>
      </c>
      <c r="B470" s="24" t="s">
        <v>478</v>
      </c>
      <c r="C470" s="81">
        <v>-265</v>
      </c>
      <c r="D470" s="81">
        <v>-279</v>
      </c>
      <c r="E470" s="81">
        <v>-167</v>
      </c>
      <c r="F470" s="81">
        <v>-186</v>
      </c>
      <c r="G470" s="81">
        <v>-195</v>
      </c>
      <c r="H470" s="81">
        <v>-121</v>
      </c>
      <c r="I470" s="81">
        <v>-154</v>
      </c>
      <c r="J470" s="81">
        <v>-120</v>
      </c>
      <c r="K470" s="81">
        <v>-190</v>
      </c>
      <c r="L470" s="81">
        <v>-178</v>
      </c>
      <c r="M470" s="81">
        <v>-192</v>
      </c>
      <c r="N470" s="81">
        <v>-204</v>
      </c>
      <c r="O470" s="81">
        <v>-212</v>
      </c>
      <c r="P470" s="81">
        <v>-201</v>
      </c>
      <c r="Q470" s="81">
        <v>-225</v>
      </c>
      <c r="R470" s="81">
        <v>-232</v>
      </c>
      <c r="S470" s="81">
        <v>-838</v>
      </c>
      <c r="T470" s="81">
        <v>-1118</v>
      </c>
      <c r="U470" s="81">
        <v>-878</v>
      </c>
      <c r="V470" s="81">
        <v>-774</v>
      </c>
      <c r="W470" s="81">
        <v>-995</v>
      </c>
      <c r="X470" s="81">
        <v>-742</v>
      </c>
      <c r="Y470" s="81">
        <v>-907</v>
      </c>
      <c r="Z470" s="81">
        <v>-936</v>
      </c>
      <c r="AA470" s="166">
        <v>-799</v>
      </c>
      <c r="AB470" s="166">
        <v>-757</v>
      </c>
      <c r="AC470" s="166">
        <v>-891</v>
      </c>
      <c r="AD470" s="166">
        <v>-514</v>
      </c>
      <c r="AE470" s="166">
        <v>-789</v>
      </c>
      <c r="AF470" s="166">
        <v>-527</v>
      </c>
      <c r="AG470" s="166">
        <v>-665</v>
      </c>
      <c r="AH470" s="166">
        <v>-543</v>
      </c>
      <c r="AI470" s="166">
        <v>-595</v>
      </c>
      <c r="AJ470" s="166">
        <v>-564</v>
      </c>
      <c r="AK470" s="166">
        <v>-654</v>
      </c>
      <c r="AL470" s="166">
        <v>-578</v>
      </c>
      <c r="AM470" s="166">
        <v>-617</v>
      </c>
      <c r="AN470" s="166">
        <v>-468</v>
      </c>
      <c r="AO470" s="166">
        <v>-554</v>
      </c>
      <c r="AP470" s="166">
        <v>-433</v>
      </c>
      <c r="AQ470" s="166">
        <v>-295</v>
      </c>
      <c r="AR470" s="166">
        <v>-326</v>
      </c>
      <c r="AS470" s="166">
        <v>-232</v>
      </c>
      <c r="AT470" s="166">
        <v>-364</v>
      </c>
      <c r="AU470" s="166">
        <v>-212</v>
      </c>
      <c r="AV470" s="166">
        <v>-324</v>
      </c>
      <c r="AW470" s="167">
        <v>-354</v>
      </c>
      <c r="AX470" s="82">
        <v>-340.97698024317037</v>
      </c>
      <c r="AY470" s="82">
        <v>-464.72546611768047</v>
      </c>
      <c r="AZ470" s="82">
        <v>-555.87085762691095</v>
      </c>
      <c r="BA470" s="82">
        <v>-554.25351127221006</v>
      </c>
      <c r="BB470" s="82">
        <v>-571.17574233423181</v>
      </c>
      <c r="BC470" s="82">
        <v>-570.37423647004664</v>
      </c>
      <c r="BD470" s="82">
        <v>-587.74787256057891</v>
      </c>
      <c r="BE470" s="82">
        <v>-590.94329492114252</v>
      </c>
      <c r="BF470" s="82">
        <v>-608.97915109069129</v>
      </c>
      <c r="BG470" s="82">
        <v>-608.9836927176126</v>
      </c>
      <c r="BH470" s="82">
        <v>-629.37238031461709</v>
      </c>
      <c r="BI470" s="82">
        <v>-629.4355137928352</v>
      </c>
      <c r="BJ470" s="82">
        <v>-650.56861843147033</v>
      </c>
      <c r="BK470" s="82">
        <v>-1491.8913822008092</v>
      </c>
      <c r="BL470" s="82">
        <v>-2909.9601183204582</v>
      </c>
      <c r="BM470" s="82">
        <v>-2937.5824291895174</v>
      </c>
      <c r="BN470" s="82">
        <v>-1023.8330253562435</v>
      </c>
      <c r="BO470" s="82">
        <v>-1025.7040978235041</v>
      </c>
      <c r="BP470" s="82">
        <v>-1061.9501176505682</v>
      </c>
      <c r="BQ470" s="82">
        <v>-1063.9425340833379</v>
      </c>
      <c r="BR470" s="82"/>
      <c r="BS470" s="81">
        <v>-583</v>
      </c>
      <c r="BT470" s="81">
        <v>-1403.5</v>
      </c>
      <c r="BU470" s="81">
        <v>-283.3</v>
      </c>
      <c r="BV470" s="81">
        <v>-322</v>
      </c>
      <c r="BW470" s="81">
        <v>-162</v>
      </c>
      <c r="BX470" s="81">
        <v>266</v>
      </c>
      <c r="BY470" s="81">
        <v>-173</v>
      </c>
      <c r="BZ470" s="81">
        <v>-231</v>
      </c>
      <c r="CA470" s="81">
        <v>-197</v>
      </c>
      <c r="CB470" s="81">
        <v>-553</v>
      </c>
      <c r="CC470" s="82">
        <v>-446</v>
      </c>
      <c r="CD470" s="82">
        <v>-381</v>
      </c>
      <c r="CE470" s="82">
        <v>-275</v>
      </c>
      <c r="CF470" s="82">
        <v>-310</v>
      </c>
      <c r="CG470" s="82">
        <v>-370</v>
      </c>
      <c r="CH470" s="82">
        <v>-416</v>
      </c>
      <c r="CI470" s="82">
        <v>-426</v>
      </c>
      <c r="CJ470" s="82">
        <v>-1070</v>
      </c>
      <c r="CK470" s="82">
        <v>-1996</v>
      </c>
      <c r="CL470" s="82">
        <v>-1769</v>
      </c>
      <c r="CM470" s="82">
        <v>-1649</v>
      </c>
      <c r="CN470" s="82">
        <v>-1735</v>
      </c>
      <c r="CO470" s="82">
        <v>-1648</v>
      </c>
      <c r="CP470" s="82">
        <v>-1303</v>
      </c>
      <c r="CQ470" s="82">
        <v>-1192</v>
      </c>
      <c r="CR470" s="82">
        <v>-1138</v>
      </c>
      <c r="CS470" s="82">
        <v>-1218</v>
      </c>
      <c r="CT470" s="82">
        <v>-1195</v>
      </c>
      <c r="CU470" s="82">
        <v>-1022</v>
      </c>
      <c r="CV470" s="82">
        <v>-728</v>
      </c>
      <c r="CW470" s="82">
        <v>-558</v>
      </c>
      <c r="CX470" s="82">
        <v>-576</v>
      </c>
      <c r="CY470" s="83">
        <v>-678</v>
      </c>
      <c r="CZ470" s="82">
        <v>-805.7024463608509</v>
      </c>
      <c r="DA470" s="82">
        <v>-1110.124368899121</v>
      </c>
      <c r="DB470" s="82">
        <v>-1141.5499788042785</v>
      </c>
      <c r="DC470" s="82">
        <v>-1178.6911674817215</v>
      </c>
      <c r="DD470" s="82">
        <v>-1217.9628438083039</v>
      </c>
      <c r="DE470" s="82">
        <v>-1258.8078941074523</v>
      </c>
      <c r="DF470" s="82">
        <v>-2142.4600006322794</v>
      </c>
      <c r="DG470" s="82">
        <v>-5847.5425475099755</v>
      </c>
      <c r="DH470" s="82">
        <v>-2049.5371231797476</v>
      </c>
      <c r="DI470" s="82">
        <v>-2125.892651733906</v>
      </c>
    </row>
    <row r="471" spans="1:113" outlineLevel="1">
      <c r="A471" s="1" t="s">
        <v>684</v>
      </c>
      <c r="B471" s="19" t="s">
        <v>479</v>
      </c>
      <c r="C471" s="55">
        <v>62</v>
      </c>
      <c r="D471" s="55">
        <v>-11</v>
      </c>
      <c r="E471" s="55">
        <v>8</v>
      </c>
      <c r="F471" s="55">
        <v>35</v>
      </c>
      <c r="G471" s="55">
        <v>41</v>
      </c>
      <c r="H471" s="55">
        <v>-29</v>
      </c>
      <c r="I471" s="55">
        <v>28</v>
      </c>
      <c r="J471" s="55">
        <v>-26</v>
      </c>
      <c r="K471" s="55">
        <v>14</v>
      </c>
      <c r="L471" s="55">
        <v>-10</v>
      </c>
      <c r="M471" s="55">
        <v>-18</v>
      </c>
      <c r="N471" s="55">
        <v>9</v>
      </c>
      <c r="O471" s="55">
        <v>-27</v>
      </c>
      <c r="P471" s="55">
        <v>-132</v>
      </c>
      <c r="Q471" s="55">
        <v>-372</v>
      </c>
      <c r="R471" s="55">
        <v>-1719</v>
      </c>
      <c r="S471" s="55">
        <v>-603</v>
      </c>
      <c r="T471" s="55">
        <v>-265</v>
      </c>
      <c r="U471" s="55">
        <v>186</v>
      </c>
      <c r="V471" s="55">
        <v>52</v>
      </c>
      <c r="W471" s="55">
        <v>437</v>
      </c>
      <c r="X471" s="55">
        <v>197</v>
      </c>
      <c r="Y471" s="55">
        <v>363</v>
      </c>
      <c r="Z471" s="55">
        <v>320</v>
      </c>
      <c r="AA471" s="55">
        <v>333</v>
      </c>
      <c r="AB471" s="55">
        <v>300</v>
      </c>
      <c r="AC471" s="55">
        <v>395</v>
      </c>
      <c r="AD471" s="55">
        <v>74</v>
      </c>
      <c r="AE471" s="55">
        <v>241</v>
      </c>
      <c r="AF471" s="55">
        <v>-37</v>
      </c>
      <c r="AG471" s="55">
        <v>-27</v>
      </c>
      <c r="AH471" s="55">
        <v>-56</v>
      </c>
      <c r="AI471" s="55">
        <v>99</v>
      </c>
      <c r="AJ471" s="55">
        <v>-32</v>
      </c>
      <c r="AK471" s="55">
        <v>171</v>
      </c>
      <c r="AL471" s="55">
        <v>1</v>
      </c>
      <c r="AM471" s="55">
        <v>-7</v>
      </c>
      <c r="AN471" s="55">
        <v>-181</v>
      </c>
      <c r="AO471" s="55">
        <v>-1315</v>
      </c>
      <c r="AP471" s="55">
        <v>-449</v>
      </c>
      <c r="AQ471" s="55">
        <v>623</v>
      </c>
      <c r="AR471" s="55">
        <v>401</v>
      </c>
      <c r="AS471" s="55">
        <v>514</v>
      </c>
      <c r="AT471" s="55">
        <v>-147</v>
      </c>
      <c r="AU471" s="55">
        <v>-385</v>
      </c>
      <c r="AV471" s="55">
        <v>-91</v>
      </c>
      <c r="AW471" s="56">
        <v>-33</v>
      </c>
      <c r="AX471" s="55">
        <v>-196.54555175482562</v>
      </c>
      <c r="AY471" s="55">
        <v>-190.2991049523622</v>
      </c>
      <c r="AZ471" s="55">
        <v>-124.40923388713895</v>
      </c>
      <c r="BA471" s="55">
        <v>-122.02393939256569</v>
      </c>
      <c r="BB471" s="55">
        <v>-126.4375745543972</v>
      </c>
      <c r="BC471" s="55">
        <v>-126.4014129856713</v>
      </c>
      <c r="BD471" s="55">
        <v>-128.9773650344772</v>
      </c>
      <c r="BE471" s="55">
        <v>-131.60471911963236</v>
      </c>
      <c r="BF471" s="55">
        <v>-134.28458559512478</v>
      </c>
      <c r="BG471" s="55">
        <v>-137.01809644468403</v>
      </c>
      <c r="BH471" s="55">
        <v>-139.80640582937008</v>
      </c>
      <c r="BI471" s="55">
        <v>-142.65069064160434</v>
      </c>
      <c r="BJ471" s="55">
        <v>-1202.4211557682895</v>
      </c>
      <c r="BK471" s="55">
        <v>-1302.217444478661</v>
      </c>
      <c r="BL471" s="55">
        <v>41.076954330599392</v>
      </c>
      <c r="BM471" s="55">
        <v>1025.1256116593183</v>
      </c>
      <c r="BN471" s="55">
        <v>-200.41989620041704</v>
      </c>
      <c r="BO471" s="55">
        <v>-204.95510285056912</v>
      </c>
      <c r="BP471" s="55">
        <v>-195.85863918333393</v>
      </c>
      <c r="BQ471" s="55">
        <v>-199.88601084105289</v>
      </c>
      <c r="BR471" s="55"/>
      <c r="BS471" s="55">
        <v>-260</v>
      </c>
      <c r="BT471" s="55">
        <v>935.5</v>
      </c>
      <c r="BU471" s="55">
        <v>-37.699999999999989</v>
      </c>
      <c r="BV471" s="55">
        <v>140</v>
      </c>
      <c r="BW471" s="55">
        <v>49</v>
      </c>
      <c r="BX471" s="55">
        <v>-364</v>
      </c>
      <c r="BY471" s="55">
        <v>-60</v>
      </c>
      <c r="BZ471" s="55">
        <v>-16</v>
      </c>
      <c r="CA471" s="55">
        <v>1</v>
      </c>
      <c r="CB471" s="55">
        <v>168</v>
      </c>
      <c r="CC471" s="55">
        <v>-3</v>
      </c>
      <c r="CD471" s="55">
        <v>76</v>
      </c>
      <c r="CE471" s="55">
        <v>-1</v>
      </c>
      <c r="CF471" s="55">
        <v>-12</v>
      </c>
      <c r="CG471" s="55">
        <v>-28</v>
      </c>
      <c r="CH471" s="55">
        <v>-18</v>
      </c>
      <c r="CI471" s="55">
        <v>-504</v>
      </c>
      <c r="CJ471" s="55">
        <v>-2322</v>
      </c>
      <c r="CK471" s="55">
        <v>-79</v>
      </c>
      <c r="CL471" s="55">
        <v>489</v>
      </c>
      <c r="CM471" s="55">
        <v>560</v>
      </c>
      <c r="CN471" s="55">
        <v>653</v>
      </c>
      <c r="CO471" s="55">
        <v>695</v>
      </c>
      <c r="CP471" s="55">
        <v>315</v>
      </c>
      <c r="CQ471" s="55">
        <v>-64</v>
      </c>
      <c r="CR471" s="55">
        <v>43</v>
      </c>
      <c r="CS471" s="55">
        <v>139</v>
      </c>
      <c r="CT471" s="55">
        <v>-6</v>
      </c>
      <c r="CU471" s="55">
        <v>-1496</v>
      </c>
      <c r="CV471" s="55">
        <v>174</v>
      </c>
      <c r="CW471" s="55">
        <v>915</v>
      </c>
      <c r="CX471" s="55">
        <v>-532</v>
      </c>
      <c r="CY471" s="56">
        <v>-124</v>
      </c>
      <c r="CZ471" s="55">
        <v>-386.84465670718782</v>
      </c>
      <c r="DA471" s="55">
        <v>-246.43317327970465</v>
      </c>
      <c r="DB471" s="55">
        <v>-252.8389875400685</v>
      </c>
      <c r="DC471" s="55">
        <v>-260.58208415410957</v>
      </c>
      <c r="DD471" s="55">
        <v>-271.30268203980881</v>
      </c>
      <c r="DE471" s="55">
        <v>-282.45709647097442</v>
      </c>
      <c r="DF471" s="55">
        <v>-2504.6386002469508</v>
      </c>
      <c r="DG471" s="55">
        <v>1066.2025659899177</v>
      </c>
      <c r="DH471" s="55">
        <v>-405.37499905098616</v>
      </c>
      <c r="DI471" s="55">
        <v>-395.74465002438683</v>
      </c>
    </row>
    <row r="472" spans="1:113" s="24" customFormat="1" outlineLevel="1">
      <c r="A472" s="1" t="s">
        <v>106</v>
      </c>
      <c r="B472" s="24" t="s">
        <v>168</v>
      </c>
      <c r="C472" s="82">
        <v>-203</v>
      </c>
      <c r="D472" s="82">
        <v>-290</v>
      </c>
      <c r="E472" s="82">
        <v>-159</v>
      </c>
      <c r="F472" s="82">
        <v>-151</v>
      </c>
      <c r="G472" s="82">
        <v>-154</v>
      </c>
      <c r="H472" s="82">
        <v>-150</v>
      </c>
      <c r="I472" s="82">
        <v>-126</v>
      </c>
      <c r="J472" s="82">
        <v>-146</v>
      </c>
      <c r="K472" s="82">
        <v>-176</v>
      </c>
      <c r="L472" s="82">
        <v>-188</v>
      </c>
      <c r="M472" s="82">
        <v>-210</v>
      </c>
      <c r="N472" s="82">
        <v>-195</v>
      </c>
      <c r="O472" s="82">
        <v>-239</v>
      </c>
      <c r="P472" s="82">
        <v>-333</v>
      </c>
      <c r="Q472" s="82">
        <v>-597</v>
      </c>
      <c r="R472" s="82">
        <v>-1951</v>
      </c>
      <c r="S472" s="82">
        <v>-1441</v>
      </c>
      <c r="T472" s="82">
        <v>-1383</v>
      </c>
      <c r="U472" s="82">
        <v>-692</v>
      </c>
      <c r="V472" s="82">
        <v>-722</v>
      </c>
      <c r="W472" s="82">
        <v>-558</v>
      </c>
      <c r="X472" s="82">
        <v>-545</v>
      </c>
      <c r="Y472" s="82">
        <v>-544</v>
      </c>
      <c r="Z472" s="82">
        <v>-616</v>
      </c>
      <c r="AA472" s="82">
        <v>-466</v>
      </c>
      <c r="AB472" s="82">
        <v>-457</v>
      </c>
      <c r="AC472" s="82">
        <v>-496</v>
      </c>
      <c r="AD472" s="82">
        <v>-440</v>
      </c>
      <c r="AE472" s="82">
        <v>-548</v>
      </c>
      <c r="AF472" s="82">
        <v>-564</v>
      </c>
      <c r="AG472" s="82">
        <v>-692</v>
      </c>
      <c r="AH472" s="82">
        <v>-599</v>
      </c>
      <c r="AI472" s="82">
        <v>-496</v>
      </c>
      <c r="AJ472" s="82">
        <v>-596</v>
      </c>
      <c r="AK472" s="82">
        <v>-483</v>
      </c>
      <c r="AL472" s="82">
        <v>-577</v>
      </c>
      <c r="AM472" s="82">
        <v>-624</v>
      </c>
      <c r="AN472" s="82">
        <v>-649</v>
      </c>
      <c r="AO472" s="82">
        <v>-1869</v>
      </c>
      <c r="AP472" s="82">
        <v>-882</v>
      </c>
      <c r="AQ472" s="82">
        <v>328</v>
      </c>
      <c r="AR472" s="82">
        <v>75</v>
      </c>
      <c r="AS472" s="82">
        <v>282</v>
      </c>
      <c r="AT472" s="82">
        <v>-511</v>
      </c>
      <c r="AU472" s="82">
        <v>-597</v>
      </c>
      <c r="AV472" s="82">
        <v>-415</v>
      </c>
      <c r="AW472" s="83">
        <v>-387</v>
      </c>
      <c r="AX472" s="82">
        <v>-537.522531997996</v>
      </c>
      <c r="AY472" s="82">
        <v>-655.02457107004261</v>
      </c>
      <c r="AZ472" s="82">
        <v>-680.2800915140499</v>
      </c>
      <c r="BA472" s="82">
        <v>-676.27745066477576</v>
      </c>
      <c r="BB472" s="82">
        <v>-697.61331688862902</v>
      </c>
      <c r="BC472" s="82">
        <v>-696.77564945571794</v>
      </c>
      <c r="BD472" s="82">
        <v>-716.72523759505611</v>
      </c>
      <c r="BE472" s="82">
        <v>-722.54801404077489</v>
      </c>
      <c r="BF472" s="82">
        <v>-743.26373668581607</v>
      </c>
      <c r="BG472" s="82">
        <v>-746.00178916229663</v>
      </c>
      <c r="BH472" s="82">
        <v>-769.17878614398717</v>
      </c>
      <c r="BI472" s="82">
        <v>-772.08620443443954</v>
      </c>
      <c r="BJ472" s="82">
        <v>-1852.9897741997597</v>
      </c>
      <c r="BK472" s="82">
        <v>-2794.1088266794704</v>
      </c>
      <c r="BL472" s="82">
        <v>-2868.883163989859</v>
      </c>
      <c r="BM472" s="82">
        <v>-1912.456817530199</v>
      </c>
      <c r="BN472" s="82">
        <v>-1224.2529215566606</v>
      </c>
      <c r="BO472" s="82">
        <v>-1230.6592006740732</v>
      </c>
      <c r="BP472" s="82">
        <v>-1257.8087568339022</v>
      </c>
      <c r="BQ472" s="82">
        <v>-1263.8285449243908</v>
      </c>
      <c r="BR472" s="82"/>
      <c r="BS472" s="82">
        <v>-843</v>
      </c>
      <c r="BT472" s="82">
        <v>-468</v>
      </c>
      <c r="BU472" s="82">
        <v>-321</v>
      </c>
      <c r="BV472" s="82">
        <v>-182</v>
      </c>
      <c r="BW472" s="82">
        <v>-113</v>
      </c>
      <c r="BX472" s="82">
        <v>-98</v>
      </c>
      <c r="BY472" s="82">
        <v>-233</v>
      </c>
      <c r="BZ472" s="82">
        <v>-247</v>
      </c>
      <c r="CA472" s="82">
        <v>-196</v>
      </c>
      <c r="CB472" s="82">
        <v>-385</v>
      </c>
      <c r="CC472" s="82">
        <v>-449</v>
      </c>
      <c r="CD472" s="82">
        <v>-305</v>
      </c>
      <c r="CE472" s="82">
        <v>-276</v>
      </c>
      <c r="CF472" s="82">
        <v>-322</v>
      </c>
      <c r="CG472" s="82">
        <v>-398</v>
      </c>
      <c r="CH472" s="82">
        <v>-434</v>
      </c>
      <c r="CI472" s="82">
        <v>-930</v>
      </c>
      <c r="CJ472" s="82">
        <v>-3392</v>
      </c>
      <c r="CK472" s="82">
        <v>-2075</v>
      </c>
      <c r="CL472" s="82">
        <v>-1280</v>
      </c>
      <c r="CM472" s="82">
        <v>-1089</v>
      </c>
      <c r="CN472" s="82">
        <v>-1082</v>
      </c>
      <c r="CO472" s="82">
        <v>-953</v>
      </c>
      <c r="CP472" s="82">
        <v>-988</v>
      </c>
      <c r="CQ472" s="82">
        <v>-1256</v>
      </c>
      <c r="CR472" s="82">
        <v>-1095</v>
      </c>
      <c r="CS472" s="82">
        <v>-1079</v>
      </c>
      <c r="CT472" s="82">
        <v>-1201</v>
      </c>
      <c r="CU472" s="82">
        <v>-2518</v>
      </c>
      <c r="CV472" s="82">
        <v>-554</v>
      </c>
      <c r="CW472" s="82">
        <v>357</v>
      </c>
      <c r="CX472" s="82">
        <v>-1108</v>
      </c>
      <c r="CY472" s="83">
        <v>-802</v>
      </c>
      <c r="CZ472" s="82">
        <v>-1192.5471030680387</v>
      </c>
      <c r="DA472" s="82">
        <v>-1356.5575421788258</v>
      </c>
      <c r="DB472" s="82">
        <v>-1394.388966344347</v>
      </c>
      <c r="DC472" s="82">
        <v>-1439.273251635831</v>
      </c>
      <c r="DD472" s="82">
        <v>-1489.2655258481127</v>
      </c>
      <c r="DE472" s="82">
        <v>-1541.2649905784267</v>
      </c>
      <c r="DF472" s="82">
        <v>-4647.0986008792297</v>
      </c>
      <c r="DG472" s="82">
        <v>-4781.3399815200582</v>
      </c>
      <c r="DH472" s="82">
        <v>-2454.912122230734</v>
      </c>
      <c r="DI472" s="82">
        <v>-2521.6373017582928</v>
      </c>
    </row>
    <row r="473" spans="1:113" hidden="1" outlineLevel="2">
      <c r="A473" s="1" t="s">
        <v>362</v>
      </c>
      <c r="B473" s="19" t="s">
        <v>854</v>
      </c>
      <c r="C473" s="55">
        <v>0</v>
      </c>
      <c r="D473" s="55">
        <v>0</v>
      </c>
      <c r="E473" s="55">
        <v>0</v>
      </c>
      <c r="F473" s="55">
        <v>0</v>
      </c>
      <c r="G473" s="55">
        <v>0</v>
      </c>
      <c r="H473" s="55">
        <v>0</v>
      </c>
      <c r="I473" s="55">
        <v>0</v>
      </c>
      <c r="J473" s="55">
        <v>0</v>
      </c>
      <c r="K473" s="55">
        <v>0</v>
      </c>
      <c r="L473" s="55">
        <v>0</v>
      </c>
      <c r="M473" s="55">
        <v>0</v>
      </c>
      <c r="N473" s="55">
        <v>0</v>
      </c>
      <c r="O473" s="55">
        <v>0</v>
      </c>
      <c r="P473" s="55">
        <v>0</v>
      </c>
      <c r="Q473" s="55">
        <v>0</v>
      </c>
      <c r="R473" s="55">
        <v>0</v>
      </c>
      <c r="S473" s="55">
        <v>0</v>
      </c>
      <c r="T473" s="55">
        <v>0</v>
      </c>
      <c r="U473" s="55">
        <v>0</v>
      </c>
      <c r="V473" s="55">
        <v>0</v>
      </c>
      <c r="W473" s="55">
        <v>0</v>
      </c>
      <c r="X473" s="55">
        <v>0</v>
      </c>
      <c r="Y473" s="55">
        <v>0</v>
      </c>
      <c r="Z473" s="55">
        <v>0</v>
      </c>
      <c r="AA473" s="55">
        <v>0</v>
      </c>
      <c r="AB473" s="55">
        <v>0</v>
      </c>
      <c r="AC473" s="55">
        <v>0</v>
      </c>
      <c r="AD473" s="55">
        <v>0</v>
      </c>
      <c r="AE473" s="55">
        <v>0</v>
      </c>
      <c r="AF473" s="55">
        <v>0</v>
      </c>
      <c r="AG473" s="55">
        <v>0</v>
      </c>
      <c r="AH473" s="55">
        <v>0</v>
      </c>
      <c r="AI473" s="55">
        <v>0</v>
      </c>
      <c r="AJ473" s="55">
        <v>0</v>
      </c>
      <c r="AK473" s="55">
        <v>0</v>
      </c>
      <c r="AL473" s="55">
        <v>0</v>
      </c>
      <c r="AM473" s="55">
        <v>0</v>
      </c>
      <c r="AN473" s="55">
        <v>0</v>
      </c>
      <c r="AO473" s="55">
        <v>0</v>
      </c>
      <c r="AP473" s="55">
        <v>0</v>
      </c>
      <c r="AQ473" s="55">
        <v>0</v>
      </c>
      <c r="AR473" s="55">
        <v>0</v>
      </c>
      <c r="AS473" s="55">
        <v>0</v>
      </c>
      <c r="AT473" s="55">
        <v>0</v>
      </c>
      <c r="AU473" s="55">
        <v>0</v>
      </c>
      <c r="AV473" s="55">
        <v>0</v>
      </c>
      <c r="AW473" s="56">
        <v>0</v>
      </c>
      <c r="AX473" s="55">
        <v>0</v>
      </c>
      <c r="AY473" s="55">
        <v>0</v>
      </c>
      <c r="AZ473" s="55">
        <v>0</v>
      </c>
      <c r="BA473" s="55">
        <v>0</v>
      </c>
      <c r="BB473" s="55">
        <v>0</v>
      </c>
      <c r="BC473" s="55">
        <v>0</v>
      </c>
      <c r="BD473" s="55">
        <v>0</v>
      </c>
      <c r="BE473" s="55">
        <v>0</v>
      </c>
      <c r="BF473" s="55">
        <v>0</v>
      </c>
      <c r="BG473" s="55">
        <v>0</v>
      </c>
      <c r="BH473" s="55">
        <v>0</v>
      </c>
      <c r="BI473" s="55">
        <v>0</v>
      </c>
      <c r="BJ473" s="55">
        <v>0</v>
      </c>
      <c r="BK473" s="55">
        <v>0</v>
      </c>
      <c r="BL473" s="55">
        <v>0</v>
      </c>
      <c r="BM473" s="55">
        <v>0</v>
      </c>
      <c r="BN473" s="55">
        <v>0</v>
      </c>
      <c r="BO473" s="55">
        <v>0</v>
      </c>
      <c r="BP473" s="55">
        <v>0</v>
      </c>
      <c r="BQ473" s="55">
        <v>0</v>
      </c>
      <c r="BR473" s="55"/>
      <c r="BS473" s="55">
        <v>0</v>
      </c>
      <c r="BT473" s="55">
        <v>0</v>
      </c>
      <c r="BU473" s="55">
        <v>0</v>
      </c>
      <c r="BV473" s="55">
        <v>0</v>
      </c>
      <c r="BW473" s="55">
        <v>0</v>
      </c>
      <c r="BX473" s="55">
        <v>0</v>
      </c>
      <c r="BY473" s="55">
        <v>0</v>
      </c>
      <c r="BZ473" s="55">
        <v>0</v>
      </c>
      <c r="CA473" s="55">
        <v>0</v>
      </c>
      <c r="CB473" s="55">
        <v>0</v>
      </c>
      <c r="CC473" s="55">
        <v>0</v>
      </c>
      <c r="CD473" s="55">
        <v>0</v>
      </c>
      <c r="CE473" s="55">
        <v>0</v>
      </c>
      <c r="CF473" s="55">
        <v>0</v>
      </c>
      <c r="CG473" s="55">
        <v>0</v>
      </c>
      <c r="CH473" s="55">
        <v>0</v>
      </c>
      <c r="CI473" s="55">
        <v>0</v>
      </c>
      <c r="CJ473" s="55">
        <v>0</v>
      </c>
      <c r="CK473" s="55">
        <v>0</v>
      </c>
      <c r="CL473" s="55">
        <v>0</v>
      </c>
      <c r="CM473" s="55">
        <v>0</v>
      </c>
      <c r="CN473" s="55">
        <v>0</v>
      </c>
      <c r="CO473" s="55">
        <v>0</v>
      </c>
      <c r="CP473" s="55">
        <v>0</v>
      </c>
      <c r="CQ473" s="55">
        <v>0</v>
      </c>
      <c r="CR473" s="55">
        <v>0</v>
      </c>
      <c r="CS473" s="55">
        <v>0</v>
      </c>
      <c r="CT473" s="55">
        <v>0</v>
      </c>
      <c r="CU473" s="55">
        <v>0</v>
      </c>
      <c r="CV473" s="55">
        <v>0</v>
      </c>
      <c r="CW473" s="55">
        <v>0</v>
      </c>
      <c r="CX473" s="55">
        <v>0</v>
      </c>
      <c r="CY473" s="56">
        <v>0</v>
      </c>
      <c r="CZ473" s="55">
        <v>0</v>
      </c>
      <c r="DA473" s="55">
        <v>0</v>
      </c>
      <c r="DB473" s="55">
        <v>0</v>
      </c>
      <c r="DC473" s="55">
        <v>0</v>
      </c>
      <c r="DD473" s="55">
        <v>0</v>
      </c>
      <c r="DE473" s="55">
        <v>0</v>
      </c>
      <c r="DF473" s="55">
        <v>0</v>
      </c>
      <c r="DG473" s="55">
        <v>0</v>
      </c>
      <c r="DH473" s="55">
        <v>0</v>
      </c>
      <c r="DI473" s="55">
        <v>0</v>
      </c>
    </row>
    <row r="474" spans="1:113" hidden="1" outlineLevel="2">
      <c r="A474" s="1" t="s">
        <v>363</v>
      </c>
      <c r="B474" s="19" t="s">
        <v>445</v>
      </c>
      <c r="C474" s="55">
        <v>0</v>
      </c>
      <c r="D474" s="55">
        <v>0</v>
      </c>
      <c r="E474" s="55">
        <v>0</v>
      </c>
      <c r="F474" s="55">
        <v>0</v>
      </c>
      <c r="G474" s="55">
        <v>0</v>
      </c>
      <c r="H474" s="55">
        <v>0</v>
      </c>
      <c r="I474" s="55">
        <v>0</v>
      </c>
      <c r="J474" s="55">
        <v>0</v>
      </c>
      <c r="K474" s="55">
        <v>0</v>
      </c>
      <c r="L474" s="55">
        <v>0</v>
      </c>
      <c r="M474" s="55">
        <v>0</v>
      </c>
      <c r="N474" s="55">
        <v>0</v>
      </c>
      <c r="O474" s="55">
        <v>0</v>
      </c>
      <c r="P474" s="55">
        <v>0</v>
      </c>
      <c r="Q474" s="55">
        <v>0</v>
      </c>
      <c r="R474" s="55">
        <v>0</v>
      </c>
      <c r="S474" s="55">
        <v>0</v>
      </c>
      <c r="T474" s="55">
        <v>0</v>
      </c>
      <c r="U474" s="55">
        <v>0</v>
      </c>
      <c r="V474" s="55">
        <v>0</v>
      </c>
      <c r="W474" s="55">
        <v>0</v>
      </c>
      <c r="X474" s="55">
        <v>0</v>
      </c>
      <c r="Y474" s="55">
        <v>0</v>
      </c>
      <c r="Z474" s="55">
        <v>0</v>
      </c>
      <c r="AA474" s="55">
        <v>0</v>
      </c>
      <c r="AB474" s="55">
        <v>0</v>
      </c>
      <c r="AC474" s="55">
        <v>0</v>
      </c>
      <c r="AD474" s="55">
        <v>0</v>
      </c>
      <c r="AE474" s="55">
        <v>0</v>
      </c>
      <c r="AF474" s="55">
        <v>0</v>
      </c>
      <c r="AG474" s="55">
        <v>0</v>
      </c>
      <c r="AH474" s="55">
        <v>0</v>
      </c>
      <c r="AI474" s="55">
        <v>0</v>
      </c>
      <c r="AJ474" s="55">
        <v>0</v>
      </c>
      <c r="AK474" s="55">
        <v>0</v>
      </c>
      <c r="AL474" s="55">
        <v>0</v>
      </c>
      <c r="AM474" s="55">
        <v>0</v>
      </c>
      <c r="AN474" s="55">
        <v>0</v>
      </c>
      <c r="AO474" s="55">
        <v>0</v>
      </c>
      <c r="AP474" s="55">
        <v>0</v>
      </c>
      <c r="AQ474" s="55">
        <v>0</v>
      </c>
      <c r="AR474" s="55">
        <v>0</v>
      </c>
      <c r="AS474" s="55">
        <v>0</v>
      </c>
      <c r="AT474" s="55">
        <v>0</v>
      </c>
      <c r="AU474" s="55">
        <v>0</v>
      </c>
      <c r="AV474" s="55">
        <v>0</v>
      </c>
      <c r="AW474" s="56">
        <v>0</v>
      </c>
      <c r="AX474" s="55">
        <v>0</v>
      </c>
      <c r="AY474" s="55">
        <v>0</v>
      </c>
      <c r="AZ474" s="55">
        <v>0</v>
      </c>
      <c r="BA474" s="55">
        <v>0</v>
      </c>
      <c r="BB474" s="55">
        <v>0</v>
      </c>
      <c r="BC474" s="55">
        <v>0</v>
      </c>
      <c r="BD474" s="55">
        <v>0</v>
      </c>
      <c r="BE474" s="55">
        <v>0</v>
      </c>
      <c r="BF474" s="55">
        <v>0</v>
      </c>
      <c r="BG474" s="55">
        <v>0</v>
      </c>
      <c r="BH474" s="55">
        <v>0</v>
      </c>
      <c r="BI474" s="55">
        <v>0</v>
      </c>
      <c r="BJ474" s="55">
        <v>0</v>
      </c>
      <c r="BK474" s="55">
        <v>0</v>
      </c>
      <c r="BL474" s="55">
        <v>0</v>
      </c>
      <c r="BM474" s="55">
        <v>0</v>
      </c>
      <c r="BN474" s="55">
        <v>0</v>
      </c>
      <c r="BO474" s="55">
        <v>0</v>
      </c>
      <c r="BP474" s="55">
        <v>0</v>
      </c>
      <c r="BQ474" s="55">
        <v>0</v>
      </c>
      <c r="BR474" s="55"/>
      <c r="BS474" s="55">
        <v>0</v>
      </c>
      <c r="BT474" s="55">
        <v>0</v>
      </c>
      <c r="BU474" s="55">
        <v>0</v>
      </c>
      <c r="BV474" s="55">
        <v>0</v>
      </c>
      <c r="BW474" s="55">
        <v>0</v>
      </c>
      <c r="BX474" s="55">
        <v>0</v>
      </c>
      <c r="BY474" s="55">
        <v>0</v>
      </c>
      <c r="BZ474" s="55">
        <v>0</v>
      </c>
      <c r="CA474" s="55">
        <v>0</v>
      </c>
      <c r="CB474" s="55">
        <v>0</v>
      </c>
      <c r="CC474" s="55">
        <v>0</v>
      </c>
      <c r="CD474" s="55">
        <v>0</v>
      </c>
      <c r="CE474" s="55">
        <v>0</v>
      </c>
      <c r="CF474" s="55">
        <v>0</v>
      </c>
      <c r="CG474" s="55">
        <v>0</v>
      </c>
      <c r="CH474" s="55">
        <v>0</v>
      </c>
      <c r="CI474" s="55">
        <v>0</v>
      </c>
      <c r="CJ474" s="55">
        <v>0</v>
      </c>
      <c r="CK474" s="55">
        <v>0</v>
      </c>
      <c r="CL474" s="55">
        <v>0</v>
      </c>
      <c r="CM474" s="55">
        <v>0</v>
      </c>
      <c r="CN474" s="55">
        <v>0</v>
      </c>
      <c r="CO474" s="55">
        <v>0</v>
      </c>
      <c r="CP474" s="55">
        <v>0</v>
      </c>
      <c r="CQ474" s="55">
        <v>0</v>
      </c>
      <c r="CR474" s="55">
        <v>0</v>
      </c>
      <c r="CS474" s="55">
        <v>0</v>
      </c>
      <c r="CT474" s="55">
        <v>0</v>
      </c>
      <c r="CU474" s="55">
        <v>0</v>
      </c>
      <c r="CV474" s="55">
        <v>0</v>
      </c>
      <c r="CW474" s="55">
        <v>0</v>
      </c>
      <c r="CX474" s="55">
        <v>0</v>
      </c>
      <c r="CY474" s="56">
        <v>0</v>
      </c>
      <c r="CZ474" s="55">
        <v>0</v>
      </c>
      <c r="DA474" s="55">
        <v>0</v>
      </c>
      <c r="DB474" s="55">
        <v>0</v>
      </c>
      <c r="DC474" s="55">
        <v>0</v>
      </c>
      <c r="DD474" s="55">
        <v>0</v>
      </c>
      <c r="DE474" s="55">
        <v>0</v>
      </c>
      <c r="DF474" s="55">
        <v>0</v>
      </c>
      <c r="DG474" s="55">
        <v>0</v>
      </c>
      <c r="DH474" s="55">
        <v>0</v>
      </c>
      <c r="DI474" s="55">
        <v>0</v>
      </c>
    </row>
    <row r="475" spans="1:113" hidden="1" outlineLevel="2">
      <c r="A475" s="1" t="s">
        <v>685</v>
      </c>
      <c r="B475" s="19" t="s">
        <v>369</v>
      </c>
      <c r="C475" s="55">
        <v>0</v>
      </c>
      <c r="D475" s="55">
        <v>0</v>
      </c>
      <c r="E475" s="55">
        <v>0</v>
      </c>
      <c r="F475" s="55">
        <v>0</v>
      </c>
      <c r="G475" s="55">
        <v>0</v>
      </c>
      <c r="H475" s="55">
        <v>0</v>
      </c>
      <c r="I475" s="55">
        <v>0</v>
      </c>
      <c r="J475" s="55">
        <v>0</v>
      </c>
      <c r="K475" s="55">
        <v>0</v>
      </c>
      <c r="L475" s="55">
        <v>0</v>
      </c>
      <c r="M475" s="55">
        <v>0</v>
      </c>
      <c r="N475" s="55">
        <v>0</v>
      </c>
      <c r="O475" s="55">
        <v>0</v>
      </c>
      <c r="P475" s="55">
        <v>0</v>
      </c>
      <c r="Q475" s="55">
        <v>0</v>
      </c>
      <c r="R475" s="55">
        <v>0</v>
      </c>
      <c r="S475" s="55">
        <v>0</v>
      </c>
      <c r="T475" s="55">
        <v>0</v>
      </c>
      <c r="U475" s="55">
        <v>0</v>
      </c>
      <c r="V475" s="55">
        <v>0</v>
      </c>
      <c r="W475" s="55">
        <v>0</v>
      </c>
      <c r="X475" s="55">
        <v>0</v>
      </c>
      <c r="Y475" s="55">
        <v>0</v>
      </c>
      <c r="Z475" s="55">
        <v>0</v>
      </c>
      <c r="AA475" s="55">
        <v>0</v>
      </c>
      <c r="AB475" s="55">
        <v>0</v>
      </c>
      <c r="AC475" s="55">
        <v>0</v>
      </c>
      <c r="AD475" s="55">
        <v>0</v>
      </c>
      <c r="AE475" s="55">
        <v>0</v>
      </c>
      <c r="AF475" s="55">
        <v>0</v>
      </c>
      <c r="AG475" s="55">
        <v>0</v>
      </c>
      <c r="AH475" s="55">
        <v>0</v>
      </c>
      <c r="AI475" s="55">
        <v>0</v>
      </c>
      <c r="AJ475" s="55">
        <v>0</v>
      </c>
      <c r="AK475" s="55">
        <v>0</v>
      </c>
      <c r="AL475" s="55">
        <v>0</v>
      </c>
      <c r="AM475" s="55">
        <v>0</v>
      </c>
      <c r="AN475" s="55">
        <v>0</v>
      </c>
      <c r="AO475" s="55">
        <v>0</v>
      </c>
      <c r="AP475" s="55">
        <v>0</v>
      </c>
      <c r="AQ475" s="55">
        <v>0</v>
      </c>
      <c r="AR475" s="55">
        <v>0</v>
      </c>
      <c r="AS475" s="55">
        <v>0</v>
      </c>
      <c r="AT475" s="55">
        <v>0</v>
      </c>
      <c r="AU475" s="55">
        <v>0</v>
      </c>
      <c r="AV475" s="55">
        <v>0</v>
      </c>
      <c r="AW475" s="56">
        <v>0</v>
      </c>
      <c r="AX475" s="55">
        <v>0</v>
      </c>
      <c r="AY475" s="55">
        <v>0</v>
      </c>
      <c r="AZ475" s="55">
        <v>0</v>
      </c>
      <c r="BA475" s="55">
        <v>0</v>
      </c>
      <c r="BB475" s="55">
        <v>0</v>
      </c>
      <c r="BC475" s="55">
        <v>0</v>
      </c>
      <c r="BD475" s="55">
        <v>0</v>
      </c>
      <c r="BE475" s="55">
        <v>0</v>
      </c>
      <c r="BF475" s="55">
        <v>0</v>
      </c>
      <c r="BG475" s="55">
        <v>0</v>
      </c>
      <c r="BH475" s="55">
        <v>0</v>
      </c>
      <c r="BI475" s="55">
        <v>0</v>
      </c>
      <c r="BJ475" s="55">
        <v>0</v>
      </c>
      <c r="BK475" s="55">
        <v>0</v>
      </c>
      <c r="BL475" s="55">
        <v>0</v>
      </c>
      <c r="BM475" s="55">
        <v>0</v>
      </c>
      <c r="BN475" s="55">
        <v>0</v>
      </c>
      <c r="BO475" s="55">
        <v>0</v>
      </c>
      <c r="BP475" s="55">
        <v>0</v>
      </c>
      <c r="BQ475" s="55">
        <v>0</v>
      </c>
      <c r="BR475" s="55"/>
      <c r="BS475" s="55">
        <v>0</v>
      </c>
      <c r="BT475" s="55">
        <v>0</v>
      </c>
      <c r="BU475" s="55">
        <v>0</v>
      </c>
      <c r="BV475" s="55">
        <v>0</v>
      </c>
      <c r="BW475" s="55">
        <v>0</v>
      </c>
      <c r="BX475" s="55">
        <v>0</v>
      </c>
      <c r="BY475" s="55">
        <v>0</v>
      </c>
      <c r="BZ475" s="55">
        <v>0</v>
      </c>
      <c r="CA475" s="55">
        <v>0</v>
      </c>
      <c r="CB475" s="55">
        <v>0</v>
      </c>
      <c r="CC475" s="55">
        <v>0</v>
      </c>
      <c r="CD475" s="55">
        <v>0</v>
      </c>
      <c r="CE475" s="55">
        <v>0</v>
      </c>
      <c r="CF475" s="55">
        <v>0</v>
      </c>
      <c r="CG475" s="55">
        <v>0</v>
      </c>
      <c r="CH475" s="55">
        <v>0</v>
      </c>
      <c r="CI475" s="55">
        <v>0</v>
      </c>
      <c r="CJ475" s="55">
        <v>0</v>
      </c>
      <c r="CK475" s="55">
        <v>0</v>
      </c>
      <c r="CL475" s="55">
        <v>0</v>
      </c>
      <c r="CM475" s="55">
        <v>0</v>
      </c>
      <c r="CN475" s="55">
        <v>0</v>
      </c>
      <c r="CO475" s="55">
        <v>0</v>
      </c>
      <c r="CP475" s="55">
        <v>0</v>
      </c>
      <c r="CQ475" s="55">
        <v>0</v>
      </c>
      <c r="CR475" s="55">
        <v>0</v>
      </c>
      <c r="CS475" s="55">
        <v>0</v>
      </c>
      <c r="CT475" s="55">
        <v>0</v>
      </c>
      <c r="CU475" s="55">
        <v>0</v>
      </c>
      <c r="CV475" s="55">
        <v>0</v>
      </c>
      <c r="CW475" s="55">
        <v>0</v>
      </c>
      <c r="CX475" s="55">
        <v>0</v>
      </c>
      <c r="CY475" s="56">
        <v>0</v>
      </c>
      <c r="CZ475" s="55">
        <v>0</v>
      </c>
      <c r="DA475" s="55">
        <v>0</v>
      </c>
      <c r="DB475" s="55">
        <v>0</v>
      </c>
      <c r="DC475" s="55">
        <v>0</v>
      </c>
      <c r="DD475" s="55">
        <v>0</v>
      </c>
      <c r="DE475" s="55">
        <v>0</v>
      </c>
      <c r="DF475" s="55">
        <v>0</v>
      </c>
      <c r="DG475" s="55">
        <v>0</v>
      </c>
      <c r="DH475" s="55">
        <v>0</v>
      </c>
      <c r="DI475" s="55">
        <v>0</v>
      </c>
    </row>
    <row r="476" spans="1:113" hidden="1" outlineLevel="2">
      <c r="A476" s="1" t="s">
        <v>101</v>
      </c>
      <c r="B476" s="19" t="s">
        <v>360</v>
      </c>
      <c r="C476" s="53"/>
      <c r="D476" s="53"/>
      <c r="E476" s="53"/>
      <c r="F476" s="53"/>
      <c r="G476" s="53"/>
      <c r="H476" s="53"/>
      <c r="I476" s="53"/>
      <c r="J476" s="53"/>
      <c r="K476" s="53"/>
      <c r="L476" s="53">
        <v>0</v>
      </c>
      <c r="M476" s="53">
        <v>0</v>
      </c>
      <c r="N476" s="53">
        <v>0</v>
      </c>
      <c r="O476" s="53">
        <v>0</v>
      </c>
      <c r="P476" s="53">
        <v>0</v>
      </c>
      <c r="Q476" s="53">
        <v>0</v>
      </c>
      <c r="R476" s="53">
        <v>0</v>
      </c>
      <c r="S476" s="53">
        <v>0</v>
      </c>
      <c r="T476" s="53">
        <v>0</v>
      </c>
      <c r="U476" s="53">
        <v>0</v>
      </c>
      <c r="V476" s="53">
        <v>0</v>
      </c>
      <c r="W476" s="53">
        <v>0</v>
      </c>
      <c r="X476" s="53">
        <v>0</v>
      </c>
      <c r="Y476" s="53">
        <v>0</v>
      </c>
      <c r="Z476" s="53">
        <v>0</v>
      </c>
      <c r="AA476" s="164">
        <v>0</v>
      </c>
      <c r="AB476" s="164">
        <v>0</v>
      </c>
      <c r="AC476" s="164">
        <v>0</v>
      </c>
      <c r="AD476" s="164">
        <v>0</v>
      </c>
      <c r="AE476" s="164">
        <v>0</v>
      </c>
      <c r="AF476" s="164">
        <v>0</v>
      </c>
      <c r="AG476" s="164">
        <v>0</v>
      </c>
      <c r="AH476" s="164">
        <v>0</v>
      </c>
      <c r="AI476" s="164">
        <v>0</v>
      </c>
      <c r="AJ476" s="164">
        <v>0</v>
      </c>
      <c r="AK476" s="164">
        <v>0</v>
      </c>
      <c r="AL476" s="164">
        <v>0</v>
      </c>
      <c r="AM476" s="164">
        <v>0</v>
      </c>
      <c r="AN476" s="164">
        <v>0</v>
      </c>
      <c r="AO476" s="164">
        <v>0</v>
      </c>
      <c r="AP476" s="164">
        <v>0</v>
      </c>
      <c r="AQ476" s="164">
        <v>0</v>
      </c>
      <c r="AR476" s="164">
        <v>0</v>
      </c>
      <c r="AS476" s="164">
        <v>0</v>
      </c>
      <c r="AT476" s="164">
        <v>0</v>
      </c>
      <c r="AU476" s="164">
        <v>0</v>
      </c>
      <c r="AV476" s="164">
        <v>0</v>
      </c>
      <c r="AW476" s="171">
        <v>0</v>
      </c>
      <c r="AX476" s="54">
        <v>0</v>
      </c>
      <c r="AY476" s="54">
        <v>0</v>
      </c>
      <c r="AZ476" s="54">
        <v>0</v>
      </c>
      <c r="BA476" s="54">
        <v>0</v>
      </c>
      <c r="BB476" s="54">
        <v>0</v>
      </c>
      <c r="BC476" s="54">
        <v>0</v>
      </c>
      <c r="BD476" s="54">
        <v>0</v>
      </c>
      <c r="BE476" s="54">
        <v>0</v>
      </c>
      <c r="BF476" s="54">
        <v>0</v>
      </c>
      <c r="BG476" s="54">
        <v>0</v>
      </c>
      <c r="BH476" s="54">
        <v>0</v>
      </c>
      <c r="BI476" s="54">
        <v>0</v>
      </c>
      <c r="BJ476" s="54">
        <v>0</v>
      </c>
      <c r="BK476" s="54">
        <v>0</v>
      </c>
      <c r="BL476" s="54">
        <v>0</v>
      </c>
      <c r="BM476" s="54">
        <v>0</v>
      </c>
      <c r="BN476" s="54">
        <v>0</v>
      </c>
      <c r="BO476" s="54">
        <v>0</v>
      </c>
      <c r="BP476" s="54">
        <v>0</v>
      </c>
      <c r="BQ476" s="54">
        <v>0</v>
      </c>
      <c r="BR476" s="55"/>
      <c r="BS476" s="53">
        <v>0</v>
      </c>
      <c r="BT476" s="53">
        <v>0</v>
      </c>
      <c r="BU476" s="53">
        <v>0</v>
      </c>
      <c r="BV476" s="53">
        <v>0</v>
      </c>
      <c r="BW476" s="53">
        <v>0</v>
      </c>
      <c r="BX476" s="53">
        <v>0</v>
      </c>
      <c r="BY476" s="53">
        <v>0</v>
      </c>
      <c r="BZ476" s="53">
        <v>0</v>
      </c>
      <c r="CA476" s="53">
        <v>0</v>
      </c>
      <c r="CB476" s="53">
        <v>0</v>
      </c>
      <c r="CC476" s="55">
        <v>0</v>
      </c>
      <c r="CD476" s="55">
        <v>0</v>
      </c>
      <c r="CE476" s="55">
        <v>0</v>
      </c>
      <c r="CF476" s="55">
        <v>0</v>
      </c>
      <c r="CG476" s="55">
        <v>0</v>
      </c>
      <c r="CH476" s="55">
        <v>0</v>
      </c>
      <c r="CI476" s="55">
        <v>0</v>
      </c>
      <c r="CJ476" s="55">
        <v>0</v>
      </c>
      <c r="CK476" s="55">
        <v>0</v>
      </c>
      <c r="CL476" s="55">
        <v>0</v>
      </c>
      <c r="CM476" s="55">
        <v>0</v>
      </c>
      <c r="CN476" s="55">
        <v>0</v>
      </c>
      <c r="CO476" s="55">
        <v>0</v>
      </c>
      <c r="CP476" s="55">
        <v>0</v>
      </c>
      <c r="CQ476" s="55">
        <v>0</v>
      </c>
      <c r="CR476" s="55">
        <v>0</v>
      </c>
      <c r="CS476" s="55">
        <v>0</v>
      </c>
      <c r="CT476" s="55">
        <v>0</v>
      </c>
      <c r="CU476" s="55">
        <v>0</v>
      </c>
      <c r="CV476" s="55">
        <v>0</v>
      </c>
      <c r="CW476" s="55">
        <v>0</v>
      </c>
      <c r="CX476" s="55">
        <v>0</v>
      </c>
      <c r="CY476" s="56">
        <v>0</v>
      </c>
      <c r="CZ476" s="55">
        <v>0</v>
      </c>
      <c r="DA476" s="55">
        <v>0</v>
      </c>
      <c r="DB476" s="55">
        <v>0</v>
      </c>
      <c r="DC476" s="55">
        <v>0</v>
      </c>
      <c r="DD476" s="55">
        <v>0</v>
      </c>
      <c r="DE476" s="55">
        <v>0</v>
      </c>
      <c r="DF476" s="55">
        <v>0</v>
      </c>
      <c r="DG476" s="55">
        <v>0</v>
      </c>
      <c r="DH476" s="55">
        <v>0</v>
      </c>
      <c r="DI476" s="55">
        <v>0</v>
      </c>
    </row>
    <row r="477" spans="1:113" hidden="1" outlineLevel="2">
      <c r="A477" s="1" t="s">
        <v>102</v>
      </c>
      <c r="B477" s="19" t="s">
        <v>423</v>
      </c>
      <c r="C477" s="53"/>
      <c r="D477" s="53"/>
      <c r="E477" s="53"/>
      <c r="F477" s="53"/>
      <c r="G477" s="53"/>
      <c r="H477" s="53"/>
      <c r="I477" s="53"/>
      <c r="J477" s="53"/>
      <c r="K477" s="53"/>
      <c r="L477" s="53">
        <v>0</v>
      </c>
      <c r="M477" s="53">
        <v>0</v>
      </c>
      <c r="N477" s="53">
        <v>0</v>
      </c>
      <c r="O477" s="53">
        <v>0</v>
      </c>
      <c r="P477" s="53">
        <v>0</v>
      </c>
      <c r="Q477" s="53">
        <v>0</v>
      </c>
      <c r="R477" s="53">
        <v>0</v>
      </c>
      <c r="S477" s="53">
        <v>0</v>
      </c>
      <c r="T477" s="53">
        <v>0</v>
      </c>
      <c r="U477" s="53">
        <v>0</v>
      </c>
      <c r="V477" s="53">
        <v>0</v>
      </c>
      <c r="W477" s="53">
        <v>0</v>
      </c>
      <c r="X477" s="53">
        <v>0</v>
      </c>
      <c r="Y477" s="53">
        <v>0</v>
      </c>
      <c r="Z477" s="53">
        <v>0</v>
      </c>
      <c r="AA477" s="164">
        <v>0</v>
      </c>
      <c r="AB477" s="164">
        <v>0</v>
      </c>
      <c r="AC477" s="164">
        <v>0</v>
      </c>
      <c r="AD477" s="164">
        <v>0</v>
      </c>
      <c r="AE477" s="164">
        <v>0</v>
      </c>
      <c r="AF477" s="164">
        <v>0</v>
      </c>
      <c r="AG477" s="164">
        <v>0</v>
      </c>
      <c r="AH477" s="164">
        <v>0</v>
      </c>
      <c r="AI477" s="164">
        <v>0</v>
      </c>
      <c r="AJ477" s="164">
        <v>0</v>
      </c>
      <c r="AK477" s="164">
        <v>0</v>
      </c>
      <c r="AL477" s="164">
        <v>0</v>
      </c>
      <c r="AM477" s="164">
        <v>0</v>
      </c>
      <c r="AN477" s="164">
        <v>0</v>
      </c>
      <c r="AO477" s="164">
        <v>0</v>
      </c>
      <c r="AP477" s="164">
        <v>0</v>
      </c>
      <c r="AQ477" s="164">
        <v>0</v>
      </c>
      <c r="AR477" s="164">
        <v>0</v>
      </c>
      <c r="AS477" s="164">
        <v>0</v>
      </c>
      <c r="AT477" s="164">
        <v>0</v>
      </c>
      <c r="AU477" s="164">
        <v>0</v>
      </c>
      <c r="AV477" s="164">
        <v>0</v>
      </c>
      <c r="AW477" s="171">
        <v>0</v>
      </c>
      <c r="AX477" s="54">
        <v>0</v>
      </c>
      <c r="AY477" s="54">
        <v>0</v>
      </c>
      <c r="AZ477" s="54">
        <v>0</v>
      </c>
      <c r="BA477" s="54">
        <v>0</v>
      </c>
      <c r="BB477" s="54">
        <v>0</v>
      </c>
      <c r="BC477" s="54">
        <v>0</v>
      </c>
      <c r="BD477" s="54">
        <v>0</v>
      </c>
      <c r="BE477" s="54">
        <v>0</v>
      </c>
      <c r="BF477" s="54">
        <v>0</v>
      </c>
      <c r="BG477" s="54">
        <v>0</v>
      </c>
      <c r="BH477" s="54">
        <v>0</v>
      </c>
      <c r="BI477" s="54">
        <v>0</v>
      </c>
      <c r="BJ477" s="54">
        <v>0</v>
      </c>
      <c r="BK477" s="54">
        <v>0</v>
      </c>
      <c r="BL477" s="54">
        <v>0</v>
      </c>
      <c r="BM477" s="54">
        <v>0</v>
      </c>
      <c r="BN477" s="54">
        <v>0</v>
      </c>
      <c r="BO477" s="54">
        <v>0</v>
      </c>
      <c r="BP477" s="54">
        <v>0</v>
      </c>
      <c r="BQ477" s="54">
        <v>0</v>
      </c>
      <c r="BR477" s="55"/>
      <c r="BS477" s="53">
        <v>0</v>
      </c>
      <c r="BT477" s="53">
        <v>0</v>
      </c>
      <c r="BU477" s="53">
        <v>0</v>
      </c>
      <c r="BV477" s="53">
        <v>0</v>
      </c>
      <c r="BW477" s="53">
        <v>0</v>
      </c>
      <c r="BX477" s="53">
        <v>0</v>
      </c>
      <c r="BY477" s="53">
        <v>0</v>
      </c>
      <c r="BZ477" s="53">
        <v>0</v>
      </c>
      <c r="CA477" s="53">
        <v>0</v>
      </c>
      <c r="CB477" s="53">
        <v>0</v>
      </c>
      <c r="CC477" s="55">
        <v>0</v>
      </c>
      <c r="CD477" s="55">
        <v>0</v>
      </c>
      <c r="CE477" s="55">
        <v>0</v>
      </c>
      <c r="CF477" s="55">
        <v>0</v>
      </c>
      <c r="CG477" s="55">
        <v>0</v>
      </c>
      <c r="CH477" s="55">
        <v>0</v>
      </c>
      <c r="CI477" s="55">
        <v>0</v>
      </c>
      <c r="CJ477" s="55">
        <v>0</v>
      </c>
      <c r="CK477" s="55">
        <v>0</v>
      </c>
      <c r="CL477" s="55">
        <v>0</v>
      </c>
      <c r="CM477" s="55">
        <v>0</v>
      </c>
      <c r="CN477" s="55">
        <v>0</v>
      </c>
      <c r="CO477" s="55">
        <v>0</v>
      </c>
      <c r="CP477" s="55">
        <v>0</v>
      </c>
      <c r="CQ477" s="55">
        <v>0</v>
      </c>
      <c r="CR477" s="55">
        <v>0</v>
      </c>
      <c r="CS477" s="55">
        <v>0</v>
      </c>
      <c r="CT477" s="55">
        <v>0</v>
      </c>
      <c r="CU477" s="55">
        <v>0</v>
      </c>
      <c r="CV477" s="55">
        <v>0</v>
      </c>
      <c r="CW477" s="55">
        <v>0</v>
      </c>
      <c r="CX477" s="55">
        <v>0</v>
      </c>
      <c r="CY477" s="56">
        <v>0</v>
      </c>
      <c r="CZ477" s="55">
        <v>0</v>
      </c>
      <c r="DA477" s="55">
        <v>0</v>
      </c>
      <c r="DB477" s="55">
        <v>0</v>
      </c>
      <c r="DC477" s="55">
        <v>0</v>
      </c>
      <c r="DD477" s="55">
        <v>0</v>
      </c>
      <c r="DE477" s="55">
        <v>0</v>
      </c>
      <c r="DF477" s="55">
        <v>0</v>
      </c>
      <c r="DG477" s="55">
        <v>0</v>
      </c>
      <c r="DH477" s="55">
        <v>0</v>
      </c>
      <c r="DI477" s="55">
        <v>0</v>
      </c>
    </row>
    <row r="478" spans="1:113" s="24" customFormat="1" hidden="1" outlineLevel="2">
      <c r="A478" s="1" t="s">
        <v>103</v>
      </c>
      <c r="B478" s="24" t="s">
        <v>495</v>
      </c>
      <c r="C478" s="81">
        <v>-203</v>
      </c>
      <c r="D478" s="81">
        <v>-290</v>
      </c>
      <c r="E478" s="81">
        <v>-159</v>
      </c>
      <c r="F478" s="81">
        <v>-151</v>
      </c>
      <c r="G478" s="81">
        <v>-154</v>
      </c>
      <c r="H478" s="81">
        <v>-150</v>
      </c>
      <c r="I478" s="81">
        <v>-126</v>
      </c>
      <c r="J478" s="81">
        <v>-146</v>
      </c>
      <c r="K478" s="81">
        <v>-176</v>
      </c>
      <c r="L478" s="81">
        <v>-188</v>
      </c>
      <c r="M478" s="81">
        <v>-210</v>
      </c>
      <c r="N478" s="81">
        <v>-195</v>
      </c>
      <c r="O478" s="81">
        <v>-239</v>
      </c>
      <c r="P478" s="81">
        <v>-333</v>
      </c>
      <c r="Q478" s="81">
        <v>-597</v>
      </c>
      <c r="R478" s="81">
        <v>-1951</v>
      </c>
      <c r="S478" s="81">
        <v>-1441</v>
      </c>
      <c r="T478" s="81">
        <v>-1383</v>
      </c>
      <c r="U478" s="81">
        <v>-692</v>
      </c>
      <c r="V478" s="81">
        <v>-722</v>
      </c>
      <c r="W478" s="81">
        <v>-558</v>
      </c>
      <c r="X478" s="81">
        <v>-545</v>
      </c>
      <c r="Y478" s="81">
        <v>-544</v>
      </c>
      <c r="Z478" s="81">
        <v>-616</v>
      </c>
      <c r="AA478" s="166">
        <v>-466</v>
      </c>
      <c r="AB478" s="166">
        <v>-457</v>
      </c>
      <c r="AC478" s="166">
        <v>-496</v>
      </c>
      <c r="AD478" s="166">
        <v>-440</v>
      </c>
      <c r="AE478" s="166">
        <v>-548</v>
      </c>
      <c r="AF478" s="166">
        <v>-564</v>
      </c>
      <c r="AG478" s="166">
        <v>-692</v>
      </c>
      <c r="AH478" s="166">
        <v>-599</v>
      </c>
      <c r="AI478" s="166">
        <v>-496</v>
      </c>
      <c r="AJ478" s="166">
        <v>-596</v>
      </c>
      <c r="AK478" s="166">
        <v>-483</v>
      </c>
      <c r="AL478" s="166">
        <v>-577</v>
      </c>
      <c r="AM478" s="166">
        <v>-624</v>
      </c>
      <c r="AN478" s="166">
        <v>-649</v>
      </c>
      <c r="AO478" s="166">
        <v>-1869</v>
      </c>
      <c r="AP478" s="166">
        <v>-882</v>
      </c>
      <c r="AQ478" s="166">
        <v>328</v>
      </c>
      <c r="AR478" s="166">
        <v>75</v>
      </c>
      <c r="AS478" s="166">
        <v>282</v>
      </c>
      <c r="AT478" s="166">
        <v>-511</v>
      </c>
      <c r="AU478" s="166">
        <v>-597</v>
      </c>
      <c r="AV478" s="166">
        <v>-415</v>
      </c>
      <c r="AW478" s="167">
        <v>-387</v>
      </c>
      <c r="AX478" s="82">
        <v>-537.522531997996</v>
      </c>
      <c r="AY478" s="82">
        <v>-655.02457107004261</v>
      </c>
      <c r="AZ478" s="82">
        <v>-680.2800915140499</v>
      </c>
      <c r="BA478" s="82">
        <v>-676.27745066477576</v>
      </c>
      <c r="BB478" s="82">
        <v>-697.61331688862902</v>
      </c>
      <c r="BC478" s="82">
        <v>-696.77564945571794</v>
      </c>
      <c r="BD478" s="82">
        <v>-716.72523759505611</v>
      </c>
      <c r="BE478" s="82">
        <v>-722.54801404077489</v>
      </c>
      <c r="BF478" s="82">
        <v>-743.26373668581607</v>
      </c>
      <c r="BG478" s="82">
        <v>-746.00178916229663</v>
      </c>
      <c r="BH478" s="82">
        <v>-769.17878614398717</v>
      </c>
      <c r="BI478" s="82">
        <v>-772.08620443443954</v>
      </c>
      <c r="BJ478" s="82">
        <v>-1852.9897741997597</v>
      </c>
      <c r="BK478" s="82">
        <v>-2794.1088266794704</v>
      </c>
      <c r="BL478" s="82">
        <v>-2868.883163989859</v>
      </c>
      <c r="BM478" s="82">
        <v>-1912.456817530199</v>
      </c>
      <c r="BN478" s="82">
        <v>-1224.2529215566606</v>
      </c>
      <c r="BO478" s="82">
        <v>-1230.6592006740732</v>
      </c>
      <c r="BP478" s="82">
        <v>-1257.8087568339022</v>
      </c>
      <c r="BQ478" s="82">
        <v>-1263.8285449243908</v>
      </c>
      <c r="BR478" s="82"/>
      <c r="BS478" s="81">
        <v>-843</v>
      </c>
      <c r="BT478" s="81">
        <v>-468</v>
      </c>
      <c r="BU478" s="81">
        <v>-321</v>
      </c>
      <c r="BV478" s="81">
        <v>-182</v>
      </c>
      <c r="BW478" s="81">
        <v>-113</v>
      </c>
      <c r="BX478" s="81">
        <v>-98</v>
      </c>
      <c r="BY478" s="81">
        <v>-233</v>
      </c>
      <c r="BZ478" s="81">
        <v>-247</v>
      </c>
      <c r="CA478" s="81">
        <v>-196</v>
      </c>
      <c r="CB478" s="81">
        <v>-385</v>
      </c>
      <c r="CC478" s="82">
        <v>-449</v>
      </c>
      <c r="CD478" s="82">
        <v>-305</v>
      </c>
      <c r="CE478" s="82">
        <v>-276</v>
      </c>
      <c r="CF478" s="82">
        <v>-322</v>
      </c>
      <c r="CG478" s="82">
        <v>-398</v>
      </c>
      <c r="CH478" s="82">
        <v>-434</v>
      </c>
      <c r="CI478" s="82">
        <v>-930</v>
      </c>
      <c r="CJ478" s="82">
        <v>-3392</v>
      </c>
      <c r="CK478" s="82">
        <v>-2075</v>
      </c>
      <c r="CL478" s="82">
        <v>-1280</v>
      </c>
      <c r="CM478" s="82">
        <v>-1089</v>
      </c>
      <c r="CN478" s="82">
        <v>-1082</v>
      </c>
      <c r="CO478" s="82">
        <v>-953</v>
      </c>
      <c r="CP478" s="82">
        <v>-988</v>
      </c>
      <c r="CQ478" s="82">
        <v>-1256</v>
      </c>
      <c r="CR478" s="82">
        <v>-1095</v>
      </c>
      <c r="CS478" s="82">
        <v>-1079</v>
      </c>
      <c r="CT478" s="82">
        <v>-1201</v>
      </c>
      <c r="CU478" s="82">
        <v>-2518</v>
      </c>
      <c r="CV478" s="82">
        <v>-554</v>
      </c>
      <c r="CW478" s="82">
        <v>357</v>
      </c>
      <c r="CX478" s="82">
        <v>-1108</v>
      </c>
      <c r="CY478" s="83">
        <v>-802</v>
      </c>
      <c r="CZ478" s="82">
        <v>-1192.5471030680387</v>
      </c>
      <c r="DA478" s="82">
        <v>-1356.5575421788258</v>
      </c>
      <c r="DB478" s="82">
        <v>-1394.388966344347</v>
      </c>
      <c r="DC478" s="82">
        <v>-1439.273251635831</v>
      </c>
      <c r="DD478" s="82">
        <v>-1489.2655258481127</v>
      </c>
      <c r="DE478" s="82">
        <v>-1541.2649905784267</v>
      </c>
      <c r="DF478" s="82">
        <v>-4647.0986008792297</v>
      </c>
      <c r="DG478" s="82">
        <v>-4781.3399815200582</v>
      </c>
      <c r="DH478" s="82">
        <v>-2454.912122230734</v>
      </c>
      <c r="DI478" s="82">
        <v>-2521.6373017582928</v>
      </c>
    </row>
    <row r="479" spans="1:113" hidden="1" outlineLevel="2">
      <c r="A479" s="1" t="s">
        <v>104</v>
      </c>
      <c r="B479" s="19" t="s">
        <v>526</v>
      </c>
      <c r="C479" s="55">
        <v>0</v>
      </c>
      <c r="D479" s="55">
        <v>0</v>
      </c>
      <c r="E479" s="55">
        <v>0</v>
      </c>
      <c r="F479" s="55">
        <v>0</v>
      </c>
      <c r="G479" s="55">
        <v>0</v>
      </c>
      <c r="H479" s="55">
        <v>0</v>
      </c>
      <c r="I479" s="55">
        <v>0</v>
      </c>
      <c r="J479" s="55">
        <v>0</v>
      </c>
      <c r="K479" s="55">
        <v>0</v>
      </c>
      <c r="L479" s="55">
        <v>0</v>
      </c>
      <c r="M479" s="55">
        <v>0</v>
      </c>
      <c r="N479" s="55">
        <v>0</v>
      </c>
      <c r="O479" s="55">
        <v>0</v>
      </c>
      <c r="P479" s="55">
        <v>0</v>
      </c>
      <c r="Q479" s="55">
        <v>0</v>
      </c>
      <c r="R479" s="55">
        <v>344</v>
      </c>
      <c r="S479" s="55">
        <v>0</v>
      </c>
      <c r="T479" s="55">
        <v>0</v>
      </c>
      <c r="U479" s="55">
        <v>-304</v>
      </c>
      <c r="V479" s="55">
        <v>0</v>
      </c>
      <c r="W479" s="55">
        <v>0</v>
      </c>
      <c r="X479" s="55">
        <v>0</v>
      </c>
      <c r="Y479" s="55">
        <v>0</v>
      </c>
      <c r="Z479" s="55">
        <v>-64</v>
      </c>
      <c r="AA479" s="55">
        <v>0</v>
      </c>
      <c r="AB479" s="55">
        <v>0</v>
      </c>
      <c r="AC479" s="55">
        <v>35</v>
      </c>
      <c r="AD479" s="55">
        <v>0</v>
      </c>
      <c r="AE479" s="55">
        <v>0</v>
      </c>
      <c r="AF479" s="55">
        <v>0</v>
      </c>
      <c r="AG479" s="55">
        <v>0</v>
      </c>
      <c r="AH479" s="55">
        <v>0</v>
      </c>
      <c r="AI479" s="55">
        <v>0</v>
      </c>
      <c r="AJ479" s="55">
        <v>0</v>
      </c>
      <c r="AK479" s="55">
        <v>0</v>
      </c>
      <c r="AL479" s="55">
        <v>0</v>
      </c>
      <c r="AM479" s="55">
        <v>0</v>
      </c>
      <c r="AN479" s="55">
        <v>0</v>
      </c>
      <c r="AO479" s="55">
        <v>0</v>
      </c>
      <c r="AP479" s="55">
        <v>0</v>
      </c>
      <c r="AQ479" s="55">
        <v>0</v>
      </c>
      <c r="AR479" s="55">
        <v>0</v>
      </c>
      <c r="AS479" s="55">
        <v>0</v>
      </c>
      <c r="AT479" s="55">
        <v>0</v>
      </c>
      <c r="AU479" s="55">
        <v>0</v>
      </c>
      <c r="AV479" s="55">
        <v>0</v>
      </c>
      <c r="AW479" s="56">
        <v>0</v>
      </c>
      <c r="AX479" s="54">
        <v>0</v>
      </c>
      <c r="AY479" s="54">
        <v>0</v>
      </c>
      <c r="AZ479" s="54">
        <v>0</v>
      </c>
      <c r="BA479" s="54">
        <v>0</v>
      </c>
      <c r="BB479" s="54">
        <v>0</v>
      </c>
      <c r="BC479" s="54">
        <v>0</v>
      </c>
      <c r="BD479" s="54">
        <v>0</v>
      </c>
      <c r="BE479" s="54">
        <v>0</v>
      </c>
      <c r="BF479" s="54">
        <v>0</v>
      </c>
      <c r="BG479" s="54">
        <v>0</v>
      </c>
      <c r="BH479" s="54">
        <v>0</v>
      </c>
      <c r="BI479" s="54">
        <v>0</v>
      </c>
      <c r="BJ479" s="54">
        <v>0</v>
      </c>
      <c r="BK479" s="54">
        <v>0</v>
      </c>
      <c r="BL479" s="54">
        <v>0</v>
      </c>
      <c r="BM479" s="54">
        <v>0</v>
      </c>
      <c r="BN479" s="54">
        <v>0</v>
      </c>
      <c r="BO479" s="54">
        <v>0</v>
      </c>
      <c r="BP479" s="54">
        <v>0</v>
      </c>
      <c r="BQ479" s="54">
        <v>0</v>
      </c>
      <c r="BR479" s="55"/>
      <c r="BS479" s="55">
        <v>0</v>
      </c>
      <c r="BT479" s="55">
        <v>0</v>
      </c>
      <c r="BU479" s="55">
        <v>0</v>
      </c>
      <c r="BV479" s="55">
        <v>0</v>
      </c>
      <c r="BW479" s="55">
        <v>0</v>
      </c>
      <c r="BX479" s="55">
        <v>0</v>
      </c>
      <c r="BY479" s="55">
        <v>0</v>
      </c>
      <c r="BZ479" s="55">
        <v>0</v>
      </c>
      <c r="CA479" s="55">
        <v>0</v>
      </c>
      <c r="CB479" s="55">
        <v>0</v>
      </c>
      <c r="CC479" s="55">
        <v>0</v>
      </c>
      <c r="CD479" s="55">
        <v>0</v>
      </c>
      <c r="CE479" s="55">
        <v>0</v>
      </c>
      <c r="CF479" s="55">
        <v>0</v>
      </c>
      <c r="CG479" s="55">
        <v>0</v>
      </c>
      <c r="CH479" s="55">
        <v>0</v>
      </c>
      <c r="CI479" s="55">
        <v>0</v>
      </c>
      <c r="CJ479" s="55">
        <v>344</v>
      </c>
      <c r="CK479" s="55">
        <v>-304</v>
      </c>
      <c r="CL479" s="55">
        <v>0</v>
      </c>
      <c r="CM479" s="55">
        <v>0</v>
      </c>
      <c r="CN479" s="55">
        <v>-64</v>
      </c>
      <c r="CO479" s="55">
        <v>35</v>
      </c>
      <c r="CP479" s="55">
        <v>0</v>
      </c>
      <c r="CQ479" s="55">
        <v>0</v>
      </c>
      <c r="CR479" s="55">
        <v>0</v>
      </c>
      <c r="CS479" s="55">
        <v>0</v>
      </c>
      <c r="CT479" s="55">
        <v>0</v>
      </c>
      <c r="CU479" s="55">
        <v>0</v>
      </c>
      <c r="CV479" s="55">
        <v>0</v>
      </c>
      <c r="CW479" s="55">
        <v>0</v>
      </c>
      <c r="CX479" s="55">
        <v>0</v>
      </c>
      <c r="CY479" s="56">
        <v>0</v>
      </c>
      <c r="CZ479" s="55">
        <v>0</v>
      </c>
      <c r="DA479" s="55">
        <v>0</v>
      </c>
      <c r="DB479" s="55">
        <v>0</v>
      </c>
      <c r="DC479" s="55">
        <v>0</v>
      </c>
      <c r="DD479" s="55">
        <v>0</v>
      </c>
      <c r="DE479" s="55">
        <v>0</v>
      </c>
      <c r="DF479" s="55">
        <v>0</v>
      </c>
      <c r="DG479" s="55">
        <v>0</v>
      </c>
      <c r="DH479" s="55">
        <v>0</v>
      </c>
      <c r="DI479" s="55">
        <v>0</v>
      </c>
    </row>
    <row r="480" spans="1:113" s="24" customFormat="1" hidden="1" outlineLevel="2">
      <c r="A480" s="1" t="s">
        <v>105</v>
      </c>
      <c r="B480" s="24" t="s">
        <v>504</v>
      </c>
      <c r="C480" s="81">
        <v>-203</v>
      </c>
      <c r="D480" s="81">
        <v>-290</v>
      </c>
      <c r="E480" s="81">
        <v>-159</v>
      </c>
      <c r="F480" s="81">
        <v>-151</v>
      </c>
      <c r="G480" s="81">
        <v>-154</v>
      </c>
      <c r="H480" s="81">
        <v>-150</v>
      </c>
      <c r="I480" s="81">
        <v>-126</v>
      </c>
      <c r="J480" s="81">
        <v>-146</v>
      </c>
      <c r="K480" s="81">
        <v>-176</v>
      </c>
      <c r="L480" s="81">
        <v>-188</v>
      </c>
      <c r="M480" s="81">
        <v>-210</v>
      </c>
      <c r="N480" s="81">
        <v>-195</v>
      </c>
      <c r="O480" s="81">
        <v>-239</v>
      </c>
      <c r="P480" s="81">
        <v>-333</v>
      </c>
      <c r="Q480" s="81">
        <v>-597</v>
      </c>
      <c r="R480" s="81">
        <v>-1607</v>
      </c>
      <c r="S480" s="81">
        <v>-1441</v>
      </c>
      <c r="T480" s="81">
        <v>-1383</v>
      </c>
      <c r="U480" s="81">
        <v>-996</v>
      </c>
      <c r="V480" s="81">
        <v>-722</v>
      </c>
      <c r="W480" s="81">
        <v>-558</v>
      </c>
      <c r="X480" s="81">
        <v>-545</v>
      </c>
      <c r="Y480" s="81">
        <v>-544</v>
      </c>
      <c r="Z480" s="81">
        <v>-680</v>
      </c>
      <c r="AA480" s="166">
        <v>-466</v>
      </c>
      <c r="AB480" s="166">
        <v>-457</v>
      </c>
      <c r="AC480" s="166">
        <v>-461</v>
      </c>
      <c r="AD480" s="166">
        <v>-440</v>
      </c>
      <c r="AE480" s="166">
        <v>-548</v>
      </c>
      <c r="AF480" s="166">
        <v>-564</v>
      </c>
      <c r="AG480" s="166">
        <v>-692</v>
      </c>
      <c r="AH480" s="166">
        <v>-599</v>
      </c>
      <c r="AI480" s="166">
        <v>-496</v>
      </c>
      <c r="AJ480" s="166">
        <v>-596</v>
      </c>
      <c r="AK480" s="166">
        <v>-483</v>
      </c>
      <c r="AL480" s="166">
        <v>-577</v>
      </c>
      <c r="AM480" s="166">
        <v>-624</v>
      </c>
      <c r="AN480" s="166">
        <v>-649</v>
      </c>
      <c r="AO480" s="166">
        <v>-1869</v>
      </c>
      <c r="AP480" s="166">
        <v>-882</v>
      </c>
      <c r="AQ480" s="166">
        <v>328</v>
      </c>
      <c r="AR480" s="166">
        <v>75</v>
      </c>
      <c r="AS480" s="166">
        <v>282</v>
      </c>
      <c r="AT480" s="166">
        <v>-511</v>
      </c>
      <c r="AU480" s="166">
        <v>-597</v>
      </c>
      <c r="AV480" s="166">
        <v>-415</v>
      </c>
      <c r="AW480" s="167">
        <v>-387</v>
      </c>
      <c r="AX480" s="82">
        <v>-537.522531997996</v>
      </c>
      <c r="AY480" s="82">
        <v>-655.02457107004261</v>
      </c>
      <c r="AZ480" s="82">
        <v>-680.2800915140499</v>
      </c>
      <c r="BA480" s="82">
        <v>-676.27745066477576</v>
      </c>
      <c r="BB480" s="82">
        <v>-697.61331688862902</v>
      </c>
      <c r="BC480" s="82">
        <v>-696.77564945571794</v>
      </c>
      <c r="BD480" s="82">
        <v>-716.72523759505611</v>
      </c>
      <c r="BE480" s="82">
        <v>-722.54801404077489</v>
      </c>
      <c r="BF480" s="82">
        <v>-743.26373668581607</v>
      </c>
      <c r="BG480" s="82">
        <v>-746.00178916229663</v>
      </c>
      <c r="BH480" s="82">
        <v>-769.17878614398717</v>
      </c>
      <c r="BI480" s="82">
        <v>-772.08620443443954</v>
      </c>
      <c r="BJ480" s="82">
        <v>-1852.9897741997597</v>
      </c>
      <c r="BK480" s="82">
        <v>-2794.1088266794704</v>
      </c>
      <c r="BL480" s="82">
        <v>-2868.883163989859</v>
      </c>
      <c r="BM480" s="82">
        <v>-1912.456817530199</v>
      </c>
      <c r="BN480" s="82">
        <v>-1224.2529215566606</v>
      </c>
      <c r="BO480" s="82">
        <v>-1230.6592006740732</v>
      </c>
      <c r="BP480" s="82">
        <v>-1257.8087568339022</v>
      </c>
      <c r="BQ480" s="82">
        <v>-1263.8285449243908</v>
      </c>
      <c r="BR480" s="82"/>
      <c r="BS480" s="81">
        <v>-843</v>
      </c>
      <c r="BT480" s="81">
        <v>-468</v>
      </c>
      <c r="BU480" s="81">
        <v>-321</v>
      </c>
      <c r="BV480" s="81">
        <v>-182</v>
      </c>
      <c r="BW480" s="81">
        <v>-113</v>
      </c>
      <c r="BX480" s="81">
        <v>-98</v>
      </c>
      <c r="BY480" s="81">
        <v>-233</v>
      </c>
      <c r="BZ480" s="81">
        <v>-247</v>
      </c>
      <c r="CA480" s="81">
        <v>-196</v>
      </c>
      <c r="CB480" s="81">
        <v>-385</v>
      </c>
      <c r="CC480" s="82">
        <v>-449</v>
      </c>
      <c r="CD480" s="82">
        <v>-305</v>
      </c>
      <c r="CE480" s="82">
        <v>-276</v>
      </c>
      <c r="CF480" s="82">
        <v>-322</v>
      </c>
      <c r="CG480" s="82">
        <v>-398</v>
      </c>
      <c r="CH480" s="82">
        <v>-434</v>
      </c>
      <c r="CI480" s="82">
        <v>-930</v>
      </c>
      <c r="CJ480" s="82">
        <v>-3048</v>
      </c>
      <c r="CK480" s="82">
        <v>-2379</v>
      </c>
      <c r="CL480" s="82">
        <v>-1280</v>
      </c>
      <c r="CM480" s="82">
        <v>-1089</v>
      </c>
      <c r="CN480" s="82">
        <v>-1146</v>
      </c>
      <c r="CO480" s="82">
        <v>-918</v>
      </c>
      <c r="CP480" s="82">
        <v>-988</v>
      </c>
      <c r="CQ480" s="82">
        <v>-1256</v>
      </c>
      <c r="CR480" s="82">
        <v>-1095</v>
      </c>
      <c r="CS480" s="82">
        <v>-1079</v>
      </c>
      <c r="CT480" s="82">
        <v>-1201</v>
      </c>
      <c r="CU480" s="82">
        <v>-2518</v>
      </c>
      <c r="CV480" s="82">
        <v>-554</v>
      </c>
      <c r="CW480" s="82">
        <v>357</v>
      </c>
      <c r="CX480" s="82">
        <v>-1108</v>
      </c>
      <c r="CY480" s="83">
        <v>-802</v>
      </c>
      <c r="CZ480" s="82">
        <v>-1192.5471030680387</v>
      </c>
      <c r="DA480" s="82">
        <v>-1356.5575421788258</v>
      </c>
      <c r="DB480" s="82">
        <v>-1394.388966344347</v>
      </c>
      <c r="DC480" s="82">
        <v>-1439.273251635831</v>
      </c>
      <c r="DD480" s="82">
        <v>-1489.2655258481127</v>
      </c>
      <c r="DE480" s="82">
        <v>-1541.2649905784267</v>
      </c>
      <c r="DF480" s="82">
        <v>-4647.0986008792297</v>
      </c>
      <c r="DG480" s="82">
        <v>-4781.3399815200582</v>
      </c>
      <c r="DH480" s="82">
        <v>-2454.912122230734</v>
      </c>
      <c r="DI480" s="82">
        <v>-2521.6373017582928</v>
      </c>
    </row>
    <row r="481" spans="1:113" outlineLevel="1" collapsed="1">
      <c r="A481" s="96"/>
      <c r="C481" s="55"/>
      <c r="D481" s="55"/>
      <c r="E481" s="55"/>
      <c r="F481" s="55"/>
      <c r="G481" s="55"/>
      <c r="H481" s="55"/>
      <c r="I481" s="55"/>
      <c r="J481" s="55"/>
      <c r="K481" s="55"/>
      <c r="L481" s="55"/>
      <c r="M481" s="55"/>
      <c r="N481" s="55"/>
      <c r="O481" s="55"/>
      <c r="P481" s="55"/>
      <c r="Q481" s="55"/>
      <c r="R481" s="55"/>
      <c r="S481" s="55"/>
      <c r="T481" s="55"/>
      <c r="U481" s="55"/>
      <c r="V481" s="55"/>
      <c r="W481" s="55"/>
      <c r="X481" s="55"/>
      <c r="Y481" s="55"/>
      <c r="Z481" s="55"/>
      <c r="AA481" s="55"/>
      <c r="AB481" s="55"/>
      <c r="AC481" s="55"/>
      <c r="AD481" s="55"/>
      <c r="AE481" s="55"/>
      <c r="AF481" s="55"/>
      <c r="AG481" s="55"/>
      <c r="AH481" s="55"/>
      <c r="AI481" s="55"/>
      <c r="AJ481" s="55"/>
      <c r="AK481" s="55"/>
      <c r="AL481" s="55"/>
      <c r="AM481" s="55"/>
      <c r="AN481" s="55"/>
      <c r="AO481" s="55"/>
      <c r="AP481" s="55"/>
      <c r="AQ481" s="55"/>
      <c r="AR481" s="55"/>
      <c r="AS481" s="55"/>
      <c r="AT481" s="55"/>
      <c r="AU481" s="55"/>
      <c r="AV481" s="55"/>
      <c r="AW481" s="56"/>
      <c r="AX481" s="55"/>
      <c r="AY481" s="55"/>
      <c r="AZ481" s="55"/>
      <c r="BA481" s="55"/>
      <c r="BB481" s="55"/>
      <c r="BC481" s="55"/>
      <c r="BD481" s="55"/>
      <c r="BE481" s="55"/>
      <c r="BF481" s="55"/>
      <c r="BG481" s="55"/>
      <c r="BH481" s="55"/>
      <c r="BI481" s="55"/>
      <c r="BJ481" s="55"/>
      <c r="BK481" s="55"/>
      <c r="BL481" s="55"/>
      <c r="BM481" s="55"/>
      <c r="BN481" s="55"/>
      <c r="BO481" s="55"/>
      <c r="BP481" s="55"/>
      <c r="BQ481" s="55"/>
      <c r="BR481" s="55"/>
      <c r="BS481" s="55"/>
      <c r="BT481" s="55"/>
      <c r="BU481" s="55"/>
      <c r="BV481" s="55"/>
      <c r="BW481" s="55"/>
      <c r="BX481" s="55"/>
      <c r="BY481" s="55"/>
      <c r="BZ481" s="55"/>
      <c r="CA481" s="55"/>
      <c r="CB481" s="55"/>
      <c r="CC481" s="55"/>
      <c r="CD481" s="55"/>
      <c r="CE481" s="55"/>
      <c r="CF481" s="55"/>
      <c r="CG481" s="55"/>
      <c r="CH481" s="55"/>
      <c r="CI481" s="55"/>
      <c r="CJ481" s="55"/>
      <c r="CK481" s="55"/>
      <c r="CL481" s="55"/>
      <c r="CM481" s="55"/>
      <c r="CN481" s="55"/>
      <c r="CO481" s="55"/>
      <c r="CP481" s="55"/>
      <c r="CQ481" s="55"/>
      <c r="CR481" s="55"/>
      <c r="CS481" s="55"/>
      <c r="CT481" s="55"/>
      <c r="CU481" s="55"/>
      <c r="CV481" s="55"/>
      <c r="CW481" s="55"/>
      <c r="CX481" s="55"/>
      <c r="CY481" s="56"/>
      <c r="CZ481" s="55"/>
      <c r="DA481" s="55"/>
      <c r="DB481" s="55"/>
    </row>
    <row r="482" spans="1:113">
      <c r="C482" s="55"/>
      <c r="D482" s="55"/>
      <c r="E482" s="55"/>
      <c r="F482" s="55"/>
      <c r="G482" s="55"/>
      <c r="H482" s="55"/>
      <c r="I482" s="55"/>
      <c r="J482" s="55"/>
      <c r="K482" s="55"/>
      <c r="L482" s="55"/>
      <c r="M482" s="55"/>
      <c r="N482" s="55"/>
      <c r="O482" s="55"/>
      <c r="P482" s="55"/>
      <c r="Q482" s="55"/>
      <c r="R482" s="55"/>
      <c r="S482" s="55"/>
      <c r="T482" s="55"/>
      <c r="U482" s="55"/>
      <c r="V482" s="55"/>
      <c r="W482" s="55"/>
      <c r="X482" s="55"/>
      <c r="Y482" s="55"/>
      <c r="Z482" s="55"/>
      <c r="AA482" s="55"/>
      <c r="AB482" s="55"/>
      <c r="AC482" s="55"/>
      <c r="AD482" s="55"/>
      <c r="AE482" s="55"/>
      <c r="AF482" s="58"/>
      <c r="AG482" s="55"/>
      <c r="AH482" s="55"/>
      <c r="AI482" s="55"/>
      <c r="AJ482" s="55"/>
      <c r="AK482" s="55"/>
      <c r="AL482" s="55"/>
      <c r="AM482" s="55"/>
      <c r="AN482" s="55"/>
      <c r="AO482" s="55"/>
      <c r="AP482" s="55"/>
      <c r="AQ482" s="55"/>
      <c r="AR482" s="55"/>
      <c r="AS482" s="55"/>
      <c r="AT482" s="55"/>
      <c r="AU482" s="55"/>
      <c r="AV482" s="55"/>
      <c r="AW482" s="56"/>
      <c r="AX482" s="55"/>
      <c r="AY482" s="55"/>
      <c r="AZ482" s="55"/>
      <c r="BA482" s="55"/>
      <c r="BB482" s="55"/>
      <c r="BC482" s="55"/>
      <c r="BD482" s="55"/>
      <c r="BE482" s="55"/>
      <c r="BF482" s="55"/>
      <c r="BG482" s="55"/>
      <c r="BH482" s="55"/>
      <c r="BI482" s="55"/>
      <c r="BJ482" s="55"/>
      <c r="BK482" s="55"/>
      <c r="BL482" s="55"/>
      <c r="BM482" s="55"/>
      <c r="BN482" s="55"/>
      <c r="BO482" s="55"/>
      <c r="BP482" s="55"/>
      <c r="BQ482" s="55"/>
      <c r="BR482" s="55"/>
      <c r="BS482" s="55"/>
      <c r="BT482" s="55"/>
      <c r="BU482" s="55"/>
      <c r="BV482" s="55"/>
      <c r="BW482" s="55"/>
      <c r="BX482" s="55"/>
      <c r="BY482" s="55"/>
      <c r="BZ482" s="55"/>
      <c r="CA482" s="55"/>
      <c r="CB482" s="55"/>
      <c r="CC482" s="55"/>
      <c r="CD482" s="55"/>
      <c r="CE482" s="55"/>
      <c r="CF482" s="55"/>
      <c r="CG482" s="55"/>
      <c r="CH482" s="55"/>
      <c r="CI482" s="55"/>
      <c r="CJ482" s="55"/>
      <c r="CK482" s="55"/>
      <c r="CL482" s="55"/>
      <c r="CM482" s="55"/>
      <c r="CN482" s="55"/>
      <c r="CO482" s="55"/>
      <c r="CP482" s="55"/>
      <c r="CQ482" s="55"/>
      <c r="CR482" s="55"/>
      <c r="CS482" s="55"/>
      <c r="CT482" s="50"/>
      <c r="CU482" s="50"/>
      <c r="CV482" s="50"/>
      <c r="CW482" s="50"/>
      <c r="CX482" s="50"/>
      <c r="CY482" s="49"/>
      <c r="CZ482" s="48"/>
      <c r="DA482" s="48"/>
      <c r="DB482" s="48"/>
    </row>
    <row r="483" spans="1:113" s="36" customFormat="1" collapsed="1">
      <c r="A483" s="1" t="s">
        <v>288</v>
      </c>
      <c r="B483" s="2" t="s">
        <v>348</v>
      </c>
      <c r="C483" s="79">
        <v>1655</v>
      </c>
      <c r="D483" s="79">
        <v>1662</v>
      </c>
      <c r="E483" s="79">
        <v>1756</v>
      </c>
      <c r="F483" s="79">
        <v>1624</v>
      </c>
      <c r="G483" s="79">
        <v>1919</v>
      </c>
      <c r="H483" s="79">
        <v>1858</v>
      </c>
      <c r="I483" s="79">
        <v>2108</v>
      </c>
      <c r="J483" s="79">
        <v>2440</v>
      </c>
      <c r="K483" s="79">
        <v>2471</v>
      </c>
      <c r="L483" s="79">
        <v>2855</v>
      </c>
      <c r="M483" s="79">
        <v>2834</v>
      </c>
      <c r="N483" s="79">
        <v>3218</v>
      </c>
      <c r="O483" s="79">
        <v>3118</v>
      </c>
      <c r="P483" s="79">
        <v>3305</v>
      </c>
      <c r="Q483" s="79">
        <v>3085</v>
      </c>
      <c r="R483" s="79">
        <v>2522</v>
      </c>
      <c r="S483" s="79">
        <v>3330</v>
      </c>
      <c r="T483" s="79">
        <v>4041</v>
      </c>
      <c r="U483" s="79">
        <v>4342</v>
      </c>
      <c r="V483" s="79">
        <v>4609</v>
      </c>
      <c r="W483" s="79">
        <v>4879</v>
      </c>
      <c r="X483" s="79">
        <v>4958</v>
      </c>
      <c r="Y483" s="79">
        <v>4907</v>
      </c>
      <c r="Z483" s="79">
        <v>5206</v>
      </c>
      <c r="AA483" s="79">
        <v>5523</v>
      </c>
      <c r="AB483" s="79">
        <v>5940</v>
      </c>
      <c r="AC483" s="79">
        <v>6009</v>
      </c>
      <c r="AD483" s="79">
        <v>6373</v>
      </c>
      <c r="AE483" s="79">
        <v>6224</v>
      </c>
      <c r="AF483" s="79">
        <v>6646</v>
      </c>
      <c r="AG483" s="79">
        <v>6411</v>
      </c>
      <c r="AH483" s="79">
        <v>6762</v>
      </c>
      <c r="AI483" s="79">
        <v>6762</v>
      </c>
      <c r="AJ483" s="79">
        <v>6597</v>
      </c>
      <c r="AK483" s="79">
        <v>6251</v>
      </c>
      <c r="AL483" s="79">
        <v>6318.7162288178552</v>
      </c>
      <c r="AM483" s="79">
        <v>5235.2837711821476</v>
      </c>
      <c r="AN483" s="79">
        <v>6121</v>
      </c>
      <c r="AO483" s="79">
        <v>4126</v>
      </c>
      <c r="AP483" s="79">
        <v>5488</v>
      </c>
      <c r="AQ483" s="79">
        <v>6755</v>
      </c>
      <c r="AR483" s="79">
        <v>6692</v>
      </c>
      <c r="AS483" s="79">
        <v>6926</v>
      </c>
      <c r="AT483" s="79">
        <v>7339</v>
      </c>
      <c r="AU483" s="79">
        <v>6830</v>
      </c>
      <c r="AV483" s="79">
        <v>7223</v>
      </c>
      <c r="AW483" s="80">
        <v>6931</v>
      </c>
      <c r="AX483" s="79">
        <v>7092.6580037083659</v>
      </c>
      <c r="AY483" s="79">
        <v>6901.2163058177784</v>
      </c>
      <c r="AZ483" s="79">
        <v>7108.9074291042916</v>
      </c>
      <c r="BA483" s="79">
        <v>6988.1061522472764</v>
      </c>
      <c r="BB483" s="79">
        <v>7146.1748145856127</v>
      </c>
      <c r="BC483" s="79">
        <v>7051.3404927209394</v>
      </c>
      <c r="BD483" s="79">
        <v>7288.1522417105825</v>
      </c>
      <c r="BE483" s="79">
        <v>7281.8858527484263</v>
      </c>
      <c r="BF483" s="79">
        <v>7490.7418477418705</v>
      </c>
      <c r="BG483" s="79">
        <v>7384.7050877191059</v>
      </c>
      <c r="BH483" s="79">
        <v>7668.8924261439142</v>
      </c>
      <c r="BI483" s="79">
        <v>7632.3822202762494</v>
      </c>
      <c r="BJ483" s="79">
        <v>6871.3820674754861</v>
      </c>
      <c r="BK483" s="79">
        <v>5886.4165642847238</v>
      </c>
      <c r="BL483" s="79">
        <v>6126.3510233843745</v>
      </c>
      <c r="BM483" s="79">
        <v>7099.0538828092576</v>
      </c>
      <c r="BN483" s="79">
        <v>8158.609898713732</v>
      </c>
      <c r="BO483" s="79">
        <v>8166.5909515414232</v>
      </c>
      <c r="BP483" s="79">
        <v>8550.20168745509</v>
      </c>
      <c r="BQ483" s="79">
        <v>8560.292012412252</v>
      </c>
      <c r="BR483" s="79"/>
      <c r="BS483" s="79">
        <v>661</v>
      </c>
      <c r="BT483" s="79">
        <v>945</v>
      </c>
      <c r="BU483" s="79">
        <v>1054</v>
      </c>
      <c r="BV483" s="79">
        <v>1523</v>
      </c>
      <c r="BW483" s="79">
        <v>1776</v>
      </c>
      <c r="BX483" s="79">
        <v>1859</v>
      </c>
      <c r="BY483" s="79">
        <v>1958</v>
      </c>
      <c r="BZ483" s="79">
        <v>2207</v>
      </c>
      <c r="CA483" s="79">
        <v>2536</v>
      </c>
      <c r="CB483" s="79">
        <v>3269</v>
      </c>
      <c r="CC483" s="79">
        <v>3418</v>
      </c>
      <c r="CD483" s="79">
        <v>3543</v>
      </c>
      <c r="CE483" s="79">
        <v>3966</v>
      </c>
      <c r="CF483" s="79">
        <v>4911</v>
      </c>
      <c r="CG483" s="79">
        <v>5689</v>
      </c>
      <c r="CH483" s="79">
        <v>6336</v>
      </c>
      <c r="CI483" s="79">
        <v>6390</v>
      </c>
      <c r="CJ483" s="79">
        <v>5852</v>
      </c>
      <c r="CK483" s="79">
        <v>8383</v>
      </c>
      <c r="CL483" s="79">
        <v>9488</v>
      </c>
      <c r="CM483" s="79">
        <v>9865</v>
      </c>
      <c r="CN483" s="79">
        <v>10729</v>
      </c>
      <c r="CO483" s="79">
        <v>11949</v>
      </c>
      <c r="CP483" s="79">
        <v>12597</v>
      </c>
      <c r="CQ483" s="79">
        <v>13057</v>
      </c>
      <c r="CR483" s="79">
        <v>13524</v>
      </c>
      <c r="CS483" s="79">
        <v>12848</v>
      </c>
      <c r="CT483" s="79">
        <v>11554</v>
      </c>
      <c r="CU483" s="79">
        <v>10247</v>
      </c>
      <c r="CV483" s="79">
        <v>12243</v>
      </c>
      <c r="CW483" s="79">
        <v>13618</v>
      </c>
      <c r="CX483" s="79">
        <v>14169</v>
      </c>
      <c r="CY483" s="80">
        <v>14154</v>
      </c>
      <c r="CZ483" s="79">
        <v>13993.874309526143</v>
      </c>
      <c r="DA483" s="79">
        <v>14097.013581351572</v>
      </c>
      <c r="DB483" s="79">
        <v>14197.515307306552</v>
      </c>
      <c r="DC483" s="79">
        <v>14570.038094459007</v>
      </c>
      <c r="DD483" s="79">
        <v>14875.446935460976</v>
      </c>
      <c r="DE483" s="79">
        <v>15301.274646420163</v>
      </c>
      <c r="DF483" s="79">
        <v>12757.79863176021</v>
      </c>
      <c r="DG483" s="79">
        <v>13225.404906193635</v>
      </c>
      <c r="DH483" s="79">
        <v>16325.200850255158</v>
      </c>
      <c r="DI483" s="79">
        <v>17110.49369986734</v>
      </c>
    </row>
    <row r="484" spans="1:113" hidden="1" outlineLevel="2">
      <c r="A484" s="1" t="s">
        <v>107</v>
      </c>
      <c r="B484" s="19" t="s">
        <v>854</v>
      </c>
      <c r="C484" s="55">
        <v>0</v>
      </c>
      <c r="D484" s="55">
        <v>0</v>
      </c>
      <c r="E484" s="55">
        <v>0</v>
      </c>
      <c r="F484" s="55">
        <v>0</v>
      </c>
      <c r="G484" s="55">
        <v>0</v>
      </c>
      <c r="H484" s="55">
        <v>0</v>
      </c>
      <c r="I484" s="55">
        <v>0</v>
      </c>
      <c r="J484" s="55">
        <v>0</v>
      </c>
      <c r="K484" s="55">
        <v>0</v>
      </c>
      <c r="L484" s="55">
        <v>0</v>
      </c>
      <c r="M484" s="55">
        <v>0</v>
      </c>
      <c r="N484" s="55">
        <v>0</v>
      </c>
      <c r="O484" s="55">
        <v>0</v>
      </c>
      <c r="P484" s="55">
        <v>0</v>
      </c>
      <c r="Q484" s="55">
        <v>0</v>
      </c>
      <c r="R484" s="55">
        <v>0</v>
      </c>
      <c r="S484" s="55">
        <v>0</v>
      </c>
      <c r="T484" s="55">
        <v>0</v>
      </c>
      <c r="U484" s="55">
        <v>0</v>
      </c>
      <c r="V484" s="55">
        <v>0</v>
      </c>
      <c r="W484" s="55">
        <v>0</v>
      </c>
      <c r="X484" s="55">
        <v>0</v>
      </c>
      <c r="Y484" s="55">
        <v>0</v>
      </c>
      <c r="Z484" s="55">
        <v>0</v>
      </c>
      <c r="AA484" s="55">
        <v>0</v>
      </c>
      <c r="AB484" s="55">
        <v>0</v>
      </c>
      <c r="AC484" s="55">
        <v>0</v>
      </c>
      <c r="AD484" s="55">
        <v>0</v>
      </c>
      <c r="AE484" s="55">
        <v>0</v>
      </c>
      <c r="AF484" s="55">
        <v>0</v>
      </c>
      <c r="AG484" s="55">
        <v>0</v>
      </c>
      <c r="AH484" s="55">
        <v>0</v>
      </c>
      <c r="AI484" s="55">
        <v>0</v>
      </c>
      <c r="AJ484" s="55">
        <v>0</v>
      </c>
      <c r="AK484" s="55">
        <v>0</v>
      </c>
      <c r="AL484" s="55">
        <v>0</v>
      </c>
      <c r="AM484" s="55">
        <v>0</v>
      </c>
      <c r="AN484" s="55">
        <v>0</v>
      </c>
      <c r="AO484" s="55">
        <v>0</v>
      </c>
      <c r="AP484" s="55">
        <v>0</v>
      </c>
      <c r="AQ484" s="55">
        <v>0</v>
      </c>
      <c r="AR484" s="55">
        <v>0</v>
      </c>
      <c r="AS484" s="55">
        <v>0</v>
      </c>
      <c r="AT484" s="55">
        <v>0</v>
      </c>
      <c r="AU484" s="55">
        <v>0</v>
      </c>
      <c r="AV484" s="55">
        <v>0</v>
      </c>
      <c r="AW484" s="56">
        <v>0</v>
      </c>
      <c r="AX484" s="55">
        <v>0</v>
      </c>
      <c r="AY484" s="55">
        <v>0</v>
      </c>
      <c r="AZ484" s="55">
        <v>0</v>
      </c>
      <c r="BA484" s="55">
        <v>0</v>
      </c>
      <c r="BB484" s="55">
        <v>0</v>
      </c>
      <c r="BC484" s="55">
        <v>0</v>
      </c>
      <c r="BD484" s="55">
        <v>0</v>
      </c>
      <c r="BE484" s="55">
        <v>0</v>
      </c>
      <c r="BF484" s="55">
        <v>0</v>
      </c>
      <c r="BG484" s="55">
        <v>0</v>
      </c>
      <c r="BH484" s="55">
        <v>0</v>
      </c>
      <c r="BI484" s="55">
        <v>0</v>
      </c>
      <c r="BJ484" s="55">
        <v>0</v>
      </c>
      <c r="BK484" s="55">
        <v>0</v>
      </c>
      <c r="BL484" s="55">
        <v>0</v>
      </c>
      <c r="BM484" s="55">
        <v>0</v>
      </c>
      <c r="BN484" s="55">
        <v>0</v>
      </c>
      <c r="BO484" s="55">
        <v>0</v>
      </c>
      <c r="BP484" s="55">
        <v>0</v>
      </c>
      <c r="BQ484" s="55">
        <v>0</v>
      </c>
      <c r="BR484" s="55"/>
      <c r="BS484" s="55">
        <v>0</v>
      </c>
      <c r="BT484" s="55">
        <v>0</v>
      </c>
      <c r="BU484" s="55">
        <v>0</v>
      </c>
      <c r="BV484" s="55">
        <v>0</v>
      </c>
      <c r="BW484" s="55">
        <v>0</v>
      </c>
      <c r="BX484" s="55">
        <v>0</v>
      </c>
      <c r="BY484" s="55">
        <v>0</v>
      </c>
      <c r="BZ484" s="55">
        <v>0</v>
      </c>
      <c r="CA484" s="55">
        <v>0</v>
      </c>
      <c r="CB484" s="55">
        <v>0</v>
      </c>
      <c r="CC484" s="55">
        <v>0</v>
      </c>
      <c r="CD484" s="55">
        <v>0</v>
      </c>
      <c r="CE484" s="55">
        <v>0</v>
      </c>
      <c r="CF484" s="55">
        <v>0</v>
      </c>
      <c r="CG484" s="55">
        <v>0</v>
      </c>
      <c r="CH484" s="55">
        <v>0</v>
      </c>
      <c r="CI484" s="55">
        <v>0</v>
      </c>
      <c r="CJ484" s="55">
        <v>0</v>
      </c>
      <c r="CK484" s="55">
        <v>0</v>
      </c>
      <c r="CL484" s="55">
        <v>0</v>
      </c>
      <c r="CM484" s="55">
        <v>0</v>
      </c>
      <c r="CN484" s="55">
        <v>0</v>
      </c>
      <c r="CO484" s="55">
        <v>0</v>
      </c>
      <c r="CP484" s="55">
        <v>0</v>
      </c>
      <c r="CQ484" s="55">
        <v>0</v>
      </c>
      <c r="CR484" s="55">
        <v>0</v>
      </c>
      <c r="CS484" s="55">
        <v>0</v>
      </c>
      <c r="CT484" s="55">
        <v>0</v>
      </c>
      <c r="CU484" s="55">
        <v>0</v>
      </c>
      <c r="CV484" s="55">
        <v>0</v>
      </c>
      <c r="CW484" s="55">
        <v>0</v>
      </c>
      <c r="CX484" s="55">
        <v>0</v>
      </c>
      <c r="CY484" s="56">
        <v>0</v>
      </c>
      <c r="CZ484" s="55">
        <v>0</v>
      </c>
      <c r="DA484" s="55">
        <v>0</v>
      </c>
      <c r="DB484" s="55">
        <v>0</v>
      </c>
      <c r="DC484" s="55">
        <v>0</v>
      </c>
      <c r="DD484" s="55">
        <v>0</v>
      </c>
      <c r="DE484" s="55">
        <v>0</v>
      </c>
      <c r="DF484" s="55">
        <v>0</v>
      </c>
      <c r="DG484" s="55">
        <v>0</v>
      </c>
      <c r="DH484" s="55">
        <v>0</v>
      </c>
      <c r="DI484" s="55">
        <v>0</v>
      </c>
    </row>
    <row r="485" spans="1:113" hidden="1" outlineLevel="2">
      <c r="A485" s="1" t="s">
        <v>181</v>
      </c>
      <c r="B485" s="19" t="s">
        <v>445</v>
      </c>
      <c r="C485" s="55">
        <v>0</v>
      </c>
      <c r="D485" s="55">
        <v>0</v>
      </c>
      <c r="E485" s="55">
        <v>0</v>
      </c>
      <c r="F485" s="55">
        <v>0</v>
      </c>
      <c r="G485" s="55">
        <v>0</v>
      </c>
      <c r="H485" s="55">
        <v>0</v>
      </c>
      <c r="I485" s="55">
        <v>0</v>
      </c>
      <c r="J485" s="55">
        <v>0</v>
      </c>
      <c r="K485" s="55">
        <v>0</v>
      </c>
      <c r="L485" s="55">
        <v>0</v>
      </c>
      <c r="M485" s="55">
        <v>0</v>
      </c>
      <c r="N485" s="55">
        <v>0</v>
      </c>
      <c r="O485" s="55">
        <v>0</v>
      </c>
      <c r="P485" s="55">
        <v>0</v>
      </c>
      <c r="Q485" s="55">
        <v>0</v>
      </c>
      <c r="R485" s="55">
        <v>0</v>
      </c>
      <c r="S485" s="55">
        <v>0</v>
      </c>
      <c r="T485" s="55">
        <v>0</v>
      </c>
      <c r="U485" s="55">
        <v>0</v>
      </c>
      <c r="V485" s="55">
        <v>0</v>
      </c>
      <c r="W485" s="55">
        <v>0</v>
      </c>
      <c r="X485" s="55">
        <v>0</v>
      </c>
      <c r="Y485" s="55">
        <v>0</v>
      </c>
      <c r="Z485" s="55">
        <v>0</v>
      </c>
      <c r="AA485" s="55">
        <v>0</v>
      </c>
      <c r="AB485" s="55">
        <v>0</v>
      </c>
      <c r="AC485" s="55">
        <v>0</v>
      </c>
      <c r="AD485" s="55">
        <v>0</v>
      </c>
      <c r="AE485" s="55">
        <v>0</v>
      </c>
      <c r="AF485" s="55">
        <v>0</v>
      </c>
      <c r="AG485" s="55">
        <v>0</v>
      </c>
      <c r="AH485" s="55">
        <v>0</v>
      </c>
      <c r="AI485" s="55">
        <v>0</v>
      </c>
      <c r="AJ485" s="55">
        <v>0</v>
      </c>
      <c r="AK485" s="55">
        <v>0</v>
      </c>
      <c r="AL485" s="55">
        <v>0</v>
      </c>
      <c r="AM485" s="55">
        <v>0</v>
      </c>
      <c r="AN485" s="55">
        <v>0</v>
      </c>
      <c r="AO485" s="55">
        <v>0</v>
      </c>
      <c r="AP485" s="55">
        <v>0</v>
      </c>
      <c r="AQ485" s="55">
        <v>0</v>
      </c>
      <c r="AR485" s="55">
        <v>0</v>
      </c>
      <c r="AS485" s="55">
        <v>0</v>
      </c>
      <c r="AT485" s="55">
        <v>0</v>
      </c>
      <c r="AU485" s="55">
        <v>0</v>
      </c>
      <c r="AV485" s="55">
        <v>0</v>
      </c>
      <c r="AW485" s="56">
        <v>0</v>
      </c>
      <c r="AX485" s="55">
        <v>0</v>
      </c>
      <c r="AY485" s="55">
        <v>0</v>
      </c>
      <c r="AZ485" s="55">
        <v>0</v>
      </c>
      <c r="BA485" s="55">
        <v>0</v>
      </c>
      <c r="BB485" s="55">
        <v>0</v>
      </c>
      <c r="BC485" s="55">
        <v>0</v>
      </c>
      <c r="BD485" s="55">
        <v>0</v>
      </c>
      <c r="BE485" s="55">
        <v>0</v>
      </c>
      <c r="BF485" s="55">
        <v>0</v>
      </c>
      <c r="BG485" s="55">
        <v>0</v>
      </c>
      <c r="BH485" s="55">
        <v>0</v>
      </c>
      <c r="BI485" s="55">
        <v>0</v>
      </c>
      <c r="BJ485" s="55">
        <v>0</v>
      </c>
      <c r="BK485" s="55">
        <v>0</v>
      </c>
      <c r="BL485" s="55">
        <v>0</v>
      </c>
      <c r="BM485" s="55">
        <v>0</v>
      </c>
      <c r="BN485" s="55">
        <v>0</v>
      </c>
      <c r="BO485" s="55">
        <v>0</v>
      </c>
      <c r="BP485" s="55">
        <v>0</v>
      </c>
      <c r="BQ485" s="55">
        <v>0</v>
      </c>
      <c r="BR485" s="55"/>
      <c r="BS485" s="55">
        <v>0</v>
      </c>
      <c r="BT485" s="55">
        <v>0</v>
      </c>
      <c r="BU485" s="55">
        <v>0</v>
      </c>
      <c r="BV485" s="55">
        <v>0</v>
      </c>
      <c r="BW485" s="55">
        <v>0</v>
      </c>
      <c r="BX485" s="55">
        <v>0</v>
      </c>
      <c r="BY485" s="55">
        <v>0</v>
      </c>
      <c r="BZ485" s="55">
        <v>0</v>
      </c>
      <c r="CA485" s="55">
        <v>0</v>
      </c>
      <c r="CB485" s="55">
        <v>0</v>
      </c>
      <c r="CC485" s="55">
        <v>0</v>
      </c>
      <c r="CD485" s="55">
        <v>0</v>
      </c>
      <c r="CE485" s="55">
        <v>0</v>
      </c>
      <c r="CF485" s="55">
        <v>0</v>
      </c>
      <c r="CG485" s="55">
        <v>0</v>
      </c>
      <c r="CH485" s="55">
        <v>0</v>
      </c>
      <c r="CI485" s="55">
        <v>0</v>
      </c>
      <c r="CJ485" s="55">
        <v>0</v>
      </c>
      <c r="CK485" s="55">
        <v>0</v>
      </c>
      <c r="CL485" s="55">
        <v>0</v>
      </c>
      <c r="CM485" s="55">
        <v>0</v>
      </c>
      <c r="CN485" s="55">
        <v>0</v>
      </c>
      <c r="CO485" s="55">
        <v>0</v>
      </c>
      <c r="CP485" s="55">
        <v>0</v>
      </c>
      <c r="CQ485" s="55">
        <v>0</v>
      </c>
      <c r="CR485" s="55">
        <v>0</v>
      </c>
      <c r="CS485" s="55">
        <v>0</v>
      </c>
      <c r="CT485" s="55">
        <v>0</v>
      </c>
      <c r="CU485" s="55">
        <v>0</v>
      </c>
      <c r="CV485" s="55">
        <v>0</v>
      </c>
      <c r="CW485" s="55">
        <v>0</v>
      </c>
      <c r="CX485" s="55">
        <v>0</v>
      </c>
      <c r="CY485" s="56">
        <v>0</v>
      </c>
      <c r="CZ485" s="55">
        <v>0</v>
      </c>
      <c r="DA485" s="55">
        <v>0</v>
      </c>
      <c r="DB485" s="55">
        <v>0</v>
      </c>
      <c r="DC485" s="55">
        <v>0</v>
      </c>
      <c r="DD485" s="55">
        <v>0</v>
      </c>
      <c r="DE485" s="55">
        <v>0</v>
      </c>
      <c r="DF485" s="55">
        <v>0</v>
      </c>
      <c r="DG485" s="55">
        <v>0</v>
      </c>
      <c r="DH485" s="55">
        <v>0</v>
      </c>
      <c r="DI485" s="55">
        <v>0</v>
      </c>
    </row>
    <row r="486" spans="1:113" hidden="1" outlineLevel="2">
      <c r="A486" s="1" t="s">
        <v>282</v>
      </c>
      <c r="B486" s="19" t="s">
        <v>369</v>
      </c>
      <c r="C486" s="55">
        <v>0</v>
      </c>
      <c r="D486" s="55">
        <v>0</v>
      </c>
      <c r="E486" s="55">
        <v>0</v>
      </c>
      <c r="F486" s="55">
        <v>0</v>
      </c>
      <c r="G486" s="55">
        <v>0</v>
      </c>
      <c r="H486" s="55">
        <v>0</v>
      </c>
      <c r="I486" s="55">
        <v>0</v>
      </c>
      <c r="J486" s="55">
        <v>0</v>
      </c>
      <c r="K486" s="55">
        <v>0</v>
      </c>
      <c r="L486" s="55">
        <v>0</v>
      </c>
      <c r="M486" s="55">
        <v>0</v>
      </c>
      <c r="N486" s="55">
        <v>0</v>
      </c>
      <c r="O486" s="55">
        <v>0</v>
      </c>
      <c r="P486" s="55">
        <v>0</v>
      </c>
      <c r="Q486" s="55">
        <v>0</v>
      </c>
      <c r="R486" s="55">
        <v>0</v>
      </c>
      <c r="S486" s="55">
        <v>0</v>
      </c>
      <c r="T486" s="55">
        <v>0</v>
      </c>
      <c r="U486" s="55">
        <v>0</v>
      </c>
      <c r="V486" s="55">
        <v>0</v>
      </c>
      <c r="W486" s="55">
        <v>0</v>
      </c>
      <c r="X486" s="55">
        <v>0</v>
      </c>
      <c r="Y486" s="55">
        <v>0</v>
      </c>
      <c r="Z486" s="55">
        <v>0</v>
      </c>
      <c r="AA486" s="55">
        <v>0</v>
      </c>
      <c r="AB486" s="55">
        <v>0</v>
      </c>
      <c r="AC486" s="55">
        <v>0</v>
      </c>
      <c r="AD486" s="55">
        <v>0</v>
      </c>
      <c r="AE486" s="55">
        <v>0</v>
      </c>
      <c r="AF486" s="55">
        <v>0</v>
      </c>
      <c r="AG486" s="55">
        <v>0</v>
      </c>
      <c r="AH486" s="55">
        <v>0</v>
      </c>
      <c r="AI486" s="55">
        <v>0</v>
      </c>
      <c r="AJ486" s="55">
        <v>0</v>
      </c>
      <c r="AK486" s="55">
        <v>0</v>
      </c>
      <c r="AL486" s="55">
        <v>0</v>
      </c>
      <c r="AM486" s="55">
        <v>0</v>
      </c>
      <c r="AN486" s="55">
        <v>0</v>
      </c>
      <c r="AO486" s="55">
        <v>0</v>
      </c>
      <c r="AP486" s="55">
        <v>0</v>
      </c>
      <c r="AQ486" s="55">
        <v>0</v>
      </c>
      <c r="AR486" s="55">
        <v>0</v>
      </c>
      <c r="AS486" s="55">
        <v>0</v>
      </c>
      <c r="AT486" s="55">
        <v>0</v>
      </c>
      <c r="AU486" s="55">
        <v>0</v>
      </c>
      <c r="AV486" s="55">
        <v>0</v>
      </c>
      <c r="AW486" s="56">
        <v>0</v>
      </c>
      <c r="AX486" s="55">
        <v>0</v>
      </c>
      <c r="AY486" s="55">
        <v>0</v>
      </c>
      <c r="AZ486" s="55">
        <v>0</v>
      </c>
      <c r="BA486" s="55">
        <v>0</v>
      </c>
      <c r="BB486" s="55">
        <v>0</v>
      </c>
      <c r="BC486" s="55">
        <v>0</v>
      </c>
      <c r="BD486" s="55">
        <v>0</v>
      </c>
      <c r="BE486" s="55">
        <v>0</v>
      </c>
      <c r="BF486" s="55">
        <v>0</v>
      </c>
      <c r="BG486" s="55">
        <v>0</v>
      </c>
      <c r="BH486" s="55">
        <v>0</v>
      </c>
      <c r="BI486" s="55">
        <v>0</v>
      </c>
      <c r="BJ486" s="55">
        <v>0</v>
      </c>
      <c r="BK486" s="55">
        <v>0</v>
      </c>
      <c r="BL486" s="55">
        <v>0</v>
      </c>
      <c r="BM486" s="55">
        <v>0</v>
      </c>
      <c r="BN486" s="55">
        <v>0</v>
      </c>
      <c r="BO486" s="55">
        <v>0</v>
      </c>
      <c r="BP486" s="55">
        <v>0</v>
      </c>
      <c r="BQ486" s="55">
        <v>0</v>
      </c>
      <c r="BR486" s="55"/>
      <c r="BS486" s="55">
        <v>0</v>
      </c>
      <c r="BT486" s="55">
        <v>0</v>
      </c>
      <c r="BU486" s="55">
        <v>0</v>
      </c>
      <c r="BV486" s="55">
        <v>0</v>
      </c>
      <c r="BW486" s="55">
        <v>0</v>
      </c>
      <c r="BX486" s="55">
        <v>0</v>
      </c>
      <c r="BY486" s="55">
        <v>0</v>
      </c>
      <c r="BZ486" s="55">
        <v>0</v>
      </c>
      <c r="CA486" s="55">
        <v>0</v>
      </c>
      <c r="CB486" s="55">
        <v>0</v>
      </c>
      <c r="CC486" s="55">
        <v>0</v>
      </c>
      <c r="CD486" s="55">
        <v>0</v>
      </c>
      <c r="CE486" s="55">
        <v>0</v>
      </c>
      <c r="CF486" s="55">
        <v>0</v>
      </c>
      <c r="CG486" s="55">
        <v>0</v>
      </c>
      <c r="CH486" s="55">
        <v>0</v>
      </c>
      <c r="CI486" s="55">
        <v>0</v>
      </c>
      <c r="CJ486" s="55">
        <v>0</v>
      </c>
      <c r="CK486" s="55">
        <v>0</v>
      </c>
      <c r="CL486" s="55">
        <v>0</v>
      </c>
      <c r="CM486" s="55">
        <v>0</v>
      </c>
      <c r="CN486" s="55">
        <v>0</v>
      </c>
      <c r="CO486" s="55">
        <v>0</v>
      </c>
      <c r="CP486" s="55">
        <v>0</v>
      </c>
      <c r="CQ486" s="55">
        <v>0</v>
      </c>
      <c r="CR486" s="55">
        <v>0</v>
      </c>
      <c r="CS486" s="55">
        <v>0</v>
      </c>
      <c r="CT486" s="55">
        <v>0</v>
      </c>
      <c r="CU486" s="55">
        <v>0</v>
      </c>
      <c r="CV486" s="55">
        <v>0</v>
      </c>
      <c r="CW486" s="55">
        <v>0</v>
      </c>
      <c r="CX486" s="55">
        <v>0</v>
      </c>
      <c r="CY486" s="56">
        <v>0</v>
      </c>
      <c r="CZ486" s="55">
        <v>0</v>
      </c>
      <c r="DA486" s="55">
        <v>0</v>
      </c>
      <c r="DB486" s="55">
        <v>0</v>
      </c>
      <c r="DC486" s="55">
        <v>0</v>
      </c>
      <c r="DD486" s="55">
        <v>0</v>
      </c>
      <c r="DE486" s="55">
        <v>0</v>
      </c>
      <c r="DF486" s="55">
        <v>0</v>
      </c>
      <c r="DG486" s="55">
        <v>0</v>
      </c>
      <c r="DH486" s="55">
        <v>0</v>
      </c>
      <c r="DI486" s="55">
        <v>0</v>
      </c>
    </row>
    <row r="487" spans="1:113" hidden="1" outlineLevel="2">
      <c r="A487" s="1" t="s">
        <v>283</v>
      </c>
      <c r="B487" s="19" t="s">
        <v>370</v>
      </c>
      <c r="C487" s="55">
        <v>0</v>
      </c>
      <c r="D487" s="55">
        <v>0</v>
      </c>
      <c r="E487" s="55">
        <v>0</v>
      </c>
      <c r="F487" s="55">
        <v>0</v>
      </c>
      <c r="G487" s="55">
        <v>0</v>
      </c>
      <c r="H487" s="55">
        <v>0</v>
      </c>
      <c r="I487" s="55">
        <v>0</v>
      </c>
      <c r="J487" s="55">
        <v>0</v>
      </c>
      <c r="K487" s="55">
        <v>0</v>
      </c>
      <c r="L487" s="55">
        <v>0</v>
      </c>
      <c r="M487" s="55">
        <v>0</v>
      </c>
      <c r="N487" s="55">
        <v>0</v>
      </c>
      <c r="O487" s="55">
        <v>0</v>
      </c>
      <c r="P487" s="55">
        <v>0</v>
      </c>
      <c r="Q487" s="55">
        <v>0</v>
      </c>
      <c r="R487" s="55">
        <v>0</v>
      </c>
      <c r="S487" s="55">
        <v>0</v>
      </c>
      <c r="T487" s="55">
        <v>0</v>
      </c>
      <c r="U487" s="55">
        <v>0</v>
      </c>
      <c r="V487" s="55">
        <v>0</v>
      </c>
      <c r="W487" s="55">
        <v>0</v>
      </c>
      <c r="X487" s="55">
        <v>0</v>
      </c>
      <c r="Y487" s="55">
        <v>0</v>
      </c>
      <c r="Z487" s="55">
        <v>0</v>
      </c>
      <c r="AA487" s="55">
        <v>0</v>
      </c>
      <c r="AB487" s="55">
        <v>0</v>
      </c>
      <c r="AC487" s="55">
        <v>0</v>
      </c>
      <c r="AD487" s="55">
        <v>0</v>
      </c>
      <c r="AE487" s="55">
        <v>0</v>
      </c>
      <c r="AF487" s="55">
        <v>0</v>
      </c>
      <c r="AG487" s="55">
        <v>0</v>
      </c>
      <c r="AH487" s="55">
        <v>0</v>
      </c>
      <c r="AI487" s="55">
        <v>0</v>
      </c>
      <c r="AJ487" s="55">
        <v>0</v>
      </c>
      <c r="AK487" s="55">
        <v>0</v>
      </c>
      <c r="AL487" s="55">
        <v>0</v>
      </c>
      <c r="AM487" s="55">
        <v>0</v>
      </c>
      <c r="AN487" s="55">
        <v>0</v>
      </c>
      <c r="AO487" s="55">
        <v>0</v>
      </c>
      <c r="AP487" s="55">
        <v>0</v>
      </c>
      <c r="AQ487" s="55">
        <v>0</v>
      </c>
      <c r="AR487" s="55">
        <v>0</v>
      </c>
      <c r="AS487" s="55">
        <v>0</v>
      </c>
      <c r="AT487" s="55">
        <v>0</v>
      </c>
      <c r="AU487" s="55">
        <v>0</v>
      </c>
      <c r="AV487" s="55">
        <v>0</v>
      </c>
      <c r="AW487" s="56">
        <v>0</v>
      </c>
      <c r="AX487" s="55">
        <v>0</v>
      </c>
      <c r="AY487" s="55">
        <v>0</v>
      </c>
      <c r="AZ487" s="55">
        <v>0</v>
      </c>
      <c r="BA487" s="55">
        <v>0</v>
      </c>
      <c r="BB487" s="55">
        <v>0</v>
      </c>
      <c r="BC487" s="55">
        <v>0</v>
      </c>
      <c r="BD487" s="55">
        <v>0</v>
      </c>
      <c r="BE487" s="55">
        <v>0</v>
      </c>
      <c r="BF487" s="55">
        <v>0</v>
      </c>
      <c r="BG487" s="55">
        <v>0</v>
      </c>
      <c r="BH487" s="55">
        <v>0</v>
      </c>
      <c r="BI487" s="55">
        <v>0</v>
      </c>
      <c r="BJ487" s="55">
        <v>0</v>
      </c>
      <c r="BK487" s="55">
        <v>0</v>
      </c>
      <c r="BL487" s="55">
        <v>0</v>
      </c>
      <c r="BM487" s="55">
        <v>0</v>
      </c>
      <c r="BN487" s="55">
        <v>0</v>
      </c>
      <c r="BO487" s="55">
        <v>0</v>
      </c>
      <c r="BP487" s="55">
        <v>0</v>
      </c>
      <c r="BQ487" s="55">
        <v>0</v>
      </c>
      <c r="BR487" s="55"/>
      <c r="BS487" s="55">
        <v>0</v>
      </c>
      <c r="BT487" s="55">
        <v>0</v>
      </c>
      <c r="BU487" s="55">
        <v>0</v>
      </c>
      <c r="BV487" s="55">
        <v>0</v>
      </c>
      <c r="BW487" s="55">
        <v>0</v>
      </c>
      <c r="BX487" s="55">
        <v>0</v>
      </c>
      <c r="BY487" s="55">
        <v>0</v>
      </c>
      <c r="BZ487" s="55">
        <v>0</v>
      </c>
      <c r="CA487" s="55">
        <v>0</v>
      </c>
      <c r="CB487" s="55">
        <v>0</v>
      </c>
      <c r="CC487" s="55">
        <v>0</v>
      </c>
      <c r="CD487" s="55">
        <v>0</v>
      </c>
      <c r="CE487" s="55">
        <v>0</v>
      </c>
      <c r="CF487" s="55">
        <v>0</v>
      </c>
      <c r="CG487" s="55">
        <v>0</v>
      </c>
      <c r="CH487" s="55">
        <v>0</v>
      </c>
      <c r="CI487" s="55">
        <v>0</v>
      </c>
      <c r="CJ487" s="55">
        <v>0</v>
      </c>
      <c r="CK487" s="55">
        <v>0</v>
      </c>
      <c r="CL487" s="55">
        <v>0</v>
      </c>
      <c r="CM487" s="55">
        <v>0</v>
      </c>
      <c r="CN487" s="55">
        <v>0</v>
      </c>
      <c r="CO487" s="55">
        <v>0</v>
      </c>
      <c r="CP487" s="55">
        <v>0</v>
      </c>
      <c r="CQ487" s="55">
        <v>0</v>
      </c>
      <c r="CR487" s="55">
        <v>0</v>
      </c>
      <c r="CS487" s="55">
        <v>0</v>
      </c>
      <c r="CT487" s="55">
        <v>0</v>
      </c>
      <c r="CU487" s="55">
        <v>0</v>
      </c>
      <c r="CV487" s="55">
        <v>0</v>
      </c>
      <c r="CW487" s="55">
        <v>0</v>
      </c>
      <c r="CX487" s="55">
        <v>0</v>
      </c>
      <c r="CY487" s="56">
        <v>0</v>
      </c>
      <c r="CZ487" s="55">
        <v>0</v>
      </c>
      <c r="DA487" s="55">
        <v>0</v>
      </c>
      <c r="DB487" s="55">
        <v>0</v>
      </c>
      <c r="DC487" s="55">
        <v>0</v>
      </c>
      <c r="DD487" s="55">
        <v>0</v>
      </c>
      <c r="DE487" s="55">
        <v>0</v>
      </c>
      <c r="DF487" s="55">
        <v>0</v>
      </c>
      <c r="DG487" s="55">
        <v>0</v>
      </c>
      <c r="DH487" s="55">
        <v>0</v>
      </c>
      <c r="DI487" s="55">
        <v>0</v>
      </c>
    </row>
    <row r="488" spans="1:113" hidden="1" outlineLevel="2">
      <c r="A488" s="1" t="s">
        <v>686</v>
      </c>
      <c r="B488" s="19" t="s">
        <v>360</v>
      </c>
      <c r="C488" s="55">
        <v>0</v>
      </c>
      <c r="D488" s="55">
        <v>0</v>
      </c>
      <c r="E488" s="55">
        <v>0</v>
      </c>
      <c r="F488" s="55">
        <v>0</v>
      </c>
      <c r="G488" s="55">
        <v>0</v>
      </c>
      <c r="H488" s="55">
        <v>0</v>
      </c>
      <c r="I488" s="55">
        <v>0</v>
      </c>
      <c r="J488" s="55">
        <v>0</v>
      </c>
      <c r="K488" s="55">
        <v>0</v>
      </c>
      <c r="L488" s="55">
        <v>0</v>
      </c>
      <c r="M488" s="55">
        <v>0</v>
      </c>
      <c r="N488" s="55">
        <v>0</v>
      </c>
      <c r="O488" s="55">
        <v>0</v>
      </c>
      <c r="P488" s="55">
        <v>0</v>
      </c>
      <c r="Q488" s="55">
        <v>0</v>
      </c>
      <c r="R488" s="55">
        <v>0</v>
      </c>
      <c r="S488" s="55">
        <v>0</v>
      </c>
      <c r="T488" s="55">
        <v>0</v>
      </c>
      <c r="U488" s="55">
        <v>0</v>
      </c>
      <c r="V488" s="55">
        <v>0</v>
      </c>
      <c r="W488" s="55">
        <v>0</v>
      </c>
      <c r="X488" s="55">
        <v>0</v>
      </c>
      <c r="Y488" s="55">
        <v>0</v>
      </c>
      <c r="Z488" s="55">
        <v>0</v>
      </c>
      <c r="AA488" s="55">
        <v>0</v>
      </c>
      <c r="AB488" s="55">
        <v>0</v>
      </c>
      <c r="AC488" s="55">
        <v>0</v>
      </c>
      <c r="AD488" s="55">
        <v>0</v>
      </c>
      <c r="AE488" s="55">
        <v>0</v>
      </c>
      <c r="AF488" s="55">
        <v>0</v>
      </c>
      <c r="AG488" s="55">
        <v>0</v>
      </c>
      <c r="AH488" s="55">
        <v>0</v>
      </c>
      <c r="AI488" s="55">
        <v>0</v>
      </c>
      <c r="AJ488" s="55">
        <v>0</v>
      </c>
      <c r="AK488" s="55">
        <v>0</v>
      </c>
      <c r="AL488" s="55">
        <v>0</v>
      </c>
      <c r="AM488" s="55">
        <v>0</v>
      </c>
      <c r="AN488" s="55">
        <v>0</v>
      </c>
      <c r="AO488" s="55">
        <v>0</v>
      </c>
      <c r="AP488" s="55">
        <v>0</v>
      </c>
      <c r="AQ488" s="55">
        <v>0</v>
      </c>
      <c r="AR488" s="55">
        <v>0</v>
      </c>
      <c r="AS488" s="55">
        <v>0</v>
      </c>
      <c r="AT488" s="55">
        <v>0</v>
      </c>
      <c r="AU488" s="55">
        <v>0</v>
      </c>
      <c r="AV488" s="55">
        <v>0</v>
      </c>
      <c r="AW488" s="56">
        <v>0</v>
      </c>
      <c r="AX488" s="55">
        <v>0</v>
      </c>
      <c r="AY488" s="55">
        <v>0</v>
      </c>
      <c r="AZ488" s="55">
        <v>0</v>
      </c>
      <c r="BA488" s="55">
        <v>0</v>
      </c>
      <c r="BB488" s="55">
        <v>0</v>
      </c>
      <c r="BC488" s="55">
        <v>0</v>
      </c>
      <c r="BD488" s="55">
        <v>0</v>
      </c>
      <c r="BE488" s="55">
        <v>0</v>
      </c>
      <c r="BF488" s="55">
        <v>0</v>
      </c>
      <c r="BG488" s="55">
        <v>0</v>
      </c>
      <c r="BH488" s="55">
        <v>0</v>
      </c>
      <c r="BI488" s="55">
        <v>0</v>
      </c>
      <c r="BJ488" s="55">
        <v>0</v>
      </c>
      <c r="BK488" s="55">
        <v>0</v>
      </c>
      <c r="BL488" s="55">
        <v>0</v>
      </c>
      <c r="BM488" s="55">
        <v>0</v>
      </c>
      <c r="BN488" s="55">
        <v>0</v>
      </c>
      <c r="BO488" s="55">
        <v>0</v>
      </c>
      <c r="BP488" s="55">
        <v>0</v>
      </c>
      <c r="BQ488" s="55">
        <v>0</v>
      </c>
      <c r="BR488" s="55"/>
      <c r="BS488" s="55">
        <v>0</v>
      </c>
      <c r="BT488" s="55">
        <v>0</v>
      </c>
      <c r="BU488" s="55">
        <v>0</v>
      </c>
      <c r="BV488" s="55">
        <v>0</v>
      </c>
      <c r="BW488" s="55">
        <v>0</v>
      </c>
      <c r="BX488" s="55">
        <v>0</v>
      </c>
      <c r="BY488" s="55">
        <v>0</v>
      </c>
      <c r="BZ488" s="55">
        <v>0</v>
      </c>
      <c r="CA488" s="55">
        <v>0</v>
      </c>
      <c r="CB488" s="55">
        <v>0</v>
      </c>
      <c r="CC488" s="55">
        <v>0</v>
      </c>
      <c r="CD488" s="55">
        <v>0</v>
      </c>
      <c r="CE488" s="55">
        <v>0</v>
      </c>
      <c r="CF488" s="55">
        <v>0</v>
      </c>
      <c r="CG488" s="55">
        <v>0</v>
      </c>
      <c r="CH488" s="55">
        <v>0</v>
      </c>
      <c r="CI488" s="55">
        <v>0</v>
      </c>
      <c r="CJ488" s="55">
        <v>0</v>
      </c>
      <c r="CK488" s="55">
        <v>0</v>
      </c>
      <c r="CL488" s="55">
        <v>0</v>
      </c>
      <c r="CM488" s="55">
        <v>0</v>
      </c>
      <c r="CN488" s="55">
        <v>0</v>
      </c>
      <c r="CO488" s="55">
        <v>0</v>
      </c>
      <c r="CP488" s="55">
        <v>0</v>
      </c>
      <c r="CQ488" s="55">
        <v>0</v>
      </c>
      <c r="CR488" s="55">
        <v>0</v>
      </c>
      <c r="CS488" s="55">
        <v>0</v>
      </c>
      <c r="CT488" s="55">
        <v>0</v>
      </c>
      <c r="CU488" s="55">
        <v>0</v>
      </c>
      <c r="CV488" s="55">
        <v>0</v>
      </c>
      <c r="CW488" s="55">
        <v>0</v>
      </c>
      <c r="CX488" s="55">
        <v>0</v>
      </c>
      <c r="CY488" s="56">
        <v>0</v>
      </c>
      <c r="CZ488" s="55">
        <v>0</v>
      </c>
      <c r="DA488" s="55">
        <v>0</v>
      </c>
      <c r="DB488" s="55">
        <v>0</v>
      </c>
      <c r="DC488" s="55">
        <v>0</v>
      </c>
      <c r="DD488" s="55">
        <v>0</v>
      </c>
      <c r="DE488" s="55">
        <v>0</v>
      </c>
      <c r="DF488" s="55">
        <v>0</v>
      </c>
      <c r="DG488" s="55">
        <v>0</v>
      </c>
      <c r="DH488" s="55">
        <v>0</v>
      </c>
      <c r="DI488" s="55">
        <v>0</v>
      </c>
    </row>
    <row r="489" spans="1:113" hidden="1" outlineLevel="2">
      <c r="A489" s="1" t="s">
        <v>284</v>
      </c>
      <c r="B489" s="19" t="s">
        <v>423</v>
      </c>
      <c r="C489" s="55">
        <v>0</v>
      </c>
      <c r="D489" s="55">
        <v>0</v>
      </c>
      <c r="E489" s="55">
        <v>0</v>
      </c>
      <c r="F489" s="55">
        <v>0</v>
      </c>
      <c r="G489" s="55">
        <v>0</v>
      </c>
      <c r="H489" s="55">
        <v>0</v>
      </c>
      <c r="I489" s="55">
        <v>0</v>
      </c>
      <c r="J489" s="55">
        <v>0</v>
      </c>
      <c r="K489" s="55">
        <v>0</v>
      </c>
      <c r="L489" s="55">
        <v>0</v>
      </c>
      <c r="M489" s="55">
        <v>0</v>
      </c>
      <c r="N489" s="55">
        <v>0</v>
      </c>
      <c r="O489" s="55">
        <v>0</v>
      </c>
      <c r="P489" s="55">
        <v>0</v>
      </c>
      <c r="Q489" s="55">
        <v>0</v>
      </c>
      <c r="R489" s="55">
        <v>0</v>
      </c>
      <c r="S489" s="55">
        <v>0</v>
      </c>
      <c r="T489" s="55">
        <v>0</v>
      </c>
      <c r="U489" s="55">
        <v>0</v>
      </c>
      <c r="V489" s="55">
        <v>0</v>
      </c>
      <c r="W489" s="55">
        <v>0</v>
      </c>
      <c r="X489" s="55">
        <v>0</v>
      </c>
      <c r="Y489" s="55">
        <v>0</v>
      </c>
      <c r="Z489" s="55">
        <v>0</v>
      </c>
      <c r="AA489" s="55">
        <v>0</v>
      </c>
      <c r="AB489" s="55">
        <v>0</v>
      </c>
      <c r="AC489" s="55">
        <v>0</v>
      </c>
      <c r="AD489" s="55">
        <v>0</v>
      </c>
      <c r="AE489" s="55">
        <v>0</v>
      </c>
      <c r="AF489" s="55">
        <v>0</v>
      </c>
      <c r="AG489" s="55">
        <v>0</v>
      </c>
      <c r="AH489" s="55">
        <v>0</v>
      </c>
      <c r="AI489" s="55">
        <v>0</v>
      </c>
      <c r="AJ489" s="55">
        <v>0</v>
      </c>
      <c r="AK489" s="55">
        <v>0</v>
      </c>
      <c r="AL489" s="55">
        <v>0</v>
      </c>
      <c r="AM489" s="55">
        <v>0</v>
      </c>
      <c r="AN489" s="55">
        <v>0</v>
      </c>
      <c r="AO489" s="55">
        <v>0</v>
      </c>
      <c r="AP489" s="55">
        <v>0</v>
      </c>
      <c r="AQ489" s="55">
        <v>0</v>
      </c>
      <c r="AR489" s="55">
        <v>0</v>
      </c>
      <c r="AS489" s="55">
        <v>0</v>
      </c>
      <c r="AT489" s="55">
        <v>0</v>
      </c>
      <c r="AU489" s="55">
        <v>0</v>
      </c>
      <c r="AV489" s="55">
        <v>0</v>
      </c>
      <c r="AW489" s="56">
        <v>0</v>
      </c>
      <c r="AX489" s="55">
        <v>0</v>
      </c>
      <c r="AY489" s="55">
        <v>0</v>
      </c>
      <c r="AZ489" s="55">
        <v>0</v>
      </c>
      <c r="BA489" s="55">
        <v>0</v>
      </c>
      <c r="BB489" s="55">
        <v>0</v>
      </c>
      <c r="BC489" s="55">
        <v>0</v>
      </c>
      <c r="BD489" s="55">
        <v>0</v>
      </c>
      <c r="BE489" s="55">
        <v>0</v>
      </c>
      <c r="BF489" s="55">
        <v>0</v>
      </c>
      <c r="BG489" s="55">
        <v>0</v>
      </c>
      <c r="BH489" s="55">
        <v>0</v>
      </c>
      <c r="BI489" s="55">
        <v>0</v>
      </c>
      <c r="BJ489" s="55">
        <v>0</v>
      </c>
      <c r="BK489" s="55">
        <v>0</v>
      </c>
      <c r="BL489" s="55">
        <v>0</v>
      </c>
      <c r="BM489" s="55">
        <v>0</v>
      </c>
      <c r="BN489" s="55">
        <v>0</v>
      </c>
      <c r="BO489" s="55">
        <v>0</v>
      </c>
      <c r="BP489" s="55">
        <v>0</v>
      </c>
      <c r="BQ489" s="55">
        <v>0</v>
      </c>
      <c r="BR489" s="55"/>
      <c r="BS489" s="55">
        <v>0</v>
      </c>
      <c r="BT489" s="55">
        <v>0</v>
      </c>
      <c r="BU489" s="55">
        <v>0</v>
      </c>
      <c r="BV489" s="55">
        <v>0</v>
      </c>
      <c r="BW489" s="55">
        <v>0</v>
      </c>
      <c r="BX489" s="55">
        <v>0</v>
      </c>
      <c r="BY489" s="55">
        <v>0</v>
      </c>
      <c r="BZ489" s="55">
        <v>0</v>
      </c>
      <c r="CA489" s="55">
        <v>0</v>
      </c>
      <c r="CB489" s="55">
        <v>0</v>
      </c>
      <c r="CC489" s="55">
        <v>0</v>
      </c>
      <c r="CD489" s="55">
        <v>0</v>
      </c>
      <c r="CE489" s="55">
        <v>0</v>
      </c>
      <c r="CF489" s="55">
        <v>0</v>
      </c>
      <c r="CG489" s="55">
        <v>0</v>
      </c>
      <c r="CH489" s="55">
        <v>0</v>
      </c>
      <c r="CI489" s="55">
        <v>0</v>
      </c>
      <c r="CJ489" s="55">
        <v>0</v>
      </c>
      <c r="CK489" s="55">
        <v>0</v>
      </c>
      <c r="CL489" s="55">
        <v>0</v>
      </c>
      <c r="CM489" s="55">
        <v>0</v>
      </c>
      <c r="CN489" s="55">
        <v>0</v>
      </c>
      <c r="CO489" s="55">
        <v>0</v>
      </c>
      <c r="CP489" s="55">
        <v>0</v>
      </c>
      <c r="CQ489" s="55">
        <v>0</v>
      </c>
      <c r="CR489" s="55">
        <v>0</v>
      </c>
      <c r="CS489" s="55">
        <v>0</v>
      </c>
      <c r="CT489" s="55">
        <v>0</v>
      </c>
      <c r="CU489" s="55">
        <v>0</v>
      </c>
      <c r="CV489" s="55">
        <v>0</v>
      </c>
      <c r="CW489" s="55">
        <v>0</v>
      </c>
      <c r="CX489" s="55">
        <v>0</v>
      </c>
      <c r="CY489" s="56">
        <v>0</v>
      </c>
      <c r="CZ489" s="55">
        <v>0</v>
      </c>
      <c r="DA489" s="55">
        <v>0</v>
      </c>
      <c r="DB489" s="55">
        <v>0</v>
      </c>
      <c r="DC489" s="55">
        <v>0</v>
      </c>
      <c r="DD489" s="55">
        <v>0</v>
      </c>
      <c r="DE489" s="55">
        <v>0</v>
      </c>
      <c r="DF489" s="55">
        <v>0</v>
      </c>
      <c r="DG489" s="55">
        <v>0</v>
      </c>
      <c r="DH489" s="55">
        <v>0</v>
      </c>
      <c r="DI489" s="55">
        <v>0</v>
      </c>
    </row>
    <row r="490" spans="1:113" s="24" customFormat="1" hidden="1" outlineLevel="2">
      <c r="A490" s="1" t="s">
        <v>285</v>
      </c>
      <c r="B490" s="24" t="s">
        <v>349</v>
      </c>
      <c r="C490" s="82">
        <v>1655</v>
      </c>
      <c r="D490" s="82">
        <v>1662</v>
      </c>
      <c r="E490" s="82">
        <v>1756</v>
      </c>
      <c r="F490" s="82">
        <v>1624</v>
      </c>
      <c r="G490" s="82">
        <v>1919</v>
      </c>
      <c r="H490" s="82">
        <v>1858</v>
      </c>
      <c r="I490" s="82">
        <v>2108</v>
      </c>
      <c r="J490" s="82">
        <v>2440</v>
      </c>
      <c r="K490" s="82">
        <v>2471</v>
      </c>
      <c r="L490" s="82">
        <v>2855</v>
      </c>
      <c r="M490" s="82">
        <v>2834</v>
      </c>
      <c r="N490" s="82">
        <v>3218</v>
      </c>
      <c r="O490" s="82">
        <v>3118</v>
      </c>
      <c r="P490" s="82">
        <v>3305</v>
      </c>
      <c r="Q490" s="82">
        <v>3085</v>
      </c>
      <c r="R490" s="82">
        <v>2522</v>
      </c>
      <c r="S490" s="82">
        <v>3330</v>
      </c>
      <c r="T490" s="82">
        <v>4041</v>
      </c>
      <c r="U490" s="82">
        <v>4342</v>
      </c>
      <c r="V490" s="82">
        <v>4609</v>
      </c>
      <c r="W490" s="82">
        <v>4879</v>
      </c>
      <c r="X490" s="82">
        <v>4958</v>
      </c>
      <c r="Y490" s="82">
        <v>4907</v>
      </c>
      <c r="Z490" s="82">
        <v>5206</v>
      </c>
      <c r="AA490" s="82">
        <v>5523</v>
      </c>
      <c r="AB490" s="82">
        <v>5940</v>
      </c>
      <c r="AC490" s="82">
        <v>6009</v>
      </c>
      <c r="AD490" s="82">
        <v>6373</v>
      </c>
      <c r="AE490" s="82">
        <v>6224</v>
      </c>
      <c r="AF490" s="82">
        <v>6646</v>
      </c>
      <c r="AG490" s="82">
        <v>6411</v>
      </c>
      <c r="AH490" s="82">
        <v>6762</v>
      </c>
      <c r="AI490" s="82">
        <v>6762</v>
      </c>
      <c r="AJ490" s="82">
        <v>6597</v>
      </c>
      <c r="AK490" s="82">
        <v>6251</v>
      </c>
      <c r="AL490" s="82">
        <v>6318.7162288178552</v>
      </c>
      <c r="AM490" s="82">
        <v>5235.2837711821476</v>
      </c>
      <c r="AN490" s="82">
        <v>6121</v>
      </c>
      <c r="AO490" s="82">
        <v>4126</v>
      </c>
      <c r="AP490" s="82">
        <v>5488</v>
      </c>
      <c r="AQ490" s="82">
        <v>6755</v>
      </c>
      <c r="AR490" s="82">
        <v>6692</v>
      </c>
      <c r="AS490" s="82">
        <v>6926</v>
      </c>
      <c r="AT490" s="82">
        <v>7339</v>
      </c>
      <c r="AU490" s="82">
        <v>6830</v>
      </c>
      <c r="AV490" s="82">
        <v>7223</v>
      </c>
      <c r="AW490" s="83">
        <v>6931</v>
      </c>
      <c r="AX490" s="82">
        <v>7092.6580037083659</v>
      </c>
      <c r="AY490" s="82">
        <v>6901.2163058177784</v>
      </c>
      <c r="AZ490" s="82">
        <v>7108.9074291042916</v>
      </c>
      <c r="BA490" s="82">
        <v>6988.1061522472764</v>
      </c>
      <c r="BB490" s="82">
        <v>7146.1748145856127</v>
      </c>
      <c r="BC490" s="82">
        <v>7051.3404927209394</v>
      </c>
      <c r="BD490" s="82">
        <v>7288.1522417105825</v>
      </c>
      <c r="BE490" s="82">
        <v>7281.8858527484263</v>
      </c>
      <c r="BF490" s="82">
        <v>7490.7418477418705</v>
      </c>
      <c r="BG490" s="82">
        <v>7384.7050877191059</v>
      </c>
      <c r="BH490" s="82">
        <v>7668.8924261439142</v>
      </c>
      <c r="BI490" s="82">
        <v>7632.3822202762494</v>
      </c>
      <c r="BJ490" s="82">
        <v>6871.3820674754861</v>
      </c>
      <c r="BK490" s="82">
        <v>5886.4165642847238</v>
      </c>
      <c r="BL490" s="82">
        <v>6126.3510233843745</v>
      </c>
      <c r="BM490" s="82">
        <v>7099.0538828092576</v>
      </c>
      <c r="BN490" s="82">
        <v>8158.609898713732</v>
      </c>
      <c r="BO490" s="82">
        <v>8166.5909515414232</v>
      </c>
      <c r="BP490" s="82">
        <v>8550.20168745509</v>
      </c>
      <c r="BQ490" s="82">
        <v>8560.292012412252</v>
      </c>
      <c r="BR490" s="82"/>
      <c r="BS490" s="82">
        <v>661</v>
      </c>
      <c r="BT490" s="82">
        <v>945</v>
      </c>
      <c r="BU490" s="82">
        <v>1054</v>
      </c>
      <c r="BV490" s="82">
        <v>1523</v>
      </c>
      <c r="BW490" s="82">
        <v>1776</v>
      </c>
      <c r="BX490" s="82">
        <v>1859</v>
      </c>
      <c r="BY490" s="82">
        <v>1958</v>
      </c>
      <c r="BZ490" s="82">
        <v>2207</v>
      </c>
      <c r="CA490" s="82">
        <v>2536</v>
      </c>
      <c r="CB490" s="82">
        <v>3269</v>
      </c>
      <c r="CC490" s="82">
        <v>3418</v>
      </c>
      <c r="CD490" s="82">
        <v>3543</v>
      </c>
      <c r="CE490" s="82">
        <v>3966</v>
      </c>
      <c r="CF490" s="82">
        <v>4911</v>
      </c>
      <c r="CG490" s="82">
        <v>5689</v>
      </c>
      <c r="CH490" s="82">
        <v>6336</v>
      </c>
      <c r="CI490" s="82">
        <v>6390</v>
      </c>
      <c r="CJ490" s="82">
        <v>5852</v>
      </c>
      <c r="CK490" s="82">
        <v>8383</v>
      </c>
      <c r="CL490" s="82">
        <v>9488</v>
      </c>
      <c r="CM490" s="82">
        <v>9865</v>
      </c>
      <c r="CN490" s="82">
        <v>10729</v>
      </c>
      <c r="CO490" s="82">
        <v>11949</v>
      </c>
      <c r="CP490" s="82">
        <v>12597</v>
      </c>
      <c r="CQ490" s="82">
        <v>13057</v>
      </c>
      <c r="CR490" s="82">
        <v>13524</v>
      </c>
      <c r="CS490" s="82">
        <v>12848</v>
      </c>
      <c r="CT490" s="82">
        <v>11554</v>
      </c>
      <c r="CU490" s="82">
        <v>10247</v>
      </c>
      <c r="CV490" s="82">
        <v>12243</v>
      </c>
      <c r="CW490" s="82">
        <v>13618</v>
      </c>
      <c r="CX490" s="82">
        <v>14169</v>
      </c>
      <c r="CY490" s="83">
        <v>14154</v>
      </c>
      <c r="CZ490" s="82">
        <v>13993.874309526143</v>
      </c>
      <c r="DA490" s="82">
        <v>14097.013581351572</v>
      </c>
      <c r="DB490" s="82">
        <v>14197.515307306552</v>
      </c>
      <c r="DC490" s="82">
        <v>14570.038094459007</v>
      </c>
      <c r="DD490" s="82">
        <v>14875.446935460976</v>
      </c>
      <c r="DE490" s="82">
        <v>15301.274646420163</v>
      </c>
      <c r="DF490" s="82">
        <v>12757.79863176021</v>
      </c>
      <c r="DG490" s="82">
        <v>13225.404906193635</v>
      </c>
      <c r="DH490" s="82">
        <v>16325.200850255158</v>
      </c>
      <c r="DI490" s="82">
        <v>17110.49369986734</v>
      </c>
    </row>
    <row r="491" spans="1:113" hidden="1" outlineLevel="2">
      <c r="A491" s="1" t="s">
        <v>286</v>
      </c>
      <c r="B491" s="19" t="s">
        <v>526</v>
      </c>
      <c r="C491" s="55">
        <v>0</v>
      </c>
      <c r="D491" s="55">
        <v>0</v>
      </c>
      <c r="E491" s="55">
        <v>0</v>
      </c>
      <c r="F491" s="55">
        <v>0</v>
      </c>
      <c r="G491" s="55">
        <v>0</v>
      </c>
      <c r="H491" s="55">
        <v>0</v>
      </c>
      <c r="I491" s="55">
        <v>0</v>
      </c>
      <c r="J491" s="55">
        <v>82</v>
      </c>
      <c r="K491" s="55">
        <v>19</v>
      </c>
      <c r="L491" s="55">
        <v>116</v>
      </c>
      <c r="M491" s="55">
        <v>70</v>
      </c>
      <c r="N491" s="55">
        <v>-11</v>
      </c>
      <c r="O491" s="55">
        <v>213</v>
      </c>
      <c r="P491" s="55">
        <v>22</v>
      </c>
      <c r="Q491" s="55">
        <v>-157</v>
      </c>
      <c r="R491" s="55">
        <v>761</v>
      </c>
      <c r="S491" s="55">
        <v>-164</v>
      </c>
      <c r="T491" s="55">
        <v>382</v>
      </c>
      <c r="U491" s="55">
        <v>-572</v>
      </c>
      <c r="V491" s="55">
        <v>-287</v>
      </c>
      <c r="W491" s="55">
        <v>-144</v>
      </c>
      <c r="X491" s="55">
        <v>103</v>
      </c>
      <c r="Y491" s="55">
        <v>-4</v>
      </c>
      <c r="Z491" s="55">
        <v>-81</v>
      </c>
      <c r="AA491" s="55">
        <v>-3</v>
      </c>
      <c r="AB491" s="55">
        <v>-25</v>
      </c>
      <c r="AC491" s="55">
        <v>73</v>
      </c>
      <c r="AD491" s="55">
        <v>-53</v>
      </c>
      <c r="AE491" s="55">
        <v>68</v>
      </c>
      <c r="AF491" s="55">
        <v>-251</v>
      </c>
      <c r="AG491" s="55">
        <v>43</v>
      </c>
      <c r="AH491" s="55">
        <v>8</v>
      </c>
      <c r="AI491" s="55">
        <v>94</v>
      </c>
      <c r="AJ491" s="55">
        <v>200</v>
      </c>
      <c r="AK491" s="55">
        <v>-26</v>
      </c>
      <c r="AL491" s="55">
        <v>93.283771182144847</v>
      </c>
      <c r="AM491" s="55">
        <v>115.71622881785242</v>
      </c>
      <c r="AN491" s="55">
        <v>266</v>
      </c>
      <c r="AO491" s="55">
        <v>139</v>
      </c>
      <c r="AP491" s="55">
        <v>-126</v>
      </c>
      <c r="AQ491" s="55">
        <v>258</v>
      </c>
      <c r="AR491" s="55">
        <v>-46</v>
      </c>
      <c r="AS491" s="55">
        <v>112</v>
      </c>
      <c r="AT491" s="55">
        <v>136</v>
      </c>
      <c r="AU491" s="55">
        <v>-64</v>
      </c>
      <c r="AV491" s="55">
        <v>-158</v>
      </c>
      <c r="AW491" s="56">
        <v>-214</v>
      </c>
      <c r="AX491" s="55">
        <v>0</v>
      </c>
      <c r="AY491" s="55">
        <v>0</v>
      </c>
      <c r="AZ491" s="55">
        <v>0</v>
      </c>
      <c r="BA491" s="55">
        <v>0</v>
      </c>
      <c r="BB491" s="55">
        <v>0</v>
      </c>
      <c r="BC491" s="55">
        <v>0</v>
      </c>
      <c r="BD491" s="55">
        <v>0</v>
      </c>
      <c r="BE491" s="55">
        <v>0</v>
      </c>
      <c r="BF491" s="55">
        <v>0</v>
      </c>
      <c r="BG491" s="55">
        <v>0</v>
      </c>
      <c r="BH491" s="55">
        <v>0</v>
      </c>
      <c r="BI491" s="55">
        <v>0</v>
      </c>
      <c r="BJ491" s="55">
        <v>0</v>
      </c>
      <c r="BK491" s="55">
        <v>0</v>
      </c>
      <c r="BL491" s="55">
        <v>0</v>
      </c>
      <c r="BM491" s="55">
        <v>0</v>
      </c>
      <c r="BN491" s="55">
        <v>0</v>
      </c>
      <c r="BO491" s="55">
        <v>0</v>
      </c>
      <c r="BP491" s="55">
        <v>0</v>
      </c>
      <c r="BQ491" s="55">
        <v>0</v>
      </c>
      <c r="BR491" s="55"/>
      <c r="BS491" s="55">
        <v>0</v>
      </c>
      <c r="BT491" s="55">
        <v>-136</v>
      </c>
      <c r="BU491" s="55">
        <v>0</v>
      </c>
      <c r="BV491" s="55">
        <v>-28</v>
      </c>
      <c r="BW491" s="55">
        <v>0</v>
      </c>
      <c r="BX491" s="55">
        <v>-171</v>
      </c>
      <c r="BY491" s="55">
        <v>-207</v>
      </c>
      <c r="BZ491" s="55">
        <v>-47</v>
      </c>
      <c r="CA491" s="55">
        <v>1002</v>
      </c>
      <c r="CB491" s="55">
        <v>136</v>
      </c>
      <c r="CC491" s="55">
        <v>0</v>
      </c>
      <c r="CD491" s="55">
        <v>0</v>
      </c>
      <c r="CE491" s="55">
        <v>0</v>
      </c>
      <c r="CF491" s="55">
        <v>101</v>
      </c>
      <c r="CG491" s="55">
        <v>186</v>
      </c>
      <c r="CH491" s="55">
        <v>202</v>
      </c>
      <c r="CI491" s="55">
        <v>-135</v>
      </c>
      <c r="CJ491" s="55">
        <v>597</v>
      </c>
      <c r="CK491" s="55">
        <v>-190</v>
      </c>
      <c r="CL491" s="55">
        <v>-431</v>
      </c>
      <c r="CM491" s="55">
        <v>99</v>
      </c>
      <c r="CN491" s="55">
        <v>-84</v>
      </c>
      <c r="CO491" s="55">
        <v>48</v>
      </c>
      <c r="CP491" s="55">
        <v>15</v>
      </c>
      <c r="CQ491" s="55">
        <v>-208</v>
      </c>
      <c r="CR491" s="55">
        <v>102</v>
      </c>
      <c r="CS491" s="55">
        <v>174</v>
      </c>
      <c r="CT491" s="55">
        <v>208.99999999999727</v>
      </c>
      <c r="CU491" s="55">
        <v>405</v>
      </c>
      <c r="CV491" s="55">
        <v>132</v>
      </c>
      <c r="CW491" s="55">
        <v>66</v>
      </c>
      <c r="CX491" s="55">
        <v>72</v>
      </c>
      <c r="CY491" s="56">
        <v>-372</v>
      </c>
      <c r="CZ491" s="55">
        <v>0</v>
      </c>
      <c r="DA491" s="55">
        <v>0</v>
      </c>
      <c r="DB491" s="55">
        <v>0</v>
      </c>
      <c r="DC491" s="55">
        <v>0</v>
      </c>
      <c r="DD491" s="55">
        <v>0</v>
      </c>
      <c r="DE491" s="55">
        <v>0</v>
      </c>
      <c r="DF491" s="55">
        <v>0</v>
      </c>
      <c r="DG491" s="55">
        <v>0</v>
      </c>
      <c r="DH491" s="55">
        <v>0</v>
      </c>
      <c r="DI491" s="55">
        <v>0</v>
      </c>
    </row>
    <row r="492" spans="1:113" hidden="1" outlineLevel="2">
      <c r="A492" s="1" t="s">
        <v>687</v>
      </c>
      <c r="B492" s="19" t="s">
        <v>252</v>
      </c>
      <c r="C492" s="53">
        <v>110</v>
      </c>
      <c r="D492" s="53">
        <v>12</v>
      </c>
      <c r="E492" s="53">
        <v>142</v>
      </c>
      <c r="F492" s="53">
        <v>-586</v>
      </c>
      <c r="G492" s="53">
        <v>19</v>
      </c>
      <c r="H492" s="53">
        <v>3</v>
      </c>
      <c r="I492" s="53">
        <v>-126</v>
      </c>
      <c r="J492" s="53">
        <v>0</v>
      </c>
      <c r="K492" s="53">
        <v>0</v>
      </c>
      <c r="L492" s="53">
        <v>0</v>
      </c>
      <c r="M492" s="53">
        <v>0</v>
      </c>
      <c r="N492" s="53">
        <v>0</v>
      </c>
      <c r="O492" s="53">
        <v>0</v>
      </c>
      <c r="P492" s="53">
        <v>0</v>
      </c>
      <c r="Q492" s="53">
        <v>0</v>
      </c>
      <c r="R492" s="53">
        <v>0</v>
      </c>
      <c r="S492" s="53">
        <v>0</v>
      </c>
      <c r="T492" s="53">
        <v>0</v>
      </c>
      <c r="U492" s="53">
        <v>0</v>
      </c>
      <c r="V492" s="53">
        <v>0</v>
      </c>
      <c r="W492" s="53">
        <v>0</v>
      </c>
      <c r="X492" s="53">
        <v>0</v>
      </c>
      <c r="Y492" s="53">
        <v>0</v>
      </c>
      <c r="Z492" s="53">
        <v>0</v>
      </c>
      <c r="AA492" s="164">
        <v>0</v>
      </c>
      <c r="AB492" s="164">
        <v>0</v>
      </c>
      <c r="AC492" s="164">
        <v>0</v>
      </c>
      <c r="AD492" s="164">
        <v>0</v>
      </c>
      <c r="AE492" s="164">
        <v>0</v>
      </c>
      <c r="AF492" s="164">
        <v>0</v>
      </c>
      <c r="AG492" s="54">
        <v>0</v>
      </c>
      <c r="AH492" s="54">
        <v>0</v>
      </c>
      <c r="AI492" s="54">
        <v>0</v>
      </c>
      <c r="AJ492" s="54">
        <v>0</v>
      </c>
      <c r="AK492" s="54">
        <v>0</v>
      </c>
      <c r="AL492" s="54">
        <v>0</v>
      </c>
      <c r="AM492" s="54">
        <v>0</v>
      </c>
      <c r="AN492" s="54">
        <v>0</v>
      </c>
      <c r="AO492" s="54">
        <v>0</v>
      </c>
      <c r="AP492" s="54">
        <v>0</v>
      </c>
      <c r="AQ492" s="54">
        <v>0</v>
      </c>
      <c r="AR492" s="54">
        <v>0</v>
      </c>
      <c r="AS492" s="54">
        <v>0</v>
      </c>
      <c r="AT492" s="54">
        <v>0</v>
      </c>
      <c r="AU492" s="54">
        <v>0</v>
      </c>
      <c r="AV492" s="54">
        <v>0</v>
      </c>
      <c r="AW492" s="388">
        <v>0</v>
      </c>
      <c r="AX492" s="54">
        <v>0</v>
      </c>
      <c r="AY492" s="54">
        <v>0</v>
      </c>
      <c r="AZ492" s="54">
        <v>0</v>
      </c>
      <c r="BA492" s="54">
        <v>0</v>
      </c>
      <c r="BB492" s="54">
        <v>0</v>
      </c>
      <c r="BC492" s="54">
        <v>0</v>
      </c>
      <c r="BD492" s="54">
        <v>0</v>
      </c>
      <c r="BE492" s="54">
        <v>0</v>
      </c>
      <c r="BF492" s="54">
        <v>0</v>
      </c>
      <c r="BG492" s="54">
        <v>0</v>
      </c>
      <c r="BH492" s="54">
        <v>0</v>
      </c>
      <c r="BI492" s="54">
        <v>0</v>
      </c>
      <c r="BJ492" s="54">
        <v>0</v>
      </c>
      <c r="BK492" s="54">
        <v>0</v>
      </c>
      <c r="BL492" s="54">
        <v>0</v>
      </c>
      <c r="BM492" s="54">
        <v>0</v>
      </c>
      <c r="BN492" s="54">
        <v>0</v>
      </c>
      <c r="BO492" s="54">
        <v>0</v>
      </c>
      <c r="BP492" s="54">
        <v>0</v>
      </c>
      <c r="BQ492" s="54">
        <v>0</v>
      </c>
      <c r="BR492" s="55"/>
      <c r="BS492" s="53">
        <v>0</v>
      </c>
      <c r="BT492" s="53">
        <v>0</v>
      </c>
      <c r="BU492" s="53">
        <v>0</v>
      </c>
      <c r="BV492" s="53">
        <v>0</v>
      </c>
      <c r="BW492" s="53">
        <v>0</v>
      </c>
      <c r="BX492" s="53">
        <v>0</v>
      </c>
      <c r="BY492" s="53">
        <v>0</v>
      </c>
      <c r="BZ492" s="53">
        <v>0</v>
      </c>
      <c r="CA492" s="53">
        <v>0</v>
      </c>
      <c r="CB492" s="53">
        <v>0</v>
      </c>
      <c r="CC492" s="55">
        <v>154</v>
      </c>
      <c r="CD492" s="55">
        <v>-567</v>
      </c>
      <c r="CE492" s="55">
        <v>-123</v>
      </c>
      <c r="CF492" s="55">
        <v>0</v>
      </c>
      <c r="CG492" s="55">
        <v>0</v>
      </c>
      <c r="CH492" s="55">
        <v>0</v>
      </c>
      <c r="CI492" s="55">
        <v>0</v>
      </c>
      <c r="CJ492" s="55">
        <v>0</v>
      </c>
      <c r="CK492" s="55">
        <v>0</v>
      </c>
      <c r="CL492" s="55">
        <v>0</v>
      </c>
      <c r="CM492" s="55">
        <v>0</v>
      </c>
      <c r="CN492" s="55">
        <v>0</v>
      </c>
      <c r="CO492" s="55">
        <v>0</v>
      </c>
      <c r="CP492" s="55">
        <v>0</v>
      </c>
      <c r="CQ492" s="55">
        <v>0</v>
      </c>
      <c r="CR492" s="55">
        <v>0</v>
      </c>
      <c r="CS492" s="55">
        <v>0</v>
      </c>
      <c r="CT492" s="55">
        <v>0</v>
      </c>
      <c r="CU492" s="55">
        <v>0</v>
      </c>
      <c r="CV492" s="55">
        <v>0</v>
      </c>
      <c r="CW492" s="55">
        <v>0</v>
      </c>
      <c r="CX492" s="55">
        <v>0</v>
      </c>
      <c r="CY492" s="56">
        <v>0</v>
      </c>
      <c r="CZ492" s="55">
        <v>0</v>
      </c>
      <c r="DA492" s="55">
        <v>0</v>
      </c>
      <c r="DB492" s="55">
        <v>0</v>
      </c>
      <c r="DC492" s="55">
        <v>0</v>
      </c>
      <c r="DD492" s="55">
        <v>0</v>
      </c>
      <c r="DE492" s="55">
        <v>0</v>
      </c>
      <c r="DF492" s="55">
        <v>0</v>
      </c>
      <c r="DG492" s="55">
        <v>0</v>
      </c>
      <c r="DH492" s="55">
        <v>0</v>
      </c>
      <c r="DI492" s="55">
        <v>0</v>
      </c>
    </row>
    <row r="493" spans="1:113" s="24" customFormat="1" hidden="1" outlineLevel="2">
      <c r="A493" s="1" t="s">
        <v>287</v>
      </c>
      <c r="B493" s="24" t="s">
        <v>157</v>
      </c>
      <c r="C493" s="82">
        <v>1765</v>
      </c>
      <c r="D493" s="82">
        <v>1674</v>
      </c>
      <c r="E493" s="82">
        <v>1898</v>
      </c>
      <c r="F493" s="82">
        <v>1038</v>
      </c>
      <c r="G493" s="82">
        <v>1938</v>
      </c>
      <c r="H493" s="82">
        <v>1861</v>
      </c>
      <c r="I493" s="82">
        <v>1982</v>
      </c>
      <c r="J493" s="82">
        <v>2522</v>
      </c>
      <c r="K493" s="82">
        <v>2490</v>
      </c>
      <c r="L493" s="82">
        <v>2971</v>
      </c>
      <c r="M493" s="82">
        <v>2904</v>
      </c>
      <c r="N493" s="82">
        <v>3207</v>
      </c>
      <c r="O493" s="82">
        <v>3331</v>
      </c>
      <c r="P493" s="82">
        <v>3327</v>
      </c>
      <c r="Q493" s="82">
        <v>2928</v>
      </c>
      <c r="R493" s="82">
        <v>3283</v>
      </c>
      <c r="S493" s="82">
        <v>3166</v>
      </c>
      <c r="T493" s="82">
        <v>4423</v>
      </c>
      <c r="U493" s="82">
        <v>3770</v>
      </c>
      <c r="V493" s="82">
        <v>4322</v>
      </c>
      <c r="W493" s="82">
        <v>4735</v>
      </c>
      <c r="X493" s="82">
        <v>5061</v>
      </c>
      <c r="Y493" s="82">
        <v>4903</v>
      </c>
      <c r="Z493" s="82">
        <v>5125</v>
      </c>
      <c r="AA493" s="82">
        <v>5520</v>
      </c>
      <c r="AB493" s="82">
        <v>5915</v>
      </c>
      <c r="AC493" s="82">
        <v>6082</v>
      </c>
      <c r="AD493" s="82">
        <v>6320</v>
      </c>
      <c r="AE493" s="82">
        <v>6292</v>
      </c>
      <c r="AF493" s="82">
        <v>6395</v>
      </c>
      <c r="AG493" s="82">
        <v>6454</v>
      </c>
      <c r="AH493" s="82">
        <v>6770</v>
      </c>
      <c r="AI493" s="82">
        <v>6856</v>
      </c>
      <c r="AJ493" s="82">
        <v>6797</v>
      </c>
      <c r="AK493" s="82">
        <v>6225</v>
      </c>
      <c r="AL493" s="82">
        <v>6412</v>
      </c>
      <c r="AM493" s="82">
        <v>5351</v>
      </c>
      <c r="AN493" s="82">
        <v>6387</v>
      </c>
      <c r="AO493" s="82">
        <v>4265</v>
      </c>
      <c r="AP493" s="82">
        <v>5362</v>
      </c>
      <c r="AQ493" s="82">
        <v>7013</v>
      </c>
      <c r="AR493" s="82">
        <v>6646</v>
      </c>
      <c r="AS493" s="82">
        <v>7038</v>
      </c>
      <c r="AT493" s="82">
        <v>7475</v>
      </c>
      <c r="AU493" s="82">
        <v>6766</v>
      </c>
      <c r="AV493" s="82">
        <v>7065</v>
      </c>
      <c r="AW493" s="83">
        <v>6717</v>
      </c>
      <c r="AX493" s="82">
        <v>7092.6580037083659</v>
      </c>
      <c r="AY493" s="82">
        <v>6901.2163058177784</v>
      </c>
      <c r="AZ493" s="82">
        <v>7108.9074291042916</v>
      </c>
      <c r="BA493" s="82">
        <v>6988.1061522472764</v>
      </c>
      <c r="BB493" s="82">
        <v>7146.1748145856127</v>
      </c>
      <c r="BC493" s="82">
        <v>7051.3404927209394</v>
      </c>
      <c r="BD493" s="82">
        <v>7288.1522417105825</v>
      </c>
      <c r="BE493" s="82">
        <v>7281.8858527484263</v>
      </c>
      <c r="BF493" s="82">
        <v>7490.7418477418705</v>
      </c>
      <c r="BG493" s="82">
        <v>7384.7050877191059</v>
      </c>
      <c r="BH493" s="82">
        <v>7668.8924261439142</v>
      </c>
      <c r="BI493" s="82">
        <v>7632.3822202762494</v>
      </c>
      <c r="BJ493" s="82">
        <v>6871.3820674754861</v>
      </c>
      <c r="BK493" s="82">
        <v>5886.4165642847238</v>
      </c>
      <c r="BL493" s="82">
        <v>6126.3510233843745</v>
      </c>
      <c r="BM493" s="82">
        <v>7099.0538828092576</v>
      </c>
      <c r="BN493" s="82">
        <v>8158.609898713732</v>
      </c>
      <c r="BO493" s="82">
        <v>8166.5909515414232</v>
      </c>
      <c r="BP493" s="82">
        <v>8550.20168745509</v>
      </c>
      <c r="BQ493" s="82">
        <v>8560.292012412252</v>
      </c>
      <c r="BR493" s="82"/>
      <c r="BS493" s="82">
        <v>661</v>
      </c>
      <c r="BT493" s="82">
        <v>809</v>
      </c>
      <c r="BU493" s="82">
        <v>1054</v>
      </c>
      <c r="BV493" s="82">
        <v>1495</v>
      </c>
      <c r="BW493" s="82">
        <v>1776</v>
      </c>
      <c r="BX493" s="82">
        <v>1688</v>
      </c>
      <c r="BY493" s="82">
        <v>1751</v>
      </c>
      <c r="BZ493" s="82">
        <v>2160</v>
      </c>
      <c r="CA493" s="82">
        <v>3538</v>
      </c>
      <c r="CB493" s="82">
        <v>3405</v>
      </c>
      <c r="CC493" s="82">
        <v>3572</v>
      </c>
      <c r="CD493" s="82">
        <v>2976</v>
      </c>
      <c r="CE493" s="82">
        <v>3843</v>
      </c>
      <c r="CF493" s="82">
        <v>5012</v>
      </c>
      <c r="CG493" s="82">
        <v>5875</v>
      </c>
      <c r="CH493" s="82">
        <v>6538</v>
      </c>
      <c r="CI493" s="82">
        <v>6255</v>
      </c>
      <c r="CJ493" s="82">
        <v>6449</v>
      </c>
      <c r="CK493" s="82">
        <v>8193</v>
      </c>
      <c r="CL493" s="82">
        <v>9057</v>
      </c>
      <c r="CM493" s="82">
        <v>9964</v>
      </c>
      <c r="CN493" s="82">
        <v>10645</v>
      </c>
      <c r="CO493" s="82">
        <v>11997</v>
      </c>
      <c r="CP493" s="82">
        <v>12612</v>
      </c>
      <c r="CQ493" s="82">
        <v>12849</v>
      </c>
      <c r="CR493" s="82">
        <v>13626</v>
      </c>
      <c r="CS493" s="82">
        <v>13022</v>
      </c>
      <c r="CT493" s="82">
        <v>11762.999999999996</v>
      </c>
      <c r="CU493" s="82">
        <v>10652</v>
      </c>
      <c r="CV493" s="82">
        <v>12375</v>
      </c>
      <c r="CW493" s="82">
        <v>13684</v>
      </c>
      <c r="CX493" s="82">
        <v>14241</v>
      </c>
      <c r="CY493" s="83">
        <v>13782</v>
      </c>
      <c r="CZ493" s="82">
        <v>13993.874309526143</v>
      </c>
      <c r="DA493" s="82">
        <v>14097.013581351572</v>
      </c>
      <c r="DB493" s="82">
        <v>14197.515307306552</v>
      </c>
      <c r="DC493" s="82">
        <v>14570.038094459007</v>
      </c>
      <c r="DD493" s="82">
        <v>14875.446935460976</v>
      </c>
      <c r="DE493" s="82">
        <v>15301.274646420163</v>
      </c>
      <c r="DF493" s="82">
        <v>12757.79863176021</v>
      </c>
      <c r="DG493" s="82">
        <v>13225.404906193635</v>
      </c>
      <c r="DH493" s="82">
        <v>16325.200850255158</v>
      </c>
      <c r="DI493" s="82">
        <v>17110.49369986734</v>
      </c>
    </row>
    <row r="494" spans="1:113" collapsed="1">
      <c r="C494" s="55"/>
      <c r="D494" s="55"/>
      <c r="E494" s="55"/>
      <c r="F494" s="55"/>
      <c r="G494" s="55"/>
      <c r="H494" s="55"/>
      <c r="I494" s="55"/>
      <c r="J494" s="55"/>
      <c r="K494" s="55"/>
      <c r="L494" s="55"/>
      <c r="M494" s="55"/>
      <c r="N494" s="55"/>
      <c r="O494" s="55"/>
      <c r="P494" s="55"/>
      <c r="Q494" s="55"/>
      <c r="R494" s="55"/>
      <c r="S494" s="55"/>
      <c r="T494" s="55"/>
      <c r="U494" s="55"/>
      <c r="V494" s="55"/>
      <c r="W494" s="55"/>
      <c r="X494" s="55"/>
      <c r="Y494" s="55"/>
      <c r="Z494" s="55"/>
      <c r="AA494" s="55"/>
      <c r="AB494" s="55"/>
      <c r="AC494" s="55"/>
      <c r="AD494" s="55"/>
      <c r="AE494" s="55"/>
      <c r="AF494" s="55"/>
      <c r="AG494" s="55"/>
      <c r="AH494" s="55"/>
      <c r="AI494" s="55"/>
      <c r="AJ494" s="55"/>
      <c r="AK494" s="55"/>
      <c r="AL494" s="55"/>
      <c r="AM494" s="55"/>
      <c r="AN494" s="55"/>
      <c r="AO494" s="55"/>
      <c r="AP494" s="55"/>
      <c r="AQ494" s="55"/>
      <c r="AR494" s="55"/>
      <c r="AS494" s="55"/>
      <c r="AT494" s="55"/>
      <c r="AU494" s="55"/>
      <c r="AV494" s="55"/>
      <c r="AW494" s="56"/>
      <c r="AX494" s="55"/>
      <c r="AY494" s="55"/>
      <c r="AZ494" s="55"/>
      <c r="BA494" s="55"/>
      <c r="BB494" s="55"/>
      <c r="BC494" s="55"/>
      <c r="BD494" s="55"/>
      <c r="BE494" s="55"/>
      <c r="BF494" s="55"/>
      <c r="BG494" s="55"/>
      <c r="BH494" s="55"/>
      <c r="BI494" s="55"/>
      <c r="BJ494" s="55"/>
      <c r="BK494" s="55"/>
      <c r="BL494" s="55"/>
      <c r="BM494" s="55"/>
      <c r="BN494" s="55"/>
      <c r="BO494" s="55"/>
      <c r="BP494" s="55"/>
      <c r="BQ494" s="55"/>
      <c r="BR494" s="55"/>
      <c r="BS494" s="55"/>
      <c r="BT494" s="55"/>
      <c r="BU494" s="55"/>
      <c r="BV494" s="55"/>
      <c r="BW494" s="55"/>
      <c r="BX494" s="55"/>
      <c r="BY494" s="55"/>
      <c r="BZ494" s="55"/>
      <c r="CA494" s="55"/>
      <c r="CB494" s="55"/>
      <c r="CC494" s="55"/>
      <c r="CD494" s="55"/>
      <c r="CE494" s="55"/>
      <c r="CF494" s="55"/>
      <c r="CG494" s="55"/>
      <c r="CH494" s="55"/>
      <c r="CI494" s="55"/>
      <c r="CJ494" s="55"/>
      <c r="CK494" s="55"/>
      <c r="CL494" s="55"/>
      <c r="CM494" s="55"/>
      <c r="CN494" s="55"/>
      <c r="CO494" s="55"/>
      <c r="CP494" s="55"/>
      <c r="CQ494" s="55"/>
      <c r="CR494" s="55"/>
      <c r="CS494" s="55"/>
      <c r="CT494" s="55"/>
      <c r="CU494" s="55"/>
      <c r="CV494" s="55"/>
      <c r="CW494" s="55"/>
      <c r="CX494" s="55"/>
      <c r="CY494" s="56"/>
      <c r="CZ494" s="55"/>
      <c r="DA494" s="55"/>
      <c r="DB494" s="55"/>
    </row>
    <row r="495" spans="1:113" s="36" customFormat="1" collapsed="1">
      <c r="A495" s="1" t="s">
        <v>361</v>
      </c>
      <c r="B495" s="2" t="s">
        <v>76</v>
      </c>
      <c r="C495" s="79">
        <v>-506.5</v>
      </c>
      <c r="D495" s="79">
        <v>-487</v>
      </c>
      <c r="E495" s="79">
        <v>-464</v>
      </c>
      <c r="F495" s="79">
        <v>-436</v>
      </c>
      <c r="G495" s="79">
        <v>-568</v>
      </c>
      <c r="H495" s="79">
        <v>-657</v>
      </c>
      <c r="I495" s="79">
        <v>-715</v>
      </c>
      <c r="J495" s="79">
        <v>-768</v>
      </c>
      <c r="K495" s="79">
        <v>-782</v>
      </c>
      <c r="L495" s="79">
        <v>-794</v>
      </c>
      <c r="M495" s="79">
        <v>-842</v>
      </c>
      <c r="N495" s="79">
        <v>-950</v>
      </c>
      <c r="O495" s="79">
        <v>-914</v>
      </c>
      <c r="P495" s="79">
        <v>-945</v>
      </c>
      <c r="Q495" s="79">
        <v>-760</v>
      </c>
      <c r="R495" s="79">
        <v>-642</v>
      </c>
      <c r="S495" s="79">
        <v>-959</v>
      </c>
      <c r="T495" s="79">
        <v>-1122</v>
      </c>
      <c r="U495" s="79">
        <v>-1207</v>
      </c>
      <c r="V495" s="79">
        <v>-1296</v>
      </c>
      <c r="W495" s="79">
        <v>-1399</v>
      </c>
      <c r="X495" s="79">
        <v>-1402</v>
      </c>
      <c r="Y495" s="79">
        <v>-1392</v>
      </c>
      <c r="Z495" s="79">
        <v>-1476</v>
      </c>
      <c r="AA495" s="79">
        <v>-1533</v>
      </c>
      <c r="AB495" s="79">
        <v>-1695</v>
      </c>
      <c r="AC495" s="79">
        <v>-1619</v>
      </c>
      <c r="AD495" s="79">
        <v>-1774</v>
      </c>
      <c r="AE495" s="79">
        <v>-1738</v>
      </c>
      <c r="AF495" s="79">
        <v>-1870</v>
      </c>
      <c r="AG495" s="79">
        <v>-1792</v>
      </c>
      <c r="AH495" s="79">
        <v>-1934</v>
      </c>
      <c r="AI495" s="79">
        <v>-1935</v>
      </c>
      <c r="AJ495" s="79">
        <v>-1999</v>
      </c>
      <c r="AK495" s="79">
        <v>-1934</v>
      </c>
      <c r="AL495" s="79">
        <v>-1806.1230724469015</v>
      </c>
      <c r="AM495" s="79">
        <v>-1526.8769275530988</v>
      </c>
      <c r="AN495" s="79">
        <v>-1794</v>
      </c>
      <c r="AO495" s="79">
        <v>-1228</v>
      </c>
      <c r="AP495" s="79">
        <v>-1620</v>
      </c>
      <c r="AQ495" s="79">
        <v>-1970</v>
      </c>
      <c r="AR495" s="79">
        <v>-1946</v>
      </c>
      <c r="AS495" s="79">
        <v>-2077</v>
      </c>
      <c r="AT495" s="79">
        <v>-2159</v>
      </c>
      <c r="AU495" s="79">
        <v>-1938</v>
      </c>
      <c r="AV495" s="79">
        <v>-2204</v>
      </c>
      <c r="AW495" s="80">
        <v>-2114</v>
      </c>
      <c r="AX495" s="79">
        <v>-2163.3067407068943</v>
      </c>
      <c r="AY495" s="79">
        <v>-2104.9157799017144</v>
      </c>
      <c r="AZ495" s="79">
        <v>-2168.2629209531774</v>
      </c>
      <c r="BA495" s="79">
        <v>-2131.4177472010883</v>
      </c>
      <c r="BB495" s="79">
        <v>-2179.6297154860749</v>
      </c>
      <c r="BC495" s="79">
        <v>-2150.7046315989128</v>
      </c>
      <c r="BD495" s="79">
        <v>-2222.9337525575202</v>
      </c>
      <c r="BE495" s="79">
        <v>-2221.0224632390959</v>
      </c>
      <c r="BF495" s="79">
        <v>-2284.7248977241834</v>
      </c>
      <c r="BG495" s="79">
        <v>-2252.382997466194</v>
      </c>
      <c r="BH495" s="79">
        <v>-2339.0619807918388</v>
      </c>
      <c r="BI495" s="79">
        <v>-2327.9261309571475</v>
      </c>
      <c r="BJ495" s="79">
        <v>-2095.8161435064458</v>
      </c>
      <c r="BK495" s="79">
        <v>-1795.3952700761658</v>
      </c>
      <c r="BL495" s="79">
        <v>-1868.576837892738</v>
      </c>
      <c r="BM495" s="79">
        <v>-2165.2575253583568</v>
      </c>
      <c r="BN495" s="79">
        <v>-2488.4289894504154</v>
      </c>
      <c r="BO495" s="79">
        <v>-2490.8632623804024</v>
      </c>
      <c r="BP495" s="79">
        <v>-2607.8670274534784</v>
      </c>
      <c r="BQ495" s="79">
        <v>-2610.9446420775503</v>
      </c>
      <c r="BR495" s="79"/>
      <c r="BS495" s="79">
        <v>-252.1</v>
      </c>
      <c r="BT495" s="79">
        <v>-366</v>
      </c>
      <c r="BU495" s="79">
        <v>-372</v>
      </c>
      <c r="BV495" s="79">
        <v>-512</v>
      </c>
      <c r="BW495" s="79">
        <v>-657</v>
      </c>
      <c r="BX495" s="79">
        <v>-610</v>
      </c>
      <c r="BY495" s="79">
        <v>-661</v>
      </c>
      <c r="BZ495" s="79">
        <v>-738</v>
      </c>
      <c r="CA495" s="79">
        <v>-858</v>
      </c>
      <c r="CB495" s="79">
        <v>-1016</v>
      </c>
      <c r="CC495" s="79">
        <v>-951</v>
      </c>
      <c r="CD495" s="79">
        <v>-1004</v>
      </c>
      <c r="CE495" s="79">
        <v>-1372</v>
      </c>
      <c r="CF495" s="79">
        <v>-1550</v>
      </c>
      <c r="CG495" s="79">
        <v>-1636</v>
      </c>
      <c r="CH495" s="79">
        <v>-1864</v>
      </c>
      <c r="CI495" s="79">
        <v>-1705</v>
      </c>
      <c r="CJ495" s="79">
        <v>-1601</v>
      </c>
      <c r="CK495" s="79">
        <v>-2329</v>
      </c>
      <c r="CL495" s="79">
        <v>-2695</v>
      </c>
      <c r="CM495" s="79">
        <v>-2794</v>
      </c>
      <c r="CN495" s="79">
        <v>-3009</v>
      </c>
      <c r="CO495" s="79">
        <v>-3314</v>
      </c>
      <c r="CP495" s="79">
        <v>-3512</v>
      </c>
      <c r="CQ495" s="79">
        <v>-3662</v>
      </c>
      <c r="CR495" s="79">
        <v>-3869</v>
      </c>
      <c r="CS495" s="79">
        <v>-3933</v>
      </c>
      <c r="CT495" s="79">
        <v>-3333</v>
      </c>
      <c r="CU495" s="79">
        <v>-3022</v>
      </c>
      <c r="CV495" s="79">
        <v>-3590</v>
      </c>
      <c r="CW495" s="79">
        <v>-4023</v>
      </c>
      <c r="CX495" s="79">
        <v>-4097</v>
      </c>
      <c r="CY495" s="80">
        <v>-4318</v>
      </c>
      <c r="CZ495" s="79">
        <v>-4268.2225206086086</v>
      </c>
      <c r="DA495" s="79">
        <v>-4299.6806681542657</v>
      </c>
      <c r="DB495" s="79">
        <v>-4330.3343470849877</v>
      </c>
      <c r="DC495" s="79">
        <v>-4443.9562157966157</v>
      </c>
      <c r="DD495" s="79">
        <v>-4537.1078951903773</v>
      </c>
      <c r="DE495" s="79">
        <v>-4666.9881117489858</v>
      </c>
      <c r="DF495" s="79">
        <v>-3891.2114135826114</v>
      </c>
      <c r="DG495" s="79">
        <v>-4033.8343632510951</v>
      </c>
      <c r="DH495" s="79">
        <v>-4979.2922518308178</v>
      </c>
      <c r="DI495" s="79">
        <v>-5218.8116695310291</v>
      </c>
    </row>
    <row r="496" spans="1:113" outlineLevel="1">
      <c r="C496" s="55"/>
      <c r="D496" s="55"/>
      <c r="E496" s="55"/>
      <c r="F496" s="55"/>
      <c r="G496" s="55"/>
      <c r="H496" s="55"/>
      <c r="I496" s="55"/>
      <c r="J496" s="55"/>
      <c r="K496" s="55"/>
      <c r="L496" s="55"/>
      <c r="M496" s="55"/>
      <c r="N496" s="55"/>
      <c r="O496" s="55"/>
      <c r="P496" s="55"/>
      <c r="Q496" s="55"/>
      <c r="R496" s="55"/>
      <c r="S496" s="55"/>
      <c r="T496" s="55"/>
      <c r="U496" s="55"/>
      <c r="V496" s="55"/>
      <c r="W496" s="55"/>
      <c r="X496" s="55"/>
      <c r="Y496" s="55"/>
      <c r="Z496" s="55"/>
      <c r="AA496" s="55"/>
      <c r="AB496" s="55"/>
      <c r="AC496" s="55"/>
      <c r="AD496" s="55"/>
      <c r="AE496" s="55"/>
      <c r="AF496" s="55"/>
      <c r="AG496" s="55"/>
      <c r="AH496" s="55"/>
      <c r="AI496" s="55"/>
      <c r="AJ496" s="55"/>
      <c r="AK496" s="55"/>
      <c r="AL496" s="55"/>
      <c r="AM496" s="55"/>
      <c r="AN496" s="55"/>
      <c r="AO496" s="55"/>
      <c r="AP496" s="55"/>
      <c r="AQ496" s="55"/>
      <c r="AR496" s="55"/>
      <c r="AS496" s="55"/>
      <c r="AT496" s="55"/>
      <c r="AU496" s="55"/>
      <c r="AV496" s="55"/>
      <c r="AW496" s="56"/>
      <c r="AX496" s="55"/>
      <c r="AY496" s="55"/>
      <c r="AZ496" s="55"/>
      <c r="BA496" s="55"/>
      <c r="BB496" s="55"/>
      <c r="BC496" s="55"/>
      <c r="BD496" s="55"/>
      <c r="BE496" s="55"/>
      <c r="BF496" s="55"/>
      <c r="BG496" s="55"/>
      <c r="BH496" s="55"/>
      <c r="BI496" s="55"/>
      <c r="BJ496" s="55"/>
      <c r="BK496" s="55"/>
      <c r="BL496" s="55"/>
      <c r="BM496" s="55"/>
      <c r="BN496" s="55"/>
      <c r="BO496" s="55"/>
      <c r="BP496" s="55"/>
      <c r="BQ496" s="55"/>
      <c r="BR496" s="55"/>
      <c r="BS496" s="55"/>
      <c r="BT496" s="55"/>
      <c r="BU496" s="55"/>
      <c r="BV496" s="55"/>
      <c r="BW496" s="55"/>
      <c r="BX496" s="55"/>
      <c r="BY496" s="55"/>
      <c r="BZ496" s="55"/>
      <c r="CA496" s="55"/>
      <c r="CB496" s="55"/>
      <c r="CC496" s="55"/>
      <c r="CD496" s="55"/>
      <c r="CE496" s="55"/>
      <c r="CF496" s="55"/>
      <c r="CG496" s="55"/>
      <c r="CH496" s="55"/>
      <c r="CI496" s="55"/>
      <c r="CJ496" s="55"/>
      <c r="CK496" s="55"/>
      <c r="CL496" s="55"/>
      <c r="CM496" s="55"/>
      <c r="CN496" s="55"/>
      <c r="CO496" s="55"/>
      <c r="CP496" s="55"/>
      <c r="CQ496" s="55"/>
      <c r="CR496" s="55"/>
      <c r="CS496" s="55"/>
      <c r="CT496" s="55"/>
      <c r="CU496" s="55"/>
      <c r="CV496" s="55"/>
      <c r="CW496" s="55"/>
      <c r="CX496" s="55"/>
      <c r="CY496" s="56"/>
      <c r="CZ496" s="55"/>
      <c r="DA496" s="55"/>
      <c r="DB496" s="55"/>
    </row>
    <row r="497" spans="1:113" outlineLevel="1">
      <c r="A497" s="1" t="s">
        <v>688</v>
      </c>
      <c r="B497" s="19" t="s">
        <v>77</v>
      </c>
      <c r="C497" s="53">
        <v>-499</v>
      </c>
      <c r="D497" s="53">
        <v>-469</v>
      </c>
      <c r="E497" s="53">
        <v>-447</v>
      </c>
      <c r="F497" s="53">
        <v>-413</v>
      </c>
      <c r="G497" s="53">
        <v>-545</v>
      </c>
      <c r="H497" s="53">
        <v>-614</v>
      </c>
      <c r="I497" s="53">
        <v>-648</v>
      </c>
      <c r="J497" s="53">
        <v>-702</v>
      </c>
      <c r="K497" s="53">
        <v>-707</v>
      </c>
      <c r="L497" s="53">
        <v>-776</v>
      </c>
      <c r="M497" s="53">
        <v>-829</v>
      </c>
      <c r="N497" s="53">
        <v>-909</v>
      </c>
      <c r="O497" s="53">
        <v>-873</v>
      </c>
      <c r="P497" s="53">
        <v>-905</v>
      </c>
      <c r="Q497" s="53">
        <v>-721</v>
      </c>
      <c r="R497" s="53">
        <v>-600</v>
      </c>
      <c r="S497" s="53">
        <v>-914</v>
      </c>
      <c r="T497" s="53">
        <v>-1089</v>
      </c>
      <c r="U497" s="53">
        <v>-1177</v>
      </c>
      <c r="V497" s="53">
        <v>-1265</v>
      </c>
      <c r="W497" s="53">
        <v>-1372</v>
      </c>
      <c r="X497" s="53">
        <v>-1373</v>
      </c>
      <c r="Y497" s="53">
        <v>-1363</v>
      </c>
      <c r="Z497" s="53">
        <v>-1448</v>
      </c>
      <c r="AA497" s="164">
        <v>-1505</v>
      </c>
      <c r="AB497" s="164">
        <v>-1662</v>
      </c>
      <c r="AC497" s="164">
        <v>-1588</v>
      </c>
      <c r="AD497" s="164">
        <v>-1740</v>
      </c>
      <c r="AE497" s="164">
        <v>-1699</v>
      </c>
      <c r="AF497" s="164">
        <v>-1827</v>
      </c>
      <c r="AG497" s="164">
        <v>-1765</v>
      </c>
      <c r="AH497" s="164">
        <v>-1925</v>
      </c>
      <c r="AI497" s="164">
        <v>-1924</v>
      </c>
      <c r="AJ497" s="164">
        <v>-1993</v>
      </c>
      <c r="AK497" s="164">
        <v>-1927</v>
      </c>
      <c r="AL497" s="164">
        <v>-1800.1230724469015</v>
      </c>
      <c r="AM497" s="164">
        <v>-1520.8769275530988</v>
      </c>
      <c r="AN497" s="164">
        <v>-1794</v>
      </c>
      <c r="AO497" s="164">
        <v>-1228</v>
      </c>
      <c r="AP497" s="164">
        <v>-1620</v>
      </c>
      <c r="AQ497" s="164">
        <v>-1970</v>
      </c>
      <c r="AR497" s="164">
        <v>-1946</v>
      </c>
      <c r="AS497" s="164">
        <v>-2077</v>
      </c>
      <c r="AT497" s="164">
        <v>-2159</v>
      </c>
      <c r="AU497" s="164">
        <v>-1938</v>
      </c>
      <c r="AV497" s="164">
        <v>-2204</v>
      </c>
      <c r="AW497" s="171">
        <v>-2114</v>
      </c>
      <c r="AX497" s="55">
        <v>-2163.3067407068943</v>
      </c>
      <c r="AY497" s="55">
        <v>-2104.9157799017144</v>
      </c>
      <c r="AZ497" s="55">
        <v>-2168.2629209531774</v>
      </c>
      <c r="BA497" s="55">
        <v>-2131.4177472010883</v>
      </c>
      <c r="BB497" s="55">
        <v>-2179.6297154860749</v>
      </c>
      <c r="BC497" s="55">
        <v>-2150.7046315989128</v>
      </c>
      <c r="BD497" s="55">
        <v>-2222.9337525575202</v>
      </c>
      <c r="BE497" s="55">
        <v>-2221.0224632390959</v>
      </c>
      <c r="BF497" s="55">
        <v>-2284.7248977241834</v>
      </c>
      <c r="BG497" s="55">
        <v>-2252.382997466194</v>
      </c>
      <c r="BH497" s="55">
        <v>-2339.0619807918388</v>
      </c>
      <c r="BI497" s="55">
        <v>-2327.9261309571475</v>
      </c>
      <c r="BJ497" s="55">
        <v>-2095.8161435064458</v>
      </c>
      <c r="BK497" s="55">
        <v>-1795.3952700761658</v>
      </c>
      <c r="BL497" s="55">
        <v>-1868.576837892738</v>
      </c>
      <c r="BM497" s="55">
        <v>-2165.2575253583568</v>
      </c>
      <c r="BN497" s="55">
        <v>-2488.4289894504154</v>
      </c>
      <c r="BO497" s="55">
        <v>-2490.8632623804024</v>
      </c>
      <c r="BP497" s="55">
        <v>-2607.8670274534784</v>
      </c>
      <c r="BQ497" s="55">
        <v>-2610.9446420775503</v>
      </c>
      <c r="BR497" s="55"/>
      <c r="BS497" s="53">
        <v>-245</v>
      </c>
      <c r="BT497" s="53">
        <v>-356</v>
      </c>
      <c r="BU497" s="53">
        <v>-358</v>
      </c>
      <c r="BV497" s="53">
        <v>-493</v>
      </c>
      <c r="BW497" s="53">
        <v>-635</v>
      </c>
      <c r="BX497" s="53">
        <v>-588</v>
      </c>
      <c r="BY497" s="53">
        <v>-641</v>
      </c>
      <c r="BZ497" s="53">
        <v>-714</v>
      </c>
      <c r="CA497" s="53">
        <v>-820</v>
      </c>
      <c r="CB497" s="53">
        <v>-993</v>
      </c>
      <c r="CC497" s="55">
        <v>-916</v>
      </c>
      <c r="CD497" s="55">
        <v>-958</v>
      </c>
      <c r="CE497" s="55">
        <v>-1262</v>
      </c>
      <c r="CF497" s="55">
        <v>-1409</v>
      </c>
      <c r="CG497" s="55">
        <v>-1605</v>
      </c>
      <c r="CH497" s="55">
        <v>-1782</v>
      </c>
      <c r="CI497" s="55">
        <v>-1626</v>
      </c>
      <c r="CJ497" s="55">
        <v>-1514</v>
      </c>
      <c r="CK497" s="55">
        <v>-2266</v>
      </c>
      <c r="CL497" s="55">
        <v>-2637</v>
      </c>
      <c r="CM497" s="55">
        <v>-2736</v>
      </c>
      <c r="CN497" s="55">
        <v>-2953</v>
      </c>
      <c r="CO497" s="55">
        <v>-3250</v>
      </c>
      <c r="CP497" s="55">
        <v>-3439</v>
      </c>
      <c r="CQ497" s="55">
        <v>-3592</v>
      </c>
      <c r="CR497" s="55">
        <v>-3849</v>
      </c>
      <c r="CS497" s="55">
        <v>-3920</v>
      </c>
      <c r="CT497" s="55">
        <v>-3321</v>
      </c>
      <c r="CU497" s="55">
        <v>-3022</v>
      </c>
      <c r="CV497" s="55">
        <v>-3590</v>
      </c>
      <c r="CW497" s="55">
        <v>-4023</v>
      </c>
      <c r="CX497" s="55">
        <v>-4097</v>
      </c>
      <c r="CY497" s="56">
        <v>-4318</v>
      </c>
      <c r="CZ497" s="55">
        <v>-4268.2225206086086</v>
      </c>
      <c r="DA497" s="55">
        <v>-4299.6806681542657</v>
      </c>
      <c r="DB497" s="55">
        <v>-4330.3343470849877</v>
      </c>
      <c r="DC497" s="55">
        <v>-4443.9562157966157</v>
      </c>
      <c r="DD497" s="55">
        <v>-4537.1078951903773</v>
      </c>
      <c r="DE497" s="55">
        <v>-4666.9881117489858</v>
      </c>
      <c r="DF497" s="55">
        <v>-3891.2114135826114</v>
      </c>
      <c r="DG497" s="55">
        <v>-4033.8343632510951</v>
      </c>
      <c r="DH497" s="55">
        <v>-4979.2922518308178</v>
      </c>
      <c r="DI497" s="55">
        <v>-5218.8116695310291</v>
      </c>
    </row>
    <row r="498" spans="1:113" outlineLevel="1">
      <c r="A498" s="1" t="s">
        <v>689</v>
      </c>
      <c r="B498" s="19" t="s">
        <v>160</v>
      </c>
      <c r="C498" s="55">
        <v>-3</v>
      </c>
      <c r="D498" s="55">
        <v>-1</v>
      </c>
      <c r="E498" s="55">
        <v>0</v>
      </c>
      <c r="F498" s="55">
        <v>-3</v>
      </c>
      <c r="G498" s="55">
        <v>-3</v>
      </c>
      <c r="H498" s="55">
        <v>-4</v>
      </c>
      <c r="I498" s="55">
        <v>-5</v>
      </c>
      <c r="J498" s="55">
        <v>-5</v>
      </c>
      <c r="K498" s="55">
        <v>-5</v>
      </c>
      <c r="L498" s="55">
        <v>-18</v>
      </c>
      <c r="M498" s="55">
        <v>-13</v>
      </c>
      <c r="N498" s="55">
        <v>-13</v>
      </c>
      <c r="O498" s="55">
        <v>-14</v>
      </c>
      <c r="P498" s="55">
        <v>-15</v>
      </c>
      <c r="Q498" s="55">
        <v>-16</v>
      </c>
      <c r="R498" s="55">
        <v>-16</v>
      </c>
      <c r="S498" s="55">
        <v>-14</v>
      </c>
      <c r="T498" s="55">
        <v>-9</v>
      </c>
      <c r="U498" s="55">
        <v>-7</v>
      </c>
      <c r="V498" s="55">
        <v>-9</v>
      </c>
      <c r="W498" s="55">
        <v>-7</v>
      </c>
      <c r="X498" s="55">
        <v>-9</v>
      </c>
      <c r="Y498" s="55">
        <v>-7</v>
      </c>
      <c r="Z498" s="55">
        <v>-8</v>
      </c>
      <c r="AA498" s="55">
        <v>-8</v>
      </c>
      <c r="AB498" s="55">
        <v>-10</v>
      </c>
      <c r="AC498" s="55">
        <v>-9</v>
      </c>
      <c r="AD498" s="55">
        <v>-10</v>
      </c>
      <c r="AE498" s="55">
        <v>-11</v>
      </c>
      <c r="AF498" s="55">
        <v>-11</v>
      </c>
      <c r="AG498" s="55">
        <v>-9</v>
      </c>
      <c r="AH498" s="55">
        <v>-9</v>
      </c>
      <c r="AI498" s="55">
        <v>-11</v>
      </c>
      <c r="AJ498" s="55">
        <v>-6</v>
      </c>
      <c r="AK498" s="55">
        <v>-7</v>
      </c>
      <c r="AL498" s="55">
        <v>-6</v>
      </c>
      <c r="AM498" s="55">
        <v>-6</v>
      </c>
      <c r="AN498" s="55">
        <v>0</v>
      </c>
      <c r="AO498" s="55">
        <v>0</v>
      </c>
      <c r="AP498" s="55">
        <v>0</v>
      </c>
      <c r="AQ498" s="55">
        <v>0</v>
      </c>
      <c r="AR498" s="55">
        <v>0</v>
      </c>
      <c r="AS498" s="55">
        <v>0</v>
      </c>
      <c r="AT498" s="55">
        <v>0</v>
      </c>
      <c r="AU498" s="55">
        <v>0</v>
      </c>
      <c r="AV498" s="55">
        <v>0</v>
      </c>
      <c r="AW498" s="56">
        <v>0</v>
      </c>
      <c r="AX498" s="55">
        <v>0</v>
      </c>
      <c r="AY498" s="55">
        <v>0</v>
      </c>
      <c r="AZ498" s="55">
        <v>0</v>
      </c>
      <c r="BA498" s="55">
        <v>0</v>
      </c>
      <c r="BB498" s="55">
        <v>0</v>
      </c>
      <c r="BC498" s="55">
        <v>0</v>
      </c>
      <c r="BD498" s="55">
        <v>0</v>
      </c>
      <c r="BE498" s="55">
        <v>0</v>
      </c>
      <c r="BF498" s="55">
        <v>0</v>
      </c>
      <c r="BG498" s="55">
        <v>0</v>
      </c>
      <c r="BH498" s="55">
        <v>0</v>
      </c>
      <c r="BI498" s="55">
        <v>0</v>
      </c>
      <c r="BJ498" s="55">
        <v>0</v>
      </c>
      <c r="BK498" s="55">
        <v>0</v>
      </c>
      <c r="BL498" s="55">
        <v>0</v>
      </c>
      <c r="BM498" s="55">
        <v>0</v>
      </c>
      <c r="BN498" s="55">
        <v>0</v>
      </c>
      <c r="BO498" s="55">
        <v>0</v>
      </c>
      <c r="BP498" s="55">
        <v>0</v>
      </c>
      <c r="BQ498" s="55">
        <v>0</v>
      </c>
      <c r="BR498" s="55"/>
      <c r="BS498" s="55">
        <v>-7.0999999999999943</v>
      </c>
      <c r="BT498" s="55">
        <v>-10</v>
      </c>
      <c r="BU498" s="55">
        <v>-14</v>
      </c>
      <c r="BV498" s="55">
        <v>-19</v>
      </c>
      <c r="BW498" s="55">
        <v>-22</v>
      </c>
      <c r="BX498" s="55">
        <v>-22</v>
      </c>
      <c r="BY498" s="55">
        <v>-20</v>
      </c>
      <c r="BZ498" s="55">
        <v>-24</v>
      </c>
      <c r="CA498" s="55">
        <v>-38</v>
      </c>
      <c r="CB498" s="55">
        <v>-14</v>
      </c>
      <c r="CC498" s="55">
        <v>-1</v>
      </c>
      <c r="CD498" s="55">
        <v>-6</v>
      </c>
      <c r="CE498" s="55">
        <v>-9</v>
      </c>
      <c r="CF498" s="55">
        <v>-10</v>
      </c>
      <c r="CG498" s="55">
        <v>-31</v>
      </c>
      <c r="CH498" s="55">
        <v>-27</v>
      </c>
      <c r="CI498" s="55">
        <v>-31</v>
      </c>
      <c r="CJ498" s="55">
        <v>-30</v>
      </c>
      <c r="CK498" s="55">
        <v>-16</v>
      </c>
      <c r="CL498" s="55">
        <v>-16</v>
      </c>
      <c r="CM498" s="55">
        <v>-16</v>
      </c>
      <c r="CN498" s="55">
        <v>-16</v>
      </c>
      <c r="CO498" s="55">
        <v>-19</v>
      </c>
      <c r="CP498" s="55">
        <v>-21</v>
      </c>
      <c r="CQ498" s="55">
        <v>-20</v>
      </c>
      <c r="CR498" s="55">
        <v>-20</v>
      </c>
      <c r="CS498" s="55">
        <v>-13</v>
      </c>
      <c r="CT498" s="55">
        <v>-12</v>
      </c>
      <c r="CU498" s="55">
        <v>0</v>
      </c>
      <c r="CV498" s="55">
        <v>0</v>
      </c>
      <c r="CW498" s="55">
        <v>0</v>
      </c>
      <c r="CX498" s="55">
        <v>0</v>
      </c>
      <c r="CY498" s="56">
        <v>0</v>
      </c>
      <c r="CZ498" s="55">
        <v>0</v>
      </c>
      <c r="DA498" s="55">
        <v>0</v>
      </c>
      <c r="DB498" s="55">
        <v>0</v>
      </c>
      <c r="DC498" s="55">
        <v>0</v>
      </c>
      <c r="DD498" s="55">
        <v>0</v>
      </c>
      <c r="DE498" s="55">
        <v>0</v>
      </c>
      <c r="DF498" s="55">
        <v>0</v>
      </c>
      <c r="DG498" s="55">
        <v>0</v>
      </c>
      <c r="DH498" s="55">
        <v>0</v>
      </c>
      <c r="DI498" s="55">
        <v>0</v>
      </c>
    </row>
    <row r="499" spans="1:113" outlineLevel="1">
      <c r="A499" s="1" t="s">
        <v>690</v>
      </c>
      <c r="B499" s="19" t="s">
        <v>258</v>
      </c>
      <c r="C499" s="53">
        <v>-4.5</v>
      </c>
      <c r="D499" s="53">
        <v>-17</v>
      </c>
      <c r="E499" s="53">
        <v>-17</v>
      </c>
      <c r="F499" s="53">
        <v>-20</v>
      </c>
      <c r="G499" s="53">
        <v>-20</v>
      </c>
      <c r="H499" s="53">
        <v>-39</v>
      </c>
      <c r="I499" s="53">
        <v>-62</v>
      </c>
      <c r="J499" s="53">
        <v>-61</v>
      </c>
      <c r="K499" s="53">
        <v>-70</v>
      </c>
      <c r="L499" s="53">
        <v>0</v>
      </c>
      <c r="M499" s="53">
        <v>0</v>
      </c>
      <c r="N499" s="53">
        <v>-28</v>
      </c>
      <c r="O499" s="53">
        <v>-27</v>
      </c>
      <c r="P499" s="53">
        <v>-25</v>
      </c>
      <c r="Q499" s="53">
        <v>-23</v>
      </c>
      <c r="R499" s="53">
        <v>-26</v>
      </c>
      <c r="S499" s="53">
        <v>-31</v>
      </c>
      <c r="T499" s="53">
        <v>-24</v>
      </c>
      <c r="U499" s="53">
        <v>-23</v>
      </c>
      <c r="V499" s="53">
        <v>-22</v>
      </c>
      <c r="W499" s="53">
        <v>-20</v>
      </c>
      <c r="X499" s="53">
        <v>-20</v>
      </c>
      <c r="Y499" s="53">
        <v>-22</v>
      </c>
      <c r="Z499" s="53">
        <v>-20</v>
      </c>
      <c r="AA499" s="164">
        <v>-20</v>
      </c>
      <c r="AB499" s="164">
        <v>-23</v>
      </c>
      <c r="AC499" s="164">
        <v>-22</v>
      </c>
      <c r="AD499" s="164">
        <v>-24</v>
      </c>
      <c r="AE499" s="164">
        <v>-28</v>
      </c>
      <c r="AF499" s="164">
        <v>-32</v>
      </c>
      <c r="AG499" s="164">
        <v>-18</v>
      </c>
      <c r="AH499" s="164">
        <v>0</v>
      </c>
      <c r="AI499" s="164">
        <v>0</v>
      </c>
      <c r="AJ499" s="164">
        <v>0</v>
      </c>
      <c r="AK499" s="164">
        <v>0</v>
      </c>
      <c r="AL499" s="164">
        <v>0</v>
      </c>
      <c r="AM499" s="164">
        <v>0</v>
      </c>
      <c r="AN499" s="164">
        <v>0</v>
      </c>
      <c r="AO499" s="164">
        <v>0</v>
      </c>
      <c r="AP499" s="164">
        <v>0</v>
      </c>
      <c r="AQ499" s="164">
        <v>0</v>
      </c>
      <c r="AR499" s="164">
        <v>0</v>
      </c>
      <c r="AS499" s="164">
        <v>0</v>
      </c>
      <c r="AT499" s="164">
        <v>0</v>
      </c>
      <c r="AU499" s="164">
        <v>0</v>
      </c>
      <c r="AV499" s="164">
        <v>0</v>
      </c>
      <c r="AW499" s="171">
        <v>0</v>
      </c>
      <c r="AX499" s="55">
        <v>0</v>
      </c>
      <c r="AY499" s="55">
        <v>0</v>
      </c>
      <c r="AZ499" s="55">
        <v>0</v>
      </c>
      <c r="BA499" s="55">
        <v>0</v>
      </c>
      <c r="BB499" s="55">
        <v>0</v>
      </c>
      <c r="BC499" s="55">
        <v>0</v>
      </c>
      <c r="BD499" s="55">
        <v>0</v>
      </c>
      <c r="BE499" s="55">
        <v>0</v>
      </c>
      <c r="BF499" s="55">
        <v>0</v>
      </c>
      <c r="BG499" s="55">
        <v>0</v>
      </c>
      <c r="BH499" s="55">
        <v>0</v>
      </c>
      <c r="BI499" s="55">
        <v>0</v>
      </c>
      <c r="BJ499" s="55">
        <v>0</v>
      </c>
      <c r="BK499" s="55">
        <v>0</v>
      </c>
      <c r="BL499" s="55">
        <v>0</v>
      </c>
      <c r="BM499" s="55">
        <v>0</v>
      </c>
      <c r="BN499" s="55">
        <v>0</v>
      </c>
      <c r="BO499" s="55">
        <v>0</v>
      </c>
      <c r="BP499" s="55">
        <v>0</v>
      </c>
      <c r="BQ499" s="55">
        <v>0</v>
      </c>
      <c r="BR499" s="55"/>
      <c r="BS499" s="53">
        <v>0</v>
      </c>
      <c r="BT499" s="53">
        <v>0</v>
      </c>
      <c r="BU499" s="53">
        <v>0</v>
      </c>
      <c r="BV499" s="53">
        <v>0</v>
      </c>
      <c r="BW499" s="53">
        <v>0</v>
      </c>
      <c r="BX499" s="53">
        <v>0</v>
      </c>
      <c r="BY499" s="53">
        <v>0</v>
      </c>
      <c r="BZ499" s="53">
        <v>0</v>
      </c>
      <c r="CA499" s="53">
        <v>0</v>
      </c>
      <c r="CB499" s="53">
        <v>-9</v>
      </c>
      <c r="CC499" s="55">
        <v>-34</v>
      </c>
      <c r="CD499" s="55">
        <v>-40</v>
      </c>
      <c r="CE499" s="55">
        <v>-101</v>
      </c>
      <c r="CF499" s="55">
        <v>-131</v>
      </c>
      <c r="CG499" s="55">
        <v>0</v>
      </c>
      <c r="CH499" s="55">
        <v>-55</v>
      </c>
      <c r="CI499" s="55">
        <v>-48</v>
      </c>
      <c r="CJ499" s="55">
        <v>-57</v>
      </c>
      <c r="CK499" s="55">
        <v>-47</v>
      </c>
      <c r="CL499" s="55">
        <v>-42</v>
      </c>
      <c r="CM499" s="55">
        <v>-42</v>
      </c>
      <c r="CN499" s="55">
        <v>-40</v>
      </c>
      <c r="CO499" s="55">
        <v>-45</v>
      </c>
      <c r="CP499" s="55">
        <v>-52</v>
      </c>
      <c r="CQ499" s="55">
        <v>-50</v>
      </c>
      <c r="CR499" s="55">
        <v>0</v>
      </c>
      <c r="CS499" s="55">
        <v>0</v>
      </c>
      <c r="CT499" s="55">
        <v>0</v>
      </c>
      <c r="CU499" s="55">
        <v>0</v>
      </c>
      <c r="CV499" s="55">
        <v>0</v>
      </c>
      <c r="CW499" s="55">
        <v>0</v>
      </c>
      <c r="CX499" s="55">
        <v>0</v>
      </c>
      <c r="CY499" s="56">
        <v>0</v>
      </c>
      <c r="CZ499" s="55">
        <v>0</v>
      </c>
      <c r="DA499" s="55">
        <v>0</v>
      </c>
      <c r="DB499" s="55">
        <v>0</v>
      </c>
      <c r="DC499" s="55">
        <v>0</v>
      </c>
      <c r="DD499" s="55">
        <v>0</v>
      </c>
      <c r="DE499" s="55">
        <v>0</v>
      </c>
      <c r="DF499" s="55">
        <v>0</v>
      </c>
      <c r="DG499" s="55">
        <v>0</v>
      </c>
      <c r="DH499" s="55">
        <v>0</v>
      </c>
      <c r="DI499" s="55">
        <v>0</v>
      </c>
    </row>
    <row r="500" spans="1:113" s="24" customFormat="1" outlineLevel="1">
      <c r="A500" s="1" t="s">
        <v>329</v>
      </c>
      <c r="B500" s="24" t="s">
        <v>168</v>
      </c>
      <c r="C500" s="82">
        <v>-506.5</v>
      </c>
      <c r="D500" s="82">
        <v>-487</v>
      </c>
      <c r="E500" s="82">
        <v>-464</v>
      </c>
      <c r="F500" s="82">
        <v>-436</v>
      </c>
      <c r="G500" s="82">
        <v>-568</v>
      </c>
      <c r="H500" s="82">
        <v>-657</v>
      </c>
      <c r="I500" s="82">
        <v>-715</v>
      </c>
      <c r="J500" s="82">
        <v>-768</v>
      </c>
      <c r="K500" s="82">
        <v>-782</v>
      </c>
      <c r="L500" s="82">
        <v>-794</v>
      </c>
      <c r="M500" s="82">
        <v>-842</v>
      </c>
      <c r="N500" s="82">
        <v>-950</v>
      </c>
      <c r="O500" s="82">
        <v>-914</v>
      </c>
      <c r="P500" s="82">
        <v>-945</v>
      </c>
      <c r="Q500" s="82">
        <v>-760</v>
      </c>
      <c r="R500" s="82">
        <v>-642</v>
      </c>
      <c r="S500" s="82">
        <v>-959</v>
      </c>
      <c r="T500" s="82">
        <v>-1122</v>
      </c>
      <c r="U500" s="82">
        <v>-1207</v>
      </c>
      <c r="V500" s="82">
        <v>-1296</v>
      </c>
      <c r="W500" s="82">
        <v>-1399</v>
      </c>
      <c r="X500" s="82">
        <v>-1402</v>
      </c>
      <c r="Y500" s="82">
        <v>-1392</v>
      </c>
      <c r="Z500" s="82">
        <v>-1476</v>
      </c>
      <c r="AA500" s="82">
        <v>-1533</v>
      </c>
      <c r="AB500" s="82">
        <v>-1695</v>
      </c>
      <c r="AC500" s="82">
        <v>-1619</v>
      </c>
      <c r="AD500" s="82">
        <v>-1774</v>
      </c>
      <c r="AE500" s="82">
        <v>-1738</v>
      </c>
      <c r="AF500" s="82">
        <v>-1870</v>
      </c>
      <c r="AG500" s="82">
        <v>-1792</v>
      </c>
      <c r="AH500" s="82">
        <v>-1934</v>
      </c>
      <c r="AI500" s="82">
        <v>-1935</v>
      </c>
      <c r="AJ500" s="82">
        <v>-1999</v>
      </c>
      <c r="AK500" s="82">
        <v>-1934</v>
      </c>
      <c r="AL500" s="82">
        <v>-1806.1230724469015</v>
      </c>
      <c r="AM500" s="82">
        <v>-1526.8769275530988</v>
      </c>
      <c r="AN500" s="82">
        <v>-1794</v>
      </c>
      <c r="AO500" s="82">
        <v>-1228</v>
      </c>
      <c r="AP500" s="82">
        <v>-1620</v>
      </c>
      <c r="AQ500" s="82">
        <v>-1970</v>
      </c>
      <c r="AR500" s="82">
        <v>-1946</v>
      </c>
      <c r="AS500" s="82">
        <v>-2077</v>
      </c>
      <c r="AT500" s="82">
        <v>-2159</v>
      </c>
      <c r="AU500" s="82">
        <v>-1938</v>
      </c>
      <c r="AV500" s="82">
        <v>-2204</v>
      </c>
      <c r="AW500" s="83">
        <v>-2114</v>
      </c>
      <c r="AX500" s="82">
        <v>-2163.3067407068943</v>
      </c>
      <c r="AY500" s="82">
        <v>-2104.9157799017144</v>
      </c>
      <c r="AZ500" s="82">
        <v>-2168.2629209531774</v>
      </c>
      <c r="BA500" s="82">
        <v>-2131.4177472010883</v>
      </c>
      <c r="BB500" s="82">
        <v>-2179.6297154860749</v>
      </c>
      <c r="BC500" s="82">
        <v>-2150.7046315989128</v>
      </c>
      <c r="BD500" s="82">
        <v>-2222.9337525575202</v>
      </c>
      <c r="BE500" s="82">
        <v>-2221.0224632390959</v>
      </c>
      <c r="BF500" s="82">
        <v>-2284.7248977241834</v>
      </c>
      <c r="BG500" s="82">
        <v>-2252.382997466194</v>
      </c>
      <c r="BH500" s="82">
        <v>-2339.0619807918388</v>
      </c>
      <c r="BI500" s="82">
        <v>-2327.9261309571475</v>
      </c>
      <c r="BJ500" s="82">
        <v>-2095.8161435064458</v>
      </c>
      <c r="BK500" s="82">
        <v>-1795.3952700761658</v>
      </c>
      <c r="BL500" s="82">
        <v>-1868.576837892738</v>
      </c>
      <c r="BM500" s="82">
        <v>-2165.2575253583568</v>
      </c>
      <c r="BN500" s="82">
        <v>-2488.4289894504154</v>
      </c>
      <c r="BO500" s="82">
        <v>-2490.8632623804024</v>
      </c>
      <c r="BP500" s="82">
        <v>-2607.8670274534784</v>
      </c>
      <c r="BQ500" s="82">
        <v>-2610.9446420775503</v>
      </c>
      <c r="BR500" s="82"/>
      <c r="BS500" s="82">
        <v>-252.1</v>
      </c>
      <c r="BT500" s="82">
        <v>-366</v>
      </c>
      <c r="BU500" s="82">
        <v>-372</v>
      </c>
      <c r="BV500" s="82">
        <v>-512</v>
      </c>
      <c r="BW500" s="82">
        <v>-657</v>
      </c>
      <c r="BX500" s="82">
        <v>-610</v>
      </c>
      <c r="BY500" s="82">
        <v>-661</v>
      </c>
      <c r="BZ500" s="82">
        <v>-738</v>
      </c>
      <c r="CA500" s="82">
        <v>-858</v>
      </c>
      <c r="CB500" s="82">
        <v>-1016</v>
      </c>
      <c r="CC500" s="82">
        <v>-951</v>
      </c>
      <c r="CD500" s="82">
        <v>-1004</v>
      </c>
      <c r="CE500" s="82">
        <v>-1372</v>
      </c>
      <c r="CF500" s="82">
        <v>-1550</v>
      </c>
      <c r="CG500" s="82">
        <v>-1636</v>
      </c>
      <c r="CH500" s="82">
        <v>-1864</v>
      </c>
      <c r="CI500" s="82">
        <v>-1705</v>
      </c>
      <c r="CJ500" s="82">
        <v>-1601</v>
      </c>
      <c r="CK500" s="82">
        <v>-2329</v>
      </c>
      <c r="CL500" s="82">
        <v>-2695</v>
      </c>
      <c r="CM500" s="82">
        <v>-2794</v>
      </c>
      <c r="CN500" s="82">
        <v>-3009</v>
      </c>
      <c r="CO500" s="82">
        <v>-3314</v>
      </c>
      <c r="CP500" s="82">
        <v>-3512</v>
      </c>
      <c r="CQ500" s="82">
        <v>-3662</v>
      </c>
      <c r="CR500" s="82">
        <v>-3869</v>
      </c>
      <c r="CS500" s="82">
        <v>-3933</v>
      </c>
      <c r="CT500" s="82">
        <v>-3333</v>
      </c>
      <c r="CU500" s="82">
        <v>-3022</v>
      </c>
      <c r="CV500" s="82">
        <v>-3590</v>
      </c>
      <c r="CW500" s="82">
        <v>-4023</v>
      </c>
      <c r="CX500" s="82">
        <v>-4097</v>
      </c>
      <c r="CY500" s="83">
        <v>-4318</v>
      </c>
      <c r="CZ500" s="82">
        <v>-4268.2225206086086</v>
      </c>
      <c r="DA500" s="82">
        <v>-4299.6806681542657</v>
      </c>
      <c r="DB500" s="82">
        <v>-4330.3343470849877</v>
      </c>
      <c r="DC500" s="82">
        <v>-4443.9562157966157</v>
      </c>
      <c r="DD500" s="82">
        <v>-4537.1078951903773</v>
      </c>
      <c r="DE500" s="82">
        <v>-4666.9881117489858</v>
      </c>
      <c r="DF500" s="82">
        <v>-3891.2114135826114</v>
      </c>
      <c r="DG500" s="82">
        <v>-4033.8343632510951</v>
      </c>
      <c r="DH500" s="82">
        <v>-4979.2922518308178</v>
      </c>
      <c r="DI500" s="82">
        <v>-5218.8116695310291</v>
      </c>
    </row>
    <row r="501" spans="1:113" hidden="1" outlineLevel="2">
      <c r="A501" s="1" t="s">
        <v>431</v>
      </c>
      <c r="B501" s="19" t="s">
        <v>854</v>
      </c>
      <c r="C501" s="55">
        <v>0</v>
      </c>
      <c r="D501" s="55">
        <v>0</v>
      </c>
      <c r="E501" s="55">
        <v>0</v>
      </c>
      <c r="F501" s="55">
        <v>0</v>
      </c>
      <c r="G501" s="55">
        <v>0</v>
      </c>
      <c r="H501" s="55">
        <v>0</v>
      </c>
      <c r="I501" s="55">
        <v>0</v>
      </c>
      <c r="J501" s="55">
        <v>0</v>
      </c>
      <c r="K501" s="55">
        <v>0</v>
      </c>
      <c r="L501" s="55">
        <v>0</v>
      </c>
      <c r="M501" s="55">
        <v>0</v>
      </c>
      <c r="N501" s="55">
        <v>0</v>
      </c>
      <c r="O501" s="55">
        <v>0</v>
      </c>
      <c r="P501" s="55">
        <v>0</v>
      </c>
      <c r="Q501" s="55">
        <v>0</v>
      </c>
      <c r="R501" s="55">
        <v>0</v>
      </c>
      <c r="S501" s="55">
        <v>0</v>
      </c>
      <c r="T501" s="55">
        <v>0</v>
      </c>
      <c r="U501" s="55">
        <v>0</v>
      </c>
      <c r="V501" s="55">
        <v>0</v>
      </c>
      <c r="W501" s="55">
        <v>0</v>
      </c>
      <c r="X501" s="55">
        <v>0</v>
      </c>
      <c r="Y501" s="55">
        <v>0</v>
      </c>
      <c r="Z501" s="55">
        <v>0</v>
      </c>
      <c r="AA501" s="55">
        <v>0</v>
      </c>
      <c r="AB501" s="55">
        <v>0</v>
      </c>
      <c r="AC501" s="55">
        <v>0</v>
      </c>
      <c r="AD501" s="55">
        <v>0</v>
      </c>
      <c r="AE501" s="55">
        <v>0</v>
      </c>
      <c r="AF501" s="55">
        <v>0</v>
      </c>
      <c r="AG501" s="55">
        <v>0</v>
      </c>
      <c r="AH501" s="55">
        <v>0</v>
      </c>
      <c r="AI501" s="55">
        <v>0</v>
      </c>
      <c r="AJ501" s="55">
        <v>0</v>
      </c>
      <c r="AK501" s="55">
        <v>0</v>
      </c>
      <c r="AL501" s="55">
        <v>0</v>
      </c>
      <c r="AM501" s="55">
        <v>0</v>
      </c>
      <c r="AN501" s="55">
        <v>0</v>
      </c>
      <c r="AO501" s="55">
        <v>0</v>
      </c>
      <c r="AP501" s="55">
        <v>0</v>
      </c>
      <c r="AQ501" s="55">
        <v>0</v>
      </c>
      <c r="AR501" s="55">
        <v>0</v>
      </c>
      <c r="AS501" s="55">
        <v>0</v>
      </c>
      <c r="AT501" s="55">
        <v>0</v>
      </c>
      <c r="AU501" s="55">
        <v>0</v>
      </c>
      <c r="AV501" s="55">
        <v>0</v>
      </c>
      <c r="AW501" s="56">
        <v>0</v>
      </c>
      <c r="AX501" s="55">
        <v>0</v>
      </c>
      <c r="AY501" s="55">
        <v>0</v>
      </c>
      <c r="AZ501" s="55">
        <v>0</v>
      </c>
      <c r="BA501" s="55">
        <v>0</v>
      </c>
      <c r="BB501" s="55">
        <v>0</v>
      </c>
      <c r="BC501" s="55">
        <v>0</v>
      </c>
      <c r="BD501" s="55">
        <v>0</v>
      </c>
      <c r="BE501" s="55">
        <v>0</v>
      </c>
      <c r="BF501" s="55">
        <v>0</v>
      </c>
      <c r="BG501" s="55">
        <v>0</v>
      </c>
      <c r="BH501" s="55">
        <v>0</v>
      </c>
      <c r="BI501" s="55">
        <v>0</v>
      </c>
      <c r="BJ501" s="55">
        <v>0</v>
      </c>
      <c r="BK501" s="55">
        <v>0</v>
      </c>
      <c r="BL501" s="55">
        <v>0</v>
      </c>
      <c r="BM501" s="55">
        <v>0</v>
      </c>
      <c r="BN501" s="55">
        <v>0</v>
      </c>
      <c r="BO501" s="55">
        <v>0</v>
      </c>
      <c r="BP501" s="55">
        <v>0</v>
      </c>
      <c r="BQ501" s="55">
        <v>0</v>
      </c>
      <c r="BR501" s="55"/>
      <c r="BS501" s="55">
        <v>0</v>
      </c>
      <c r="BT501" s="55">
        <v>0</v>
      </c>
      <c r="BU501" s="55">
        <v>0</v>
      </c>
      <c r="BV501" s="55">
        <v>0</v>
      </c>
      <c r="BW501" s="55">
        <v>0</v>
      </c>
      <c r="BX501" s="55">
        <v>0</v>
      </c>
      <c r="BY501" s="55">
        <v>0</v>
      </c>
      <c r="BZ501" s="55">
        <v>0</v>
      </c>
      <c r="CA501" s="55">
        <v>0</v>
      </c>
      <c r="CB501" s="55">
        <v>0</v>
      </c>
      <c r="CC501" s="55">
        <v>0</v>
      </c>
      <c r="CD501" s="55">
        <v>0</v>
      </c>
      <c r="CE501" s="55">
        <v>0</v>
      </c>
      <c r="CF501" s="55">
        <v>0</v>
      </c>
      <c r="CG501" s="55">
        <v>0</v>
      </c>
      <c r="CH501" s="55">
        <v>0</v>
      </c>
      <c r="CI501" s="55">
        <v>0</v>
      </c>
      <c r="CJ501" s="55">
        <v>0</v>
      </c>
      <c r="CK501" s="55">
        <v>0</v>
      </c>
      <c r="CL501" s="55">
        <v>0</v>
      </c>
      <c r="CM501" s="55">
        <v>0</v>
      </c>
      <c r="CN501" s="55">
        <v>0</v>
      </c>
      <c r="CO501" s="55">
        <v>0</v>
      </c>
      <c r="CP501" s="55">
        <v>0</v>
      </c>
      <c r="CQ501" s="55">
        <v>0</v>
      </c>
      <c r="CR501" s="55">
        <v>0</v>
      </c>
      <c r="CS501" s="55">
        <v>0</v>
      </c>
      <c r="CT501" s="55">
        <v>0</v>
      </c>
      <c r="CU501" s="55">
        <v>0</v>
      </c>
      <c r="CV501" s="55">
        <v>0</v>
      </c>
      <c r="CW501" s="55">
        <v>0</v>
      </c>
      <c r="CX501" s="55">
        <v>0</v>
      </c>
      <c r="CY501" s="56">
        <v>0</v>
      </c>
      <c r="CZ501" s="55">
        <v>0</v>
      </c>
      <c r="DA501" s="55">
        <v>0</v>
      </c>
      <c r="DB501" s="55">
        <v>0</v>
      </c>
      <c r="DC501" s="55">
        <v>0</v>
      </c>
      <c r="DD501" s="55">
        <v>0</v>
      </c>
      <c r="DE501" s="55">
        <v>0</v>
      </c>
      <c r="DF501" s="55">
        <v>0</v>
      </c>
      <c r="DG501" s="55">
        <v>0</v>
      </c>
      <c r="DH501" s="55">
        <v>0</v>
      </c>
      <c r="DI501" s="55">
        <v>0</v>
      </c>
    </row>
    <row r="502" spans="1:113" hidden="1" outlineLevel="2">
      <c r="A502" s="1" t="s">
        <v>56</v>
      </c>
      <c r="B502" s="19" t="s">
        <v>445</v>
      </c>
      <c r="C502" s="55">
        <v>0</v>
      </c>
      <c r="D502" s="55">
        <v>0</v>
      </c>
      <c r="E502" s="55">
        <v>0</v>
      </c>
      <c r="F502" s="55">
        <v>0</v>
      </c>
      <c r="G502" s="55">
        <v>0</v>
      </c>
      <c r="H502" s="55">
        <v>0</v>
      </c>
      <c r="I502" s="55">
        <v>0</v>
      </c>
      <c r="J502" s="55">
        <v>0</v>
      </c>
      <c r="K502" s="55">
        <v>0</v>
      </c>
      <c r="L502" s="55">
        <v>0</v>
      </c>
      <c r="M502" s="55">
        <v>0</v>
      </c>
      <c r="N502" s="55">
        <v>0</v>
      </c>
      <c r="O502" s="55">
        <v>0</v>
      </c>
      <c r="P502" s="55">
        <v>0</v>
      </c>
      <c r="Q502" s="55">
        <v>0</v>
      </c>
      <c r="R502" s="55">
        <v>0</v>
      </c>
      <c r="S502" s="55">
        <v>0</v>
      </c>
      <c r="T502" s="55">
        <v>0</v>
      </c>
      <c r="U502" s="55">
        <v>0</v>
      </c>
      <c r="V502" s="55">
        <v>0</v>
      </c>
      <c r="W502" s="55">
        <v>0</v>
      </c>
      <c r="X502" s="55">
        <v>0</v>
      </c>
      <c r="Y502" s="55">
        <v>0</v>
      </c>
      <c r="Z502" s="55">
        <v>0</v>
      </c>
      <c r="AA502" s="55">
        <v>0</v>
      </c>
      <c r="AB502" s="55">
        <v>0</v>
      </c>
      <c r="AC502" s="55">
        <v>0</v>
      </c>
      <c r="AD502" s="55">
        <v>0</v>
      </c>
      <c r="AE502" s="55">
        <v>0</v>
      </c>
      <c r="AF502" s="55">
        <v>0</v>
      </c>
      <c r="AG502" s="55">
        <v>0</v>
      </c>
      <c r="AH502" s="55">
        <v>0</v>
      </c>
      <c r="AI502" s="55">
        <v>0</v>
      </c>
      <c r="AJ502" s="55">
        <v>0</v>
      </c>
      <c r="AK502" s="55">
        <v>0</v>
      </c>
      <c r="AL502" s="55">
        <v>0</v>
      </c>
      <c r="AM502" s="55">
        <v>0</v>
      </c>
      <c r="AN502" s="55">
        <v>0</v>
      </c>
      <c r="AO502" s="55">
        <v>0</v>
      </c>
      <c r="AP502" s="55">
        <v>0</v>
      </c>
      <c r="AQ502" s="55">
        <v>0</v>
      </c>
      <c r="AR502" s="55">
        <v>0</v>
      </c>
      <c r="AS502" s="55">
        <v>0</v>
      </c>
      <c r="AT502" s="55">
        <v>0</v>
      </c>
      <c r="AU502" s="55">
        <v>0</v>
      </c>
      <c r="AV502" s="55">
        <v>0</v>
      </c>
      <c r="AW502" s="56">
        <v>0</v>
      </c>
      <c r="AX502" s="55">
        <v>0</v>
      </c>
      <c r="AY502" s="55">
        <v>0</v>
      </c>
      <c r="AZ502" s="55">
        <v>0</v>
      </c>
      <c r="BA502" s="55">
        <v>0</v>
      </c>
      <c r="BB502" s="55">
        <v>0</v>
      </c>
      <c r="BC502" s="55">
        <v>0</v>
      </c>
      <c r="BD502" s="55">
        <v>0</v>
      </c>
      <c r="BE502" s="55">
        <v>0</v>
      </c>
      <c r="BF502" s="55">
        <v>0</v>
      </c>
      <c r="BG502" s="55">
        <v>0</v>
      </c>
      <c r="BH502" s="55">
        <v>0</v>
      </c>
      <c r="BI502" s="55">
        <v>0</v>
      </c>
      <c r="BJ502" s="55">
        <v>0</v>
      </c>
      <c r="BK502" s="55">
        <v>0</v>
      </c>
      <c r="BL502" s="55">
        <v>0</v>
      </c>
      <c r="BM502" s="55">
        <v>0</v>
      </c>
      <c r="BN502" s="55">
        <v>0</v>
      </c>
      <c r="BO502" s="55">
        <v>0</v>
      </c>
      <c r="BP502" s="55">
        <v>0</v>
      </c>
      <c r="BQ502" s="55">
        <v>0</v>
      </c>
      <c r="BR502" s="55"/>
      <c r="BS502" s="55">
        <v>0</v>
      </c>
      <c r="BT502" s="55">
        <v>0</v>
      </c>
      <c r="BU502" s="55">
        <v>0</v>
      </c>
      <c r="BV502" s="55">
        <v>0</v>
      </c>
      <c r="BW502" s="55">
        <v>0</v>
      </c>
      <c r="BX502" s="55">
        <v>0</v>
      </c>
      <c r="BY502" s="55">
        <v>0</v>
      </c>
      <c r="BZ502" s="55">
        <v>0</v>
      </c>
      <c r="CA502" s="55">
        <v>0</v>
      </c>
      <c r="CB502" s="55">
        <v>0</v>
      </c>
      <c r="CC502" s="55">
        <v>0</v>
      </c>
      <c r="CD502" s="55">
        <v>0</v>
      </c>
      <c r="CE502" s="55">
        <v>0</v>
      </c>
      <c r="CF502" s="55">
        <v>0</v>
      </c>
      <c r="CG502" s="55">
        <v>0</v>
      </c>
      <c r="CH502" s="55">
        <v>0</v>
      </c>
      <c r="CI502" s="55">
        <v>0</v>
      </c>
      <c r="CJ502" s="55">
        <v>0</v>
      </c>
      <c r="CK502" s="55">
        <v>0</v>
      </c>
      <c r="CL502" s="55">
        <v>0</v>
      </c>
      <c r="CM502" s="55">
        <v>0</v>
      </c>
      <c r="CN502" s="55">
        <v>0</v>
      </c>
      <c r="CO502" s="55">
        <v>0</v>
      </c>
      <c r="CP502" s="55">
        <v>0</v>
      </c>
      <c r="CQ502" s="55">
        <v>0</v>
      </c>
      <c r="CR502" s="55">
        <v>0</v>
      </c>
      <c r="CS502" s="55">
        <v>0</v>
      </c>
      <c r="CT502" s="55">
        <v>0</v>
      </c>
      <c r="CU502" s="55">
        <v>0</v>
      </c>
      <c r="CV502" s="55">
        <v>0</v>
      </c>
      <c r="CW502" s="55">
        <v>0</v>
      </c>
      <c r="CX502" s="55">
        <v>0</v>
      </c>
      <c r="CY502" s="56">
        <v>0</v>
      </c>
      <c r="CZ502" s="55">
        <v>0</v>
      </c>
      <c r="DA502" s="55">
        <v>0</v>
      </c>
      <c r="DB502" s="55">
        <v>0</v>
      </c>
      <c r="DC502" s="55">
        <v>0</v>
      </c>
      <c r="DD502" s="55">
        <v>0</v>
      </c>
      <c r="DE502" s="55">
        <v>0</v>
      </c>
      <c r="DF502" s="55">
        <v>0</v>
      </c>
      <c r="DG502" s="55">
        <v>0</v>
      </c>
      <c r="DH502" s="55">
        <v>0</v>
      </c>
      <c r="DI502" s="55">
        <v>0</v>
      </c>
    </row>
    <row r="503" spans="1:113" hidden="1" outlineLevel="2">
      <c r="A503" s="1" t="s">
        <v>57</v>
      </c>
      <c r="B503" s="19" t="s">
        <v>369</v>
      </c>
      <c r="C503" s="55">
        <v>0</v>
      </c>
      <c r="D503" s="55">
        <v>0</v>
      </c>
      <c r="E503" s="55">
        <v>0</v>
      </c>
      <c r="F503" s="55">
        <v>0</v>
      </c>
      <c r="G503" s="55">
        <v>0</v>
      </c>
      <c r="H503" s="55">
        <v>0</v>
      </c>
      <c r="I503" s="55">
        <v>0</v>
      </c>
      <c r="J503" s="55">
        <v>0</v>
      </c>
      <c r="K503" s="55">
        <v>0</v>
      </c>
      <c r="L503" s="55">
        <v>0</v>
      </c>
      <c r="M503" s="55">
        <v>0</v>
      </c>
      <c r="N503" s="55">
        <v>0</v>
      </c>
      <c r="O503" s="55">
        <v>0</v>
      </c>
      <c r="P503" s="55">
        <v>0</v>
      </c>
      <c r="Q503" s="55">
        <v>0</v>
      </c>
      <c r="R503" s="55">
        <v>0</v>
      </c>
      <c r="S503" s="55">
        <v>0</v>
      </c>
      <c r="T503" s="55">
        <v>0</v>
      </c>
      <c r="U503" s="55">
        <v>0</v>
      </c>
      <c r="V503" s="55">
        <v>0</v>
      </c>
      <c r="W503" s="55">
        <v>0</v>
      </c>
      <c r="X503" s="55">
        <v>0</v>
      </c>
      <c r="Y503" s="55">
        <v>0</v>
      </c>
      <c r="Z503" s="55">
        <v>0</v>
      </c>
      <c r="AA503" s="55">
        <v>0</v>
      </c>
      <c r="AB503" s="55">
        <v>0</v>
      </c>
      <c r="AC503" s="55">
        <v>0</v>
      </c>
      <c r="AD503" s="55">
        <v>0</v>
      </c>
      <c r="AE503" s="55">
        <v>0</v>
      </c>
      <c r="AF503" s="55">
        <v>0</v>
      </c>
      <c r="AG503" s="55">
        <v>0</v>
      </c>
      <c r="AH503" s="55">
        <v>0</v>
      </c>
      <c r="AI503" s="55">
        <v>0</v>
      </c>
      <c r="AJ503" s="55">
        <v>0</v>
      </c>
      <c r="AK503" s="55">
        <v>0</v>
      </c>
      <c r="AL503" s="55">
        <v>0</v>
      </c>
      <c r="AM503" s="55">
        <v>0</v>
      </c>
      <c r="AN503" s="55">
        <v>0</v>
      </c>
      <c r="AO503" s="55">
        <v>0</v>
      </c>
      <c r="AP503" s="55">
        <v>0</v>
      </c>
      <c r="AQ503" s="55">
        <v>0</v>
      </c>
      <c r="AR503" s="55">
        <v>0</v>
      </c>
      <c r="AS503" s="55">
        <v>0</v>
      </c>
      <c r="AT503" s="55">
        <v>0</v>
      </c>
      <c r="AU503" s="55">
        <v>0</v>
      </c>
      <c r="AV503" s="55">
        <v>0</v>
      </c>
      <c r="AW503" s="56">
        <v>0</v>
      </c>
      <c r="AX503" s="55">
        <v>0</v>
      </c>
      <c r="AY503" s="55">
        <v>0</v>
      </c>
      <c r="AZ503" s="55">
        <v>0</v>
      </c>
      <c r="BA503" s="55">
        <v>0</v>
      </c>
      <c r="BB503" s="55">
        <v>0</v>
      </c>
      <c r="BC503" s="55">
        <v>0</v>
      </c>
      <c r="BD503" s="55">
        <v>0</v>
      </c>
      <c r="BE503" s="55">
        <v>0</v>
      </c>
      <c r="BF503" s="55">
        <v>0</v>
      </c>
      <c r="BG503" s="55">
        <v>0</v>
      </c>
      <c r="BH503" s="55">
        <v>0</v>
      </c>
      <c r="BI503" s="55">
        <v>0</v>
      </c>
      <c r="BJ503" s="55">
        <v>0</v>
      </c>
      <c r="BK503" s="55">
        <v>0</v>
      </c>
      <c r="BL503" s="55">
        <v>0</v>
      </c>
      <c r="BM503" s="55">
        <v>0</v>
      </c>
      <c r="BN503" s="55">
        <v>0</v>
      </c>
      <c r="BO503" s="55">
        <v>0</v>
      </c>
      <c r="BP503" s="55">
        <v>0</v>
      </c>
      <c r="BQ503" s="55">
        <v>0</v>
      </c>
      <c r="BR503" s="55"/>
      <c r="BS503" s="55">
        <v>0</v>
      </c>
      <c r="BT503" s="55">
        <v>0</v>
      </c>
      <c r="BU503" s="55">
        <v>0</v>
      </c>
      <c r="BV503" s="55">
        <v>0</v>
      </c>
      <c r="BW503" s="55">
        <v>0</v>
      </c>
      <c r="BX503" s="55">
        <v>0</v>
      </c>
      <c r="BY503" s="55">
        <v>0</v>
      </c>
      <c r="BZ503" s="55">
        <v>0</v>
      </c>
      <c r="CA503" s="55">
        <v>0</v>
      </c>
      <c r="CB503" s="55">
        <v>0</v>
      </c>
      <c r="CC503" s="55">
        <v>0</v>
      </c>
      <c r="CD503" s="55">
        <v>0</v>
      </c>
      <c r="CE503" s="55">
        <v>0</v>
      </c>
      <c r="CF503" s="55">
        <v>0</v>
      </c>
      <c r="CG503" s="55">
        <v>0</v>
      </c>
      <c r="CH503" s="55">
        <v>0</v>
      </c>
      <c r="CI503" s="55">
        <v>0</v>
      </c>
      <c r="CJ503" s="55">
        <v>0</v>
      </c>
      <c r="CK503" s="55">
        <v>0</v>
      </c>
      <c r="CL503" s="55">
        <v>0</v>
      </c>
      <c r="CM503" s="55">
        <v>0</v>
      </c>
      <c r="CN503" s="55">
        <v>0</v>
      </c>
      <c r="CO503" s="55">
        <v>0</v>
      </c>
      <c r="CP503" s="55">
        <v>0</v>
      </c>
      <c r="CQ503" s="55">
        <v>0</v>
      </c>
      <c r="CR503" s="55">
        <v>0</v>
      </c>
      <c r="CS503" s="55">
        <v>0</v>
      </c>
      <c r="CT503" s="55">
        <v>0</v>
      </c>
      <c r="CU503" s="55">
        <v>0</v>
      </c>
      <c r="CV503" s="55">
        <v>0</v>
      </c>
      <c r="CW503" s="55">
        <v>0</v>
      </c>
      <c r="CX503" s="55">
        <v>0</v>
      </c>
      <c r="CY503" s="56">
        <v>0</v>
      </c>
      <c r="CZ503" s="55">
        <v>0</v>
      </c>
      <c r="DA503" s="55">
        <v>0</v>
      </c>
      <c r="DB503" s="55">
        <v>0</v>
      </c>
      <c r="DC503" s="55">
        <v>0</v>
      </c>
      <c r="DD503" s="55">
        <v>0</v>
      </c>
      <c r="DE503" s="55">
        <v>0</v>
      </c>
      <c r="DF503" s="55">
        <v>0</v>
      </c>
      <c r="DG503" s="55">
        <v>0</v>
      </c>
      <c r="DH503" s="55">
        <v>0</v>
      </c>
      <c r="DI503" s="55">
        <v>0</v>
      </c>
    </row>
    <row r="504" spans="1:113" hidden="1" outlineLevel="2">
      <c r="A504" s="1" t="s">
        <v>691</v>
      </c>
      <c r="B504" s="19" t="s">
        <v>370</v>
      </c>
      <c r="C504" s="55">
        <v>0</v>
      </c>
      <c r="D504" s="55">
        <v>0</v>
      </c>
      <c r="E504" s="55">
        <v>0</v>
      </c>
      <c r="F504" s="55">
        <v>0</v>
      </c>
      <c r="G504" s="55">
        <v>0</v>
      </c>
      <c r="H504" s="55">
        <v>0</v>
      </c>
      <c r="I504" s="55">
        <v>0</v>
      </c>
      <c r="J504" s="55">
        <v>0</v>
      </c>
      <c r="K504" s="55">
        <v>0</v>
      </c>
      <c r="L504" s="55">
        <v>0</v>
      </c>
      <c r="M504" s="55">
        <v>0</v>
      </c>
      <c r="N504" s="55">
        <v>0</v>
      </c>
      <c r="O504" s="55">
        <v>0</v>
      </c>
      <c r="P504" s="55">
        <v>0</v>
      </c>
      <c r="Q504" s="55">
        <v>0</v>
      </c>
      <c r="R504" s="55">
        <v>0</v>
      </c>
      <c r="S504" s="55">
        <v>0</v>
      </c>
      <c r="T504" s="55">
        <v>0</v>
      </c>
      <c r="U504" s="55">
        <v>0</v>
      </c>
      <c r="V504" s="55">
        <v>0</v>
      </c>
      <c r="W504" s="55">
        <v>0</v>
      </c>
      <c r="X504" s="55">
        <v>0</v>
      </c>
      <c r="Y504" s="55">
        <v>0</v>
      </c>
      <c r="Z504" s="55">
        <v>0</v>
      </c>
      <c r="AA504" s="55">
        <v>0</v>
      </c>
      <c r="AB504" s="55">
        <v>0</v>
      </c>
      <c r="AC504" s="55">
        <v>0</v>
      </c>
      <c r="AD504" s="55">
        <v>0</v>
      </c>
      <c r="AE504" s="55">
        <v>0</v>
      </c>
      <c r="AF504" s="55">
        <v>0</v>
      </c>
      <c r="AG504" s="55">
        <v>0</v>
      </c>
      <c r="AH504" s="55">
        <v>0</v>
      </c>
      <c r="AI504" s="55">
        <v>0</v>
      </c>
      <c r="AJ504" s="55">
        <v>0</v>
      </c>
      <c r="AK504" s="55">
        <v>0</v>
      </c>
      <c r="AL504" s="55">
        <v>0</v>
      </c>
      <c r="AM504" s="55">
        <v>0</v>
      </c>
      <c r="AN504" s="55">
        <v>0</v>
      </c>
      <c r="AO504" s="55">
        <v>0</v>
      </c>
      <c r="AP504" s="55">
        <v>0</v>
      </c>
      <c r="AQ504" s="55">
        <v>0</v>
      </c>
      <c r="AR504" s="55">
        <v>0</v>
      </c>
      <c r="AS504" s="55">
        <v>0</v>
      </c>
      <c r="AT504" s="55">
        <v>0</v>
      </c>
      <c r="AU504" s="55">
        <v>0</v>
      </c>
      <c r="AV504" s="55">
        <v>0</v>
      </c>
      <c r="AW504" s="56">
        <v>0</v>
      </c>
      <c r="AX504" s="55">
        <v>0</v>
      </c>
      <c r="AY504" s="55">
        <v>0</v>
      </c>
      <c r="AZ504" s="55">
        <v>0</v>
      </c>
      <c r="BA504" s="55">
        <v>0</v>
      </c>
      <c r="BB504" s="55">
        <v>0</v>
      </c>
      <c r="BC504" s="55">
        <v>0</v>
      </c>
      <c r="BD504" s="55">
        <v>0</v>
      </c>
      <c r="BE504" s="55">
        <v>0</v>
      </c>
      <c r="BF504" s="55">
        <v>0</v>
      </c>
      <c r="BG504" s="55">
        <v>0</v>
      </c>
      <c r="BH504" s="55">
        <v>0</v>
      </c>
      <c r="BI504" s="55">
        <v>0</v>
      </c>
      <c r="BJ504" s="55">
        <v>0</v>
      </c>
      <c r="BK504" s="55">
        <v>0</v>
      </c>
      <c r="BL504" s="55">
        <v>0</v>
      </c>
      <c r="BM504" s="55">
        <v>0</v>
      </c>
      <c r="BN504" s="55">
        <v>0</v>
      </c>
      <c r="BO504" s="55">
        <v>0</v>
      </c>
      <c r="BP504" s="55">
        <v>0</v>
      </c>
      <c r="BQ504" s="55">
        <v>0</v>
      </c>
      <c r="BR504" s="55"/>
      <c r="BS504" s="55">
        <v>0</v>
      </c>
      <c r="BT504" s="55">
        <v>0</v>
      </c>
      <c r="BU504" s="55">
        <v>0</v>
      </c>
      <c r="BV504" s="55">
        <v>0</v>
      </c>
      <c r="BW504" s="55">
        <v>0</v>
      </c>
      <c r="BX504" s="55">
        <v>0</v>
      </c>
      <c r="BY504" s="55">
        <v>0</v>
      </c>
      <c r="BZ504" s="55">
        <v>0</v>
      </c>
      <c r="CA504" s="55">
        <v>0</v>
      </c>
      <c r="CB504" s="55">
        <v>0</v>
      </c>
      <c r="CC504" s="55">
        <v>0</v>
      </c>
      <c r="CD504" s="55">
        <v>0</v>
      </c>
      <c r="CE504" s="55">
        <v>0</v>
      </c>
      <c r="CF504" s="55">
        <v>0</v>
      </c>
      <c r="CG504" s="55">
        <v>0</v>
      </c>
      <c r="CH504" s="55">
        <v>0</v>
      </c>
      <c r="CI504" s="55">
        <v>0</v>
      </c>
      <c r="CJ504" s="55">
        <v>0</v>
      </c>
      <c r="CK504" s="55">
        <v>0</v>
      </c>
      <c r="CL504" s="55">
        <v>0</v>
      </c>
      <c r="CM504" s="55">
        <v>0</v>
      </c>
      <c r="CN504" s="55">
        <v>0</v>
      </c>
      <c r="CO504" s="55">
        <v>0</v>
      </c>
      <c r="CP504" s="55">
        <v>0</v>
      </c>
      <c r="CQ504" s="55">
        <v>0</v>
      </c>
      <c r="CR504" s="55">
        <v>0</v>
      </c>
      <c r="CS504" s="55">
        <v>0</v>
      </c>
      <c r="CT504" s="55">
        <v>0</v>
      </c>
      <c r="CU504" s="55">
        <v>0</v>
      </c>
      <c r="CV504" s="55">
        <v>0</v>
      </c>
      <c r="CW504" s="55">
        <v>0</v>
      </c>
      <c r="CX504" s="55">
        <v>0</v>
      </c>
      <c r="CY504" s="56">
        <v>0</v>
      </c>
      <c r="CZ504" s="55">
        <v>0</v>
      </c>
      <c r="DA504" s="55">
        <v>0</v>
      </c>
      <c r="DB504" s="55">
        <v>0</v>
      </c>
      <c r="DC504" s="55">
        <v>0</v>
      </c>
      <c r="DD504" s="55">
        <v>0</v>
      </c>
      <c r="DE504" s="55">
        <v>0</v>
      </c>
      <c r="DF504" s="55">
        <v>0</v>
      </c>
      <c r="DG504" s="55">
        <v>0</v>
      </c>
      <c r="DH504" s="55">
        <v>0</v>
      </c>
      <c r="DI504" s="55">
        <v>0</v>
      </c>
    </row>
    <row r="505" spans="1:113" hidden="1" outlineLevel="2">
      <c r="A505" s="1" t="s">
        <v>58</v>
      </c>
      <c r="B505" s="19" t="s">
        <v>423</v>
      </c>
      <c r="C505" s="53">
        <v>0</v>
      </c>
      <c r="D505" s="53">
        <v>0</v>
      </c>
      <c r="E505" s="53">
        <v>0</v>
      </c>
      <c r="F505" s="53">
        <v>0</v>
      </c>
      <c r="G505" s="53">
        <v>0</v>
      </c>
      <c r="H505" s="53">
        <v>0</v>
      </c>
      <c r="I505" s="53">
        <v>0</v>
      </c>
      <c r="J505" s="53">
        <v>0</v>
      </c>
      <c r="K505" s="53">
        <v>0</v>
      </c>
      <c r="L505" s="53">
        <v>0</v>
      </c>
      <c r="M505" s="53">
        <v>0</v>
      </c>
      <c r="N505" s="53">
        <v>0</v>
      </c>
      <c r="O505" s="53">
        <v>0</v>
      </c>
      <c r="P505" s="53">
        <v>0</v>
      </c>
      <c r="Q505" s="53">
        <v>0</v>
      </c>
      <c r="R505" s="53">
        <v>0</v>
      </c>
      <c r="S505" s="53">
        <v>0</v>
      </c>
      <c r="T505" s="53">
        <v>0</v>
      </c>
      <c r="U505" s="53">
        <v>0</v>
      </c>
      <c r="V505" s="53">
        <v>0</v>
      </c>
      <c r="W505" s="53">
        <v>0</v>
      </c>
      <c r="X505" s="53">
        <v>0</v>
      </c>
      <c r="Y505" s="53">
        <v>0</v>
      </c>
      <c r="Z505" s="53">
        <v>0</v>
      </c>
      <c r="AA505" s="164">
        <v>0</v>
      </c>
      <c r="AB505" s="164">
        <v>0</v>
      </c>
      <c r="AC505" s="164">
        <v>0</v>
      </c>
      <c r="AD505" s="164">
        <v>0</v>
      </c>
      <c r="AE505" s="164">
        <v>0</v>
      </c>
      <c r="AF505" s="164">
        <v>0</v>
      </c>
      <c r="AG505" s="164">
        <v>0</v>
      </c>
      <c r="AH505" s="164">
        <v>0</v>
      </c>
      <c r="AI505" s="164">
        <v>0</v>
      </c>
      <c r="AJ505" s="164">
        <v>0</v>
      </c>
      <c r="AK505" s="164">
        <v>0</v>
      </c>
      <c r="AL505" s="164">
        <v>0</v>
      </c>
      <c r="AM505" s="164">
        <v>0</v>
      </c>
      <c r="AN505" s="164">
        <v>0</v>
      </c>
      <c r="AO505" s="164">
        <v>0</v>
      </c>
      <c r="AP505" s="164">
        <v>0</v>
      </c>
      <c r="AQ505" s="164">
        <v>0</v>
      </c>
      <c r="AR505" s="164">
        <v>0</v>
      </c>
      <c r="AS505" s="164">
        <v>0</v>
      </c>
      <c r="AT505" s="164">
        <v>0</v>
      </c>
      <c r="AU505" s="164">
        <v>0</v>
      </c>
      <c r="AV505" s="164">
        <v>0</v>
      </c>
      <c r="AW505" s="171">
        <v>0</v>
      </c>
      <c r="AX505" s="54">
        <v>0</v>
      </c>
      <c r="AY505" s="54">
        <v>0</v>
      </c>
      <c r="AZ505" s="54">
        <v>0</v>
      </c>
      <c r="BA505" s="54">
        <v>0</v>
      </c>
      <c r="BB505" s="54">
        <v>0</v>
      </c>
      <c r="BC505" s="54">
        <v>0</v>
      </c>
      <c r="BD505" s="54">
        <v>0</v>
      </c>
      <c r="BE505" s="54">
        <v>0</v>
      </c>
      <c r="BF505" s="54">
        <v>0</v>
      </c>
      <c r="BG505" s="54">
        <v>0</v>
      </c>
      <c r="BH505" s="54">
        <v>0</v>
      </c>
      <c r="BI505" s="54">
        <v>0</v>
      </c>
      <c r="BJ505" s="54">
        <v>0</v>
      </c>
      <c r="BK505" s="54">
        <v>0</v>
      </c>
      <c r="BL505" s="54">
        <v>0</v>
      </c>
      <c r="BM505" s="54">
        <v>0</v>
      </c>
      <c r="BN505" s="54">
        <v>0</v>
      </c>
      <c r="BO505" s="54">
        <v>0</v>
      </c>
      <c r="BP505" s="54">
        <v>0</v>
      </c>
      <c r="BQ505" s="54">
        <v>0</v>
      </c>
      <c r="BR505" s="55"/>
      <c r="BS505" s="53"/>
      <c r="BT505" s="53"/>
      <c r="BU505" s="53"/>
      <c r="BV505" s="53"/>
      <c r="BW505" s="53"/>
      <c r="BX505" s="53"/>
      <c r="BY505" s="53"/>
      <c r="BZ505" s="53"/>
      <c r="CA505" s="53">
        <v>0</v>
      </c>
      <c r="CB505" s="53">
        <v>0</v>
      </c>
      <c r="CC505" s="55">
        <v>0</v>
      </c>
      <c r="CD505" s="55">
        <v>0</v>
      </c>
      <c r="CE505" s="55">
        <v>0</v>
      </c>
      <c r="CF505" s="55">
        <v>0</v>
      </c>
      <c r="CG505" s="55">
        <v>0</v>
      </c>
      <c r="CH505" s="55">
        <v>0</v>
      </c>
      <c r="CI505" s="55">
        <v>0</v>
      </c>
      <c r="CJ505" s="55">
        <v>0</v>
      </c>
      <c r="CK505" s="55">
        <v>0</v>
      </c>
      <c r="CL505" s="55">
        <v>0</v>
      </c>
      <c r="CM505" s="55">
        <v>0</v>
      </c>
      <c r="CN505" s="55">
        <v>0</v>
      </c>
      <c r="CO505" s="55">
        <v>0</v>
      </c>
      <c r="CP505" s="55">
        <v>0</v>
      </c>
      <c r="CQ505" s="55">
        <v>0</v>
      </c>
      <c r="CR505" s="55">
        <v>0</v>
      </c>
      <c r="CS505" s="55">
        <v>0</v>
      </c>
      <c r="CT505" s="55">
        <v>0</v>
      </c>
      <c r="CU505" s="55">
        <v>0</v>
      </c>
      <c r="CV505" s="55">
        <v>0</v>
      </c>
      <c r="CW505" s="55">
        <v>0</v>
      </c>
      <c r="CX505" s="55">
        <v>0</v>
      </c>
      <c r="CY505" s="56">
        <v>0</v>
      </c>
      <c r="CZ505" s="55">
        <v>0</v>
      </c>
      <c r="DA505" s="55">
        <v>0</v>
      </c>
      <c r="DB505" s="55">
        <v>0</v>
      </c>
      <c r="DC505" s="55">
        <v>0</v>
      </c>
      <c r="DD505" s="55">
        <v>0</v>
      </c>
      <c r="DE505" s="55">
        <v>0</v>
      </c>
      <c r="DF505" s="55">
        <v>0</v>
      </c>
      <c r="DG505" s="55">
        <v>0</v>
      </c>
      <c r="DH505" s="55">
        <v>0</v>
      </c>
      <c r="DI505" s="55">
        <v>0</v>
      </c>
    </row>
    <row r="506" spans="1:113" s="24" customFormat="1" hidden="1" outlineLevel="2">
      <c r="A506" s="1" t="s">
        <v>59</v>
      </c>
      <c r="B506" s="24" t="s">
        <v>265</v>
      </c>
      <c r="C506" s="569">
        <v>-506.5</v>
      </c>
      <c r="D506" s="569">
        <v>-487</v>
      </c>
      <c r="E506" s="569">
        <v>-464</v>
      </c>
      <c r="F506" s="569">
        <v>-436</v>
      </c>
      <c r="G506" s="569">
        <v>-568</v>
      </c>
      <c r="H506" s="81">
        <v>-657</v>
      </c>
      <c r="I506" s="81">
        <v>-715</v>
      </c>
      <c r="J506" s="81">
        <v>-768</v>
      </c>
      <c r="K506" s="81">
        <v>-782</v>
      </c>
      <c r="L506" s="81">
        <v>-794</v>
      </c>
      <c r="M506" s="81">
        <v>-842</v>
      </c>
      <c r="N506" s="81">
        <v>-950</v>
      </c>
      <c r="O506" s="81">
        <v>-914</v>
      </c>
      <c r="P506" s="81">
        <v>-945</v>
      </c>
      <c r="Q506" s="81">
        <v>-760</v>
      </c>
      <c r="R506" s="81">
        <v>-642</v>
      </c>
      <c r="S506" s="81">
        <v>-959</v>
      </c>
      <c r="T506" s="81">
        <v>-1122</v>
      </c>
      <c r="U506" s="81">
        <v>-1207</v>
      </c>
      <c r="V506" s="81">
        <v>-1296</v>
      </c>
      <c r="W506" s="81">
        <v>-1399</v>
      </c>
      <c r="X506" s="81">
        <v>-1402</v>
      </c>
      <c r="Y506" s="81">
        <v>-1392</v>
      </c>
      <c r="Z506" s="81">
        <v>-1476</v>
      </c>
      <c r="AA506" s="166">
        <v>-1533</v>
      </c>
      <c r="AB506" s="166">
        <v>-1695</v>
      </c>
      <c r="AC506" s="166">
        <v>-1619</v>
      </c>
      <c r="AD506" s="166">
        <v>-1774</v>
      </c>
      <c r="AE506" s="166">
        <v>-1738</v>
      </c>
      <c r="AF506" s="166">
        <v>-1870</v>
      </c>
      <c r="AG506" s="166">
        <v>-1792</v>
      </c>
      <c r="AH506" s="166">
        <v>-1934</v>
      </c>
      <c r="AI506" s="166">
        <v>-1935</v>
      </c>
      <c r="AJ506" s="166">
        <v>-1999</v>
      </c>
      <c r="AK506" s="166">
        <v>-1934</v>
      </c>
      <c r="AL506" s="166">
        <v>-1806.1230724469015</v>
      </c>
      <c r="AM506" s="166">
        <v>-1526.8769275530988</v>
      </c>
      <c r="AN506" s="166">
        <v>-1794</v>
      </c>
      <c r="AO506" s="166">
        <v>-1228</v>
      </c>
      <c r="AP506" s="166">
        <v>-1620</v>
      </c>
      <c r="AQ506" s="166">
        <v>-1970</v>
      </c>
      <c r="AR506" s="166">
        <v>-1946</v>
      </c>
      <c r="AS506" s="166">
        <v>-2077</v>
      </c>
      <c r="AT506" s="166">
        <v>-2159</v>
      </c>
      <c r="AU506" s="166">
        <v>-1938</v>
      </c>
      <c r="AV506" s="166">
        <v>-2204</v>
      </c>
      <c r="AW506" s="167">
        <v>-2114</v>
      </c>
      <c r="AX506" s="82">
        <v>-2163.3067407068943</v>
      </c>
      <c r="AY506" s="82">
        <v>-2104.9157799017144</v>
      </c>
      <c r="AZ506" s="82">
        <v>-2168.2629209531774</v>
      </c>
      <c r="BA506" s="82">
        <v>-2131.4177472010883</v>
      </c>
      <c r="BB506" s="82">
        <v>-2179.6297154860749</v>
      </c>
      <c r="BC506" s="82">
        <v>-2150.7046315989128</v>
      </c>
      <c r="BD506" s="82">
        <v>-2222.9337525575202</v>
      </c>
      <c r="BE506" s="82">
        <v>-2221.0224632390959</v>
      </c>
      <c r="BF506" s="82">
        <v>-2284.7248977241834</v>
      </c>
      <c r="BG506" s="82">
        <v>-2252.382997466194</v>
      </c>
      <c r="BH506" s="82">
        <v>-2339.0619807918388</v>
      </c>
      <c r="BI506" s="82">
        <v>-2327.9261309571475</v>
      </c>
      <c r="BJ506" s="82">
        <v>-2095.8161435064458</v>
      </c>
      <c r="BK506" s="82">
        <v>-1795.3952700761658</v>
      </c>
      <c r="BL506" s="82">
        <v>-1868.576837892738</v>
      </c>
      <c r="BM506" s="82">
        <v>-2165.2575253583568</v>
      </c>
      <c r="BN506" s="82">
        <v>-2488.4289894504154</v>
      </c>
      <c r="BO506" s="82">
        <v>-2490.8632623804024</v>
      </c>
      <c r="BP506" s="82">
        <v>-2607.8670274534784</v>
      </c>
      <c r="BQ506" s="82">
        <v>-2610.9446420775503</v>
      </c>
      <c r="BR506" s="82"/>
      <c r="BS506" s="81">
        <v>-252.1</v>
      </c>
      <c r="BT506" s="81">
        <v>-366</v>
      </c>
      <c r="BU506" s="81">
        <v>-372</v>
      </c>
      <c r="BV506" s="81">
        <v>-512</v>
      </c>
      <c r="BW506" s="81">
        <v>-657</v>
      </c>
      <c r="BX506" s="81">
        <v>-610</v>
      </c>
      <c r="BY506" s="81">
        <v>-661</v>
      </c>
      <c r="BZ506" s="81">
        <v>-738</v>
      </c>
      <c r="CA506" s="81">
        <v>-858</v>
      </c>
      <c r="CB506" s="81">
        <v>-1016</v>
      </c>
      <c r="CC506" s="82">
        <v>-951</v>
      </c>
      <c r="CD506" s="82">
        <v>-1004</v>
      </c>
      <c r="CE506" s="82">
        <v>-1372</v>
      </c>
      <c r="CF506" s="82">
        <v>-1550</v>
      </c>
      <c r="CG506" s="82">
        <v>-1636</v>
      </c>
      <c r="CH506" s="82">
        <v>-1864</v>
      </c>
      <c r="CI506" s="82">
        <v>-1705</v>
      </c>
      <c r="CJ506" s="82">
        <v>-1601</v>
      </c>
      <c r="CK506" s="82">
        <v>-2329</v>
      </c>
      <c r="CL506" s="82">
        <v>-2695</v>
      </c>
      <c r="CM506" s="82">
        <v>-2794</v>
      </c>
      <c r="CN506" s="82">
        <v>-3009</v>
      </c>
      <c r="CO506" s="82">
        <v>-3314</v>
      </c>
      <c r="CP506" s="82">
        <v>-3512</v>
      </c>
      <c r="CQ506" s="82">
        <v>-3662</v>
      </c>
      <c r="CR506" s="82">
        <v>-3869</v>
      </c>
      <c r="CS506" s="82">
        <v>-3933</v>
      </c>
      <c r="CT506" s="82">
        <v>-3333</v>
      </c>
      <c r="CU506" s="82">
        <v>-3022</v>
      </c>
      <c r="CV506" s="82">
        <v>-3590</v>
      </c>
      <c r="CW506" s="82">
        <v>-4023</v>
      </c>
      <c r="CX506" s="82">
        <v>-4097</v>
      </c>
      <c r="CY506" s="83">
        <v>-4318</v>
      </c>
      <c r="CZ506" s="82">
        <v>-4268.2225206086086</v>
      </c>
      <c r="DA506" s="82">
        <v>-4299.6806681542657</v>
      </c>
      <c r="DB506" s="82">
        <v>-4330.3343470849877</v>
      </c>
      <c r="DC506" s="82">
        <v>-4443.9562157966157</v>
      </c>
      <c r="DD506" s="82">
        <v>-4537.1078951903773</v>
      </c>
      <c r="DE506" s="82">
        <v>-4666.9881117489858</v>
      </c>
      <c r="DF506" s="82">
        <v>-3891.2114135826114</v>
      </c>
      <c r="DG506" s="82">
        <v>-4033.8343632510951</v>
      </c>
      <c r="DH506" s="82">
        <v>-4979.2922518308178</v>
      </c>
      <c r="DI506" s="82">
        <v>-5218.8116695310291</v>
      </c>
    </row>
    <row r="507" spans="1:113" hidden="1" outlineLevel="2">
      <c r="A507" s="1" t="s">
        <v>327</v>
      </c>
      <c r="B507" s="19" t="s">
        <v>526</v>
      </c>
      <c r="C507" s="55">
        <v>4.5</v>
      </c>
      <c r="D507" s="55">
        <v>17</v>
      </c>
      <c r="E507" s="55">
        <v>17</v>
      </c>
      <c r="F507" s="55">
        <v>20</v>
      </c>
      <c r="G507" s="55">
        <v>20</v>
      </c>
      <c r="H507" s="55">
        <v>39</v>
      </c>
      <c r="I507" s="55">
        <v>62</v>
      </c>
      <c r="J507" s="55">
        <v>-42</v>
      </c>
      <c r="K507" s="55">
        <v>-20</v>
      </c>
      <c r="L507" s="55">
        <v>-178</v>
      </c>
      <c r="M507" s="55">
        <v>-117</v>
      </c>
      <c r="N507" s="55">
        <v>-66</v>
      </c>
      <c r="O507" s="55">
        <v>-138</v>
      </c>
      <c r="P507" s="55">
        <v>-11</v>
      </c>
      <c r="Q507" s="55">
        <v>252</v>
      </c>
      <c r="R507" s="55">
        <v>-68</v>
      </c>
      <c r="S507" s="55">
        <v>-57</v>
      </c>
      <c r="T507" s="55">
        <v>-387</v>
      </c>
      <c r="U507" s="55">
        <v>187</v>
      </c>
      <c r="V507" s="55">
        <v>26</v>
      </c>
      <c r="W507" s="55">
        <v>6</v>
      </c>
      <c r="X507" s="55">
        <v>-35</v>
      </c>
      <c r="Y507" s="55">
        <v>-45</v>
      </c>
      <c r="Z507" s="55">
        <v>-18</v>
      </c>
      <c r="AA507" s="55">
        <v>0</v>
      </c>
      <c r="AB507" s="55">
        <v>-13</v>
      </c>
      <c r="AC507" s="55">
        <v>90</v>
      </c>
      <c r="AD507" s="55">
        <v>-11</v>
      </c>
      <c r="AE507" s="55">
        <v>-26</v>
      </c>
      <c r="AF507" s="55">
        <v>98</v>
      </c>
      <c r="AG507" s="55">
        <v>-62</v>
      </c>
      <c r="AH507" s="55">
        <v>59</v>
      </c>
      <c r="AI507" s="55">
        <v>112</v>
      </c>
      <c r="AJ507" s="55">
        <v>108</v>
      </c>
      <c r="AK507" s="55">
        <v>132</v>
      </c>
      <c r="AL507" s="55">
        <v>-6.8769275530985396</v>
      </c>
      <c r="AM507" s="55">
        <v>147.87692755309877</v>
      </c>
      <c r="AN507" s="55">
        <v>1565</v>
      </c>
      <c r="AO507" s="55">
        <v>397</v>
      </c>
      <c r="AP507" s="55">
        <v>1127</v>
      </c>
      <c r="AQ507" s="55">
        <v>269</v>
      </c>
      <c r="AR507" s="55">
        <v>1170</v>
      </c>
      <c r="AS507" s="55">
        <v>-60</v>
      </c>
      <c r="AT507" s="55">
        <v>-144</v>
      </c>
      <c r="AU507" s="55">
        <v>-2</v>
      </c>
      <c r="AV507" s="55">
        <v>-102</v>
      </c>
      <c r="AW507" s="56">
        <v>32</v>
      </c>
      <c r="AX507" s="54">
        <v>0</v>
      </c>
      <c r="AY507" s="54">
        <v>0</v>
      </c>
      <c r="AZ507" s="54">
        <v>0</v>
      </c>
      <c r="BA507" s="54">
        <v>0</v>
      </c>
      <c r="BB507" s="54">
        <v>0</v>
      </c>
      <c r="BC507" s="54">
        <v>0</v>
      </c>
      <c r="BD507" s="54">
        <v>0</v>
      </c>
      <c r="BE507" s="54">
        <v>0</v>
      </c>
      <c r="BF507" s="54">
        <v>0</v>
      </c>
      <c r="BG507" s="54">
        <v>0</v>
      </c>
      <c r="BH507" s="54">
        <v>0</v>
      </c>
      <c r="BI507" s="54">
        <v>0</v>
      </c>
      <c r="BJ507" s="54">
        <v>0</v>
      </c>
      <c r="BK507" s="54">
        <v>0</v>
      </c>
      <c r="BL507" s="54">
        <v>0</v>
      </c>
      <c r="BM507" s="54">
        <v>0</v>
      </c>
      <c r="BN507" s="54">
        <v>0</v>
      </c>
      <c r="BO507" s="54">
        <v>0</v>
      </c>
      <c r="BP507" s="54">
        <v>0</v>
      </c>
      <c r="BQ507" s="54">
        <v>0</v>
      </c>
      <c r="BR507" s="55"/>
      <c r="BS507" s="55">
        <v>0</v>
      </c>
      <c r="BT507" s="55">
        <v>0</v>
      </c>
      <c r="BU507" s="55">
        <v>0</v>
      </c>
      <c r="BV507" s="55">
        <v>0</v>
      </c>
      <c r="BW507" s="55">
        <v>0</v>
      </c>
      <c r="BX507" s="55">
        <v>0</v>
      </c>
      <c r="BY507" s="55">
        <v>0</v>
      </c>
      <c r="BZ507" s="55">
        <v>0</v>
      </c>
      <c r="CA507" s="55">
        <v>20</v>
      </c>
      <c r="CB507" s="55">
        <v>9</v>
      </c>
      <c r="CC507" s="55">
        <v>34</v>
      </c>
      <c r="CD507" s="55">
        <v>40</v>
      </c>
      <c r="CE507" s="55">
        <v>101</v>
      </c>
      <c r="CF507" s="55">
        <v>-62</v>
      </c>
      <c r="CG507" s="55">
        <v>-295</v>
      </c>
      <c r="CH507" s="55">
        <v>-204</v>
      </c>
      <c r="CI507" s="55">
        <v>241</v>
      </c>
      <c r="CJ507" s="55">
        <v>-125</v>
      </c>
      <c r="CK507" s="55">
        <v>-200</v>
      </c>
      <c r="CL507" s="55">
        <v>32</v>
      </c>
      <c r="CM507" s="55">
        <v>-80</v>
      </c>
      <c r="CN507" s="55">
        <v>-18</v>
      </c>
      <c r="CO507" s="55">
        <v>77</v>
      </c>
      <c r="CP507" s="55">
        <v>-37</v>
      </c>
      <c r="CQ507" s="55">
        <v>36</v>
      </c>
      <c r="CR507" s="55">
        <v>171</v>
      </c>
      <c r="CS507" s="55">
        <v>240</v>
      </c>
      <c r="CT507" s="55">
        <v>141.00000000000023</v>
      </c>
      <c r="CU507" s="55">
        <v>1962</v>
      </c>
      <c r="CV507" s="55">
        <v>1396</v>
      </c>
      <c r="CW507" s="55">
        <v>1110</v>
      </c>
      <c r="CX507" s="55">
        <v>-146</v>
      </c>
      <c r="CY507" s="56">
        <v>-70</v>
      </c>
      <c r="CZ507" s="55">
        <v>0</v>
      </c>
      <c r="DA507" s="55">
        <v>0</v>
      </c>
      <c r="DB507" s="55">
        <v>0</v>
      </c>
      <c r="DC507" s="55">
        <v>0</v>
      </c>
      <c r="DD507" s="55">
        <v>0</v>
      </c>
      <c r="DE507" s="55">
        <v>0</v>
      </c>
      <c r="DF507" s="55">
        <v>0</v>
      </c>
      <c r="DG507" s="55">
        <v>0</v>
      </c>
      <c r="DH507" s="55">
        <v>0</v>
      </c>
      <c r="DI507" s="55">
        <v>0</v>
      </c>
    </row>
    <row r="508" spans="1:113" hidden="1" outlineLevel="2">
      <c r="A508" s="1" t="s">
        <v>692</v>
      </c>
      <c r="B508" s="19" t="s">
        <v>266</v>
      </c>
      <c r="C508" s="53">
        <v>0</v>
      </c>
      <c r="D508" s="53">
        <v>0</v>
      </c>
      <c r="E508" s="53">
        <v>0</v>
      </c>
      <c r="F508" s="53">
        <v>0</v>
      </c>
      <c r="G508" s="53">
        <v>0</v>
      </c>
      <c r="H508" s="53">
        <v>0</v>
      </c>
      <c r="I508" s="53">
        <v>0</v>
      </c>
      <c r="J508" s="53">
        <v>0</v>
      </c>
      <c r="K508" s="53">
        <v>0</v>
      </c>
      <c r="L508" s="53">
        <v>0</v>
      </c>
      <c r="M508" s="53">
        <v>0</v>
      </c>
      <c r="N508" s="53">
        <v>0</v>
      </c>
      <c r="O508" s="53">
        <v>0</v>
      </c>
      <c r="P508" s="53">
        <v>0</v>
      </c>
      <c r="Q508" s="53">
        <v>0</v>
      </c>
      <c r="R508" s="53">
        <v>0</v>
      </c>
      <c r="S508" s="53">
        <v>0</v>
      </c>
      <c r="T508" s="53">
        <v>0</v>
      </c>
      <c r="U508" s="53">
        <v>0</v>
      </c>
      <c r="V508" s="53">
        <v>0</v>
      </c>
      <c r="W508" s="53">
        <v>0</v>
      </c>
      <c r="X508" s="53">
        <v>0</v>
      </c>
      <c r="Y508" s="53">
        <v>0</v>
      </c>
      <c r="Z508" s="53">
        <v>0</v>
      </c>
      <c r="AA508" s="164">
        <v>0</v>
      </c>
      <c r="AB508" s="164">
        <v>0</v>
      </c>
      <c r="AC508" s="164">
        <v>-129</v>
      </c>
      <c r="AD508" s="164">
        <v>0</v>
      </c>
      <c r="AE508" s="164">
        <v>0</v>
      </c>
      <c r="AF508" s="164">
        <v>0</v>
      </c>
      <c r="AG508" s="164">
        <v>0</v>
      </c>
      <c r="AH508" s="164">
        <v>0</v>
      </c>
      <c r="AI508" s="164">
        <v>0</v>
      </c>
      <c r="AJ508" s="164">
        <v>0</v>
      </c>
      <c r="AK508" s="164">
        <v>0</v>
      </c>
      <c r="AL508" s="164">
        <v>0</v>
      </c>
      <c r="AM508" s="164">
        <v>0</v>
      </c>
      <c r="AN508" s="164">
        <v>0</v>
      </c>
      <c r="AO508" s="164">
        <v>0</v>
      </c>
      <c r="AP508" s="164">
        <v>0</v>
      </c>
      <c r="AQ508" s="164">
        <v>0</v>
      </c>
      <c r="AR508" s="164">
        <v>0</v>
      </c>
      <c r="AS508" s="164">
        <v>0</v>
      </c>
      <c r="AT508" s="164">
        <v>0</v>
      </c>
      <c r="AU508" s="164">
        <v>0</v>
      </c>
      <c r="AV508" s="164">
        <v>0</v>
      </c>
      <c r="AW508" s="171">
        <v>0</v>
      </c>
      <c r="AX508" s="54">
        <v>0</v>
      </c>
      <c r="AY508" s="54">
        <v>0</v>
      </c>
      <c r="AZ508" s="54">
        <v>0</v>
      </c>
      <c r="BA508" s="54">
        <v>0</v>
      </c>
      <c r="BB508" s="54">
        <v>0</v>
      </c>
      <c r="BC508" s="54">
        <v>0</v>
      </c>
      <c r="BD508" s="54">
        <v>0</v>
      </c>
      <c r="BE508" s="54">
        <v>0</v>
      </c>
      <c r="BF508" s="54">
        <v>0</v>
      </c>
      <c r="BG508" s="54">
        <v>0</v>
      </c>
      <c r="BH508" s="54">
        <v>0</v>
      </c>
      <c r="BI508" s="54">
        <v>0</v>
      </c>
      <c r="BJ508" s="54">
        <v>0</v>
      </c>
      <c r="BK508" s="54">
        <v>0</v>
      </c>
      <c r="BL508" s="54">
        <v>0</v>
      </c>
      <c r="BM508" s="54">
        <v>0</v>
      </c>
      <c r="BN508" s="54">
        <v>0</v>
      </c>
      <c r="BO508" s="54">
        <v>0</v>
      </c>
      <c r="BP508" s="54">
        <v>0</v>
      </c>
      <c r="BQ508" s="54">
        <v>0</v>
      </c>
      <c r="BR508" s="55"/>
      <c r="BS508" s="53">
        <v>0</v>
      </c>
      <c r="BT508" s="53">
        <v>0</v>
      </c>
      <c r="BU508" s="53">
        <v>0</v>
      </c>
      <c r="BV508" s="53">
        <v>0</v>
      </c>
      <c r="BW508" s="53">
        <v>0</v>
      </c>
      <c r="BX508" s="53">
        <v>0</v>
      </c>
      <c r="BY508" s="53">
        <v>0</v>
      </c>
      <c r="BZ508" s="53">
        <v>0</v>
      </c>
      <c r="CA508" s="53">
        <v>0</v>
      </c>
      <c r="CB508" s="53">
        <v>0</v>
      </c>
      <c r="CC508" s="55">
        <v>0</v>
      </c>
      <c r="CD508" s="55">
        <v>0</v>
      </c>
      <c r="CE508" s="55">
        <v>0</v>
      </c>
      <c r="CF508" s="55">
        <v>0</v>
      </c>
      <c r="CG508" s="55">
        <v>0</v>
      </c>
      <c r="CH508" s="55">
        <v>0</v>
      </c>
      <c r="CI508" s="55">
        <v>0</v>
      </c>
      <c r="CJ508" s="55">
        <v>0</v>
      </c>
      <c r="CK508" s="55">
        <v>0</v>
      </c>
      <c r="CL508" s="55">
        <v>0</v>
      </c>
      <c r="CM508" s="55">
        <v>0</v>
      </c>
      <c r="CN508" s="55">
        <v>0</v>
      </c>
      <c r="CO508" s="55">
        <v>-129</v>
      </c>
      <c r="CP508" s="55">
        <v>0</v>
      </c>
      <c r="CQ508" s="55">
        <v>0</v>
      </c>
      <c r="CR508" s="55">
        <v>0</v>
      </c>
      <c r="CS508" s="55">
        <v>0</v>
      </c>
      <c r="CT508" s="55">
        <v>0</v>
      </c>
      <c r="CU508" s="55">
        <v>0</v>
      </c>
      <c r="CV508" s="55">
        <v>0</v>
      </c>
      <c r="CW508" s="55">
        <v>0</v>
      </c>
      <c r="CX508" s="55">
        <v>0</v>
      </c>
      <c r="CY508" s="56">
        <v>0</v>
      </c>
      <c r="CZ508" s="55">
        <v>0</v>
      </c>
      <c r="DA508" s="55">
        <v>0</v>
      </c>
      <c r="DB508" s="55">
        <v>0</v>
      </c>
      <c r="DC508" s="55">
        <v>0</v>
      </c>
      <c r="DD508" s="55">
        <v>0</v>
      </c>
      <c r="DE508" s="55">
        <v>0</v>
      </c>
      <c r="DF508" s="55">
        <v>0</v>
      </c>
      <c r="DG508" s="55">
        <v>0</v>
      </c>
      <c r="DH508" s="55">
        <v>0</v>
      </c>
      <c r="DI508" s="55">
        <v>0</v>
      </c>
    </row>
    <row r="509" spans="1:113" s="24" customFormat="1" hidden="1" outlineLevel="2">
      <c r="A509" s="1" t="s">
        <v>328</v>
      </c>
      <c r="B509" s="24" t="s">
        <v>2545</v>
      </c>
      <c r="C509" s="81">
        <v>-502</v>
      </c>
      <c r="D509" s="81">
        <v>-470</v>
      </c>
      <c r="E509" s="81">
        <v>-447</v>
      </c>
      <c r="F509" s="81">
        <v>-416</v>
      </c>
      <c r="G509" s="81">
        <v>-548</v>
      </c>
      <c r="H509" s="81">
        <v>-618</v>
      </c>
      <c r="I509" s="81">
        <v>-653</v>
      </c>
      <c r="J509" s="81">
        <v>-810</v>
      </c>
      <c r="K509" s="81">
        <v>-802</v>
      </c>
      <c r="L509" s="81">
        <v>-972</v>
      </c>
      <c r="M509" s="81">
        <v>-959</v>
      </c>
      <c r="N509" s="81">
        <v>-1016</v>
      </c>
      <c r="O509" s="81">
        <v>-1052</v>
      </c>
      <c r="P509" s="81">
        <v>-956</v>
      </c>
      <c r="Q509" s="81">
        <v>-508</v>
      </c>
      <c r="R509" s="81">
        <v>-710</v>
      </c>
      <c r="S509" s="81">
        <v>-1016</v>
      </c>
      <c r="T509" s="81">
        <v>-1509</v>
      </c>
      <c r="U509" s="81">
        <v>-1020</v>
      </c>
      <c r="V509" s="81">
        <v>-1270</v>
      </c>
      <c r="W509" s="81">
        <v>-1393</v>
      </c>
      <c r="X509" s="81">
        <v>-1437</v>
      </c>
      <c r="Y509" s="81">
        <v>-1437</v>
      </c>
      <c r="Z509" s="81">
        <v>-1494</v>
      </c>
      <c r="AA509" s="166">
        <v>-1533</v>
      </c>
      <c r="AB509" s="166">
        <v>-1708</v>
      </c>
      <c r="AC509" s="166">
        <v>-1658</v>
      </c>
      <c r="AD509" s="166">
        <v>-1785</v>
      </c>
      <c r="AE509" s="166">
        <v>-1764</v>
      </c>
      <c r="AF509" s="166">
        <v>-1772</v>
      </c>
      <c r="AG509" s="166">
        <v>-1854</v>
      </c>
      <c r="AH509" s="166">
        <v>-1875</v>
      </c>
      <c r="AI509" s="166">
        <v>-1823</v>
      </c>
      <c r="AJ509" s="166">
        <v>-1891</v>
      </c>
      <c r="AK509" s="166">
        <v>-1802</v>
      </c>
      <c r="AL509" s="166">
        <v>-1813</v>
      </c>
      <c r="AM509" s="166">
        <v>-1379</v>
      </c>
      <c r="AN509" s="166">
        <v>-229</v>
      </c>
      <c r="AO509" s="166">
        <v>-831</v>
      </c>
      <c r="AP509" s="166">
        <v>-493</v>
      </c>
      <c r="AQ509" s="166">
        <v>-1701</v>
      </c>
      <c r="AR509" s="166">
        <v>-776</v>
      </c>
      <c r="AS509" s="166">
        <v>-2137</v>
      </c>
      <c r="AT509" s="166">
        <v>-2303</v>
      </c>
      <c r="AU509" s="166">
        <v>-1940</v>
      </c>
      <c r="AV509" s="166">
        <v>-2306</v>
      </c>
      <c r="AW509" s="167">
        <v>-2082</v>
      </c>
      <c r="AX509" s="82">
        <v>-2163.3067407068943</v>
      </c>
      <c r="AY509" s="82">
        <v>-2104.9157799017144</v>
      </c>
      <c r="AZ509" s="82">
        <v>-2168.2629209531774</v>
      </c>
      <c r="BA509" s="82">
        <v>-2131.4177472010883</v>
      </c>
      <c r="BB509" s="82">
        <v>-2179.6297154860749</v>
      </c>
      <c r="BC509" s="82">
        <v>-2150.7046315989128</v>
      </c>
      <c r="BD509" s="82">
        <v>-2222.9337525575202</v>
      </c>
      <c r="BE509" s="82">
        <v>-2221.0224632390959</v>
      </c>
      <c r="BF509" s="82">
        <v>-2284.7248977241834</v>
      </c>
      <c r="BG509" s="82">
        <v>-2252.382997466194</v>
      </c>
      <c r="BH509" s="82">
        <v>-2339.0619807918388</v>
      </c>
      <c r="BI509" s="82">
        <v>-2327.9261309571475</v>
      </c>
      <c r="BJ509" s="82">
        <v>-2095.8161435064458</v>
      </c>
      <c r="BK509" s="82">
        <v>-1795.3952700761658</v>
      </c>
      <c r="BL509" s="82">
        <v>-1868.576837892738</v>
      </c>
      <c r="BM509" s="82">
        <v>-2165.2575253583568</v>
      </c>
      <c r="BN509" s="82">
        <v>-2488.4289894504154</v>
      </c>
      <c r="BO509" s="82">
        <v>-2490.8632623804024</v>
      </c>
      <c r="BP509" s="82">
        <v>-2607.8670274534784</v>
      </c>
      <c r="BQ509" s="82">
        <v>-2610.9446420775503</v>
      </c>
      <c r="BR509" s="82"/>
      <c r="BS509" s="81">
        <v>-252.1</v>
      </c>
      <c r="BT509" s="81">
        <v>-366</v>
      </c>
      <c r="BU509" s="81">
        <v>-372</v>
      </c>
      <c r="BV509" s="81">
        <v>-512</v>
      </c>
      <c r="BW509" s="81">
        <v>-657</v>
      </c>
      <c r="BX509" s="81">
        <v>-610</v>
      </c>
      <c r="BY509" s="81">
        <v>-661</v>
      </c>
      <c r="BZ509" s="81">
        <v>-738</v>
      </c>
      <c r="CA509" s="81">
        <v>-838</v>
      </c>
      <c r="CB509" s="81">
        <v>-1007</v>
      </c>
      <c r="CC509" s="82">
        <v>-917</v>
      </c>
      <c r="CD509" s="82">
        <v>-964</v>
      </c>
      <c r="CE509" s="82">
        <v>-1271</v>
      </c>
      <c r="CF509" s="82">
        <v>-1612</v>
      </c>
      <c r="CG509" s="82">
        <v>-1931</v>
      </c>
      <c r="CH509" s="82">
        <v>-2068</v>
      </c>
      <c r="CI509" s="82">
        <v>-1464</v>
      </c>
      <c r="CJ509" s="82">
        <v>-1726</v>
      </c>
      <c r="CK509" s="82">
        <v>-2529</v>
      </c>
      <c r="CL509" s="82">
        <v>-2663</v>
      </c>
      <c r="CM509" s="82">
        <v>-2874</v>
      </c>
      <c r="CN509" s="82">
        <v>-3027</v>
      </c>
      <c r="CO509" s="82">
        <v>-3366</v>
      </c>
      <c r="CP509" s="82">
        <v>-3549</v>
      </c>
      <c r="CQ509" s="82">
        <v>-3626</v>
      </c>
      <c r="CR509" s="82">
        <v>-3698</v>
      </c>
      <c r="CS509" s="82">
        <v>-3693</v>
      </c>
      <c r="CT509" s="82">
        <v>-3192</v>
      </c>
      <c r="CU509" s="82">
        <v>-1060</v>
      </c>
      <c r="CV509" s="82">
        <v>-2194</v>
      </c>
      <c r="CW509" s="82">
        <v>-2913</v>
      </c>
      <c r="CX509" s="82">
        <v>-4243</v>
      </c>
      <c r="CY509" s="83">
        <v>-4388</v>
      </c>
      <c r="CZ509" s="82">
        <v>-4268.2225206086086</v>
      </c>
      <c r="DA509" s="82">
        <v>-4299.6806681542657</v>
      </c>
      <c r="DB509" s="82">
        <v>-4330.3343470849877</v>
      </c>
      <c r="DC509" s="82">
        <v>-4443.9562157966157</v>
      </c>
      <c r="DD509" s="82">
        <v>-4537.1078951903773</v>
      </c>
      <c r="DE509" s="82">
        <v>-4666.9881117489858</v>
      </c>
      <c r="DF509" s="82">
        <v>-3891.2114135826114</v>
      </c>
      <c r="DG509" s="82">
        <v>-4033.8343632510951</v>
      </c>
      <c r="DH509" s="82">
        <v>-4979.2922518308178</v>
      </c>
      <c r="DI509" s="82">
        <v>-5218.8116695310291</v>
      </c>
    </row>
    <row r="510" spans="1:113" s="84" customFormat="1" hidden="1" outlineLevel="2">
      <c r="A510" s="1"/>
      <c r="B510" s="84" t="s">
        <v>354</v>
      </c>
      <c r="C510" s="86" t="s">
        <v>770</v>
      </c>
      <c r="D510" s="86" t="s">
        <v>770</v>
      </c>
      <c r="E510" s="86" t="s">
        <v>770</v>
      </c>
      <c r="F510" s="86" t="s">
        <v>770</v>
      </c>
      <c r="G510" s="86" t="s">
        <v>770</v>
      </c>
      <c r="H510" s="86" t="s">
        <v>770</v>
      </c>
      <c r="I510" s="86" t="s">
        <v>770</v>
      </c>
      <c r="J510" s="86" t="s">
        <v>770</v>
      </c>
      <c r="K510" s="86" t="s">
        <v>770</v>
      </c>
      <c r="L510" s="86" t="s">
        <v>770</v>
      </c>
      <c r="M510" s="86" t="s">
        <v>2262</v>
      </c>
      <c r="N510" s="86" t="s">
        <v>770</v>
      </c>
      <c r="O510" s="86" t="s">
        <v>770</v>
      </c>
      <c r="P510" s="86" t="s">
        <v>770</v>
      </c>
      <c r="Q510" s="86" t="s">
        <v>770</v>
      </c>
      <c r="R510" s="86" t="s">
        <v>770</v>
      </c>
      <c r="S510" s="86" t="s">
        <v>770</v>
      </c>
      <c r="T510" s="86" t="s">
        <v>770</v>
      </c>
      <c r="U510" s="86" t="s">
        <v>770</v>
      </c>
      <c r="V510" s="86" t="s">
        <v>770</v>
      </c>
      <c r="W510" s="86" t="s">
        <v>770</v>
      </c>
      <c r="X510" s="86" t="s">
        <v>770</v>
      </c>
      <c r="Y510" s="86" t="s">
        <v>770</v>
      </c>
      <c r="Z510" s="86" t="s">
        <v>770</v>
      </c>
      <c r="AA510" s="86" t="s">
        <v>770</v>
      </c>
      <c r="AB510" s="86" t="s">
        <v>770</v>
      </c>
      <c r="AC510" s="86" t="s">
        <v>770</v>
      </c>
      <c r="AD510" s="86" t="s">
        <v>770</v>
      </c>
      <c r="AE510" s="86" t="s">
        <v>770</v>
      </c>
      <c r="AF510" s="86" t="s">
        <v>770</v>
      </c>
      <c r="AG510" s="86" t="s">
        <v>770</v>
      </c>
      <c r="AH510" s="86" t="s">
        <v>770</v>
      </c>
      <c r="AI510" s="86" t="s">
        <v>770</v>
      </c>
      <c r="AJ510" s="86" t="s">
        <v>770</v>
      </c>
      <c r="AK510" s="86" t="s">
        <v>770</v>
      </c>
      <c r="AL510" s="86" t="s">
        <v>770</v>
      </c>
      <c r="AM510" s="86" t="s">
        <v>770</v>
      </c>
      <c r="AN510" s="86" t="s">
        <v>770</v>
      </c>
      <c r="AO510" s="86" t="s">
        <v>770</v>
      </c>
      <c r="AP510" s="86" t="s">
        <v>770</v>
      </c>
      <c r="AQ510" s="86" t="s">
        <v>770</v>
      </c>
      <c r="AR510" s="86" t="s">
        <v>770</v>
      </c>
      <c r="AS510" s="86" t="s">
        <v>770</v>
      </c>
      <c r="AT510" s="86" t="s">
        <v>770</v>
      </c>
      <c r="AU510" s="86" t="s">
        <v>770</v>
      </c>
      <c r="AV510" s="86" t="s">
        <v>770</v>
      </c>
      <c r="AW510" s="87" t="s">
        <v>770</v>
      </c>
      <c r="AX510" s="86" t="s">
        <v>770</v>
      </c>
      <c r="AY510" s="86" t="s">
        <v>770</v>
      </c>
      <c r="AZ510" s="86" t="s">
        <v>770</v>
      </c>
      <c r="BA510" s="86" t="s">
        <v>770</v>
      </c>
      <c r="BB510" s="86" t="s">
        <v>770</v>
      </c>
      <c r="BC510" s="86" t="s">
        <v>770</v>
      </c>
      <c r="BD510" s="86" t="s">
        <v>770</v>
      </c>
      <c r="BE510" s="86" t="s">
        <v>770</v>
      </c>
      <c r="BF510" s="86" t="s">
        <v>770</v>
      </c>
      <c r="BG510" s="86" t="s">
        <v>770</v>
      </c>
      <c r="BH510" s="86" t="s">
        <v>770</v>
      </c>
      <c r="BI510" s="86" t="s">
        <v>770</v>
      </c>
      <c r="BJ510" s="86" t="s">
        <v>770</v>
      </c>
      <c r="BK510" s="86" t="s">
        <v>770</v>
      </c>
      <c r="BL510" s="86" t="s">
        <v>770</v>
      </c>
      <c r="BM510" s="86" t="s">
        <v>770</v>
      </c>
      <c r="BN510" s="86" t="s">
        <v>770</v>
      </c>
      <c r="BO510" s="86" t="s">
        <v>770</v>
      </c>
      <c r="BP510" s="86" t="s">
        <v>770</v>
      </c>
      <c r="BQ510" s="86" t="s">
        <v>770</v>
      </c>
      <c r="BR510" s="86"/>
      <c r="BS510" s="86" t="s">
        <v>770</v>
      </c>
      <c r="BT510" s="86" t="s">
        <v>770</v>
      </c>
      <c r="BU510" s="86" t="s">
        <v>770</v>
      </c>
      <c r="BV510" s="86" t="s">
        <v>770</v>
      </c>
      <c r="BW510" s="86" t="s">
        <v>770</v>
      </c>
      <c r="BX510" s="86" t="s">
        <v>770</v>
      </c>
      <c r="BY510" s="86" t="s">
        <v>770</v>
      </c>
      <c r="BZ510" s="86" t="s">
        <v>770</v>
      </c>
      <c r="CA510" s="86" t="s">
        <v>770</v>
      </c>
      <c r="CB510" s="86" t="s">
        <v>770</v>
      </c>
      <c r="CC510" s="86" t="s">
        <v>770</v>
      </c>
      <c r="CD510" s="86" t="s">
        <v>770</v>
      </c>
      <c r="CE510" s="86" t="s">
        <v>770</v>
      </c>
      <c r="CF510" s="86" t="s">
        <v>770</v>
      </c>
      <c r="CG510" s="86" t="s">
        <v>2262</v>
      </c>
      <c r="CH510" s="86" t="s">
        <v>770</v>
      </c>
      <c r="CI510" s="86" t="s">
        <v>770</v>
      </c>
      <c r="CJ510" s="86" t="s">
        <v>770</v>
      </c>
      <c r="CK510" s="86" t="s">
        <v>770</v>
      </c>
      <c r="CL510" s="86" t="s">
        <v>770</v>
      </c>
      <c r="CM510" s="86" t="s">
        <v>770</v>
      </c>
      <c r="CN510" s="86" t="s">
        <v>770</v>
      </c>
      <c r="CO510" s="86" t="s">
        <v>770</v>
      </c>
      <c r="CP510" s="86" t="s">
        <v>770</v>
      </c>
      <c r="CQ510" s="86" t="s">
        <v>770</v>
      </c>
      <c r="CR510" s="86" t="s">
        <v>770</v>
      </c>
      <c r="CS510" s="86" t="s">
        <v>770</v>
      </c>
      <c r="CT510" s="86" t="s">
        <v>770</v>
      </c>
      <c r="CU510" s="86" t="s">
        <v>770</v>
      </c>
      <c r="CV510" s="86" t="s">
        <v>770</v>
      </c>
      <c r="CW510" s="86" t="s">
        <v>770</v>
      </c>
      <c r="CX510" s="86" t="s">
        <v>770</v>
      </c>
      <c r="CY510" s="87" t="s">
        <v>770</v>
      </c>
      <c r="CZ510" s="86" t="s">
        <v>770</v>
      </c>
      <c r="DA510" s="86" t="s">
        <v>770</v>
      </c>
      <c r="DB510" s="86" t="s">
        <v>770</v>
      </c>
      <c r="DC510" s="86" t="s">
        <v>770</v>
      </c>
      <c r="DD510" s="86" t="s">
        <v>770</v>
      </c>
      <c r="DE510" s="86" t="s">
        <v>770</v>
      </c>
      <c r="DF510" s="86" t="s">
        <v>770</v>
      </c>
      <c r="DG510" s="86" t="s">
        <v>770</v>
      </c>
      <c r="DH510" s="86" t="s">
        <v>770</v>
      </c>
      <c r="DI510" s="86" t="s">
        <v>770</v>
      </c>
    </row>
    <row r="511" spans="1:113" outlineLevel="1" collapsed="1">
      <c r="A511" s="96"/>
      <c r="C511" s="55"/>
      <c r="D511" s="55"/>
      <c r="E511" s="55"/>
      <c r="F511" s="55"/>
      <c r="G511" s="55"/>
      <c r="H511" s="55"/>
      <c r="I511" s="55"/>
      <c r="J511" s="55"/>
      <c r="K511" s="55"/>
      <c r="L511" s="55"/>
      <c r="M511" s="55"/>
      <c r="N511" s="55"/>
      <c r="O511" s="55"/>
      <c r="P511" s="55"/>
      <c r="Q511" s="55"/>
      <c r="R511" s="55"/>
      <c r="S511" s="55"/>
      <c r="T511" s="55"/>
      <c r="U511" s="55"/>
      <c r="V511" s="55"/>
      <c r="W511" s="55"/>
      <c r="X511" s="55"/>
      <c r="Y511" s="55"/>
      <c r="Z511" s="55"/>
      <c r="AA511" s="55"/>
      <c r="AB511" s="55"/>
      <c r="AC511" s="55"/>
      <c r="AD511" s="55"/>
      <c r="AE511" s="55"/>
      <c r="AF511" s="55"/>
      <c r="AG511" s="55"/>
      <c r="AH511" s="55"/>
      <c r="AI511" s="55"/>
      <c r="AJ511" s="55"/>
      <c r="AK511" s="58"/>
      <c r="AL511" s="58"/>
      <c r="AM511" s="58"/>
      <c r="AN511" s="58"/>
      <c r="AO511" s="58"/>
      <c r="AP511" s="58"/>
      <c r="AQ511" s="58"/>
      <c r="AR511" s="58"/>
      <c r="AS511" s="58"/>
      <c r="AT511" s="58"/>
      <c r="AU511" s="58"/>
      <c r="AV511" s="58"/>
      <c r="AW511" s="59"/>
      <c r="AX511" s="57"/>
      <c r="AY511" s="57"/>
      <c r="AZ511" s="57"/>
      <c r="BA511" s="57"/>
      <c r="BB511" s="57"/>
      <c r="BC511" s="57"/>
      <c r="BD511" s="57"/>
      <c r="BE511" s="57"/>
      <c r="BF511" s="57"/>
      <c r="BG511" s="57"/>
      <c r="BH511" s="57"/>
      <c r="BI511" s="57"/>
      <c r="BJ511" s="57"/>
      <c r="BK511" s="57"/>
      <c r="BL511" s="230"/>
      <c r="BM511" s="230"/>
      <c r="BN511" s="230"/>
      <c r="BO511" s="230"/>
      <c r="BP511" s="230"/>
      <c r="BQ511" s="230"/>
      <c r="BR511" s="55"/>
      <c r="BS511" s="55"/>
      <c r="BT511" s="55"/>
      <c r="BU511" s="55"/>
      <c r="BV511" s="55"/>
      <c r="BW511" s="55"/>
      <c r="BX511" s="55"/>
      <c r="BY511" s="55"/>
      <c r="BZ511" s="55"/>
      <c r="CA511" s="55"/>
      <c r="CB511" s="55"/>
      <c r="CC511" s="55"/>
      <c r="CD511" s="55"/>
      <c r="CE511" s="55"/>
      <c r="CF511" s="55"/>
      <c r="CG511" s="55"/>
      <c r="CH511" s="55"/>
      <c r="CI511" s="55"/>
      <c r="CJ511" s="55"/>
      <c r="CK511" s="55"/>
      <c r="CL511" s="55"/>
      <c r="CM511" s="55"/>
      <c r="CN511" s="55"/>
      <c r="CO511" s="55"/>
      <c r="CP511" s="55"/>
      <c r="CQ511" s="55"/>
      <c r="CR511" s="55"/>
      <c r="CS511" s="55"/>
      <c r="CT511" s="55"/>
      <c r="CU511" s="55"/>
      <c r="CV511" s="55"/>
      <c r="CW511" s="55"/>
      <c r="CX511" s="55"/>
      <c r="CY511" s="56"/>
      <c r="CZ511" s="55"/>
      <c r="DA511" s="55"/>
      <c r="DB511" s="55"/>
    </row>
    <row r="512" spans="1:113">
      <c r="C512" s="55"/>
      <c r="D512" s="55"/>
      <c r="E512" s="55"/>
      <c r="F512" s="55"/>
      <c r="G512" s="55"/>
      <c r="H512" s="55"/>
      <c r="I512" s="55"/>
      <c r="J512" s="55"/>
      <c r="K512" s="55"/>
      <c r="L512" s="55"/>
      <c r="M512" s="55"/>
      <c r="N512" s="55"/>
      <c r="O512" s="55"/>
      <c r="P512" s="55"/>
      <c r="Q512" s="55"/>
      <c r="R512" s="55"/>
      <c r="S512" s="55"/>
      <c r="T512" s="55"/>
      <c r="U512" s="55"/>
      <c r="V512" s="55"/>
      <c r="W512" s="55"/>
      <c r="X512" s="55"/>
      <c r="Y512" s="55"/>
      <c r="Z512" s="55"/>
      <c r="AA512" s="55"/>
      <c r="AB512" s="55"/>
      <c r="AC512" s="55"/>
      <c r="AD512" s="55"/>
      <c r="AE512" s="55"/>
      <c r="AF512" s="55"/>
      <c r="AG512" s="55"/>
      <c r="AH512" s="55"/>
      <c r="AI512" s="55"/>
      <c r="AJ512" s="55"/>
      <c r="AK512" s="55"/>
      <c r="AL512" s="55"/>
      <c r="AM512" s="55"/>
      <c r="AN512" s="55"/>
      <c r="AO512" s="55"/>
      <c r="AP512" s="55"/>
      <c r="AQ512" s="55"/>
      <c r="AR512" s="55"/>
      <c r="AS512" s="55"/>
      <c r="AT512" s="55"/>
      <c r="AU512" s="55"/>
      <c r="AV512" s="55"/>
      <c r="AW512" s="56"/>
      <c r="AX512" s="55"/>
      <c r="AY512" s="55"/>
      <c r="AZ512" s="55"/>
      <c r="BA512" s="55"/>
      <c r="BB512" s="55"/>
      <c r="BC512" s="55"/>
      <c r="BD512" s="55"/>
      <c r="BE512" s="55"/>
      <c r="BF512" s="55"/>
      <c r="BG512" s="55"/>
      <c r="BH512" s="55"/>
      <c r="BI512" s="55"/>
      <c r="BJ512" s="55"/>
      <c r="BK512" s="55"/>
      <c r="BL512" s="55"/>
      <c r="BM512" s="55"/>
      <c r="BN512" s="55"/>
      <c r="BO512" s="55"/>
      <c r="BP512" s="55"/>
      <c r="BQ512" s="55"/>
      <c r="BR512" s="55"/>
      <c r="BS512" s="55"/>
      <c r="BT512" s="55"/>
      <c r="BU512" s="55"/>
      <c r="BV512" s="55"/>
      <c r="BW512" s="55"/>
      <c r="BX512" s="55"/>
      <c r="BY512" s="55"/>
      <c r="BZ512" s="55"/>
      <c r="CA512" s="55"/>
      <c r="CB512" s="55"/>
      <c r="CC512" s="55"/>
      <c r="CD512" s="55"/>
      <c r="CE512" s="55"/>
      <c r="CF512" s="55"/>
      <c r="CG512" s="55"/>
      <c r="CH512" s="55"/>
      <c r="CI512" s="55"/>
      <c r="CJ512" s="55"/>
      <c r="CK512" s="55"/>
      <c r="CL512" s="55"/>
      <c r="CM512" s="55"/>
      <c r="CN512" s="55"/>
      <c r="CO512" s="55"/>
      <c r="CP512" s="55"/>
      <c r="CQ512" s="55"/>
      <c r="CR512" s="55"/>
      <c r="CS512" s="58"/>
      <c r="CT512" s="58"/>
      <c r="CU512" s="58"/>
      <c r="CV512" s="58"/>
      <c r="CW512" s="58"/>
      <c r="CX512" s="58"/>
      <c r="CY512" s="59"/>
      <c r="CZ512" s="57"/>
      <c r="DA512" s="57"/>
      <c r="DB512" s="57"/>
    </row>
    <row r="513" spans="1:113" s="36" customFormat="1" collapsed="1">
      <c r="A513" s="1" t="s">
        <v>980</v>
      </c>
      <c r="B513" s="2" t="s">
        <v>355</v>
      </c>
      <c r="C513" s="79">
        <v>1148.5</v>
      </c>
      <c r="D513" s="79">
        <v>1175</v>
      </c>
      <c r="E513" s="79">
        <v>1292</v>
      </c>
      <c r="F513" s="79">
        <v>1188</v>
      </c>
      <c r="G513" s="79">
        <v>1351</v>
      </c>
      <c r="H513" s="79">
        <v>1201</v>
      </c>
      <c r="I513" s="79">
        <v>1393</v>
      </c>
      <c r="J513" s="79">
        <v>1672</v>
      </c>
      <c r="K513" s="79">
        <v>1689</v>
      </c>
      <c r="L513" s="79">
        <v>2061</v>
      </c>
      <c r="M513" s="79">
        <v>1992</v>
      </c>
      <c r="N513" s="79">
        <v>2268</v>
      </c>
      <c r="O513" s="79">
        <v>2204</v>
      </c>
      <c r="P513" s="79">
        <v>2360</v>
      </c>
      <c r="Q513" s="79">
        <v>2325</v>
      </c>
      <c r="R513" s="79">
        <v>1880</v>
      </c>
      <c r="S513" s="79">
        <v>2371</v>
      </c>
      <c r="T513" s="79">
        <v>2919</v>
      </c>
      <c r="U513" s="79">
        <v>3135</v>
      </c>
      <c r="V513" s="79">
        <v>3313</v>
      </c>
      <c r="W513" s="79">
        <v>3480</v>
      </c>
      <c r="X513" s="79">
        <v>3556</v>
      </c>
      <c r="Y513" s="79">
        <v>3515</v>
      </c>
      <c r="Z513" s="79">
        <v>3730</v>
      </c>
      <c r="AA513" s="79">
        <v>3990</v>
      </c>
      <c r="AB513" s="79">
        <v>4245</v>
      </c>
      <c r="AC513" s="79">
        <v>4390</v>
      </c>
      <c r="AD513" s="79">
        <v>4599</v>
      </c>
      <c r="AE513" s="79">
        <v>4486</v>
      </c>
      <c r="AF513" s="79">
        <v>4776</v>
      </c>
      <c r="AG513" s="79">
        <v>4619</v>
      </c>
      <c r="AH513" s="79">
        <v>4828</v>
      </c>
      <c r="AI513" s="79">
        <v>4827</v>
      </c>
      <c r="AJ513" s="79">
        <v>4598</v>
      </c>
      <c r="AK513" s="79">
        <v>4317</v>
      </c>
      <c r="AL513" s="79">
        <v>4512.5931563709537</v>
      </c>
      <c r="AM513" s="79">
        <v>3708.406843629049</v>
      </c>
      <c r="AN513" s="79">
        <v>4327</v>
      </c>
      <c r="AO513" s="79">
        <v>2898</v>
      </c>
      <c r="AP513" s="79">
        <v>3868</v>
      </c>
      <c r="AQ513" s="79">
        <v>4785</v>
      </c>
      <c r="AR513" s="79">
        <v>4746</v>
      </c>
      <c r="AS513" s="79">
        <v>4849</v>
      </c>
      <c r="AT513" s="79">
        <v>5180</v>
      </c>
      <c r="AU513" s="79">
        <v>4892</v>
      </c>
      <c r="AV513" s="79">
        <v>5019</v>
      </c>
      <c r="AW513" s="80">
        <v>4817</v>
      </c>
      <c r="AX513" s="79">
        <v>4929.351263001472</v>
      </c>
      <c r="AY513" s="79">
        <v>4796.3005259160636</v>
      </c>
      <c r="AZ513" s="79">
        <v>4940.6445081511138</v>
      </c>
      <c r="BA513" s="79">
        <v>4856.6884050461886</v>
      </c>
      <c r="BB513" s="79">
        <v>4966.5450990995378</v>
      </c>
      <c r="BC513" s="79">
        <v>4900.6358611220267</v>
      </c>
      <c r="BD513" s="79">
        <v>5065.2184891530624</v>
      </c>
      <c r="BE513" s="79">
        <v>5060.8633895093299</v>
      </c>
      <c r="BF513" s="79">
        <v>5206.0169500176871</v>
      </c>
      <c r="BG513" s="79">
        <v>5132.3220902529119</v>
      </c>
      <c r="BH513" s="79">
        <v>5329.8304453520759</v>
      </c>
      <c r="BI513" s="79">
        <v>5304.4560893191019</v>
      </c>
      <c r="BJ513" s="79">
        <v>4775.5659239690403</v>
      </c>
      <c r="BK513" s="79">
        <v>4091.0212942085582</v>
      </c>
      <c r="BL513" s="79">
        <v>4257.7741854916367</v>
      </c>
      <c r="BM513" s="79">
        <v>4933.7963574509013</v>
      </c>
      <c r="BN513" s="79">
        <v>5670.1809092633166</v>
      </c>
      <c r="BO513" s="79">
        <v>5675.7276891610209</v>
      </c>
      <c r="BP513" s="79">
        <v>5942.3346600016121</v>
      </c>
      <c r="BQ513" s="79">
        <v>5949.3473703347017</v>
      </c>
      <c r="BR513" s="79"/>
      <c r="BS513" s="79">
        <v>408.9</v>
      </c>
      <c r="BT513" s="79">
        <v>579</v>
      </c>
      <c r="BU513" s="79">
        <v>682</v>
      </c>
      <c r="BV513" s="79">
        <v>1011</v>
      </c>
      <c r="BW513" s="79">
        <v>1119</v>
      </c>
      <c r="BX513" s="79">
        <v>1249</v>
      </c>
      <c r="BY513" s="79">
        <v>1297</v>
      </c>
      <c r="BZ513" s="79">
        <v>1469</v>
      </c>
      <c r="CA513" s="79">
        <v>1678</v>
      </c>
      <c r="CB513" s="79">
        <v>2253</v>
      </c>
      <c r="CC513" s="79">
        <v>2467</v>
      </c>
      <c r="CD513" s="79">
        <v>2539</v>
      </c>
      <c r="CE513" s="79">
        <v>2594</v>
      </c>
      <c r="CF513" s="79">
        <v>3361</v>
      </c>
      <c r="CG513" s="79">
        <v>4053</v>
      </c>
      <c r="CH513" s="79">
        <v>4472</v>
      </c>
      <c r="CI513" s="79">
        <v>4685</v>
      </c>
      <c r="CJ513" s="79">
        <v>4251</v>
      </c>
      <c r="CK513" s="79">
        <v>6054</v>
      </c>
      <c r="CL513" s="79">
        <v>6793</v>
      </c>
      <c r="CM513" s="79">
        <v>7071</v>
      </c>
      <c r="CN513" s="79">
        <v>7720</v>
      </c>
      <c r="CO513" s="79">
        <v>8635</v>
      </c>
      <c r="CP513" s="79">
        <v>9085</v>
      </c>
      <c r="CQ513" s="79">
        <v>9395</v>
      </c>
      <c r="CR513" s="79">
        <v>9655</v>
      </c>
      <c r="CS513" s="79">
        <v>8915</v>
      </c>
      <c r="CT513" s="79">
        <v>8221</v>
      </c>
      <c r="CU513" s="79">
        <v>7225</v>
      </c>
      <c r="CV513" s="79">
        <v>8653</v>
      </c>
      <c r="CW513" s="79">
        <v>9595</v>
      </c>
      <c r="CX513" s="79">
        <v>10072</v>
      </c>
      <c r="CY513" s="80">
        <v>9836</v>
      </c>
      <c r="CZ513" s="79">
        <v>9725.6517889175338</v>
      </c>
      <c r="DA513" s="79">
        <v>9797.332913197306</v>
      </c>
      <c r="DB513" s="79">
        <v>9867.1809602215653</v>
      </c>
      <c r="DC513" s="79">
        <v>10126.081878662391</v>
      </c>
      <c r="DD513" s="79">
        <v>10338.339040270599</v>
      </c>
      <c r="DE513" s="79">
        <v>10634.286534671177</v>
      </c>
      <c r="DF513" s="79">
        <v>8866.5872181775994</v>
      </c>
      <c r="DG513" s="79">
        <v>9191.5705429425398</v>
      </c>
      <c r="DH513" s="79">
        <v>11345.908598424339</v>
      </c>
      <c r="DI513" s="79">
        <v>11891.682030336311</v>
      </c>
    </row>
    <row r="514" spans="1:113" outlineLevel="1">
      <c r="C514" s="55"/>
      <c r="D514" s="55"/>
      <c r="E514" s="55"/>
      <c r="F514" s="55"/>
      <c r="G514" s="55"/>
      <c r="H514" s="55"/>
      <c r="I514" s="55"/>
      <c r="J514" s="55"/>
      <c r="K514" s="55"/>
      <c r="L514" s="55"/>
      <c r="M514" s="55"/>
      <c r="N514" s="55"/>
      <c r="O514" s="55"/>
      <c r="P514" s="55"/>
      <c r="Q514" s="55"/>
      <c r="R514" s="55"/>
      <c r="S514" s="55"/>
      <c r="T514" s="55"/>
      <c r="U514" s="55"/>
      <c r="V514" s="55"/>
      <c r="W514" s="55"/>
      <c r="X514" s="55"/>
      <c r="Y514" s="55"/>
      <c r="Z514" s="55"/>
      <c r="AA514" s="55"/>
      <c r="AB514" s="55"/>
      <c r="AC514" s="58"/>
      <c r="AD514" s="55"/>
      <c r="AE514" s="55"/>
      <c r="AF514" s="55"/>
      <c r="AG514" s="55"/>
      <c r="AH514" s="55"/>
      <c r="AI514" s="55"/>
      <c r="AJ514" s="55"/>
      <c r="AK514" s="45"/>
      <c r="AL514" s="82"/>
      <c r="AM514" s="82"/>
      <c r="AN514" s="82"/>
      <c r="AO514" s="82"/>
      <c r="AP514" s="82"/>
      <c r="AQ514" s="82"/>
      <c r="AR514" s="82"/>
      <c r="AS514" s="82"/>
      <c r="AT514" s="82"/>
      <c r="AU514" s="82"/>
      <c r="AV514" s="82"/>
      <c r="AW514" s="83"/>
      <c r="AX514" s="55"/>
      <c r="AY514" s="55"/>
      <c r="AZ514" s="55"/>
      <c r="BA514" s="55"/>
      <c r="BB514" s="55"/>
      <c r="BC514" s="55"/>
      <c r="BD514" s="55"/>
      <c r="BE514" s="55"/>
      <c r="BF514" s="55"/>
      <c r="BG514" s="55"/>
      <c r="BH514" s="55"/>
      <c r="BI514" s="55"/>
      <c r="BJ514" s="55"/>
      <c r="BK514" s="55"/>
      <c r="BL514" s="55"/>
      <c r="BM514" s="55"/>
      <c r="BN514" s="55"/>
      <c r="BO514" s="55"/>
      <c r="BP514" s="55"/>
      <c r="BQ514" s="55"/>
      <c r="BR514" s="55"/>
      <c r="BS514" s="55"/>
      <c r="BT514" s="55"/>
      <c r="BU514" s="55"/>
      <c r="BV514" s="55"/>
      <c r="BW514" s="55"/>
      <c r="BX514" s="55"/>
      <c r="BY514" s="55"/>
      <c r="BZ514" s="55"/>
      <c r="CA514" s="55"/>
      <c r="CB514" s="55"/>
      <c r="CC514" s="55"/>
      <c r="CD514" s="55"/>
      <c r="CE514" s="55"/>
      <c r="CF514" s="55"/>
      <c r="CG514" s="55"/>
      <c r="CH514" s="55"/>
      <c r="CI514" s="55"/>
      <c r="CJ514" s="55"/>
      <c r="CK514" s="55"/>
      <c r="CL514" s="55"/>
      <c r="CM514" s="55"/>
      <c r="CN514" s="55"/>
      <c r="CO514" s="55"/>
      <c r="CP514" s="55"/>
      <c r="CQ514" s="55"/>
      <c r="CR514" s="55"/>
      <c r="CS514" s="82"/>
      <c r="CT514" s="45"/>
      <c r="CU514" s="45"/>
      <c r="CV514" s="45"/>
      <c r="CW514" s="45"/>
      <c r="CX514" s="45"/>
      <c r="CY514" s="56"/>
      <c r="CZ514" s="55"/>
      <c r="DA514" s="55"/>
      <c r="DB514" s="55"/>
    </row>
    <row r="515" spans="1:113" s="24" customFormat="1" outlineLevel="1">
      <c r="A515" s="1" t="s">
        <v>333</v>
      </c>
      <c r="B515" s="24" t="s">
        <v>356</v>
      </c>
      <c r="C515" s="82">
        <v>1148.5</v>
      </c>
      <c r="D515" s="82">
        <v>1175</v>
      </c>
      <c r="E515" s="82">
        <v>1292</v>
      </c>
      <c r="F515" s="82">
        <v>1188</v>
      </c>
      <c r="G515" s="82">
        <v>1351</v>
      </c>
      <c r="H515" s="82">
        <v>1201</v>
      </c>
      <c r="I515" s="82">
        <v>1393</v>
      </c>
      <c r="J515" s="82">
        <v>1672</v>
      </c>
      <c r="K515" s="82">
        <v>1689</v>
      </c>
      <c r="L515" s="82">
        <v>2061</v>
      </c>
      <c r="M515" s="82">
        <v>1992</v>
      </c>
      <c r="N515" s="82">
        <v>2268</v>
      </c>
      <c r="O515" s="82">
        <v>2204</v>
      </c>
      <c r="P515" s="82">
        <v>2360</v>
      </c>
      <c r="Q515" s="82">
        <v>2325</v>
      </c>
      <c r="R515" s="82">
        <v>1880</v>
      </c>
      <c r="S515" s="82">
        <v>2371</v>
      </c>
      <c r="T515" s="82">
        <v>2919</v>
      </c>
      <c r="U515" s="82">
        <v>3135</v>
      </c>
      <c r="V515" s="82">
        <v>3313</v>
      </c>
      <c r="W515" s="82">
        <v>3480</v>
      </c>
      <c r="X515" s="82">
        <v>3556</v>
      </c>
      <c r="Y515" s="82">
        <v>3515</v>
      </c>
      <c r="Z515" s="82">
        <v>3730</v>
      </c>
      <c r="AA515" s="82">
        <v>3990</v>
      </c>
      <c r="AB515" s="82">
        <v>4245</v>
      </c>
      <c r="AC515" s="82">
        <v>4390</v>
      </c>
      <c r="AD515" s="82">
        <v>4599</v>
      </c>
      <c r="AE515" s="82">
        <v>4486</v>
      </c>
      <c r="AF515" s="82">
        <v>4776</v>
      </c>
      <c r="AG515" s="82">
        <v>4619</v>
      </c>
      <c r="AH515" s="82">
        <v>4828</v>
      </c>
      <c r="AI515" s="82">
        <v>4827</v>
      </c>
      <c r="AJ515" s="82">
        <v>4598</v>
      </c>
      <c r="AK515" s="82">
        <v>4317</v>
      </c>
      <c r="AL515" s="82">
        <v>4512.5931563709537</v>
      </c>
      <c r="AM515" s="82">
        <v>3708.406843629049</v>
      </c>
      <c r="AN515" s="82">
        <v>4327</v>
      </c>
      <c r="AO515" s="82">
        <v>2898</v>
      </c>
      <c r="AP515" s="82">
        <v>3868</v>
      </c>
      <c r="AQ515" s="82">
        <v>4785</v>
      </c>
      <c r="AR515" s="82">
        <v>4746</v>
      </c>
      <c r="AS515" s="82">
        <v>4849</v>
      </c>
      <c r="AT515" s="82">
        <v>5180</v>
      </c>
      <c r="AU515" s="82">
        <v>4892</v>
      </c>
      <c r="AV515" s="82">
        <v>5019</v>
      </c>
      <c r="AW515" s="83">
        <v>4817</v>
      </c>
      <c r="AX515" s="82">
        <v>4929.351263001472</v>
      </c>
      <c r="AY515" s="82">
        <v>4796.3005259160636</v>
      </c>
      <c r="AZ515" s="82">
        <v>4940.6445081511138</v>
      </c>
      <c r="BA515" s="82">
        <v>4856.6884050461886</v>
      </c>
      <c r="BB515" s="82">
        <v>4966.5450990995378</v>
      </c>
      <c r="BC515" s="82">
        <v>4900.6358611220267</v>
      </c>
      <c r="BD515" s="82">
        <v>5065.2184891530624</v>
      </c>
      <c r="BE515" s="82">
        <v>5060.8633895093299</v>
      </c>
      <c r="BF515" s="82">
        <v>5206.0169500176871</v>
      </c>
      <c r="BG515" s="82">
        <v>5132.3220902529119</v>
      </c>
      <c r="BH515" s="82">
        <v>5329.8304453520759</v>
      </c>
      <c r="BI515" s="82">
        <v>5304.4560893191019</v>
      </c>
      <c r="BJ515" s="82">
        <v>4775.5659239690403</v>
      </c>
      <c r="BK515" s="82">
        <v>4091.0212942085582</v>
      </c>
      <c r="BL515" s="82">
        <v>4257.7741854916367</v>
      </c>
      <c r="BM515" s="82">
        <v>4933.7963574509013</v>
      </c>
      <c r="BN515" s="82">
        <v>5670.1809092633166</v>
      </c>
      <c r="BO515" s="82">
        <v>5675.7276891610209</v>
      </c>
      <c r="BP515" s="82">
        <v>5942.3346600016121</v>
      </c>
      <c r="BQ515" s="82">
        <v>5949.3473703347017</v>
      </c>
      <c r="BR515" s="82"/>
      <c r="BS515" s="82">
        <v>408.9</v>
      </c>
      <c r="BT515" s="82">
        <v>579</v>
      </c>
      <c r="BU515" s="82">
        <v>682</v>
      </c>
      <c r="BV515" s="82">
        <v>1011</v>
      </c>
      <c r="BW515" s="82">
        <v>1119</v>
      </c>
      <c r="BX515" s="82">
        <v>1249</v>
      </c>
      <c r="BY515" s="82">
        <v>1297</v>
      </c>
      <c r="BZ515" s="82">
        <v>1469</v>
      </c>
      <c r="CA515" s="82">
        <v>1678</v>
      </c>
      <c r="CB515" s="82">
        <v>2253</v>
      </c>
      <c r="CC515" s="82">
        <v>2467</v>
      </c>
      <c r="CD515" s="82">
        <v>2539</v>
      </c>
      <c r="CE515" s="82">
        <v>2594</v>
      </c>
      <c r="CF515" s="82">
        <v>3361</v>
      </c>
      <c r="CG515" s="82">
        <v>4053</v>
      </c>
      <c r="CH515" s="82">
        <v>4472</v>
      </c>
      <c r="CI515" s="82">
        <v>4685</v>
      </c>
      <c r="CJ515" s="82">
        <v>4251</v>
      </c>
      <c r="CK515" s="82">
        <v>6054</v>
      </c>
      <c r="CL515" s="82">
        <v>6793</v>
      </c>
      <c r="CM515" s="82">
        <v>7071</v>
      </c>
      <c r="CN515" s="82">
        <v>7720</v>
      </c>
      <c r="CO515" s="82">
        <v>8635</v>
      </c>
      <c r="CP515" s="82">
        <v>9085</v>
      </c>
      <c r="CQ515" s="82">
        <v>9395</v>
      </c>
      <c r="CR515" s="82">
        <v>9655</v>
      </c>
      <c r="CS515" s="82">
        <v>8915</v>
      </c>
      <c r="CT515" s="82">
        <v>8221</v>
      </c>
      <c r="CU515" s="82">
        <v>7225</v>
      </c>
      <c r="CV515" s="82">
        <v>8653</v>
      </c>
      <c r="CW515" s="82">
        <v>9595</v>
      </c>
      <c r="CX515" s="82">
        <v>10072</v>
      </c>
      <c r="CY515" s="83">
        <v>9836</v>
      </c>
      <c r="CZ515" s="82">
        <v>9725.6517889175338</v>
      </c>
      <c r="DA515" s="82">
        <v>9797.332913197306</v>
      </c>
      <c r="DB515" s="82">
        <v>9867.1809602215653</v>
      </c>
      <c r="DC515" s="82">
        <v>10126.081878662391</v>
      </c>
      <c r="DD515" s="82">
        <v>10338.339040270599</v>
      </c>
      <c r="DE515" s="82">
        <v>10634.286534671177</v>
      </c>
      <c r="DF515" s="82">
        <v>8866.5872181775994</v>
      </c>
      <c r="DG515" s="82">
        <v>9191.5705429425398</v>
      </c>
      <c r="DH515" s="82">
        <v>11345.908598424339</v>
      </c>
      <c r="DI515" s="82">
        <v>11891.682030336311</v>
      </c>
    </row>
    <row r="516" spans="1:113" hidden="1" outlineLevel="2">
      <c r="A516" s="1" t="s">
        <v>397</v>
      </c>
      <c r="B516" s="19" t="s">
        <v>854</v>
      </c>
      <c r="C516" s="55">
        <v>0</v>
      </c>
      <c r="D516" s="55">
        <v>0</v>
      </c>
      <c r="E516" s="55">
        <v>0</v>
      </c>
      <c r="F516" s="55">
        <v>0</v>
      </c>
      <c r="G516" s="55">
        <v>0</v>
      </c>
      <c r="H516" s="55">
        <v>0</v>
      </c>
      <c r="I516" s="55">
        <v>0</v>
      </c>
      <c r="J516" s="55">
        <v>0</v>
      </c>
      <c r="K516" s="55">
        <v>0</v>
      </c>
      <c r="L516" s="55">
        <v>0</v>
      </c>
      <c r="M516" s="55">
        <v>0</v>
      </c>
      <c r="N516" s="55">
        <v>0</v>
      </c>
      <c r="O516" s="55">
        <v>0</v>
      </c>
      <c r="P516" s="55">
        <v>0</v>
      </c>
      <c r="Q516" s="55">
        <v>0</v>
      </c>
      <c r="R516" s="55">
        <v>0</v>
      </c>
      <c r="S516" s="55">
        <v>0</v>
      </c>
      <c r="T516" s="55">
        <v>0</v>
      </c>
      <c r="U516" s="55">
        <v>0</v>
      </c>
      <c r="V516" s="55">
        <v>0</v>
      </c>
      <c r="W516" s="55">
        <v>0</v>
      </c>
      <c r="X516" s="55">
        <v>0</v>
      </c>
      <c r="Y516" s="55">
        <v>0</v>
      </c>
      <c r="Z516" s="55">
        <v>0</v>
      </c>
      <c r="AA516" s="55">
        <v>0</v>
      </c>
      <c r="AB516" s="55">
        <v>0</v>
      </c>
      <c r="AC516" s="55">
        <v>0</v>
      </c>
      <c r="AD516" s="55">
        <v>0</v>
      </c>
      <c r="AE516" s="55">
        <v>0</v>
      </c>
      <c r="AF516" s="55">
        <v>0</v>
      </c>
      <c r="AG516" s="55">
        <v>0</v>
      </c>
      <c r="AH516" s="55">
        <v>0</v>
      </c>
      <c r="AI516" s="55">
        <v>0</v>
      </c>
      <c r="AJ516" s="55">
        <v>0</v>
      </c>
      <c r="AK516" s="55">
        <v>0</v>
      </c>
      <c r="AL516" s="55">
        <v>0</v>
      </c>
      <c r="AM516" s="55">
        <v>0</v>
      </c>
      <c r="AN516" s="55">
        <v>0</v>
      </c>
      <c r="AO516" s="55">
        <v>0</v>
      </c>
      <c r="AP516" s="55">
        <v>0</v>
      </c>
      <c r="AQ516" s="55">
        <v>0</v>
      </c>
      <c r="AR516" s="55">
        <v>0</v>
      </c>
      <c r="AS516" s="55">
        <v>0</v>
      </c>
      <c r="AT516" s="55">
        <v>0</v>
      </c>
      <c r="AU516" s="55">
        <v>0</v>
      </c>
      <c r="AV516" s="55">
        <v>0</v>
      </c>
      <c r="AW516" s="56">
        <v>0</v>
      </c>
      <c r="AX516" s="55">
        <v>0</v>
      </c>
      <c r="AY516" s="55">
        <v>0</v>
      </c>
      <c r="AZ516" s="55">
        <v>0</v>
      </c>
      <c r="BA516" s="55">
        <v>0</v>
      </c>
      <c r="BB516" s="55">
        <v>0</v>
      </c>
      <c r="BC516" s="55">
        <v>0</v>
      </c>
      <c r="BD516" s="55">
        <v>0</v>
      </c>
      <c r="BE516" s="55">
        <v>0</v>
      </c>
      <c r="BF516" s="55">
        <v>0</v>
      </c>
      <c r="BG516" s="55">
        <v>0</v>
      </c>
      <c r="BH516" s="55">
        <v>0</v>
      </c>
      <c r="BI516" s="55">
        <v>0</v>
      </c>
      <c r="BJ516" s="55">
        <v>0</v>
      </c>
      <c r="BK516" s="55">
        <v>0</v>
      </c>
      <c r="BL516" s="55">
        <v>0</v>
      </c>
      <c r="BM516" s="55">
        <v>0</v>
      </c>
      <c r="BN516" s="55">
        <v>0</v>
      </c>
      <c r="BO516" s="55">
        <v>0</v>
      </c>
      <c r="BP516" s="55">
        <v>0</v>
      </c>
      <c r="BQ516" s="55">
        <v>0</v>
      </c>
      <c r="BR516" s="55"/>
      <c r="BS516" s="55">
        <v>0</v>
      </c>
      <c r="BT516" s="55">
        <v>0</v>
      </c>
      <c r="BU516" s="55">
        <v>0</v>
      </c>
      <c r="BV516" s="55">
        <v>0</v>
      </c>
      <c r="BW516" s="55">
        <v>0</v>
      </c>
      <c r="BX516" s="55">
        <v>0</v>
      </c>
      <c r="BY516" s="55">
        <v>0</v>
      </c>
      <c r="BZ516" s="55">
        <v>0</v>
      </c>
      <c r="CA516" s="55">
        <v>0</v>
      </c>
      <c r="CB516" s="55">
        <v>0</v>
      </c>
      <c r="CC516" s="55">
        <v>0</v>
      </c>
      <c r="CD516" s="55">
        <v>0</v>
      </c>
      <c r="CE516" s="55">
        <v>0</v>
      </c>
      <c r="CF516" s="55">
        <v>0</v>
      </c>
      <c r="CG516" s="55">
        <v>0</v>
      </c>
      <c r="CH516" s="55">
        <v>0</v>
      </c>
      <c r="CI516" s="55">
        <v>0</v>
      </c>
      <c r="CJ516" s="55">
        <v>0</v>
      </c>
      <c r="CK516" s="55">
        <v>0</v>
      </c>
      <c r="CL516" s="55">
        <v>0</v>
      </c>
      <c r="CM516" s="55">
        <v>0</v>
      </c>
      <c r="CN516" s="55">
        <v>0</v>
      </c>
      <c r="CO516" s="55">
        <v>0</v>
      </c>
      <c r="CP516" s="55">
        <v>0</v>
      </c>
      <c r="CQ516" s="55">
        <v>0</v>
      </c>
      <c r="CR516" s="55">
        <v>0</v>
      </c>
      <c r="CS516" s="55">
        <v>0</v>
      </c>
      <c r="CT516" s="55">
        <v>0</v>
      </c>
      <c r="CU516" s="55">
        <v>0</v>
      </c>
      <c r="CV516" s="55">
        <v>0</v>
      </c>
      <c r="CW516" s="55">
        <v>0</v>
      </c>
      <c r="CX516" s="55">
        <v>0</v>
      </c>
      <c r="CY516" s="56">
        <v>0</v>
      </c>
      <c r="CZ516" s="55">
        <v>0</v>
      </c>
      <c r="DA516" s="55">
        <v>0</v>
      </c>
      <c r="DB516" s="55">
        <v>0</v>
      </c>
      <c r="DC516" s="55">
        <v>0</v>
      </c>
      <c r="DD516" s="55">
        <v>0</v>
      </c>
      <c r="DE516" s="55">
        <v>0</v>
      </c>
      <c r="DF516" s="55">
        <v>0</v>
      </c>
      <c r="DG516" s="55">
        <v>0</v>
      </c>
      <c r="DH516" s="55">
        <v>0</v>
      </c>
      <c r="DI516" s="55">
        <v>0</v>
      </c>
    </row>
    <row r="517" spans="1:113" hidden="1" outlineLevel="2">
      <c r="A517" s="1" t="s">
        <v>398</v>
      </c>
      <c r="B517" s="19" t="s">
        <v>445</v>
      </c>
      <c r="C517" s="55">
        <v>0</v>
      </c>
      <c r="D517" s="55">
        <v>0</v>
      </c>
      <c r="E517" s="55">
        <v>0</v>
      </c>
      <c r="F517" s="55">
        <v>0</v>
      </c>
      <c r="G517" s="55">
        <v>0</v>
      </c>
      <c r="H517" s="55">
        <v>0</v>
      </c>
      <c r="I517" s="55">
        <v>0</v>
      </c>
      <c r="J517" s="55">
        <v>0</v>
      </c>
      <c r="K517" s="55">
        <v>0</v>
      </c>
      <c r="L517" s="55">
        <v>0</v>
      </c>
      <c r="M517" s="55">
        <v>0</v>
      </c>
      <c r="N517" s="55">
        <v>0</v>
      </c>
      <c r="O517" s="55">
        <v>0</v>
      </c>
      <c r="P517" s="55">
        <v>0</v>
      </c>
      <c r="Q517" s="55">
        <v>0</v>
      </c>
      <c r="R517" s="55">
        <v>0</v>
      </c>
      <c r="S517" s="55">
        <v>0</v>
      </c>
      <c r="T517" s="55">
        <v>0</v>
      </c>
      <c r="U517" s="55">
        <v>0</v>
      </c>
      <c r="V517" s="55">
        <v>0</v>
      </c>
      <c r="W517" s="55">
        <v>0</v>
      </c>
      <c r="X517" s="55">
        <v>0</v>
      </c>
      <c r="Y517" s="55">
        <v>0</v>
      </c>
      <c r="Z517" s="55">
        <v>0</v>
      </c>
      <c r="AA517" s="55">
        <v>0</v>
      </c>
      <c r="AB517" s="55">
        <v>0</v>
      </c>
      <c r="AC517" s="55">
        <v>0</v>
      </c>
      <c r="AD517" s="55">
        <v>0</v>
      </c>
      <c r="AE517" s="55">
        <v>0</v>
      </c>
      <c r="AF517" s="55">
        <v>0</v>
      </c>
      <c r="AG517" s="55">
        <v>0</v>
      </c>
      <c r="AH517" s="55">
        <v>0</v>
      </c>
      <c r="AI517" s="55">
        <v>0</v>
      </c>
      <c r="AJ517" s="55">
        <v>0</v>
      </c>
      <c r="AK517" s="55">
        <v>0</v>
      </c>
      <c r="AL517" s="55">
        <v>0</v>
      </c>
      <c r="AM517" s="55">
        <v>0</v>
      </c>
      <c r="AN517" s="55">
        <v>0</v>
      </c>
      <c r="AO517" s="55">
        <v>0</v>
      </c>
      <c r="AP517" s="55">
        <v>0</v>
      </c>
      <c r="AQ517" s="55">
        <v>0</v>
      </c>
      <c r="AR517" s="55">
        <v>0</v>
      </c>
      <c r="AS517" s="55">
        <v>0</v>
      </c>
      <c r="AT517" s="55">
        <v>0</v>
      </c>
      <c r="AU517" s="55">
        <v>0</v>
      </c>
      <c r="AV517" s="55">
        <v>0</v>
      </c>
      <c r="AW517" s="56">
        <v>0</v>
      </c>
      <c r="AX517" s="55">
        <v>0</v>
      </c>
      <c r="AY517" s="55">
        <v>0</v>
      </c>
      <c r="AZ517" s="55">
        <v>0</v>
      </c>
      <c r="BA517" s="55">
        <v>0</v>
      </c>
      <c r="BB517" s="55">
        <v>0</v>
      </c>
      <c r="BC517" s="55">
        <v>0</v>
      </c>
      <c r="BD517" s="55">
        <v>0</v>
      </c>
      <c r="BE517" s="55">
        <v>0</v>
      </c>
      <c r="BF517" s="55">
        <v>0</v>
      </c>
      <c r="BG517" s="55">
        <v>0</v>
      </c>
      <c r="BH517" s="55">
        <v>0</v>
      </c>
      <c r="BI517" s="55">
        <v>0</v>
      </c>
      <c r="BJ517" s="55">
        <v>0</v>
      </c>
      <c r="BK517" s="55">
        <v>0</v>
      </c>
      <c r="BL517" s="55">
        <v>0</v>
      </c>
      <c r="BM517" s="55">
        <v>0</v>
      </c>
      <c r="BN517" s="55">
        <v>0</v>
      </c>
      <c r="BO517" s="55">
        <v>0</v>
      </c>
      <c r="BP517" s="55">
        <v>0</v>
      </c>
      <c r="BQ517" s="55">
        <v>0</v>
      </c>
      <c r="BR517" s="55"/>
      <c r="BS517" s="55">
        <v>0</v>
      </c>
      <c r="BT517" s="55">
        <v>0</v>
      </c>
      <c r="BU517" s="55">
        <v>0</v>
      </c>
      <c r="BV517" s="55">
        <v>0</v>
      </c>
      <c r="BW517" s="55">
        <v>0</v>
      </c>
      <c r="BX517" s="55">
        <v>0</v>
      </c>
      <c r="BY517" s="55">
        <v>0</v>
      </c>
      <c r="BZ517" s="55">
        <v>0</v>
      </c>
      <c r="CA517" s="55">
        <v>0</v>
      </c>
      <c r="CB517" s="55">
        <v>0</v>
      </c>
      <c r="CC517" s="55">
        <v>0</v>
      </c>
      <c r="CD517" s="55">
        <v>0</v>
      </c>
      <c r="CE517" s="55">
        <v>0</v>
      </c>
      <c r="CF517" s="55">
        <v>0</v>
      </c>
      <c r="CG517" s="55">
        <v>0</v>
      </c>
      <c r="CH517" s="55">
        <v>0</v>
      </c>
      <c r="CI517" s="55">
        <v>0</v>
      </c>
      <c r="CJ517" s="55">
        <v>0</v>
      </c>
      <c r="CK517" s="55">
        <v>0</v>
      </c>
      <c r="CL517" s="55">
        <v>0</v>
      </c>
      <c r="CM517" s="55">
        <v>0</v>
      </c>
      <c r="CN517" s="55">
        <v>0</v>
      </c>
      <c r="CO517" s="55">
        <v>0</v>
      </c>
      <c r="CP517" s="55">
        <v>0</v>
      </c>
      <c r="CQ517" s="55">
        <v>0</v>
      </c>
      <c r="CR517" s="55">
        <v>0</v>
      </c>
      <c r="CS517" s="55">
        <v>0</v>
      </c>
      <c r="CT517" s="55">
        <v>0</v>
      </c>
      <c r="CU517" s="55">
        <v>0</v>
      </c>
      <c r="CV517" s="55">
        <v>0</v>
      </c>
      <c r="CW517" s="55">
        <v>0</v>
      </c>
      <c r="CX517" s="55">
        <v>0</v>
      </c>
      <c r="CY517" s="56">
        <v>0</v>
      </c>
      <c r="CZ517" s="55">
        <v>0</v>
      </c>
      <c r="DA517" s="55">
        <v>0</v>
      </c>
      <c r="DB517" s="55">
        <v>0</v>
      </c>
      <c r="DC517" s="55">
        <v>0</v>
      </c>
      <c r="DD517" s="55">
        <v>0</v>
      </c>
      <c r="DE517" s="55">
        <v>0</v>
      </c>
      <c r="DF517" s="55">
        <v>0</v>
      </c>
      <c r="DG517" s="55">
        <v>0</v>
      </c>
      <c r="DH517" s="55">
        <v>0</v>
      </c>
      <c r="DI517" s="55">
        <v>0</v>
      </c>
    </row>
    <row r="518" spans="1:113" hidden="1" outlineLevel="2">
      <c r="A518" s="1" t="s">
        <v>330</v>
      </c>
      <c r="B518" s="19" t="s">
        <v>369</v>
      </c>
      <c r="C518" s="55">
        <v>0</v>
      </c>
      <c r="D518" s="55">
        <v>0</v>
      </c>
      <c r="E518" s="55">
        <v>0</v>
      </c>
      <c r="F518" s="55">
        <v>0</v>
      </c>
      <c r="G518" s="55">
        <v>0</v>
      </c>
      <c r="H518" s="55">
        <v>0</v>
      </c>
      <c r="I518" s="55">
        <v>0</v>
      </c>
      <c r="J518" s="55">
        <v>0</v>
      </c>
      <c r="K518" s="55">
        <v>0</v>
      </c>
      <c r="L518" s="55">
        <v>0</v>
      </c>
      <c r="M518" s="55">
        <v>0</v>
      </c>
      <c r="N518" s="55">
        <v>0</v>
      </c>
      <c r="O518" s="55">
        <v>0</v>
      </c>
      <c r="P518" s="55">
        <v>0</v>
      </c>
      <c r="Q518" s="55">
        <v>0</v>
      </c>
      <c r="R518" s="55">
        <v>0</v>
      </c>
      <c r="S518" s="55">
        <v>0</v>
      </c>
      <c r="T518" s="55">
        <v>0</v>
      </c>
      <c r="U518" s="55">
        <v>0</v>
      </c>
      <c r="V518" s="55">
        <v>0</v>
      </c>
      <c r="W518" s="55">
        <v>0</v>
      </c>
      <c r="X518" s="55">
        <v>0</v>
      </c>
      <c r="Y518" s="55">
        <v>0</v>
      </c>
      <c r="Z518" s="55">
        <v>0</v>
      </c>
      <c r="AA518" s="55">
        <v>0</v>
      </c>
      <c r="AB518" s="55">
        <v>0</v>
      </c>
      <c r="AC518" s="55">
        <v>0</v>
      </c>
      <c r="AD518" s="55">
        <v>0</v>
      </c>
      <c r="AE518" s="55">
        <v>0</v>
      </c>
      <c r="AF518" s="55">
        <v>0</v>
      </c>
      <c r="AG518" s="55">
        <v>0</v>
      </c>
      <c r="AH518" s="55">
        <v>0</v>
      </c>
      <c r="AI518" s="55">
        <v>0</v>
      </c>
      <c r="AJ518" s="55">
        <v>0</v>
      </c>
      <c r="AK518" s="55">
        <v>0</v>
      </c>
      <c r="AL518" s="55">
        <v>0</v>
      </c>
      <c r="AM518" s="55">
        <v>0</v>
      </c>
      <c r="AN518" s="55">
        <v>0</v>
      </c>
      <c r="AO518" s="55">
        <v>0</v>
      </c>
      <c r="AP518" s="55">
        <v>0</v>
      </c>
      <c r="AQ518" s="55">
        <v>0</v>
      </c>
      <c r="AR518" s="55">
        <v>0</v>
      </c>
      <c r="AS518" s="55">
        <v>0</v>
      </c>
      <c r="AT518" s="55">
        <v>0</v>
      </c>
      <c r="AU518" s="55">
        <v>0</v>
      </c>
      <c r="AV518" s="55">
        <v>0</v>
      </c>
      <c r="AW518" s="56">
        <v>0</v>
      </c>
      <c r="AX518" s="55">
        <v>0</v>
      </c>
      <c r="AY518" s="55">
        <v>0</v>
      </c>
      <c r="AZ518" s="55">
        <v>0</v>
      </c>
      <c r="BA518" s="55">
        <v>0</v>
      </c>
      <c r="BB518" s="55">
        <v>0</v>
      </c>
      <c r="BC518" s="55">
        <v>0</v>
      </c>
      <c r="BD518" s="55">
        <v>0</v>
      </c>
      <c r="BE518" s="55">
        <v>0</v>
      </c>
      <c r="BF518" s="55">
        <v>0</v>
      </c>
      <c r="BG518" s="55">
        <v>0</v>
      </c>
      <c r="BH518" s="55">
        <v>0</v>
      </c>
      <c r="BI518" s="55">
        <v>0</v>
      </c>
      <c r="BJ518" s="55">
        <v>0</v>
      </c>
      <c r="BK518" s="55">
        <v>0</v>
      </c>
      <c r="BL518" s="55">
        <v>0</v>
      </c>
      <c r="BM518" s="55">
        <v>0</v>
      </c>
      <c r="BN518" s="55">
        <v>0</v>
      </c>
      <c r="BO518" s="55">
        <v>0</v>
      </c>
      <c r="BP518" s="55">
        <v>0</v>
      </c>
      <c r="BQ518" s="55">
        <v>0</v>
      </c>
      <c r="BR518" s="55"/>
      <c r="BS518" s="55">
        <v>0</v>
      </c>
      <c r="BT518" s="55">
        <v>0</v>
      </c>
      <c r="BU518" s="55">
        <v>0</v>
      </c>
      <c r="BV518" s="55">
        <v>0</v>
      </c>
      <c r="BW518" s="55">
        <v>0</v>
      </c>
      <c r="BX518" s="55">
        <v>0</v>
      </c>
      <c r="BY518" s="55">
        <v>0</v>
      </c>
      <c r="BZ518" s="55">
        <v>0</v>
      </c>
      <c r="CA518" s="55">
        <v>0</v>
      </c>
      <c r="CB518" s="55">
        <v>0</v>
      </c>
      <c r="CC518" s="55">
        <v>0</v>
      </c>
      <c r="CD518" s="55">
        <v>0</v>
      </c>
      <c r="CE518" s="55">
        <v>0</v>
      </c>
      <c r="CF518" s="55">
        <v>0</v>
      </c>
      <c r="CG518" s="55">
        <v>0</v>
      </c>
      <c r="CH518" s="55">
        <v>0</v>
      </c>
      <c r="CI518" s="55">
        <v>0</v>
      </c>
      <c r="CJ518" s="55">
        <v>0</v>
      </c>
      <c r="CK518" s="55">
        <v>0</v>
      </c>
      <c r="CL518" s="55">
        <v>0</v>
      </c>
      <c r="CM518" s="55">
        <v>0</v>
      </c>
      <c r="CN518" s="55">
        <v>0</v>
      </c>
      <c r="CO518" s="55">
        <v>0</v>
      </c>
      <c r="CP518" s="55">
        <v>0</v>
      </c>
      <c r="CQ518" s="55">
        <v>0</v>
      </c>
      <c r="CR518" s="55">
        <v>0</v>
      </c>
      <c r="CS518" s="55">
        <v>0</v>
      </c>
      <c r="CT518" s="55">
        <v>0</v>
      </c>
      <c r="CU518" s="55">
        <v>0</v>
      </c>
      <c r="CV518" s="55">
        <v>0</v>
      </c>
      <c r="CW518" s="55">
        <v>0</v>
      </c>
      <c r="CX518" s="55">
        <v>0</v>
      </c>
      <c r="CY518" s="56">
        <v>0</v>
      </c>
      <c r="CZ518" s="55">
        <v>0</v>
      </c>
      <c r="DA518" s="55">
        <v>0</v>
      </c>
      <c r="DB518" s="55">
        <v>0</v>
      </c>
      <c r="DC518" s="55">
        <v>0</v>
      </c>
      <c r="DD518" s="55">
        <v>0</v>
      </c>
      <c r="DE518" s="55">
        <v>0</v>
      </c>
      <c r="DF518" s="55">
        <v>0</v>
      </c>
      <c r="DG518" s="55">
        <v>0</v>
      </c>
      <c r="DH518" s="55">
        <v>0</v>
      </c>
      <c r="DI518" s="55">
        <v>0</v>
      </c>
    </row>
    <row r="519" spans="1:113" hidden="1" outlineLevel="2">
      <c r="A519" s="1" t="s">
        <v>331</v>
      </c>
      <c r="B519" s="19" t="s">
        <v>370</v>
      </c>
      <c r="C519" s="55">
        <v>0</v>
      </c>
      <c r="D519" s="55">
        <v>0</v>
      </c>
      <c r="E519" s="55">
        <v>0</v>
      </c>
      <c r="F519" s="55">
        <v>0</v>
      </c>
      <c r="G519" s="55">
        <v>0</v>
      </c>
      <c r="H519" s="55">
        <v>0</v>
      </c>
      <c r="I519" s="55">
        <v>0</v>
      </c>
      <c r="J519" s="55">
        <v>0</v>
      </c>
      <c r="K519" s="55">
        <v>0</v>
      </c>
      <c r="L519" s="55">
        <v>0</v>
      </c>
      <c r="M519" s="55">
        <v>0</v>
      </c>
      <c r="N519" s="55">
        <v>0</v>
      </c>
      <c r="O519" s="55">
        <v>0</v>
      </c>
      <c r="P519" s="55">
        <v>0</v>
      </c>
      <c r="Q519" s="55">
        <v>0</v>
      </c>
      <c r="R519" s="55">
        <v>0</v>
      </c>
      <c r="S519" s="55">
        <v>0</v>
      </c>
      <c r="T519" s="55">
        <v>0</v>
      </c>
      <c r="U519" s="55">
        <v>0</v>
      </c>
      <c r="V519" s="55">
        <v>0</v>
      </c>
      <c r="W519" s="55">
        <v>0</v>
      </c>
      <c r="X519" s="55">
        <v>0</v>
      </c>
      <c r="Y519" s="55">
        <v>0</v>
      </c>
      <c r="Z519" s="55">
        <v>0</v>
      </c>
      <c r="AA519" s="55">
        <v>0</v>
      </c>
      <c r="AB519" s="55">
        <v>0</v>
      </c>
      <c r="AC519" s="55">
        <v>0</v>
      </c>
      <c r="AD519" s="55">
        <v>0</v>
      </c>
      <c r="AE519" s="55">
        <v>0</v>
      </c>
      <c r="AF519" s="55">
        <v>0</v>
      </c>
      <c r="AG519" s="55">
        <v>0</v>
      </c>
      <c r="AH519" s="55">
        <v>0</v>
      </c>
      <c r="AI519" s="55">
        <v>0</v>
      </c>
      <c r="AJ519" s="55">
        <v>0</v>
      </c>
      <c r="AK519" s="55">
        <v>0</v>
      </c>
      <c r="AL519" s="55">
        <v>0</v>
      </c>
      <c r="AM519" s="55">
        <v>0</v>
      </c>
      <c r="AN519" s="55">
        <v>0</v>
      </c>
      <c r="AO519" s="55">
        <v>0</v>
      </c>
      <c r="AP519" s="55">
        <v>0</v>
      </c>
      <c r="AQ519" s="55">
        <v>0</v>
      </c>
      <c r="AR519" s="55">
        <v>0</v>
      </c>
      <c r="AS519" s="55">
        <v>0</v>
      </c>
      <c r="AT519" s="55">
        <v>0</v>
      </c>
      <c r="AU519" s="55">
        <v>0</v>
      </c>
      <c r="AV519" s="55">
        <v>0</v>
      </c>
      <c r="AW519" s="56">
        <v>0</v>
      </c>
      <c r="AX519" s="55">
        <v>0</v>
      </c>
      <c r="AY519" s="55">
        <v>0</v>
      </c>
      <c r="AZ519" s="55">
        <v>0</v>
      </c>
      <c r="BA519" s="55">
        <v>0</v>
      </c>
      <c r="BB519" s="55">
        <v>0</v>
      </c>
      <c r="BC519" s="55">
        <v>0</v>
      </c>
      <c r="BD519" s="55">
        <v>0</v>
      </c>
      <c r="BE519" s="55">
        <v>0</v>
      </c>
      <c r="BF519" s="55">
        <v>0</v>
      </c>
      <c r="BG519" s="55">
        <v>0</v>
      </c>
      <c r="BH519" s="55">
        <v>0</v>
      </c>
      <c r="BI519" s="55">
        <v>0</v>
      </c>
      <c r="BJ519" s="55">
        <v>0</v>
      </c>
      <c r="BK519" s="55">
        <v>0</v>
      </c>
      <c r="BL519" s="55">
        <v>0</v>
      </c>
      <c r="BM519" s="55">
        <v>0</v>
      </c>
      <c r="BN519" s="55">
        <v>0</v>
      </c>
      <c r="BO519" s="55">
        <v>0</v>
      </c>
      <c r="BP519" s="55">
        <v>0</v>
      </c>
      <c r="BQ519" s="55">
        <v>0</v>
      </c>
      <c r="BR519" s="55"/>
      <c r="BS519" s="55">
        <v>0</v>
      </c>
      <c r="BT519" s="55">
        <v>0</v>
      </c>
      <c r="BU519" s="55">
        <v>0</v>
      </c>
      <c r="BV519" s="55">
        <v>0</v>
      </c>
      <c r="BW519" s="55">
        <v>0</v>
      </c>
      <c r="BX519" s="55">
        <v>0</v>
      </c>
      <c r="BY519" s="55">
        <v>0</v>
      </c>
      <c r="BZ519" s="55">
        <v>0</v>
      </c>
      <c r="CA519" s="55">
        <v>0</v>
      </c>
      <c r="CB519" s="55">
        <v>0</v>
      </c>
      <c r="CC519" s="55">
        <v>0</v>
      </c>
      <c r="CD519" s="55">
        <v>0</v>
      </c>
      <c r="CE519" s="55">
        <v>0</v>
      </c>
      <c r="CF519" s="55">
        <v>0</v>
      </c>
      <c r="CG519" s="55">
        <v>0</v>
      </c>
      <c r="CH519" s="55">
        <v>0</v>
      </c>
      <c r="CI519" s="55">
        <v>0</v>
      </c>
      <c r="CJ519" s="55">
        <v>0</v>
      </c>
      <c r="CK519" s="55">
        <v>0</v>
      </c>
      <c r="CL519" s="55">
        <v>0</v>
      </c>
      <c r="CM519" s="55">
        <v>0</v>
      </c>
      <c r="CN519" s="55">
        <v>0</v>
      </c>
      <c r="CO519" s="55">
        <v>0</v>
      </c>
      <c r="CP519" s="55">
        <v>0</v>
      </c>
      <c r="CQ519" s="55">
        <v>0</v>
      </c>
      <c r="CR519" s="55">
        <v>0</v>
      </c>
      <c r="CS519" s="55">
        <v>0</v>
      </c>
      <c r="CT519" s="55">
        <v>0</v>
      </c>
      <c r="CU519" s="55">
        <v>0</v>
      </c>
      <c r="CV519" s="55">
        <v>0</v>
      </c>
      <c r="CW519" s="55">
        <v>0</v>
      </c>
      <c r="CX519" s="55">
        <v>0</v>
      </c>
      <c r="CY519" s="56">
        <v>0</v>
      </c>
      <c r="CZ519" s="55">
        <v>0</v>
      </c>
      <c r="DA519" s="55">
        <v>0</v>
      </c>
      <c r="DB519" s="55">
        <v>0</v>
      </c>
      <c r="DC519" s="55">
        <v>0</v>
      </c>
      <c r="DD519" s="55">
        <v>0</v>
      </c>
      <c r="DE519" s="55">
        <v>0</v>
      </c>
      <c r="DF519" s="55">
        <v>0</v>
      </c>
      <c r="DG519" s="55">
        <v>0</v>
      </c>
      <c r="DH519" s="55">
        <v>0</v>
      </c>
      <c r="DI519" s="55">
        <v>0</v>
      </c>
    </row>
    <row r="520" spans="1:113" hidden="1" outlineLevel="2">
      <c r="A520" s="1" t="s">
        <v>957</v>
      </c>
      <c r="B520" s="19" t="s">
        <v>360</v>
      </c>
      <c r="C520" s="55">
        <v>0</v>
      </c>
      <c r="D520" s="55">
        <v>0</v>
      </c>
      <c r="E520" s="55">
        <v>0</v>
      </c>
      <c r="F520" s="55">
        <v>0</v>
      </c>
      <c r="G520" s="55">
        <v>0</v>
      </c>
      <c r="H520" s="55">
        <v>0</v>
      </c>
      <c r="I520" s="55">
        <v>0</v>
      </c>
      <c r="J520" s="55">
        <v>0</v>
      </c>
      <c r="K520" s="55">
        <v>0</v>
      </c>
      <c r="L520" s="55">
        <v>0</v>
      </c>
      <c r="M520" s="55">
        <v>0</v>
      </c>
      <c r="N520" s="55">
        <v>0</v>
      </c>
      <c r="O520" s="55">
        <v>0</v>
      </c>
      <c r="P520" s="55">
        <v>0</v>
      </c>
      <c r="Q520" s="55">
        <v>0</v>
      </c>
      <c r="R520" s="55">
        <v>0</v>
      </c>
      <c r="S520" s="55">
        <v>0</v>
      </c>
      <c r="T520" s="55">
        <v>0</v>
      </c>
      <c r="U520" s="55">
        <v>0</v>
      </c>
      <c r="V520" s="55">
        <v>0</v>
      </c>
      <c r="W520" s="55">
        <v>0</v>
      </c>
      <c r="X520" s="55">
        <v>0</v>
      </c>
      <c r="Y520" s="55">
        <v>0</v>
      </c>
      <c r="Z520" s="55">
        <v>0</v>
      </c>
      <c r="AA520" s="55">
        <v>0</v>
      </c>
      <c r="AB520" s="55">
        <v>0</v>
      </c>
      <c r="AC520" s="55">
        <v>0</v>
      </c>
      <c r="AD520" s="55">
        <v>0</v>
      </c>
      <c r="AE520" s="55">
        <v>0</v>
      </c>
      <c r="AF520" s="55">
        <v>0</v>
      </c>
      <c r="AG520" s="55">
        <v>0</v>
      </c>
      <c r="AH520" s="55">
        <v>0</v>
      </c>
      <c r="AI520" s="55">
        <v>0</v>
      </c>
      <c r="AJ520" s="55">
        <v>0</v>
      </c>
      <c r="AK520" s="55">
        <v>0</v>
      </c>
      <c r="AL520" s="55">
        <v>0</v>
      </c>
      <c r="AM520" s="55">
        <v>0</v>
      </c>
      <c r="AN520" s="55">
        <v>0</v>
      </c>
      <c r="AO520" s="55">
        <v>0</v>
      </c>
      <c r="AP520" s="55">
        <v>0</v>
      </c>
      <c r="AQ520" s="55">
        <v>0</v>
      </c>
      <c r="AR520" s="55">
        <v>0</v>
      </c>
      <c r="AS520" s="55">
        <v>0</v>
      </c>
      <c r="AT520" s="55">
        <v>0</v>
      </c>
      <c r="AU520" s="55">
        <v>0</v>
      </c>
      <c r="AV520" s="55">
        <v>0</v>
      </c>
      <c r="AW520" s="56">
        <v>0</v>
      </c>
      <c r="AX520" s="55">
        <v>0</v>
      </c>
      <c r="AY520" s="55">
        <v>0</v>
      </c>
      <c r="AZ520" s="55">
        <v>0</v>
      </c>
      <c r="BA520" s="55">
        <v>0</v>
      </c>
      <c r="BB520" s="55">
        <v>0</v>
      </c>
      <c r="BC520" s="55">
        <v>0</v>
      </c>
      <c r="BD520" s="55">
        <v>0</v>
      </c>
      <c r="BE520" s="55">
        <v>0</v>
      </c>
      <c r="BF520" s="55">
        <v>0</v>
      </c>
      <c r="BG520" s="55">
        <v>0</v>
      </c>
      <c r="BH520" s="55">
        <v>0</v>
      </c>
      <c r="BI520" s="55">
        <v>0</v>
      </c>
      <c r="BJ520" s="55">
        <v>0</v>
      </c>
      <c r="BK520" s="55">
        <v>0</v>
      </c>
      <c r="BL520" s="55">
        <v>0</v>
      </c>
      <c r="BM520" s="55">
        <v>0</v>
      </c>
      <c r="BN520" s="55">
        <v>0</v>
      </c>
      <c r="BO520" s="55">
        <v>0</v>
      </c>
      <c r="BP520" s="55">
        <v>0</v>
      </c>
      <c r="BQ520" s="55">
        <v>0</v>
      </c>
      <c r="BR520" s="55"/>
      <c r="BS520" s="55">
        <v>0</v>
      </c>
      <c r="BT520" s="55">
        <v>0</v>
      </c>
      <c r="BU520" s="55">
        <v>0</v>
      </c>
      <c r="BV520" s="55">
        <v>0</v>
      </c>
      <c r="BW520" s="55">
        <v>0</v>
      </c>
      <c r="BX520" s="55">
        <v>0</v>
      </c>
      <c r="BY520" s="55">
        <v>0</v>
      </c>
      <c r="BZ520" s="55">
        <v>0</v>
      </c>
      <c r="CA520" s="55">
        <v>0</v>
      </c>
      <c r="CB520" s="55">
        <v>0</v>
      </c>
      <c r="CC520" s="55">
        <v>0</v>
      </c>
      <c r="CD520" s="55">
        <v>0</v>
      </c>
      <c r="CE520" s="55">
        <v>0</v>
      </c>
      <c r="CF520" s="55">
        <v>0</v>
      </c>
      <c r="CG520" s="55">
        <v>0</v>
      </c>
      <c r="CH520" s="55">
        <v>0</v>
      </c>
      <c r="CI520" s="55">
        <v>0</v>
      </c>
      <c r="CJ520" s="55">
        <v>0</v>
      </c>
      <c r="CK520" s="55">
        <v>0</v>
      </c>
      <c r="CL520" s="55">
        <v>0</v>
      </c>
      <c r="CM520" s="55">
        <v>0</v>
      </c>
      <c r="CN520" s="55">
        <v>0</v>
      </c>
      <c r="CO520" s="55">
        <v>0</v>
      </c>
      <c r="CP520" s="55">
        <v>0</v>
      </c>
      <c r="CQ520" s="55">
        <v>0</v>
      </c>
      <c r="CR520" s="55">
        <v>0</v>
      </c>
      <c r="CS520" s="55">
        <v>0</v>
      </c>
      <c r="CT520" s="55">
        <v>0</v>
      </c>
      <c r="CU520" s="55">
        <v>0</v>
      </c>
      <c r="CV520" s="55">
        <v>0</v>
      </c>
      <c r="CW520" s="55">
        <v>0</v>
      </c>
      <c r="CX520" s="55">
        <v>0</v>
      </c>
      <c r="CY520" s="56">
        <v>0</v>
      </c>
      <c r="CZ520" s="55">
        <v>0</v>
      </c>
      <c r="DA520" s="55">
        <v>0</v>
      </c>
      <c r="DB520" s="55">
        <v>0</v>
      </c>
      <c r="DC520" s="55">
        <v>0</v>
      </c>
      <c r="DD520" s="55">
        <v>0</v>
      </c>
      <c r="DE520" s="55">
        <v>0</v>
      </c>
      <c r="DF520" s="55">
        <v>0</v>
      </c>
      <c r="DG520" s="55">
        <v>0</v>
      </c>
      <c r="DH520" s="55">
        <v>0</v>
      </c>
      <c r="DI520" s="55">
        <v>0</v>
      </c>
    </row>
    <row r="521" spans="1:113" s="24" customFormat="1" hidden="1" outlineLevel="2">
      <c r="A521" s="1" t="s">
        <v>332</v>
      </c>
      <c r="B521" s="24" t="s">
        <v>279</v>
      </c>
      <c r="C521" s="82">
        <v>1148.5</v>
      </c>
      <c r="D521" s="82">
        <v>1175</v>
      </c>
      <c r="E521" s="82">
        <v>1292</v>
      </c>
      <c r="F521" s="82">
        <v>1188</v>
      </c>
      <c r="G521" s="82">
        <v>1351</v>
      </c>
      <c r="H521" s="82">
        <v>1201</v>
      </c>
      <c r="I521" s="82">
        <v>1393</v>
      </c>
      <c r="J521" s="82">
        <v>1672</v>
      </c>
      <c r="K521" s="82">
        <v>1689</v>
      </c>
      <c r="L521" s="82">
        <v>2061</v>
      </c>
      <c r="M521" s="82">
        <v>1992</v>
      </c>
      <c r="N521" s="82">
        <v>2268</v>
      </c>
      <c r="O521" s="82">
        <v>2204</v>
      </c>
      <c r="P521" s="82">
        <v>2360</v>
      </c>
      <c r="Q521" s="82">
        <v>2325</v>
      </c>
      <c r="R521" s="82">
        <v>1880</v>
      </c>
      <c r="S521" s="82">
        <v>2371</v>
      </c>
      <c r="T521" s="82">
        <v>2919</v>
      </c>
      <c r="U521" s="82">
        <v>3135</v>
      </c>
      <c r="V521" s="82">
        <v>3313</v>
      </c>
      <c r="W521" s="82">
        <v>3480</v>
      </c>
      <c r="X521" s="82">
        <v>3556</v>
      </c>
      <c r="Y521" s="82">
        <v>3515</v>
      </c>
      <c r="Z521" s="82">
        <v>3730</v>
      </c>
      <c r="AA521" s="82">
        <v>3990</v>
      </c>
      <c r="AB521" s="82">
        <v>4245</v>
      </c>
      <c r="AC521" s="82">
        <v>4390</v>
      </c>
      <c r="AD521" s="82">
        <v>4599</v>
      </c>
      <c r="AE521" s="82">
        <v>4486</v>
      </c>
      <c r="AF521" s="82">
        <v>4776</v>
      </c>
      <c r="AG521" s="82">
        <v>4619</v>
      </c>
      <c r="AH521" s="82">
        <v>4828</v>
      </c>
      <c r="AI521" s="82">
        <v>4827</v>
      </c>
      <c r="AJ521" s="82">
        <v>4598</v>
      </c>
      <c r="AK521" s="82">
        <v>4317</v>
      </c>
      <c r="AL521" s="82">
        <v>4512.5931563709537</v>
      </c>
      <c r="AM521" s="82">
        <v>3708.406843629049</v>
      </c>
      <c r="AN521" s="82">
        <v>4327</v>
      </c>
      <c r="AO521" s="82">
        <v>2898</v>
      </c>
      <c r="AP521" s="82">
        <v>3868</v>
      </c>
      <c r="AQ521" s="82">
        <v>4785</v>
      </c>
      <c r="AR521" s="82">
        <v>4746</v>
      </c>
      <c r="AS521" s="82">
        <v>4849</v>
      </c>
      <c r="AT521" s="82">
        <v>5180</v>
      </c>
      <c r="AU521" s="82">
        <v>4892</v>
      </c>
      <c r="AV521" s="82">
        <v>5019</v>
      </c>
      <c r="AW521" s="83">
        <v>4817</v>
      </c>
      <c r="AX521" s="82">
        <v>4929.351263001472</v>
      </c>
      <c r="AY521" s="82">
        <v>4796.3005259160636</v>
      </c>
      <c r="AZ521" s="82">
        <v>4940.6445081511138</v>
      </c>
      <c r="BA521" s="82">
        <v>4856.6884050461886</v>
      </c>
      <c r="BB521" s="82">
        <v>4966.5450990995378</v>
      </c>
      <c r="BC521" s="82">
        <v>4900.6358611220267</v>
      </c>
      <c r="BD521" s="82">
        <v>5065.2184891530624</v>
      </c>
      <c r="BE521" s="82">
        <v>5060.8633895093299</v>
      </c>
      <c r="BF521" s="82">
        <v>5206.0169500176871</v>
      </c>
      <c r="BG521" s="82">
        <v>5132.3220902529119</v>
      </c>
      <c r="BH521" s="82">
        <v>5329.8304453520759</v>
      </c>
      <c r="BI521" s="82">
        <v>5304.4560893191019</v>
      </c>
      <c r="BJ521" s="82">
        <v>4775.5659239690403</v>
      </c>
      <c r="BK521" s="82">
        <v>4091.0212942085582</v>
      </c>
      <c r="BL521" s="82">
        <v>4257.7741854916367</v>
      </c>
      <c r="BM521" s="82">
        <v>4933.7963574509013</v>
      </c>
      <c r="BN521" s="82">
        <v>5670.1809092633166</v>
      </c>
      <c r="BO521" s="82">
        <v>5675.7276891610209</v>
      </c>
      <c r="BP521" s="82">
        <v>5942.3346600016121</v>
      </c>
      <c r="BQ521" s="82">
        <v>5949.3473703347017</v>
      </c>
      <c r="BR521" s="82"/>
      <c r="BS521" s="82">
        <v>408.9</v>
      </c>
      <c r="BT521" s="82">
        <v>579</v>
      </c>
      <c r="BU521" s="82">
        <v>682</v>
      </c>
      <c r="BV521" s="82">
        <v>1011</v>
      </c>
      <c r="BW521" s="82">
        <v>1119</v>
      </c>
      <c r="BX521" s="82">
        <v>1249</v>
      </c>
      <c r="BY521" s="82">
        <v>1297</v>
      </c>
      <c r="BZ521" s="82">
        <v>1469</v>
      </c>
      <c r="CA521" s="82">
        <v>1678</v>
      </c>
      <c r="CB521" s="82">
        <v>2253</v>
      </c>
      <c r="CC521" s="82">
        <v>2467</v>
      </c>
      <c r="CD521" s="82">
        <v>2539</v>
      </c>
      <c r="CE521" s="82">
        <v>2594</v>
      </c>
      <c r="CF521" s="82">
        <v>3361</v>
      </c>
      <c r="CG521" s="82">
        <v>4053</v>
      </c>
      <c r="CH521" s="82">
        <v>4472</v>
      </c>
      <c r="CI521" s="82">
        <v>4685</v>
      </c>
      <c r="CJ521" s="82">
        <v>4251</v>
      </c>
      <c r="CK521" s="82">
        <v>6054</v>
      </c>
      <c r="CL521" s="82">
        <v>6793</v>
      </c>
      <c r="CM521" s="82">
        <v>7071</v>
      </c>
      <c r="CN521" s="82">
        <v>7720</v>
      </c>
      <c r="CO521" s="82">
        <v>8635</v>
      </c>
      <c r="CP521" s="82">
        <v>9085</v>
      </c>
      <c r="CQ521" s="82">
        <v>9395</v>
      </c>
      <c r="CR521" s="82">
        <v>9655</v>
      </c>
      <c r="CS521" s="82">
        <v>8915</v>
      </c>
      <c r="CT521" s="82">
        <v>8221.0000000000036</v>
      </c>
      <c r="CU521" s="82">
        <v>7225</v>
      </c>
      <c r="CV521" s="82">
        <v>8653</v>
      </c>
      <c r="CW521" s="82">
        <v>9595</v>
      </c>
      <c r="CX521" s="82">
        <v>10072</v>
      </c>
      <c r="CY521" s="83">
        <v>9836</v>
      </c>
      <c r="CZ521" s="82">
        <v>9725.6517889175357</v>
      </c>
      <c r="DA521" s="82">
        <v>9797.3329131973023</v>
      </c>
      <c r="DB521" s="82">
        <v>9867.1809602215653</v>
      </c>
      <c r="DC521" s="82">
        <v>10126.081878662393</v>
      </c>
      <c r="DD521" s="82">
        <v>10338.339040270599</v>
      </c>
      <c r="DE521" s="82">
        <v>10634.286534671177</v>
      </c>
      <c r="DF521" s="82">
        <v>8866.5872181775994</v>
      </c>
      <c r="DG521" s="82">
        <v>9191.5705429425379</v>
      </c>
      <c r="DH521" s="82">
        <v>11345.908598424337</v>
      </c>
      <c r="DI521" s="82">
        <v>11891.682030336313</v>
      </c>
    </row>
    <row r="522" spans="1:113" outlineLevel="1" collapsed="1">
      <c r="A522" s="1" t="s">
        <v>958</v>
      </c>
      <c r="B522" s="19" t="s">
        <v>258</v>
      </c>
      <c r="C522" s="55">
        <v>4.5</v>
      </c>
      <c r="D522" s="55">
        <v>17</v>
      </c>
      <c r="E522" s="55">
        <v>17</v>
      </c>
      <c r="F522" s="55">
        <v>20</v>
      </c>
      <c r="G522" s="55">
        <v>20</v>
      </c>
      <c r="H522" s="55">
        <v>39</v>
      </c>
      <c r="I522" s="55">
        <v>62</v>
      </c>
      <c r="J522" s="55">
        <v>61</v>
      </c>
      <c r="K522" s="55">
        <v>70</v>
      </c>
      <c r="L522" s="55">
        <v>0</v>
      </c>
      <c r="M522" s="55">
        <v>0</v>
      </c>
      <c r="N522" s="55">
        <v>28</v>
      </c>
      <c r="O522" s="55">
        <v>27</v>
      </c>
      <c r="P522" s="55">
        <v>25</v>
      </c>
      <c r="Q522" s="55">
        <v>23</v>
      </c>
      <c r="R522" s="55">
        <v>26</v>
      </c>
      <c r="S522" s="55">
        <v>31</v>
      </c>
      <c r="T522" s="55">
        <v>24</v>
      </c>
      <c r="U522" s="55">
        <v>23</v>
      </c>
      <c r="V522" s="55">
        <v>22</v>
      </c>
      <c r="W522" s="55">
        <v>20</v>
      </c>
      <c r="X522" s="55">
        <v>20</v>
      </c>
      <c r="Y522" s="55">
        <v>22</v>
      </c>
      <c r="Z522" s="55">
        <v>20</v>
      </c>
      <c r="AA522" s="55">
        <v>20</v>
      </c>
      <c r="AB522" s="55">
        <v>23</v>
      </c>
      <c r="AC522" s="55">
        <v>22</v>
      </c>
      <c r="AD522" s="55">
        <v>24</v>
      </c>
      <c r="AE522" s="55">
        <v>28</v>
      </c>
      <c r="AF522" s="55">
        <v>32</v>
      </c>
      <c r="AG522" s="55">
        <v>18</v>
      </c>
      <c r="AH522" s="55">
        <v>0</v>
      </c>
      <c r="AI522" s="55">
        <v>0</v>
      </c>
      <c r="AJ522" s="55">
        <v>0</v>
      </c>
      <c r="AK522" s="55">
        <v>0</v>
      </c>
      <c r="AL522" s="55">
        <v>0</v>
      </c>
      <c r="AM522" s="55">
        <v>0</v>
      </c>
      <c r="AN522" s="55">
        <v>0</v>
      </c>
      <c r="AO522" s="55">
        <v>0</v>
      </c>
      <c r="AP522" s="55">
        <v>0</v>
      </c>
      <c r="AQ522" s="55">
        <v>0</v>
      </c>
      <c r="AR522" s="55">
        <v>0</v>
      </c>
      <c r="AS522" s="55">
        <v>0</v>
      </c>
      <c r="AT522" s="55">
        <v>0</v>
      </c>
      <c r="AU522" s="55">
        <v>0</v>
      </c>
      <c r="AV522" s="55">
        <v>0</v>
      </c>
      <c r="AW522" s="56">
        <v>0</v>
      </c>
      <c r="AX522" s="55">
        <v>0</v>
      </c>
      <c r="AY522" s="55">
        <v>0</v>
      </c>
      <c r="AZ522" s="55">
        <v>0</v>
      </c>
      <c r="BA522" s="55">
        <v>0</v>
      </c>
      <c r="BB522" s="55">
        <v>0</v>
      </c>
      <c r="BC522" s="55">
        <v>0</v>
      </c>
      <c r="BD522" s="55">
        <v>0</v>
      </c>
      <c r="BE522" s="55">
        <v>0</v>
      </c>
      <c r="BF522" s="55">
        <v>0</v>
      </c>
      <c r="BG522" s="55">
        <v>0</v>
      </c>
      <c r="BH522" s="55">
        <v>0</v>
      </c>
      <c r="BI522" s="55">
        <v>0</v>
      </c>
      <c r="BJ522" s="55">
        <v>0</v>
      </c>
      <c r="BK522" s="55">
        <v>0</v>
      </c>
      <c r="BL522" s="55">
        <v>0</v>
      </c>
      <c r="BM522" s="55">
        <v>0</v>
      </c>
      <c r="BN522" s="55">
        <v>0</v>
      </c>
      <c r="BO522" s="55">
        <v>0</v>
      </c>
      <c r="BP522" s="55">
        <v>0</v>
      </c>
      <c r="BQ522" s="55">
        <v>0</v>
      </c>
      <c r="BR522" s="55"/>
      <c r="BS522" s="55">
        <v>0</v>
      </c>
      <c r="BT522" s="55">
        <v>0</v>
      </c>
      <c r="BU522" s="55">
        <v>0</v>
      </c>
      <c r="BV522" s="55">
        <v>0</v>
      </c>
      <c r="BW522" s="55">
        <v>0</v>
      </c>
      <c r="BX522" s="55">
        <v>0</v>
      </c>
      <c r="BY522" s="55">
        <v>0</v>
      </c>
      <c r="BZ522" s="55">
        <v>0</v>
      </c>
      <c r="CA522" s="55">
        <v>0</v>
      </c>
      <c r="CB522" s="55">
        <v>9</v>
      </c>
      <c r="CC522" s="55">
        <v>34</v>
      </c>
      <c r="CD522" s="55">
        <v>40</v>
      </c>
      <c r="CE522" s="55">
        <v>101</v>
      </c>
      <c r="CF522" s="55">
        <v>131</v>
      </c>
      <c r="CG522" s="55">
        <v>0</v>
      </c>
      <c r="CH522" s="55">
        <v>55</v>
      </c>
      <c r="CI522" s="55">
        <v>48</v>
      </c>
      <c r="CJ522" s="55">
        <v>57</v>
      </c>
      <c r="CK522" s="55">
        <v>47</v>
      </c>
      <c r="CL522" s="55">
        <v>42</v>
      </c>
      <c r="CM522" s="55">
        <v>42</v>
      </c>
      <c r="CN522" s="55">
        <v>40</v>
      </c>
      <c r="CO522" s="55">
        <v>45</v>
      </c>
      <c r="CP522" s="55">
        <v>52</v>
      </c>
      <c r="CQ522" s="55">
        <v>50</v>
      </c>
      <c r="CR522" s="55">
        <v>0</v>
      </c>
      <c r="CS522" s="55">
        <v>0</v>
      </c>
      <c r="CT522" s="55">
        <v>0</v>
      </c>
      <c r="CU522" s="55">
        <v>0</v>
      </c>
      <c r="CV522" s="55">
        <v>0</v>
      </c>
      <c r="CW522" s="55">
        <v>0</v>
      </c>
      <c r="CX522" s="55">
        <v>0</v>
      </c>
      <c r="CY522" s="56">
        <v>0</v>
      </c>
      <c r="CZ522" s="55">
        <v>0</v>
      </c>
      <c r="DA522" s="55">
        <v>0</v>
      </c>
      <c r="DB522" s="55">
        <v>0</v>
      </c>
      <c r="DC522" s="55">
        <v>0</v>
      </c>
      <c r="DD522" s="55">
        <v>0</v>
      </c>
      <c r="DE522" s="55">
        <v>0</v>
      </c>
      <c r="DF522" s="55">
        <v>0</v>
      </c>
      <c r="DG522" s="55">
        <v>0</v>
      </c>
      <c r="DH522" s="55">
        <v>0</v>
      </c>
      <c r="DI522" s="55">
        <v>0</v>
      </c>
    </row>
    <row r="523" spans="1:113" outlineLevel="1">
      <c r="A523" s="1" t="s">
        <v>831</v>
      </c>
      <c r="B523" s="19" t="s">
        <v>280</v>
      </c>
      <c r="C523" s="53">
        <v>285</v>
      </c>
      <c r="D523" s="53">
        <v>174</v>
      </c>
      <c r="E523" s="53">
        <v>303</v>
      </c>
      <c r="F523" s="53">
        <v>-426</v>
      </c>
      <c r="G523" s="53">
        <v>181</v>
      </c>
      <c r="H523" s="53">
        <v>165</v>
      </c>
      <c r="I523" s="53">
        <v>36</v>
      </c>
      <c r="J523" s="53">
        <v>-28</v>
      </c>
      <c r="K523" s="53">
        <v>-25</v>
      </c>
      <c r="L523" s="53">
        <v>-19</v>
      </c>
      <c r="M523" s="53">
        <v>-6</v>
      </c>
      <c r="N523" s="53">
        <v>4</v>
      </c>
      <c r="O523" s="53">
        <v>1</v>
      </c>
      <c r="P523" s="53">
        <v>-4</v>
      </c>
      <c r="Q523" s="53">
        <v>44</v>
      </c>
      <c r="R523" s="53">
        <v>641</v>
      </c>
      <c r="S523" s="53">
        <v>45</v>
      </c>
      <c r="T523" s="53">
        <v>-202</v>
      </c>
      <c r="U523" s="53">
        <v>8</v>
      </c>
      <c r="V523" s="53">
        <v>-7</v>
      </c>
      <c r="W523" s="53">
        <v>0</v>
      </c>
      <c r="X523" s="53">
        <v>-33</v>
      </c>
      <c r="Y523" s="53">
        <v>-10</v>
      </c>
      <c r="Z523" s="53">
        <v>-45</v>
      </c>
      <c r="AA523" s="164">
        <v>0</v>
      </c>
      <c r="AB523" s="164">
        <v>2</v>
      </c>
      <c r="AC523" s="164">
        <v>40</v>
      </c>
      <c r="AD523" s="164">
        <v>0</v>
      </c>
      <c r="AE523" s="164">
        <v>0</v>
      </c>
      <c r="AF523" s="164">
        <v>0</v>
      </c>
      <c r="AG523" s="164">
        <v>0</v>
      </c>
      <c r="AH523" s="164">
        <v>79</v>
      </c>
      <c r="AI523" s="164">
        <v>147</v>
      </c>
      <c r="AJ523" s="164">
        <v>273</v>
      </c>
      <c r="AK523" s="164">
        <v>224</v>
      </c>
      <c r="AL523" s="164">
        <v>255.40684362904631</v>
      </c>
      <c r="AM523" s="164">
        <v>229.59315637095096</v>
      </c>
      <c r="AN523" s="164">
        <v>164</v>
      </c>
      <c r="AO523" s="164">
        <v>18</v>
      </c>
      <c r="AP523" s="164">
        <v>99</v>
      </c>
      <c r="AQ523" s="164">
        <v>49</v>
      </c>
      <c r="AR523" s="164">
        <v>100</v>
      </c>
      <c r="AS523" s="164">
        <v>13</v>
      </c>
      <c r="AT523" s="164">
        <v>10</v>
      </c>
      <c r="AU523" s="164">
        <v>8</v>
      </c>
      <c r="AV523" s="164">
        <v>6</v>
      </c>
      <c r="AW523" s="171">
        <v>5</v>
      </c>
      <c r="AX523" s="54">
        <v>0</v>
      </c>
      <c r="AY523" s="54">
        <v>0</v>
      </c>
      <c r="AZ523" s="54">
        <v>0</v>
      </c>
      <c r="BA523" s="54">
        <v>0</v>
      </c>
      <c r="BB523" s="54">
        <v>0</v>
      </c>
      <c r="BC523" s="54">
        <v>0</v>
      </c>
      <c r="BD523" s="54">
        <v>0</v>
      </c>
      <c r="BE523" s="54">
        <v>0</v>
      </c>
      <c r="BF523" s="54">
        <v>0</v>
      </c>
      <c r="BG523" s="54">
        <v>0</v>
      </c>
      <c r="BH523" s="54">
        <v>0</v>
      </c>
      <c r="BI523" s="54">
        <v>0</v>
      </c>
      <c r="BJ523" s="54">
        <v>0</v>
      </c>
      <c r="BK523" s="54">
        <v>0</v>
      </c>
      <c r="BL523" s="54">
        <v>0</v>
      </c>
      <c r="BM523" s="54">
        <v>0</v>
      </c>
      <c r="BN523" s="54">
        <v>0</v>
      </c>
      <c r="BO523" s="54">
        <v>0</v>
      </c>
      <c r="BP523" s="54">
        <v>0</v>
      </c>
      <c r="BQ523" s="54">
        <v>0</v>
      </c>
      <c r="BR523" s="55"/>
      <c r="BS523" s="53">
        <v>0</v>
      </c>
      <c r="BT523" s="53">
        <v>-136</v>
      </c>
      <c r="BU523" s="53">
        <v>0</v>
      </c>
      <c r="BV523" s="53">
        <v>-28</v>
      </c>
      <c r="BW523" s="53">
        <v>0</v>
      </c>
      <c r="BX523" s="53">
        <v>-128</v>
      </c>
      <c r="BY523" s="53">
        <v>-161</v>
      </c>
      <c r="BZ523" s="53">
        <v>0</v>
      </c>
      <c r="CA523" s="53">
        <v>987</v>
      </c>
      <c r="CB523" s="53">
        <v>0</v>
      </c>
      <c r="CC523" s="55">
        <v>477</v>
      </c>
      <c r="CD523" s="55">
        <v>-245</v>
      </c>
      <c r="CE523" s="55">
        <v>201</v>
      </c>
      <c r="CF523" s="55">
        <v>-53</v>
      </c>
      <c r="CG523" s="55">
        <v>-25</v>
      </c>
      <c r="CH523" s="55">
        <v>5</v>
      </c>
      <c r="CI523" s="55">
        <v>40</v>
      </c>
      <c r="CJ523" s="55">
        <v>686</v>
      </c>
      <c r="CK523" s="55">
        <v>-194</v>
      </c>
      <c r="CL523" s="55">
        <v>-7</v>
      </c>
      <c r="CM523" s="55">
        <v>-43</v>
      </c>
      <c r="CN523" s="55">
        <v>-45</v>
      </c>
      <c r="CO523" s="55">
        <v>42</v>
      </c>
      <c r="CP523" s="55">
        <v>0</v>
      </c>
      <c r="CQ523" s="55">
        <v>0</v>
      </c>
      <c r="CR523" s="55">
        <v>226</v>
      </c>
      <c r="CS523" s="55">
        <v>497</v>
      </c>
      <c r="CT523" s="55">
        <v>484.99999999999727</v>
      </c>
      <c r="CU523" s="55">
        <v>182</v>
      </c>
      <c r="CV523" s="55">
        <v>148</v>
      </c>
      <c r="CW523" s="55">
        <v>113</v>
      </c>
      <c r="CX523" s="55">
        <v>18</v>
      </c>
      <c r="CY523" s="56">
        <v>11</v>
      </c>
      <c r="CZ523" s="55">
        <v>0</v>
      </c>
      <c r="DA523" s="55">
        <v>0</v>
      </c>
      <c r="DB523" s="55">
        <v>0</v>
      </c>
      <c r="DC523" s="55">
        <v>0</v>
      </c>
      <c r="DD523" s="55">
        <v>0</v>
      </c>
      <c r="DE523" s="55">
        <v>0</v>
      </c>
      <c r="DF523" s="55">
        <v>0</v>
      </c>
      <c r="DG523" s="55">
        <v>0</v>
      </c>
      <c r="DH523" s="55">
        <v>0</v>
      </c>
      <c r="DI523" s="55">
        <v>0</v>
      </c>
    </row>
    <row r="524" spans="1:113" outlineLevel="1">
      <c r="A524" s="1" t="s">
        <v>832</v>
      </c>
      <c r="B524" s="19" t="s">
        <v>1068</v>
      </c>
      <c r="C524" s="53">
        <v>-175</v>
      </c>
      <c r="D524" s="53">
        <v>-162</v>
      </c>
      <c r="E524" s="53">
        <v>-161</v>
      </c>
      <c r="F524" s="53">
        <v>-160</v>
      </c>
      <c r="G524" s="53">
        <v>-162</v>
      </c>
      <c r="H524" s="53">
        <v>-162</v>
      </c>
      <c r="I524" s="53">
        <v>-162</v>
      </c>
      <c r="J524" s="53">
        <v>7</v>
      </c>
      <c r="K524" s="53">
        <v>-46</v>
      </c>
      <c r="L524" s="53">
        <v>-43</v>
      </c>
      <c r="M524" s="53">
        <v>-57</v>
      </c>
      <c r="N524" s="53">
        <v>-109</v>
      </c>
      <c r="O524" s="53">
        <v>47</v>
      </c>
      <c r="P524" s="53">
        <v>-10</v>
      </c>
      <c r="Q524" s="53">
        <v>28</v>
      </c>
      <c r="R524" s="53">
        <v>26</v>
      </c>
      <c r="S524" s="53">
        <v>-297</v>
      </c>
      <c r="T524" s="53">
        <v>173</v>
      </c>
      <c r="U524" s="53">
        <v>-416</v>
      </c>
      <c r="V524" s="53">
        <v>-276</v>
      </c>
      <c r="W524" s="53">
        <v>-158</v>
      </c>
      <c r="X524" s="53">
        <v>81</v>
      </c>
      <c r="Y524" s="53">
        <v>-61</v>
      </c>
      <c r="Z524" s="53">
        <v>-74</v>
      </c>
      <c r="AA524" s="164">
        <v>-23</v>
      </c>
      <c r="AB524" s="164">
        <v>-63</v>
      </c>
      <c r="AC524" s="164">
        <v>-28</v>
      </c>
      <c r="AD524" s="164">
        <v>-88</v>
      </c>
      <c r="AE524" s="164">
        <v>14</v>
      </c>
      <c r="AF524" s="164">
        <v>-185</v>
      </c>
      <c r="AG524" s="164">
        <v>-37</v>
      </c>
      <c r="AH524" s="164">
        <v>-12</v>
      </c>
      <c r="AI524" s="164">
        <v>59</v>
      </c>
      <c r="AJ524" s="164">
        <v>35</v>
      </c>
      <c r="AK524" s="164">
        <v>-118</v>
      </c>
      <c r="AL524" s="164">
        <v>-169</v>
      </c>
      <c r="AM524" s="164">
        <v>34</v>
      </c>
      <c r="AN524" s="164">
        <v>1667</v>
      </c>
      <c r="AO524" s="164">
        <v>518</v>
      </c>
      <c r="AP524" s="164">
        <v>902</v>
      </c>
      <c r="AQ524" s="164">
        <v>478</v>
      </c>
      <c r="AR524" s="164">
        <v>1024</v>
      </c>
      <c r="AS524" s="164">
        <v>39</v>
      </c>
      <c r="AT524" s="164">
        <v>-18</v>
      </c>
      <c r="AU524" s="164">
        <v>-74</v>
      </c>
      <c r="AV524" s="164">
        <v>-266</v>
      </c>
      <c r="AW524" s="171">
        <v>-187</v>
      </c>
      <c r="AX524" s="54">
        <v>0</v>
      </c>
      <c r="AY524" s="54">
        <v>0</v>
      </c>
      <c r="AZ524" s="54">
        <v>0</v>
      </c>
      <c r="BA524" s="54">
        <v>0</v>
      </c>
      <c r="BB524" s="54">
        <v>0</v>
      </c>
      <c r="BC524" s="54">
        <v>0</v>
      </c>
      <c r="BD524" s="54">
        <v>0</v>
      </c>
      <c r="BE524" s="54">
        <v>0</v>
      </c>
      <c r="BF524" s="54">
        <v>0</v>
      </c>
      <c r="BG524" s="54">
        <v>0</v>
      </c>
      <c r="BH524" s="54">
        <v>0</v>
      </c>
      <c r="BI524" s="54">
        <v>0</v>
      </c>
      <c r="BJ524" s="54">
        <v>0</v>
      </c>
      <c r="BK524" s="54">
        <v>0</v>
      </c>
      <c r="BL524" s="54">
        <v>0</v>
      </c>
      <c r="BM524" s="54">
        <v>0</v>
      </c>
      <c r="BN524" s="54">
        <v>0</v>
      </c>
      <c r="BO524" s="54">
        <v>0</v>
      </c>
      <c r="BP524" s="54">
        <v>0</v>
      </c>
      <c r="BQ524" s="54">
        <v>0</v>
      </c>
      <c r="BR524" s="55"/>
      <c r="BS524" s="53">
        <v>0</v>
      </c>
      <c r="BT524" s="53">
        <v>0</v>
      </c>
      <c r="BU524" s="53">
        <v>0</v>
      </c>
      <c r="BV524" s="53">
        <v>0</v>
      </c>
      <c r="BW524" s="53">
        <v>0</v>
      </c>
      <c r="BX524" s="53">
        <v>-43</v>
      </c>
      <c r="BY524" s="53">
        <v>-46</v>
      </c>
      <c r="BZ524" s="53">
        <v>-47</v>
      </c>
      <c r="CA524" s="53">
        <v>35</v>
      </c>
      <c r="CB524" s="53">
        <v>136</v>
      </c>
      <c r="CC524" s="55">
        <v>-323</v>
      </c>
      <c r="CD524" s="55">
        <v>-322</v>
      </c>
      <c r="CE524" s="55">
        <v>-324</v>
      </c>
      <c r="CF524" s="55">
        <v>-39</v>
      </c>
      <c r="CG524" s="55">
        <v>-100</v>
      </c>
      <c r="CH524" s="55">
        <v>-62</v>
      </c>
      <c r="CI524" s="55">
        <v>18</v>
      </c>
      <c r="CJ524" s="55">
        <v>-271</v>
      </c>
      <c r="CK524" s="55">
        <v>-243</v>
      </c>
      <c r="CL524" s="55">
        <v>-434</v>
      </c>
      <c r="CM524" s="55">
        <v>20</v>
      </c>
      <c r="CN524" s="55">
        <v>-97</v>
      </c>
      <c r="CO524" s="55">
        <v>-91</v>
      </c>
      <c r="CP524" s="55">
        <v>-74</v>
      </c>
      <c r="CQ524" s="55">
        <v>-222</v>
      </c>
      <c r="CR524" s="55">
        <v>47</v>
      </c>
      <c r="CS524" s="55">
        <v>-83</v>
      </c>
      <c r="CT524" s="55">
        <v>-135</v>
      </c>
      <c r="CU524" s="55">
        <v>2185</v>
      </c>
      <c r="CV524" s="55">
        <v>1380</v>
      </c>
      <c r="CW524" s="55">
        <v>1063</v>
      </c>
      <c r="CX524" s="55">
        <v>-92</v>
      </c>
      <c r="CY524" s="56">
        <v>-453</v>
      </c>
      <c r="CZ524" s="55">
        <v>0</v>
      </c>
      <c r="DA524" s="55">
        <v>0</v>
      </c>
      <c r="DB524" s="55">
        <v>0</v>
      </c>
      <c r="DC524" s="55">
        <v>0</v>
      </c>
      <c r="DD524" s="55">
        <v>0</v>
      </c>
      <c r="DE524" s="55">
        <v>0</v>
      </c>
      <c r="DF524" s="55">
        <v>0</v>
      </c>
      <c r="DG524" s="55">
        <v>0</v>
      </c>
      <c r="DH524" s="55">
        <v>0</v>
      </c>
      <c r="DI524" s="55">
        <v>0</v>
      </c>
    </row>
    <row r="525" spans="1:113" s="24" customFormat="1" outlineLevel="1">
      <c r="A525" s="1" t="s">
        <v>833</v>
      </c>
      <c r="B525" s="24" t="s">
        <v>425</v>
      </c>
      <c r="C525" s="82">
        <v>1263</v>
      </c>
      <c r="D525" s="82">
        <v>1204</v>
      </c>
      <c r="E525" s="82">
        <v>1451</v>
      </c>
      <c r="F525" s="82">
        <v>622</v>
      </c>
      <c r="G525" s="82">
        <v>1390</v>
      </c>
      <c r="H525" s="82">
        <v>1243</v>
      </c>
      <c r="I525" s="82">
        <v>1329</v>
      </c>
      <c r="J525" s="82">
        <v>1712</v>
      </c>
      <c r="K525" s="82">
        <v>1688</v>
      </c>
      <c r="L525" s="82">
        <v>1999</v>
      </c>
      <c r="M525" s="82">
        <v>1929</v>
      </c>
      <c r="N525" s="82">
        <v>2191</v>
      </c>
      <c r="O525" s="82">
        <v>2279</v>
      </c>
      <c r="P525" s="82">
        <v>2371</v>
      </c>
      <c r="Q525" s="82">
        <v>2420</v>
      </c>
      <c r="R525" s="82">
        <v>2573</v>
      </c>
      <c r="S525" s="82">
        <v>2150</v>
      </c>
      <c r="T525" s="82">
        <v>2914</v>
      </c>
      <c r="U525" s="82">
        <v>2750</v>
      </c>
      <c r="V525" s="82">
        <v>3052</v>
      </c>
      <c r="W525" s="82">
        <v>3342</v>
      </c>
      <c r="X525" s="82">
        <v>3624</v>
      </c>
      <c r="Y525" s="82">
        <v>3466</v>
      </c>
      <c r="Z525" s="82">
        <v>3631</v>
      </c>
      <c r="AA525" s="82">
        <v>3987</v>
      </c>
      <c r="AB525" s="82">
        <v>4207</v>
      </c>
      <c r="AC525" s="82">
        <v>4424</v>
      </c>
      <c r="AD525" s="82">
        <v>4535</v>
      </c>
      <c r="AE525" s="82">
        <v>4528</v>
      </c>
      <c r="AF525" s="82">
        <v>4623</v>
      </c>
      <c r="AG525" s="82">
        <v>4600</v>
      </c>
      <c r="AH525" s="82">
        <v>4895</v>
      </c>
      <c r="AI525" s="82">
        <v>5033</v>
      </c>
      <c r="AJ525" s="82">
        <v>4906</v>
      </c>
      <c r="AK525" s="82">
        <v>4423</v>
      </c>
      <c r="AL525" s="82">
        <v>4599</v>
      </c>
      <c r="AM525" s="82">
        <v>3972</v>
      </c>
      <c r="AN525" s="82">
        <v>6158</v>
      </c>
      <c r="AO525" s="82">
        <v>3434</v>
      </c>
      <c r="AP525" s="82">
        <v>4869</v>
      </c>
      <c r="AQ525" s="82">
        <v>5312</v>
      </c>
      <c r="AR525" s="82">
        <v>5870</v>
      </c>
      <c r="AS525" s="82">
        <v>4901</v>
      </c>
      <c r="AT525" s="82">
        <v>5172</v>
      </c>
      <c r="AU525" s="82">
        <v>4826</v>
      </c>
      <c r="AV525" s="82">
        <v>4759</v>
      </c>
      <c r="AW525" s="83">
        <v>4635</v>
      </c>
      <c r="AX525" s="82">
        <v>4929.351263001472</v>
      </c>
      <c r="AY525" s="82">
        <v>4796.3005259160636</v>
      </c>
      <c r="AZ525" s="82">
        <v>4940.6445081511138</v>
      </c>
      <c r="BA525" s="82">
        <v>4856.6884050461886</v>
      </c>
      <c r="BB525" s="82">
        <v>4966.5450990995378</v>
      </c>
      <c r="BC525" s="82">
        <v>4900.6358611220267</v>
      </c>
      <c r="BD525" s="82">
        <v>5065.2184891530624</v>
      </c>
      <c r="BE525" s="82">
        <v>5060.8633895093299</v>
      </c>
      <c r="BF525" s="82">
        <v>5206.0169500176871</v>
      </c>
      <c r="BG525" s="82">
        <v>5132.3220902529119</v>
      </c>
      <c r="BH525" s="82">
        <v>5329.8304453520759</v>
      </c>
      <c r="BI525" s="82">
        <v>5304.4560893191019</v>
      </c>
      <c r="BJ525" s="82">
        <v>4775.5659239690403</v>
      </c>
      <c r="BK525" s="82">
        <v>4091.0212942085582</v>
      </c>
      <c r="BL525" s="82">
        <v>4257.7741854916367</v>
      </c>
      <c r="BM525" s="82">
        <v>4933.7963574509013</v>
      </c>
      <c r="BN525" s="82">
        <v>5670.1809092633166</v>
      </c>
      <c r="BO525" s="82">
        <v>5675.7276891610209</v>
      </c>
      <c r="BP525" s="82">
        <v>5942.3346600016121</v>
      </c>
      <c r="BQ525" s="82">
        <v>5949.3473703347017</v>
      </c>
      <c r="BR525" s="82"/>
      <c r="BS525" s="82">
        <v>408.9</v>
      </c>
      <c r="BT525" s="82">
        <v>443</v>
      </c>
      <c r="BU525" s="82">
        <v>682</v>
      </c>
      <c r="BV525" s="82">
        <v>983</v>
      </c>
      <c r="BW525" s="82">
        <v>1119</v>
      </c>
      <c r="BX525" s="82">
        <v>1078</v>
      </c>
      <c r="BY525" s="82">
        <v>1090</v>
      </c>
      <c r="BZ525" s="82">
        <v>1422</v>
      </c>
      <c r="CA525" s="82">
        <v>2700</v>
      </c>
      <c r="CB525" s="82">
        <v>2398</v>
      </c>
      <c r="CC525" s="82">
        <v>2655</v>
      </c>
      <c r="CD525" s="82">
        <v>2012</v>
      </c>
      <c r="CE525" s="82">
        <v>2572</v>
      </c>
      <c r="CF525" s="82">
        <v>3400</v>
      </c>
      <c r="CG525" s="82">
        <v>3928</v>
      </c>
      <c r="CH525" s="82">
        <v>4470</v>
      </c>
      <c r="CI525" s="82">
        <v>4791</v>
      </c>
      <c r="CJ525" s="82">
        <v>4723</v>
      </c>
      <c r="CK525" s="82">
        <v>5664</v>
      </c>
      <c r="CL525" s="82">
        <v>6394</v>
      </c>
      <c r="CM525" s="82">
        <v>7090</v>
      </c>
      <c r="CN525" s="82">
        <v>7618</v>
      </c>
      <c r="CO525" s="82">
        <v>8631</v>
      </c>
      <c r="CP525" s="82">
        <v>9063</v>
      </c>
      <c r="CQ525" s="82">
        <v>9223</v>
      </c>
      <c r="CR525" s="82">
        <v>9928</v>
      </c>
      <c r="CS525" s="82">
        <v>9329</v>
      </c>
      <c r="CT525" s="82">
        <v>8571</v>
      </c>
      <c r="CU525" s="82">
        <v>9592</v>
      </c>
      <c r="CV525" s="82">
        <v>10181</v>
      </c>
      <c r="CW525" s="82">
        <v>10771</v>
      </c>
      <c r="CX525" s="82">
        <v>9998</v>
      </c>
      <c r="CY525" s="83">
        <v>9394</v>
      </c>
      <c r="CZ525" s="82">
        <v>9725.6517889175357</v>
      </c>
      <c r="DA525" s="82">
        <v>9797.3329131973023</v>
      </c>
      <c r="DB525" s="82">
        <v>9867.1809602215653</v>
      </c>
      <c r="DC525" s="82">
        <v>10126.081878662393</v>
      </c>
      <c r="DD525" s="82">
        <v>10338.339040270599</v>
      </c>
      <c r="DE525" s="82">
        <v>10634.286534671177</v>
      </c>
      <c r="DF525" s="82">
        <v>8866.5872181775994</v>
      </c>
      <c r="DG525" s="82">
        <v>9191.5705429425379</v>
      </c>
      <c r="DH525" s="82">
        <v>11345.908598424337</v>
      </c>
      <c r="DI525" s="82">
        <v>11891.682030336313</v>
      </c>
    </row>
    <row r="526" spans="1:113" outlineLevel="1">
      <c r="A526" s="1" t="s">
        <v>834</v>
      </c>
      <c r="B526" s="19" t="s">
        <v>426</v>
      </c>
      <c r="C526" s="53">
        <v>98</v>
      </c>
      <c r="D526" s="53">
        <v>-40</v>
      </c>
      <c r="E526" s="53">
        <v>-146</v>
      </c>
      <c r="F526" s="53">
        <v>156</v>
      </c>
      <c r="G526" s="53">
        <v>-129</v>
      </c>
      <c r="H526" s="53">
        <v>-173</v>
      </c>
      <c r="I526" s="53">
        <v>-8</v>
      </c>
      <c r="J526" s="53">
        <v>-151</v>
      </c>
      <c r="K526" s="53">
        <v>10</v>
      </c>
      <c r="L526" s="53">
        <v>104</v>
      </c>
      <c r="M526" s="53">
        <v>-282</v>
      </c>
      <c r="N526" s="53">
        <v>87</v>
      </c>
      <c r="O526" s="53">
        <v>-46</v>
      </c>
      <c r="P526" s="53">
        <v>-101</v>
      </c>
      <c r="Q526" s="53">
        <v>-494</v>
      </c>
      <c r="R526" s="53">
        <v>574</v>
      </c>
      <c r="S526" s="53">
        <v>-312</v>
      </c>
      <c r="T526" s="53">
        <v>-100</v>
      </c>
      <c r="U526" s="53">
        <v>80</v>
      </c>
      <c r="V526" s="53">
        <v>-477</v>
      </c>
      <c r="W526" s="53">
        <v>-53</v>
      </c>
      <c r="X526" s="53">
        <v>3</v>
      </c>
      <c r="Y526" s="53">
        <v>187</v>
      </c>
      <c r="Z526" s="53">
        <v>20</v>
      </c>
      <c r="AA526" s="164">
        <v>446</v>
      </c>
      <c r="AB526" s="164">
        <v>434</v>
      </c>
      <c r="AC526" s="164">
        <v>-49</v>
      </c>
      <c r="AD526" s="164">
        <v>388</v>
      </c>
      <c r="AE526" s="164">
        <v>10</v>
      </c>
      <c r="AF526" s="164">
        <v>381</v>
      </c>
      <c r="AG526" s="164">
        <v>2</v>
      </c>
      <c r="AH526" s="164">
        <v>83</v>
      </c>
      <c r="AI526" s="164">
        <v>-365</v>
      </c>
      <c r="AJ526" s="164">
        <v>-250</v>
      </c>
      <c r="AK526" s="164">
        <v>238</v>
      </c>
      <c r="AL526" s="164">
        <v>386</v>
      </c>
      <c r="AM526" s="164">
        <v>71</v>
      </c>
      <c r="AN526" s="164">
        <v>18</v>
      </c>
      <c r="AO526" s="164">
        <v>-204</v>
      </c>
      <c r="AP526" s="164">
        <v>-296</v>
      </c>
      <c r="AQ526" s="164">
        <v>84</v>
      </c>
      <c r="AR526" s="164">
        <v>234</v>
      </c>
      <c r="AS526" s="164">
        <v>-474</v>
      </c>
      <c r="AT526" s="164">
        <v>314</v>
      </c>
      <c r="AU526" s="164">
        <v>-85</v>
      </c>
      <c r="AV526" s="164">
        <v>-15</v>
      </c>
      <c r="AW526" s="171">
        <v>-20</v>
      </c>
      <c r="AX526" s="55">
        <v>84.780552179912121</v>
      </c>
      <c r="AY526" s="55">
        <v>-150.01714050048068</v>
      </c>
      <c r="AZ526" s="55">
        <v>-255.66102449506769</v>
      </c>
      <c r="BA526" s="55">
        <v>-282.63801382048609</v>
      </c>
      <c r="BB526" s="55">
        <v>-269.79040377872411</v>
      </c>
      <c r="BC526" s="55">
        <v>-119.99763532496634</v>
      </c>
      <c r="BD526" s="55">
        <v>-119.94893219196453</v>
      </c>
      <c r="BE526" s="55">
        <v>-119.25091309681704</v>
      </c>
      <c r="BF526" s="55">
        <v>-119.43136331697731</v>
      </c>
      <c r="BG526" s="55">
        <v>-118.94652725948583</v>
      </c>
      <c r="BH526" s="55">
        <v>-119.20610479778054</v>
      </c>
      <c r="BI526" s="55">
        <v>-118.89298537226563</v>
      </c>
      <c r="BJ526" s="55">
        <v>-119.153403737361</v>
      </c>
      <c r="BK526" s="55">
        <v>0</v>
      </c>
      <c r="BL526" s="55">
        <v>0</v>
      </c>
      <c r="BM526" s="55">
        <v>0</v>
      </c>
      <c r="BN526" s="55">
        <v>0</v>
      </c>
      <c r="BO526" s="55">
        <v>0</v>
      </c>
      <c r="BP526" s="55">
        <v>0</v>
      </c>
      <c r="BQ526" s="55">
        <v>0</v>
      </c>
      <c r="BR526" s="55"/>
      <c r="BS526" s="53">
        <v>1.6</v>
      </c>
      <c r="BT526" s="53">
        <v>21.4</v>
      </c>
      <c r="BU526" s="53">
        <v>-2.4</v>
      </c>
      <c r="BV526" s="53">
        <v>43</v>
      </c>
      <c r="BW526" s="53">
        <v>-34</v>
      </c>
      <c r="BX526" s="53">
        <v>28</v>
      </c>
      <c r="BY526" s="53">
        <v>-45</v>
      </c>
      <c r="BZ526" s="53">
        <v>-33</v>
      </c>
      <c r="CA526" s="53">
        <v>-26</v>
      </c>
      <c r="CB526" s="53">
        <v>98</v>
      </c>
      <c r="CC526" s="55">
        <v>-186</v>
      </c>
      <c r="CD526" s="55">
        <v>27</v>
      </c>
      <c r="CE526" s="55">
        <v>-181</v>
      </c>
      <c r="CF526" s="55">
        <v>-141</v>
      </c>
      <c r="CG526" s="55">
        <v>-178</v>
      </c>
      <c r="CH526" s="55">
        <v>41</v>
      </c>
      <c r="CI526" s="55">
        <v>-595</v>
      </c>
      <c r="CJ526" s="55">
        <v>262</v>
      </c>
      <c r="CK526" s="55">
        <v>-20</v>
      </c>
      <c r="CL526" s="55">
        <v>-530</v>
      </c>
      <c r="CM526" s="55">
        <v>190</v>
      </c>
      <c r="CN526" s="55">
        <v>466</v>
      </c>
      <c r="CO526" s="55">
        <v>385</v>
      </c>
      <c r="CP526" s="55">
        <v>398</v>
      </c>
      <c r="CQ526" s="55">
        <v>383</v>
      </c>
      <c r="CR526" s="55">
        <v>-282</v>
      </c>
      <c r="CS526" s="55">
        <v>-12</v>
      </c>
      <c r="CT526" s="55">
        <v>457</v>
      </c>
      <c r="CU526" s="55">
        <v>-186</v>
      </c>
      <c r="CV526" s="55">
        <v>-212</v>
      </c>
      <c r="CW526" s="55">
        <v>-240</v>
      </c>
      <c r="CX526" s="55">
        <v>229</v>
      </c>
      <c r="CY526" s="56">
        <v>-35</v>
      </c>
      <c r="CZ526" s="55">
        <v>-65.236588320568558</v>
      </c>
      <c r="DA526" s="55">
        <v>-538.29903831555384</v>
      </c>
      <c r="DB526" s="55">
        <v>-389.78803910369044</v>
      </c>
      <c r="DC526" s="55">
        <v>-239.19984528878157</v>
      </c>
      <c r="DD526" s="55">
        <v>-238.37789057646313</v>
      </c>
      <c r="DE526" s="55">
        <v>-238.09909017004617</v>
      </c>
      <c r="DF526" s="55">
        <v>-119.153403737361</v>
      </c>
      <c r="DG526" s="55">
        <v>0</v>
      </c>
      <c r="DH526" s="55">
        <v>0</v>
      </c>
      <c r="DI526" s="55">
        <v>0</v>
      </c>
    </row>
    <row r="527" spans="1:113" outlineLevel="1">
      <c r="A527" s="1" t="s">
        <v>835</v>
      </c>
      <c r="B527" s="19" t="s">
        <v>427</v>
      </c>
      <c r="C527" s="53">
        <v>-662.5</v>
      </c>
      <c r="D527" s="53">
        <v>-82</v>
      </c>
      <c r="E527" s="53">
        <v>64</v>
      </c>
      <c r="F527" s="53">
        <v>1242</v>
      </c>
      <c r="G527" s="53">
        <v>34</v>
      </c>
      <c r="H527" s="53">
        <v>37</v>
      </c>
      <c r="I527" s="53">
        <v>-225</v>
      </c>
      <c r="J527" s="53">
        <v>-2826</v>
      </c>
      <c r="K527" s="53">
        <v>178</v>
      </c>
      <c r="L527" s="53">
        <v>-1135</v>
      </c>
      <c r="M527" s="53">
        <v>1352</v>
      </c>
      <c r="N527" s="53">
        <v>262</v>
      </c>
      <c r="O527" s="53">
        <v>609</v>
      </c>
      <c r="P527" s="53">
        <v>38</v>
      </c>
      <c r="Q527" s="53">
        <v>-324</v>
      </c>
      <c r="R527" s="53">
        <v>-1903</v>
      </c>
      <c r="S527" s="53">
        <v>41</v>
      </c>
      <c r="T527" s="53">
        <v>410</v>
      </c>
      <c r="U527" s="53">
        <v>246</v>
      </c>
      <c r="V527" s="53">
        <v>-147</v>
      </c>
      <c r="W527" s="53">
        <v>198</v>
      </c>
      <c r="X527" s="53">
        <v>77</v>
      </c>
      <c r="Y527" s="53">
        <v>698</v>
      </c>
      <c r="Z527" s="53">
        <v>352</v>
      </c>
      <c r="AA527" s="164">
        <v>410</v>
      </c>
      <c r="AB527" s="164">
        <v>107</v>
      </c>
      <c r="AC527" s="164">
        <v>200</v>
      </c>
      <c r="AD527" s="164">
        <v>299</v>
      </c>
      <c r="AE527" s="164">
        <v>85</v>
      </c>
      <c r="AF527" s="164">
        <v>580</v>
      </c>
      <c r="AG527" s="164">
        <v>-851</v>
      </c>
      <c r="AH527" s="164">
        <v>-565</v>
      </c>
      <c r="AI527" s="164">
        <v>113</v>
      </c>
      <c r="AJ527" s="164">
        <v>174</v>
      </c>
      <c r="AK527" s="164">
        <v>80</v>
      </c>
      <c r="AL527" s="164">
        <v>-949</v>
      </c>
      <c r="AM527" s="164">
        <v>1067</v>
      </c>
      <c r="AN527" s="164">
        <v>-579</v>
      </c>
      <c r="AO527" s="164">
        <v>1141</v>
      </c>
      <c r="AP527" s="164">
        <v>-120</v>
      </c>
      <c r="AQ527" s="164">
        <v>1063</v>
      </c>
      <c r="AR527" s="164">
        <v>-610</v>
      </c>
      <c r="AS527" s="164">
        <v>-2795</v>
      </c>
      <c r="AT527" s="164">
        <v>-879</v>
      </c>
      <c r="AU527" s="164">
        <v>7</v>
      </c>
      <c r="AV527" s="164">
        <v>-271</v>
      </c>
      <c r="AW527" s="171">
        <v>-638</v>
      </c>
      <c r="AX527" s="54">
        <v>0</v>
      </c>
      <c r="AY527" s="54">
        <v>0</v>
      </c>
      <c r="AZ527" s="54">
        <v>0</v>
      </c>
      <c r="BA527" s="54">
        <v>0</v>
      </c>
      <c r="BB527" s="54">
        <v>0</v>
      </c>
      <c r="BC527" s="54">
        <v>0</v>
      </c>
      <c r="BD527" s="54">
        <v>0</v>
      </c>
      <c r="BE527" s="54">
        <v>0</v>
      </c>
      <c r="BF527" s="54">
        <v>0</v>
      </c>
      <c r="BG527" s="54">
        <v>0</v>
      </c>
      <c r="BH527" s="54">
        <v>0</v>
      </c>
      <c r="BI527" s="54">
        <v>0</v>
      </c>
      <c r="BJ527" s="54">
        <v>0</v>
      </c>
      <c r="BK527" s="54">
        <v>0</v>
      </c>
      <c r="BL527" s="54">
        <v>0</v>
      </c>
      <c r="BM527" s="54">
        <v>0</v>
      </c>
      <c r="BN527" s="54">
        <v>0</v>
      </c>
      <c r="BO527" s="54">
        <v>0</v>
      </c>
      <c r="BP527" s="54">
        <v>0</v>
      </c>
      <c r="BQ527" s="54">
        <v>0</v>
      </c>
      <c r="BR527" s="55"/>
      <c r="BS527" s="53">
        <v>6965.1</v>
      </c>
      <c r="BT527" s="53">
        <v>-61</v>
      </c>
      <c r="BU527" s="53">
        <v>200.10000000000036</v>
      </c>
      <c r="BV527" s="53">
        <v>64.199999999999818</v>
      </c>
      <c r="BW527" s="53">
        <v>320.69999999999982</v>
      </c>
      <c r="BX527" s="53">
        <v>-465</v>
      </c>
      <c r="BY527" s="53">
        <v>-184</v>
      </c>
      <c r="BZ527" s="53">
        <v>-1903</v>
      </c>
      <c r="CA527" s="53">
        <v>401</v>
      </c>
      <c r="CB527" s="53">
        <v>-449</v>
      </c>
      <c r="CC527" s="55">
        <v>-18</v>
      </c>
      <c r="CD527" s="55">
        <v>1276</v>
      </c>
      <c r="CE527" s="55">
        <v>-188</v>
      </c>
      <c r="CF527" s="55">
        <v>-2648</v>
      </c>
      <c r="CG527" s="55">
        <v>217</v>
      </c>
      <c r="CH527" s="55">
        <v>871</v>
      </c>
      <c r="CI527" s="55">
        <v>-286</v>
      </c>
      <c r="CJ527" s="55">
        <v>-1862</v>
      </c>
      <c r="CK527" s="55">
        <v>656</v>
      </c>
      <c r="CL527" s="55">
        <v>51</v>
      </c>
      <c r="CM527" s="55">
        <v>775</v>
      </c>
      <c r="CN527" s="55">
        <v>762</v>
      </c>
      <c r="CO527" s="55">
        <v>307</v>
      </c>
      <c r="CP527" s="55">
        <v>384</v>
      </c>
      <c r="CQ527" s="55">
        <v>-271</v>
      </c>
      <c r="CR527" s="55">
        <v>-452</v>
      </c>
      <c r="CS527" s="55">
        <v>254</v>
      </c>
      <c r="CT527" s="55">
        <v>118</v>
      </c>
      <c r="CU527" s="55">
        <v>562</v>
      </c>
      <c r="CV527" s="55">
        <v>943</v>
      </c>
      <c r="CW527" s="55">
        <v>-3405</v>
      </c>
      <c r="CX527" s="55">
        <v>-872</v>
      </c>
      <c r="CY527" s="56">
        <v>-909</v>
      </c>
      <c r="CZ527" s="55">
        <v>0</v>
      </c>
      <c r="DA527" s="55">
        <v>0</v>
      </c>
      <c r="DB527" s="55">
        <v>0</v>
      </c>
      <c r="DC527" s="55">
        <v>0</v>
      </c>
      <c r="DD527" s="55">
        <v>0</v>
      </c>
      <c r="DE527" s="55">
        <v>0</v>
      </c>
      <c r="DF527" s="55">
        <v>0</v>
      </c>
      <c r="DG527" s="55">
        <v>0</v>
      </c>
      <c r="DH527" s="55">
        <v>0</v>
      </c>
      <c r="DI527" s="55">
        <v>0</v>
      </c>
    </row>
    <row r="528" spans="1:113" outlineLevel="1">
      <c r="A528" s="1" t="s">
        <v>836</v>
      </c>
      <c r="B528" s="19" t="s">
        <v>428</v>
      </c>
      <c r="C528" s="53">
        <v>0</v>
      </c>
      <c r="D528" s="53">
        <v>0</v>
      </c>
      <c r="E528" s="53">
        <v>0</v>
      </c>
      <c r="F528" s="53">
        <v>0</v>
      </c>
      <c r="G528" s="53">
        <v>0</v>
      </c>
      <c r="H528" s="53">
        <v>0</v>
      </c>
      <c r="I528" s="53">
        <v>0</v>
      </c>
      <c r="J528" s="53">
        <v>0</v>
      </c>
      <c r="K528" s="53">
        <v>0</v>
      </c>
      <c r="L528" s="53">
        <v>0</v>
      </c>
      <c r="M528" s="53">
        <v>0</v>
      </c>
      <c r="N528" s="53">
        <v>0</v>
      </c>
      <c r="O528" s="53">
        <v>0</v>
      </c>
      <c r="P528" s="53">
        <v>0</v>
      </c>
      <c r="Q528" s="53">
        <v>0</v>
      </c>
      <c r="R528" s="53">
        <v>0</v>
      </c>
      <c r="S528" s="53">
        <v>0</v>
      </c>
      <c r="T528" s="53">
        <v>0</v>
      </c>
      <c r="U528" s="53">
        <v>0</v>
      </c>
      <c r="V528" s="53">
        <v>0</v>
      </c>
      <c r="W528" s="53">
        <v>0</v>
      </c>
      <c r="X528" s="53">
        <v>0</v>
      </c>
      <c r="Y528" s="53">
        <v>0</v>
      </c>
      <c r="Z528" s="164">
        <v>0</v>
      </c>
      <c r="AA528" s="164">
        <v>0</v>
      </c>
      <c r="AB528" s="164">
        <v>0</v>
      </c>
      <c r="AC528" s="164">
        <v>0</v>
      </c>
      <c r="AD528" s="164">
        <v>0</v>
      </c>
      <c r="AE528" s="164">
        <v>0</v>
      </c>
      <c r="AF528" s="164">
        <v>0</v>
      </c>
      <c r="AG528" s="164">
        <v>0</v>
      </c>
      <c r="AH528" s="164">
        <v>0</v>
      </c>
      <c r="AI528" s="164">
        <v>0</v>
      </c>
      <c r="AJ528" s="164">
        <v>0</v>
      </c>
      <c r="AK528" s="164">
        <v>0</v>
      </c>
      <c r="AL528" s="164">
        <v>0</v>
      </c>
      <c r="AM528" s="164">
        <v>0</v>
      </c>
      <c r="AN528" s="164">
        <v>0</v>
      </c>
      <c r="AO528" s="164">
        <v>0</v>
      </c>
      <c r="AP528" s="164">
        <v>0</v>
      </c>
      <c r="AQ528" s="164">
        <v>0</v>
      </c>
      <c r="AR528" s="164">
        <v>0</v>
      </c>
      <c r="AS528" s="164">
        <v>0</v>
      </c>
      <c r="AT528" s="164">
        <v>0</v>
      </c>
      <c r="AU528" s="164">
        <v>0</v>
      </c>
      <c r="AV528" s="164">
        <v>0</v>
      </c>
      <c r="AW528" s="171">
        <v>0</v>
      </c>
      <c r="AX528" s="54">
        <v>0</v>
      </c>
      <c r="AY528" s="54">
        <v>0</v>
      </c>
      <c r="AZ528" s="54">
        <v>0</v>
      </c>
      <c r="BA528" s="54">
        <v>0</v>
      </c>
      <c r="BB528" s="54">
        <v>0</v>
      </c>
      <c r="BC528" s="54">
        <v>0</v>
      </c>
      <c r="BD528" s="54">
        <v>0</v>
      </c>
      <c r="BE528" s="54">
        <v>0</v>
      </c>
      <c r="BF528" s="54">
        <v>0</v>
      </c>
      <c r="BG528" s="54">
        <v>0</v>
      </c>
      <c r="BH528" s="54">
        <v>0</v>
      </c>
      <c r="BI528" s="54">
        <v>0</v>
      </c>
      <c r="BJ528" s="54">
        <v>0</v>
      </c>
      <c r="BK528" s="54">
        <v>0</v>
      </c>
      <c r="BL528" s="54">
        <v>0</v>
      </c>
      <c r="BM528" s="54">
        <v>0</v>
      </c>
      <c r="BN528" s="54">
        <v>0</v>
      </c>
      <c r="BO528" s="54">
        <v>0</v>
      </c>
      <c r="BP528" s="54">
        <v>0</v>
      </c>
      <c r="BQ528" s="54">
        <v>0</v>
      </c>
      <c r="BR528" s="55"/>
      <c r="BS528" s="53">
        <v>0</v>
      </c>
      <c r="BT528" s="53">
        <v>0</v>
      </c>
      <c r="BU528" s="53">
        <v>0</v>
      </c>
      <c r="BV528" s="53">
        <v>0</v>
      </c>
      <c r="BW528" s="53">
        <v>0</v>
      </c>
      <c r="BX528" s="53">
        <v>0</v>
      </c>
      <c r="BY528" s="53">
        <v>0</v>
      </c>
      <c r="BZ528" s="53">
        <v>0</v>
      </c>
      <c r="CA528" s="53">
        <v>31</v>
      </c>
      <c r="CB528" s="53">
        <v>0</v>
      </c>
      <c r="CC528" s="55">
        <v>0</v>
      </c>
      <c r="CD528" s="55">
        <v>0</v>
      </c>
      <c r="CE528" s="55">
        <v>0</v>
      </c>
      <c r="CF528" s="55">
        <v>0</v>
      </c>
      <c r="CG528" s="55">
        <v>0</v>
      </c>
      <c r="CH528" s="55">
        <v>0</v>
      </c>
      <c r="CI528" s="55">
        <v>0</v>
      </c>
      <c r="CJ528" s="55">
        <v>0</v>
      </c>
      <c r="CK528" s="55">
        <v>0</v>
      </c>
      <c r="CL528" s="55">
        <v>0</v>
      </c>
      <c r="CM528" s="55">
        <v>0</v>
      </c>
      <c r="CN528" s="55">
        <v>0</v>
      </c>
      <c r="CO528" s="55">
        <v>0</v>
      </c>
      <c r="CP528" s="55">
        <v>0</v>
      </c>
      <c r="CQ528" s="55">
        <v>0</v>
      </c>
      <c r="CR528" s="55">
        <v>0</v>
      </c>
      <c r="CS528" s="55">
        <v>0</v>
      </c>
      <c r="CT528" s="55">
        <v>0</v>
      </c>
      <c r="CU528" s="55">
        <v>0</v>
      </c>
      <c r="CV528" s="55">
        <v>0</v>
      </c>
      <c r="CW528" s="55">
        <v>0</v>
      </c>
      <c r="CX528" s="55">
        <v>0</v>
      </c>
      <c r="CY528" s="56">
        <v>0</v>
      </c>
      <c r="CZ528" s="55">
        <v>0</v>
      </c>
      <c r="DA528" s="55">
        <v>0</v>
      </c>
      <c r="DB528" s="55">
        <v>0</v>
      </c>
      <c r="DC528" s="55">
        <v>0</v>
      </c>
      <c r="DD528" s="55">
        <v>0</v>
      </c>
      <c r="DE528" s="55">
        <v>0</v>
      </c>
      <c r="DF528" s="55">
        <v>0</v>
      </c>
      <c r="DG528" s="55">
        <v>0</v>
      </c>
      <c r="DH528" s="55">
        <v>0</v>
      </c>
      <c r="DI528" s="55">
        <v>0</v>
      </c>
    </row>
    <row r="529" spans="1:113" s="24" customFormat="1" outlineLevel="1">
      <c r="A529" s="1" t="s">
        <v>837</v>
      </c>
      <c r="B529" s="24" t="s">
        <v>242</v>
      </c>
      <c r="C529" s="82">
        <v>698.5</v>
      </c>
      <c r="D529" s="82">
        <v>1082</v>
      </c>
      <c r="E529" s="82">
        <v>1369</v>
      </c>
      <c r="F529" s="82">
        <v>2020</v>
      </c>
      <c r="G529" s="82">
        <v>1295</v>
      </c>
      <c r="H529" s="82">
        <v>1107</v>
      </c>
      <c r="I529" s="82">
        <v>1096</v>
      </c>
      <c r="J529" s="82">
        <v>-1265</v>
      </c>
      <c r="K529" s="82">
        <v>1876</v>
      </c>
      <c r="L529" s="82">
        <v>968</v>
      </c>
      <c r="M529" s="82">
        <v>2999</v>
      </c>
      <c r="N529" s="82">
        <v>2540</v>
      </c>
      <c r="O529" s="82">
        <v>2842</v>
      </c>
      <c r="P529" s="82">
        <v>2308</v>
      </c>
      <c r="Q529" s="82">
        <v>1602</v>
      </c>
      <c r="R529" s="82">
        <v>1244</v>
      </c>
      <c r="S529" s="82">
        <v>1879</v>
      </c>
      <c r="T529" s="82">
        <v>3224</v>
      </c>
      <c r="U529" s="82">
        <v>3076</v>
      </c>
      <c r="V529" s="82">
        <v>2428</v>
      </c>
      <c r="W529" s="82">
        <v>3487</v>
      </c>
      <c r="X529" s="82">
        <v>3704</v>
      </c>
      <c r="Y529" s="82">
        <v>4351</v>
      </c>
      <c r="Z529" s="82">
        <v>4003</v>
      </c>
      <c r="AA529" s="82">
        <v>4843</v>
      </c>
      <c r="AB529" s="82">
        <v>4748</v>
      </c>
      <c r="AC529" s="82">
        <v>4575</v>
      </c>
      <c r="AD529" s="82">
        <v>5222</v>
      </c>
      <c r="AE529" s="82">
        <v>4623</v>
      </c>
      <c r="AF529" s="82">
        <v>5584</v>
      </c>
      <c r="AG529" s="82">
        <v>3751</v>
      </c>
      <c r="AH529" s="82">
        <v>4413</v>
      </c>
      <c r="AI529" s="82">
        <v>4781</v>
      </c>
      <c r="AJ529" s="82">
        <v>4830</v>
      </c>
      <c r="AK529" s="82">
        <v>4741</v>
      </c>
      <c r="AL529" s="82">
        <v>4036</v>
      </c>
      <c r="AM529" s="82">
        <v>5110</v>
      </c>
      <c r="AN529" s="82">
        <v>5597</v>
      </c>
      <c r="AO529" s="82">
        <v>4371</v>
      </c>
      <c r="AP529" s="82">
        <v>4453</v>
      </c>
      <c r="AQ529" s="82">
        <v>6459</v>
      </c>
      <c r="AR529" s="82">
        <v>5494</v>
      </c>
      <c r="AS529" s="82">
        <v>1632</v>
      </c>
      <c r="AT529" s="82">
        <v>4607</v>
      </c>
      <c r="AU529" s="82">
        <v>4748</v>
      </c>
      <c r="AV529" s="82">
        <v>4473</v>
      </c>
      <c r="AW529" s="83">
        <v>3977</v>
      </c>
      <c r="AX529" s="82">
        <v>5014.1318151813839</v>
      </c>
      <c r="AY529" s="82">
        <v>4646.2833854155833</v>
      </c>
      <c r="AZ529" s="82">
        <v>4684.9834836560458</v>
      </c>
      <c r="BA529" s="82">
        <v>4574.0503912257027</v>
      </c>
      <c r="BB529" s="82">
        <v>4696.7546953208139</v>
      </c>
      <c r="BC529" s="82">
        <v>4780.6382257970599</v>
      </c>
      <c r="BD529" s="82">
        <v>4945.2695569610978</v>
      </c>
      <c r="BE529" s="82">
        <v>4941.6124764125125</v>
      </c>
      <c r="BF529" s="82">
        <v>5086.5855867007094</v>
      </c>
      <c r="BG529" s="82">
        <v>5013.3755629934258</v>
      </c>
      <c r="BH529" s="82">
        <v>5210.6243405542955</v>
      </c>
      <c r="BI529" s="82">
        <v>5185.5631039468362</v>
      </c>
      <c r="BJ529" s="82">
        <v>4656.4125202316791</v>
      </c>
      <c r="BK529" s="82">
        <v>4091.0212942085582</v>
      </c>
      <c r="BL529" s="82">
        <v>4257.7741854916367</v>
      </c>
      <c r="BM529" s="82">
        <v>4933.7963574509013</v>
      </c>
      <c r="BN529" s="82">
        <v>5670.1809092633166</v>
      </c>
      <c r="BO529" s="82">
        <v>5675.7276891610209</v>
      </c>
      <c r="BP529" s="82">
        <v>5942.3346600016121</v>
      </c>
      <c r="BQ529" s="82">
        <v>5949.3473703347017</v>
      </c>
      <c r="BR529" s="82"/>
      <c r="BS529" s="82">
        <v>7375.6</v>
      </c>
      <c r="BT529" s="82">
        <v>403.4</v>
      </c>
      <c r="BU529" s="82">
        <v>879.70000000000039</v>
      </c>
      <c r="BV529" s="82">
        <v>1090.1999999999998</v>
      </c>
      <c r="BW529" s="82">
        <v>1405.6999999999998</v>
      </c>
      <c r="BX529" s="82">
        <v>641</v>
      </c>
      <c r="BY529" s="82">
        <v>861</v>
      </c>
      <c r="BZ529" s="82">
        <v>-514</v>
      </c>
      <c r="CA529" s="82">
        <v>3106</v>
      </c>
      <c r="CB529" s="82">
        <v>2047</v>
      </c>
      <c r="CC529" s="82">
        <v>2451</v>
      </c>
      <c r="CD529" s="82">
        <v>3315</v>
      </c>
      <c r="CE529" s="82">
        <v>2203</v>
      </c>
      <c r="CF529" s="82">
        <v>611</v>
      </c>
      <c r="CG529" s="82">
        <v>3967</v>
      </c>
      <c r="CH529" s="82">
        <v>5382</v>
      </c>
      <c r="CI529" s="82">
        <v>3910</v>
      </c>
      <c r="CJ529" s="82">
        <v>3123</v>
      </c>
      <c r="CK529" s="82">
        <v>6300</v>
      </c>
      <c r="CL529" s="82">
        <v>5915</v>
      </c>
      <c r="CM529" s="82">
        <v>8055</v>
      </c>
      <c r="CN529" s="82">
        <v>8846</v>
      </c>
      <c r="CO529" s="82">
        <v>9323</v>
      </c>
      <c r="CP529" s="82">
        <v>9845</v>
      </c>
      <c r="CQ529" s="82">
        <v>9335</v>
      </c>
      <c r="CR529" s="82">
        <v>9194</v>
      </c>
      <c r="CS529" s="82">
        <v>9571</v>
      </c>
      <c r="CT529" s="82">
        <v>9146</v>
      </c>
      <c r="CU529" s="82">
        <v>9968</v>
      </c>
      <c r="CV529" s="82">
        <v>10912</v>
      </c>
      <c r="CW529" s="82">
        <v>7126</v>
      </c>
      <c r="CX529" s="82">
        <v>9355</v>
      </c>
      <c r="CY529" s="83">
        <v>8450</v>
      </c>
      <c r="CZ529" s="82">
        <v>9660.4152005969663</v>
      </c>
      <c r="DA529" s="82">
        <v>9259.0338748817485</v>
      </c>
      <c r="DB529" s="82">
        <v>9477.3929211178729</v>
      </c>
      <c r="DC529" s="82">
        <v>9886.8820333736112</v>
      </c>
      <c r="DD529" s="82">
        <v>10099.961149694136</v>
      </c>
      <c r="DE529" s="82">
        <v>10396.187444501131</v>
      </c>
      <c r="DF529" s="82">
        <v>8747.4338144402373</v>
      </c>
      <c r="DG529" s="82">
        <v>9191.5705429425379</v>
      </c>
      <c r="DH529" s="82">
        <v>11345.908598424337</v>
      </c>
      <c r="DI529" s="82">
        <v>11891.682030336313</v>
      </c>
    </row>
    <row r="530" spans="1:113">
      <c r="C530" s="55"/>
      <c r="D530" s="55"/>
      <c r="E530" s="55"/>
      <c r="F530" s="55"/>
      <c r="G530" s="55"/>
      <c r="H530" s="55"/>
      <c r="I530" s="55"/>
      <c r="J530" s="55"/>
      <c r="K530" s="55"/>
      <c r="L530" s="55"/>
      <c r="M530" s="55"/>
      <c r="N530" s="55"/>
      <c r="O530" s="55"/>
      <c r="P530" s="55"/>
      <c r="Q530" s="55"/>
      <c r="R530" s="55"/>
      <c r="S530" s="55"/>
      <c r="T530" s="55"/>
      <c r="U530" s="55"/>
      <c r="V530" s="55"/>
      <c r="W530" s="55"/>
      <c r="X530" s="55"/>
      <c r="Y530" s="55"/>
      <c r="Z530" s="55"/>
      <c r="AA530" s="55"/>
      <c r="AB530" s="55"/>
      <c r="AC530" s="55"/>
      <c r="AD530" s="55"/>
      <c r="AE530" s="55"/>
      <c r="AF530" s="55"/>
      <c r="AG530" s="55"/>
      <c r="AH530" s="55"/>
      <c r="AI530" s="55"/>
      <c r="AJ530" s="55"/>
      <c r="AK530" s="55"/>
      <c r="AL530" s="55"/>
      <c r="AM530" s="55"/>
      <c r="AN530" s="55"/>
      <c r="AO530" s="55"/>
      <c r="AP530" s="55"/>
      <c r="AQ530" s="55"/>
      <c r="AR530" s="55"/>
      <c r="AS530" s="55"/>
      <c r="AT530" s="55"/>
      <c r="AU530" s="55"/>
      <c r="AV530" s="55"/>
      <c r="AW530" s="56"/>
      <c r="AX530" s="55"/>
      <c r="AY530" s="55"/>
      <c r="AZ530" s="55"/>
      <c r="BA530" s="55"/>
      <c r="BB530" s="55"/>
      <c r="BC530" s="55"/>
      <c r="BD530" s="55"/>
      <c r="BE530" s="55"/>
      <c r="BF530" s="55"/>
      <c r="BG530" s="55"/>
      <c r="BH530" s="55"/>
      <c r="BI530" s="55"/>
      <c r="BJ530" s="55"/>
      <c r="BK530" s="55"/>
      <c r="BL530" s="55"/>
      <c r="BM530" s="55"/>
      <c r="BN530" s="55"/>
      <c r="BO530" s="55"/>
      <c r="BP530" s="55"/>
      <c r="BQ530" s="55"/>
      <c r="BR530" s="55"/>
      <c r="BS530" s="55"/>
      <c r="BT530" s="55"/>
      <c r="BU530" s="55"/>
      <c r="BV530" s="55"/>
      <c r="BW530" s="55"/>
      <c r="BX530" s="55"/>
      <c r="BY530" s="55"/>
      <c r="BZ530" s="55"/>
      <c r="CA530" s="55"/>
      <c r="CB530" s="55"/>
      <c r="CC530" s="55"/>
      <c r="CD530" s="55"/>
      <c r="CE530" s="55"/>
      <c r="CF530" s="55"/>
      <c r="CG530" s="55"/>
      <c r="CH530" s="55"/>
      <c r="CI530" s="55"/>
      <c r="CJ530" s="55"/>
      <c r="CK530" s="55"/>
      <c r="CL530" s="55"/>
      <c r="CM530" s="55"/>
      <c r="CN530" s="55"/>
      <c r="CO530" s="55"/>
      <c r="CP530" s="55"/>
      <c r="CQ530" s="55"/>
      <c r="CR530" s="55"/>
      <c r="CS530" s="55"/>
      <c r="CT530" s="55"/>
      <c r="CU530" s="55"/>
      <c r="CV530" s="55"/>
      <c r="CW530" s="55"/>
      <c r="CX530" s="55"/>
      <c r="CY530" s="56"/>
      <c r="CZ530" s="55"/>
      <c r="DA530" s="55"/>
      <c r="DB530" s="55"/>
    </row>
    <row r="531" spans="1:113" s="36" customFormat="1" collapsed="1">
      <c r="A531" s="1" t="s">
        <v>838</v>
      </c>
      <c r="B531" s="2" t="s">
        <v>243</v>
      </c>
      <c r="C531" s="79">
        <v>17706</v>
      </c>
      <c r="D531" s="79">
        <v>18038</v>
      </c>
      <c r="E531" s="79">
        <v>18343</v>
      </c>
      <c r="F531" s="79">
        <v>19116</v>
      </c>
      <c r="G531" s="79">
        <v>19337</v>
      </c>
      <c r="H531" s="79">
        <v>19507</v>
      </c>
      <c r="I531" s="79">
        <v>20145</v>
      </c>
      <c r="J531" s="79">
        <v>17799</v>
      </c>
      <c r="K531" s="79">
        <v>18594</v>
      </c>
      <c r="L531" s="79">
        <v>18388</v>
      </c>
      <c r="M531" s="79">
        <v>19896</v>
      </c>
      <c r="N531" s="79">
        <v>21040</v>
      </c>
      <c r="O531" s="79">
        <v>22993</v>
      </c>
      <c r="P531" s="79">
        <v>24188</v>
      </c>
      <c r="Q531" s="79">
        <v>24680</v>
      </c>
      <c r="R531" s="79">
        <v>28529</v>
      </c>
      <c r="S531" s="79">
        <v>29983</v>
      </c>
      <c r="T531" s="79">
        <v>32123</v>
      </c>
      <c r="U531" s="79">
        <v>34108</v>
      </c>
      <c r="V531" s="79">
        <v>33886</v>
      </c>
      <c r="W531" s="79">
        <v>35820</v>
      </c>
      <c r="X531" s="79">
        <v>37408</v>
      </c>
      <c r="Y531" s="79">
        <v>40102</v>
      </c>
      <c r="Z531" s="79">
        <v>41877</v>
      </c>
      <c r="AA531" s="79">
        <v>44061</v>
      </c>
      <c r="AB531" s="79">
        <v>45562</v>
      </c>
      <c r="AC531" s="79">
        <v>47872</v>
      </c>
      <c r="AD531" s="79">
        <v>49536</v>
      </c>
      <c r="AE531" s="79">
        <v>51492</v>
      </c>
      <c r="AF531" s="79">
        <v>59110</v>
      </c>
      <c r="AG531" s="79">
        <v>60014</v>
      </c>
      <c r="AH531" s="79">
        <v>61205</v>
      </c>
      <c r="AI531" s="79">
        <v>63114</v>
      </c>
      <c r="AJ531" s="79">
        <v>65537</v>
      </c>
      <c r="AK531" s="79">
        <v>67306</v>
      </c>
      <c r="AL531" s="79">
        <v>68025</v>
      </c>
      <c r="AM531" s="79">
        <v>69594</v>
      </c>
      <c r="AN531" s="79">
        <v>71102</v>
      </c>
      <c r="AO531" s="79">
        <v>71933</v>
      </c>
      <c r="AP531" s="79">
        <v>74915</v>
      </c>
      <c r="AQ531" s="79">
        <v>78713</v>
      </c>
      <c r="AR531" s="79">
        <v>74658</v>
      </c>
      <c r="AS531" s="79">
        <v>72833</v>
      </c>
      <c r="AT531" s="79">
        <v>72538</v>
      </c>
      <c r="AU531" s="79">
        <v>72538</v>
      </c>
      <c r="AV531" s="79">
        <v>72834</v>
      </c>
      <c r="AW531" s="80">
        <v>73083</v>
      </c>
      <c r="AX531" s="79">
        <v>73557.844754941383</v>
      </c>
      <c r="AY531" s="79">
        <v>74255.997732048214</v>
      </c>
      <c r="AZ531" s="79">
        <v>74774.313943751491</v>
      </c>
      <c r="BA531" s="79">
        <v>75765.030481097812</v>
      </c>
      <c r="BB531" s="79">
        <v>76295.117904465849</v>
      </c>
      <c r="BC531" s="79">
        <v>77492.422276383528</v>
      </c>
      <c r="BD531" s="79">
        <v>78271.024561391852</v>
      </c>
      <c r="BE531" s="79">
        <v>79629.303183924989</v>
      </c>
      <c r="BF531" s="79">
        <v>80549.221498672923</v>
      </c>
      <c r="BG531" s="79">
        <v>81979.263207786978</v>
      </c>
      <c r="BH531" s="79">
        <v>83023.2202763885</v>
      </c>
      <c r="BI531" s="79">
        <v>84475.449504665667</v>
      </c>
      <c r="BJ531" s="79">
        <v>84898.528076593328</v>
      </c>
      <c r="BK531" s="79">
        <v>85439.548855098139</v>
      </c>
      <c r="BL531" s="79">
        <v>86097.322517622582</v>
      </c>
      <c r="BM531" s="79">
        <v>87664.451719335644</v>
      </c>
      <c r="BN531" s="79">
        <v>89551.298745665845</v>
      </c>
      <c r="BO531" s="79">
        <v>90977.025817435046</v>
      </c>
      <c r="BP531" s="79">
        <v>92086.026441971437</v>
      </c>
      <c r="BQ531" s="79">
        <v>93568.706496772764</v>
      </c>
      <c r="BR531" s="79"/>
      <c r="BS531" s="79">
        <v>5471</v>
      </c>
      <c r="BT531" s="79">
        <v>5568.7</v>
      </c>
      <c r="BU531" s="79">
        <v>5965.1</v>
      </c>
      <c r="BV531" s="79">
        <v>6568.3</v>
      </c>
      <c r="BW531" s="79">
        <v>7190</v>
      </c>
      <c r="BX531" s="79">
        <v>6846</v>
      </c>
      <c r="BY531" s="79">
        <v>6712</v>
      </c>
      <c r="BZ531" s="79">
        <v>6735</v>
      </c>
      <c r="CA531" s="79">
        <v>17472</v>
      </c>
      <c r="CB531" s="79">
        <v>17706</v>
      </c>
      <c r="CC531" s="79">
        <v>18343</v>
      </c>
      <c r="CD531" s="79">
        <v>19337</v>
      </c>
      <c r="CE531" s="79">
        <v>20145</v>
      </c>
      <c r="CF531" s="79">
        <v>18594</v>
      </c>
      <c r="CG531" s="79">
        <v>19896</v>
      </c>
      <c r="CH531" s="79">
        <v>22993</v>
      </c>
      <c r="CI531" s="79">
        <v>24680</v>
      </c>
      <c r="CJ531" s="79">
        <v>29983</v>
      </c>
      <c r="CK531" s="79">
        <v>34108</v>
      </c>
      <c r="CL531" s="79">
        <v>35820</v>
      </c>
      <c r="CM531" s="79">
        <v>40102</v>
      </c>
      <c r="CN531" s="79">
        <v>44061</v>
      </c>
      <c r="CO531" s="79">
        <v>47872</v>
      </c>
      <c r="CP531" s="79">
        <v>51492</v>
      </c>
      <c r="CQ531" s="79">
        <v>60014</v>
      </c>
      <c r="CR531" s="79">
        <v>63114</v>
      </c>
      <c r="CS531" s="79">
        <v>67306</v>
      </c>
      <c r="CT531" s="79">
        <v>69594</v>
      </c>
      <c r="CU531" s="79">
        <v>71933</v>
      </c>
      <c r="CV531" s="79">
        <v>78713</v>
      </c>
      <c r="CW531" s="79">
        <v>72833</v>
      </c>
      <c r="CX531" s="79">
        <v>72538</v>
      </c>
      <c r="CY531" s="80">
        <v>73083</v>
      </c>
      <c r="CZ531" s="79">
        <v>74255.997732048199</v>
      </c>
      <c r="DA531" s="79">
        <v>75765.030481097798</v>
      </c>
      <c r="DB531" s="79">
        <v>77492.422276383528</v>
      </c>
      <c r="DC531" s="79">
        <v>79629.303183924989</v>
      </c>
      <c r="DD531" s="79">
        <v>81979.263207786978</v>
      </c>
      <c r="DE531" s="79">
        <v>84475.449504665667</v>
      </c>
      <c r="DF531" s="79">
        <v>85439.548855098139</v>
      </c>
      <c r="DG531" s="79">
        <v>87664.451719335659</v>
      </c>
      <c r="DH531" s="79">
        <v>90977.02581743506</v>
      </c>
      <c r="DI531" s="79">
        <v>93568.706496772793</v>
      </c>
    </row>
    <row r="532" spans="1:113" outlineLevel="1">
      <c r="C532" s="55"/>
      <c r="D532" s="55"/>
      <c r="E532" s="55"/>
      <c r="F532" s="55"/>
      <c r="G532" s="55"/>
      <c r="H532" s="55"/>
      <c r="I532" s="55"/>
      <c r="J532" s="55"/>
      <c r="K532" s="55"/>
      <c r="L532" s="55"/>
      <c r="M532" s="55"/>
      <c r="N532" s="55"/>
      <c r="O532" s="55"/>
      <c r="P532" s="55"/>
      <c r="Q532" s="55"/>
      <c r="R532" s="55"/>
      <c r="S532" s="55"/>
      <c r="T532" s="55"/>
      <c r="U532" s="55"/>
      <c r="V532" s="55"/>
      <c r="W532" s="55"/>
      <c r="X532" s="55"/>
      <c r="Y532" s="55"/>
      <c r="Z532" s="55"/>
      <c r="AA532" s="50"/>
      <c r="AB532" s="55"/>
      <c r="AC532" s="55"/>
      <c r="AD532" s="55"/>
      <c r="AE532" s="55"/>
      <c r="AF532" s="55"/>
      <c r="AG532" s="55"/>
      <c r="AH532" s="55"/>
      <c r="AI532" s="55"/>
      <c r="AJ532" s="55"/>
      <c r="AK532" s="55"/>
      <c r="AL532" s="55"/>
      <c r="AM532" s="55"/>
      <c r="AN532" s="55"/>
      <c r="AO532" s="55"/>
      <c r="AP532" s="55"/>
      <c r="AQ532" s="55"/>
      <c r="AR532" s="55"/>
      <c r="AS532" s="55"/>
      <c r="AT532" s="55"/>
      <c r="AU532" s="55"/>
      <c r="AV532" s="55"/>
      <c r="AW532" s="56"/>
      <c r="AX532" s="55"/>
      <c r="AY532" s="55"/>
      <c r="AZ532" s="55"/>
      <c r="BA532" s="55"/>
      <c r="BB532" s="55"/>
      <c r="BC532" s="55"/>
      <c r="BD532" s="55"/>
      <c r="BE532" s="55"/>
      <c r="BF532" s="55"/>
      <c r="BG532" s="55"/>
      <c r="BH532" s="55"/>
      <c r="BI532" s="55"/>
      <c r="BJ532" s="55"/>
      <c r="BK532" s="55"/>
      <c r="BL532" s="55"/>
      <c r="BM532" s="55"/>
      <c r="BN532" s="55"/>
      <c r="BO532" s="55"/>
      <c r="BP532" s="55"/>
      <c r="BQ532" s="55"/>
      <c r="BR532" s="55"/>
      <c r="BS532" s="55"/>
      <c r="BT532" s="55"/>
      <c r="BU532" s="55"/>
      <c r="BV532" s="55"/>
      <c r="BW532" s="55"/>
      <c r="BX532" s="55"/>
      <c r="BY532" s="55"/>
      <c r="BZ532" s="55"/>
      <c r="CA532" s="55"/>
      <c r="CB532" s="55"/>
      <c r="CC532" s="55"/>
      <c r="CD532" s="55"/>
      <c r="CE532" s="55"/>
      <c r="CF532" s="55"/>
      <c r="CG532" s="55"/>
      <c r="CH532" s="55"/>
      <c r="CI532" s="55"/>
      <c r="CJ532" s="55"/>
      <c r="CK532" s="55"/>
      <c r="CL532" s="55"/>
      <c r="CM532" s="55"/>
      <c r="CN532" s="55"/>
      <c r="CO532" s="55"/>
      <c r="CP532" s="55"/>
      <c r="CQ532" s="55"/>
      <c r="CR532" s="55"/>
      <c r="CS532" s="55"/>
      <c r="CT532" s="55"/>
      <c r="CU532" s="55"/>
      <c r="CV532" s="55"/>
      <c r="CW532" s="55"/>
      <c r="CX532" s="55"/>
      <c r="CY532" s="56"/>
      <c r="CZ532" s="55"/>
      <c r="DA532" s="55"/>
      <c r="DB532" s="55"/>
    </row>
    <row r="533" spans="1:113" s="24" customFormat="1" outlineLevel="1">
      <c r="A533" s="1" t="s">
        <v>839</v>
      </c>
      <c r="B533" s="24" t="s">
        <v>244</v>
      </c>
      <c r="C533" s="186">
        <v>17945</v>
      </c>
      <c r="D533" s="82">
        <v>17706</v>
      </c>
      <c r="E533" s="82">
        <v>18038</v>
      </c>
      <c r="F533" s="82">
        <v>18343</v>
      </c>
      <c r="G533" s="82">
        <v>19116</v>
      </c>
      <c r="H533" s="82">
        <v>19337</v>
      </c>
      <c r="I533" s="82">
        <v>19507</v>
      </c>
      <c r="J533" s="82">
        <v>20145</v>
      </c>
      <c r="K533" s="82">
        <v>17799</v>
      </c>
      <c r="L533" s="82">
        <v>18594</v>
      </c>
      <c r="M533" s="82">
        <v>18388</v>
      </c>
      <c r="N533" s="82">
        <v>19896</v>
      </c>
      <c r="O533" s="82">
        <v>21040</v>
      </c>
      <c r="P533" s="82">
        <v>22993</v>
      </c>
      <c r="Q533" s="82">
        <v>24188</v>
      </c>
      <c r="R533" s="82">
        <v>24680</v>
      </c>
      <c r="S533" s="82">
        <v>28529</v>
      </c>
      <c r="T533" s="82">
        <v>29983</v>
      </c>
      <c r="U533" s="82">
        <v>32123</v>
      </c>
      <c r="V533" s="82">
        <v>34108</v>
      </c>
      <c r="W533" s="82">
        <v>33886</v>
      </c>
      <c r="X533" s="82">
        <v>35820</v>
      </c>
      <c r="Y533" s="82">
        <v>37408</v>
      </c>
      <c r="Z533" s="82">
        <v>40102</v>
      </c>
      <c r="AA533" s="82">
        <v>41877</v>
      </c>
      <c r="AB533" s="82">
        <v>44061</v>
      </c>
      <c r="AC533" s="82">
        <v>45562</v>
      </c>
      <c r="AD533" s="82">
        <v>47872</v>
      </c>
      <c r="AE533" s="82">
        <v>49536</v>
      </c>
      <c r="AF533" s="82">
        <v>51492</v>
      </c>
      <c r="AG533" s="82">
        <v>59110</v>
      </c>
      <c r="AH533" s="82">
        <v>60014</v>
      </c>
      <c r="AI533" s="82">
        <v>61205</v>
      </c>
      <c r="AJ533" s="82">
        <v>63114</v>
      </c>
      <c r="AK533" s="82">
        <v>65537</v>
      </c>
      <c r="AL533" s="82">
        <v>67306</v>
      </c>
      <c r="AM533" s="82">
        <v>68025</v>
      </c>
      <c r="AN533" s="82">
        <v>69594</v>
      </c>
      <c r="AO533" s="82">
        <v>71102</v>
      </c>
      <c r="AP533" s="82">
        <v>71933</v>
      </c>
      <c r="AQ533" s="82">
        <v>74915</v>
      </c>
      <c r="AR533" s="82">
        <v>78713</v>
      </c>
      <c r="AS533" s="82">
        <v>74658</v>
      </c>
      <c r="AT533" s="82">
        <v>72833</v>
      </c>
      <c r="AU533" s="82">
        <v>72538</v>
      </c>
      <c r="AV533" s="82">
        <v>72538</v>
      </c>
      <c r="AW533" s="83">
        <v>72834</v>
      </c>
      <c r="AX533" s="82">
        <v>73083</v>
      </c>
      <c r="AY533" s="82">
        <v>73557.844754941383</v>
      </c>
      <c r="AZ533" s="82">
        <v>74255.997732048214</v>
      </c>
      <c r="BA533" s="82">
        <v>74774.313943751491</v>
      </c>
      <c r="BB533" s="82">
        <v>75765.030481097812</v>
      </c>
      <c r="BC533" s="82">
        <v>76295.117904465849</v>
      </c>
      <c r="BD533" s="82">
        <v>77492.422276383528</v>
      </c>
      <c r="BE533" s="82">
        <v>78271.024561391852</v>
      </c>
      <c r="BF533" s="82">
        <v>79629.303183924989</v>
      </c>
      <c r="BG533" s="82">
        <v>80549.221498672923</v>
      </c>
      <c r="BH533" s="82">
        <v>81979.263207786978</v>
      </c>
      <c r="BI533" s="82">
        <v>83023.2202763885</v>
      </c>
      <c r="BJ533" s="82">
        <v>84475.449504665667</v>
      </c>
      <c r="BK533" s="82">
        <v>84898.528076593328</v>
      </c>
      <c r="BL533" s="82">
        <v>85439.548855098139</v>
      </c>
      <c r="BM533" s="82">
        <v>86097.322517622582</v>
      </c>
      <c r="BN533" s="82">
        <v>87664.451719335644</v>
      </c>
      <c r="BO533" s="82">
        <v>89551.298745665845</v>
      </c>
      <c r="BP533" s="82">
        <v>90977.025817435046</v>
      </c>
      <c r="BQ533" s="82">
        <v>92086.026441971437</v>
      </c>
      <c r="BR533" s="82"/>
      <c r="BS533" s="82"/>
      <c r="BT533" s="82">
        <v>5471</v>
      </c>
      <c r="BU533" s="82">
        <v>5568.7</v>
      </c>
      <c r="BV533" s="82">
        <v>5965.1</v>
      </c>
      <c r="BW533" s="82">
        <v>6568.3</v>
      </c>
      <c r="BX533" s="82">
        <v>7190</v>
      </c>
      <c r="BY533" s="82">
        <v>6846</v>
      </c>
      <c r="BZ533" s="82">
        <v>6712</v>
      </c>
      <c r="CA533" s="82">
        <v>6735</v>
      </c>
      <c r="CB533" s="82">
        <v>17472</v>
      </c>
      <c r="CC533" s="82">
        <v>17706</v>
      </c>
      <c r="CD533" s="82">
        <v>18343</v>
      </c>
      <c r="CE533" s="82">
        <v>19337</v>
      </c>
      <c r="CF533" s="82">
        <v>20145</v>
      </c>
      <c r="CG533" s="82">
        <v>18594</v>
      </c>
      <c r="CH533" s="82">
        <v>19896</v>
      </c>
      <c r="CI533" s="82">
        <v>22993</v>
      </c>
      <c r="CJ533" s="82">
        <v>24680</v>
      </c>
      <c r="CK533" s="82">
        <v>29983</v>
      </c>
      <c r="CL533" s="82">
        <v>34108</v>
      </c>
      <c r="CM533" s="82">
        <v>35820</v>
      </c>
      <c r="CN533" s="82">
        <v>40102</v>
      </c>
      <c r="CO533" s="82">
        <v>44061</v>
      </c>
      <c r="CP533" s="82">
        <v>47872</v>
      </c>
      <c r="CQ533" s="82">
        <v>51492</v>
      </c>
      <c r="CR533" s="82">
        <v>60014</v>
      </c>
      <c r="CS533" s="82">
        <v>63114</v>
      </c>
      <c r="CT533" s="82">
        <v>67306</v>
      </c>
      <c r="CU533" s="82">
        <v>69594</v>
      </c>
      <c r="CV533" s="82">
        <v>71933</v>
      </c>
      <c r="CW533" s="82">
        <v>78713</v>
      </c>
      <c r="CX533" s="82">
        <v>72833</v>
      </c>
      <c r="CY533" s="83">
        <v>72538</v>
      </c>
      <c r="CZ533" s="82">
        <v>73083</v>
      </c>
      <c r="DA533" s="82">
        <v>74255.997732048199</v>
      </c>
      <c r="DB533" s="82">
        <v>75765.030481097798</v>
      </c>
      <c r="DC533" s="82">
        <v>77492.422276383528</v>
      </c>
      <c r="DD533" s="82">
        <v>79629.303183924989</v>
      </c>
      <c r="DE533" s="82">
        <v>81979.263207786978</v>
      </c>
      <c r="DF533" s="82">
        <v>84475.449504665667</v>
      </c>
      <c r="DG533" s="82">
        <v>85439.548855098139</v>
      </c>
      <c r="DH533" s="82">
        <v>87664.451719335659</v>
      </c>
      <c r="DI533" s="82">
        <v>90977.02581743506</v>
      </c>
    </row>
    <row r="534" spans="1:113" outlineLevel="1">
      <c r="A534" s="1" t="s">
        <v>975</v>
      </c>
      <c r="B534" s="19" t="s">
        <v>242</v>
      </c>
      <c r="C534" s="55">
        <v>698.5</v>
      </c>
      <c r="D534" s="55">
        <v>1082</v>
      </c>
      <c r="E534" s="55">
        <v>1369</v>
      </c>
      <c r="F534" s="55">
        <v>2020</v>
      </c>
      <c r="G534" s="55">
        <v>1295</v>
      </c>
      <c r="H534" s="55">
        <v>1107</v>
      </c>
      <c r="I534" s="55">
        <v>1096</v>
      </c>
      <c r="J534" s="55">
        <v>-1265</v>
      </c>
      <c r="K534" s="55">
        <v>1876</v>
      </c>
      <c r="L534" s="55">
        <v>968</v>
      </c>
      <c r="M534" s="55">
        <v>2999</v>
      </c>
      <c r="N534" s="55">
        <v>2540</v>
      </c>
      <c r="O534" s="55">
        <v>2842</v>
      </c>
      <c r="P534" s="55">
        <v>2308</v>
      </c>
      <c r="Q534" s="55">
        <v>1602</v>
      </c>
      <c r="R534" s="55">
        <v>1244</v>
      </c>
      <c r="S534" s="55">
        <v>1879</v>
      </c>
      <c r="T534" s="55">
        <v>3224</v>
      </c>
      <c r="U534" s="55">
        <v>3076</v>
      </c>
      <c r="V534" s="55">
        <v>2428</v>
      </c>
      <c r="W534" s="55">
        <v>3487</v>
      </c>
      <c r="X534" s="55">
        <v>3704</v>
      </c>
      <c r="Y534" s="55">
        <v>4351</v>
      </c>
      <c r="Z534" s="55">
        <v>4003</v>
      </c>
      <c r="AA534" s="55">
        <v>4843</v>
      </c>
      <c r="AB534" s="55">
        <v>4748</v>
      </c>
      <c r="AC534" s="55">
        <v>4575</v>
      </c>
      <c r="AD534" s="55">
        <v>5222</v>
      </c>
      <c r="AE534" s="55">
        <v>4623</v>
      </c>
      <c r="AF534" s="55">
        <v>5584</v>
      </c>
      <c r="AG534" s="55">
        <v>3751</v>
      </c>
      <c r="AH534" s="55">
        <v>4413</v>
      </c>
      <c r="AI534" s="55">
        <v>4781</v>
      </c>
      <c r="AJ534" s="55">
        <v>4830</v>
      </c>
      <c r="AK534" s="55">
        <v>4741</v>
      </c>
      <c r="AL534" s="55">
        <v>4036</v>
      </c>
      <c r="AM534" s="55">
        <v>5110</v>
      </c>
      <c r="AN534" s="55">
        <v>5597</v>
      </c>
      <c r="AO534" s="55">
        <v>4371</v>
      </c>
      <c r="AP534" s="55">
        <v>4453</v>
      </c>
      <c r="AQ534" s="55">
        <v>6459</v>
      </c>
      <c r="AR534" s="55">
        <v>5494</v>
      </c>
      <c r="AS534" s="55">
        <v>1632</v>
      </c>
      <c r="AT534" s="55">
        <v>4607</v>
      </c>
      <c r="AU534" s="55">
        <v>4748</v>
      </c>
      <c r="AV534" s="55">
        <v>4473</v>
      </c>
      <c r="AW534" s="56">
        <v>3977</v>
      </c>
      <c r="AX534" s="55">
        <v>5014.1318151813839</v>
      </c>
      <c r="AY534" s="55">
        <v>4646.2833854155833</v>
      </c>
      <c r="AZ534" s="55">
        <v>4684.9834836560458</v>
      </c>
      <c r="BA534" s="55">
        <v>4574.0503912257027</v>
      </c>
      <c r="BB534" s="55">
        <v>4696.7546953208139</v>
      </c>
      <c r="BC534" s="55">
        <v>4780.6382257970599</v>
      </c>
      <c r="BD534" s="55">
        <v>4945.2695569610978</v>
      </c>
      <c r="BE534" s="55">
        <v>4941.6124764125125</v>
      </c>
      <c r="BF534" s="55">
        <v>5086.5855867007094</v>
      </c>
      <c r="BG534" s="55">
        <v>5013.3755629934258</v>
      </c>
      <c r="BH534" s="55">
        <v>5210.6243405542955</v>
      </c>
      <c r="BI534" s="55">
        <v>5185.5631039468362</v>
      </c>
      <c r="BJ534" s="55">
        <v>4656.4125202316791</v>
      </c>
      <c r="BK534" s="55">
        <v>4091.0212942085582</v>
      </c>
      <c r="BL534" s="55">
        <v>4257.7741854916367</v>
      </c>
      <c r="BM534" s="55">
        <v>4933.7963574509013</v>
      </c>
      <c r="BN534" s="55">
        <v>5670.1809092633166</v>
      </c>
      <c r="BO534" s="55">
        <v>5675.7276891610209</v>
      </c>
      <c r="BP534" s="55">
        <v>5942.3346600016121</v>
      </c>
      <c r="BQ534" s="55">
        <v>5949.3473703347017</v>
      </c>
      <c r="BR534" s="55"/>
      <c r="BS534" s="55"/>
      <c r="BT534" s="55">
        <v>403.4</v>
      </c>
      <c r="BU534" s="55">
        <v>879.70000000000039</v>
      </c>
      <c r="BV534" s="55">
        <v>1090.1999999999998</v>
      </c>
      <c r="BW534" s="55">
        <v>1405.6999999999998</v>
      </c>
      <c r="BX534" s="55">
        <v>641</v>
      </c>
      <c r="BY534" s="55">
        <v>861</v>
      </c>
      <c r="BZ534" s="55">
        <v>-514</v>
      </c>
      <c r="CA534" s="55">
        <v>3106</v>
      </c>
      <c r="CB534" s="55">
        <v>2047</v>
      </c>
      <c r="CC534" s="55">
        <v>2451</v>
      </c>
      <c r="CD534" s="55">
        <v>3315</v>
      </c>
      <c r="CE534" s="55">
        <v>2203</v>
      </c>
      <c r="CF534" s="55">
        <v>611</v>
      </c>
      <c r="CG534" s="55">
        <v>3967</v>
      </c>
      <c r="CH534" s="55">
        <v>5382</v>
      </c>
      <c r="CI534" s="55">
        <v>3910</v>
      </c>
      <c r="CJ534" s="55">
        <v>3123</v>
      </c>
      <c r="CK534" s="55">
        <v>6300</v>
      </c>
      <c r="CL534" s="55">
        <v>5915</v>
      </c>
      <c r="CM534" s="55">
        <v>8055</v>
      </c>
      <c r="CN534" s="55">
        <v>8846</v>
      </c>
      <c r="CO534" s="55">
        <v>9323</v>
      </c>
      <c r="CP534" s="55">
        <v>9845</v>
      </c>
      <c r="CQ534" s="55">
        <v>9335</v>
      </c>
      <c r="CR534" s="55">
        <v>9194</v>
      </c>
      <c r="CS534" s="55">
        <v>9571</v>
      </c>
      <c r="CT534" s="55">
        <v>9146</v>
      </c>
      <c r="CU534" s="55">
        <v>9968</v>
      </c>
      <c r="CV534" s="55">
        <v>10912</v>
      </c>
      <c r="CW534" s="55">
        <v>7126</v>
      </c>
      <c r="CX534" s="55">
        <v>9355</v>
      </c>
      <c r="CY534" s="56">
        <v>8450</v>
      </c>
      <c r="CZ534" s="55">
        <v>9660.4152005969663</v>
      </c>
      <c r="DA534" s="55">
        <v>9259.0338748817485</v>
      </c>
      <c r="DB534" s="55">
        <v>9477.3929211178729</v>
      </c>
      <c r="DC534" s="55">
        <v>9886.8820333736112</v>
      </c>
      <c r="DD534" s="55">
        <v>10099.961149694136</v>
      </c>
      <c r="DE534" s="55">
        <v>10396.187444501131</v>
      </c>
      <c r="DF534" s="55">
        <v>8747.4338144402373</v>
      </c>
      <c r="DG534" s="55">
        <v>9191.5705429425379</v>
      </c>
      <c r="DH534" s="55">
        <v>11345.908598424337</v>
      </c>
      <c r="DI534" s="55">
        <v>11891.682030336313</v>
      </c>
    </row>
    <row r="535" spans="1:113" outlineLevel="1">
      <c r="A535" s="1" t="s">
        <v>1002</v>
      </c>
      <c r="B535" s="19" t="s">
        <v>245</v>
      </c>
      <c r="C535" s="53">
        <v>-629</v>
      </c>
      <c r="D535" s="53">
        <v>-939</v>
      </c>
      <c r="E535" s="53">
        <v>-1051</v>
      </c>
      <c r="F535" s="53">
        <v>-1240</v>
      </c>
      <c r="G535" s="53">
        <v>-1054</v>
      </c>
      <c r="H535" s="53">
        <v>-1105</v>
      </c>
      <c r="I535" s="53">
        <v>-870</v>
      </c>
      <c r="J535" s="53">
        <v>-1376</v>
      </c>
      <c r="K535" s="53">
        <v>-1153</v>
      </c>
      <c r="L535" s="53">
        <v>-1435</v>
      </c>
      <c r="M535" s="53">
        <v>-1211</v>
      </c>
      <c r="N535" s="53">
        <v>-1668</v>
      </c>
      <c r="O535" s="53">
        <v>-1380</v>
      </c>
      <c r="P535" s="53">
        <v>-1938</v>
      </c>
      <c r="Q535" s="53">
        <v>-1487</v>
      </c>
      <c r="R535" s="53">
        <v>-2029</v>
      </c>
      <c r="S535" s="53">
        <v>-1662</v>
      </c>
      <c r="T535" s="53">
        <v>-1746</v>
      </c>
      <c r="U535" s="53">
        <v>-1841</v>
      </c>
      <c r="V535" s="53">
        <v>-2633</v>
      </c>
      <c r="W535" s="53">
        <v>-2045</v>
      </c>
      <c r="X535" s="53">
        <v>-2930</v>
      </c>
      <c r="Y535" s="53">
        <v>-2166</v>
      </c>
      <c r="Z535" s="53">
        <v>-3137</v>
      </c>
      <c r="AA535" s="164">
        <v>-2639</v>
      </c>
      <c r="AB535" s="164">
        <v>-3224</v>
      </c>
      <c r="AC535" s="164">
        <v>-2950</v>
      </c>
      <c r="AD535" s="164">
        <v>-3534</v>
      </c>
      <c r="AE535" s="164">
        <v>-3210</v>
      </c>
      <c r="AF535" s="164">
        <v>-3613</v>
      </c>
      <c r="AG535" s="164">
        <v>-3381</v>
      </c>
      <c r="AH535" s="164">
        <v>-3808</v>
      </c>
      <c r="AI535" s="164">
        <v>-3429</v>
      </c>
      <c r="AJ535" s="164">
        <v>-3979</v>
      </c>
      <c r="AK535" s="164">
        <v>-3505</v>
      </c>
      <c r="AL535" s="164">
        <v>-4065</v>
      </c>
      <c r="AM535" s="164">
        <v>-3541</v>
      </c>
      <c r="AN535" s="164">
        <v>-4089</v>
      </c>
      <c r="AO535" s="164">
        <v>-3540</v>
      </c>
      <c r="AP535" s="164">
        <v>-1735</v>
      </c>
      <c r="AQ535" s="164">
        <v>-2661</v>
      </c>
      <c r="AR535" s="164">
        <v>-3548</v>
      </c>
      <c r="AS535" s="164">
        <v>-2987</v>
      </c>
      <c r="AT535" s="164">
        <v>-3571</v>
      </c>
      <c r="AU535" s="164">
        <v>-3546</v>
      </c>
      <c r="AV535" s="164">
        <v>-4023</v>
      </c>
      <c r="AW535" s="171">
        <v>-3600</v>
      </c>
      <c r="AX535" s="55">
        <v>-4180.1750750000001</v>
      </c>
      <c r="AY535" s="55">
        <v>-3589.0184230687628</v>
      </c>
      <c r="AZ535" s="55">
        <v>-4166.6672719527687</v>
      </c>
      <c r="BA535" s="55">
        <v>-3583.3338538793814</v>
      </c>
      <c r="BB535" s="55">
        <v>-4166.6672719527687</v>
      </c>
      <c r="BC535" s="55">
        <v>-3583.3338538793814</v>
      </c>
      <c r="BD535" s="55">
        <v>-4166.6672719527687</v>
      </c>
      <c r="BE535" s="55">
        <v>-3583.3338538793814</v>
      </c>
      <c r="BF535" s="55">
        <v>-4166.6672719527687</v>
      </c>
      <c r="BG535" s="55">
        <v>-3583.3338538793814</v>
      </c>
      <c r="BH535" s="55">
        <v>-4166.6672719527687</v>
      </c>
      <c r="BI535" s="55">
        <v>-3733.3338756696812</v>
      </c>
      <c r="BJ535" s="55">
        <v>-4233.3339483040136</v>
      </c>
      <c r="BK535" s="55">
        <v>-3550.000515703759</v>
      </c>
      <c r="BL535" s="55">
        <v>-3600.0005229671929</v>
      </c>
      <c r="BM535" s="55">
        <v>-3366.6671557378372</v>
      </c>
      <c r="BN535" s="55">
        <v>-3783.3338829331142</v>
      </c>
      <c r="BO535" s="55">
        <v>-4250.0006173918246</v>
      </c>
      <c r="BP535" s="55">
        <v>-4833.3340354652119</v>
      </c>
      <c r="BQ535" s="55">
        <v>-4466.6673155333683</v>
      </c>
      <c r="BR535" s="55"/>
      <c r="BS535" s="55"/>
      <c r="BT535" s="53">
        <v>-365.2</v>
      </c>
      <c r="BU535" s="53">
        <v>-539.29999999999995</v>
      </c>
      <c r="BV535" s="53">
        <v>-575</v>
      </c>
      <c r="BW535" s="53">
        <v>-867</v>
      </c>
      <c r="BX535" s="53">
        <v>-864</v>
      </c>
      <c r="BY535" s="53">
        <v>-980</v>
      </c>
      <c r="BZ535" s="53">
        <v>-1144</v>
      </c>
      <c r="CA535" s="53">
        <v>-1364</v>
      </c>
      <c r="CB535" s="53">
        <v>-1738</v>
      </c>
      <c r="CC535" s="55">
        <v>-1990</v>
      </c>
      <c r="CD535" s="55">
        <v>-2294</v>
      </c>
      <c r="CE535" s="55">
        <v>-1975</v>
      </c>
      <c r="CF535" s="55">
        <v>-2529</v>
      </c>
      <c r="CG535" s="55">
        <v>-2646</v>
      </c>
      <c r="CH535" s="55">
        <v>-3048</v>
      </c>
      <c r="CI535" s="55">
        <v>-3425</v>
      </c>
      <c r="CJ535" s="55">
        <v>-3691</v>
      </c>
      <c r="CK535" s="55">
        <v>-3587</v>
      </c>
      <c r="CL535" s="55">
        <v>-4678</v>
      </c>
      <c r="CM535" s="55">
        <v>-5096</v>
      </c>
      <c r="CN535" s="55">
        <v>-5776</v>
      </c>
      <c r="CO535" s="55">
        <v>-6174</v>
      </c>
      <c r="CP535" s="55">
        <v>-6744</v>
      </c>
      <c r="CQ535" s="55">
        <v>-6994</v>
      </c>
      <c r="CR535" s="55">
        <v>-7237</v>
      </c>
      <c r="CS535" s="55">
        <v>-7484</v>
      </c>
      <c r="CT535" s="55">
        <v>-7606</v>
      </c>
      <c r="CU535" s="55">
        <v>-7629</v>
      </c>
      <c r="CV535" s="55">
        <v>-4396</v>
      </c>
      <c r="CW535" s="55">
        <v>-6535</v>
      </c>
      <c r="CX535" s="55">
        <v>-7117</v>
      </c>
      <c r="CY535" s="56">
        <v>-7623</v>
      </c>
      <c r="CZ535" s="55">
        <v>-7769.1934980687629</v>
      </c>
      <c r="DA535" s="55">
        <v>-7750.0011258321501</v>
      </c>
      <c r="DB535" s="55">
        <v>-7750.0011258321501</v>
      </c>
      <c r="DC535" s="55">
        <v>-7750.0011258321501</v>
      </c>
      <c r="DD535" s="55">
        <v>-7750.0011258321501</v>
      </c>
      <c r="DE535" s="55">
        <v>-7900.0011476224499</v>
      </c>
      <c r="DF535" s="55">
        <v>-7783.3344640077721</v>
      </c>
      <c r="DG535" s="55">
        <v>-6966.6676787050301</v>
      </c>
      <c r="DH535" s="55">
        <v>-8033.3345003249387</v>
      </c>
      <c r="DI535" s="55">
        <v>-9300.0013509985802</v>
      </c>
    </row>
    <row r="536" spans="1:113" outlineLevel="1">
      <c r="A536" s="1" t="s">
        <v>1003</v>
      </c>
      <c r="B536" s="19" t="s">
        <v>258</v>
      </c>
      <c r="C536" s="55">
        <v>-4.5</v>
      </c>
      <c r="D536" s="55">
        <v>-17</v>
      </c>
      <c r="E536" s="55">
        <v>-17</v>
      </c>
      <c r="F536" s="55">
        <v>-20</v>
      </c>
      <c r="G536" s="55">
        <v>-20</v>
      </c>
      <c r="H536" s="55">
        <v>-39</v>
      </c>
      <c r="I536" s="55">
        <v>-62</v>
      </c>
      <c r="J536" s="55">
        <v>-61</v>
      </c>
      <c r="K536" s="55">
        <v>-70</v>
      </c>
      <c r="L536" s="55">
        <v>0</v>
      </c>
      <c r="M536" s="55">
        <v>0</v>
      </c>
      <c r="N536" s="55">
        <v>-28</v>
      </c>
      <c r="O536" s="55">
        <v>-27</v>
      </c>
      <c r="P536" s="55">
        <v>-25</v>
      </c>
      <c r="Q536" s="55">
        <v>-23</v>
      </c>
      <c r="R536" s="55">
        <v>-26</v>
      </c>
      <c r="S536" s="55">
        <v>-31</v>
      </c>
      <c r="T536" s="55">
        <v>-24</v>
      </c>
      <c r="U536" s="55">
        <v>-23</v>
      </c>
      <c r="V536" s="55">
        <v>-22</v>
      </c>
      <c r="W536" s="55">
        <v>-20</v>
      </c>
      <c r="X536" s="55">
        <v>-20</v>
      </c>
      <c r="Y536" s="55">
        <v>-22</v>
      </c>
      <c r="Z536" s="55">
        <v>-20</v>
      </c>
      <c r="AA536" s="55">
        <v>-20</v>
      </c>
      <c r="AB536" s="55">
        <v>-23</v>
      </c>
      <c r="AC536" s="55">
        <v>-22</v>
      </c>
      <c r="AD536" s="55">
        <v>-24</v>
      </c>
      <c r="AE536" s="55">
        <v>-28</v>
      </c>
      <c r="AF536" s="55">
        <v>-32</v>
      </c>
      <c r="AG536" s="55">
        <v>-18</v>
      </c>
      <c r="AH536" s="55">
        <v>0</v>
      </c>
      <c r="AI536" s="55">
        <v>0</v>
      </c>
      <c r="AJ536" s="55">
        <v>0</v>
      </c>
      <c r="AK536" s="55">
        <v>0</v>
      </c>
      <c r="AL536" s="55">
        <v>0</v>
      </c>
      <c r="AM536" s="55">
        <v>0</v>
      </c>
      <c r="AN536" s="55">
        <v>0</v>
      </c>
      <c r="AO536" s="55">
        <v>0</v>
      </c>
      <c r="AP536" s="55">
        <v>0</v>
      </c>
      <c r="AQ536" s="55">
        <v>0</v>
      </c>
      <c r="AR536" s="55">
        <v>0</v>
      </c>
      <c r="AS536" s="55">
        <v>0</v>
      </c>
      <c r="AT536" s="55">
        <v>0</v>
      </c>
      <c r="AU536" s="55">
        <v>0</v>
      </c>
      <c r="AV536" s="55">
        <v>0</v>
      </c>
      <c r="AW536" s="56">
        <v>0</v>
      </c>
      <c r="AX536" s="55">
        <v>0</v>
      </c>
      <c r="AY536" s="55">
        <v>0</v>
      </c>
      <c r="AZ536" s="55">
        <v>0</v>
      </c>
      <c r="BA536" s="55">
        <v>0</v>
      </c>
      <c r="BB536" s="55">
        <v>0</v>
      </c>
      <c r="BC536" s="55">
        <v>0</v>
      </c>
      <c r="BD536" s="55">
        <v>0</v>
      </c>
      <c r="BE536" s="55">
        <v>0</v>
      </c>
      <c r="BF536" s="55">
        <v>0</v>
      </c>
      <c r="BG536" s="55">
        <v>0</v>
      </c>
      <c r="BH536" s="55">
        <v>0</v>
      </c>
      <c r="BI536" s="55">
        <v>0</v>
      </c>
      <c r="BJ536" s="55">
        <v>0</v>
      </c>
      <c r="BK536" s="55">
        <v>0</v>
      </c>
      <c r="BL536" s="55">
        <v>0</v>
      </c>
      <c r="BM536" s="55">
        <v>0</v>
      </c>
      <c r="BN536" s="55">
        <v>0</v>
      </c>
      <c r="BO536" s="55">
        <v>0</v>
      </c>
      <c r="BP536" s="55">
        <v>0</v>
      </c>
      <c r="BQ536" s="55">
        <v>0</v>
      </c>
      <c r="BR536" s="55"/>
      <c r="BS536" s="55"/>
      <c r="BT536" s="55">
        <v>0</v>
      </c>
      <c r="BU536" s="55">
        <v>0</v>
      </c>
      <c r="BV536" s="55">
        <v>0</v>
      </c>
      <c r="BW536" s="55">
        <v>0</v>
      </c>
      <c r="BX536" s="55">
        <v>0</v>
      </c>
      <c r="BY536" s="55">
        <v>0</v>
      </c>
      <c r="BZ536" s="55">
        <v>0</v>
      </c>
      <c r="CA536" s="55">
        <v>0</v>
      </c>
      <c r="CB536" s="55">
        <v>-9</v>
      </c>
      <c r="CC536" s="55">
        <v>-34</v>
      </c>
      <c r="CD536" s="55">
        <v>-40</v>
      </c>
      <c r="CE536" s="55">
        <v>-101</v>
      </c>
      <c r="CF536" s="55">
        <v>-131</v>
      </c>
      <c r="CG536" s="55">
        <v>0</v>
      </c>
      <c r="CH536" s="55">
        <v>-55</v>
      </c>
      <c r="CI536" s="55">
        <v>-48</v>
      </c>
      <c r="CJ536" s="55">
        <v>-57</v>
      </c>
      <c r="CK536" s="55">
        <v>-47</v>
      </c>
      <c r="CL536" s="55">
        <v>-42</v>
      </c>
      <c r="CM536" s="55">
        <v>-42</v>
      </c>
      <c r="CN536" s="55">
        <v>-40</v>
      </c>
      <c r="CO536" s="55">
        <v>-45</v>
      </c>
      <c r="CP536" s="55">
        <v>-52</v>
      </c>
      <c r="CQ536" s="55">
        <v>-50</v>
      </c>
      <c r="CR536" s="55">
        <v>0</v>
      </c>
      <c r="CS536" s="55">
        <v>0</v>
      </c>
      <c r="CT536" s="55">
        <v>0</v>
      </c>
      <c r="CU536" s="55">
        <v>0</v>
      </c>
      <c r="CV536" s="55">
        <v>0</v>
      </c>
      <c r="CW536" s="55">
        <v>0</v>
      </c>
      <c r="CX536" s="55">
        <v>0</v>
      </c>
      <c r="CY536" s="56">
        <v>0</v>
      </c>
      <c r="CZ536" s="55">
        <v>0</v>
      </c>
      <c r="DA536" s="55">
        <v>0</v>
      </c>
      <c r="DB536" s="55">
        <v>0</v>
      </c>
      <c r="DC536" s="55">
        <v>0</v>
      </c>
      <c r="DD536" s="55">
        <v>0</v>
      </c>
      <c r="DE536" s="55">
        <v>0</v>
      </c>
      <c r="DF536" s="55">
        <v>0</v>
      </c>
      <c r="DG536" s="55">
        <v>0</v>
      </c>
      <c r="DH536" s="55">
        <v>0</v>
      </c>
      <c r="DI536" s="55">
        <v>0</v>
      </c>
    </row>
    <row r="537" spans="1:113" outlineLevel="1">
      <c r="A537" s="1" t="s">
        <v>1004</v>
      </c>
      <c r="B537" s="19" t="s">
        <v>410</v>
      </c>
      <c r="C537" s="53">
        <v>-304</v>
      </c>
      <c r="D537" s="53">
        <v>206</v>
      </c>
      <c r="E537" s="53">
        <v>4</v>
      </c>
      <c r="F537" s="53">
        <v>13</v>
      </c>
      <c r="G537" s="53">
        <v>0</v>
      </c>
      <c r="H537" s="53">
        <v>207</v>
      </c>
      <c r="I537" s="53">
        <v>474</v>
      </c>
      <c r="J537" s="53">
        <v>356</v>
      </c>
      <c r="K537" s="53">
        <v>142</v>
      </c>
      <c r="L537" s="53">
        <v>261</v>
      </c>
      <c r="M537" s="53">
        <v>-280</v>
      </c>
      <c r="N537" s="53">
        <v>300</v>
      </c>
      <c r="O537" s="53">
        <v>518</v>
      </c>
      <c r="P537" s="53">
        <v>850</v>
      </c>
      <c r="Q537" s="53">
        <v>400</v>
      </c>
      <c r="R537" s="53">
        <v>4660</v>
      </c>
      <c r="S537" s="53">
        <v>1268</v>
      </c>
      <c r="T537" s="53">
        <v>686</v>
      </c>
      <c r="U537" s="53">
        <v>773</v>
      </c>
      <c r="V537" s="53">
        <v>5</v>
      </c>
      <c r="W537" s="53">
        <v>512</v>
      </c>
      <c r="X537" s="53">
        <v>834</v>
      </c>
      <c r="Y537" s="53">
        <v>531</v>
      </c>
      <c r="Z537" s="53">
        <v>929</v>
      </c>
      <c r="AA537" s="164">
        <v>0</v>
      </c>
      <c r="AB537" s="164">
        <v>0</v>
      </c>
      <c r="AC537" s="164">
        <v>707</v>
      </c>
      <c r="AD537" s="164">
        <v>0</v>
      </c>
      <c r="AE537" s="164">
        <v>571</v>
      </c>
      <c r="AF537" s="164">
        <v>5679</v>
      </c>
      <c r="AG537" s="164">
        <v>552</v>
      </c>
      <c r="AH537" s="164">
        <v>586</v>
      </c>
      <c r="AI537" s="164">
        <v>557</v>
      </c>
      <c r="AJ537" s="164">
        <v>1572</v>
      </c>
      <c r="AK537" s="164">
        <v>533</v>
      </c>
      <c r="AL537" s="164">
        <v>748</v>
      </c>
      <c r="AM537" s="164">
        <v>0</v>
      </c>
      <c r="AN537" s="164">
        <v>0</v>
      </c>
      <c r="AO537" s="164">
        <v>0</v>
      </c>
      <c r="AP537" s="164">
        <v>264</v>
      </c>
      <c r="AQ537" s="164">
        <v>0</v>
      </c>
      <c r="AR537" s="164">
        <v>-6001</v>
      </c>
      <c r="AS537" s="164">
        <v>-470</v>
      </c>
      <c r="AT537" s="164">
        <v>-1331</v>
      </c>
      <c r="AU537" s="164">
        <v>-1202</v>
      </c>
      <c r="AV537" s="164">
        <v>-154</v>
      </c>
      <c r="AW537" s="171">
        <v>-128</v>
      </c>
      <c r="AX537" s="55">
        <v>-359.11198524000002</v>
      </c>
      <c r="AY537" s="55">
        <v>-359.11198524000002</v>
      </c>
      <c r="AZ537" s="55">
        <v>0</v>
      </c>
      <c r="BA537" s="55">
        <v>0</v>
      </c>
      <c r="BB537" s="55">
        <v>0</v>
      </c>
      <c r="BC537" s="55">
        <v>0</v>
      </c>
      <c r="BD537" s="55">
        <v>0</v>
      </c>
      <c r="BE537" s="55">
        <v>0</v>
      </c>
      <c r="BF537" s="55">
        <v>0</v>
      </c>
      <c r="BG537" s="55">
        <v>0</v>
      </c>
      <c r="BH537" s="55">
        <v>0</v>
      </c>
      <c r="BI537" s="55">
        <v>0</v>
      </c>
      <c r="BJ537" s="55">
        <v>0</v>
      </c>
      <c r="BK537" s="55">
        <v>0</v>
      </c>
      <c r="BL537" s="55">
        <v>0</v>
      </c>
      <c r="BM537" s="55">
        <v>0</v>
      </c>
      <c r="BN537" s="55">
        <v>0</v>
      </c>
      <c r="BO537" s="55">
        <v>0</v>
      </c>
      <c r="BP537" s="55">
        <v>0</v>
      </c>
      <c r="BQ537" s="55">
        <v>0</v>
      </c>
      <c r="BR537" s="55"/>
      <c r="BS537" s="55"/>
      <c r="BT537" s="53">
        <v>59.5</v>
      </c>
      <c r="BU537" s="53">
        <v>56</v>
      </c>
      <c r="BV537" s="53">
        <v>88</v>
      </c>
      <c r="BW537" s="53">
        <v>83</v>
      </c>
      <c r="BX537" s="53">
        <v>-121</v>
      </c>
      <c r="BY537" s="53">
        <v>-15</v>
      </c>
      <c r="BZ537" s="53">
        <v>1681</v>
      </c>
      <c r="CA537" s="53">
        <v>8995</v>
      </c>
      <c r="CB537" s="53">
        <v>-66</v>
      </c>
      <c r="CC537" s="55">
        <v>210</v>
      </c>
      <c r="CD537" s="55">
        <v>13</v>
      </c>
      <c r="CE537" s="55">
        <v>681</v>
      </c>
      <c r="CF537" s="55">
        <v>498</v>
      </c>
      <c r="CG537" s="55">
        <v>-19</v>
      </c>
      <c r="CH537" s="55">
        <v>818</v>
      </c>
      <c r="CI537" s="55">
        <v>1250</v>
      </c>
      <c r="CJ537" s="55">
        <v>5928</v>
      </c>
      <c r="CK537" s="55">
        <v>1459</v>
      </c>
      <c r="CL537" s="55">
        <v>517</v>
      </c>
      <c r="CM537" s="55">
        <v>1365</v>
      </c>
      <c r="CN537" s="55">
        <v>929</v>
      </c>
      <c r="CO537" s="55">
        <v>707</v>
      </c>
      <c r="CP537" s="55">
        <v>571</v>
      </c>
      <c r="CQ537" s="55">
        <v>6231</v>
      </c>
      <c r="CR537" s="55">
        <v>1143</v>
      </c>
      <c r="CS537" s="55">
        <v>2105</v>
      </c>
      <c r="CT537" s="55">
        <v>748</v>
      </c>
      <c r="CU537" s="55">
        <v>0</v>
      </c>
      <c r="CV537" s="55">
        <v>264</v>
      </c>
      <c r="CW537" s="55">
        <v>-6471</v>
      </c>
      <c r="CX537" s="55">
        <v>-2533</v>
      </c>
      <c r="CY537" s="56">
        <v>-282</v>
      </c>
      <c r="CZ537" s="55">
        <v>-718.22397048000005</v>
      </c>
      <c r="DA537" s="55">
        <v>0</v>
      </c>
      <c r="DB537" s="55">
        <v>0</v>
      </c>
      <c r="DC537" s="55">
        <v>0</v>
      </c>
      <c r="DD537" s="55">
        <v>0</v>
      </c>
      <c r="DE537" s="55">
        <v>0</v>
      </c>
      <c r="DF537" s="55">
        <v>0</v>
      </c>
      <c r="DG537" s="55">
        <v>0</v>
      </c>
      <c r="DH537" s="55">
        <v>0</v>
      </c>
      <c r="DI537" s="55">
        <v>0</v>
      </c>
    </row>
    <row r="538" spans="1:113" s="24" customFormat="1" outlineLevel="1">
      <c r="A538" s="1" t="s">
        <v>1005</v>
      </c>
      <c r="B538" s="24" t="s">
        <v>152</v>
      </c>
      <c r="C538" s="82">
        <v>17706</v>
      </c>
      <c r="D538" s="82">
        <v>18038</v>
      </c>
      <c r="E538" s="82">
        <v>18343</v>
      </c>
      <c r="F538" s="82">
        <v>19116</v>
      </c>
      <c r="G538" s="82">
        <v>19337</v>
      </c>
      <c r="H538" s="82">
        <v>19507</v>
      </c>
      <c r="I538" s="82">
        <v>20145</v>
      </c>
      <c r="J538" s="82">
        <v>17799</v>
      </c>
      <c r="K538" s="82">
        <v>18594</v>
      </c>
      <c r="L538" s="82">
        <v>18388</v>
      </c>
      <c r="M538" s="82">
        <v>19896</v>
      </c>
      <c r="N538" s="82">
        <v>21040</v>
      </c>
      <c r="O538" s="82">
        <v>22993</v>
      </c>
      <c r="P538" s="82">
        <v>24188</v>
      </c>
      <c r="Q538" s="82">
        <v>24680</v>
      </c>
      <c r="R538" s="82">
        <v>28529</v>
      </c>
      <c r="S538" s="82">
        <v>29983</v>
      </c>
      <c r="T538" s="82">
        <v>32123</v>
      </c>
      <c r="U538" s="82">
        <v>34108</v>
      </c>
      <c r="V538" s="82">
        <v>33886</v>
      </c>
      <c r="W538" s="82">
        <v>35820</v>
      </c>
      <c r="X538" s="82">
        <v>37408</v>
      </c>
      <c r="Y538" s="82">
        <v>40102</v>
      </c>
      <c r="Z538" s="82">
        <v>41877</v>
      </c>
      <c r="AA538" s="82">
        <v>44061</v>
      </c>
      <c r="AB538" s="82">
        <v>45562</v>
      </c>
      <c r="AC538" s="82">
        <v>47872</v>
      </c>
      <c r="AD538" s="82">
        <v>49536</v>
      </c>
      <c r="AE538" s="82">
        <v>51492</v>
      </c>
      <c r="AF538" s="82">
        <v>59110</v>
      </c>
      <c r="AG538" s="82">
        <v>60014</v>
      </c>
      <c r="AH538" s="82">
        <v>61205</v>
      </c>
      <c r="AI538" s="82">
        <v>63114</v>
      </c>
      <c r="AJ538" s="82">
        <v>65537</v>
      </c>
      <c r="AK538" s="82">
        <v>67306</v>
      </c>
      <c r="AL538" s="82">
        <v>68025</v>
      </c>
      <c r="AM538" s="82">
        <v>69594</v>
      </c>
      <c r="AN538" s="82">
        <v>71102</v>
      </c>
      <c r="AO538" s="82">
        <v>71933</v>
      </c>
      <c r="AP538" s="82">
        <v>74915</v>
      </c>
      <c r="AQ538" s="82">
        <v>78713</v>
      </c>
      <c r="AR538" s="82">
        <v>74658</v>
      </c>
      <c r="AS538" s="82">
        <v>72833</v>
      </c>
      <c r="AT538" s="82">
        <v>72538</v>
      </c>
      <c r="AU538" s="82">
        <v>72538</v>
      </c>
      <c r="AV538" s="82">
        <v>72834</v>
      </c>
      <c r="AW538" s="83">
        <v>73083</v>
      </c>
      <c r="AX538" s="82">
        <v>73557.844754941383</v>
      </c>
      <c r="AY538" s="82">
        <v>74255.997732048214</v>
      </c>
      <c r="AZ538" s="82">
        <v>74774.313943751491</v>
      </c>
      <c r="BA538" s="82">
        <v>75765.030481097812</v>
      </c>
      <c r="BB538" s="82">
        <v>76295.117904465849</v>
      </c>
      <c r="BC538" s="82">
        <v>77492.422276383528</v>
      </c>
      <c r="BD538" s="82">
        <v>78271.024561391852</v>
      </c>
      <c r="BE538" s="82">
        <v>79629.303183924989</v>
      </c>
      <c r="BF538" s="82">
        <v>80549.221498672923</v>
      </c>
      <c r="BG538" s="82">
        <v>81979.263207786978</v>
      </c>
      <c r="BH538" s="82">
        <v>83023.2202763885</v>
      </c>
      <c r="BI538" s="82">
        <v>84475.449504665667</v>
      </c>
      <c r="BJ538" s="82">
        <v>84898.528076593328</v>
      </c>
      <c r="BK538" s="82">
        <v>85439.548855098139</v>
      </c>
      <c r="BL538" s="82">
        <v>86097.322517622582</v>
      </c>
      <c r="BM538" s="82">
        <v>87664.451719335644</v>
      </c>
      <c r="BN538" s="82">
        <v>89551.298745665845</v>
      </c>
      <c r="BO538" s="82">
        <v>90977.025817435046</v>
      </c>
      <c r="BP538" s="82">
        <v>92086.026441971437</v>
      </c>
      <c r="BQ538" s="82">
        <v>93568.706496772764</v>
      </c>
      <c r="BR538" s="82"/>
      <c r="BS538" s="101">
        <v>5471</v>
      </c>
      <c r="BT538" s="82">
        <v>5568.7</v>
      </c>
      <c r="BU538" s="82">
        <v>5965.1</v>
      </c>
      <c r="BV538" s="82">
        <v>6568.3</v>
      </c>
      <c r="BW538" s="82">
        <v>7190</v>
      </c>
      <c r="BX538" s="82">
        <v>6846</v>
      </c>
      <c r="BY538" s="82">
        <v>6712</v>
      </c>
      <c r="BZ538" s="82">
        <v>6735</v>
      </c>
      <c r="CA538" s="82">
        <v>17472</v>
      </c>
      <c r="CB538" s="82">
        <v>17706</v>
      </c>
      <c r="CC538" s="82">
        <v>18343</v>
      </c>
      <c r="CD538" s="82">
        <v>19337</v>
      </c>
      <c r="CE538" s="82">
        <v>20145</v>
      </c>
      <c r="CF538" s="82">
        <v>18594</v>
      </c>
      <c r="CG538" s="82">
        <v>19896</v>
      </c>
      <c r="CH538" s="82">
        <v>22993</v>
      </c>
      <c r="CI538" s="82">
        <v>24680</v>
      </c>
      <c r="CJ538" s="82">
        <v>29983</v>
      </c>
      <c r="CK538" s="82">
        <v>34108</v>
      </c>
      <c r="CL538" s="82">
        <v>35820</v>
      </c>
      <c r="CM538" s="82">
        <v>40102</v>
      </c>
      <c r="CN538" s="82">
        <v>44061</v>
      </c>
      <c r="CO538" s="82">
        <v>47872</v>
      </c>
      <c r="CP538" s="82">
        <v>51492</v>
      </c>
      <c r="CQ538" s="82">
        <v>60014</v>
      </c>
      <c r="CR538" s="82">
        <v>63114</v>
      </c>
      <c r="CS538" s="82">
        <v>67306</v>
      </c>
      <c r="CT538" s="82">
        <v>69594</v>
      </c>
      <c r="CU538" s="82">
        <v>71933</v>
      </c>
      <c r="CV538" s="82">
        <v>78713</v>
      </c>
      <c r="CW538" s="82">
        <v>72833</v>
      </c>
      <c r="CX538" s="82">
        <v>72538</v>
      </c>
      <c r="CY538" s="83">
        <v>73083</v>
      </c>
      <c r="CZ538" s="82">
        <v>74255.997732048199</v>
      </c>
      <c r="DA538" s="82">
        <v>75765.030481097798</v>
      </c>
      <c r="DB538" s="82">
        <v>77492.422276383528</v>
      </c>
      <c r="DC538" s="82">
        <v>79629.303183924989</v>
      </c>
      <c r="DD538" s="82">
        <v>81979.263207786978</v>
      </c>
      <c r="DE538" s="82">
        <v>84475.449504665667</v>
      </c>
      <c r="DF538" s="82">
        <v>85439.548855098139</v>
      </c>
      <c r="DG538" s="82">
        <v>87664.451719335659</v>
      </c>
      <c r="DH538" s="82">
        <v>90977.02581743506</v>
      </c>
      <c r="DI538" s="82">
        <v>93568.706496772793</v>
      </c>
    </row>
    <row r="539" spans="1:113" outlineLevel="1">
      <c r="A539" s="1" t="s">
        <v>1006</v>
      </c>
      <c r="B539" s="19" t="s">
        <v>153</v>
      </c>
      <c r="C539" s="53">
        <v>687</v>
      </c>
      <c r="D539" s="53">
        <v>687</v>
      </c>
      <c r="E539" s="53">
        <v>687</v>
      </c>
      <c r="F539" s="53">
        <v>687</v>
      </c>
      <c r="G539" s="53">
        <v>687</v>
      </c>
      <c r="H539" s="53">
        <v>1519</v>
      </c>
      <c r="I539" s="53">
        <v>2260</v>
      </c>
      <c r="J539" s="53">
        <v>2260</v>
      </c>
      <c r="K539" s="53">
        <v>2260</v>
      </c>
      <c r="L539" s="53">
        <v>939</v>
      </c>
      <c r="M539" s="53">
        <v>939</v>
      </c>
      <c r="N539" s="53">
        <v>939</v>
      </c>
      <c r="O539" s="53">
        <v>939</v>
      </c>
      <c r="P539" s="53">
        <v>939</v>
      </c>
      <c r="Q539" s="53">
        <v>939</v>
      </c>
      <c r="R539" s="53">
        <v>939</v>
      </c>
      <c r="S539" s="53">
        <v>939</v>
      </c>
      <c r="T539" s="53">
        <v>939</v>
      </c>
      <c r="U539" s="53">
        <v>939</v>
      </c>
      <c r="V539" s="53">
        <v>939</v>
      </c>
      <c r="W539" s="53">
        <v>939</v>
      </c>
      <c r="X539" s="53">
        <v>939</v>
      </c>
      <c r="Y539" s="53">
        <v>939</v>
      </c>
      <c r="Z539" s="53">
        <v>939</v>
      </c>
      <c r="AA539" s="164">
        <v>939</v>
      </c>
      <c r="AB539" s="164">
        <v>939</v>
      </c>
      <c r="AC539" s="164">
        <v>939</v>
      </c>
      <c r="AD539" s="164">
        <v>939</v>
      </c>
      <c r="AE539" s="164">
        <v>939</v>
      </c>
      <c r="AF539" s="164">
        <v>0</v>
      </c>
      <c r="AG539" s="164">
        <v>0</v>
      </c>
      <c r="AH539" s="164">
        <v>0</v>
      </c>
      <c r="AI539" s="164">
        <v>0</v>
      </c>
      <c r="AJ539" s="164">
        <v>0</v>
      </c>
      <c r="AK539" s="164">
        <v>0</v>
      </c>
      <c r="AL539" s="164">
        <v>0</v>
      </c>
      <c r="AM539" s="164">
        <v>0</v>
      </c>
      <c r="AN539" s="164">
        <v>0</v>
      </c>
      <c r="AO539" s="164">
        <v>0</v>
      </c>
      <c r="AP539" s="164">
        <v>0</v>
      </c>
      <c r="AQ539" s="164">
        <v>0</v>
      </c>
      <c r="AR539" s="164">
        <v>0</v>
      </c>
      <c r="AS539" s="164">
        <v>0</v>
      </c>
      <c r="AT539" s="164">
        <v>0</v>
      </c>
      <c r="AU539" s="164">
        <v>0</v>
      </c>
      <c r="AV539" s="164">
        <v>0</v>
      </c>
      <c r="AW539" s="171">
        <v>0</v>
      </c>
      <c r="AX539" s="54">
        <v>0</v>
      </c>
      <c r="AY539" s="54">
        <v>0</v>
      </c>
      <c r="AZ539" s="54">
        <v>0</v>
      </c>
      <c r="BA539" s="54">
        <v>0</v>
      </c>
      <c r="BB539" s="54">
        <v>0</v>
      </c>
      <c r="BC539" s="54">
        <v>0</v>
      </c>
      <c r="BD539" s="54">
        <v>0</v>
      </c>
      <c r="BE539" s="54">
        <v>0</v>
      </c>
      <c r="BF539" s="54">
        <v>0</v>
      </c>
      <c r="BG539" s="54">
        <v>0</v>
      </c>
      <c r="BH539" s="54">
        <v>0</v>
      </c>
      <c r="BI539" s="54">
        <v>0</v>
      </c>
      <c r="BJ539" s="54">
        <v>0</v>
      </c>
      <c r="BK539" s="54">
        <v>0</v>
      </c>
      <c r="BL539" s="54">
        <v>0</v>
      </c>
      <c r="BM539" s="54">
        <v>0</v>
      </c>
      <c r="BN539" s="54">
        <v>0</v>
      </c>
      <c r="BO539" s="54">
        <v>0</v>
      </c>
      <c r="BP539" s="54">
        <v>0</v>
      </c>
      <c r="BQ539" s="54">
        <v>0</v>
      </c>
      <c r="BR539" s="55"/>
      <c r="BS539" s="53">
        <v>0</v>
      </c>
      <c r="BT539" s="53">
        <v>0</v>
      </c>
      <c r="BU539" s="53">
        <v>0</v>
      </c>
      <c r="BV539" s="53">
        <v>0</v>
      </c>
      <c r="BW539" s="53">
        <v>0</v>
      </c>
      <c r="BX539" s="53">
        <v>0</v>
      </c>
      <c r="BY539" s="53">
        <v>0</v>
      </c>
      <c r="BZ539" s="53">
        <v>0</v>
      </c>
      <c r="CA539" s="53">
        <v>0</v>
      </c>
      <c r="CB539" s="53">
        <v>687</v>
      </c>
      <c r="CC539" s="55">
        <v>687</v>
      </c>
      <c r="CD539" s="55">
        <v>687</v>
      </c>
      <c r="CE539" s="55">
        <v>2260</v>
      </c>
      <c r="CF539" s="55">
        <v>2260</v>
      </c>
      <c r="CG539" s="55">
        <v>939</v>
      </c>
      <c r="CH539" s="55">
        <v>939</v>
      </c>
      <c r="CI539" s="55">
        <v>939</v>
      </c>
      <c r="CJ539" s="55">
        <v>939</v>
      </c>
      <c r="CK539" s="55">
        <v>939</v>
      </c>
      <c r="CL539" s="55">
        <v>939</v>
      </c>
      <c r="CM539" s="55">
        <v>939</v>
      </c>
      <c r="CN539" s="55">
        <v>939</v>
      </c>
      <c r="CO539" s="55">
        <v>939</v>
      </c>
      <c r="CP539" s="55">
        <v>939</v>
      </c>
      <c r="CQ539" s="55">
        <v>0</v>
      </c>
      <c r="CR539" s="55">
        <v>0</v>
      </c>
      <c r="CS539" s="55">
        <v>0</v>
      </c>
      <c r="CT539" s="55">
        <v>0</v>
      </c>
      <c r="CU539" s="55">
        <v>0</v>
      </c>
      <c r="CV539" s="55">
        <v>0</v>
      </c>
      <c r="CW539" s="55">
        <v>0</v>
      </c>
      <c r="CX539" s="55">
        <v>0</v>
      </c>
      <c r="CY539" s="56">
        <v>0</v>
      </c>
      <c r="CZ539" s="55">
        <v>0</v>
      </c>
      <c r="DA539" s="55">
        <v>0</v>
      </c>
      <c r="DB539" s="55">
        <v>0</v>
      </c>
      <c r="DC539" s="55">
        <v>0</v>
      </c>
      <c r="DD539" s="55">
        <v>0</v>
      </c>
      <c r="DE539" s="55">
        <v>0</v>
      </c>
      <c r="DF539" s="55">
        <v>0</v>
      </c>
      <c r="DG539" s="55">
        <v>0</v>
      </c>
      <c r="DH539" s="55">
        <v>0</v>
      </c>
      <c r="DI539" s="55">
        <v>0</v>
      </c>
    </row>
    <row r="540" spans="1:113" outlineLevel="1">
      <c r="A540" s="1" t="s">
        <v>1007</v>
      </c>
      <c r="B540" s="19" t="s">
        <v>160</v>
      </c>
      <c r="C540" s="53">
        <v>1455</v>
      </c>
      <c r="D540" s="53">
        <v>1679</v>
      </c>
      <c r="E540" s="53">
        <v>2026</v>
      </c>
      <c r="F540" s="53">
        <v>2643</v>
      </c>
      <c r="G540" s="53">
        <v>2128</v>
      </c>
      <c r="H540" s="53">
        <v>2175</v>
      </c>
      <c r="I540" s="53">
        <v>2480</v>
      </c>
      <c r="J540" s="53">
        <v>2042</v>
      </c>
      <c r="K540" s="53">
        <v>1789</v>
      </c>
      <c r="L540" s="53">
        <v>523</v>
      </c>
      <c r="M540" s="53">
        <v>508</v>
      </c>
      <c r="N540" s="53">
        <v>508</v>
      </c>
      <c r="O540" s="53">
        <v>512</v>
      </c>
      <c r="P540" s="53">
        <v>511</v>
      </c>
      <c r="Q540" s="53">
        <v>518</v>
      </c>
      <c r="R540" s="53">
        <v>519</v>
      </c>
      <c r="S540" s="53">
        <v>520</v>
      </c>
      <c r="T540" s="53">
        <v>521</v>
      </c>
      <c r="U540" s="53">
        <v>523</v>
      </c>
      <c r="V540" s="53">
        <v>524</v>
      </c>
      <c r="W540" s="53">
        <v>528</v>
      </c>
      <c r="X540" s="53">
        <v>528</v>
      </c>
      <c r="Y540" s="53">
        <v>531</v>
      </c>
      <c r="Z540" s="53">
        <v>532</v>
      </c>
      <c r="AA540" s="164">
        <v>537</v>
      </c>
      <c r="AB540" s="164">
        <v>536</v>
      </c>
      <c r="AC540" s="164">
        <v>537</v>
      </c>
      <c r="AD540" s="164">
        <v>556</v>
      </c>
      <c r="AE540" s="164">
        <v>562</v>
      </c>
      <c r="AF540" s="164">
        <v>554</v>
      </c>
      <c r="AG540" s="164">
        <v>550</v>
      </c>
      <c r="AH540" s="164">
        <v>551</v>
      </c>
      <c r="AI540" s="164">
        <v>546</v>
      </c>
      <c r="AJ540" s="164">
        <v>554</v>
      </c>
      <c r="AK540" s="164">
        <v>554</v>
      </c>
      <c r="AL540" s="164">
        <v>553</v>
      </c>
      <c r="AM540" s="164">
        <v>55</v>
      </c>
      <c r="AN540" s="164">
        <v>51</v>
      </c>
      <c r="AO540" s="164">
        <v>5</v>
      </c>
      <c r="AP540" s="164">
        <v>5</v>
      </c>
      <c r="AQ540" s="164">
        <v>5</v>
      </c>
      <c r="AR540" s="164">
        <v>5</v>
      </c>
      <c r="AS540" s="164">
        <v>5</v>
      </c>
      <c r="AT540" s="164">
        <v>5</v>
      </c>
      <c r="AU540" s="164">
        <v>5</v>
      </c>
      <c r="AV540" s="164">
        <v>5</v>
      </c>
      <c r="AW540" s="171">
        <v>5</v>
      </c>
      <c r="AX540" s="54">
        <v>5</v>
      </c>
      <c r="AY540" s="54">
        <v>5</v>
      </c>
      <c r="AZ540" s="54">
        <v>5</v>
      </c>
      <c r="BA540" s="54">
        <v>5</v>
      </c>
      <c r="BB540" s="54">
        <v>5</v>
      </c>
      <c r="BC540" s="54">
        <v>5</v>
      </c>
      <c r="BD540" s="54">
        <v>5</v>
      </c>
      <c r="BE540" s="54">
        <v>5</v>
      </c>
      <c r="BF540" s="54">
        <v>5</v>
      </c>
      <c r="BG540" s="54">
        <v>5</v>
      </c>
      <c r="BH540" s="54">
        <v>5</v>
      </c>
      <c r="BI540" s="54">
        <v>5</v>
      </c>
      <c r="BJ540" s="54">
        <v>5</v>
      </c>
      <c r="BK540" s="54">
        <v>5</v>
      </c>
      <c r="BL540" s="54">
        <v>5</v>
      </c>
      <c r="BM540" s="54">
        <v>5</v>
      </c>
      <c r="BN540" s="54">
        <v>5</v>
      </c>
      <c r="BO540" s="54">
        <v>5</v>
      </c>
      <c r="BP540" s="54">
        <v>5</v>
      </c>
      <c r="BQ540" s="54">
        <v>5</v>
      </c>
      <c r="BR540" s="55"/>
      <c r="BS540" s="53">
        <v>52</v>
      </c>
      <c r="BT540" s="53">
        <v>63.2</v>
      </c>
      <c r="BU540" s="53">
        <v>105.9</v>
      </c>
      <c r="BV540" s="53">
        <v>126.7</v>
      </c>
      <c r="BW540" s="53">
        <v>177</v>
      </c>
      <c r="BX540" s="53">
        <v>178</v>
      </c>
      <c r="BY540" s="53">
        <v>177</v>
      </c>
      <c r="BZ540" s="53">
        <v>227</v>
      </c>
      <c r="CA540" s="53">
        <v>963</v>
      </c>
      <c r="CB540" s="53">
        <v>1455</v>
      </c>
      <c r="CC540" s="55">
        <v>2026</v>
      </c>
      <c r="CD540" s="55">
        <v>2128</v>
      </c>
      <c r="CE540" s="55">
        <v>2480</v>
      </c>
      <c r="CF540" s="55">
        <v>1789</v>
      </c>
      <c r="CG540" s="55">
        <v>508</v>
      </c>
      <c r="CH540" s="55">
        <v>512</v>
      </c>
      <c r="CI540" s="55">
        <v>518</v>
      </c>
      <c r="CJ540" s="55">
        <v>520</v>
      </c>
      <c r="CK540" s="55">
        <v>523</v>
      </c>
      <c r="CL540" s="55">
        <v>528</v>
      </c>
      <c r="CM540" s="55">
        <v>531</v>
      </c>
      <c r="CN540" s="55">
        <v>537</v>
      </c>
      <c r="CO540" s="55">
        <v>537</v>
      </c>
      <c r="CP540" s="55">
        <v>562</v>
      </c>
      <c r="CQ540" s="55">
        <v>550</v>
      </c>
      <c r="CR540" s="55">
        <v>546</v>
      </c>
      <c r="CS540" s="55">
        <v>554</v>
      </c>
      <c r="CT540" s="55">
        <v>55</v>
      </c>
      <c r="CU540" s="55">
        <v>5</v>
      </c>
      <c r="CV540" s="55">
        <v>5</v>
      </c>
      <c r="CW540" s="55">
        <v>5</v>
      </c>
      <c r="CX540" s="55">
        <v>5</v>
      </c>
      <c r="CY540" s="56">
        <v>5</v>
      </c>
      <c r="CZ540" s="55">
        <v>5</v>
      </c>
      <c r="DA540" s="55">
        <v>5</v>
      </c>
      <c r="DB540" s="55">
        <v>5</v>
      </c>
      <c r="DC540" s="55">
        <v>5</v>
      </c>
      <c r="DD540" s="55">
        <v>5</v>
      </c>
      <c r="DE540" s="55">
        <v>5</v>
      </c>
      <c r="DF540" s="55">
        <v>5</v>
      </c>
      <c r="DG540" s="55">
        <v>5</v>
      </c>
      <c r="DH540" s="55">
        <v>5</v>
      </c>
      <c r="DI540" s="55">
        <v>5</v>
      </c>
    </row>
    <row r="541" spans="1:113" s="24" customFormat="1" outlineLevel="1">
      <c r="A541" s="1" t="s">
        <v>979</v>
      </c>
      <c r="B541" s="24" t="s">
        <v>154</v>
      </c>
      <c r="C541" s="82">
        <v>19848</v>
      </c>
      <c r="D541" s="82">
        <v>20404</v>
      </c>
      <c r="E541" s="82">
        <v>21056</v>
      </c>
      <c r="F541" s="82">
        <v>22446</v>
      </c>
      <c r="G541" s="82">
        <v>22152</v>
      </c>
      <c r="H541" s="82">
        <v>23201</v>
      </c>
      <c r="I541" s="82">
        <v>24885</v>
      </c>
      <c r="J541" s="82">
        <v>22101</v>
      </c>
      <c r="K541" s="82">
        <v>22643</v>
      </c>
      <c r="L541" s="82">
        <v>19850</v>
      </c>
      <c r="M541" s="82">
        <v>21343</v>
      </c>
      <c r="N541" s="82">
        <v>22487</v>
      </c>
      <c r="O541" s="82">
        <v>24444</v>
      </c>
      <c r="P541" s="82">
        <v>25638</v>
      </c>
      <c r="Q541" s="82">
        <v>26137</v>
      </c>
      <c r="R541" s="82">
        <v>29987</v>
      </c>
      <c r="S541" s="82">
        <v>31442</v>
      </c>
      <c r="T541" s="82">
        <v>33583</v>
      </c>
      <c r="U541" s="82">
        <v>35570</v>
      </c>
      <c r="V541" s="82">
        <v>35349</v>
      </c>
      <c r="W541" s="82">
        <v>37287</v>
      </c>
      <c r="X541" s="82">
        <v>38875</v>
      </c>
      <c r="Y541" s="82">
        <v>41572</v>
      </c>
      <c r="Z541" s="82">
        <v>43348</v>
      </c>
      <c r="AA541" s="82">
        <v>45537</v>
      </c>
      <c r="AB541" s="82">
        <v>47037</v>
      </c>
      <c r="AC541" s="82">
        <v>49348</v>
      </c>
      <c r="AD541" s="82">
        <v>51031</v>
      </c>
      <c r="AE541" s="82">
        <v>52993</v>
      </c>
      <c r="AF541" s="82">
        <v>59664</v>
      </c>
      <c r="AG541" s="82">
        <v>60564</v>
      </c>
      <c r="AH541" s="82">
        <v>61756</v>
      </c>
      <c r="AI541" s="82">
        <v>63660</v>
      </c>
      <c r="AJ541" s="82">
        <v>66091</v>
      </c>
      <c r="AK541" s="82">
        <v>67860</v>
      </c>
      <c r="AL541" s="82">
        <v>68578</v>
      </c>
      <c r="AM541" s="82">
        <v>69649</v>
      </c>
      <c r="AN541" s="82">
        <v>71153</v>
      </c>
      <c r="AO541" s="82">
        <v>71938</v>
      </c>
      <c r="AP541" s="82">
        <v>74920</v>
      </c>
      <c r="AQ541" s="82">
        <v>78718</v>
      </c>
      <c r="AR541" s="82">
        <v>74663</v>
      </c>
      <c r="AS541" s="82">
        <v>72838</v>
      </c>
      <c r="AT541" s="82">
        <v>72543</v>
      </c>
      <c r="AU541" s="82">
        <v>72543</v>
      </c>
      <c r="AV541" s="82">
        <v>72839</v>
      </c>
      <c r="AW541" s="83">
        <v>73088</v>
      </c>
      <c r="AX541" s="82">
        <v>73562.844754941383</v>
      </c>
      <c r="AY541" s="82">
        <v>74260.997732048214</v>
      </c>
      <c r="AZ541" s="82">
        <v>74779.313943751491</v>
      </c>
      <c r="BA541" s="82">
        <v>75770.030481097812</v>
      </c>
      <c r="BB541" s="82">
        <v>76300.117904465849</v>
      </c>
      <c r="BC541" s="82">
        <v>77497.422276383528</v>
      </c>
      <c r="BD541" s="82">
        <v>78276.024561391852</v>
      </c>
      <c r="BE541" s="82">
        <v>79634.303183924989</v>
      </c>
      <c r="BF541" s="82">
        <v>80554.221498672923</v>
      </c>
      <c r="BG541" s="82">
        <v>81984.263207786978</v>
      </c>
      <c r="BH541" s="82">
        <v>83028.2202763885</v>
      </c>
      <c r="BI541" s="82">
        <v>84480.449504665667</v>
      </c>
      <c r="BJ541" s="82">
        <v>84903.528076593328</v>
      </c>
      <c r="BK541" s="82">
        <v>85444.548855098139</v>
      </c>
      <c r="BL541" s="82">
        <v>86102.322517622582</v>
      </c>
      <c r="BM541" s="82">
        <v>87669.451719335644</v>
      </c>
      <c r="BN541" s="82">
        <v>89556.298745665845</v>
      </c>
      <c r="BO541" s="82">
        <v>90982.025817435046</v>
      </c>
      <c r="BP541" s="82">
        <v>92091.026441971437</v>
      </c>
      <c r="BQ541" s="82">
        <v>93573.706496772764</v>
      </c>
      <c r="BR541" s="82"/>
      <c r="BS541" s="82">
        <v>5523</v>
      </c>
      <c r="BT541" s="82">
        <v>5631.9</v>
      </c>
      <c r="BU541" s="82">
        <v>6071</v>
      </c>
      <c r="BV541" s="82">
        <v>6695</v>
      </c>
      <c r="BW541" s="82">
        <v>7367</v>
      </c>
      <c r="BX541" s="82">
        <v>7024</v>
      </c>
      <c r="BY541" s="82">
        <v>6889</v>
      </c>
      <c r="BZ541" s="82">
        <v>6962</v>
      </c>
      <c r="CA541" s="82">
        <v>18435</v>
      </c>
      <c r="CB541" s="82">
        <v>19848</v>
      </c>
      <c r="CC541" s="82">
        <v>21056</v>
      </c>
      <c r="CD541" s="82">
        <v>22152</v>
      </c>
      <c r="CE541" s="82">
        <v>24885</v>
      </c>
      <c r="CF541" s="82">
        <v>22643</v>
      </c>
      <c r="CG541" s="82">
        <v>21343</v>
      </c>
      <c r="CH541" s="82">
        <v>24444</v>
      </c>
      <c r="CI541" s="82">
        <v>26137</v>
      </c>
      <c r="CJ541" s="82">
        <v>31442</v>
      </c>
      <c r="CK541" s="82">
        <v>35570</v>
      </c>
      <c r="CL541" s="82">
        <v>37287</v>
      </c>
      <c r="CM541" s="82">
        <v>41572</v>
      </c>
      <c r="CN541" s="82">
        <v>45537</v>
      </c>
      <c r="CO541" s="82">
        <v>49348</v>
      </c>
      <c r="CP541" s="82">
        <v>52993</v>
      </c>
      <c r="CQ541" s="82">
        <v>60564</v>
      </c>
      <c r="CR541" s="82">
        <v>63660</v>
      </c>
      <c r="CS541" s="82">
        <v>67860</v>
      </c>
      <c r="CT541" s="82">
        <v>69649</v>
      </c>
      <c r="CU541" s="82">
        <v>71938</v>
      </c>
      <c r="CV541" s="82">
        <v>78718</v>
      </c>
      <c r="CW541" s="82">
        <v>72838</v>
      </c>
      <c r="CX541" s="82">
        <v>72543</v>
      </c>
      <c r="CY541" s="83">
        <v>73088</v>
      </c>
      <c r="CZ541" s="82">
        <v>74260.997732048199</v>
      </c>
      <c r="DA541" s="82">
        <v>75770.030481097798</v>
      </c>
      <c r="DB541" s="82">
        <v>77497.422276383528</v>
      </c>
      <c r="DC541" s="82">
        <v>79634.303183924989</v>
      </c>
      <c r="DD541" s="82">
        <v>81984.263207786978</v>
      </c>
      <c r="DE541" s="82">
        <v>84480.449504665667</v>
      </c>
      <c r="DF541" s="82">
        <v>85444.548855098139</v>
      </c>
      <c r="DG541" s="82">
        <v>87669.451719335659</v>
      </c>
      <c r="DH541" s="82">
        <v>90982.02581743506</v>
      </c>
      <c r="DI541" s="82">
        <v>93573.706496772793</v>
      </c>
    </row>
    <row r="542" spans="1:113" outlineLevel="1">
      <c r="C542" s="55"/>
      <c r="D542" s="55"/>
      <c r="E542" s="55"/>
      <c r="F542" s="55"/>
      <c r="G542" s="55"/>
      <c r="H542" s="55"/>
      <c r="I542" s="55"/>
      <c r="J542" s="55"/>
      <c r="K542" s="55"/>
      <c r="L542" s="55"/>
      <c r="M542" s="55"/>
      <c r="N542" s="55"/>
      <c r="O542" s="55"/>
      <c r="P542" s="55"/>
      <c r="Q542" s="55"/>
      <c r="R542" s="55"/>
      <c r="S542" s="55"/>
      <c r="T542" s="55"/>
      <c r="U542" s="55"/>
      <c r="V542" s="55"/>
      <c r="W542" s="55"/>
      <c r="X542" s="55"/>
      <c r="Y542" s="55"/>
      <c r="Z542" s="55"/>
      <c r="AA542" s="55"/>
      <c r="AB542" s="55"/>
      <c r="AC542" s="55"/>
      <c r="AD542" s="55"/>
      <c r="AE542" s="583"/>
      <c r="AF542" s="583"/>
      <c r="AG542" s="55"/>
      <c r="AH542" s="55"/>
      <c r="AI542" s="55"/>
      <c r="AJ542" s="55"/>
      <c r="AK542" s="55"/>
      <c r="AL542" s="55"/>
      <c r="AM542" s="55"/>
      <c r="AN542" s="55"/>
      <c r="AO542" s="55"/>
      <c r="AP542" s="55"/>
      <c r="AQ542" s="55"/>
      <c r="AR542" s="55"/>
      <c r="AS542" s="55"/>
      <c r="AT542" s="55"/>
      <c r="AU542" s="55"/>
      <c r="AV542" s="55"/>
      <c r="AW542" s="56"/>
      <c r="AY542" s="55"/>
      <c r="AZ542" s="55"/>
      <c r="BA542" s="55"/>
      <c r="BB542" s="55"/>
      <c r="BC542" s="55"/>
      <c r="BD542" s="55"/>
      <c r="BE542" s="55"/>
      <c r="BF542" s="55"/>
      <c r="BG542" s="55"/>
      <c r="BH542" s="55"/>
      <c r="BI542" s="55"/>
      <c r="BJ542" s="55"/>
      <c r="BK542" s="55"/>
      <c r="BL542" s="55"/>
      <c r="BM542" s="55"/>
      <c r="BN542" s="55"/>
      <c r="BO542" s="55"/>
      <c r="BP542" s="55"/>
      <c r="BQ542" s="55"/>
      <c r="BR542" s="55"/>
      <c r="BS542" s="55"/>
      <c r="BT542" s="55"/>
      <c r="BU542" s="55"/>
      <c r="BV542" s="55"/>
      <c r="BW542" s="55"/>
      <c r="BX542" s="55"/>
      <c r="BY542" s="55"/>
      <c r="BZ542" s="55"/>
      <c r="CA542" s="55"/>
      <c r="CB542" s="55"/>
      <c r="CC542" s="55"/>
      <c r="CD542" s="55"/>
      <c r="CE542" s="55"/>
      <c r="CF542" s="55"/>
      <c r="CG542" s="55"/>
      <c r="CH542" s="55"/>
      <c r="CI542" s="55"/>
      <c r="CJ542" s="55"/>
      <c r="CK542" s="55"/>
      <c r="CL542" s="55"/>
      <c r="CM542" s="55"/>
      <c r="CN542" s="55"/>
      <c r="CO542" s="55"/>
      <c r="CP542" s="55"/>
      <c r="CQ542" s="55"/>
      <c r="CR542" s="55"/>
      <c r="CS542" s="55"/>
      <c r="CT542" s="55"/>
      <c r="CU542" s="55"/>
      <c r="CV542" s="55"/>
      <c r="CW542" s="55"/>
      <c r="CX542" s="55"/>
      <c r="CY542" s="56"/>
      <c r="CZ542" s="55"/>
      <c r="DA542" s="55"/>
      <c r="DB542" s="55"/>
    </row>
    <row r="543" spans="1:113" s="24" customFormat="1" outlineLevel="1">
      <c r="A543" s="1" t="s">
        <v>1008</v>
      </c>
      <c r="B543" s="24" t="s">
        <v>155</v>
      </c>
      <c r="C543" s="81">
        <v>1250.7696108988537</v>
      </c>
      <c r="D543" s="81">
        <v>1259.4605117635231</v>
      </c>
      <c r="E543" s="81">
        <v>1259.7238719083048</v>
      </c>
      <c r="F543" s="81">
        <v>1260.3874552583952</v>
      </c>
      <c r="G543" s="81">
        <v>1260.3874552583952</v>
      </c>
      <c r="H543" s="81">
        <v>1267.9058435551981</v>
      </c>
      <c r="I543" s="81">
        <v>1270.8687532676452</v>
      </c>
      <c r="J543" s="81">
        <v>1280.7922863462697</v>
      </c>
      <c r="K543" s="81">
        <v>1287.2271988739192</v>
      </c>
      <c r="L543" s="81">
        <v>1295.5587462296401</v>
      </c>
      <c r="M543" s="81">
        <v>1289.8702081238689</v>
      </c>
      <c r="N543" s="81">
        <v>1297.0217796098932</v>
      </c>
      <c r="O543" s="81">
        <v>1307.6446571486024</v>
      </c>
      <c r="P543" s="81">
        <v>1323.1070540920973</v>
      </c>
      <c r="Q543" s="81">
        <v>1333.3308636637844</v>
      </c>
      <c r="R543" s="81">
        <v>1479.1870681681078</v>
      </c>
      <c r="S543" s="81">
        <v>1527.0471234667202</v>
      </c>
      <c r="T543" s="81">
        <v>1542.575992358737</v>
      </c>
      <c r="U543" s="81">
        <v>1557.1459621958577</v>
      </c>
      <c r="V543" s="81">
        <v>1557.3165835511763</v>
      </c>
      <c r="W543" s="81">
        <v>1567.0995817414034</v>
      </c>
      <c r="X543" s="81">
        <v>1589.8658686909309</v>
      </c>
      <c r="Y543" s="81">
        <v>1600.7990951136135</v>
      </c>
      <c r="Z543" s="81">
        <v>1617.9175960185</v>
      </c>
      <c r="AA543" s="166">
        <v>1620.7520611301024</v>
      </c>
      <c r="AB543" s="166">
        <v>1620.7520611301024</v>
      </c>
      <c r="AC543" s="166">
        <v>1629.8009249949728</v>
      </c>
      <c r="AD543" s="166">
        <v>1630.1218520008042</v>
      </c>
      <c r="AE543" s="166">
        <v>1636.8389302232054</v>
      </c>
      <c r="AF543" s="166">
        <v>1708</v>
      </c>
      <c r="AG543" s="166">
        <v>1715</v>
      </c>
      <c r="AH543" s="166">
        <v>1723</v>
      </c>
      <c r="AI543" s="166">
        <v>1730</v>
      </c>
      <c r="AJ543" s="166">
        <v>1753</v>
      </c>
      <c r="AK543" s="166">
        <v>1760</v>
      </c>
      <c r="AL543" s="166">
        <v>1770.239507</v>
      </c>
      <c r="AM543" s="166">
        <v>1770.239507</v>
      </c>
      <c r="AN543" s="166">
        <v>1770.239507</v>
      </c>
      <c r="AO543" s="166">
        <v>1770.239507</v>
      </c>
      <c r="AP543" s="166">
        <v>1774.0964100000001</v>
      </c>
      <c r="AQ543" s="166">
        <v>1774.0964100000001</v>
      </c>
      <c r="AR543" s="166">
        <v>1706.391603</v>
      </c>
      <c r="AS543" s="166">
        <v>1701.5384059999999</v>
      </c>
      <c r="AT543" s="166">
        <v>1688.4141689999999</v>
      </c>
      <c r="AU543" s="166">
        <v>1674.519391</v>
      </c>
      <c r="AV543" s="166">
        <v>1673.220748</v>
      </c>
      <c r="AW543" s="167">
        <v>1672.0700300000001</v>
      </c>
      <c r="AX543" s="82">
        <v>1669.3108944505875</v>
      </c>
      <c r="AY543" s="82">
        <v>1666.6669087811076</v>
      </c>
      <c r="AZ543" s="82">
        <v>1666.6669087811076</v>
      </c>
      <c r="BA543" s="82">
        <v>1666.6669087811076</v>
      </c>
      <c r="BB543" s="82">
        <v>1666.6669087811076</v>
      </c>
      <c r="BC543" s="82">
        <v>1666.6669087811076</v>
      </c>
      <c r="BD543" s="82">
        <v>1666.6669087811076</v>
      </c>
      <c r="BE543" s="82">
        <v>1666.6669087811076</v>
      </c>
      <c r="BF543" s="82">
        <v>1666.6669087811076</v>
      </c>
      <c r="BG543" s="82">
        <v>1666.6669087811076</v>
      </c>
      <c r="BH543" s="82">
        <v>1666.6669087811076</v>
      </c>
      <c r="BI543" s="82">
        <v>1666.6669087811076</v>
      </c>
      <c r="BJ543" s="82">
        <v>1666.6669087811076</v>
      </c>
      <c r="BK543" s="82">
        <v>1666.6669087811076</v>
      </c>
      <c r="BL543" s="82">
        <v>1666.6669087811076</v>
      </c>
      <c r="BM543" s="82">
        <v>1666.6669087811076</v>
      </c>
      <c r="BN543" s="82">
        <v>1666.6669087811076</v>
      </c>
      <c r="BO543" s="82">
        <v>1666.6669087811076</v>
      </c>
      <c r="BP543" s="82">
        <v>1666.6669087811076</v>
      </c>
      <c r="BQ543" s="82">
        <v>1666.6669087811076</v>
      </c>
      <c r="BR543" s="82"/>
      <c r="BS543" s="81">
        <v>848.97995777196866</v>
      </c>
      <c r="BT543" s="81">
        <v>880.14642368791476</v>
      </c>
      <c r="BU543" s="81">
        <v>909.85772370802329</v>
      </c>
      <c r="BV543" s="81">
        <v>954.30842951940474</v>
      </c>
      <c r="BW543" s="81">
        <v>995.78058616529256</v>
      </c>
      <c r="BX543" s="81">
        <v>935.22746330182986</v>
      </c>
      <c r="BY543" s="81">
        <v>927.6676794691333</v>
      </c>
      <c r="BZ543" s="81">
        <v>920.94171023527042</v>
      </c>
      <c r="CA543" s="81">
        <v>1267.0440156846973</v>
      </c>
      <c r="CB543" s="81">
        <v>1250.7696108988537</v>
      </c>
      <c r="CC543" s="82">
        <v>1259.7238719083048</v>
      </c>
      <c r="CD543" s="82">
        <v>1260.3874552583952</v>
      </c>
      <c r="CE543" s="82">
        <v>1270.8687532676452</v>
      </c>
      <c r="CF543" s="82">
        <v>1287.2271988739192</v>
      </c>
      <c r="CG543" s="82">
        <v>1289.8702081238689</v>
      </c>
      <c r="CH543" s="82">
        <v>1307.6446571486024</v>
      </c>
      <c r="CI543" s="82">
        <v>1333.3308636637844</v>
      </c>
      <c r="CJ543" s="82">
        <v>1527.0471234667202</v>
      </c>
      <c r="CK543" s="82">
        <v>1557.1459621958577</v>
      </c>
      <c r="CL543" s="82">
        <v>1567.0995817414034</v>
      </c>
      <c r="CM543" s="82">
        <v>1600.7990951136135</v>
      </c>
      <c r="CN543" s="82">
        <v>1620.7520611301024</v>
      </c>
      <c r="CO543" s="82">
        <v>1629.8009249949728</v>
      </c>
      <c r="CP543" s="82">
        <v>1636.8389302232054</v>
      </c>
      <c r="CQ543" s="82">
        <v>1715</v>
      </c>
      <c r="CR543" s="82">
        <v>1723</v>
      </c>
      <c r="CS543" s="82">
        <v>1730</v>
      </c>
      <c r="CT543" s="82">
        <v>1770.239507</v>
      </c>
      <c r="CU543" s="82">
        <v>1770.239507</v>
      </c>
      <c r="CV543" s="82">
        <v>1774.0964100000001</v>
      </c>
      <c r="CW543" s="82">
        <v>1701.5384059999999</v>
      </c>
      <c r="CX543" s="82">
        <v>1674.519391</v>
      </c>
      <c r="CY543" s="83">
        <v>1672.0700300000001</v>
      </c>
      <c r="CZ543" s="82">
        <v>1666.6669087811076</v>
      </c>
      <c r="DA543" s="82">
        <v>1666.6669087811076</v>
      </c>
      <c r="DB543" s="82">
        <v>1666.6669087811076</v>
      </c>
      <c r="DC543" s="82">
        <v>1666.6669087811076</v>
      </c>
      <c r="DD543" s="82">
        <v>1666.6669087811076</v>
      </c>
      <c r="DE543" s="82">
        <v>1666.6669087811076</v>
      </c>
      <c r="DF543" s="82">
        <v>1666.6669087811076</v>
      </c>
      <c r="DG543" s="82">
        <v>1666.6669087811076</v>
      </c>
      <c r="DH543" s="82">
        <v>1666.6669087811076</v>
      </c>
      <c r="DI543" s="82">
        <v>1666.6669087811076</v>
      </c>
    </row>
    <row r="544" spans="1:113" outlineLevel="1">
      <c r="A544" s="1" t="s">
        <v>1009</v>
      </c>
      <c r="B544" s="19" t="s">
        <v>156</v>
      </c>
      <c r="C544" s="53">
        <v>1262.8192238085662</v>
      </c>
      <c r="D544" s="53">
        <v>1254.7757892620148</v>
      </c>
      <c r="E544" s="53">
        <v>1259.8029358536094</v>
      </c>
      <c r="F544" s="53">
        <v>1259.8029358536094</v>
      </c>
      <c r="G544" s="53">
        <v>1260.8083651719285</v>
      </c>
      <c r="H544" s="53">
        <v>1263.8246531268851</v>
      </c>
      <c r="I544" s="53">
        <v>1261.8137944902473</v>
      </c>
      <c r="J544" s="53">
        <v>1271.8680876734365</v>
      </c>
      <c r="K544" s="53">
        <v>1279.9115222199878</v>
      </c>
      <c r="L544" s="53">
        <v>1287.9549567665392</v>
      </c>
      <c r="M544" s="53">
        <v>1291.976674039815</v>
      </c>
      <c r="N544" s="53">
        <v>1290.9712447214961</v>
      </c>
      <c r="O544" s="53">
        <v>1300.0201085863664</v>
      </c>
      <c r="P544" s="53">
        <v>1313.0906897245122</v>
      </c>
      <c r="Q544" s="53">
        <v>1326.1612708626583</v>
      </c>
      <c r="R544" s="53">
        <v>1365.3730142770962</v>
      </c>
      <c r="S544" s="53">
        <v>1503.1168308867886</v>
      </c>
      <c r="T544" s="53">
        <v>1531.2688517997185</v>
      </c>
      <c r="U544" s="53">
        <v>1547.3557208928212</v>
      </c>
      <c r="V544" s="53">
        <v>1554.3937261210535</v>
      </c>
      <c r="W544" s="53">
        <v>1559.4208727126481</v>
      </c>
      <c r="X544" s="53">
        <v>1572.4914538507942</v>
      </c>
      <c r="Y544" s="53">
        <v>1591.5946108988537</v>
      </c>
      <c r="Z544" s="53">
        <v>1604.6651920369998</v>
      </c>
      <c r="AA544" s="164">
        <v>1614.719485220189</v>
      </c>
      <c r="AB544" s="164">
        <v>1617.7357731751458</v>
      </c>
      <c r="AC544" s="164">
        <v>1622.7629197667404</v>
      </c>
      <c r="AD544" s="164">
        <v>1627.790066358335</v>
      </c>
      <c r="AE544" s="164">
        <v>1630.8063543132916</v>
      </c>
      <c r="AF544" s="164">
        <v>1678</v>
      </c>
      <c r="AG544" s="164">
        <v>1709</v>
      </c>
      <c r="AH544" s="164">
        <v>1716</v>
      </c>
      <c r="AI544" s="164">
        <v>1724</v>
      </c>
      <c r="AJ544" s="164">
        <v>1740</v>
      </c>
      <c r="AK544" s="164">
        <v>1754</v>
      </c>
      <c r="AL544" s="164">
        <v>1763</v>
      </c>
      <c r="AM544" s="164">
        <v>1769</v>
      </c>
      <c r="AN544" s="164">
        <v>1769</v>
      </c>
      <c r="AO544" s="164">
        <v>1769</v>
      </c>
      <c r="AP544" s="164">
        <v>1770</v>
      </c>
      <c r="AQ544" s="164">
        <v>1772</v>
      </c>
      <c r="AR544" s="164">
        <v>1740</v>
      </c>
      <c r="AS544" s="164">
        <v>1704</v>
      </c>
      <c r="AT544" s="164">
        <v>1695</v>
      </c>
      <c r="AU544" s="164">
        <v>1685</v>
      </c>
      <c r="AV544" s="164">
        <v>1674</v>
      </c>
      <c r="AW544" s="171">
        <v>1673</v>
      </c>
      <c r="AX544" s="55">
        <v>1671.0446587689223</v>
      </c>
      <c r="AY544" s="55">
        <v>1668.3425254121889</v>
      </c>
      <c r="AZ544" s="55">
        <v>1667.0202523069238</v>
      </c>
      <c r="BA544" s="55">
        <v>1667.0202523069238</v>
      </c>
      <c r="BB544" s="55">
        <v>1667.0202523069238</v>
      </c>
      <c r="BC544" s="55">
        <v>1667.0202523069238</v>
      </c>
      <c r="BD544" s="55">
        <v>1667.0202523069238</v>
      </c>
      <c r="BE544" s="55">
        <v>1667.0202523069238</v>
      </c>
      <c r="BF544" s="55">
        <v>1667.0202523069238</v>
      </c>
      <c r="BG544" s="55">
        <v>1667.0202523069238</v>
      </c>
      <c r="BH544" s="55">
        <v>1667.0202523069238</v>
      </c>
      <c r="BI544" s="55">
        <v>1667.0202523069238</v>
      </c>
      <c r="BJ544" s="55">
        <v>1667.0202523069238</v>
      </c>
      <c r="BK544" s="55">
        <v>1667.0202523069238</v>
      </c>
      <c r="BL544" s="55">
        <v>1667.0202523069238</v>
      </c>
      <c r="BM544" s="55">
        <v>1667.0202523069238</v>
      </c>
      <c r="BN544" s="55">
        <v>1667.0202523069238</v>
      </c>
      <c r="BO544" s="55">
        <v>1667.0202523069238</v>
      </c>
      <c r="BP544" s="55">
        <v>1667.0202523069238</v>
      </c>
      <c r="BQ544" s="55">
        <v>1667.0202523069238</v>
      </c>
      <c r="BR544" s="55"/>
      <c r="BS544" s="53">
        <v>797.40599235873719</v>
      </c>
      <c r="BT544" s="53">
        <v>861.3512970038206</v>
      </c>
      <c r="BU544" s="53">
        <v>891.51417655338832</v>
      </c>
      <c r="BV544" s="53">
        <v>929.01669012668401</v>
      </c>
      <c r="BW544" s="53">
        <v>974.26100945103553</v>
      </c>
      <c r="BX544" s="53">
        <v>921.97868489845155</v>
      </c>
      <c r="BY544" s="53">
        <v>935.0492660365976</v>
      </c>
      <c r="BZ544" s="53">
        <v>932.03297808164086</v>
      </c>
      <c r="CA544" s="53">
        <v>932.03297808164086</v>
      </c>
      <c r="CB544" s="53">
        <v>1266.8409410818419</v>
      </c>
      <c r="CC544" s="55">
        <v>1257.3100220643528</v>
      </c>
      <c r="CD544" s="55">
        <v>1260.3097824140773</v>
      </c>
      <c r="CE544" s="55">
        <v>1262.8137296592861</v>
      </c>
      <c r="CF544" s="55">
        <v>1275.9228601571776</v>
      </c>
      <c r="CG544" s="164">
        <v>1283</v>
      </c>
      <c r="CH544" s="164">
        <v>1289</v>
      </c>
      <c r="CI544" s="164">
        <v>1313</v>
      </c>
      <c r="CJ544" s="164">
        <v>1442</v>
      </c>
      <c r="CK544" s="164">
        <v>1531</v>
      </c>
      <c r="CL544" s="164">
        <v>1548</v>
      </c>
      <c r="CM544" s="164">
        <v>1573</v>
      </c>
      <c r="CN544" s="164">
        <v>1601</v>
      </c>
      <c r="CO544" s="164">
        <v>1611</v>
      </c>
      <c r="CP544" s="164">
        <v>1630</v>
      </c>
      <c r="CQ544" s="164">
        <v>1693</v>
      </c>
      <c r="CR544" s="164">
        <v>1720.032876712329</v>
      </c>
      <c r="CS544" s="164">
        <v>1747</v>
      </c>
      <c r="CT544" s="164">
        <v>1766</v>
      </c>
      <c r="CU544" s="164">
        <v>1769</v>
      </c>
      <c r="CV544" s="164">
        <v>1771</v>
      </c>
      <c r="CW544" s="164">
        <v>1722</v>
      </c>
      <c r="CX544" s="164">
        <v>1690</v>
      </c>
      <c r="CY544" s="171">
        <v>1673</v>
      </c>
      <c r="CZ544" s="55">
        <v>1669.6824874329252</v>
      </c>
      <c r="DA544" s="55">
        <v>1667.0202523069238</v>
      </c>
      <c r="DB544" s="55">
        <v>1667.0202523069238</v>
      </c>
      <c r="DC544" s="55">
        <v>1667.0202523069238</v>
      </c>
      <c r="DD544" s="55">
        <v>1667.0202523069238</v>
      </c>
      <c r="DE544" s="55">
        <v>1667.0202523069238</v>
      </c>
      <c r="DF544" s="55">
        <v>1667.0202523069238</v>
      </c>
      <c r="DG544" s="55">
        <v>1667.0202523069238</v>
      </c>
      <c r="DH544" s="55">
        <v>1667.0202523069238</v>
      </c>
      <c r="DI544" s="55">
        <v>1667.0202523069238</v>
      </c>
    </row>
    <row r="545" spans="1:113" outlineLevel="1">
      <c r="A545" s="1" t="s">
        <v>1016</v>
      </c>
      <c r="B545" s="19" t="s">
        <v>438</v>
      </c>
      <c r="C545" s="53">
        <v>1262.8192238085662</v>
      </c>
      <c r="D545" s="53">
        <v>1254.7757892620148</v>
      </c>
      <c r="E545" s="53">
        <v>1259.8029358536094</v>
      </c>
      <c r="F545" s="53">
        <v>1259.8029358536094</v>
      </c>
      <c r="G545" s="53">
        <v>1260.8083651719285</v>
      </c>
      <c r="H545" s="53">
        <v>1264.830082445204</v>
      </c>
      <c r="I545" s="53">
        <v>1262.8192238085662</v>
      </c>
      <c r="J545" s="53">
        <v>1338.2264226824855</v>
      </c>
      <c r="K545" s="53">
        <v>1336.2155640458475</v>
      </c>
      <c r="L545" s="53">
        <v>1340.2372813191232</v>
      </c>
      <c r="M545" s="53">
        <v>1351.2970038206313</v>
      </c>
      <c r="N545" s="53">
        <v>1364.3675849587773</v>
      </c>
      <c r="O545" s="53">
        <v>1362.3567263221396</v>
      </c>
      <c r="P545" s="53">
        <v>1393.5250351900261</v>
      </c>
      <c r="Q545" s="53">
        <v>1444.8019304242912</v>
      </c>
      <c r="R545" s="53">
        <v>1549.3665795294589</v>
      </c>
      <c r="S545" s="53">
        <v>1625.779207721697</v>
      </c>
      <c r="T545" s="53">
        <v>1627.790066358335</v>
      </c>
      <c r="U545" s="53">
        <v>1672.0289563643676</v>
      </c>
      <c r="V545" s="53">
        <v>1678.061532274281</v>
      </c>
      <c r="W545" s="53">
        <v>1681.0778202292379</v>
      </c>
      <c r="X545" s="53">
        <v>1681.0778202292379</v>
      </c>
      <c r="Y545" s="53">
        <v>1696.1592600040217</v>
      </c>
      <c r="Z545" s="53">
        <v>1698.1701186406594</v>
      </c>
      <c r="AA545" s="164">
        <v>1704.2026945505729</v>
      </c>
      <c r="AB545" s="164">
        <v>1697.1646893223406</v>
      </c>
      <c r="AC545" s="164">
        <v>1696.1592600040217</v>
      </c>
      <c r="AD545" s="164">
        <v>1711.2406997788055</v>
      </c>
      <c r="AE545" s="164">
        <v>1717</v>
      </c>
      <c r="AF545" s="164">
        <v>1755</v>
      </c>
      <c r="AG545" s="164">
        <v>1791</v>
      </c>
      <c r="AH545" s="164">
        <v>1807</v>
      </c>
      <c r="AI545" s="164">
        <v>1817</v>
      </c>
      <c r="AJ545" s="164">
        <v>1843</v>
      </c>
      <c r="AK545" s="164">
        <v>1867</v>
      </c>
      <c r="AL545" s="164">
        <v>1899</v>
      </c>
      <c r="AM545" s="164">
        <v>1901</v>
      </c>
      <c r="AN545" s="164">
        <v>1888</v>
      </c>
      <c r="AO545" s="164">
        <v>1906</v>
      </c>
      <c r="AP545" s="164">
        <v>1930</v>
      </c>
      <c r="AQ545" s="164">
        <v>1912</v>
      </c>
      <c r="AR545" s="164">
        <v>1854</v>
      </c>
      <c r="AS545" s="164">
        <v>1814</v>
      </c>
      <c r="AT545" s="164">
        <v>1811</v>
      </c>
      <c r="AU545" s="164">
        <v>1778</v>
      </c>
      <c r="AV545" s="164">
        <v>1788</v>
      </c>
      <c r="AW545" s="171">
        <v>1771</v>
      </c>
      <c r="AX545" s="54">
        <v>1768.9301199520391</v>
      </c>
      <c r="AY545" s="54">
        <v>1766.0697026329867</v>
      </c>
      <c r="AZ545" s="54">
        <v>1764.6699741993796</v>
      </c>
      <c r="BA545" s="54">
        <v>1764.6699741993796</v>
      </c>
      <c r="BB545" s="54">
        <v>1764.6699741993796</v>
      </c>
      <c r="BC545" s="54">
        <v>1764.6699741993796</v>
      </c>
      <c r="BD545" s="54">
        <v>1764.6699741993796</v>
      </c>
      <c r="BE545" s="54">
        <v>1764.6699741993796</v>
      </c>
      <c r="BF545" s="54">
        <v>1764.6699741993796</v>
      </c>
      <c r="BG545" s="54">
        <v>1764.6699741993796</v>
      </c>
      <c r="BH545" s="54">
        <v>1764.6699741993796</v>
      </c>
      <c r="BI545" s="54">
        <v>1764.6699741993796</v>
      </c>
      <c r="BJ545" s="54">
        <v>1764.6699741993796</v>
      </c>
      <c r="BK545" s="54">
        <v>1764.6699741993796</v>
      </c>
      <c r="BL545" s="54">
        <v>1764.6699741993796</v>
      </c>
      <c r="BM545" s="54">
        <v>1764.6699741993796</v>
      </c>
      <c r="BN545" s="54">
        <v>1764.6699741993796</v>
      </c>
      <c r="BO545" s="54">
        <v>1764.6699741993796</v>
      </c>
      <c r="BP545" s="54">
        <v>1764.6699741993796</v>
      </c>
      <c r="BQ545" s="54">
        <v>1764.6699741993796</v>
      </c>
      <c r="BR545" s="55"/>
      <c r="BS545" s="53">
        <v>797.40599235873719</v>
      </c>
      <c r="BT545" s="53">
        <v>861.3512970038206</v>
      </c>
      <c r="BU545" s="53">
        <v>891.51417655338832</v>
      </c>
      <c r="BV545" s="53">
        <v>929.01669012668401</v>
      </c>
      <c r="BW545" s="53">
        <v>974.26100945103553</v>
      </c>
      <c r="BX545" s="53">
        <v>921.97868489845155</v>
      </c>
      <c r="BY545" s="53">
        <v>935.0492660365976</v>
      </c>
      <c r="BZ545" s="53">
        <v>932.03297808164086</v>
      </c>
      <c r="CA545" s="53">
        <v>932.03297808164086</v>
      </c>
      <c r="CB545" s="53">
        <v>1268.8517997184797</v>
      </c>
      <c r="CC545" s="55">
        <v>1257.3100220643528</v>
      </c>
      <c r="CD545" s="55">
        <v>1260.3097824140773</v>
      </c>
      <c r="CE545" s="55">
        <v>1263.819158977605</v>
      </c>
      <c r="CF545" s="55">
        <v>1337.2127295615501</v>
      </c>
      <c r="CG545" s="164">
        <v>1338</v>
      </c>
      <c r="CH545" s="164">
        <v>1351</v>
      </c>
      <c r="CI545" s="164">
        <v>1430</v>
      </c>
      <c r="CJ545" s="164">
        <v>1570</v>
      </c>
      <c r="CK545" s="164">
        <v>1644</v>
      </c>
      <c r="CL545" s="164">
        <v>1671</v>
      </c>
      <c r="CM545" s="164">
        <v>1677</v>
      </c>
      <c r="CN545" s="164">
        <v>1689</v>
      </c>
      <c r="CO545" s="164">
        <v>1684</v>
      </c>
      <c r="CP545" s="164">
        <v>1714</v>
      </c>
      <c r="CQ545" s="164">
        <v>1772</v>
      </c>
      <c r="CR545" s="164">
        <v>1817</v>
      </c>
      <c r="CS545" s="164">
        <v>1853</v>
      </c>
      <c r="CT545" s="164">
        <v>1898</v>
      </c>
      <c r="CU545" s="164">
        <v>1895</v>
      </c>
      <c r="CV545" s="164">
        <v>1934</v>
      </c>
      <c r="CW545" s="164">
        <v>1833</v>
      </c>
      <c r="CX545" s="164">
        <v>1800</v>
      </c>
      <c r="CY545" s="171">
        <v>1784</v>
      </c>
      <c r="CZ545" s="55">
        <v>1767.4881561528457</v>
      </c>
      <c r="DA545" s="55">
        <v>1764.6699741993796</v>
      </c>
      <c r="DB545" s="55">
        <v>1764.6699741993796</v>
      </c>
      <c r="DC545" s="55">
        <v>1764.6699741993796</v>
      </c>
      <c r="DD545" s="55">
        <v>1764.6699741993796</v>
      </c>
      <c r="DE545" s="55">
        <v>1764.6699741993796</v>
      </c>
      <c r="DF545" s="55">
        <v>1764.6699741993796</v>
      </c>
      <c r="DG545" s="55">
        <v>1764.6699741993796</v>
      </c>
      <c r="DH545" s="55">
        <v>1764.6699741993796</v>
      </c>
      <c r="DI545" s="55">
        <v>1764.6699741993796</v>
      </c>
    </row>
    <row r="546" spans="1:113" outlineLevel="1">
      <c r="A546" s="1" t="s">
        <v>1017</v>
      </c>
      <c r="B546" s="19" t="s">
        <v>439</v>
      </c>
      <c r="C546" s="53">
        <v>3.15</v>
      </c>
      <c r="D546" s="53">
        <v>11.899999999999999</v>
      </c>
      <c r="E546" s="53">
        <v>11.899999999999999</v>
      </c>
      <c r="F546" s="53">
        <v>14</v>
      </c>
      <c r="G546" s="53">
        <v>14</v>
      </c>
      <c r="H546" s="53">
        <v>27.299999999999997</v>
      </c>
      <c r="I546" s="53">
        <v>43.4</v>
      </c>
      <c r="J546" s="53">
        <v>45</v>
      </c>
      <c r="K546" s="53">
        <v>45</v>
      </c>
      <c r="L546" s="53">
        <v>46</v>
      </c>
      <c r="M546" s="53">
        <v>54</v>
      </c>
      <c r="N546" s="53">
        <v>75</v>
      </c>
      <c r="O546" s="53">
        <v>75</v>
      </c>
      <c r="P546" s="53">
        <v>106</v>
      </c>
      <c r="Q546" s="53">
        <v>116</v>
      </c>
      <c r="R546" s="53">
        <v>118</v>
      </c>
      <c r="S546" s="53">
        <v>69</v>
      </c>
      <c r="T546" s="53">
        <v>78</v>
      </c>
      <c r="U546" s="53">
        <v>112</v>
      </c>
      <c r="V546" s="53">
        <v>120</v>
      </c>
      <c r="W546" s="53">
        <v>115</v>
      </c>
      <c r="X546" s="53">
        <v>104</v>
      </c>
      <c r="Y546" s="53">
        <v>95</v>
      </c>
      <c r="Z546" s="53">
        <v>95</v>
      </c>
      <c r="AA546" s="164">
        <v>98</v>
      </c>
      <c r="AB546" s="164">
        <v>96</v>
      </c>
      <c r="AC546" s="164">
        <v>94</v>
      </c>
      <c r="AD546" s="164">
        <v>113</v>
      </c>
      <c r="AE546" s="164">
        <v>112</v>
      </c>
      <c r="AF546" s="164">
        <v>93</v>
      </c>
      <c r="AG546" s="164">
        <v>102</v>
      </c>
      <c r="AH546" s="164">
        <v>104</v>
      </c>
      <c r="AI546" s="164">
        <v>114</v>
      </c>
      <c r="AJ546" s="164">
        <v>126</v>
      </c>
      <c r="AK546" s="164">
        <v>141</v>
      </c>
      <c r="AL546" s="164">
        <v>167</v>
      </c>
      <c r="AM546" s="164">
        <v>156</v>
      </c>
      <c r="AN546" s="164">
        <v>144</v>
      </c>
      <c r="AO546" s="164">
        <v>146</v>
      </c>
      <c r="AP546" s="164">
        <v>128</v>
      </c>
      <c r="AQ546" s="164">
        <v>132</v>
      </c>
      <c r="AR546" s="164">
        <v>131</v>
      </c>
      <c r="AS546" s="164">
        <v>121</v>
      </c>
      <c r="AT546" s="164">
        <v>193</v>
      </c>
      <c r="AU546" s="164">
        <v>225</v>
      </c>
      <c r="AV546" s="164">
        <v>286</v>
      </c>
      <c r="AW546" s="171">
        <v>273</v>
      </c>
      <c r="AX546" s="54">
        <v>273</v>
      </c>
      <c r="AY546" s="54">
        <v>273</v>
      </c>
      <c r="AZ546" s="54">
        <v>273</v>
      </c>
      <c r="BA546" s="54">
        <v>273</v>
      </c>
      <c r="BB546" s="54">
        <v>273</v>
      </c>
      <c r="BC546" s="54">
        <v>273</v>
      </c>
      <c r="BD546" s="54">
        <v>273</v>
      </c>
      <c r="BE546" s="54">
        <v>273</v>
      </c>
      <c r="BF546" s="54">
        <v>273</v>
      </c>
      <c r="BG546" s="54">
        <v>273</v>
      </c>
      <c r="BH546" s="54">
        <v>273</v>
      </c>
      <c r="BI546" s="54">
        <v>273</v>
      </c>
      <c r="BJ546" s="54">
        <v>273</v>
      </c>
      <c r="BK546" s="54">
        <v>273</v>
      </c>
      <c r="BL546" s="54">
        <v>273</v>
      </c>
      <c r="BM546" s="54">
        <v>273</v>
      </c>
      <c r="BN546" s="54">
        <v>273</v>
      </c>
      <c r="BO546" s="54">
        <v>273</v>
      </c>
      <c r="BP546" s="54">
        <v>273</v>
      </c>
      <c r="BQ546" s="54">
        <v>273</v>
      </c>
      <c r="BR546" s="55"/>
      <c r="BS546" s="53">
        <v>0</v>
      </c>
      <c r="BT546" s="53">
        <v>0</v>
      </c>
      <c r="BU546" s="53">
        <v>0</v>
      </c>
      <c r="BV546" s="53">
        <v>0</v>
      </c>
      <c r="BW546" s="53">
        <v>0</v>
      </c>
      <c r="BX546" s="53">
        <v>0</v>
      </c>
      <c r="BY546" s="53">
        <v>0</v>
      </c>
      <c r="BZ546" s="53">
        <v>0</v>
      </c>
      <c r="CA546" s="53">
        <v>0</v>
      </c>
      <c r="CB546" s="53">
        <v>6.3</v>
      </c>
      <c r="CC546" s="55">
        <v>23.799999999999997</v>
      </c>
      <c r="CD546" s="55">
        <v>28</v>
      </c>
      <c r="CE546" s="55">
        <v>70.699999999999989</v>
      </c>
      <c r="CF546" s="55">
        <v>90</v>
      </c>
      <c r="CG546" s="55">
        <v>100</v>
      </c>
      <c r="CH546" s="55">
        <v>150</v>
      </c>
      <c r="CI546" s="55">
        <v>222</v>
      </c>
      <c r="CJ546" s="55">
        <v>187</v>
      </c>
      <c r="CK546" s="55">
        <v>190</v>
      </c>
      <c r="CL546" s="55">
        <v>235</v>
      </c>
      <c r="CM546" s="55">
        <v>199</v>
      </c>
      <c r="CN546" s="55">
        <v>193</v>
      </c>
      <c r="CO546" s="55">
        <v>190</v>
      </c>
      <c r="CP546" s="55">
        <v>225</v>
      </c>
      <c r="CQ546" s="55">
        <v>195</v>
      </c>
      <c r="CR546" s="55">
        <v>218</v>
      </c>
      <c r="CS546" s="55">
        <v>240</v>
      </c>
      <c r="CT546" s="55">
        <v>323</v>
      </c>
      <c r="CU546" s="55">
        <v>290</v>
      </c>
      <c r="CV546" s="55">
        <v>260</v>
      </c>
      <c r="CW546" s="55">
        <v>252</v>
      </c>
      <c r="CX546" s="55">
        <v>418</v>
      </c>
      <c r="CY546" s="56">
        <v>559</v>
      </c>
      <c r="CZ546" s="55">
        <v>546</v>
      </c>
      <c r="DA546" s="55">
        <v>546</v>
      </c>
      <c r="DB546" s="55">
        <v>546</v>
      </c>
      <c r="DC546" s="55">
        <v>546</v>
      </c>
      <c r="DD546" s="55">
        <v>546</v>
      </c>
      <c r="DE546" s="55">
        <v>546</v>
      </c>
      <c r="DF546" s="55">
        <v>546</v>
      </c>
      <c r="DG546" s="55">
        <v>546</v>
      </c>
      <c r="DH546" s="55">
        <v>546</v>
      </c>
      <c r="DI546" s="55">
        <v>546</v>
      </c>
    </row>
    <row r="547" spans="1:113">
      <c r="C547" s="55"/>
      <c r="D547" s="55"/>
      <c r="E547" s="55"/>
      <c r="F547" s="55"/>
      <c r="G547" s="55"/>
      <c r="H547" s="55"/>
      <c r="I547" s="55"/>
      <c r="J547" s="55"/>
      <c r="K547" s="55"/>
      <c r="L547" s="55"/>
      <c r="M547" s="55"/>
      <c r="N547" s="55"/>
      <c r="O547" s="55"/>
      <c r="P547" s="55"/>
      <c r="Q547" s="55"/>
      <c r="R547" s="55"/>
      <c r="S547" s="55"/>
      <c r="T547" s="55"/>
      <c r="U547" s="55"/>
      <c r="V547" s="55"/>
      <c r="W547" s="55"/>
      <c r="X547" s="55"/>
      <c r="Y547" s="55"/>
      <c r="Z547" s="55"/>
      <c r="AA547" s="55"/>
      <c r="AB547" s="55"/>
      <c r="AC547" s="55"/>
      <c r="AD547" s="55"/>
      <c r="AE547" s="55"/>
      <c r="AF547" s="55"/>
      <c r="AG547" s="55"/>
      <c r="AH547" s="55"/>
      <c r="AI547" s="55"/>
      <c r="AJ547" s="55"/>
      <c r="AK547" s="55"/>
      <c r="AL547" s="55"/>
      <c r="AM547" s="55"/>
      <c r="AN547" s="55"/>
      <c r="AO547" s="55"/>
      <c r="AP547" s="55"/>
      <c r="AQ547" s="55"/>
      <c r="AR547" s="55"/>
      <c r="AS547" s="55"/>
      <c r="AT547" s="55"/>
      <c r="AU547" s="55"/>
      <c r="AV547" s="55"/>
      <c r="AW547" s="56"/>
      <c r="AX547" s="55"/>
      <c r="AY547" s="55"/>
      <c r="AZ547" s="55"/>
      <c r="BA547" s="55"/>
      <c r="BB547" s="55"/>
      <c r="BC547" s="55"/>
      <c r="BD547" s="55"/>
      <c r="BE547" s="55"/>
      <c r="BF547" s="55"/>
      <c r="BG547" s="55"/>
      <c r="BH547" s="55"/>
      <c r="BI547" s="55"/>
      <c r="BJ547" s="55"/>
      <c r="BK547" s="55"/>
      <c r="BL547" s="55"/>
      <c r="BM547" s="55"/>
      <c r="BN547" s="55"/>
      <c r="BO547" s="55"/>
      <c r="BP547" s="55"/>
      <c r="BQ547" s="55"/>
      <c r="BR547" s="55"/>
      <c r="BS547" s="55"/>
      <c r="BT547" s="55"/>
      <c r="BU547" s="55"/>
      <c r="BV547" s="55"/>
      <c r="BW547" s="55"/>
      <c r="BX547" s="55"/>
      <c r="BY547" s="55"/>
      <c r="BZ547" s="55"/>
      <c r="CA547" s="55"/>
      <c r="CB547" s="55"/>
      <c r="CC547" s="55"/>
      <c r="CD547" s="55"/>
      <c r="CE547" s="55"/>
      <c r="CF547" s="55"/>
      <c r="CG547" s="55"/>
      <c r="CH547" s="55"/>
      <c r="CI547" s="55"/>
      <c r="CJ547" s="55"/>
      <c r="CK547" s="55"/>
      <c r="CL547" s="55"/>
      <c r="CM547" s="55"/>
      <c r="CN547" s="55"/>
      <c r="CO547" s="55"/>
      <c r="CP547" s="55"/>
      <c r="CQ547" s="55"/>
      <c r="CR547" s="55"/>
      <c r="CS547" s="55"/>
      <c r="CT547" s="55"/>
      <c r="CU547" s="55"/>
      <c r="CV547" s="55"/>
      <c r="CW547" s="55"/>
      <c r="CX547" s="55"/>
      <c r="CY547" s="56"/>
      <c r="CZ547" s="55"/>
      <c r="DA547" s="55"/>
      <c r="DB547" s="55"/>
    </row>
    <row r="548" spans="1:113" s="36" customFormat="1" collapsed="1">
      <c r="A548" s="1" t="s">
        <v>1018</v>
      </c>
      <c r="B548" s="2" t="s">
        <v>442</v>
      </c>
      <c r="C548" s="3">
        <v>7179</v>
      </c>
      <c r="D548" s="79">
        <v>7503</v>
      </c>
      <c r="E548" s="79">
        <v>7772</v>
      </c>
      <c r="F548" s="79">
        <v>8360</v>
      </c>
      <c r="G548" s="79">
        <v>8488</v>
      </c>
      <c r="H548" s="79">
        <v>8089</v>
      </c>
      <c r="I548" s="79">
        <v>7730</v>
      </c>
      <c r="J548" s="79">
        <v>8669</v>
      </c>
      <c r="K548" s="79">
        <v>9317</v>
      </c>
      <c r="L548" s="79">
        <v>11774</v>
      </c>
      <c r="M548" s="79">
        <v>11475</v>
      </c>
      <c r="N548" s="79">
        <v>12768</v>
      </c>
      <c r="O548" s="79">
        <v>13793</v>
      </c>
      <c r="P548" s="79">
        <v>12153</v>
      </c>
      <c r="Q548" s="79">
        <v>12597</v>
      </c>
      <c r="R548" s="79">
        <v>15715</v>
      </c>
      <c r="S548" s="79">
        <v>18353</v>
      </c>
      <c r="T548" s="79">
        <v>20302</v>
      </c>
      <c r="U548" s="79">
        <v>19950</v>
      </c>
      <c r="V548" s="79">
        <v>20999</v>
      </c>
      <c r="W548" s="79">
        <v>21575</v>
      </c>
      <c r="X548" s="79">
        <v>22837</v>
      </c>
      <c r="Y548" s="79">
        <v>23664</v>
      </c>
      <c r="Z548" s="79">
        <v>25049</v>
      </c>
      <c r="AA548" s="79">
        <v>27030</v>
      </c>
      <c r="AB548" s="79">
        <v>28538</v>
      </c>
      <c r="AC548" s="79">
        <v>31412</v>
      </c>
      <c r="AD548" s="79">
        <v>32585</v>
      </c>
      <c r="AE548" s="79">
        <v>33398</v>
      </c>
      <c r="AF548" s="79">
        <v>41155</v>
      </c>
      <c r="AG548" s="79">
        <v>41663</v>
      </c>
      <c r="AH548" s="79">
        <v>43325</v>
      </c>
      <c r="AI548" s="79">
        <v>44159</v>
      </c>
      <c r="AJ548" s="79">
        <v>45840</v>
      </c>
      <c r="AK548" s="79">
        <v>46470</v>
      </c>
      <c r="AL548" s="79">
        <v>48026</v>
      </c>
      <c r="AM548" s="79">
        <v>48367</v>
      </c>
      <c r="AN548" s="79">
        <v>52380</v>
      </c>
      <c r="AO548" s="79">
        <v>52573</v>
      </c>
      <c r="AP548" s="79">
        <v>57075</v>
      </c>
      <c r="AQ548" s="79">
        <v>58836</v>
      </c>
      <c r="AR548" s="79">
        <v>55464</v>
      </c>
      <c r="AS548" s="79">
        <v>57023</v>
      </c>
      <c r="AT548" s="79">
        <v>57552</v>
      </c>
      <c r="AU548" s="79">
        <v>56909</v>
      </c>
      <c r="AV548" s="79">
        <v>57231</v>
      </c>
      <c r="AW548" s="80">
        <v>57691</v>
      </c>
      <c r="AX548" s="79">
        <v>58078.194280010895</v>
      </c>
      <c r="AY548" s="79">
        <v>58691.084859786701</v>
      </c>
      <c r="AZ548" s="79">
        <v>59144.993803016492</v>
      </c>
      <c r="BA548" s="79">
        <v>60063.948018759547</v>
      </c>
      <c r="BB548" s="79">
        <v>60541.200273445123</v>
      </c>
      <c r="BC548" s="79">
        <v>61675.933870455483</v>
      </c>
      <c r="BD548" s="79">
        <v>62408.587578578095</v>
      </c>
      <c r="BE548" s="79">
        <v>63714.606395688461</v>
      </c>
      <c r="BF548" s="79">
        <v>64597.287241431972</v>
      </c>
      <c r="BG548" s="79">
        <v>65976.801761905313</v>
      </c>
      <c r="BH548" s="79">
        <v>66984.767864128182</v>
      </c>
      <c r="BI548" s="79">
        <v>68384.575197625294</v>
      </c>
      <c r="BJ548" s="79">
        <v>68769.984758663166</v>
      </c>
      <c r="BK548" s="79">
        <v>69256.427730700976</v>
      </c>
      <c r="BL548" s="79">
        <v>69872.536406921368</v>
      </c>
      <c r="BM548" s="79">
        <v>71384.754491217202</v>
      </c>
      <c r="BN548" s="79">
        <v>73227.36703456231</v>
      </c>
      <c r="BO548" s="79">
        <v>74594.6925171482</v>
      </c>
      <c r="BP548" s="79">
        <v>75663.767048771828</v>
      </c>
      <c r="BQ548" s="79">
        <v>77089.843476361246</v>
      </c>
      <c r="BR548" s="79"/>
      <c r="BS548" s="79">
        <v>4791.3999999999996</v>
      </c>
      <c r="BT548" s="79">
        <v>4945.5</v>
      </c>
      <c r="BU548" s="79">
        <v>5423.8</v>
      </c>
      <c r="BV548" s="79">
        <v>6087</v>
      </c>
      <c r="BW548" s="79">
        <v>6750</v>
      </c>
      <c r="BX548" s="79">
        <v>6395</v>
      </c>
      <c r="BY548" s="79">
        <v>6311</v>
      </c>
      <c r="BZ548" s="79">
        <v>6383</v>
      </c>
      <c r="CA548" s="79">
        <v>9200</v>
      </c>
      <c r="CB548" s="79">
        <v>7179</v>
      </c>
      <c r="CC548" s="79">
        <v>7772</v>
      </c>
      <c r="CD548" s="79">
        <v>8488</v>
      </c>
      <c r="CE548" s="79">
        <v>7730</v>
      </c>
      <c r="CF548" s="79">
        <v>9317</v>
      </c>
      <c r="CG548" s="79">
        <v>11475</v>
      </c>
      <c r="CH548" s="79">
        <v>13793</v>
      </c>
      <c r="CI548" s="79">
        <v>12597</v>
      </c>
      <c r="CJ548" s="79">
        <v>18353</v>
      </c>
      <c r="CK548" s="79">
        <v>19950</v>
      </c>
      <c r="CL548" s="79">
        <v>21575</v>
      </c>
      <c r="CM548" s="79">
        <v>23664</v>
      </c>
      <c r="CN548" s="79">
        <v>27030</v>
      </c>
      <c r="CO548" s="79">
        <v>31412</v>
      </c>
      <c r="CP548" s="79">
        <v>33398</v>
      </c>
      <c r="CQ548" s="79">
        <v>41663</v>
      </c>
      <c r="CR548" s="79">
        <v>44159</v>
      </c>
      <c r="CS548" s="79">
        <v>46470</v>
      </c>
      <c r="CT548" s="79">
        <v>48367</v>
      </c>
      <c r="CU548" s="79">
        <v>52573</v>
      </c>
      <c r="CV548" s="79">
        <v>58836</v>
      </c>
      <c r="CW548" s="79">
        <v>57023</v>
      </c>
      <c r="CX548" s="79">
        <v>56909</v>
      </c>
      <c r="CY548" s="80">
        <v>57691</v>
      </c>
      <c r="CZ548" s="79">
        <v>58691.084859786686</v>
      </c>
      <c r="DA548" s="79">
        <v>60063.948018759533</v>
      </c>
      <c r="DB548" s="79">
        <v>61675.933870455483</v>
      </c>
      <c r="DC548" s="79">
        <v>63714.606395688461</v>
      </c>
      <c r="DD548" s="79">
        <v>65976.801761905313</v>
      </c>
      <c r="DE548" s="79">
        <v>68384.575197625294</v>
      </c>
      <c r="DF548" s="79">
        <v>69256.427730700976</v>
      </c>
      <c r="DG548" s="79">
        <v>71384.754491217202</v>
      </c>
      <c r="DH548" s="79">
        <v>74594.692517148214</v>
      </c>
      <c r="DI548" s="79">
        <v>77089.843476361275</v>
      </c>
    </row>
    <row r="549" spans="1:113" outlineLevel="1">
      <c r="C549" s="55"/>
      <c r="D549" s="55"/>
      <c r="E549" s="55"/>
      <c r="F549" s="55"/>
      <c r="G549" s="55"/>
      <c r="H549" s="55"/>
      <c r="I549" s="55"/>
      <c r="J549" s="55"/>
      <c r="K549" s="55"/>
      <c r="L549" s="55"/>
      <c r="M549" s="55"/>
      <c r="N549" s="55"/>
      <c r="O549" s="55"/>
      <c r="P549" s="55"/>
      <c r="Q549" s="55"/>
      <c r="R549" s="55"/>
      <c r="S549" s="55"/>
      <c r="T549" s="55"/>
      <c r="U549" s="55"/>
      <c r="V549" s="55"/>
      <c r="W549" s="55"/>
      <c r="X549" s="55"/>
      <c r="Y549" s="55"/>
      <c r="Z549" s="55"/>
      <c r="AA549" s="55"/>
      <c r="AB549" s="55"/>
      <c r="AC549" s="55"/>
      <c r="AD549" s="55"/>
      <c r="AE549" s="55"/>
      <c r="AF549" s="55"/>
      <c r="AG549" s="55"/>
      <c r="AH549" s="55"/>
      <c r="AI549" s="55"/>
      <c r="AJ549" s="55"/>
      <c r="AK549" s="55"/>
      <c r="AL549" s="55"/>
      <c r="AM549" s="55"/>
      <c r="AN549" s="55"/>
      <c r="AO549" s="55"/>
      <c r="AP549" s="55"/>
      <c r="AQ549" s="55"/>
      <c r="AR549" s="55"/>
      <c r="AS549" s="55"/>
      <c r="AT549" s="55"/>
      <c r="AU549" s="55"/>
      <c r="AV549" s="55"/>
      <c r="AW549" s="56"/>
      <c r="AX549" s="55"/>
      <c r="AY549" s="55"/>
      <c r="AZ549" s="55"/>
      <c r="BA549" s="55"/>
      <c r="BB549" s="55"/>
      <c r="BC549" s="55"/>
      <c r="BD549" s="55"/>
      <c r="BE549" s="55"/>
      <c r="BF549" s="55"/>
      <c r="BG549" s="55"/>
      <c r="BH549" s="55"/>
      <c r="BI549" s="55"/>
      <c r="BJ549" s="55"/>
      <c r="BK549" s="55"/>
      <c r="BL549" s="55"/>
      <c r="BM549" s="55"/>
      <c r="BN549" s="55"/>
      <c r="BO549" s="55"/>
      <c r="BP549" s="55"/>
      <c r="BQ549" s="55"/>
      <c r="BR549" s="55"/>
      <c r="BS549" s="55"/>
      <c r="BT549" s="55"/>
      <c r="BU549" s="55"/>
      <c r="BV549" s="55"/>
      <c r="BW549" s="55"/>
      <c r="BX549" s="55"/>
      <c r="BY549" s="55"/>
      <c r="BZ549" s="55"/>
      <c r="CA549" s="55"/>
      <c r="CB549" s="55"/>
      <c r="CC549" s="55"/>
      <c r="CD549" s="55"/>
      <c r="CE549" s="55"/>
      <c r="CF549" s="55"/>
      <c r="CG549" s="55"/>
      <c r="CH549" s="55"/>
      <c r="CI549" s="55"/>
      <c r="CJ549" s="55"/>
      <c r="CK549" s="55"/>
      <c r="CL549" s="55"/>
      <c r="CM549" s="55"/>
      <c r="CN549" s="55"/>
      <c r="CO549" s="55"/>
      <c r="CP549" s="55"/>
      <c r="CQ549" s="55"/>
      <c r="CR549" s="55"/>
      <c r="CS549" s="55"/>
      <c r="CT549" s="55"/>
      <c r="CU549" s="55"/>
      <c r="CV549" s="55"/>
      <c r="CW549" s="55"/>
      <c r="CX549" s="55"/>
      <c r="CY549" s="56"/>
      <c r="CZ549" s="55"/>
      <c r="DA549" s="55"/>
      <c r="DB549" s="55"/>
    </row>
    <row r="550" spans="1:113" s="24" customFormat="1" outlineLevel="1">
      <c r="A550" s="1" t="s">
        <v>1019</v>
      </c>
      <c r="B550" s="24" t="s">
        <v>154</v>
      </c>
      <c r="C550" s="82">
        <v>19848</v>
      </c>
      <c r="D550" s="82">
        <v>20404</v>
      </c>
      <c r="E550" s="82">
        <v>21056</v>
      </c>
      <c r="F550" s="82">
        <v>22446</v>
      </c>
      <c r="G550" s="82">
        <v>22152</v>
      </c>
      <c r="H550" s="82">
        <v>23201</v>
      </c>
      <c r="I550" s="82">
        <v>24885</v>
      </c>
      <c r="J550" s="82">
        <v>22101</v>
      </c>
      <c r="K550" s="82">
        <v>22643</v>
      </c>
      <c r="L550" s="82">
        <v>19850</v>
      </c>
      <c r="M550" s="82">
        <v>21343</v>
      </c>
      <c r="N550" s="82">
        <v>22487</v>
      </c>
      <c r="O550" s="82">
        <v>24444</v>
      </c>
      <c r="P550" s="82">
        <v>25638</v>
      </c>
      <c r="Q550" s="82">
        <v>26137</v>
      </c>
      <c r="R550" s="82">
        <v>29987</v>
      </c>
      <c r="S550" s="82">
        <v>31442</v>
      </c>
      <c r="T550" s="82">
        <v>33583</v>
      </c>
      <c r="U550" s="82">
        <v>35570</v>
      </c>
      <c r="V550" s="82">
        <v>35349</v>
      </c>
      <c r="W550" s="82">
        <v>37287</v>
      </c>
      <c r="X550" s="82">
        <v>38875</v>
      </c>
      <c r="Y550" s="82">
        <v>41572</v>
      </c>
      <c r="Z550" s="82">
        <v>43348</v>
      </c>
      <c r="AA550" s="82">
        <v>45537</v>
      </c>
      <c r="AB550" s="82">
        <v>47037</v>
      </c>
      <c r="AC550" s="82">
        <v>49348</v>
      </c>
      <c r="AD550" s="82">
        <v>51031</v>
      </c>
      <c r="AE550" s="82">
        <v>52993</v>
      </c>
      <c r="AF550" s="82">
        <v>59664</v>
      </c>
      <c r="AG550" s="82">
        <v>60564</v>
      </c>
      <c r="AH550" s="82">
        <v>61756</v>
      </c>
      <c r="AI550" s="82">
        <v>63660</v>
      </c>
      <c r="AJ550" s="82">
        <v>66091</v>
      </c>
      <c r="AK550" s="82">
        <v>67860</v>
      </c>
      <c r="AL550" s="82">
        <v>68578</v>
      </c>
      <c r="AM550" s="82">
        <v>69649</v>
      </c>
      <c r="AN550" s="82">
        <v>71153</v>
      </c>
      <c r="AO550" s="82">
        <v>71938</v>
      </c>
      <c r="AP550" s="82">
        <v>74920</v>
      </c>
      <c r="AQ550" s="82">
        <v>78718</v>
      </c>
      <c r="AR550" s="82">
        <v>74663</v>
      </c>
      <c r="AS550" s="82">
        <v>72838</v>
      </c>
      <c r="AT550" s="82">
        <v>72543</v>
      </c>
      <c r="AU550" s="82">
        <v>72543</v>
      </c>
      <c r="AV550" s="82">
        <v>72839</v>
      </c>
      <c r="AW550" s="83">
        <v>73088</v>
      </c>
      <c r="AX550" s="82">
        <v>73562.844754941383</v>
      </c>
      <c r="AY550" s="82">
        <v>74260.997732048214</v>
      </c>
      <c r="AZ550" s="82">
        <v>74779.313943751491</v>
      </c>
      <c r="BA550" s="82">
        <v>75770.030481097812</v>
      </c>
      <c r="BB550" s="82">
        <v>76300.117904465849</v>
      </c>
      <c r="BC550" s="82">
        <v>77497.422276383528</v>
      </c>
      <c r="BD550" s="82">
        <v>78276.024561391852</v>
      </c>
      <c r="BE550" s="82">
        <v>79634.303183924989</v>
      </c>
      <c r="BF550" s="82">
        <v>80554.221498672923</v>
      </c>
      <c r="BG550" s="82">
        <v>81984.263207786978</v>
      </c>
      <c r="BH550" s="82">
        <v>83028.2202763885</v>
      </c>
      <c r="BI550" s="82">
        <v>84480.449504665667</v>
      </c>
      <c r="BJ550" s="82">
        <v>84903.528076593328</v>
      </c>
      <c r="BK550" s="82">
        <v>85444.548855098139</v>
      </c>
      <c r="BL550" s="82">
        <v>86102.322517622582</v>
      </c>
      <c r="BM550" s="82">
        <v>87669.451719335644</v>
      </c>
      <c r="BN550" s="82">
        <v>89556.298745665845</v>
      </c>
      <c r="BO550" s="82">
        <v>90982.025817435046</v>
      </c>
      <c r="BP550" s="82">
        <v>92091.026441971437</v>
      </c>
      <c r="BQ550" s="82">
        <v>93573.706496772764</v>
      </c>
      <c r="BR550" s="82"/>
      <c r="BS550" s="82">
        <v>5523</v>
      </c>
      <c r="BT550" s="82">
        <v>5631.9</v>
      </c>
      <c r="BU550" s="82">
        <v>6071</v>
      </c>
      <c r="BV550" s="82">
        <v>6695</v>
      </c>
      <c r="BW550" s="82">
        <v>7367</v>
      </c>
      <c r="BX550" s="82">
        <v>7024</v>
      </c>
      <c r="BY550" s="82">
        <v>6889</v>
      </c>
      <c r="BZ550" s="82">
        <v>6962</v>
      </c>
      <c r="CA550" s="82">
        <v>18435</v>
      </c>
      <c r="CB550" s="82">
        <v>19848</v>
      </c>
      <c r="CC550" s="82">
        <v>21056</v>
      </c>
      <c r="CD550" s="82">
        <v>22152</v>
      </c>
      <c r="CE550" s="82">
        <v>24885</v>
      </c>
      <c r="CF550" s="82">
        <v>22643</v>
      </c>
      <c r="CG550" s="82">
        <v>21343</v>
      </c>
      <c r="CH550" s="82">
        <v>24444</v>
      </c>
      <c r="CI550" s="82">
        <v>26137</v>
      </c>
      <c r="CJ550" s="82">
        <v>31442</v>
      </c>
      <c r="CK550" s="82">
        <v>35570</v>
      </c>
      <c r="CL550" s="82">
        <v>37287</v>
      </c>
      <c r="CM550" s="82">
        <v>41572</v>
      </c>
      <c r="CN550" s="82">
        <v>45537</v>
      </c>
      <c r="CO550" s="82">
        <v>49348</v>
      </c>
      <c r="CP550" s="82">
        <v>52993</v>
      </c>
      <c r="CQ550" s="82">
        <v>60564</v>
      </c>
      <c r="CR550" s="82">
        <v>63660</v>
      </c>
      <c r="CS550" s="82">
        <v>67860</v>
      </c>
      <c r="CT550" s="82">
        <v>69649</v>
      </c>
      <c r="CU550" s="82">
        <v>71938</v>
      </c>
      <c r="CV550" s="82">
        <v>78718</v>
      </c>
      <c r="CW550" s="82">
        <v>72838</v>
      </c>
      <c r="CX550" s="82">
        <v>72543</v>
      </c>
      <c r="CY550" s="83">
        <v>73088</v>
      </c>
      <c r="CZ550" s="82">
        <v>74260.997732048199</v>
      </c>
      <c r="DA550" s="82">
        <v>75770.030481097798</v>
      </c>
      <c r="DB550" s="82">
        <v>77497.422276383528</v>
      </c>
      <c r="DC550" s="82">
        <v>79634.303183924989</v>
      </c>
      <c r="DD550" s="82">
        <v>81984.263207786978</v>
      </c>
      <c r="DE550" s="82">
        <v>84480.449504665667</v>
      </c>
      <c r="DF550" s="82">
        <v>85444.548855098139</v>
      </c>
      <c r="DG550" s="82">
        <v>87669.451719335659</v>
      </c>
      <c r="DH550" s="82">
        <v>90982.02581743506</v>
      </c>
      <c r="DI550" s="82">
        <v>93573.706496772793</v>
      </c>
    </row>
    <row r="551" spans="1:113" outlineLevel="1">
      <c r="C551" s="55"/>
      <c r="D551" s="55"/>
      <c r="E551" s="55"/>
      <c r="F551" s="55"/>
      <c r="G551" s="55"/>
      <c r="H551" s="55"/>
      <c r="I551" s="55"/>
      <c r="J551" s="55"/>
      <c r="K551" s="55"/>
      <c r="L551" s="55"/>
      <c r="M551" s="55"/>
      <c r="N551" s="55"/>
      <c r="O551" s="55"/>
      <c r="P551" s="55"/>
      <c r="Q551" s="55"/>
      <c r="R551" s="55"/>
      <c r="S551" s="55"/>
      <c r="T551" s="55"/>
      <c r="U551" s="55"/>
      <c r="V551" s="55"/>
      <c r="W551" s="55"/>
      <c r="X551" s="55"/>
      <c r="Y551" s="55"/>
      <c r="Z551" s="55"/>
      <c r="AA551" s="55"/>
      <c r="AB551" s="55"/>
      <c r="AC551" s="55"/>
      <c r="AD551" s="55"/>
      <c r="AE551" s="55"/>
      <c r="AF551" s="55"/>
      <c r="AG551" s="55"/>
      <c r="AH551" s="55"/>
      <c r="AI551" s="55"/>
      <c r="AJ551" s="55"/>
      <c r="AK551" s="55"/>
      <c r="AL551" s="55"/>
      <c r="AM551" s="55"/>
      <c r="AN551" s="55"/>
      <c r="AO551" s="55"/>
      <c r="AP551" s="55"/>
      <c r="AQ551" s="55"/>
      <c r="AR551" s="55"/>
      <c r="AS551" s="55"/>
      <c r="AT551" s="55"/>
      <c r="AU551" s="55"/>
      <c r="AV551" s="55"/>
      <c r="AW551" s="56"/>
      <c r="AX551" s="55"/>
      <c r="AY551" s="55"/>
      <c r="AZ551" s="55"/>
      <c r="BA551" s="55"/>
      <c r="BB551" s="55"/>
      <c r="BC551" s="55"/>
      <c r="BD551" s="55"/>
      <c r="BE551" s="55"/>
      <c r="BF551" s="55"/>
      <c r="BG551" s="55"/>
      <c r="BH551" s="55"/>
      <c r="BI551" s="55"/>
      <c r="BJ551" s="55"/>
      <c r="BK551" s="55"/>
      <c r="BL551" s="55"/>
      <c r="BM551" s="55"/>
      <c r="BN551" s="55"/>
      <c r="BO551" s="55"/>
      <c r="BP551" s="55"/>
      <c r="BQ551" s="55"/>
      <c r="BR551" s="55"/>
      <c r="BS551" s="55"/>
      <c r="BT551" s="55"/>
      <c r="BU551" s="55"/>
      <c r="BV551" s="55"/>
      <c r="BW551" s="55"/>
      <c r="BX551" s="55"/>
      <c r="BY551" s="55"/>
      <c r="BZ551" s="55"/>
      <c r="CA551" s="55"/>
      <c r="CB551" s="55"/>
      <c r="CC551" s="55"/>
      <c r="CD551" s="55"/>
      <c r="CE551" s="55"/>
      <c r="CF551" s="55"/>
      <c r="CG551" s="55"/>
      <c r="CH551" s="55"/>
      <c r="CI551" s="55"/>
      <c r="CJ551" s="55"/>
      <c r="CK551" s="55"/>
      <c r="CL551" s="55"/>
      <c r="CM551" s="55"/>
      <c r="CN551" s="55"/>
      <c r="CO551" s="55"/>
      <c r="CP551" s="55"/>
      <c r="CQ551" s="55"/>
      <c r="CR551" s="55"/>
      <c r="CS551" s="55"/>
      <c r="CT551" s="55"/>
      <c r="CU551" s="55"/>
      <c r="CV551" s="55"/>
      <c r="CW551" s="55"/>
      <c r="CX551" s="55"/>
      <c r="CY551" s="56"/>
      <c r="CZ551" s="55"/>
      <c r="DA551" s="55"/>
      <c r="DB551" s="55"/>
    </row>
    <row r="552" spans="1:113" s="24" customFormat="1" outlineLevel="1">
      <c r="A552" s="1"/>
      <c r="B552" s="102" t="s">
        <v>771</v>
      </c>
      <c r="C552" s="82"/>
      <c r="D552" s="82"/>
      <c r="E552" s="82"/>
      <c r="F552" s="82"/>
      <c r="G552" s="82"/>
      <c r="H552" s="82"/>
      <c r="I552" s="82"/>
      <c r="J552" s="82"/>
      <c r="K552" s="82"/>
      <c r="L552" s="82"/>
      <c r="M552" s="82"/>
      <c r="N552" s="82"/>
      <c r="O552" s="82"/>
      <c r="P552" s="82"/>
      <c r="Q552" s="82"/>
      <c r="R552" s="82"/>
      <c r="S552" s="82"/>
      <c r="T552" s="82"/>
      <c r="U552" s="82"/>
      <c r="V552" s="82"/>
      <c r="W552" s="82"/>
      <c r="X552" s="82"/>
      <c r="Y552" s="82"/>
      <c r="Z552" s="82"/>
      <c r="AA552" s="82"/>
      <c r="AB552" s="82"/>
      <c r="AC552" s="82"/>
      <c r="AD552" s="82"/>
      <c r="AE552" s="82"/>
      <c r="AF552" s="82"/>
      <c r="AG552" s="82"/>
      <c r="AH552" s="82"/>
      <c r="AI552" s="82"/>
      <c r="AJ552" s="82"/>
      <c r="AK552" s="82"/>
      <c r="AL552" s="82"/>
      <c r="AM552" s="82"/>
      <c r="AN552" s="82"/>
      <c r="AO552" s="82"/>
      <c r="AP552" s="82"/>
      <c r="AQ552" s="82"/>
      <c r="AR552" s="82"/>
      <c r="AS552" s="82"/>
      <c r="AT552" s="82"/>
      <c r="AU552" s="82"/>
      <c r="AV552" s="82"/>
      <c r="AW552" s="83"/>
      <c r="AX552" s="82"/>
      <c r="AY552" s="82"/>
      <c r="AZ552" s="82"/>
      <c r="BA552" s="82"/>
      <c r="BB552" s="82"/>
      <c r="BC552" s="82"/>
      <c r="BD552" s="82"/>
      <c r="BE552" s="82"/>
      <c r="BF552" s="82"/>
      <c r="BG552" s="82"/>
      <c r="BH552" s="82"/>
      <c r="BI552" s="82"/>
      <c r="BJ552" s="82"/>
      <c r="BK552" s="82"/>
      <c r="BL552" s="82"/>
      <c r="BM552" s="82"/>
      <c r="BN552" s="82"/>
      <c r="BO552" s="82"/>
      <c r="BP552" s="82"/>
      <c r="BQ552" s="82"/>
      <c r="BR552" s="82"/>
      <c r="BS552" s="82"/>
      <c r="BT552" s="82"/>
      <c r="BU552" s="82"/>
      <c r="BV552" s="82"/>
      <c r="BW552" s="82"/>
      <c r="BX552" s="82"/>
      <c r="BY552" s="82"/>
      <c r="BZ552" s="82"/>
      <c r="CA552" s="82"/>
      <c r="CB552" s="82"/>
      <c r="CC552" s="82"/>
      <c r="CD552" s="82"/>
      <c r="CE552" s="82"/>
      <c r="CF552" s="82"/>
      <c r="CG552" s="82"/>
      <c r="CH552" s="82"/>
      <c r="CI552" s="82"/>
      <c r="CJ552" s="82"/>
      <c r="CK552" s="82"/>
      <c r="CL552" s="82"/>
      <c r="CM552" s="82"/>
      <c r="CN552" s="82"/>
      <c r="CO552" s="82"/>
      <c r="CP552" s="82"/>
      <c r="CQ552" s="82"/>
      <c r="CR552" s="82"/>
      <c r="CS552" s="82"/>
      <c r="CT552" s="82"/>
      <c r="CU552" s="82"/>
      <c r="CV552" s="82"/>
      <c r="CW552" s="82"/>
      <c r="CX552" s="82"/>
      <c r="CY552" s="83"/>
      <c r="CZ552" s="82"/>
      <c r="DA552" s="82"/>
      <c r="DB552" s="82"/>
    </row>
    <row r="553" spans="1:113" outlineLevel="1">
      <c r="A553" s="1" t="s">
        <v>1020</v>
      </c>
      <c r="B553" s="19" t="s">
        <v>443</v>
      </c>
      <c r="C553" s="53">
        <v>0</v>
      </c>
      <c r="D553" s="53">
        <v>0</v>
      </c>
      <c r="E553" s="53">
        <v>0</v>
      </c>
      <c r="F553" s="53">
        <v>-865</v>
      </c>
      <c r="G553" s="53">
        <v>-1066</v>
      </c>
      <c r="H553" s="53">
        <v>-996</v>
      </c>
      <c r="I553" s="53">
        <v>-1315</v>
      </c>
      <c r="J553" s="53">
        <v>-1083</v>
      </c>
      <c r="K553" s="53">
        <v>-1434</v>
      </c>
      <c r="L553" s="53">
        <v>-1211</v>
      </c>
      <c r="M553" s="53">
        <v>-1668</v>
      </c>
      <c r="N553" s="53">
        <v>-1380</v>
      </c>
      <c r="O553" s="53">
        <v>-1939</v>
      </c>
      <c r="P553" s="53">
        <v>-1487</v>
      </c>
      <c r="Q553" s="53">
        <v>-2029</v>
      </c>
      <c r="R553" s="53">
        <v>-1662</v>
      </c>
      <c r="S553" s="53">
        <v>-1747</v>
      </c>
      <c r="T553" s="53">
        <v>-1841</v>
      </c>
      <c r="U553" s="53">
        <v>-2633</v>
      </c>
      <c r="V553" s="53">
        <v>-2045</v>
      </c>
      <c r="W553" s="53">
        <v>-2930</v>
      </c>
      <c r="X553" s="53">
        <v>-2166</v>
      </c>
      <c r="Y553" s="53">
        <v>-3137</v>
      </c>
      <c r="Z553" s="53">
        <v>-2639</v>
      </c>
      <c r="AA553" s="164">
        <v>0</v>
      </c>
      <c r="AB553" s="164">
        <v>0</v>
      </c>
      <c r="AC553" s="164">
        <v>0</v>
      </c>
      <c r="AD553" s="164">
        <v>0</v>
      </c>
      <c r="AE553" s="164">
        <v>0</v>
      </c>
      <c r="AF553" s="164">
        <v>0</v>
      </c>
      <c r="AG553" s="164">
        <v>0</v>
      </c>
      <c r="AH553" s="164">
        <v>0</v>
      </c>
      <c r="AI553" s="164">
        <v>0</v>
      </c>
      <c r="AJ553" s="164">
        <v>0</v>
      </c>
      <c r="AK553" s="164">
        <v>0</v>
      </c>
      <c r="AL553" s="164">
        <v>0</v>
      </c>
      <c r="AM553" s="164">
        <v>0</v>
      </c>
      <c r="AN553" s="164">
        <v>0</v>
      </c>
      <c r="AO553" s="164">
        <v>0</v>
      </c>
      <c r="AP553" s="164">
        <v>0</v>
      </c>
      <c r="AQ553" s="164">
        <v>0</v>
      </c>
      <c r="AR553" s="164">
        <v>0</v>
      </c>
      <c r="AS553" s="164">
        <v>0</v>
      </c>
      <c r="AT553" s="164">
        <v>0</v>
      </c>
      <c r="AU553" s="164">
        <v>0</v>
      </c>
      <c r="AV553" s="164">
        <v>0</v>
      </c>
      <c r="AW553" s="171">
        <v>0</v>
      </c>
      <c r="AX553" s="55">
        <v>0</v>
      </c>
      <c r="AY553" s="55">
        <v>0</v>
      </c>
      <c r="AZ553" s="55">
        <v>0</v>
      </c>
      <c r="BA553" s="55">
        <v>0</v>
      </c>
      <c r="BB553" s="55">
        <v>0</v>
      </c>
      <c r="BC553" s="55">
        <v>0</v>
      </c>
      <c r="BD553" s="55">
        <v>0</v>
      </c>
      <c r="BE553" s="55">
        <v>0</v>
      </c>
      <c r="BF553" s="55">
        <v>0</v>
      </c>
      <c r="BG553" s="55">
        <v>0</v>
      </c>
      <c r="BH553" s="55">
        <v>0</v>
      </c>
      <c r="BI553" s="55">
        <v>0</v>
      </c>
      <c r="BJ553" s="55">
        <v>0</v>
      </c>
      <c r="BK553" s="55">
        <v>0</v>
      </c>
      <c r="BL553" s="55">
        <v>0</v>
      </c>
      <c r="BM553" s="55">
        <v>0</v>
      </c>
      <c r="BN553" s="55">
        <v>0</v>
      </c>
      <c r="BO553" s="55">
        <v>0</v>
      </c>
      <c r="BP553" s="55">
        <v>0</v>
      </c>
      <c r="BQ553" s="55">
        <v>0</v>
      </c>
      <c r="BR553" s="55"/>
      <c r="BS553" s="53">
        <v>0</v>
      </c>
      <c r="BT553" s="53">
        <v>0</v>
      </c>
      <c r="BU553" s="53">
        <v>0</v>
      </c>
      <c r="BV553" s="53">
        <v>0</v>
      </c>
      <c r="BW553" s="53">
        <v>0</v>
      </c>
      <c r="BX553" s="53">
        <v>0</v>
      </c>
      <c r="BY553" s="53">
        <v>0</v>
      </c>
      <c r="BZ553" s="53">
        <v>0</v>
      </c>
      <c r="CA553" s="53">
        <v>0</v>
      </c>
      <c r="CB553" s="53">
        <v>0</v>
      </c>
      <c r="CC553" s="55">
        <v>0</v>
      </c>
      <c r="CD553" s="55">
        <v>-1066</v>
      </c>
      <c r="CE553" s="55">
        <v>-1315</v>
      </c>
      <c r="CF553" s="55">
        <v>-1434</v>
      </c>
      <c r="CG553" s="55">
        <v>-1668</v>
      </c>
      <c r="CH553" s="55">
        <v>-1939</v>
      </c>
      <c r="CI553" s="55">
        <v>-2029</v>
      </c>
      <c r="CJ553" s="55">
        <v>-1747</v>
      </c>
      <c r="CK553" s="55">
        <v>-2633</v>
      </c>
      <c r="CL553" s="55">
        <v>-2930</v>
      </c>
      <c r="CM553" s="55">
        <v>-3137</v>
      </c>
      <c r="CN553" s="55">
        <v>0</v>
      </c>
      <c r="CO553" s="55">
        <v>0</v>
      </c>
      <c r="CP553" s="55">
        <v>0</v>
      </c>
      <c r="CQ553" s="55">
        <v>0</v>
      </c>
      <c r="CR553" s="55">
        <v>0</v>
      </c>
      <c r="CS553" s="55">
        <v>0</v>
      </c>
      <c r="CT553" s="55">
        <v>0</v>
      </c>
      <c r="CU553" s="55">
        <v>0</v>
      </c>
      <c r="CV553" s="55">
        <v>0</v>
      </c>
      <c r="CW553" s="55">
        <v>0</v>
      </c>
      <c r="CX553" s="55">
        <v>0</v>
      </c>
      <c r="CY553" s="56">
        <v>0</v>
      </c>
      <c r="CZ553" s="55">
        <v>0</v>
      </c>
      <c r="DA553" s="55">
        <v>0</v>
      </c>
      <c r="DB553" s="55">
        <v>0</v>
      </c>
      <c r="DC553" s="55">
        <v>0</v>
      </c>
      <c r="DD553" s="55">
        <v>0</v>
      </c>
      <c r="DE553" s="55">
        <v>0</v>
      </c>
      <c r="DF553" s="55">
        <v>0</v>
      </c>
      <c r="DG553" s="55">
        <v>0</v>
      </c>
      <c r="DH553" s="55">
        <v>0</v>
      </c>
      <c r="DI553" s="55">
        <v>0</v>
      </c>
    </row>
    <row r="554" spans="1:113" outlineLevel="1">
      <c r="A554" s="1" t="s">
        <v>1021</v>
      </c>
      <c r="B554" s="19" t="s">
        <v>444</v>
      </c>
      <c r="C554" s="53">
        <v>0</v>
      </c>
      <c r="D554" s="53">
        <v>0</v>
      </c>
      <c r="E554" s="53">
        <v>0</v>
      </c>
      <c r="F554" s="53">
        <v>0</v>
      </c>
      <c r="G554" s="53">
        <v>0</v>
      </c>
      <c r="H554" s="53">
        <v>189</v>
      </c>
      <c r="I554" s="53">
        <v>250</v>
      </c>
      <c r="J554" s="53">
        <v>206</v>
      </c>
      <c r="K554" s="53">
        <v>272</v>
      </c>
      <c r="L554" s="53">
        <v>221</v>
      </c>
      <c r="M554" s="53">
        <v>303</v>
      </c>
      <c r="N554" s="53">
        <v>248</v>
      </c>
      <c r="O554" s="53">
        <v>485</v>
      </c>
      <c r="P554" s="53">
        <v>400</v>
      </c>
      <c r="Q554" s="53">
        <v>609</v>
      </c>
      <c r="R554" s="53">
        <v>548</v>
      </c>
      <c r="S554" s="53">
        <v>507</v>
      </c>
      <c r="T554" s="53">
        <v>608</v>
      </c>
      <c r="U554" s="53">
        <v>0</v>
      </c>
      <c r="V554" s="53">
        <v>511</v>
      </c>
      <c r="W554" s="53">
        <v>733</v>
      </c>
      <c r="X554" s="53">
        <v>542</v>
      </c>
      <c r="Y554" s="53">
        <v>784</v>
      </c>
      <c r="Z554" s="53">
        <v>0</v>
      </c>
      <c r="AA554" s="164">
        <v>0</v>
      </c>
      <c r="AB554" s="164">
        <v>0</v>
      </c>
      <c r="AC554" s="164">
        <v>0</v>
      </c>
      <c r="AD554" s="164">
        <v>0</v>
      </c>
      <c r="AE554" s="164">
        <v>0</v>
      </c>
      <c r="AF554" s="164">
        <v>0</v>
      </c>
      <c r="AG554" s="164">
        <v>0</v>
      </c>
      <c r="AH554" s="164">
        <v>0</v>
      </c>
      <c r="AI554" s="164">
        <v>0</v>
      </c>
      <c r="AJ554" s="164">
        <v>0</v>
      </c>
      <c r="AK554" s="164">
        <v>0</v>
      </c>
      <c r="AL554" s="164">
        <v>0</v>
      </c>
      <c r="AM554" s="164">
        <v>0</v>
      </c>
      <c r="AN554" s="164">
        <v>0</v>
      </c>
      <c r="AO554" s="164">
        <v>0</v>
      </c>
      <c r="AP554" s="164">
        <v>0</v>
      </c>
      <c r="AQ554" s="164">
        <v>0</v>
      </c>
      <c r="AR554" s="164">
        <v>0</v>
      </c>
      <c r="AS554" s="164">
        <v>0</v>
      </c>
      <c r="AT554" s="164">
        <v>0</v>
      </c>
      <c r="AU554" s="164">
        <v>0</v>
      </c>
      <c r="AV554" s="164">
        <v>0</v>
      </c>
      <c r="AW554" s="171">
        <v>0</v>
      </c>
      <c r="AX554" s="55">
        <v>0</v>
      </c>
      <c r="AY554" s="55">
        <v>0</v>
      </c>
      <c r="AZ554" s="55">
        <v>0</v>
      </c>
      <c r="BA554" s="55">
        <v>0</v>
      </c>
      <c r="BB554" s="55">
        <v>0</v>
      </c>
      <c r="BC554" s="55">
        <v>0</v>
      </c>
      <c r="BD554" s="55">
        <v>0</v>
      </c>
      <c r="BE554" s="55">
        <v>0</v>
      </c>
      <c r="BF554" s="55">
        <v>0</v>
      </c>
      <c r="BG554" s="55">
        <v>0</v>
      </c>
      <c r="BH554" s="55">
        <v>0</v>
      </c>
      <c r="BI554" s="55">
        <v>0</v>
      </c>
      <c r="BJ554" s="55">
        <v>0</v>
      </c>
      <c r="BK554" s="55">
        <v>0</v>
      </c>
      <c r="BL554" s="55">
        <v>0</v>
      </c>
      <c r="BM554" s="55">
        <v>0</v>
      </c>
      <c r="BN554" s="55">
        <v>0</v>
      </c>
      <c r="BO554" s="55">
        <v>0</v>
      </c>
      <c r="BP554" s="55">
        <v>0</v>
      </c>
      <c r="BQ554" s="55">
        <v>0</v>
      </c>
      <c r="BR554" s="55"/>
      <c r="BS554" s="53">
        <v>0</v>
      </c>
      <c r="BT554" s="53">
        <v>0</v>
      </c>
      <c r="BU554" s="53">
        <v>0</v>
      </c>
      <c r="BV554" s="53">
        <v>0</v>
      </c>
      <c r="BW554" s="53">
        <v>0</v>
      </c>
      <c r="BX554" s="53">
        <v>0</v>
      </c>
      <c r="BY554" s="53">
        <v>0</v>
      </c>
      <c r="BZ554" s="53">
        <v>0</v>
      </c>
      <c r="CA554" s="53">
        <v>0</v>
      </c>
      <c r="CB554" s="53">
        <v>0</v>
      </c>
      <c r="CC554" s="55">
        <v>0</v>
      </c>
      <c r="CD554" s="55">
        <v>0</v>
      </c>
      <c r="CE554" s="55">
        <v>250</v>
      </c>
      <c r="CF554" s="55">
        <v>272</v>
      </c>
      <c r="CG554" s="55">
        <v>303</v>
      </c>
      <c r="CH554" s="55">
        <v>485</v>
      </c>
      <c r="CI554" s="55">
        <v>609</v>
      </c>
      <c r="CJ554" s="55">
        <v>507</v>
      </c>
      <c r="CK554" s="55">
        <v>0</v>
      </c>
      <c r="CL554" s="55">
        <v>733</v>
      </c>
      <c r="CM554" s="55">
        <v>784</v>
      </c>
      <c r="CN554" s="55">
        <v>0</v>
      </c>
      <c r="CO554" s="55">
        <v>0</v>
      </c>
      <c r="CP554" s="55">
        <v>0</v>
      </c>
      <c r="CQ554" s="55">
        <v>0</v>
      </c>
      <c r="CR554" s="55">
        <v>0</v>
      </c>
      <c r="CS554" s="55">
        <v>0</v>
      </c>
      <c r="CT554" s="55">
        <v>0</v>
      </c>
      <c r="CU554" s="55">
        <v>0</v>
      </c>
      <c r="CV554" s="55">
        <v>0</v>
      </c>
      <c r="CW554" s="55">
        <v>0</v>
      </c>
      <c r="CX554" s="55">
        <v>0</v>
      </c>
      <c r="CY554" s="56">
        <v>0</v>
      </c>
      <c r="CZ554" s="55">
        <v>0</v>
      </c>
      <c r="DA554" s="55">
        <v>0</v>
      </c>
      <c r="DB554" s="55">
        <v>0</v>
      </c>
      <c r="DC554" s="55">
        <v>0</v>
      </c>
      <c r="DD554" s="55">
        <v>0</v>
      </c>
      <c r="DE554" s="55">
        <v>0</v>
      </c>
      <c r="DF554" s="55">
        <v>0</v>
      </c>
      <c r="DG554" s="55">
        <v>0</v>
      </c>
      <c r="DH554" s="55">
        <v>0</v>
      </c>
      <c r="DI554" s="55">
        <v>0</v>
      </c>
    </row>
    <row r="555" spans="1:113" outlineLevel="1">
      <c r="A555" s="1" t="s">
        <v>1022</v>
      </c>
      <c r="B555" s="19" t="s">
        <v>269</v>
      </c>
      <c r="C555" s="53">
        <v>0</v>
      </c>
      <c r="D555" s="53">
        <v>0</v>
      </c>
      <c r="E555" s="53">
        <v>0</v>
      </c>
      <c r="F555" s="53">
        <v>0</v>
      </c>
      <c r="G555" s="53">
        <v>0</v>
      </c>
      <c r="H555" s="53">
        <v>0</v>
      </c>
      <c r="I555" s="53">
        <v>0</v>
      </c>
      <c r="J555" s="53">
        <v>0</v>
      </c>
      <c r="K555" s="53">
        <v>0</v>
      </c>
      <c r="L555" s="53">
        <v>0</v>
      </c>
      <c r="M555" s="53">
        <v>0</v>
      </c>
      <c r="N555" s="53">
        <v>-939</v>
      </c>
      <c r="O555" s="53">
        <v>-939</v>
      </c>
      <c r="P555" s="53">
        <v>-939</v>
      </c>
      <c r="Q555" s="53">
        <v>-939</v>
      </c>
      <c r="R555" s="53">
        <v>-939</v>
      </c>
      <c r="S555" s="53">
        <v>-939</v>
      </c>
      <c r="T555" s="53">
        <v>-939</v>
      </c>
      <c r="U555" s="53">
        <v>-939</v>
      </c>
      <c r="V555" s="53">
        <v>-939</v>
      </c>
      <c r="W555" s="53">
        <v>-939</v>
      </c>
      <c r="X555" s="53">
        <v>-939</v>
      </c>
      <c r="Y555" s="53">
        <v>-939</v>
      </c>
      <c r="Z555" s="53">
        <v>-939</v>
      </c>
      <c r="AA555" s="164">
        <v>-939</v>
      </c>
      <c r="AB555" s="164">
        <v>-939</v>
      </c>
      <c r="AC555" s="164">
        <v>-939</v>
      </c>
      <c r="AD555" s="164">
        <v>-939</v>
      </c>
      <c r="AE555" s="164">
        <v>-939</v>
      </c>
      <c r="AF555" s="164">
        <v>-939</v>
      </c>
      <c r="AG555" s="164">
        <v>0</v>
      </c>
      <c r="AH555" s="164">
        <v>0</v>
      </c>
      <c r="AI555" s="164">
        <v>0</v>
      </c>
      <c r="AJ555" s="164">
        <v>0</v>
      </c>
      <c r="AK555" s="164">
        <v>0</v>
      </c>
      <c r="AL555" s="164">
        <v>0</v>
      </c>
      <c r="AM555" s="164">
        <v>0</v>
      </c>
      <c r="AN555" s="164">
        <v>0</v>
      </c>
      <c r="AO555" s="164">
        <v>0</v>
      </c>
      <c r="AP555" s="164">
        <v>0</v>
      </c>
      <c r="AQ555" s="164">
        <v>0</v>
      </c>
      <c r="AR555" s="164">
        <v>0</v>
      </c>
      <c r="AS555" s="164">
        <v>0</v>
      </c>
      <c r="AT555" s="164">
        <v>0</v>
      </c>
      <c r="AU555" s="164">
        <v>0</v>
      </c>
      <c r="AV555" s="164">
        <v>0</v>
      </c>
      <c r="AW555" s="171">
        <v>0</v>
      </c>
      <c r="AX555" s="54">
        <v>0</v>
      </c>
      <c r="AY555" s="54">
        <v>0</v>
      </c>
      <c r="AZ555" s="54">
        <v>0</v>
      </c>
      <c r="BA555" s="54">
        <v>0</v>
      </c>
      <c r="BB555" s="54">
        <v>0</v>
      </c>
      <c r="BC555" s="54">
        <v>0</v>
      </c>
      <c r="BD555" s="54">
        <v>0</v>
      </c>
      <c r="BE555" s="54">
        <v>0</v>
      </c>
      <c r="BF555" s="54">
        <v>0</v>
      </c>
      <c r="BG555" s="54">
        <v>0</v>
      </c>
      <c r="BH555" s="54">
        <v>0</v>
      </c>
      <c r="BI555" s="54">
        <v>0</v>
      </c>
      <c r="BJ555" s="54">
        <v>0</v>
      </c>
      <c r="BK555" s="54">
        <v>0</v>
      </c>
      <c r="BL555" s="54">
        <v>0</v>
      </c>
      <c r="BM555" s="54">
        <v>0</v>
      </c>
      <c r="BN555" s="54">
        <v>0</v>
      </c>
      <c r="BO555" s="54">
        <v>0</v>
      </c>
      <c r="BP555" s="54">
        <v>0</v>
      </c>
      <c r="BQ555" s="54">
        <v>0</v>
      </c>
      <c r="BR555" s="55"/>
      <c r="BS555" s="53">
        <v>0</v>
      </c>
      <c r="BT555" s="53">
        <v>0</v>
      </c>
      <c r="BU555" s="53">
        <v>0</v>
      </c>
      <c r="BV555" s="53">
        <v>0</v>
      </c>
      <c r="BW555" s="53">
        <v>0</v>
      </c>
      <c r="BX555" s="53">
        <v>0</v>
      </c>
      <c r="BY555" s="53">
        <v>0</v>
      </c>
      <c r="BZ555" s="53">
        <v>0</v>
      </c>
      <c r="CA555" s="53">
        <v>0</v>
      </c>
      <c r="CB555" s="53">
        <v>0</v>
      </c>
      <c r="CC555" s="55">
        <v>0</v>
      </c>
      <c r="CD555" s="55">
        <v>0</v>
      </c>
      <c r="CE555" s="55">
        <v>0</v>
      </c>
      <c r="CF555" s="55">
        <v>0</v>
      </c>
      <c r="CG555" s="55">
        <v>0</v>
      </c>
      <c r="CH555" s="55">
        <v>-939</v>
      </c>
      <c r="CI555" s="55">
        <v>-939</v>
      </c>
      <c r="CJ555" s="55">
        <v>-939</v>
      </c>
      <c r="CK555" s="55">
        <v>-939</v>
      </c>
      <c r="CL555" s="55">
        <v>-939</v>
      </c>
      <c r="CM555" s="55">
        <v>-939</v>
      </c>
      <c r="CN555" s="55">
        <v>-939</v>
      </c>
      <c r="CO555" s="55">
        <v>-939</v>
      </c>
      <c r="CP555" s="55">
        <v>-939</v>
      </c>
      <c r="CQ555" s="55">
        <v>0</v>
      </c>
      <c r="CR555" s="55">
        <v>0</v>
      </c>
      <c r="CS555" s="55">
        <v>0</v>
      </c>
      <c r="CT555" s="55">
        <v>0</v>
      </c>
      <c r="CU555" s="55">
        <v>0</v>
      </c>
      <c r="CV555" s="55">
        <v>0</v>
      </c>
      <c r="CW555" s="55">
        <v>0</v>
      </c>
      <c r="CX555" s="55">
        <v>0</v>
      </c>
      <c r="CY555" s="56">
        <v>0</v>
      </c>
      <c r="CZ555" s="55">
        <v>0</v>
      </c>
      <c r="DA555" s="55">
        <v>0</v>
      </c>
      <c r="DB555" s="55">
        <v>0</v>
      </c>
      <c r="DC555" s="55">
        <v>0</v>
      </c>
      <c r="DD555" s="55">
        <v>0</v>
      </c>
      <c r="DE555" s="55">
        <v>0</v>
      </c>
      <c r="DF555" s="55">
        <v>0</v>
      </c>
      <c r="DG555" s="55">
        <v>0</v>
      </c>
      <c r="DH555" s="55">
        <v>0</v>
      </c>
      <c r="DI555" s="55">
        <v>0</v>
      </c>
    </row>
    <row r="556" spans="1:113" outlineLevel="1">
      <c r="A556" s="1" t="s">
        <v>1023</v>
      </c>
      <c r="B556" s="19" t="s">
        <v>270</v>
      </c>
      <c r="C556" s="53">
        <v>0</v>
      </c>
      <c r="D556" s="53">
        <v>0</v>
      </c>
      <c r="E556" s="53">
        <v>0</v>
      </c>
      <c r="F556" s="53">
        <v>0</v>
      </c>
      <c r="G556" s="53">
        <v>0</v>
      </c>
      <c r="H556" s="53">
        <v>0</v>
      </c>
      <c r="I556" s="53">
        <v>0</v>
      </c>
      <c r="J556" s="53">
        <v>0</v>
      </c>
      <c r="K556" s="53">
        <v>0</v>
      </c>
      <c r="L556" s="53">
        <v>0</v>
      </c>
      <c r="M556" s="53">
        <v>0</v>
      </c>
      <c r="N556" s="53">
        <v>752</v>
      </c>
      <c r="O556" s="53">
        <v>752</v>
      </c>
      <c r="P556" s="53">
        <v>752</v>
      </c>
      <c r="Q556" s="53">
        <v>752</v>
      </c>
      <c r="R556" s="53">
        <v>752</v>
      </c>
      <c r="S556" s="53">
        <v>752</v>
      </c>
      <c r="T556" s="53">
        <v>752</v>
      </c>
      <c r="U556" s="53">
        <v>392</v>
      </c>
      <c r="V556" s="53">
        <v>230</v>
      </c>
      <c r="W556" s="53">
        <v>227</v>
      </c>
      <c r="X556" s="53">
        <v>35</v>
      </c>
      <c r="Y556" s="53">
        <v>-126</v>
      </c>
      <c r="Z556" s="53">
        <v>-239</v>
      </c>
      <c r="AA556" s="53">
        <v>-345</v>
      </c>
      <c r="AB556" s="164">
        <v>-472</v>
      </c>
      <c r="AC556" s="164">
        <v>-368</v>
      </c>
      <c r="AD556" s="164">
        <v>-377</v>
      </c>
      <c r="AE556" s="164">
        <v>-529</v>
      </c>
      <c r="AF556" s="164">
        <v>-298</v>
      </c>
      <c r="AG556" s="164">
        <v>-259</v>
      </c>
      <c r="AH556" s="164">
        <v>-505</v>
      </c>
      <c r="AI556" s="164">
        <v>-537</v>
      </c>
      <c r="AJ556" s="164">
        <v>-411</v>
      </c>
      <c r="AK556" s="164">
        <v>-342</v>
      </c>
      <c r="AL556" s="164">
        <v>-434</v>
      </c>
      <c r="AM556" s="164">
        <v>-437</v>
      </c>
      <c r="AN556" s="164">
        <v>-258</v>
      </c>
      <c r="AO556" s="164">
        <v>-325</v>
      </c>
      <c r="AP556" s="164">
        <v>-379</v>
      </c>
      <c r="AQ556" s="164">
        <v>-486</v>
      </c>
      <c r="AR556" s="164">
        <v>-125</v>
      </c>
      <c r="AS556" s="164">
        <v>-131</v>
      </c>
      <c r="AT556" s="164">
        <v>-28</v>
      </c>
      <c r="AU556" s="164">
        <v>-45</v>
      </c>
      <c r="AV556" s="164">
        <v>-45</v>
      </c>
      <c r="AW556" s="171">
        <v>-54</v>
      </c>
      <c r="AX556" s="54">
        <v>-54</v>
      </c>
      <c r="AY556" s="54">
        <v>-54</v>
      </c>
      <c r="AZ556" s="54">
        <v>-54</v>
      </c>
      <c r="BA556" s="54">
        <v>-54</v>
      </c>
      <c r="BB556" s="54">
        <v>-54</v>
      </c>
      <c r="BC556" s="54">
        <v>-54</v>
      </c>
      <c r="BD556" s="54">
        <v>-54</v>
      </c>
      <c r="BE556" s="54">
        <v>-54</v>
      </c>
      <c r="BF556" s="54">
        <v>-54</v>
      </c>
      <c r="BG556" s="54">
        <v>-54</v>
      </c>
      <c r="BH556" s="54">
        <v>-54</v>
      </c>
      <c r="BI556" s="54">
        <v>-54</v>
      </c>
      <c r="BJ556" s="54">
        <v>-54</v>
      </c>
      <c r="BK556" s="54">
        <v>-54</v>
      </c>
      <c r="BL556" s="54">
        <v>-54</v>
      </c>
      <c r="BM556" s="54">
        <v>-54</v>
      </c>
      <c r="BN556" s="54">
        <v>-54</v>
      </c>
      <c r="BO556" s="54">
        <v>-54</v>
      </c>
      <c r="BP556" s="54">
        <v>-54</v>
      </c>
      <c r="BQ556" s="54">
        <v>-54</v>
      </c>
      <c r="BR556" s="54"/>
      <c r="BS556" s="53">
        <v>0</v>
      </c>
      <c r="BT556" s="53">
        <v>0</v>
      </c>
      <c r="BU556" s="53">
        <v>0</v>
      </c>
      <c r="BV556" s="53">
        <v>0</v>
      </c>
      <c r="BW556" s="53">
        <v>0</v>
      </c>
      <c r="BX556" s="53">
        <v>0</v>
      </c>
      <c r="BY556" s="53">
        <v>0</v>
      </c>
      <c r="BZ556" s="53">
        <v>0</v>
      </c>
      <c r="CA556" s="53">
        <v>0</v>
      </c>
      <c r="CB556" s="53">
        <v>0</v>
      </c>
      <c r="CC556" s="55">
        <v>0</v>
      </c>
      <c r="CD556" s="55">
        <v>0</v>
      </c>
      <c r="CE556" s="55">
        <v>0</v>
      </c>
      <c r="CF556" s="55">
        <v>0</v>
      </c>
      <c r="CG556" s="55">
        <v>0</v>
      </c>
      <c r="CH556" s="55">
        <v>752</v>
      </c>
      <c r="CI556" s="55">
        <v>752</v>
      </c>
      <c r="CJ556" s="55">
        <v>752</v>
      </c>
      <c r="CK556" s="55">
        <v>392</v>
      </c>
      <c r="CL556" s="55">
        <v>227</v>
      </c>
      <c r="CM556" s="55">
        <v>-126</v>
      </c>
      <c r="CN556" s="55">
        <v>-345</v>
      </c>
      <c r="CO556" s="55">
        <v>-368</v>
      </c>
      <c r="CP556" s="55">
        <v>-529</v>
      </c>
      <c r="CQ556" s="55">
        <v>-259</v>
      </c>
      <c r="CR556" s="55">
        <v>-537</v>
      </c>
      <c r="CS556" s="55">
        <v>-342</v>
      </c>
      <c r="CT556" s="55">
        <v>-437</v>
      </c>
      <c r="CU556" s="55">
        <v>-325</v>
      </c>
      <c r="CV556" s="55">
        <v>-486</v>
      </c>
      <c r="CW556" s="55">
        <v>-131</v>
      </c>
      <c r="CX556" s="55">
        <v>-45</v>
      </c>
      <c r="CY556" s="56">
        <v>-54</v>
      </c>
      <c r="CZ556" s="55">
        <v>-54</v>
      </c>
      <c r="DA556" s="55">
        <v>-54</v>
      </c>
      <c r="DB556" s="55">
        <v>-54</v>
      </c>
      <c r="DC556" s="55">
        <v>-54</v>
      </c>
      <c r="DD556" s="55">
        <v>-54</v>
      </c>
      <c r="DE556" s="55">
        <v>-54</v>
      </c>
      <c r="DF556" s="55">
        <v>-54</v>
      </c>
      <c r="DG556" s="55">
        <v>-54</v>
      </c>
      <c r="DH556" s="55">
        <v>-54</v>
      </c>
      <c r="DI556" s="55">
        <v>-54</v>
      </c>
    </row>
    <row r="557" spans="1:113" hidden="1" outlineLevel="2">
      <c r="A557" s="1" t="s">
        <v>1024</v>
      </c>
      <c r="B557" s="19" t="s">
        <v>801</v>
      </c>
      <c r="C557" s="55"/>
      <c r="D557" s="55"/>
      <c r="E557" s="55"/>
      <c r="F557" s="55"/>
      <c r="G557" s="55"/>
      <c r="H557" s="55"/>
      <c r="I557" s="55"/>
      <c r="J557" s="55"/>
      <c r="K557" s="55"/>
      <c r="L557" s="55"/>
      <c r="M557" s="53"/>
      <c r="N557" s="55"/>
      <c r="O557" s="55"/>
      <c r="P557" s="55"/>
      <c r="Q557" s="55"/>
      <c r="R557" s="55"/>
      <c r="S557" s="55"/>
      <c r="T557" s="55"/>
      <c r="U557" s="55"/>
      <c r="V557" s="55"/>
      <c r="W557" s="55"/>
      <c r="X557" s="55"/>
      <c r="Y557" s="55"/>
      <c r="Z557" s="55"/>
      <c r="AA557" s="55"/>
      <c r="AB557" s="55"/>
      <c r="AC557" s="55"/>
      <c r="AD557" s="55"/>
      <c r="AE557" s="55"/>
      <c r="AF557" s="55"/>
      <c r="AG557" s="55"/>
      <c r="AH557" s="55"/>
      <c r="AI557" s="55"/>
      <c r="AJ557" s="55"/>
      <c r="AK557" s="55"/>
      <c r="AL557" s="55"/>
      <c r="AM557" s="55"/>
      <c r="AN557" s="55"/>
      <c r="AO557" s="55"/>
      <c r="AP557" s="55"/>
      <c r="AQ557" s="55"/>
      <c r="AR557" s="55"/>
      <c r="AS557" s="55"/>
      <c r="AT557" s="55"/>
      <c r="AU557" s="55"/>
      <c r="AV557" s="55"/>
      <c r="AW557" s="56"/>
      <c r="AX557" s="55"/>
      <c r="AY557" s="55"/>
      <c r="AZ557" s="55"/>
      <c r="BA557" s="55"/>
      <c r="BB557" s="55"/>
      <c r="BC557" s="55"/>
      <c r="BD557" s="55"/>
      <c r="BE557" s="55"/>
      <c r="BF557" s="55"/>
      <c r="BG557" s="55"/>
      <c r="BH557" s="55"/>
      <c r="BI557" s="55"/>
      <c r="BJ557" s="55"/>
      <c r="BK557" s="55"/>
      <c r="BL557" s="55"/>
      <c r="BM557" s="55"/>
      <c r="BN557" s="55"/>
      <c r="BO557" s="55"/>
      <c r="BP557" s="55"/>
      <c r="BQ557" s="55"/>
      <c r="BR557" s="55"/>
      <c r="BS557" s="53"/>
      <c r="BT557" s="53"/>
      <c r="BU557" s="53"/>
      <c r="BV557" s="53"/>
      <c r="BW557" s="53"/>
      <c r="BX557" s="53"/>
      <c r="BY557" s="53"/>
      <c r="BZ557" s="53"/>
      <c r="CA557" s="53"/>
      <c r="CB557" s="53"/>
      <c r="CC557" s="55"/>
      <c r="CD557" s="55"/>
      <c r="CE557" s="55"/>
      <c r="CF557" s="55"/>
      <c r="CG557" s="55"/>
      <c r="CH557" s="55"/>
      <c r="CI557" s="55"/>
      <c r="CJ557" s="55"/>
      <c r="CK557" s="55"/>
      <c r="CL557" s="55"/>
      <c r="CM557" s="55"/>
      <c r="CN557" s="55"/>
      <c r="CO557" s="55"/>
      <c r="CP557" s="55"/>
      <c r="CQ557" s="55"/>
      <c r="CR557" s="55"/>
      <c r="CS557" s="55"/>
      <c r="CT557" s="55"/>
      <c r="CU557" s="55"/>
      <c r="CV557" s="55"/>
      <c r="CW557" s="55"/>
      <c r="CX557" s="55"/>
      <c r="CY557" s="56"/>
      <c r="CZ557" s="55"/>
      <c r="DA557" s="55"/>
      <c r="DB557" s="55"/>
    </row>
    <row r="558" spans="1:113" hidden="1" outlineLevel="2">
      <c r="A558" s="1" t="s">
        <v>64</v>
      </c>
      <c r="B558" s="19" t="s">
        <v>801</v>
      </c>
      <c r="C558" s="55"/>
      <c r="D558" s="55"/>
      <c r="E558" s="55"/>
      <c r="F558" s="55"/>
      <c r="G558" s="55"/>
      <c r="H558" s="55"/>
      <c r="I558" s="55"/>
      <c r="J558" s="55"/>
      <c r="K558" s="55"/>
      <c r="L558" s="55"/>
      <c r="M558" s="55"/>
      <c r="N558" s="55"/>
      <c r="O558" s="55"/>
      <c r="P558" s="55"/>
      <c r="Q558" s="55"/>
      <c r="R558" s="55"/>
      <c r="S558" s="55"/>
      <c r="T558" s="55"/>
      <c r="U558" s="55"/>
      <c r="V558" s="55"/>
      <c r="W558" s="55"/>
      <c r="X558" s="55"/>
      <c r="Y558" s="55"/>
      <c r="Z558" s="55"/>
      <c r="AA558" s="55"/>
      <c r="AB558" s="55"/>
      <c r="AC558" s="55"/>
      <c r="AD558" s="55"/>
      <c r="AE558" s="55"/>
      <c r="AF558" s="55"/>
      <c r="AG558" s="55"/>
      <c r="AH558" s="55"/>
      <c r="AI558" s="55"/>
      <c r="AJ558" s="55"/>
      <c r="AK558" s="55"/>
      <c r="AL558" s="55"/>
      <c r="AM558" s="55"/>
      <c r="AN558" s="55"/>
      <c r="AO558" s="55"/>
      <c r="AP558" s="55"/>
      <c r="AQ558" s="55"/>
      <c r="AR558" s="55"/>
      <c r="AS558" s="55"/>
      <c r="AT558" s="55"/>
      <c r="AU558" s="55"/>
      <c r="AV558" s="55"/>
      <c r="AW558" s="56"/>
      <c r="AX558" s="55"/>
      <c r="AY558" s="55"/>
      <c r="AZ558" s="55"/>
      <c r="BA558" s="55"/>
      <c r="BB558" s="55"/>
      <c r="BC558" s="55"/>
      <c r="BD558" s="55"/>
      <c r="BE558" s="55"/>
      <c r="BF558" s="55"/>
      <c r="BG558" s="55"/>
      <c r="BH558" s="55"/>
      <c r="BI558" s="55"/>
      <c r="BJ558" s="55"/>
      <c r="BK558" s="55"/>
      <c r="BL558" s="55"/>
      <c r="BM558" s="55"/>
      <c r="BN558" s="55"/>
      <c r="BO558" s="55"/>
      <c r="BP558" s="55"/>
      <c r="BQ558" s="55"/>
      <c r="BR558" s="55"/>
      <c r="BS558" s="53"/>
      <c r="BT558" s="53"/>
      <c r="BU558" s="53"/>
      <c r="BV558" s="53"/>
      <c r="BW558" s="53"/>
      <c r="BX558" s="53"/>
      <c r="BY558" s="53"/>
      <c r="BZ558" s="53"/>
      <c r="CA558" s="53"/>
      <c r="CB558" s="53"/>
      <c r="CC558" s="55"/>
      <c r="CD558" s="55"/>
      <c r="CE558" s="55"/>
      <c r="CF558" s="55"/>
      <c r="CG558" s="55"/>
      <c r="CH558" s="55"/>
      <c r="CI558" s="55"/>
      <c r="CJ558" s="55"/>
      <c r="CK558" s="55"/>
      <c r="CL558" s="55"/>
      <c r="CM558" s="55"/>
      <c r="CN558" s="55"/>
      <c r="CO558" s="55"/>
      <c r="CP558" s="55"/>
      <c r="CQ558" s="55"/>
      <c r="CR558" s="55"/>
      <c r="CS558" s="55"/>
      <c r="CT558" s="55"/>
      <c r="CU558" s="55"/>
      <c r="CV558" s="55"/>
      <c r="CW558" s="55"/>
      <c r="CX558" s="55"/>
      <c r="CY558" s="56"/>
      <c r="CZ558" s="55"/>
      <c r="DA558" s="55"/>
      <c r="DB558" s="55"/>
    </row>
    <row r="559" spans="1:113" hidden="1" outlineLevel="2">
      <c r="A559" s="1" t="s">
        <v>65</v>
      </c>
      <c r="B559" s="19" t="s">
        <v>801</v>
      </c>
      <c r="C559" s="55"/>
      <c r="D559" s="55"/>
      <c r="E559" s="55"/>
      <c r="F559" s="55"/>
      <c r="G559" s="55"/>
      <c r="H559" s="55"/>
      <c r="I559" s="55"/>
      <c r="J559" s="55"/>
      <c r="K559" s="55"/>
      <c r="L559" s="55"/>
      <c r="M559" s="55"/>
      <c r="N559" s="55"/>
      <c r="O559" s="55"/>
      <c r="P559" s="55"/>
      <c r="Q559" s="55"/>
      <c r="R559" s="55"/>
      <c r="S559" s="55"/>
      <c r="T559" s="55"/>
      <c r="U559" s="55"/>
      <c r="V559" s="55"/>
      <c r="W559" s="55"/>
      <c r="X559" s="55"/>
      <c r="Y559" s="55"/>
      <c r="Z559" s="55"/>
      <c r="AA559" s="55"/>
      <c r="AB559" s="55"/>
      <c r="AC559" s="55"/>
      <c r="AD559" s="55"/>
      <c r="AE559" s="55"/>
      <c r="AF559" s="55"/>
      <c r="AG559" s="55"/>
      <c r="AH559" s="55"/>
      <c r="AI559" s="55"/>
      <c r="AJ559" s="55"/>
      <c r="AK559" s="55"/>
      <c r="AL559" s="55"/>
      <c r="AM559" s="55"/>
      <c r="AN559" s="55"/>
      <c r="AO559" s="55"/>
      <c r="AP559" s="55"/>
      <c r="AQ559" s="55"/>
      <c r="AR559" s="55"/>
      <c r="AS559" s="55"/>
      <c r="AT559" s="55"/>
      <c r="AU559" s="55"/>
      <c r="AV559" s="55"/>
      <c r="AW559" s="56"/>
      <c r="AX559" s="55"/>
      <c r="AY559" s="55"/>
      <c r="AZ559" s="55"/>
      <c r="BA559" s="55"/>
      <c r="BB559" s="55"/>
      <c r="BC559" s="55"/>
      <c r="BD559" s="55"/>
      <c r="BE559" s="55"/>
      <c r="BF559" s="55"/>
      <c r="BG559" s="55"/>
      <c r="BH559" s="55"/>
      <c r="BI559" s="55"/>
      <c r="BJ559" s="55"/>
      <c r="BK559" s="55"/>
      <c r="BL559" s="55"/>
      <c r="BM559" s="55"/>
      <c r="BN559" s="55"/>
      <c r="BO559" s="55"/>
      <c r="BP559" s="55"/>
      <c r="BQ559" s="55"/>
      <c r="BR559" s="55"/>
      <c r="BS559" s="53"/>
      <c r="BT559" s="53"/>
      <c r="BU559" s="53"/>
      <c r="BV559" s="53"/>
      <c r="BW559" s="53"/>
      <c r="BX559" s="53"/>
      <c r="BY559" s="53"/>
      <c r="BZ559" s="53"/>
      <c r="CA559" s="53"/>
      <c r="CB559" s="53"/>
      <c r="CC559" s="55"/>
      <c r="CD559" s="55"/>
      <c r="CE559" s="55"/>
      <c r="CF559" s="55"/>
      <c r="CG559" s="55"/>
      <c r="CH559" s="55"/>
      <c r="CI559" s="55"/>
      <c r="CJ559" s="55"/>
      <c r="CK559" s="55"/>
      <c r="CL559" s="55"/>
      <c r="CM559" s="55"/>
      <c r="CN559" s="55"/>
      <c r="CO559" s="55"/>
      <c r="CP559" s="55"/>
      <c r="CQ559" s="55"/>
      <c r="CR559" s="55"/>
      <c r="CS559" s="55"/>
      <c r="CT559" s="55"/>
      <c r="CU559" s="55"/>
      <c r="CV559" s="55"/>
      <c r="CW559" s="55"/>
      <c r="CX559" s="55"/>
      <c r="CY559" s="56"/>
      <c r="CZ559" s="55"/>
      <c r="DA559" s="55"/>
      <c r="DB559" s="55"/>
    </row>
    <row r="560" spans="1:113" hidden="1" outlineLevel="2">
      <c r="A560" s="1" t="s">
        <v>66</v>
      </c>
      <c r="B560" s="19" t="s">
        <v>801</v>
      </c>
      <c r="C560" s="55"/>
      <c r="D560" s="55"/>
      <c r="E560" s="55"/>
      <c r="F560" s="55"/>
      <c r="G560" s="55"/>
      <c r="H560" s="55"/>
      <c r="I560" s="55"/>
      <c r="J560" s="55"/>
      <c r="K560" s="55"/>
      <c r="L560" s="55"/>
      <c r="M560" s="55"/>
      <c r="N560" s="55"/>
      <c r="O560" s="55"/>
      <c r="P560" s="55"/>
      <c r="Q560" s="55"/>
      <c r="R560" s="55"/>
      <c r="S560" s="55"/>
      <c r="T560" s="55"/>
      <c r="U560" s="55"/>
      <c r="V560" s="55"/>
      <c r="W560" s="55"/>
      <c r="X560" s="55"/>
      <c r="Y560" s="55"/>
      <c r="Z560" s="55"/>
      <c r="AA560" s="55"/>
      <c r="AB560" s="55"/>
      <c r="AC560" s="55"/>
      <c r="AD560" s="55"/>
      <c r="AE560" s="55"/>
      <c r="AF560" s="55"/>
      <c r="AG560" s="55"/>
      <c r="AH560" s="55"/>
      <c r="AI560" s="55"/>
      <c r="AJ560" s="55"/>
      <c r="AK560" s="55"/>
      <c r="AL560" s="55"/>
      <c r="AM560" s="55"/>
      <c r="AN560" s="55"/>
      <c r="AO560" s="55"/>
      <c r="AP560" s="55"/>
      <c r="AQ560" s="55"/>
      <c r="AR560" s="55"/>
      <c r="AS560" s="55"/>
      <c r="AT560" s="55"/>
      <c r="AU560" s="55"/>
      <c r="AV560" s="55"/>
      <c r="AW560" s="56"/>
      <c r="AX560" s="55"/>
      <c r="AY560" s="55"/>
      <c r="AZ560" s="55"/>
      <c r="BA560" s="55"/>
      <c r="BB560" s="55"/>
      <c r="BC560" s="55"/>
      <c r="BD560" s="55"/>
      <c r="BE560" s="55"/>
      <c r="BF560" s="55"/>
      <c r="BG560" s="55"/>
      <c r="BH560" s="55"/>
      <c r="BI560" s="55"/>
      <c r="BJ560" s="55"/>
      <c r="BK560" s="55"/>
      <c r="BL560" s="55"/>
      <c r="BM560" s="55"/>
      <c r="BN560" s="55"/>
      <c r="BO560" s="55"/>
      <c r="BP560" s="55"/>
      <c r="BQ560" s="55"/>
      <c r="BR560" s="55"/>
      <c r="BS560" s="53"/>
      <c r="BT560" s="53"/>
      <c r="BU560" s="53"/>
      <c r="BV560" s="53"/>
      <c r="BW560" s="53"/>
      <c r="BX560" s="53"/>
      <c r="BY560" s="53"/>
      <c r="BZ560" s="53"/>
      <c r="CA560" s="53"/>
      <c r="CB560" s="53"/>
      <c r="CC560" s="55"/>
      <c r="CD560" s="55"/>
      <c r="CE560" s="55"/>
      <c r="CF560" s="55"/>
      <c r="CG560" s="55"/>
      <c r="CH560" s="55"/>
      <c r="CI560" s="55"/>
      <c r="CJ560" s="55"/>
      <c r="CK560" s="55"/>
      <c r="CL560" s="55"/>
      <c r="CM560" s="55"/>
      <c r="CN560" s="55"/>
      <c r="CO560" s="55"/>
      <c r="CP560" s="55"/>
      <c r="CQ560" s="55"/>
      <c r="CR560" s="55"/>
      <c r="CS560" s="55"/>
      <c r="CT560" s="55"/>
      <c r="CU560" s="55"/>
      <c r="CV560" s="55"/>
      <c r="CW560" s="55"/>
      <c r="CX560" s="55"/>
      <c r="CY560" s="56"/>
      <c r="CZ560" s="55"/>
      <c r="DA560" s="55"/>
      <c r="DB560" s="55"/>
    </row>
    <row r="561" spans="1:113" outlineLevel="1" collapsed="1">
      <c r="A561" s="1" t="s">
        <v>1025</v>
      </c>
      <c r="B561" s="19" t="s">
        <v>271</v>
      </c>
      <c r="C561" s="55">
        <v>-5</v>
      </c>
      <c r="D561" s="55">
        <v>-5</v>
      </c>
      <c r="E561" s="55">
        <v>86</v>
      </c>
      <c r="F561" s="55">
        <v>-7</v>
      </c>
      <c r="G561" s="55">
        <v>140</v>
      </c>
      <c r="H561" s="55">
        <v>241</v>
      </c>
      <c r="I561" s="55">
        <v>118</v>
      </c>
      <c r="J561" s="55">
        <v>155</v>
      </c>
      <c r="K561" s="55">
        <v>119</v>
      </c>
      <c r="L561" s="55">
        <v>43</v>
      </c>
      <c r="M561" s="55">
        <v>310</v>
      </c>
      <c r="N561" s="55">
        <v>-109</v>
      </c>
      <c r="O561" s="55">
        <v>-190</v>
      </c>
      <c r="P561" s="55">
        <v>-378</v>
      </c>
      <c r="Q561" s="55">
        <v>-421</v>
      </c>
      <c r="R561" s="55">
        <v>-1140</v>
      </c>
      <c r="S561" s="55">
        <v>-514</v>
      </c>
      <c r="T561" s="55">
        <v>-532</v>
      </c>
      <c r="U561" s="55">
        <v>-618</v>
      </c>
      <c r="V561" s="55">
        <v>-360</v>
      </c>
      <c r="W561" s="55">
        <v>-687</v>
      </c>
      <c r="X561" s="55">
        <v>-405</v>
      </c>
      <c r="Y561" s="55">
        <v>-554</v>
      </c>
      <c r="Z561" s="55">
        <v>-839</v>
      </c>
      <c r="AA561" s="55">
        <v>-184</v>
      </c>
      <c r="AB561" s="55">
        <v>-302</v>
      </c>
      <c r="AC561" s="55">
        <v>-293</v>
      </c>
      <c r="AD561" s="55">
        <v>-395</v>
      </c>
      <c r="AE561" s="55">
        <v>-376</v>
      </c>
      <c r="AF561" s="55">
        <v>-410</v>
      </c>
      <c r="AG561" s="55">
        <v>-409</v>
      </c>
      <c r="AH561" s="55">
        <v>-449</v>
      </c>
      <c r="AI561" s="55">
        <v>-332</v>
      </c>
      <c r="AJ561" s="55">
        <v>-399</v>
      </c>
      <c r="AK561" s="55">
        <v>-369</v>
      </c>
      <c r="AL561" s="55">
        <v>-212</v>
      </c>
      <c r="AM561" s="55">
        <v>191</v>
      </c>
      <c r="AN561" s="55">
        <v>-4</v>
      </c>
      <c r="AO561" s="55">
        <v>123</v>
      </c>
      <c r="AP561" s="55">
        <v>10</v>
      </c>
      <c r="AQ561" s="55">
        <v>7</v>
      </c>
      <c r="AR561" s="55">
        <v>4</v>
      </c>
      <c r="AS561" s="55">
        <v>21</v>
      </c>
      <c r="AT561" s="55">
        <v>-90</v>
      </c>
      <c r="AU561" s="55">
        <v>-753</v>
      </c>
      <c r="AV561" s="55">
        <v>142</v>
      </c>
      <c r="AW561" s="56">
        <v>158</v>
      </c>
      <c r="AX561" s="54">
        <v>158</v>
      </c>
      <c r="AY561" s="54">
        <v>158</v>
      </c>
      <c r="AZ561" s="54">
        <v>158</v>
      </c>
      <c r="BA561" s="54">
        <v>158</v>
      </c>
      <c r="BB561" s="54">
        <v>158</v>
      </c>
      <c r="BC561" s="54">
        <v>158</v>
      </c>
      <c r="BD561" s="54">
        <v>158</v>
      </c>
      <c r="BE561" s="54">
        <v>158</v>
      </c>
      <c r="BF561" s="54">
        <v>158</v>
      </c>
      <c r="BG561" s="54">
        <v>158</v>
      </c>
      <c r="BH561" s="54">
        <v>158</v>
      </c>
      <c r="BI561" s="54">
        <v>158</v>
      </c>
      <c r="BJ561" s="54">
        <v>158</v>
      </c>
      <c r="BK561" s="54">
        <v>158</v>
      </c>
      <c r="BL561" s="54">
        <v>158</v>
      </c>
      <c r="BM561" s="54">
        <v>158</v>
      </c>
      <c r="BN561" s="54">
        <v>158</v>
      </c>
      <c r="BO561" s="54">
        <v>158</v>
      </c>
      <c r="BP561" s="54">
        <v>158</v>
      </c>
      <c r="BQ561" s="54">
        <v>158</v>
      </c>
      <c r="BR561" s="55"/>
      <c r="BS561" s="53">
        <v>0</v>
      </c>
      <c r="BT561" s="53">
        <v>0</v>
      </c>
      <c r="BU561" s="53">
        <v>0</v>
      </c>
      <c r="BV561" s="53">
        <v>0</v>
      </c>
      <c r="BW561" s="53">
        <v>0</v>
      </c>
      <c r="BX561" s="53">
        <v>0</v>
      </c>
      <c r="BY561" s="53">
        <v>0</v>
      </c>
      <c r="BZ561" s="53">
        <v>0</v>
      </c>
      <c r="CA561" s="53">
        <v>0</v>
      </c>
      <c r="CB561" s="53">
        <v>0</v>
      </c>
      <c r="CC561" s="55">
        <v>86</v>
      </c>
      <c r="CD561" s="55">
        <v>140</v>
      </c>
      <c r="CE561" s="55">
        <v>118</v>
      </c>
      <c r="CF561" s="55">
        <v>119</v>
      </c>
      <c r="CG561" s="55">
        <v>310</v>
      </c>
      <c r="CH561" s="55">
        <v>-190</v>
      </c>
      <c r="CI561" s="55">
        <v>-421</v>
      </c>
      <c r="CJ561" s="55">
        <v>-514</v>
      </c>
      <c r="CK561" s="55">
        <v>-618</v>
      </c>
      <c r="CL561" s="55">
        <v>-687</v>
      </c>
      <c r="CM561" s="55">
        <v>-554</v>
      </c>
      <c r="CN561" s="55">
        <v>-184</v>
      </c>
      <c r="CO561" s="55">
        <v>-293</v>
      </c>
      <c r="CP561" s="55">
        <v>-376</v>
      </c>
      <c r="CQ561" s="55">
        <v>-409</v>
      </c>
      <c r="CR561" s="55">
        <v>-332</v>
      </c>
      <c r="CS561" s="55">
        <v>-369</v>
      </c>
      <c r="CT561" s="55">
        <v>191</v>
      </c>
      <c r="CU561" s="55">
        <v>123</v>
      </c>
      <c r="CV561" s="55">
        <v>7</v>
      </c>
      <c r="CW561" s="55">
        <v>21</v>
      </c>
      <c r="CX561" s="55">
        <v>-753</v>
      </c>
      <c r="CY561" s="56">
        <v>158</v>
      </c>
      <c r="CZ561" s="55">
        <v>158</v>
      </c>
      <c r="DA561" s="55">
        <v>158</v>
      </c>
      <c r="DB561" s="55">
        <v>158</v>
      </c>
      <c r="DC561" s="55">
        <v>158</v>
      </c>
      <c r="DD561" s="55">
        <v>158</v>
      </c>
      <c r="DE561" s="55">
        <v>158</v>
      </c>
      <c r="DF561" s="55">
        <v>158</v>
      </c>
      <c r="DG561" s="55">
        <v>158</v>
      </c>
      <c r="DH561" s="55">
        <v>158</v>
      </c>
      <c r="DI561" s="55">
        <v>158</v>
      </c>
    </row>
    <row r="562" spans="1:113" s="24" customFormat="1" outlineLevel="1">
      <c r="A562" s="1" t="s">
        <v>1026</v>
      </c>
      <c r="B562" s="24" t="s">
        <v>168</v>
      </c>
      <c r="C562" s="81">
        <v>-5</v>
      </c>
      <c r="D562" s="81">
        <v>-5</v>
      </c>
      <c r="E562" s="81">
        <v>86</v>
      </c>
      <c r="F562" s="81">
        <v>-872</v>
      </c>
      <c r="G562" s="81">
        <v>-926</v>
      </c>
      <c r="H562" s="81">
        <v>-566</v>
      </c>
      <c r="I562" s="81">
        <v>-947</v>
      </c>
      <c r="J562" s="81">
        <v>-722</v>
      </c>
      <c r="K562" s="81">
        <v>-1043</v>
      </c>
      <c r="L562" s="81">
        <v>-947</v>
      </c>
      <c r="M562" s="81">
        <v>-1055</v>
      </c>
      <c r="N562" s="81">
        <v>-1428</v>
      </c>
      <c r="O562" s="81">
        <v>-1831</v>
      </c>
      <c r="P562" s="81">
        <v>-1652</v>
      </c>
      <c r="Q562" s="81">
        <v>-2028</v>
      </c>
      <c r="R562" s="81">
        <v>-2441</v>
      </c>
      <c r="S562" s="81">
        <v>-1941</v>
      </c>
      <c r="T562" s="81">
        <v>-1952</v>
      </c>
      <c r="U562" s="81">
        <v>-3798</v>
      </c>
      <c r="V562" s="81">
        <v>-2603</v>
      </c>
      <c r="W562" s="81">
        <v>-3596</v>
      </c>
      <c r="X562" s="81">
        <v>-2933</v>
      </c>
      <c r="Y562" s="81">
        <v>-3972</v>
      </c>
      <c r="Z562" s="81">
        <v>-4656</v>
      </c>
      <c r="AA562" s="81">
        <v>-1468</v>
      </c>
      <c r="AB562" s="166">
        <v>-1713</v>
      </c>
      <c r="AC562" s="166">
        <v>-1600</v>
      </c>
      <c r="AD562" s="166">
        <v>-1711</v>
      </c>
      <c r="AE562" s="166">
        <v>-1844</v>
      </c>
      <c r="AF562" s="166">
        <v>-1647</v>
      </c>
      <c r="AG562" s="166">
        <v>-668</v>
      </c>
      <c r="AH562" s="166">
        <v>-954</v>
      </c>
      <c r="AI562" s="166">
        <v>-869</v>
      </c>
      <c r="AJ562" s="166">
        <v>-810</v>
      </c>
      <c r="AK562" s="166">
        <v>-711</v>
      </c>
      <c r="AL562" s="166">
        <v>-646</v>
      </c>
      <c r="AM562" s="166">
        <v>-246</v>
      </c>
      <c r="AN562" s="166">
        <v>-262</v>
      </c>
      <c r="AO562" s="166">
        <v>-202</v>
      </c>
      <c r="AP562" s="166">
        <v>-369</v>
      </c>
      <c r="AQ562" s="166">
        <v>-479</v>
      </c>
      <c r="AR562" s="166">
        <v>-121</v>
      </c>
      <c r="AS562" s="166">
        <v>-110</v>
      </c>
      <c r="AT562" s="166">
        <v>-118</v>
      </c>
      <c r="AU562" s="166">
        <v>-798</v>
      </c>
      <c r="AV562" s="166">
        <v>97</v>
      </c>
      <c r="AW562" s="167">
        <v>104</v>
      </c>
      <c r="AX562" s="82">
        <v>104</v>
      </c>
      <c r="AY562" s="82">
        <v>104</v>
      </c>
      <c r="AZ562" s="82">
        <v>104</v>
      </c>
      <c r="BA562" s="82">
        <v>104</v>
      </c>
      <c r="BB562" s="82">
        <v>104</v>
      </c>
      <c r="BC562" s="82">
        <v>104</v>
      </c>
      <c r="BD562" s="82">
        <v>104</v>
      </c>
      <c r="BE562" s="82">
        <v>104</v>
      </c>
      <c r="BF562" s="82">
        <v>104</v>
      </c>
      <c r="BG562" s="82">
        <v>104</v>
      </c>
      <c r="BH562" s="82">
        <v>104</v>
      </c>
      <c r="BI562" s="82">
        <v>104</v>
      </c>
      <c r="BJ562" s="82">
        <v>104</v>
      </c>
      <c r="BK562" s="82">
        <v>104</v>
      </c>
      <c r="BL562" s="82">
        <v>104</v>
      </c>
      <c r="BM562" s="82">
        <v>104</v>
      </c>
      <c r="BN562" s="82">
        <v>104</v>
      </c>
      <c r="BO562" s="82">
        <v>104</v>
      </c>
      <c r="BP562" s="82">
        <v>104</v>
      </c>
      <c r="BQ562" s="82">
        <v>104</v>
      </c>
      <c r="BR562" s="82"/>
      <c r="BS562" s="82">
        <v>0</v>
      </c>
      <c r="BT562" s="82">
        <v>0</v>
      </c>
      <c r="BU562" s="82">
        <v>0</v>
      </c>
      <c r="BV562" s="82">
        <v>0</v>
      </c>
      <c r="BW562" s="82">
        <v>0</v>
      </c>
      <c r="BX562" s="82">
        <v>0</v>
      </c>
      <c r="BY562" s="82">
        <v>0</v>
      </c>
      <c r="BZ562" s="82">
        <v>0</v>
      </c>
      <c r="CA562" s="82">
        <v>0</v>
      </c>
      <c r="CB562" s="82">
        <v>0</v>
      </c>
      <c r="CC562" s="82">
        <v>86</v>
      </c>
      <c r="CD562" s="82">
        <v>-926</v>
      </c>
      <c r="CE562" s="82">
        <v>-947</v>
      </c>
      <c r="CF562" s="82">
        <v>-1043</v>
      </c>
      <c r="CG562" s="82">
        <v>-1055</v>
      </c>
      <c r="CH562" s="82">
        <v>-1831</v>
      </c>
      <c r="CI562" s="82">
        <v>-2028</v>
      </c>
      <c r="CJ562" s="82">
        <v>-1941</v>
      </c>
      <c r="CK562" s="82">
        <v>-3798</v>
      </c>
      <c r="CL562" s="82">
        <v>-3596</v>
      </c>
      <c r="CM562" s="82">
        <v>-3972</v>
      </c>
      <c r="CN562" s="82">
        <v>-1468</v>
      </c>
      <c r="CO562" s="82">
        <v>-1600</v>
      </c>
      <c r="CP562" s="82">
        <v>-1844</v>
      </c>
      <c r="CQ562" s="82">
        <v>-668</v>
      </c>
      <c r="CR562" s="82">
        <v>-869</v>
      </c>
      <c r="CS562" s="82">
        <v>-711</v>
      </c>
      <c r="CT562" s="82">
        <v>-246</v>
      </c>
      <c r="CU562" s="82">
        <v>-202</v>
      </c>
      <c r="CV562" s="82">
        <v>-479</v>
      </c>
      <c r="CW562" s="82">
        <v>-110</v>
      </c>
      <c r="CX562" s="82">
        <v>-798</v>
      </c>
      <c r="CY562" s="83">
        <v>104</v>
      </c>
      <c r="CZ562" s="82">
        <v>104</v>
      </c>
      <c r="DA562" s="82">
        <v>104</v>
      </c>
      <c r="DB562" s="82">
        <v>104</v>
      </c>
      <c r="DC562" s="82">
        <v>104</v>
      </c>
      <c r="DD562" s="82">
        <v>104</v>
      </c>
      <c r="DE562" s="82">
        <v>104</v>
      </c>
      <c r="DF562" s="82">
        <v>104</v>
      </c>
      <c r="DG562" s="82">
        <v>104</v>
      </c>
      <c r="DH562" s="82">
        <v>104</v>
      </c>
      <c r="DI562" s="82">
        <v>104</v>
      </c>
    </row>
    <row r="563" spans="1:113" outlineLevel="1">
      <c r="C563" s="55"/>
      <c r="D563" s="55"/>
      <c r="E563" s="55"/>
      <c r="F563" s="55"/>
      <c r="G563" s="55"/>
      <c r="H563" s="55"/>
      <c r="I563" s="55"/>
      <c r="J563" s="55"/>
      <c r="K563" s="55"/>
      <c r="L563" s="55"/>
      <c r="M563" s="55"/>
      <c r="N563" s="55"/>
      <c r="O563" s="55"/>
      <c r="P563" s="55"/>
      <c r="Q563" s="55"/>
      <c r="R563" s="55"/>
      <c r="S563" s="55"/>
      <c r="T563" s="55"/>
      <c r="U563" s="55"/>
      <c r="V563" s="55"/>
      <c r="W563" s="55"/>
      <c r="X563" s="55"/>
      <c r="Y563" s="55"/>
      <c r="Z563" s="55"/>
      <c r="AA563" s="55"/>
      <c r="AB563" s="55"/>
      <c r="AC563" s="55"/>
      <c r="AD563" s="55"/>
      <c r="AE563" s="55"/>
      <c r="AF563" s="55"/>
      <c r="AG563" s="55"/>
      <c r="AH563" s="55"/>
      <c r="AI563" s="55"/>
      <c r="AJ563" s="55"/>
      <c r="AK563" s="55"/>
      <c r="AL563" s="55"/>
      <c r="AM563" s="55"/>
      <c r="AN563" s="55"/>
      <c r="AO563" s="55"/>
      <c r="AP563" s="55"/>
      <c r="AQ563" s="55"/>
      <c r="AR563" s="55"/>
      <c r="AS563" s="55"/>
      <c r="AT563" s="55"/>
      <c r="AU563" s="55"/>
      <c r="AV563" s="55"/>
      <c r="AW563" s="56"/>
      <c r="AX563" s="55"/>
      <c r="AY563" s="55"/>
      <c r="AZ563" s="55"/>
      <c r="BA563" s="55"/>
      <c r="BB563" s="55"/>
      <c r="BC563" s="55"/>
      <c r="BD563" s="55"/>
      <c r="BE563" s="55"/>
      <c r="BF563" s="55"/>
      <c r="BG563" s="55"/>
      <c r="BH563" s="55"/>
      <c r="BI563" s="55"/>
      <c r="BJ563" s="55"/>
      <c r="BK563" s="55"/>
      <c r="BL563" s="55"/>
      <c r="BM563" s="55"/>
      <c r="BN563" s="55"/>
      <c r="BO563" s="55"/>
      <c r="BP563" s="55"/>
      <c r="BQ563" s="55"/>
      <c r="BR563" s="55"/>
      <c r="BS563" s="55"/>
      <c r="BT563" s="55"/>
      <c r="BU563" s="55"/>
      <c r="BV563" s="55"/>
      <c r="BW563" s="55"/>
      <c r="BX563" s="55"/>
      <c r="BY563" s="55"/>
      <c r="BZ563" s="55"/>
      <c r="CA563" s="55"/>
      <c r="CB563" s="55"/>
      <c r="CC563" s="55"/>
      <c r="CD563" s="55"/>
      <c r="CE563" s="55"/>
      <c r="CF563" s="55"/>
      <c r="CG563" s="55"/>
      <c r="CH563" s="55"/>
      <c r="CI563" s="55"/>
      <c r="CJ563" s="55"/>
      <c r="CK563" s="55"/>
      <c r="CL563" s="55"/>
      <c r="CM563" s="55"/>
      <c r="CN563" s="55"/>
      <c r="CO563" s="55"/>
      <c r="CP563" s="55"/>
      <c r="CQ563" s="55"/>
      <c r="CR563" s="55"/>
      <c r="CS563" s="55"/>
      <c r="CT563" s="55"/>
      <c r="CU563" s="55"/>
      <c r="CV563" s="55"/>
      <c r="CW563" s="55"/>
      <c r="CX563" s="55"/>
      <c r="CY563" s="56"/>
      <c r="CZ563" s="55"/>
      <c r="DA563" s="55"/>
      <c r="DB563" s="55"/>
    </row>
    <row r="564" spans="1:113" s="24" customFormat="1" outlineLevel="1">
      <c r="A564" s="1" t="s">
        <v>1027</v>
      </c>
      <c r="B564" s="102" t="s">
        <v>906</v>
      </c>
      <c r="C564" s="82">
        <v>19843</v>
      </c>
      <c r="D564" s="82">
        <v>20399</v>
      </c>
      <c r="E564" s="82">
        <v>21142</v>
      </c>
      <c r="F564" s="82">
        <v>21574</v>
      </c>
      <c r="G564" s="82">
        <v>21226</v>
      </c>
      <c r="H564" s="82">
        <v>22635</v>
      </c>
      <c r="I564" s="82">
        <v>23938</v>
      </c>
      <c r="J564" s="82">
        <v>21379</v>
      </c>
      <c r="K564" s="82">
        <v>21600</v>
      </c>
      <c r="L564" s="82">
        <v>18903</v>
      </c>
      <c r="M564" s="82">
        <v>20288</v>
      </c>
      <c r="N564" s="82">
        <v>21059</v>
      </c>
      <c r="O564" s="82">
        <v>22613</v>
      </c>
      <c r="P564" s="82">
        <v>23986</v>
      </c>
      <c r="Q564" s="82">
        <v>24109</v>
      </c>
      <c r="R564" s="82">
        <v>27546</v>
      </c>
      <c r="S564" s="82">
        <v>29501</v>
      </c>
      <c r="T564" s="82">
        <v>31631</v>
      </c>
      <c r="U564" s="82">
        <v>31772</v>
      </c>
      <c r="V564" s="82">
        <v>32746</v>
      </c>
      <c r="W564" s="82">
        <v>33691</v>
      </c>
      <c r="X564" s="82">
        <v>35942</v>
      </c>
      <c r="Y564" s="82">
        <v>37600</v>
      </c>
      <c r="Z564" s="82">
        <v>38692</v>
      </c>
      <c r="AA564" s="82">
        <v>44069</v>
      </c>
      <c r="AB564" s="82">
        <v>45324</v>
      </c>
      <c r="AC564" s="82">
        <v>47748</v>
      </c>
      <c r="AD564" s="82">
        <v>49320</v>
      </c>
      <c r="AE564" s="82">
        <v>51149</v>
      </c>
      <c r="AF564" s="82">
        <v>58017</v>
      </c>
      <c r="AG564" s="82">
        <v>59896</v>
      </c>
      <c r="AH564" s="82">
        <v>60802</v>
      </c>
      <c r="AI564" s="82">
        <v>62791</v>
      </c>
      <c r="AJ564" s="82">
        <v>65281</v>
      </c>
      <c r="AK564" s="82">
        <v>67149</v>
      </c>
      <c r="AL564" s="82">
        <v>67932</v>
      </c>
      <c r="AM564" s="82">
        <v>69403</v>
      </c>
      <c r="AN564" s="82">
        <v>70891</v>
      </c>
      <c r="AO564" s="82">
        <v>71736</v>
      </c>
      <c r="AP564" s="82">
        <v>74551</v>
      </c>
      <c r="AQ564" s="82">
        <v>78239</v>
      </c>
      <c r="AR564" s="82">
        <v>74542</v>
      </c>
      <c r="AS564" s="82">
        <v>72728</v>
      </c>
      <c r="AT564" s="82">
        <v>72425</v>
      </c>
      <c r="AU564" s="82">
        <v>71745</v>
      </c>
      <c r="AV564" s="82">
        <v>72936</v>
      </c>
      <c r="AW564" s="83">
        <v>73192</v>
      </c>
      <c r="AX564" s="82">
        <v>73666.844754941383</v>
      </c>
      <c r="AY564" s="82">
        <v>74364.997732048214</v>
      </c>
      <c r="AZ564" s="82">
        <v>74883.313943751491</v>
      </c>
      <c r="BA564" s="82">
        <v>75874.030481097812</v>
      </c>
      <c r="BB564" s="82">
        <v>76404.117904465849</v>
      </c>
      <c r="BC564" s="82">
        <v>77601.422276383528</v>
      </c>
      <c r="BD564" s="82">
        <v>78380.024561391852</v>
      </c>
      <c r="BE564" s="82">
        <v>79738.303183924989</v>
      </c>
      <c r="BF564" s="82">
        <v>80658.221498672923</v>
      </c>
      <c r="BG564" s="82">
        <v>82088.263207786978</v>
      </c>
      <c r="BH564" s="82">
        <v>83132.2202763885</v>
      </c>
      <c r="BI564" s="82">
        <v>84584.449504665667</v>
      </c>
      <c r="BJ564" s="82">
        <v>85007.528076593328</v>
      </c>
      <c r="BK564" s="82">
        <v>85548.548855098139</v>
      </c>
      <c r="BL564" s="82">
        <v>86206.322517622582</v>
      </c>
      <c r="BM564" s="82">
        <v>87773.451719335644</v>
      </c>
      <c r="BN564" s="82">
        <v>89660.298745665845</v>
      </c>
      <c r="BO564" s="82">
        <v>91086.025817435046</v>
      </c>
      <c r="BP564" s="82">
        <v>92195.026441971437</v>
      </c>
      <c r="BQ564" s="82">
        <v>93677.706496772764</v>
      </c>
      <c r="BR564" s="82"/>
      <c r="BS564" s="82">
        <v>5523</v>
      </c>
      <c r="BT564" s="82">
        <v>5631.9</v>
      </c>
      <c r="BU564" s="82">
        <v>6071</v>
      </c>
      <c r="BV564" s="82">
        <v>6695</v>
      </c>
      <c r="BW564" s="82">
        <v>7367</v>
      </c>
      <c r="BX564" s="82">
        <v>7024</v>
      </c>
      <c r="BY564" s="82">
        <v>6889</v>
      </c>
      <c r="BZ564" s="82">
        <v>6962</v>
      </c>
      <c r="CA564" s="82">
        <v>18435</v>
      </c>
      <c r="CB564" s="82">
        <v>19848</v>
      </c>
      <c r="CC564" s="82">
        <v>21142</v>
      </c>
      <c r="CD564" s="82">
        <v>21226</v>
      </c>
      <c r="CE564" s="82">
        <v>23938</v>
      </c>
      <c r="CF564" s="82">
        <v>21600</v>
      </c>
      <c r="CG564" s="82">
        <v>20288</v>
      </c>
      <c r="CH564" s="82">
        <v>22613</v>
      </c>
      <c r="CI564" s="82">
        <v>24109</v>
      </c>
      <c r="CJ564" s="82">
        <v>29501</v>
      </c>
      <c r="CK564" s="82">
        <v>31772</v>
      </c>
      <c r="CL564" s="82">
        <v>33691</v>
      </c>
      <c r="CM564" s="82">
        <v>37600</v>
      </c>
      <c r="CN564" s="82">
        <v>44069</v>
      </c>
      <c r="CO564" s="82">
        <v>47748</v>
      </c>
      <c r="CP564" s="82">
        <v>51149</v>
      </c>
      <c r="CQ564" s="82">
        <v>59896</v>
      </c>
      <c r="CR564" s="82">
        <v>62791</v>
      </c>
      <c r="CS564" s="82">
        <v>67149</v>
      </c>
      <c r="CT564" s="82">
        <v>69403</v>
      </c>
      <c r="CU564" s="82">
        <v>71736</v>
      </c>
      <c r="CV564" s="82">
        <v>78239</v>
      </c>
      <c r="CW564" s="82">
        <v>72728</v>
      </c>
      <c r="CX564" s="82">
        <v>71745</v>
      </c>
      <c r="CY564" s="83">
        <v>73192</v>
      </c>
      <c r="CZ564" s="82">
        <v>74364.997732048199</v>
      </c>
      <c r="DA564" s="82">
        <v>75874.030481097798</v>
      </c>
      <c r="DB564" s="82">
        <v>77601.422276383528</v>
      </c>
      <c r="DC564" s="82">
        <v>79738.303183924989</v>
      </c>
      <c r="DD564" s="82">
        <v>82088.263207786978</v>
      </c>
      <c r="DE564" s="82">
        <v>84584.449504665667</v>
      </c>
      <c r="DF564" s="82">
        <v>85548.548855098139</v>
      </c>
      <c r="DG564" s="82">
        <v>87773.451719335659</v>
      </c>
      <c r="DH564" s="82">
        <v>91086.02581743506</v>
      </c>
      <c r="DI564" s="82">
        <v>93677.706496772793</v>
      </c>
    </row>
    <row r="565" spans="1:113" outlineLevel="1">
      <c r="A565" s="1" t="s">
        <v>1028</v>
      </c>
      <c r="B565" s="103" t="s">
        <v>907</v>
      </c>
      <c r="C565" s="53">
        <v>0</v>
      </c>
      <c r="D565" s="53">
        <v>0</v>
      </c>
      <c r="E565" s="53">
        <v>0</v>
      </c>
      <c r="F565" s="53">
        <v>0</v>
      </c>
      <c r="G565" s="53">
        <v>0</v>
      </c>
      <c r="H565" s="53">
        <v>0</v>
      </c>
      <c r="I565" s="53">
        <v>0</v>
      </c>
      <c r="J565" s="53">
        <v>0</v>
      </c>
      <c r="K565" s="53">
        <v>0</v>
      </c>
      <c r="L565" s="53">
        <v>0</v>
      </c>
      <c r="M565" s="53">
        <v>0</v>
      </c>
      <c r="N565" s="53">
        <v>0</v>
      </c>
      <c r="O565" s="53">
        <v>0</v>
      </c>
      <c r="P565" s="53">
        <v>1443</v>
      </c>
      <c r="Q565" s="53">
        <v>1443</v>
      </c>
      <c r="R565" s="53">
        <v>1443</v>
      </c>
      <c r="S565" s="53">
        <v>1443</v>
      </c>
      <c r="T565" s="53">
        <v>3407</v>
      </c>
      <c r="U565" s="53">
        <v>3407</v>
      </c>
      <c r="V565" s="53">
        <v>3407</v>
      </c>
      <c r="W565" s="53">
        <v>3407</v>
      </c>
      <c r="X565" s="53">
        <v>3407</v>
      </c>
      <c r="Y565" s="53">
        <v>3407</v>
      </c>
      <c r="Z565" s="53">
        <v>1964</v>
      </c>
      <c r="AA565" s="164">
        <v>2000</v>
      </c>
      <c r="AB565" s="164">
        <v>2000</v>
      </c>
      <c r="AC565" s="164">
        <v>2000</v>
      </c>
      <c r="AD565" s="164">
        <v>5000</v>
      </c>
      <c r="AE565" s="164">
        <v>5000</v>
      </c>
      <c r="AF565" s="164">
        <v>5000</v>
      </c>
      <c r="AG565" s="164">
        <v>6450</v>
      </c>
      <c r="AH565" s="164">
        <v>6450</v>
      </c>
      <c r="AI565" s="164">
        <v>8090</v>
      </c>
      <c r="AJ565" s="164">
        <v>8090</v>
      </c>
      <c r="AK565" s="164">
        <v>9455</v>
      </c>
      <c r="AL565" s="164">
        <v>9045</v>
      </c>
      <c r="AM565" s="164">
        <v>9045</v>
      </c>
      <c r="AN565" s="164">
        <v>10695</v>
      </c>
      <c r="AO565" s="164">
        <v>10695</v>
      </c>
      <c r="AP565" s="164">
        <v>10695</v>
      </c>
      <c r="AQ565" s="164">
        <v>11875</v>
      </c>
      <c r="AR565" s="164">
        <v>10425</v>
      </c>
      <c r="AS565" s="164">
        <v>10535</v>
      </c>
      <c r="AT565" s="164">
        <v>9312</v>
      </c>
      <c r="AU565" s="164">
        <v>10862</v>
      </c>
      <c r="AV565" s="164">
        <v>10862</v>
      </c>
      <c r="AW565" s="171">
        <v>9272</v>
      </c>
      <c r="AX565" s="54">
        <v>9272</v>
      </c>
      <c r="AY565" s="54">
        <v>9272</v>
      </c>
      <c r="AZ565" s="54">
        <v>9272</v>
      </c>
      <c r="BA565" s="54">
        <v>9272</v>
      </c>
      <c r="BB565" s="54">
        <v>9272</v>
      </c>
      <c r="BC565" s="54">
        <v>9272</v>
      </c>
      <c r="BD565" s="54">
        <v>9272</v>
      </c>
      <c r="BE565" s="54">
        <v>9272</v>
      </c>
      <c r="BF565" s="54">
        <v>9272</v>
      </c>
      <c r="BG565" s="54">
        <v>9272</v>
      </c>
      <c r="BH565" s="54">
        <v>9272</v>
      </c>
      <c r="BI565" s="54">
        <v>9272</v>
      </c>
      <c r="BJ565" s="54">
        <v>9272</v>
      </c>
      <c r="BK565" s="54">
        <v>9272</v>
      </c>
      <c r="BL565" s="54">
        <v>9272</v>
      </c>
      <c r="BM565" s="54">
        <v>9272</v>
      </c>
      <c r="BN565" s="54">
        <v>9272</v>
      </c>
      <c r="BO565" s="54">
        <v>9272</v>
      </c>
      <c r="BP565" s="54">
        <v>9272</v>
      </c>
      <c r="BQ565" s="54">
        <v>9272</v>
      </c>
      <c r="BR565" s="55"/>
      <c r="BS565" s="53">
        <v>0</v>
      </c>
      <c r="BT565" s="53">
        <v>0</v>
      </c>
      <c r="BU565" s="53">
        <v>0</v>
      </c>
      <c r="BV565" s="53">
        <v>0</v>
      </c>
      <c r="BW565" s="53">
        <v>0</v>
      </c>
      <c r="BX565" s="53">
        <v>0</v>
      </c>
      <c r="BY565" s="53">
        <v>0</v>
      </c>
      <c r="BZ565" s="53">
        <v>0</v>
      </c>
      <c r="CA565" s="53">
        <v>0</v>
      </c>
      <c r="CB565" s="53">
        <v>0</v>
      </c>
      <c r="CC565" s="55">
        <v>0</v>
      </c>
      <c r="CD565" s="55">
        <v>0</v>
      </c>
      <c r="CE565" s="55">
        <v>0</v>
      </c>
      <c r="CF565" s="55">
        <v>0</v>
      </c>
      <c r="CG565" s="55">
        <v>0</v>
      </c>
      <c r="CH565" s="55">
        <v>0</v>
      </c>
      <c r="CI565" s="55">
        <v>1443</v>
      </c>
      <c r="CJ565" s="55">
        <v>1443</v>
      </c>
      <c r="CK565" s="55">
        <v>3407</v>
      </c>
      <c r="CL565" s="55">
        <v>3407</v>
      </c>
      <c r="CM565" s="55">
        <v>3407</v>
      </c>
      <c r="CN565" s="55">
        <v>2000</v>
      </c>
      <c r="CO565" s="55">
        <v>2000</v>
      </c>
      <c r="CP565" s="55">
        <v>5000</v>
      </c>
      <c r="CQ565" s="55">
        <v>6450</v>
      </c>
      <c r="CR565" s="55">
        <v>8090</v>
      </c>
      <c r="CS565" s="55">
        <v>9455</v>
      </c>
      <c r="CT565" s="55">
        <v>9045</v>
      </c>
      <c r="CU565" s="55">
        <v>10695</v>
      </c>
      <c r="CV565" s="55">
        <v>11875</v>
      </c>
      <c r="CW565" s="55">
        <v>10535</v>
      </c>
      <c r="CX565" s="55">
        <v>10862</v>
      </c>
      <c r="CY565" s="56">
        <v>9272</v>
      </c>
      <c r="CZ565" s="55">
        <v>9272</v>
      </c>
      <c r="DA565" s="55">
        <v>9272</v>
      </c>
      <c r="DB565" s="55">
        <v>9272</v>
      </c>
      <c r="DC565" s="55">
        <v>9272</v>
      </c>
      <c r="DD565" s="55">
        <v>9272</v>
      </c>
      <c r="DE565" s="55">
        <v>9272</v>
      </c>
      <c r="DF565" s="55">
        <v>9272</v>
      </c>
      <c r="DG565" s="55">
        <v>9272</v>
      </c>
      <c r="DH565" s="55">
        <v>9272</v>
      </c>
      <c r="DI565" s="55">
        <v>9272</v>
      </c>
    </row>
    <row r="566" spans="1:113" outlineLevel="1">
      <c r="A566" s="1" t="s">
        <v>1029</v>
      </c>
      <c r="B566" s="103" t="s">
        <v>908</v>
      </c>
      <c r="C566" s="53">
        <v>1149</v>
      </c>
      <c r="D566" s="53">
        <v>1146</v>
      </c>
      <c r="E566" s="53">
        <v>1102</v>
      </c>
      <c r="F566" s="53">
        <v>1101</v>
      </c>
      <c r="G566" s="53">
        <v>1038</v>
      </c>
      <c r="H566" s="53">
        <v>1830</v>
      </c>
      <c r="I566" s="53">
        <v>2598</v>
      </c>
      <c r="J566" s="53">
        <v>2558</v>
      </c>
      <c r="K566" s="53">
        <v>2564</v>
      </c>
      <c r="L566" s="53">
        <v>2577</v>
      </c>
      <c r="M566" s="53">
        <v>3940</v>
      </c>
      <c r="N566" s="53">
        <v>3785</v>
      </c>
      <c r="O566" s="53">
        <v>3719</v>
      </c>
      <c r="P566" s="53">
        <v>4192</v>
      </c>
      <c r="Q566" s="53">
        <v>4110</v>
      </c>
      <c r="R566" s="53">
        <v>4417</v>
      </c>
      <c r="S566" s="53">
        <v>3515</v>
      </c>
      <c r="T566" s="53">
        <v>3429</v>
      </c>
      <c r="U566" s="53">
        <v>3469</v>
      </c>
      <c r="V566" s="53">
        <v>3329</v>
      </c>
      <c r="W566" s="53">
        <v>3231</v>
      </c>
      <c r="X566" s="53">
        <v>3229</v>
      </c>
      <c r="Y566" s="53">
        <v>3228</v>
      </c>
      <c r="Z566" s="53">
        <v>4767</v>
      </c>
      <c r="AA566" s="164">
        <v>4720</v>
      </c>
      <c r="AB566" s="164">
        <v>4720</v>
      </c>
      <c r="AC566" s="164">
        <v>4196</v>
      </c>
      <c r="AD566" s="164">
        <v>3413</v>
      </c>
      <c r="AE566" s="164">
        <v>2749</v>
      </c>
      <c r="AF566" s="164">
        <v>2756</v>
      </c>
      <c r="AG566" s="164">
        <v>640</v>
      </c>
      <c r="AH566" s="164">
        <v>643</v>
      </c>
      <c r="AI566" s="164">
        <v>635</v>
      </c>
      <c r="AJ566" s="164">
        <v>633</v>
      </c>
      <c r="AK566" s="164">
        <v>640</v>
      </c>
      <c r="AL566" s="164">
        <v>647</v>
      </c>
      <c r="AM566" s="164">
        <v>143</v>
      </c>
      <c r="AN566" s="164">
        <v>143</v>
      </c>
      <c r="AO566" s="164">
        <v>146</v>
      </c>
      <c r="AP566" s="164">
        <v>130</v>
      </c>
      <c r="AQ566" s="164">
        <v>133</v>
      </c>
      <c r="AR566" s="164">
        <v>138</v>
      </c>
      <c r="AS566" s="164">
        <v>0</v>
      </c>
      <c r="AT566" s="164">
        <v>0</v>
      </c>
      <c r="AU566" s="164">
        <v>0</v>
      </c>
      <c r="AV566" s="164">
        <v>0</v>
      </c>
      <c r="AW566" s="171">
        <v>0</v>
      </c>
      <c r="AX566" s="54">
        <v>0</v>
      </c>
      <c r="AY566" s="54">
        <v>0</v>
      </c>
      <c r="AZ566" s="54">
        <v>0</v>
      </c>
      <c r="BA566" s="54">
        <v>0</v>
      </c>
      <c r="BB566" s="54">
        <v>0</v>
      </c>
      <c r="BC566" s="54">
        <v>0</v>
      </c>
      <c r="BD566" s="54">
        <v>0</v>
      </c>
      <c r="BE566" s="54">
        <v>0</v>
      </c>
      <c r="BF566" s="54">
        <v>0</v>
      </c>
      <c r="BG566" s="54">
        <v>0</v>
      </c>
      <c r="BH566" s="54">
        <v>0</v>
      </c>
      <c r="BI566" s="54">
        <v>0</v>
      </c>
      <c r="BJ566" s="54">
        <v>0</v>
      </c>
      <c r="BK566" s="54">
        <v>0</v>
      </c>
      <c r="BL566" s="54">
        <v>0</v>
      </c>
      <c r="BM566" s="54">
        <v>0</v>
      </c>
      <c r="BN566" s="54">
        <v>0</v>
      </c>
      <c r="BO566" s="54">
        <v>0</v>
      </c>
      <c r="BP566" s="54">
        <v>0</v>
      </c>
      <c r="BQ566" s="54">
        <v>0</v>
      </c>
      <c r="BR566" s="55"/>
      <c r="BS566" s="53">
        <v>1437.6</v>
      </c>
      <c r="BT566" s="53">
        <v>1601</v>
      </c>
      <c r="BU566" s="53">
        <v>1130.3</v>
      </c>
      <c r="BV566" s="53">
        <v>1125</v>
      </c>
      <c r="BW566" s="53">
        <v>1014</v>
      </c>
      <c r="BX566" s="53">
        <v>1073</v>
      </c>
      <c r="BY566" s="53">
        <v>1306</v>
      </c>
      <c r="BZ566" s="53">
        <v>638</v>
      </c>
      <c r="CA566" s="53">
        <v>418</v>
      </c>
      <c r="CB566" s="53">
        <v>1149</v>
      </c>
      <c r="CC566" s="55">
        <v>1102</v>
      </c>
      <c r="CD566" s="55">
        <v>1038</v>
      </c>
      <c r="CE566" s="55">
        <v>2598</v>
      </c>
      <c r="CF566" s="55">
        <v>2564</v>
      </c>
      <c r="CG566" s="55">
        <v>3940</v>
      </c>
      <c r="CH566" s="55">
        <v>3719</v>
      </c>
      <c r="CI566" s="55">
        <v>4110</v>
      </c>
      <c r="CJ566" s="55">
        <v>3515</v>
      </c>
      <c r="CK566" s="55">
        <v>3469</v>
      </c>
      <c r="CL566" s="55">
        <v>3231</v>
      </c>
      <c r="CM566" s="55">
        <v>3228</v>
      </c>
      <c r="CN566" s="55">
        <v>4720</v>
      </c>
      <c r="CO566" s="55">
        <v>4196</v>
      </c>
      <c r="CP566" s="55">
        <v>2749</v>
      </c>
      <c r="CQ566" s="55">
        <v>640</v>
      </c>
      <c r="CR566" s="55">
        <v>635</v>
      </c>
      <c r="CS566" s="55">
        <v>640</v>
      </c>
      <c r="CT566" s="55">
        <v>143</v>
      </c>
      <c r="CU566" s="55">
        <v>146</v>
      </c>
      <c r="CV566" s="55">
        <v>133</v>
      </c>
      <c r="CW566" s="55">
        <v>0</v>
      </c>
      <c r="CX566" s="55">
        <v>0</v>
      </c>
      <c r="CY566" s="56">
        <v>0</v>
      </c>
      <c r="CZ566" s="55">
        <v>0</v>
      </c>
      <c r="DA566" s="55">
        <v>0</v>
      </c>
      <c r="DB566" s="55">
        <v>0</v>
      </c>
      <c r="DC566" s="55">
        <v>0</v>
      </c>
      <c r="DD566" s="55">
        <v>0</v>
      </c>
      <c r="DE566" s="55">
        <v>0</v>
      </c>
      <c r="DF566" s="55">
        <v>0</v>
      </c>
      <c r="DG566" s="55">
        <v>0</v>
      </c>
      <c r="DH566" s="55">
        <v>0</v>
      </c>
      <c r="DI566" s="55">
        <v>0</v>
      </c>
    </row>
    <row r="567" spans="1:113" outlineLevel="1">
      <c r="A567" s="1" t="s">
        <v>1030</v>
      </c>
      <c r="B567" s="103" t="s">
        <v>524</v>
      </c>
      <c r="C567" s="53">
        <v>0</v>
      </c>
      <c r="D567" s="53">
        <v>0</v>
      </c>
      <c r="E567" s="53">
        <v>0</v>
      </c>
      <c r="F567" s="53">
        <v>0</v>
      </c>
      <c r="G567" s="53">
        <v>0</v>
      </c>
      <c r="H567" s="53">
        <v>0</v>
      </c>
      <c r="I567" s="53">
        <v>0</v>
      </c>
      <c r="J567" s="53">
        <v>0</v>
      </c>
      <c r="K567" s="53">
        <v>0</v>
      </c>
      <c r="L567" s="53">
        <v>0</v>
      </c>
      <c r="M567" s="53">
        <v>0</v>
      </c>
      <c r="N567" s="53">
        <v>0</v>
      </c>
      <c r="O567" s="53">
        <v>0</v>
      </c>
      <c r="P567" s="53">
        <v>-1592</v>
      </c>
      <c r="Q567" s="53">
        <v>-1359</v>
      </c>
      <c r="R567" s="53">
        <v>-627</v>
      </c>
      <c r="S567" s="53">
        <v>0</v>
      </c>
      <c r="T567" s="53">
        <v>-73</v>
      </c>
      <c r="U567" s="53">
        <v>-225</v>
      </c>
      <c r="V567" s="53">
        <v>0</v>
      </c>
      <c r="W567" s="53">
        <v>0</v>
      </c>
      <c r="X567" s="53">
        <v>0</v>
      </c>
      <c r="Y567" s="53">
        <v>0</v>
      </c>
      <c r="Z567" s="53">
        <v>0</v>
      </c>
      <c r="AA567" s="164">
        <v>0</v>
      </c>
      <c r="AB567" s="164">
        <v>0</v>
      </c>
      <c r="AC567" s="164">
        <v>0</v>
      </c>
      <c r="AD567" s="164">
        <v>0</v>
      </c>
      <c r="AE567" s="164">
        <v>0</v>
      </c>
      <c r="AF567" s="164">
        <v>0</v>
      </c>
      <c r="AG567" s="164">
        <v>0</v>
      </c>
      <c r="AH567" s="164">
        <v>0</v>
      </c>
      <c r="AI567" s="164">
        <v>0</v>
      </c>
      <c r="AJ567" s="164">
        <v>-200</v>
      </c>
      <c r="AK567" s="164">
        <v>-200</v>
      </c>
      <c r="AL567" s="164">
        <v>-200</v>
      </c>
      <c r="AM567" s="164">
        <v>-200</v>
      </c>
      <c r="AN567" s="164">
        <v>0</v>
      </c>
      <c r="AO567" s="164">
        <v>0</v>
      </c>
      <c r="AP567" s="164">
        <v>0</v>
      </c>
      <c r="AQ567" s="164">
        <v>0</v>
      </c>
      <c r="AR567" s="164">
        <v>0</v>
      </c>
      <c r="AS567" s="164">
        <v>0</v>
      </c>
      <c r="AT567" s="164">
        <v>0</v>
      </c>
      <c r="AU567" s="164">
        <v>0</v>
      </c>
      <c r="AV567" s="164">
        <v>0</v>
      </c>
      <c r="AW567" s="171">
        <v>0</v>
      </c>
      <c r="AX567" s="54">
        <v>0</v>
      </c>
      <c r="AY567" s="54">
        <v>0</v>
      </c>
      <c r="AZ567" s="54">
        <v>0</v>
      </c>
      <c r="BA567" s="54">
        <v>0</v>
      </c>
      <c r="BB567" s="54">
        <v>0</v>
      </c>
      <c r="BC567" s="54">
        <v>0</v>
      </c>
      <c r="BD567" s="54">
        <v>0</v>
      </c>
      <c r="BE567" s="54">
        <v>0</v>
      </c>
      <c r="BF567" s="54">
        <v>0</v>
      </c>
      <c r="BG567" s="54">
        <v>0</v>
      </c>
      <c r="BH567" s="54">
        <v>0</v>
      </c>
      <c r="BI567" s="54">
        <v>0</v>
      </c>
      <c r="BJ567" s="54">
        <v>0</v>
      </c>
      <c r="BK567" s="54">
        <v>0</v>
      </c>
      <c r="BL567" s="54">
        <v>0</v>
      </c>
      <c r="BM567" s="54">
        <v>0</v>
      </c>
      <c r="BN567" s="54">
        <v>0</v>
      </c>
      <c r="BO567" s="54">
        <v>0</v>
      </c>
      <c r="BP567" s="54">
        <v>0</v>
      </c>
      <c r="BQ567" s="54">
        <v>0</v>
      </c>
      <c r="BR567" s="55"/>
      <c r="BS567" s="53">
        <v>0</v>
      </c>
      <c r="BT567" s="53">
        <v>0</v>
      </c>
      <c r="BU567" s="53">
        <v>0</v>
      </c>
      <c r="BV567" s="53">
        <v>0</v>
      </c>
      <c r="BW567" s="53">
        <v>0</v>
      </c>
      <c r="BX567" s="53">
        <v>0</v>
      </c>
      <c r="BY567" s="53">
        <v>0</v>
      </c>
      <c r="BZ567" s="53">
        <v>0</v>
      </c>
      <c r="CA567" s="53">
        <v>0</v>
      </c>
      <c r="CB567" s="53">
        <v>0</v>
      </c>
      <c r="CC567" s="55">
        <v>0</v>
      </c>
      <c r="CD567" s="55">
        <v>0</v>
      </c>
      <c r="CE567" s="55">
        <v>0</v>
      </c>
      <c r="CF567" s="55">
        <v>0</v>
      </c>
      <c r="CG567" s="55">
        <v>0</v>
      </c>
      <c r="CH567" s="55">
        <v>0</v>
      </c>
      <c r="CI567" s="55">
        <v>-1359</v>
      </c>
      <c r="CJ567" s="55">
        <v>0</v>
      </c>
      <c r="CK567" s="55">
        <v>-225</v>
      </c>
      <c r="CL567" s="55">
        <v>0</v>
      </c>
      <c r="CM567" s="55">
        <v>0</v>
      </c>
      <c r="CN567" s="55">
        <v>0</v>
      </c>
      <c r="CO567" s="55">
        <v>0</v>
      </c>
      <c r="CP567" s="55">
        <v>0</v>
      </c>
      <c r="CQ567" s="55">
        <v>0</v>
      </c>
      <c r="CR567" s="55">
        <v>0</v>
      </c>
      <c r="CS567" s="55">
        <v>-200</v>
      </c>
      <c r="CT567" s="55">
        <v>-200</v>
      </c>
      <c r="CU567" s="55">
        <v>0</v>
      </c>
      <c r="CV567" s="55">
        <v>0</v>
      </c>
      <c r="CW567" s="55">
        <v>0</v>
      </c>
      <c r="CX567" s="55">
        <v>0</v>
      </c>
      <c r="CY567" s="56">
        <v>0</v>
      </c>
      <c r="CZ567" s="55">
        <v>0</v>
      </c>
      <c r="DA567" s="55">
        <v>0</v>
      </c>
      <c r="DB567" s="55">
        <v>0</v>
      </c>
      <c r="DC567" s="55">
        <v>0</v>
      </c>
      <c r="DD567" s="55">
        <v>0</v>
      </c>
      <c r="DE567" s="55">
        <v>0</v>
      </c>
      <c r="DF567" s="55">
        <v>0</v>
      </c>
      <c r="DG567" s="55">
        <v>0</v>
      </c>
      <c r="DH567" s="55">
        <v>0</v>
      </c>
      <c r="DI567" s="55">
        <v>0</v>
      </c>
    </row>
    <row r="568" spans="1:113" s="24" customFormat="1" outlineLevel="1">
      <c r="A568" s="1" t="s">
        <v>1031</v>
      </c>
      <c r="B568" s="102" t="s">
        <v>633</v>
      </c>
      <c r="C568" s="82">
        <v>20992</v>
      </c>
      <c r="D568" s="82">
        <v>21545</v>
      </c>
      <c r="E568" s="82">
        <v>22244</v>
      </c>
      <c r="F568" s="82">
        <v>22675</v>
      </c>
      <c r="G568" s="82">
        <v>22264</v>
      </c>
      <c r="H568" s="82">
        <v>24465</v>
      </c>
      <c r="I568" s="82">
        <v>26536</v>
      </c>
      <c r="J568" s="82">
        <v>23937</v>
      </c>
      <c r="K568" s="82">
        <v>24164</v>
      </c>
      <c r="L568" s="82">
        <v>21480</v>
      </c>
      <c r="M568" s="82">
        <v>24228</v>
      </c>
      <c r="N568" s="82">
        <v>24844</v>
      </c>
      <c r="O568" s="82">
        <v>26332</v>
      </c>
      <c r="P568" s="82">
        <v>28029</v>
      </c>
      <c r="Q568" s="82">
        <v>28303</v>
      </c>
      <c r="R568" s="82">
        <v>32779</v>
      </c>
      <c r="S568" s="82">
        <v>34459</v>
      </c>
      <c r="T568" s="82">
        <v>38394</v>
      </c>
      <c r="U568" s="82">
        <v>38423</v>
      </c>
      <c r="V568" s="82">
        <v>39482</v>
      </c>
      <c r="W568" s="82">
        <v>40329</v>
      </c>
      <c r="X568" s="82">
        <v>42578</v>
      </c>
      <c r="Y568" s="82">
        <v>44235</v>
      </c>
      <c r="Z568" s="82">
        <v>45423</v>
      </c>
      <c r="AA568" s="82">
        <v>50789</v>
      </c>
      <c r="AB568" s="82">
        <v>52044</v>
      </c>
      <c r="AC568" s="82">
        <v>53944</v>
      </c>
      <c r="AD568" s="82">
        <v>57733</v>
      </c>
      <c r="AE568" s="82">
        <v>58898</v>
      </c>
      <c r="AF568" s="82">
        <v>65773</v>
      </c>
      <c r="AG568" s="82">
        <v>66986</v>
      </c>
      <c r="AH568" s="82">
        <v>67895</v>
      </c>
      <c r="AI568" s="82">
        <v>71516</v>
      </c>
      <c r="AJ568" s="82">
        <v>73804</v>
      </c>
      <c r="AK568" s="82">
        <v>77044</v>
      </c>
      <c r="AL568" s="82">
        <v>77424</v>
      </c>
      <c r="AM568" s="82">
        <v>78391</v>
      </c>
      <c r="AN568" s="82">
        <v>81729</v>
      </c>
      <c r="AO568" s="82">
        <v>82577</v>
      </c>
      <c r="AP568" s="82">
        <v>85376</v>
      </c>
      <c r="AQ568" s="82">
        <v>90247</v>
      </c>
      <c r="AR568" s="82">
        <v>85105</v>
      </c>
      <c r="AS568" s="82">
        <v>83263</v>
      </c>
      <c r="AT568" s="82">
        <v>81737</v>
      </c>
      <c r="AU568" s="82">
        <v>82607</v>
      </c>
      <c r="AV568" s="82">
        <v>83798</v>
      </c>
      <c r="AW568" s="83">
        <v>82464</v>
      </c>
      <c r="AX568" s="82">
        <v>82938.844754941383</v>
      </c>
      <c r="AY568" s="82">
        <v>83636.997732048214</v>
      </c>
      <c r="AZ568" s="82">
        <v>84155.313943751491</v>
      </c>
      <c r="BA568" s="82">
        <v>85146.030481097812</v>
      </c>
      <c r="BB568" s="82">
        <v>85676.117904465849</v>
      </c>
      <c r="BC568" s="82">
        <v>86873.422276383528</v>
      </c>
      <c r="BD568" s="82">
        <v>87652.024561391852</v>
      </c>
      <c r="BE568" s="82">
        <v>89010.303183924989</v>
      </c>
      <c r="BF568" s="82">
        <v>89930.221498672923</v>
      </c>
      <c r="BG568" s="82">
        <v>91360.263207786978</v>
      </c>
      <c r="BH568" s="82">
        <v>92404.2202763885</v>
      </c>
      <c r="BI568" s="82">
        <v>93856.449504665667</v>
      </c>
      <c r="BJ568" s="82">
        <v>94279.528076593328</v>
      </c>
      <c r="BK568" s="82">
        <v>94820.548855098139</v>
      </c>
      <c r="BL568" s="82">
        <v>95478.322517622582</v>
      </c>
      <c r="BM568" s="82">
        <v>97045.451719335644</v>
      </c>
      <c r="BN568" s="82">
        <v>98932.298745665845</v>
      </c>
      <c r="BO568" s="82">
        <v>100358.02581743505</v>
      </c>
      <c r="BP568" s="82">
        <v>101467.02644197144</v>
      </c>
      <c r="BQ568" s="82">
        <v>102949.70649677276</v>
      </c>
      <c r="BR568" s="82"/>
      <c r="BS568" s="82">
        <v>6960.6</v>
      </c>
      <c r="BT568" s="82">
        <v>7232.9</v>
      </c>
      <c r="BU568" s="82">
        <v>7201.3</v>
      </c>
      <c r="BV568" s="82">
        <v>7820</v>
      </c>
      <c r="BW568" s="82">
        <v>8381</v>
      </c>
      <c r="BX568" s="82">
        <v>8097</v>
      </c>
      <c r="BY568" s="82">
        <v>8195</v>
      </c>
      <c r="BZ568" s="82">
        <v>7600</v>
      </c>
      <c r="CA568" s="82">
        <v>18853</v>
      </c>
      <c r="CB568" s="82">
        <v>20997</v>
      </c>
      <c r="CC568" s="82">
        <v>22244</v>
      </c>
      <c r="CD568" s="82">
        <v>22264</v>
      </c>
      <c r="CE568" s="82">
        <v>26536</v>
      </c>
      <c r="CF568" s="82">
        <v>24164</v>
      </c>
      <c r="CG568" s="82">
        <v>24228</v>
      </c>
      <c r="CH568" s="82">
        <v>26332</v>
      </c>
      <c r="CI568" s="82">
        <v>28303</v>
      </c>
      <c r="CJ568" s="82">
        <v>34459</v>
      </c>
      <c r="CK568" s="82">
        <v>38423</v>
      </c>
      <c r="CL568" s="82">
        <v>40329</v>
      </c>
      <c r="CM568" s="82">
        <v>44235</v>
      </c>
      <c r="CN568" s="82">
        <v>50789</v>
      </c>
      <c r="CO568" s="82">
        <v>53944</v>
      </c>
      <c r="CP568" s="82">
        <v>58898</v>
      </c>
      <c r="CQ568" s="82">
        <v>66986</v>
      </c>
      <c r="CR568" s="82">
        <v>71516</v>
      </c>
      <c r="CS568" s="82">
        <v>77044</v>
      </c>
      <c r="CT568" s="82">
        <v>78391</v>
      </c>
      <c r="CU568" s="82">
        <v>82577</v>
      </c>
      <c r="CV568" s="82">
        <v>90247</v>
      </c>
      <c r="CW568" s="82">
        <v>83263</v>
      </c>
      <c r="CX568" s="82">
        <v>82607</v>
      </c>
      <c r="CY568" s="83">
        <v>82464</v>
      </c>
      <c r="CZ568" s="82">
        <v>83636.997732048199</v>
      </c>
      <c r="DA568" s="82">
        <v>85146.030481097798</v>
      </c>
      <c r="DB568" s="82">
        <v>86873.422276383528</v>
      </c>
      <c r="DC568" s="82">
        <v>89010.303183924989</v>
      </c>
      <c r="DD568" s="82">
        <v>91360.263207786978</v>
      </c>
      <c r="DE568" s="82">
        <v>93856.449504665667</v>
      </c>
      <c r="DF568" s="82">
        <v>94820.548855098139</v>
      </c>
      <c r="DG568" s="82">
        <v>97045.451719335659</v>
      </c>
      <c r="DH568" s="82">
        <v>100358.02581743506</v>
      </c>
      <c r="DI568" s="82">
        <v>102949.70649677279</v>
      </c>
    </row>
    <row r="569" spans="1:113" outlineLevel="1">
      <c r="C569" s="55"/>
      <c r="D569" s="55"/>
      <c r="E569" s="55"/>
      <c r="F569" s="55"/>
      <c r="G569" s="55"/>
      <c r="H569" s="55"/>
      <c r="I569" s="55"/>
      <c r="J569" s="55"/>
      <c r="K569" s="55"/>
      <c r="L569" s="55"/>
      <c r="M569" s="55"/>
      <c r="N569" s="55"/>
      <c r="O569" s="55"/>
      <c r="P569" s="55"/>
      <c r="Q569" s="55"/>
      <c r="R569" s="55"/>
      <c r="S569" s="55"/>
      <c r="T569" s="55"/>
      <c r="U569" s="55"/>
      <c r="V569" s="55"/>
      <c r="W569" s="55"/>
      <c r="X569" s="55"/>
      <c r="Y569" s="55"/>
      <c r="Z569" s="55"/>
      <c r="AA569" s="55"/>
      <c r="AB569" s="55"/>
      <c r="AC569" s="58"/>
      <c r="AD569" s="55"/>
      <c r="AE569" s="55"/>
      <c r="AF569" s="55"/>
      <c r="AG569" s="55"/>
      <c r="AH569" s="55"/>
      <c r="AI569" s="55"/>
      <c r="AJ569" s="55"/>
      <c r="AK569" s="55"/>
      <c r="AL569" s="55"/>
      <c r="AM569" s="55"/>
      <c r="AN569" s="55"/>
      <c r="AO569" s="55"/>
      <c r="AP569" s="55"/>
      <c r="AQ569" s="55"/>
      <c r="AR569" s="55"/>
      <c r="AS569" s="55"/>
      <c r="AT569" s="55"/>
      <c r="AU569" s="55"/>
      <c r="AV569" s="55"/>
      <c r="AW569" s="56"/>
      <c r="AX569" s="55"/>
      <c r="AY569" s="55"/>
      <c r="AZ569" s="55"/>
      <c r="BA569" s="55"/>
      <c r="BB569" s="55"/>
      <c r="BC569" s="55"/>
      <c r="BD569" s="55"/>
      <c r="BE569" s="55"/>
      <c r="BF569" s="55"/>
      <c r="BG569" s="55"/>
      <c r="BH569" s="55"/>
      <c r="BI569" s="55"/>
      <c r="BJ569" s="55"/>
      <c r="BK569" s="55"/>
      <c r="BL569" s="55"/>
      <c r="BM569" s="55"/>
      <c r="BN569" s="55"/>
      <c r="BO569" s="55"/>
      <c r="BP569" s="55"/>
      <c r="BQ569" s="55"/>
      <c r="BR569" s="55"/>
      <c r="BS569" s="55"/>
      <c r="BT569" s="55"/>
      <c r="BU569" s="55"/>
      <c r="BV569" s="55"/>
      <c r="BW569" s="55"/>
      <c r="BX569" s="55"/>
      <c r="BY569" s="55"/>
      <c r="BZ569" s="55"/>
      <c r="CA569" s="55"/>
      <c r="CB569" s="55"/>
      <c r="CC569" s="55"/>
      <c r="CD569" s="55"/>
      <c r="CE569" s="55"/>
      <c r="CF569" s="55"/>
      <c r="CG569" s="55"/>
      <c r="CH569" s="55"/>
      <c r="CI569" s="55"/>
      <c r="CJ569" s="55"/>
      <c r="CK569" s="55"/>
      <c r="CL569" s="55"/>
      <c r="CM569" s="55"/>
      <c r="CN569" s="55"/>
      <c r="CO569" s="55"/>
      <c r="CP569" s="55"/>
      <c r="CQ569" s="55"/>
      <c r="CR569" s="55"/>
      <c r="CS569" s="55"/>
      <c r="CT569" s="55"/>
      <c r="CU569" s="55"/>
      <c r="CV569" s="55"/>
      <c r="CW569" s="55"/>
      <c r="CX569" s="55"/>
      <c r="CY569" s="56"/>
      <c r="CZ569" s="55"/>
      <c r="DA569" s="55"/>
      <c r="DB569" s="55"/>
    </row>
    <row r="570" spans="1:113" s="24" customFormat="1" outlineLevel="1">
      <c r="A570" s="1"/>
      <c r="B570" s="102" t="s">
        <v>634</v>
      </c>
      <c r="C570" s="82"/>
      <c r="D570" s="82"/>
      <c r="E570" s="82"/>
      <c r="F570" s="82"/>
      <c r="G570" s="82"/>
      <c r="H570" s="82"/>
      <c r="I570" s="82"/>
      <c r="J570" s="82"/>
      <c r="K570" s="82"/>
      <c r="L570" s="82"/>
      <c r="M570" s="82"/>
      <c r="N570" s="82"/>
      <c r="O570" s="82"/>
      <c r="P570" s="82"/>
      <c r="Q570" s="82"/>
      <c r="R570" s="82"/>
      <c r="S570" s="82"/>
      <c r="T570" s="82"/>
      <c r="U570" s="82"/>
      <c r="V570" s="82"/>
      <c r="W570" s="82"/>
      <c r="X570" s="82"/>
      <c r="Y570" s="82"/>
      <c r="Z570" s="82"/>
      <c r="AA570" s="82"/>
      <c r="AB570" s="82"/>
      <c r="AC570" s="579"/>
      <c r="AD570" s="82"/>
      <c r="AE570" s="82"/>
      <c r="AF570" s="82"/>
      <c r="AG570" s="82"/>
      <c r="AH570" s="82"/>
      <c r="AI570" s="82"/>
      <c r="AJ570" s="170"/>
      <c r="AK570" s="170"/>
      <c r="AL570" s="170"/>
      <c r="AM570" s="170"/>
      <c r="AN570" s="773"/>
      <c r="AO570" s="773"/>
      <c r="AP570" s="55"/>
      <c r="AQ570" s="55"/>
      <c r="AR570" s="55"/>
      <c r="AS570" s="55"/>
      <c r="AT570" s="55"/>
      <c r="AU570" s="55"/>
      <c r="AV570" s="55"/>
      <c r="AW570" s="56"/>
      <c r="AX570" s="82"/>
      <c r="AY570" s="82"/>
      <c r="AZ570" s="82"/>
      <c r="BA570" s="82"/>
      <c r="BB570" s="82"/>
      <c r="BC570" s="82"/>
      <c r="BD570" s="82"/>
      <c r="BE570" s="82"/>
      <c r="BF570" s="82"/>
      <c r="BG570" s="82"/>
      <c r="BH570" s="82"/>
      <c r="BI570" s="82"/>
      <c r="BJ570" s="82"/>
      <c r="BK570" s="82"/>
      <c r="BL570" s="82"/>
      <c r="BM570" s="82"/>
      <c r="BN570" s="82"/>
      <c r="BO570" s="82"/>
      <c r="BP570" s="82"/>
      <c r="BQ570" s="82"/>
      <c r="BR570" s="82"/>
      <c r="BS570" s="82"/>
      <c r="BT570" s="82"/>
      <c r="BU570" s="82"/>
      <c r="BV570" s="82"/>
      <c r="BW570" s="82"/>
      <c r="BX570" s="82"/>
      <c r="BY570" s="82"/>
      <c r="BZ570" s="82"/>
      <c r="CA570" s="82"/>
      <c r="CB570" s="82"/>
      <c r="CC570" s="82"/>
      <c r="CD570" s="82"/>
      <c r="CE570" s="82"/>
      <c r="CF570" s="82"/>
      <c r="CG570" s="82"/>
      <c r="CH570" s="82"/>
      <c r="CI570" s="82"/>
      <c r="CJ570" s="82"/>
      <c r="CK570" s="82"/>
      <c r="CL570" s="82"/>
      <c r="CM570" s="82"/>
      <c r="CN570" s="82"/>
      <c r="CO570" s="82"/>
      <c r="CP570" s="82"/>
      <c r="CQ570" s="82"/>
      <c r="CR570" s="82"/>
      <c r="CS570" s="82"/>
      <c r="CT570" s="82"/>
      <c r="CU570" s="82"/>
      <c r="CV570" s="82"/>
      <c r="CW570" s="82"/>
      <c r="CX570" s="82"/>
      <c r="CY570" s="83"/>
      <c r="CZ570" s="82"/>
      <c r="DA570" s="82"/>
      <c r="DB570" s="82"/>
    </row>
    <row r="571" spans="1:113" outlineLevel="1">
      <c r="A571" s="1" t="s">
        <v>1032</v>
      </c>
      <c r="B571" s="19" t="s">
        <v>367</v>
      </c>
      <c r="C571" s="53">
        <v>-9832</v>
      </c>
      <c r="D571" s="53">
        <v>-9840</v>
      </c>
      <c r="E571" s="53">
        <v>-9979</v>
      </c>
      <c r="F571" s="53">
        <v>-9352</v>
      </c>
      <c r="G571" s="53">
        <v>-9367</v>
      </c>
      <c r="H571" s="53">
        <v>-9511</v>
      </c>
      <c r="I571" s="53">
        <v>-9379</v>
      </c>
      <c r="J571" s="53">
        <v>-9519</v>
      </c>
      <c r="K571" s="53">
        <v>-9791</v>
      </c>
      <c r="L571" s="53">
        <v>-9789</v>
      </c>
      <c r="M571" s="53">
        <v>-9813</v>
      </c>
      <c r="N571" s="53">
        <v>-7579</v>
      </c>
      <c r="O571" s="53">
        <v>-7632</v>
      </c>
      <c r="P571" s="53">
        <v>-8030</v>
      </c>
      <c r="Q571" s="53">
        <v>-8010</v>
      </c>
      <c r="R571" s="53">
        <v>-7915</v>
      </c>
      <c r="S571" s="53">
        <v>-8572</v>
      </c>
      <c r="T571" s="53">
        <v>-8523</v>
      </c>
      <c r="U571" s="53">
        <v>-8470</v>
      </c>
      <c r="V571" s="53">
        <v>-8382</v>
      </c>
      <c r="W571" s="53">
        <v>-8306</v>
      </c>
      <c r="X571" s="53">
        <v>-8546</v>
      </c>
      <c r="Y571" s="53">
        <v>-8581</v>
      </c>
      <c r="Z571" s="53">
        <v>-8535</v>
      </c>
      <c r="AA571" s="164">
        <v>-8405</v>
      </c>
      <c r="AB571" s="164">
        <v>-8338</v>
      </c>
      <c r="AC571" s="164">
        <v>-7861</v>
      </c>
      <c r="AD571" s="164">
        <v>-7801</v>
      </c>
      <c r="AE571" s="164">
        <v>-7763</v>
      </c>
      <c r="AF571" s="164">
        <v>-7708</v>
      </c>
      <c r="AG571" s="164">
        <v>-7688</v>
      </c>
      <c r="AH571" s="164">
        <v>-7831</v>
      </c>
      <c r="AI571" s="164">
        <v>-7830</v>
      </c>
      <c r="AJ571" s="164">
        <v>-8469</v>
      </c>
      <c r="AK571" s="164">
        <v>-8326</v>
      </c>
      <c r="AL571" s="164">
        <v>-7830</v>
      </c>
      <c r="AM571" s="164">
        <v>-7981</v>
      </c>
      <c r="AN571" s="164">
        <v>-6254</v>
      </c>
      <c r="AO571" s="164">
        <v>-6233</v>
      </c>
      <c r="AP571" s="164">
        <v>-6242</v>
      </c>
      <c r="AQ571" s="164">
        <v>-6160</v>
      </c>
      <c r="AR571" s="164">
        <v>-5467</v>
      </c>
      <c r="AS571" s="164">
        <v>-5469</v>
      </c>
      <c r="AT571" s="164">
        <v>-5438</v>
      </c>
      <c r="AU571" s="164">
        <v>-5425</v>
      </c>
      <c r="AV571" s="164">
        <v>-5419</v>
      </c>
      <c r="AW571" s="171">
        <v>-5415</v>
      </c>
      <c r="AX571" s="55">
        <v>-5415</v>
      </c>
      <c r="AY571" s="55">
        <v>-5415</v>
      </c>
      <c r="AZ571" s="55">
        <v>-5415</v>
      </c>
      <c r="BA571" s="55">
        <v>-5415</v>
      </c>
      <c r="BB571" s="55">
        <v>-5415</v>
      </c>
      <c r="BC571" s="55">
        <v>-5415</v>
      </c>
      <c r="BD571" s="55">
        <v>-5415</v>
      </c>
      <c r="BE571" s="55">
        <v>-5415</v>
      </c>
      <c r="BF571" s="55">
        <v>-5415</v>
      </c>
      <c r="BG571" s="55">
        <v>-5415</v>
      </c>
      <c r="BH571" s="55">
        <v>-5415</v>
      </c>
      <c r="BI571" s="55">
        <v>-5415</v>
      </c>
      <c r="BJ571" s="55">
        <v>-5415</v>
      </c>
      <c r="BK571" s="55">
        <v>-5415</v>
      </c>
      <c r="BL571" s="55">
        <v>-5415</v>
      </c>
      <c r="BM571" s="55">
        <v>-5415</v>
      </c>
      <c r="BN571" s="55">
        <v>-5415</v>
      </c>
      <c r="BO571" s="55">
        <v>-5415</v>
      </c>
      <c r="BP571" s="55">
        <v>-5415</v>
      </c>
      <c r="BQ571" s="55">
        <v>-5415</v>
      </c>
      <c r="BR571" s="55"/>
      <c r="BS571" s="53">
        <v>-731.6</v>
      </c>
      <c r="BT571" s="53">
        <v>-686.4</v>
      </c>
      <c r="BU571" s="53">
        <v>-647.20000000000005</v>
      </c>
      <c r="BV571" s="53">
        <v>-608</v>
      </c>
      <c r="BW571" s="53">
        <v>-574</v>
      </c>
      <c r="BX571" s="53">
        <v>-574</v>
      </c>
      <c r="BY571" s="53">
        <v>-531</v>
      </c>
      <c r="BZ571" s="53">
        <v>-491</v>
      </c>
      <c r="CA571" s="53">
        <v>-8561</v>
      </c>
      <c r="CB571" s="53">
        <v>-9832</v>
      </c>
      <c r="CC571" s="55">
        <v>-9979</v>
      </c>
      <c r="CD571" s="55">
        <v>-9367</v>
      </c>
      <c r="CE571" s="55">
        <v>-9379</v>
      </c>
      <c r="CF571" s="55">
        <v>-9791</v>
      </c>
      <c r="CG571" s="55">
        <v>-9813</v>
      </c>
      <c r="CH571" s="55">
        <v>-7632</v>
      </c>
      <c r="CI571" s="55">
        <v>-8010</v>
      </c>
      <c r="CJ571" s="55">
        <v>-8572</v>
      </c>
      <c r="CK571" s="55">
        <v>-8470</v>
      </c>
      <c r="CL571" s="55">
        <v>-8306</v>
      </c>
      <c r="CM571" s="55">
        <v>-8581</v>
      </c>
      <c r="CN571" s="55">
        <v>-8405</v>
      </c>
      <c r="CO571" s="55">
        <v>-7861</v>
      </c>
      <c r="CP571" s="55">
        <v>-7763</v>
      </c>
      <c r="CQ571" s="55">
        <v>-7688</v>
      </c>
      <c r="CR571" s="55">
        <v>-7830</v>
      </c>
      <c r="CS571" s="55">
        <v>-8326</v>
      </c>
      <c r="CT571" s="55">
        <v>-7981</v>
      </c>
      <c r="CU571" s="55">
        <v>-6233</v>
      </c>
      <c r="CV571" s="55">
        <v>-6160</v>
      </c>
      <c r="CW571" s="55">
        <v>-5469</v>
      </c>
      <c r="CX571" s="55">
        <v>-5425</v>
      </c>
      <c r="CY571" s="56">
        <v>-5415</v>
      </c>
      <c r="CZ571" s="55">
        <v>-5415</v>
      </c>
      <c r="DA571" s="55">
        <v>-5415</v>
      </c>
      <c r="DB571" s="55">
        <v>-5415</v>
      </c>
      <c r="DC571" s="55">
        <v>-5415</v>
      </c>
      <c r="DD571" s="55">
        <v>-5415</v>
      </c>
      <c r="DE571" s="55">
        <v>-5415</v>
      </c>
      <c r="DF571" s="55">
        <v>-5415</v>
      </c>
      <c r="DG571" s="55">
        <v>-5415</v>
      </c>
      <c r="DH571" s="55">
        <v>-5415</v>
      </c>
      <c r="DI571" s="55">
        <v>-5415</v>
      </c>
    </row>
    <row r="572" spans="1:113" outlineLevel="1">
      <c r="A572" s="1" t="s">
        <v>1033</v>
      </c>
      <c r="B572" s="19" t="s">
        <v>368</v>
      </c>
      <c r="C572" s="53">
        <v>0</v>
      </c>
      <c r="D572" s="53">
        <v>0</v>
      </c>
      <c r="E572" s="53">
        <v>0</v>
      </c>
      <c r="F572" s="53">
        <v>0</v>
      </c>
      <c r="G572" s="53">
        <v>0</v>
      </c>
      <c r="H572" s="53">
        <v>0</v>
      </c>
      <c r="I572" s="53">
        <v>0</v>
      </c>
      <c r="J572" s="53">
        <v>0</v>
      </c>
      <c r="K572" s="53">
        <v>0</v>
      </c>
      <c r="L572" s="53">
        <v>0</v>
      </c>
      <c r="M572" s="53">
        <v>0</v>
      </c>
      <c r="N572" s="53">
        <v>-267</v>
      </c>
      <c r="O572" s="53">
        <v>-297</v>
      </c>
      <c r="P572" s="53">
        <v>-316</v>
      </c>
      <c r="Q572" s="53">
        <v>-353</v>
      </c>
      <c r="R572" s="53">
        <v>-571</v>
      </c>
      <c r="S572" s="53">
        <v>-673</v>
      </c>
      <c r="T572" s="53">
        <v>-799</v>
      </c>
      <c r="U572" s="53">
        <v>-950</v>
      </c>
      <c r="V572" s="53">
        <v>-1100</v>
      </c>
      <c r="W572" s="53">
        <v>-1297</v>
      </c>
      <c r="X572" s="53">
        <v>-1480</v>
      </c>
      <c r="Y572" s="53">
        <v>-1700</v>
      </c>
      <c r="Z572" s="53">
        <v>-1831</v>
      </c>
      <c r="AA572" s="164">
        <v>-1923</v>
      </c>
      <c r="AB572" s="164">
        <v>-1950</v>
      </c>
      <c r="AC572" s="164">
        <v>-1854</v>
      </c>
      <c r="AD572" s="164">
        <v>-1979</v>
      </c>
      <c r="AE572" s="164">
        <v>-2089</v>
      </c>
      <c r="AF572" s="164">
        <v>-2183</v>
      </c>
      <c r="AG572" s="164">
        <v>-2228</v>
      </c>
      <c r="AH572" s="164">
        <v>-1897</v>
      </c>
      <c r="AI572" s="164">
        <v>-1934</v>
      </c>
      <c r="AJ572" s="164">
        <v>-1896</v>
      </c>
      <c r="AK572" s="164">
        <v>-1819</v>
      </c>
      <c r="AL572" s="164">
        <v>-1782</v>
      </c>
      <c r="AM572" s="164">
        <v>-1712</v>
      </c>
      <c r="AN572" s="164">
        <v>-1418</v>
      </c>
      <c r="AO572" s="164">
        <v>-1349</v>
      </c>
      <c r="AP572" s="164">
        <v>-1334</v>
      </c>
      <c r="AQ572" s="164">
        <v>-1427</v>
      </c>
      <c r="AR572" s="164">
        <v>-1722</v>
      </c>
      <c r="AS572" s="164">
        <v>-1409</v>
      </c>
      <c r="AT572" s="164">
        <v>-1643</v>
      </c>
      <c r="AU572" s="164">
        <v>-1912</v>
      </c>
      <c r="AV572" s="164">
        <v>-2035</v>
      </c>
      <c r="AW572" s="171">
        <v>-2129</v>
      </c>
      <c r="AX572" s="54">
        <v>-2216.6504749304895</v>
      </c>
      <c r="AY572" s="54">
        <v>-2301.9128722615137</v>
      </c>
      <c r="AZ572" s="54">
        <v>-2366.3201407350016</v>
      </c>
      <c r="BA572" s="54">
        <v>-2438.0824623382678</v>
      </c>
      <c r="BB572" s="54">
        <v>-2490.9176310207272</v>
      </c>
      <c r="BC572" s="54">
        <v>-2553.4884059280425</v>
      </c>
      <c r="BD572" s="54">
        <v>-2599.4369828137624</v>
      </c>
      <c r="BE572" s="54">
        <v>-2651.6967882365361</v>
      </c>
      <c r="BF572" s="54">
        <v>-2688.9342572409601</v>
      </c>
      <c r="BG572" s="54">
        <v>-2739.4614458816695</v>
      </c>
      <c r="BH572" s="54">
        <v>-2775.4524122603198</v>
      </c>
      <c r="BI572" s="54">
        <v>-2827.8743070403639</v>
      </c>
      <c r="BJ572" s="54">
        <v>-2865.5433179301572</v>
      </c>
      <c r="BK572" s="54">
        <v>-2920.1211243971647</v>
      </c>
      <c r="BL572" s="54">
        <v>-2961.7861107012095</v>
      </c>
      <c r="BM572" s="54">
        <v>-3016.6972281184476</v>
      </c>
      <c r="BN572" s="54">
        <v>-3060.9317111035357</v>
      </c>
      <c r="BO572" s="54">
        <v>-3119.3333002868435</v>
      </c>
      <c r="BP572" s="54">
        <v>-3159.2593931996084</v>
      </c>
      <c r="BQ572" s="54">
        <v>-3215.8630204115148</v>
      </c>
      <c r="BR572" s="55"/>
      <c r="BS572" s="53">
        <v>0</v>
      </c>
      <c r="BT572" s="53">
        <v>0</v>
      </c>
      <c r="BU572" s="53">
        <v>0</v>
      </c>
      <c r="BV572" s="53">
        <v>0</v>
      </c>
      <c r="BW572" s="53">
        <v>0</v>
      </c>
      <c r="BX572" s="53">
        <v>0</v>
      </c>
      <c r="BY572" s="53">
        <v>0</v>
      </c>
      <c r="BZ572" s="53">
        <v>0</v>
      </c>
      <c r="CA572" s="53">
        <v>0</v>
      </c>
      <c r="CB572" s="53">
        <v>0</v>
      </c>
      <c r="CC572" s="55">
        <v>0</v>
      </c>
      <c r="CD572" s="55">
        <v>0</v>
      </c>
      <c r="CE572" s="55">
        <v>0</v>
      </c>
      <c r="CF572" s="55">
        <v>0</v>
      </c>
      <c r="CG572" s="55">
        <v>0</v>
      </c>
      <c r="CH572" s="55">
        <v>-297</v>
      </c>
      <c r="CI572" s="55">
        <v>-353</v>
      </c>
      <c r="CJ572" s="55">
        <v>-673</v>
      </c>
      <c r="CK572" s="55">
        <v>-950</v>
      </c>
      <c r="CL572" s="55">
        <v>-1297</v>
      </c>
      <c r="CM572" s="55">
        <v>-1700</v>
      </c>
      <c r="CN572" s="55">
        <v>-1923</v>
      </c>
      <c r="CO572" s="55">
        <v>-1854</v>
      </c>
      <c r="CP572" s="55">
        <v>-2089</v>
      </c>
      <c r="CQ572" s="55">
        <v>-2228</v>
      </c>
      <c r="CR572" s="55">
        <v>-1934</v>
      </c>
      <c r="CS572" s="55">
        <v>-1819</v>
      </c>
      <c r="CT572" s="55">
        <v>-1712</v>
      </c>
      <c r="CU572" s="55">
        <v>-1349</v>
      </c>
      <c r="CV572" s="55">
        <v>-1427</v>
      </c>
      <c r="CW572" s="55">
        <v>-1409</v>
      </c>
      <c r="CX572" s="55">
        <v>-1912</v>
      </c>
      <c r="CY572" s="56">
        <v>-2129</v>
      </c>
      <c r="CZ572" s="55">
        <v>-2301.9128722615137</v>
      </c>
      <c r="DA572" s="55">
        <v>-2438.0824623382678</v>
      </c>
      <c r="DB572" s="55">
        <v>-2553.4884059280425</v>
      </c>
      <c r="DC572" s="55">
        <v>-2651.6967882365361</v>
      </c>
      <c r="DD572" s="55">
        <v>-2739.4614458816695</v>
      </c>
      <c r="DE572" s="55">
        <v>-2827.8743070403639</v>
      </c>
      <c r="DF572" s="55">
        <v>-2920.1211243971647</v>
      </c>
      <c r="DG572" s="55">
        <v>-3016.6972281184476</v>
      </c>
      <c r="DH572" s="55">
        <v>-3119.3333002868435</v>
      </c>
      <c r="DI572" s="55">
        <v>-3215.8630204115148</v>
      </c>
    </row>
    <row r="573" spans="1:113" outlineLevel="1">
      <c r="A573" s="1" t="s">
        <v>1034</v>
      </c>
      <c r="B573" s="19" t="s">
        <v>301</v>
      </c>
      <c r="C573" s="53">
        <v>0</v>
      </c>
      <c r="D573" s="53">
        <v>0</v>
      </c>
      <c r="E573" s="53">
        <v>0</v>
      </c>
      <c r="F573" s="53">
        <v>0</v>
      </c>
      <c r="G573" s="53">
        <v>0</v>
      </c>
      <c r="H573" s="53">
        <v>0</v>
      </c>
      <c r="I573" s="53">
        <v>0</v>
      </c>
      <c r="J573" s="53">
        <v>-98</v>
      </c>
      <c r="K573" s="53">
        <v>-107</v>
      </c>
      <c r="L573" s="53">
        <v>-107</v>
      </c>
      <c r="M573" s="53">
        <v>-122</v>
      </c>
      <c r="N573" s="53">
        <v>-100</v>
      </c>
      <c r="O573" s="53">
        <v>-136</v>
      </c>
      <c r="P573" s="53">
        <v>-100</v>
      </c>
      <c r="Q573" s="53">
        <v>-110</v>
      </c>
      <c r="R573" s="53">
        <v>-137</v>
      </c>
      <c r="S573" s="53">
        <v>-257</v>
      </c>
      <c r="T573" s="53">
        <v>-283</v>
      </c>
      <c r="U573" s="53">
        <v>-288</v>
      </c>
      <c r="V573" s="53">
        <v>-242</v>
      </c>
      <c r="W573" s="53">
        <v>-252</v>
      </c>
      <c r="X573" s="53">
        <v>-240</v>
      </c>
      <c r="Y573" s="53">
        <v>-263</v>
      </c>
      <c r="Z573" s="53">
        <v>-224</v>
      </c>
      <c r="AA573" s="164">
        <v>-272</v>
      </c>
      <c r="AB573" s="164">
        <v>-275</v>
      </c>
      <c r="AC573" s="164">
        <v>-285</v>
      </c>
      <c r="AD573" s="164">
        <v>-341</v>
      </c>
      <c r="AE573" s="164">
        <v>-337</v>
      </c>
      <c r="AF573" s="164">
        <v>-498</v>
      </c>
      <c r="AG573" s="164">
        <v>-535</v>
      </c>
      <c r="AH573" s="164">
        <v>-696</v>
      </c>
      <c r="AI573" s="164">
        <v>-707</v>
      </c>
      <c r="AJ573" s="164">
        <v>-652</v>
      </c>
      <c r="AK573" s="164">
        <v>-714</v>
      </c>
      <c r="AL573" s="164">
        <v>-741</v>
      </c>
      <c r="AM573" s="164">
        <v>-720</v>
      </c>
      <c r="AN573" s="164">
        <v>-768</v>
      </c>
      <c r="AO573" s="164">
        <v>-765</v>
      </c>
      <c r="AP573" s="164">
        <v>-833</v>
      </c>
      <c r="AQ573" s="164">
        <v>-938</v>
      </c>
      <c r="AR573" s="164">
        <v>-984</v>
      </c>
      <c r="AS573" s="164">
        <v>-1056</v>
      </c>
      <c r="AT573" s="164">
        <v>-1155</v>
      </c>
      <c r="AU573" s="164">
        <v>-1230</v>
      </c>
      <c r="AV573" s="164">
        <v>-1239</v>
      </c>
      <c r="AW573" s="171">
        <v>-1231</v>
      </c>
      <c r="AX573" s="54">
        <v>-1231</v>
      </c>
      <c r="AY573" s="54">
        <v>-1231</v>
      </c>
      <c r="AZ573" s="54">
        <v>-1231</v>
      </c>
      <c r="BA573" s="54">
        <v>-1231</v>
      </c>
      <c r="BB573" s="54">
        <v>-1231</v>
      </c>
      <c r="BC573" s="54">
        <v>-1231</v>
      </c>
      <c r="BD573" s="54">
        <v>-1231</v>
      </c>
      <c r="BE573" s="54">
        <v>-1231</v>
      </c>
      <c r="BF573" s="54">
        <v>-1231</v>
      </c>
      <c r="BG573" s="54">
        <v>-1231</v>
      </c>
      <c r="BH573" s="54">
        <v>-1231</v>
      </c>
      <c r="BI573" s="54">
        <v>-1231</v>
      </c>
      <c r="BJ573" s="54">
        <v>-1231</v>
      </c>
      <c r="BK573" s="54">
        <v>-1231</v>
      </c>
      <c r="BL573" s="54">
        <v>-1231</v>
      </c>
      <c r="BM573" s="54">
        <v>-1231</v>
      </c>
      <c r="BN573" s="54">
        <v>-1231</v>
      </c>
      <c r="BO573" s="54">
        <v>-1231</v>
      </c>
      <c r="BP573" s="54">
        <v>-1231</v>
      </c>
      <c r="BQ573" s="54">
        <v>-1231</v>
      </c>
      <c r="BR573" s="55"/>
      <c r="BS573" s="53">
        <v>0</v>
      </c>
      <c r="BT573" s="53">
        <v>0</v>
      </c>
      <c r="BU573" s="53">
        <v>0</v>
      </c>
      <c r="BV573" s="53">
        <v>0</v>
      </c>
      <c r="BW573" s="53">
        <v>0</v>
      </c>
      <c r="BX573" s="53">
        <v>0</v>
      </c>
      <c r="BY573" s="53">
        <v>0</v>
      </c>
      <c r="BZ573" s="53">
        <v>0</v>
      </c>
      <c r="CA573" s="53">
        <v>0</v>
      </c>
      <c r="CB573" s="53">
        <v>0</v>
      </c>
      <c r="CC573" s="55">
        <v>0</v>
      </c>
      <c r="CD573" s="55">
        <v>0</v>
      </c>
      <c r="CE573" s="55">
        <v>0</v>
      </c>
      <c r="CF573" s="55">
        <v>-107</v>
      </c>
      <c r="CG573" s="55">
        <v>-122</v>
      </c>
      <c r="CH573" s="55">
        <v>-136</v>
      </c>
      <c r="CI573" s="55">
        <v>-110</v>
      </c>
      <c r="CJ573" s="55">
        <v>-257</v>
      </c>
      <c r="CK573" s="55">
        <v>-288</v>
      </c>
      <c r="CL573" s="55">
        <v>-252</v>
      </c>
      <c r="CM573" s="55">
        <v>-263</v>
      </c>
      <c r="CN573" s="55">
        <v>-272</v>
      </c>
      <c r="CO573" s="55">
        <v>-285</v>
      </c>
      <c r="CP573" s="55">
        <v>-337</v>
      </c>
      <c r="CQ573" s="55">
        <v>-535</v>
      </c>
      <c r="CR573" s="55">
        <v>-707</v>
      </c>
      <c r="CS573" s="55">
        <v>-714</v>
      </c>
      <c r="CT573" s="55">
        <v>-720</v>
      </c>
      <c r="CU573" s="55">
        <v>-765</v>
      </c>
      <c r="CV573" s="55">
        <v>-938</v>
      </c>
      <c r="CW573" s="55">
        <v>-1056</v>
      </c>
      <c r="CX573" s="55">
        <v>-1230</v>
      </c>
      <c r="CY573" s="56">
        <v>-1231</v>
      </c>
      <c r="CZ573" s="55">
        <v>-1231</v>
      </c>
      <c r="DA573" s="55">
        <v>-1231</v>
      </c>
      <c r="DB573" s="55">
        <v>-1231</v>
      </c>
      <c r="DC573" s="55">
        <v>-1231</v>
      </c>
      <c r="DD573" s="55">
        <v>-1231</v>
      </c>
      <c r="DE573" s="55">
        <v>-1231</v>
      </c>
      <c r="DF573" s="55">
        <v>-1231</v>
      </c>
      <c r="DG573" s="55">
        <v>-1231</v>
      </c>
      <c r="DH573" s="55">
        <v>-1231</v>
      </c>
      <c r="DI573" s="55">
        <v>-1231</v>
      </c>
    </row>
    <row r="574" spans="1:113" outlineLevel="1">
      <c r="A574" s="1" t="s">
        <v>1035</v>
      </c>
      <c r="B574" s="19" t="s">
        <v>302</v>
      </c>
      <c r="C574" s="53">
        <v>0</v>
      </c>
      <c r="D574" s="53">
        <v>0</v>
      </c>
      <c r="E574" s="53">
        <v>0</v>
      </c>
      <c r="F574" s="53">
        <v>0</v>
      </c>
      <c r="G574" s="53">
        <v>0</v>
      </c>
      <c r="H574" s="53">
        <v>0</v>
      </c>
      <c r="I574" s="53">
        <v>0</v>
      </c>
      <c r="J574" s="53">
        <v>0</v>
      </c>
      <c r="K574" s="53">
        <v>0</v>
      </c>
      <c r="L574" s="53">
        <v>0</v>
      </c>
      <c r="M574" s="53">
        <v>0</v>
      </c>
      <c r="N574" s="53">
        <v>-39</v>
      </c>
      <c r="O574" s="53">
        <v>-37</v>
      </c>
      <c r="P574" s="53">
        <v>-27</v>
      </c>
      <c r="Q574" s="53">
        <v>-38</v>
      </c>
      <c r="R574" s="53">
        <v>-157</v>
      </c>
      <c r="S574" s="53">
        <v>-257</v>
      </c>
      <c r="T574" s="53">
        <v>-34</v>
      </c>
      <c r="U574" s="53">
        <v>-96</v>
      </c>
      <c r="V574" s="53">
        <v>-47</v>
      </c>
      <c r="W574" s="53">
        <v>-287</v>
      </c>
      <c r="X574" s="53">
        <v>-383</v>
      </c>
      <c r="Y574" s="53">
        <v>-548</v>
      </c>
      <c r="Z574" s="53">
        <v>-393</v>
      </c>
      <c r="AA574" s="164">
        <v>-1400</v>
      </c>
      <c r="AB574" s="164">
        <v>-1248</v>
      </c>
      <c r="AC574" s="164">
        <v>-1164</v>
      </c>
      <c r="AD574" s="164">
        <v>-1024</v>
      </c>
      <c r="AE574" s="164">
        <v>-1164</v>
      </c>
      <c r="AF574" s="164">
        <v>-1078</v>
      </c>
      <c r="AG574" s="164">
        <v>-1443</v>
      </c>
      <c r="AH574" s="164">
        <v>-1468</v>
      </c>
      <c r="AI574" s="164">
        <v>-1627</v>
      </c>
      <c r="AJ574" s="164">
        <v>-1604</v>
      </c>
      <c r="AK574" s="164">
        <v>-1911</v>
      </c>
      <c r="AL574" s="164">
        <v>-2286</v>
      </c>
      <c r="AM574" s="164">
        <v>-2581</v>
      </c>
      <c r="AN574" s="164">
        <v>-2463</v>
      </c>
      <c r="AO574" s="164">
        <v>-3176</v>
      </c>
      <c r="AP574" s="164">
        <v>-3041</v>
      </c>
      <c r="AQ574" s="164">
        <v>-2483</v>
      </c>
      <c r="AR574" s="164">
        <v>-2353</v>
      </c>
      <c r="AS574" s="164">
        <v>-3016</v>
      </c>
      <c r="AT574" s="164">
        <v>-2995</v>
      </c>
      <c r="AU574" s="164">
        <v>-3331</v>
      </c>
      <c r="AV574" s="164">
        <v>-3155</v>
      </c>
      <c r="AW574" s="171">
        <v>-3320</v>
      </c>
      <c r="AX574" s="54">
        <v>-3320</v>
      </c>
      <c r="AY574" s="54">
        <v>-3320</v>
      </c>
      <c r="AZ574" s="54">
        <v>-3320</v>
      </c>
      <c r="BA574" s="54">
        <v>-3320</v>
      </c>
      <c r="BB574" s="54">
        <v>-3320</v>
      </c>
      <c r="BC574" s="54">
        <v>-3320</v>
      </c>
      <c r="BD574" s="54">
        <v>-3320</v>
      </c>
      <c r="BE574" s="54">
        <v>-3320</v>
      </c>
      <c r="BF574" s="54">
        <v>-3320</v>
      </c>
      <c r="BG574" s="54">
        <v>-3320</v>
      </c>
      <c r="BH574" s="54">
        <v>-3320</v>
      </c>
      <c r="BI574" s="54">
        <v>-3320</v>
      </c>
      <c r="BJ574" s="54">
        <v>-3320</v>
      </c>
      <c r="BK574" s="54">
        <v>-3320</v>
      </c>
      <c r="BL574" s="54">
        <v>-3320</v>
      </c>
      <c r="BM574" s="54">
        <v>-3320</v>
      </c>
      <c r="BN574" s="54">
        <v>-3320</v>
      </c>
      <c r="BO574" s="54">
        <v>-3320</v>
      </c>
      <c r="BP574" s="54">
        <v>-3320</v>
      </c>
      <c r="BQ574" s="54">
        <v>-3320</v>
      </c>
      <c r="BR574" s="55"/>
      <c r="BS574" s="53">
        <v>0</v>
      </c>
      <c r="BT574" s="53">
        <v>0</v>
      </c>
      <c r="BU574" s="53">
        <v>0</v>
      </c>
      <c r="BV574" s="53">
        <v>0</v>
      </c>
      <c r="BW574" s="53">
        <v>0</v>
      </c>
      <c r="BX574" s="53">
        <v>0</v>
      </c>
      <c r="BY574" s="53">
        <v>0</v>
      </c>
      <c r="BZ574" s="53">
        <v>0</v>
      </c>
      <c r="CA574" s="53">
        <v>0</v>
      </c>
      <c r="CB574" s="53">
        <v>0</v>
      </c>
      <c r="CC574" s="55">
        <v>0</v>
      </c>
      <c r="CD574" s="55">
        <v>0</v>
      </c>
      <c r="CE574" s="55">
        <v>0</v>
      </c>
      <c r="CF574" s="55">
        <v>0</v>
      </c>
      <c r="CG574" s="55">
        <v>0</v>
      </c>
      <c r="CH574" s="55">
        <v>-37</v>
      </c>
      <c r="CI574" s="55">
        <v>-38</v>
      </c>
      <c r="CJ574" s="55">
        <v>-257</v>
      </c>
      <c r="CK574" s="55">
        <v>-96</v>
      </c>
      <c r="CL574" s="55">
        <v>-287</v>
      </c>
      <c r="CM574" s="55">
        <v>-548</v>
      </c>
      <c r="CN574" s="55">
        <v>-1400</v>
      </c>
      <c r="CO574" s="55">
        <v>-1164</v>
      </c>
      <c r="CP574" s="55">
        <v>-1164</v>
      </c>
      <c r="CQ574" s="55">
        <v>-1443</v>
      </c>
      <c r="CR574" s="55">
        <v>-1627</v>
      </c>
      <c r="CS574" s="55">
        <v>-1911</v>
      </c>
      <c r="CT574" s="55">
        <v>-2581</v>
      </c>
      <c r="CU574" s="55">
        <v>-3176</v>
      </c>
      <c r="CV574" s="55">
        <v>-2483</v>
      </c>
      <c r="CW574" s="55">
        <v>-3016</v>
      </c>
      <c r="CX574" s="55">
        <v>-3331</v>
      </c>
      <c r="CY574" s="56">
        <v>-3320</v>
      </c>
      <c r="CZ574" s="55">
        <v>-3320</v>
      </c>
      <c r="DA574" s="55">
        <v>-3320</v>
      </c>
      <c r="DB574" s="55">
        <v>-3320</v>
      </c>
      <c r="DC574" s="55">
        <v>-3320</v>
      </c>
      <c r="DD574" s="55">
        <v>-3320</v>
      </c>
      <c r="DE574" s="55">
        <v>-3320</v>
      </c>
      <c r="DF574" s="55">
        <v>-3320</v>
      </c>
      <c r="DG574" s="55">
        <v>-3320</v>
      </c>
      <c r="DH574" s="55">
        <v>-3320</v>
      </c>
      <c r="DI574" s="55">
        <v>-3320</v>
      </c>
    </row>
    <row r="575" spans="1:113" outlineLevel="1">
      <c r="A575" s="1" t="s">
        <v>1036</v>
      </c>
      <c r="B575" s="19" t="s">
        <v>2540</v>
      </c>
      <c r="C575" s="53">
        <v>0</v>
      </c>
      <c r="D575" s="53">
        <v>0</v>
      </c>
      <c r="E575" s="53">
        <v>0</v>
      </c>
      <c r="F575" s="53">
        <v>0</v>
      </c>
      <c r="G575" s="53">
        <v>0</v>
      </c>
      <c r="H575" s="53">
        <v>0</v>
      </c>
      <c r="I575" s="53">
        <v>0</v>
      </c>
      <c r="J575" s="53">
        <v>0</v>
      </c>
      <c r="K575" s="53">
        <v>0</v>
      </c>
      <c r="L575" s="53">
        <v>0</v>
      </c>
      <c r="M575" s="53">
        <v>0</v>
      </c>
      <c r="N575" s="53">
        <v>0</v>
      </c>
      <c r="O575" s="53">
        <v>0</v>
      </c>
      <c r="P575" s="53">
        <v>0</v>
      </c>
      <c r="Q575" s="53">
        <v>0</v>
      </c>
      <c r="R575" s="53">
        <v>0</v>
      </c>
      <c r="S575" s="53">
        <v>0</v>
      </c>
      <c r="T575" s="53">
        <v>0</v>
      </c>
      <c r="U575" s="53">
        <v>0</v>
      </c>
      <c r="V575" s="53">
        <v>0</v>
      </c>
      <c r="W575" s="53">
        <v>0</v>
      </c>
      <c r="X575" s="53">
        <v>0</v>
      </c>
      <c r="Y575" s="53">
        <v>0</v>
      </c>
      <c r="Z575" s="53">
        <v>0</v>
      </c>
      <c r="AA575" s="164">
        <v>0</v>
      </c>
      <c r="AB575" s="164">
        <v>0</v>
      </c>
      <c r="AC575" s="164">
        <v>0</v>
      </c>
      <c r="AD575" s="164">
        <v>0</v>
      </c>
      <c r="AE575" s="164">
        <v>0</v>
      </c>
      <c r="AF575" s="164">
        <v>0</v>
      </c>
      <c r="AG575" s="164">
        <v>0</v>
      </c>
      <c r="AH575" s="164">
        <v>0</v>
      </c>
      <c r="AI575" s="164">
        <v>0</v>
      </c>
      <c r="AJ575" s="164">
        <v>0</v>
      </c>
      <c r="AK575" s="164">
        <v>0</v>
      </c>
      <c r="AL575" s="164">
        <v>0</v>
      </c>
      <c r="AM575" s="164">
        <v>0</v>
      </c>
      <c r="AN575" s="164">
        <v>0</v>
      </c>
      <c r="AO575" s="164">
        <v>0</v>
      </c>
      <c r="AP575" s="164">
        <v>0</v>
      </c>
      <c r="AQ575" s="164">
        <v>0</v>
      </c>
      <c r="AR575" s="164">
        <v>0</v>
      </c>
      <c r="AS575" s="164">
        <v>0</v>
      </c>
      <c r="AT575" s="164">
        <v>0</v>
      </c>
      <c r="AU575" s="164">
        <v>0</v>
      </c>
      <c r="AV575" s="164">
        <v>0</v>
      </c>
      <c r="AW575" s="171">
        <v>0</v>
      </c>
      <c r="AX575" s="54">
        <v>0</v>
      </c>
      <c r="AY575" s="54">
        <v>0</v>
      </c>
      <c r="AZ575" s="54">
        <v>0</v>
      </c>
      <c r="BA575" s="54">
        <v>0</v>
      </c>
      <c r="BB575" s="54">
        <v>0</v>
      </c>
      <c r="BC575" s="54">
        <v>0</v>
      </c>
      <c r="BD575" s="54">
        <v>0</v>
      </c>
      <c r="BE575" s="54">
        <v>0</v>
      </c>
      <c r="BF575" s="54">
        <v>0</v>
      </c>
      <c r="BG575" s="54">
        <v>0</v>
      </c>
      <c r="BH575" s="54">
        <v>0</v>
      </c>
      <c r="BI575" s="54">
        <v>0</v>
      </c>
      <c r="BJ575" s="54">
        <v>0</v>
      </c>
      <c r="BK575" s="54">
        <v>0</v>
      </c>
      <c r="BL575" s="54">
        <v>0</v>
      </c>
      <c r="BM575" s="54">
        <v>0</v>
      </c>
      <c r="BN575" s="54">
        <v>0</v>
      </c>
      <c r="BO575" s="54">
        <v>0</v>
      </c>
      <c r="BP575" s="54">
        <v>0</v>
      </c>
      <c r="BQ575" s="54">
        <v>0</v>
      </c>
      <c r="BR575" s="55"/>
      <c r="BS575" s="53">
        <v>0</v>
      </c>
      <c r="BT575" s="53">
        <v>0</v>
      </c>
      <c r="BU575" s="53">
        <v>0</v>
      </c>
      <c r="BV575" s="53">
        <v>0</v>
      </c>
      <c r="BW575" s="53">
        <v>0</v>
      </c>
      <c r="BX575" s="53">
        <v>0</v>
      </c>
      <c r="BY575" s="53">
        <v>0</v>
      </c>
      <c r="BZ575" s="53">
        <v>0</v>
      </c>
      <c r="CA575" s="53">
        <v>0</v>
      </c>
      <c r="CB575" s="53">
        <v>0</v>
      </c>
      <c r="CC575" s="55">
        <v>0</v>
      </c>
      <c r="CD575" s="55">
        <v>0</v>
      </c>
      <c r="CE575" s="55">
        <v>0</v>
      </c>
      <c r="CF575" s="55">
        <v>0</v>
      </c>
      <c r="CG575" s="55">
        <v>0</v>
      </c>
      <c r="CH575" s="55">
        <v>0</v>
      </c>
      <c r="CI575" s="55">
        <v>0</v>
      </c>
      <c r="CJ575" s="55">
        <v>0</v>
      </c>
      <c r="CK575" s="55">
        <v>0</v>
      </c>
      <c r="CL575" s="55">
        <v>0</v>
      </c>
      <c r="CM575" s="55">
        <v>0</v>
      </c>
      <c r="CN575" s="55">
        <v>0</v>
      </c>
      <c r="CO575" s="55">
        <v>0</v>
      </c>
      <c r="CP575" s="55">
        <v>0</v>
      </c>
      <c r="CQ575" s="55">
        <v>0</v>
      </c>
      <c r="CR575" s="55">
        <v>0</v>
      </c>
      <c r="CS575" s="55">
        <v>0</v>
      </c>
      <c r="CT575" s="55">
        <v>0</v>
      </c>
      <c r="CU575" s="55">
        <v>0</v>
      </c>
      <c r="CV575" s="55">
        <v>0</v>
      </c>
      <c r="CW575" s="55">
        <v>0</v>
      </c>
      <c r="CX575" s="55">
        <v>0</v>
      </c>
      <c r="CY575" s="56">
        <v>0</v>
      </c>
      <c r="CZ575" s="55">
        <v>0</v>
      </c>
      <c r="DA575" s="55">
        <v>0</v>
      </c>
      <c r="DB575" s="55">
        <v>0</v>
      </c>
      <c r="DC575" s="55">
        <v>0</v>
      </c>
      <c r="DD575" s="55">
        <v>0</v>
      </c>
      <c r="DE575" s="55">
        <v>0</v>
      </c>
      <c r="DF575" s="55">
        <v>0</v>
      </c>
      <c r="DG575" s="55">
        <v>0</v>
      </c>
      <c r="DH575" s="55">
        <v>0</v>
      </c>
      <c r="DI575" s="55">
        <v>0</v>
      </c>
    </row>
    <row r="576" spans="1:113" outlineLevel="1">
      <c r="A576" s="1" t="s">
        <v>1037</v>
      </c>
      <c r="B576" s="19" t="s">
        <v>2539</v>
      </c>
      <c r="C576" s="53">
        <v>-1458</v>
      </c>
      <c r="D576" s="53">
        <v>-1682</v>
      </c>
      <c r="E576" s="53">
        <v>-2017</v>
      </c>
      <c r="F576" s="53">
        <v>-2343</v>
      </c>
      <c r="G576" s="53">
        <v>-1824</v>
      </c>
      <c r="H576" s="53">
        <v>-1871</v>
      </c>
      <c r="I576" s="53">
        <v>-2176</v>
      </c>
      <c r="J576" s="53">
        <v>-1413</v>
      </c>
      <c r="K576" s="53">
        <v>-1158</v>
      </c>
      <c r="L576" s="53">
        <v>-1158</v>
      </c>
      <c r="M576" s="53">
        <v>-1158</v>
      </c>
      <c r="N576" s="53">
        <v>0</v>
      </c>
      <c r="O576" s="53">
        <v>0</v>
      </c>
      <c r="P576" s="53">
        <v>-296</v>
      </c>
      <c r="Q576" s="53">
        <v>-376</v>
      </c>
      <c r="R576" s="53">
        <v>-519</v>
      </c>
      <c r="S576" s="53">
        <v>-529</v>
      </c>
      <c r="T576" s="53">
        <v>-600</v>
      </c>
      <c r="U576" s="53">
        <v>-518</v>
      </c>
      <c r="V576" s="53">
        <v>-539</v>
      </c>
      <c r="W576" s="53">
        <v>-526</v>
      </c>
      <c r="X576" s="53">
        <v>-594</v>
      </c>
      <c r="Y576" s="53">
        <v>-629</v>
      </c>
      <c r="Z576" s="53">
        <v>-632</v>
      </c>
      <c r="AA576" s="164">
        <v>-1196</v>
      </c>
      <c r="AB576" s="164">
        <v>-1218</v>
      </c>
      <c r="AC576" s="164">
        <v>-1219</v>
      </c>
      <c r="AD576" s="164">
        <v>-1307</v>
      </c>
      <c r="AE576" s="164">
        <v>-1705</v>
      </c>
      <c r="AF576" s="164">
        <v>-1688</v>
      </c>
      <c r="AG576" s="164">
        <v>-1458</v>
      </c>
      <c r="AH576" s="164">
        <v>-1632</v>
      </c>
      <c r="AI576" s="164">
        <v>-2673</v>
      </c>
      <c r="AJ576" s="164">
        <v>-2999</v>
      </c>
      <c r="AK576" s="164">
        <v>-3474</v>
      </c>
      <c r="AL576" s="164">
        <v>-2887</v>
      </c>
      <c r="AM576" s="164">
        <v>-2906</v>
      </c>
      <c r="AN576" s="164">
        <v>-2685</v>
      </c>
      <c r="AO576" s="164">
        <v>-1429</v>
      </c>
      <c r="AP576" s="164">
        <v>-670</v>
      </c>
      <c r="AQ576" s="164">
        <v>-545</v>
      </c>
      <c r="AR576" s="164">
        <v>-217</v>
      </c>
      <c r="AS576" s="164">
        <v>-242</v>
      </c>
      <c r="AT576" s="164">
        <v>-89</v>
      </c>
      <c r="AU576" s="164">
        <v>-89</v>
      </c>
      <c r="AV576" s="164">
        <v>-89</v>
      </c>
      <c r="AW576" s="171">
        <v>-89</v>
      </c>
      <c r="AX576" s="54">
        <v>-89</v>
      </c>
      <c r="AY576" s="54">
        <v>-89</v>
      </c>
      <c r="AZ576" s="54">
        <v>-89</v>
      </c>
      <c r="BA576" s="54">
        <v>-89</v>
      </c>
      <c r="BB576" s="54">
        <v>-89</v>
      </c>
      <c r="BC576" s="54">
        <v>-89</v>
      </c>
      <c r="BD576" s="54">
        <v>-89</v>
      </c>
      <c r="BE576" s="54">
        <v>-89</v>
      </c>
      <c r="BF576" s="54">
        <v>-89</v>
      </c>
      <c r="BG576" s="54">
        <v>-89</v>
      </c>
      <c r="BH576" s="54">
        <v>-89</v>
      </c>
      <c r="BI576" s="54">
        <v>-89</v>
      </c>
      <c r="BJ576" s="54">
        <v>-89</v>
      </c>
      <c r="BK576" s="54">
        <v>-89</v>
      </c>
      <c r="BL576" s="54">
        <v>-89</v>
      </c>
      <c r="BM576" s="54">
        <v>-89</v>
      </c>
      <c r="BN576" s="54">
        <v>-89</v>
      </c>
      <c r="BO576" s="54">
        <v>-89</v>
      </c>
      <c r="BP576" s="54">
        <v>-89</v>
      </c>
      <c r="BQ576" s="54">
        <v>-89</v>
      </c>
      <c r="BR576" s="55"/>
      <c r="BS576" s="53">
        <v>0</v>
      </c>
      <c r="BT576" s="53">
        <v>0</v>
      </c>
      <c r="BU576" s="53">
        <v>0</v>
      </c>
      <c r="BV576" s="53">
        <v>0</v>
      </c>
      <c r="BW576" s="53">
        <v>0</v>
      </c>
      <c r="BX576" s="53">
        <v>0</v>
      </c>
      <c r="BY576" s="53">
        <v>0</v>
      </c>
      <c r="BZ576" s="53">
        <v>0</v>
      </c>
      <c r="CA576" s="53">
        <v>-588</v>
      </c>
      <c r="CB576" s="53">
        <v>-1458</v>
      </c>
      <c r="CC576" s="55">
        <v>-2017</v>
      </c>
      <c r="CD576" s="55">
        <v>-1824</v>
      </c>
      <c r="CE576" s="55">
        <v>-2176</v>
      </c>
      <c r="CF576" s="55">
        <v>-1158</v>
      </c>
      <c r="CG576" s="55">
        <v>-1158</v>
      </c>
      <c r="CH576" s="55">
        <v>0</v>
      </c>
      <c r="CI576" s="55">
        <v>-376</v>
      </c>
      <c r="CJ576" s="55">
        <v>-529</v>
      </c>
      <c r="CK576" s="55">
        <v>-518</v>
      </c>
      <c r="CL576" s="55">
        <v>-526</v>
      </c>
      <c r="CM576" s="55">
        <v>-629</v>
      </c>
      <c r="CN576" s="55">
        <v>-1196</v>
      </c>
      <c r="CO576" s="55">
        <v>-1219</v>
      </c>
      <c r="CP576" s="55">
        <v>-1705</v>
      </c>
      <c r="CQ576" s="55">
        <v>-1458</v>
      </c>
      <c r="CR576" s="55">
        <v>-2673</v>
      </c>
      <c r="CS576" s="55">
        <v>-3474</v>
      </c>
      <c r="CT576" s="55">
        <v>-2906</v>
      </c>
      <c r="CU576" s="55">
        <v>-1429</v>
      </c>
      <c r="CV576" s="55">
        <v>-545</v>
      </c>
      <c r="CW576" s="55">
        <v>-242</v>
      </c>
      <c r="CX576" s="55">
        <v>-89</v>
      </c>
      <c r="CY576" s="56">
        <v>-89</v>
      </c>
      <c r="CZ576" s="55">
        <v>-89</v>
      </c>
      <c r="DA576" s="55">
        <v>-89</v>
      </c>
      <c r="DB576" s="55">
        <v>-89</v>
      </c>
      <c r="DC576" s="55">
        <v>-89</v>
      </c>
      <c r="DD576" s="55">
        <v>-89</v>
      </c>
      <c r="DE576" s="55">
        <v>-89</v>
      </c>
      <c r="DF576" s="55">
        <v>-89</v>
      </c>
      <c r="DG576" s="55">
        <v>-89</v>
      </c>
      <c r="DH576" s="55">
        <v>-89</v>
      </c>
      <c r="DI576" s="55">
        <v>-89</v>
      </c>
    </row>
    <row r="577" spans="1:113" outlineLevel="1">
      <c r="A577" s="1" t="s">
        <v>1038</v>
      </c>
      <c r="B577" s="19" t="s">
        <v>2538</v>
      </c>
      <c r="C577" s="53">
        <v>0</v>
      </c>
      <c r="D577" s="53">
        <v>0</v>
      </c>
      <c r="E577" s="53">
        <v>0</v>
      </c>
      <c r="F577" s="53">
        <v>0</v>
      </c>
      <c r="G577" s="53">
        <v>0</v>
      </c>
      <c r="H577" s="53">
        <v>0</v>
      </c>
      <c r="I577" s="53">
        <v>0</v>
      </c>
      <c r="J577" s="53">
        <v>0</v>
      </c>
      <c r="K577" s="53">
        <v>0</v>
      </c>
      <c r="L577" s="53">
        <v>0</v>
      </c>
      <c r="M577" s="53">
        <v>0</v>
      </c>
      <c r="N577" s="53">
        <v>-820</v>
      </c>
      <c r="O577" s="53">
        <v>-700</v>
      </c>
      <c r="P577" s="53">
        <v>-723</v>
      </c>
      <c r="Q577" s="53">
        <v>-561</v>
      </c>
      <c r="R577" s="53">
        <v>-2334</v>
      </c>
      <c r="S577" s="53">
        <v>-422</v>
      </c>
      <c r="T577" s="53">
        <v>-315</v>
      </c>
      <c r="U577" s="53">
        <v>-323</v>
      </c>
      <c r="V577" s="53">
        <v>-328</v>
      </c>
      <c r="W577" s="53">
        <v>-639</v>
      </c>
      <c r="X577" s="53">
        <v>-638</v>
      </c>
      <c r="Y577" s="53">
        <v>-612</v>
      </c>
      <c r="Z577" s="53">
        <v>-614</v>
      </c>
      <c r="AA577" s="164">
        <v>-2738</v>
      </c>
      <c r="AB577" s="164">
        <v>-2924</v>
      </c>
      <c r="AC577" s="164">
        <v>-2589</v>
      </c>
      <c r="AD577" s="164">
        <v>-2990</v>
      </c>
      <c r="AE577" s="164">
        <v>-3179</v>
      </c>
      <c r="AF577" s="164">
        <v>-3263</v>
      </c>
      <c r="AG577" s="164">
        <v>-3120</v>
      </c>
      <c r="AH577" s="164">
        <v>-2741</v>
      </c>
      <c r="AI577" s="164">
        <v>-2626</v>
      </c>
      <c r="AJ577" s="164">
        <v>-2683</v>
      </c>
      <c r="AK577" s="164">
        <v>-2967</v>
      </c>
      <c r="AL577" s="164">
        <v>-3113</v>
      </c>
      <c r="AM577" s="164">
        <v>-3088</v>
      </c>
      <c r="AN577" s="164">
        <v>-3579</v>
      </c>
      <c r="AO577" s="164">
        <v>-3648</v>
      </c>
      <c r="AP577" s="164">
        <v>-3924</v>
      </c>
      <c r="AQ577" s="164">
        <v>-6782</v>
      </c>
      <c r="AR577" s="164">
        <v>-8017</v>
      </c>
      <c r="AS577" s="164">
        <v>-4651</v>
      </c>
      <c r="AT577" s="164">
        <v>-4127</v>
      </c>
      <c r="AU577" s="164">
        <v>-3947</v>
      </c>
      <c r="AV577" s="164">
        <v>-4046</v>
      </c>
      <c r="AW577" s="171">
        <v>-4214</v>
      </c>
      <c r="AX577" s="54">
        <v>-4214</v>
      </c>
      <c r="AY577" s="54">
        <v>-4214</v>
      </c>
      <c r="AZ577" s="54">
        <v>-4214</v>
      </c>
      <c r="BA577" s="54">
        <v>-4214</v>
      </c>
      <c r="BB577" s="54">
        <v>-4214</v>
      </c>
      <c r="BC577" s="54">
        <v>-4214</v>
      </c>
      <c r="BD577" s="54">
        <v>-4214</v>
      </c>
      <c r="BE577" s="54">
        <v>-4214</v>
      </c>
      <c r="BF577" s="54">
        <v>-4214</v>
      </c>
      <c r="BG577" s="54">
        <v>-4214</v>
      </c>
      <c r="BH577" s="54">
        <v>-4214</v>
      </c>
      <c r="BI577" s="54">
        <v>-4214</v>
      </c>
      <c r="BJ577" s="54">
        <v>-4214</v>
      </c>
      <c r="BK577" s="54">
        <v>-4214</v>
      </c>
      <c r="BL577" s="54">
        <v>-4214</v>
      </c>
      <c r="BM577" s="54">
        <v>-4214</v>
      </c>
      <c r="BN577" s="54">
        <v>-4214</v>
      </c>
      <c r="BO577" s="54">
        <v>-4214</v>
      </c>
      <c r="BP577" s="54">
        <v>-4214</v>
      </c>
      <c r="BQ577" s="54">
        <v>-4214</v>
      </c>
      <c r="BR577" s="55"/>
      <c r="BS577" s="53">
        <v>0</v>
      </c>
      <c r="BT577" s="53">
        <v>0</v>
      </c>
      <c r="BU577" s="53">
        <v>0</v>
      </c>
      <c r="BV577" s="53">
        <v>0</v>
      </c>
      <c r="BW577" s="53">
        <v>0</v>
      </c>
      <c r="BX577" s="53">
        <v>0</v>
      </c>
      <c r="BY577" s="53">
        <v>0</v>
      </c>
      <c r="BZ577" s="53">
        <v>0</v>
      </c>
      <c r="CA577" s="53">
        <v>0</v>
      </c>
      <c r="CB577" s="53">
        <v>0</v>
      </c>
      <c r="CC577" s="55">
        <v>0</v>
      </c>
      <c r="CD577" s="55">
        <v>0</v>
      </c>
      <c r="CE577" s="55">
        <v>0</v>
      </c>
      <c r="CF577" s="55">
        <v>0</v>
      </c>
      <c r="CG577" s="55">
        <v>0</v>
      </c>
      <c r="CH577" s="55">
        <v>-700</v>
      </c>
      <c r="CI577" s="55">
        <v>-561</v>
      </c>
      <c r="CJ577" s="55">
        <v>-422</v>
      </c>
      <c r="CK577" s="55">
        <v>-323</v>
      </c>
      <c r="CL577" s="55">
        <v>-639</v>
      </c>
      <c r="CM577" s="55">
        <v>-612</v>
      </c>
      <c r="CN577" s="55">
        <v>-2738</v>
      </c>
      <c r="CO577" s="55">
        <v>-2589</v>
      </c>
      <c r="CP577" s="55">
        <v>-3179</v>
      </c>
      <c r="CQ577" s="55">
        <v>-3120</v>
      </c>
      <c r="CR577" s="55">
        <v>-2626</v>
      </c>
      <c r="CS577" s="55">
        <v>-2967</v>
      </c>
      <c r="CT577" s="55">
        <v>-3088</v>
      </c>
      <c r="CU577" s="55">
        <v>-3648</v>
      </c>
      <c r="CV577" s="55">
        <v>-6782</v>
      </c>
      <c r="CW577" s="55">
        <v>-4651</v>
      </c>
      <c r="CX577" s="55">
        <v>-3947</v>
      </c>
      <c r="CY577" s="56">
        <v>-4214</v>
      </c>
      <c r="CZ577" s="55">
        <v>-4214</v>
      </c>
      <c r="DA577" s="55">
        <v>-4214</v>
      </c>
      <c r="DB577" s="55">
        <v>-4214</v>
      </c>
      <c r="DC577" s="55">
        <v>-4214</v>
      </c>
      <c r="DD577" s="55">
        <v>-4214</v>
      </c>
      <c r="DE577" s="55">
        <v>-4214</v>
      </c>
      <c r="DF577" s="55">
        <v>-4214</v>
      </c>
      <c r="DG577" s="55">
        <v>-4214</v>
      </c>
      <c r="DH577" s="55">
        <v>-4214</v>
      </c>
      <c r="DI577" s="55">
        <v>-4214</v>
      </c>
    </row>
    <row r="578" spans="1:113" outlineLevel="1">
      <c r="A578" s="1" t="s">
        <v>1039</v>
      </c>
      <c r="B578" s="19" t="s">
        <v>474</v>
      </c>
      <c r="C578" s="53">
        <v>0</v>
      </c>
      <c r="D578" s="53">
        <v>0</v>
      </c>
      <c r="E578" s="53">
        <v>0</v>
      </c>
      <c r="F578" s="53">
        <v>0</v>
      </c>
      <c r="G578" s="53">
        <v>0</v>
      </c>
      <c r="H578" s="53">
        <v>0</v>
      </c>
      <c r="I578" s="53">
        <v>0</v>
      </c>
      <c r="J578" s="53">
        <v>0</v>
      </c>
      <c r="K578" s="53">
        <v>0</v>
      </c>
      <c r="L578" s="53">
        <v>0</v>
      </c>
      <c r="M578" s="53">
        <v>0</v>
      </c>
      <c r="N578" s="53">
        <v>0</v>
      </c>
      <c r="O578" s="53">
        <v>0</v>
      </c>
      <c r="P578" s="53">
        <v>-536</v>
      </c>
      <c r="Q578" s="53">
        <v>-587</v>
      </c>
      <c r="R578" s="53">
        <v>-605</v>
      </c>
      <c r="S578" s="53">
        <v>-654</v>
      </c>
      <c r="T578" s="53">
        <v>-727</v>
      </c>
      <c r="U578" s="53">
        <v>-830</v>
      </c>
      <c r="V578" s="53">
        <v>-748</v>
      </c>
      <c r="W578" s="53">
        <v>-817</v>
      </c>
      <c r="X578" s="53">
        <v>-646</v>
      </c>
      <c r="Y578" s="53">
        <v>-630</v>
      </c>
      <c r="Z578" s="53">
        <v>-512</v>
      </c>
      <c r="AA578" s="164">
        <v>-271</v>
      </c>
      <c r="AB578" s="164">
        <v>-236</v>
      </c>
      <c r="AC578" s="164">
        <v>-502</v>
      </c>
      <c r="AD578" s="164">
        <v>-102</v>
      </c>
      <c r="AE578" s="164">
        <v>-134</v>
      </c>
      <c r="AF578" s="164">
        <v>-245</v>
      </c>
      <c r="AG578" s="164">
        <v>-314</v>
      </c>
      <c r="AH578" s="164">
        <v>-220</v>
      </c>
      <c r="AI578" s="164">
        <v>-218</v>
      </c>
      <c r="AJ578" s="164">
        <v>-99</v>
      </c>
      <c r="AK578" s="164">
        <v>-212</v>
      </c>
      <c r="AL578" s="164">
        <v>0</v>
      </c>
      <c r="AM578" s="164">
        <v>0</v>
      </c>
      <c r="AN578" s="164">
        <v>0</v>
      </c>
      <c r="AO578" s="164">
        <v>0</v>
      </c>
      <c r="AP578" s="164">
        <v>0</v>
      </c>
      <c r="AQ578" s="164">
        <v>0</v>
      </c>
      <c r="AR578" s="164">
        <v>0</v>
      </c>
      <c r="AS578" s="164">
        <v>0</v>
      </c>
      <c r="AT578" s="164">
        <v>0</v>
      </c>
      <c r="AU578" s="164">
        <v>0</v>
      </c>
      <c r="AV578" s="164">
        <v>0</v>
      </c>
      <c r="AW578" s="171">
        <v>0</v>
      </c>
      <c r="AX578" s="54">
        <v>0</v>
      </c>
      <c r="AY578" s="54">
        <v>0</v>
      </c>
      <c r="AZ578" s="54">
        <v>0</v>
      </c>
      <c r="BA578" s="54">
        <v>0</v>
      </c>
      <c r="BB578" s="54">
        <v>0</v>
      </c>
      <c r="BC578" s="54">
        <v>0</v>
      </c>
      <c r="BD578" s="54">
        <v>0</v>
      </c>
      <c r="BE578" s="54">
        <v>0</v>
      </c>
      <c r="BF578" s="54">
        <v>0</v>
      </c>
      <c r="BG578" s="54">
        <v>0</v>
      </c>
      <c r="BH578" s="54">
        <v>0</v>
      </c>
      <c r="BI578" s="54">
        <v>0</v>
      </c>
      <c r="BJ578" s="54">
        <v>0</v>
      </c>
      <c r="BK578" s="54">
        <v>0</v>
      </c>
      <c r="BL578" s="54">
        <v>0</v>
      </c>
      <c r="BM578" s="54">
        <v>0</v>
      </c>
      <c r="BN578" s="54">
        <v>0</v>
      </c>
      <c r="BO578" s="54">
        <v>0</v>
      </c>
      <c r="BP578" s="54">
        <v>0</v>
      </c>
      <c r="BQ578" s="54">
        <v>0</v>
      </c>
      <c r="BR578" s="55"/>
      <c r="BS578" s="53">
        <v>0</v>
      </c>
      <c r="BT578" s="53">
        <v>0</v>
      </c>
      <c r="BU578" s="53">
        <v>0</v>
      </c>
      <c r="BV578" s="53">
        <v>0</v>
      </c>
      <c r="BW578" s="53">
        <v>0</v>
      </c>
      <c r="BX578" s="53">
        <v>0</v>
      </c>
      <c r="BY578" s="53">
        <v>0</v>
      </c>
      <c r="BZ578" s="53">
        <v>0</v>
      </c>
      <c r="CA578" s="53">
        <v>0</v>
      </c>
      <c r="CB578" s="53">
        <v>0</v>
      </c>
      <c r="CC578" s="55">
        <v>0</v>
      </c>
      <c r="CD578" s="55">
        <v>0</v>
      </c>
      <c r="CE578" s="55">
        <v>0</v>
      </c>
      <c r="CF578" s="55">
        <v>0</v>
      </c>
      <c r="CG578" s="55">
        <v>0</v>
      </c>
      <c r="CH578" s="55">
        <v>0</v>
      </c>
      <c r="CI578" s="55">
        <v>-587</v>
      </c>
      <c r="CJ578" s="55">
        <v>-654</v>
      </c>
      <c r="CK578" s="55">
        <v>-830</v>
      </c>
      <c r="CL578" s="55">
        <v>-817</v>
      </c>
      <c r="CM578" s="55">
        <v>-630</v>
      </c>
      <c r="CN578" s="55">
        <v>-271</v>
      </c>
      <c r="CO578" s="55">
        <v>-502</v>
      </c>
      <c r="CP578" s="55">
        <v>-134</v>
      </c>
      <c r="CQ578" s="55">
        <v>-314</v>
      </c>
      <c r="CR578" s="55">
        <v>-218</v>
      </c>
      <c r="CS578" s="55">
        <v>-212</v>
      </c>
      <c r="CT578" s="55">
        <v>0</v>
      </c>
      <c r="CU578" s="55">
        <v>0</v>
      </c>
      <c r="CV578" s="55">
        <v>0</v>
      </c>
      <c r="CW578" s="55">
        <v>0</v>
      </c>
      <c r="CX578" s="55">
        <v>0</v>
      </c>
      <c r="CY578" s="56">
        <v>0</v>
      </c>
      <c r="CZ578" s="55">
        <v>0</v>
      </c>
      <c r="DA578" s="55">
        <v>0</v>
      </c>
      <c r="DB578" s="55">
        <v>0</v>
      </c>
      <c r="DC578" s="55">
        <v>0</v>
      </c>
      <c r="DD578" s="55">
        <v>0</v>
      </c>
      <c r="DE578" s="55">
        <v>0</v>
      </c>
      <c r="DF578" s="55">
        <v>0</v>
      </c>
      <c r="DG578" s="55">
        <v>0</v>
      </c>
      <c r="DH578" s="55">
        <v>0</v>
      </c>
      <c r="DI578" s="55">
        <v>0</v>
      </c>
    </row>
    <row r="579" spans="1:113" hidden="1" outlineLevel="2">
      <c r="A579" s="1" t="s">
        <v>1040</v>
      </c>
      <c r="B579" s="19" t="s">
        <v>1114</v>
      </c>
      <c r="C579" s="55"/>
      <c r="D579" s="55"/>
      <c r="E579" s="55"/>
      <c r="F579" s="55"/>
      <c r="G579" s="55"/>
      <c r="H579" s="55"/>
      <c r="I579" s="55"/>
      <c r="J579" s="55"/>
      <c r="K579" s="55"/>
      <c r="L579" s="55"/>
      <c r="M579" s="55"/>
      <c r="N579" s="53">
        <v>1641</v>
      </c>
      <c r="O579" s="53">
        <v>1641</v>
      </c>
      <c r="P579" s="55"/>
      <c r="Q579" s="55"/>
      <c r="R579" s="55"/>
      <c r="S579" s="55"/>
      <c r="T579" s="55"/>
      <c r="U579" s="55"/>
      <c r="V579" s="55"/>
      <c r="W579" s="55"/>
      <c r="X579" s="55"/>
      <c r="Y579" s="55"/>
      <c r="Z579" s="55"/>
      <c r="AA579" s="54"/>
      <c r="AB579" s="54"/>
      <c r="AC579" s="164"/>
      <c r="AD579" s="54"/>
      <c r="AE579" s="54"/>
      <c r="AF579" s="54"/>
      <c r="AG579" s="54"/>
      <c r="AH579" s="54"/>
      <c r="AI579" s="54"/>
      <c r="AJ579" s="54"/>
      <c r="AK579" s="54"/>
      <c r="AL579" s="54"/>
      <c r="AM579" s="54"/>
      <c r="AN579" s="54"/>
      <c r="AO579" s="54"/>
      <c r="AP579" s="54"/>
      <c r="AQ579" s="54"/>
      <c r="AR579" s="54"/>
      <c r="AS579" s="54"/>
      <c r="AT579" s="54"/>
      <c r="AU579" s="54"/>
      <c r="AV579" s="54"/>
      <c r="AW579" s="388"/>
      <c r="AX579" s="54"/>
      <c r="AY579" s="54"/>
      <c r="AZ579" s="54"/>
      <c r="BA579" s="54"/>
      <c r="BB579" s="54"/>
      <c r="BC579" s="54"/>
      <c r="BD579" s="54"/>
      <c r="BE579" s="54"/>
      <c r="BF579" s="54"/>
      <c r="BG579" s="54"/>
      <c r="BH579" s="54"/>
      <c r="BI579" s="54"/>
      <c r="BJ579" s="54"/>
      <c r="BK579" s="54"/>
      <c r="BL579" s="54"/>
      <c r="BM579" s="54"/>
      <c r="BN579" s="54"/>
      <c r="BO579" s="54"/>
      <c r="BP579" s="54"/>
      <c r="BQ579" s="54"/>
      <c r="BR579" s="55"/>
      <c r="BS579" s="53"/>
      <c r="BT579" s="53"/>
      <c r="BU579" s="53"/>
      <c r="BV579" s="53"/>
      <c r="BW579" s="53"/>
      <c r="BX579" s="53"/>
      <c r="BY579" s="53"/>
      <c r="BZ579" s="53"/>
      <c r="CA579" s="53"/>
      <c r="CB579" s="53"/>
      <c r="CC579" s="55"/>
      <c r="CD579" s="55"/>
      <c r="CE579" s="55"/>
      <c r="CF579" s="55"/>
      <c r="CG579" s="55"/>
      <c r="CH579" s="55">
        <v>1641</v>
      </c>
      <c r="CI579" s="55"/>
      <c r="CJ579" s="55"/>
      <c r="CK579" s="55"/>
      <c r="CL579" s="55"/>
      <c r="CM579" s="55"/>
      <c r="CN579" s="55"/>
      <c r="CO579" s="55"/>
      <c r="CP579" s="55"/>
      <c r="CQ579" s="55"/>
      <c r="CR579" s="55"/>
      <c r="CS579" s="55"/>
      <c r="CT579" s="55"/>
      <c r="CU579" s="55"/>
      <c r="CV579" s="55"/>
      <c r="CW579" s="55"/>
      <c r="CX579" s="55"/>
      <c r="CY579" s="56"/>
      <c r="CZ579" s="55"/>
      <c r="DA579" s="55"/>
      <c r="DB579" s="55"/>
      <c r="DC579" s="24"/>
      <c r="DD579" s="24"/>
      <c r="DE579" s="24"/>
      <c r="DF579" s="24"/>
      <c r="DG579" s="24"/>
      <c r="DH579" s="24"/>
      <c r="DI579" s="24"/>
    </row>
    <row r="580" spans="1:113" hidden="1" outlineLevel="2">
      <c r="A580" s="1" t="s">
        <v>67</v>
      </c>
      <c r="B580" s="19" t="s">
        <v>801</v>
      </c>
      <c r="C580" s="55"/>
      <c r="D580" s="55"/>
      <c r="E580" s="55"/>
      <c r="F580" s="55"/>
      <c r="G580" s="55"/>
      <c r="H580" s="55"/>
      <c r="I580" s="55"/>
      <c r="J580" s="55"/>
      <c r="K580" s="55"/>
      <c r="L580" s="55"/>
      <c r="M580" s="55"/>
      <c r="N580" s="55"/>
      <c r="O580" s="55"/>
      <c r="P580" s="55"/>
      <c r="Q580" s="55"/>
      <c r="R580" s="55"/>
      <c r="S580" s="55"/>
      <c r="T580" s="55"/>
      <c r="U580" s="55"/>
      <c r="V580" s="55"/>
      <c r="W580" s="55"/>
      <c r="X580" s="55"/>
      <c r="Y580" s="55"/>
      <c r="Z580" s="55"/>
      <c r="AA580" s="54"/>
      <c r="AB580" s="54"/>
      <c r="AC580" s="164"/>
      <c r="AD580" s="54"/>
      <c r="AE580" s="54"/>
      <c r="AF580" s="54"/>
      <c r="AG580" s="54"/>
      <c r="AH580" s="54"/>
      <c r="AI580" s="54"/>
      <c r="AJ580" s="54"/>
      <c r="AK580" s="54"/>
      <c r="AL580" s="54"/>
      <c r="AM580" s="54"/>
      <c r="AN580" s="54"/>
      <c r="AO580" s="54"/>
      <c r="AP580" s="54"/>
      <c r="AQ580" s="54"/>
      <c r="AR580" s="54"/>
      <c r="AS580" s="54"/>
      <c r="AT580" s="54"/>
      <c r="AU580" s="54"/>
      <c r="AV580" s="54"/>
      <c r="AW580" s="388"/>
      <c r="AX580" s="54"/>
      <c r="AY580" s="54"/>
      <c r="AZ580" s="54"/>
      <c r="BA580" s="54"/>
      <c r="BB580" s="54"/>
      <c r="BC580" s="54"/>
      <c r="BD580" s="54"/>
      <c r="BE580" s="54"/>
      <c r="BF580" s="54"/>
      <c r="BG580" s="54"/>
      <c r="BH580" s="54"/>
      <c r="BI580" s="54"/>
      <c r="BJ580" s="54"/>
      <c r="BK580" s="54"/>
      <c r="BL580" s="54"/>
      <c r="BM580" s="54"/>
      <c r="BN580" s="54"/>
      <c r="BO580" s="54"/>
      <c r="BP580" s="54"/>
      <c r="BQ580" s="54"/>
      <c r="BR580" s="55"/>
      <c r="BS580" s="53"/>
      <c r="BT580" s="53"/>
      <c r="BU580" s="53"/>
      <c r="BV580" s="53"/>
      <c r="BW580" s="53"/>
      <c r="BX580" s="53"/>
      <c r="BY580" s="53"/>
      <c r="BZ580" s="53"/>
      <c r="CA580" s="53"/>
      <c r="CB580" s="53"/>
      <c r="CC580" s="55"/>
      <c r="CD580" s="55"/>
      <c r="CE580" s="55"/>
      <c r="CF580" s="55"/>
      <c r="CG580" s="55"/>
      <c r="CH580" s="55"/>
      <c r="CI580" s="55"/>
      <c r="CJ580" s="55"/>
      <c r="CK580" s="55"/>
      <c r="CL580" s="55"/>
      <c r="CM580" s="55"/>
      <c r="CN580" s="55"/>
      <c r="CO580" s="55"/>
      <c r="CP580" s="55"/>
      <c r="CQ580" s="55"/>
      <c r="CR580" s="55"/>
      <c r="CS580" s="55"/>
      <c r="CT580" s="55"/>
      <c r="CU580" s="55"/>
      <c r="CV580" s="55"/>
      <c r="CW580" s="55"/>
      <c r="CX580" s="55"/>
      <c r="CY580" s="56"/>
      <c r="CZ580" s="55"/>
      <c r="DA580" s="55"/>
      <c r="DB580" s="55"/>
      <c r="DC580" s="24"/>
      <c r="DD580" s="24"/>
      <c r="DE580" s="24"/>
      <c r="DF580" s="24"/>
      <c r="DG580" s="24"/>
      <c r="DH580" s="24"/>
      <c r="DI580" s="24"/>
    </row>
    <row r="581" spans="1:113" hidden="1" outlineLevel="2">
      <c r="A581" s="1" t="s">
        <v>68</v>
      </c>
      <c r="B581" s="19" t="s">
        <v>801</v>
      </c>
      <c r="C581" s="55"/>
      <c r="D581" s="55"/>
      <c r="E581" s="55"/>
      <c r="F581" s="55"/>
      <c r="G581" s="55"/>
      <c r="H581" s="55"/>
      <c r="I581" s="55"/>
      <c r="J581" s="55"/>
      <c r="K581" s="55"/>
      <c r="L581" s="55"/>
      <c r="M581" s="55"/>
      <c r="N581" s="55"/>
      <c r="O581" s="55"/>
      <c r="P581" s="55"/>
      <c r="Q581" s="55"/>
      <c r="R581" s="55"/>
      <c r="S581" s="55"/>
      <c r="T581" s="55"/>
      <c r="U581" s="55"/>
      <c r="V581" s="55"/>
      <c r="W581" s="55"/>
      <c r="X581" s="55"/>
      <c r="Y581" s="55"/>
      <c r="Z581" s="55"/>
      <c r="AA581" s="54"/>
      <c r="AB581" s="54"/>
      <c r="AC581" s="164"/>
      <c r="AD581" s="54"/>
      <c r="AE581" s="54"/>
      <c r="AF581" s="54"/>
      <c r="AG581" s="54"/>
      <c r="AH581" s="54"/>
      <c r="AI581" s="54"/>
      <c r="AJ581" s="54"/>
      <c r="AK581" s="54"/>
      <c r="AL581" s="54"/>
      <c r="AM581" s="54"/>
      <c r="AN581" s="54"/>
      <c r="AO581" s="54"/>
      <c r="AP581" s="54"/>
      <c r="AQ581" s="54"/>
      <c r="AR581" s="54"/>
      <c r="AS581" s="54"/>
      <c r="AT581" s="54"/>
      <c r="AU581" s="54"/>
      <c r="AV581" s="54"/>
      <c r="AW581" s="388"/>
      <c r="AX581" s="54"/>
      <c r="AY581" s="54"/>
      <c r="AZ581" s="54"/>
      <c r="BA581" s="54"/>
      <c r="BB581" s="54"/>
      <c r="BC581" s="54"/>
      <c r="BD581" s="54"/>
      <c r="BE581" s="54"/>
      <c r="BF581" s="54"/>
      <c r="BG581" s="54"/>
      <c r="BH581" s="54"/>
      <c r="BI581" s="54"/>
      <c r="BJ581" s="54"/>
      <c r="BK581" s="54"/>
      <c r="BL581" s="54"/>
      <c r="BM581" s="54"/>
      <c r="BN581" s="54"/>
      <c r="BO581" s="54"/>
      <c r="BP581" s="54"/>
      <c r="BQ581" s="54"/>
      <c r="BR581" s="55"/>
      <c r="BS581" s="53"/>
      <c r="BT581" s="53"/>
      <c r="BU581" s="53"/>
      <c r="BV581" s="53"/>
      <c r="BW581" s="53"/>
      <c r="BX581" s="53"/>
      <c r="BY581" s="53"/>
      <c r="BZ581" s="53"/>
      <c r="CA581" s="53"/>
      <c r="CB581" s="53"/>
      <c r="CC581" s="55"/>
      <c r="CD581" s="55"/>
      <c r="CE581" s="55"/>
      <c r="CF581" s="55"/>
      <c r="CG581" s="55"/>
      <c r="CH581" s="55"/>
      <c r="CI581" s="55"/>
      <c r="CJ581" s="55"/>
      <c r="CK581" s="55"/>
      <c r="CL581" s="55"/>
      <c r="CM581" s="55"/>
      <c r="CN581" s="55"/>
      <c r="CO581" s="55"/>
      <c r="CP581" s="55"/>
      <c r="CQ581" s="55"/>
      <c r="CR581" s="55"/>
      <c r="CS581" s="55"/>
      <c r="CT581" s="55"/>
      <c r="CU581" s="55"/>
      <c r="CV581" s="55"/>
      <c r="CW581" s="55"/>
      <c r="CX581" s="55"/>
      <c r="CY581" s="56"/>
      <c r="CZ581" s="55"/>
      <c r="DA581" s="55"/>
      <c r="DB581" s="55"/>
      <c r="DC581" s="24"/>
      <c r="DD581" s="24"/>
      <c r="DE581" s="24"/>
      <c r="DF581" s="24"/>
      <c r="DG581" s="24"/>
      <c r="DH581" s="24"/>
      <c r="DI581" s="24"/>
    </row>
    <row r="582" spans="1:113" hidden="1" outlineLevel="2">
      <c r="A582" s="1" t="s">
        <v>11</v>
      </c>
      <c r="B582" s="19" t="s">
        <v>801</v>
      </c>
      <c r="C582" s="55"/>
      <c r="D582" s="55"/>
      <c r="E582" s="55"/>
      <c r="F582" s="55"/>
      <c r="G582" s="55"/>
      <c r="H582" s="55"/>
      <c r="I582" s="55"/>
      <c r="J582" s="55"/>
      <c r="K582" s="55"/>
      <c r="L582" s="55"/>
      <c r="M582" s="55"/>
      <c r="N582" s="55"/>
      <c r="O582" s="55"/>
      <c r="P582" s="55"/>
      <c r="Q582" s="55"/>
      <c r="R582" s="55"/>
      <c r="S582" s="55"/>
      <c r="T582" s="55"/>
      <c r="U582" s="55"/>
      <c r="V582" s="55"/>
      <c r="W582" s="55"/>
      <c r="X582" s="55"/>
      <c r="Y582" s="55"/>
      <c r="Z582" s="55"/>
      <c r="AA582" s="54"/>
      <c r="AB582" s="54"/>
      <c r="AC582" s="164"/>
      <c r="AD582" s="54"/>
      <c r="AE582" s="54"/>
      <c r="AF582" s="54"/>
      <c r="AG582" s="54"/>
      <c r="AH582" s="54"/>
      <c r="AI582" s="54"/>
      <c r="AJ582" s="54"/>
      <c r="AK582" s="54"/>
      <c r="AL582" s="54"/>
      <c r="AM582" s="54"/>
      <c r="AN582" s="54"/>
      <c r="AO582" s="54"/>
      <c r="AP582" s="54"/>
      <c r="AQ582" s="54"/>
      <c r="AR582" s="54"/>
      <c r="AS582" s="54"/>
      <c r="AT582" s="54"/>
      <c r="AU582" s="54"/>
      <c r="AV582" s="54"/>
      <c r="AW582" s="388"/>
      <c r="AX582" s="54"/>
      <c r="AY582" s="54"/>
      <c r="AZ582" s="54"/>
      <c r="BA582" s="54"/>
      <c r="BB582" s="54"/>
      <c r="BC582" s="54"/>
      <c r="BD582" s="54"/>
      <c r="BE582" s="54"/>
      <c r="BF582" s="54"/>
      <c r="BG582" s="54"/>
      <c r="BH582" s="54"/>
      <c r="BI582" s="54"/>
      <c r="BJ582" s="54"/>
      <c r="BK582" s="54"/>
      <c r="BL582" s="54"/>
      <c r="BM582" s="54"/>
      <c r="BN582" s="54"/>
      <c r="BO582" s="54"/>
      <c r="BP582" s="54"/>
      <c r="BQ582" s="54"/>
      <c r="BR582" s="55"/>
      <c r="BS582" s="53"/>
      <c r="BT582" s="53"/>
      <c r="BU582" s="53"/>
      <c r="BV582" s="53"/>
      <c r="BW582" s="53"/>
      <c r="BX582" s="53"/>
      <c r="BY582" s="53"/>
      <c r="BZ582" s="53"/>
      <c r="CA582" s="53"/>
      <c r="CB582" s="53"/>
      <c r="CC582" s="55"/>
      <c r="CD582" s="55"/>
      <c r="CE582" s="55"/>
      <c r="CF582" s="55"/>
      <c r="CG582" s="55"/>
      <c r="CH582" s="55"/>
      <c r="CI582" s="55"/>
      <c r="CJ582" s="55"/>
      <c r="CK582" s="55"/>
      <c r="CL582" s="55"/>
      <c r="CM582" s="55"/>
      <c r="CN582" s="55"/>
      <c r="CO582" s="55"/>
      <c r="CP582" s="55"/>
      <c r="CQ582" s="55"/>
      <c r="CR582" s="55"/>
      <c r="CS582" s="55"/>
      <c r="CT582" s="55"/>
      <c r="CU582" s="55"/>
      <c r="CV582" s="55"/>
      <c r="CW582" s="55"/>
      <c r="CX582" s="55"/>
      <c r="CY582" s="56"/>
      <c r="CZ582" s="55"/>
      <c r="DA582" s="55"/>
      <c r="DB582" s="55"/>
      <c r="DC582" s="24"/>
      <c r="DD582" s="24"/>
      <c r="DE582" s="24"/>
      <c r="DF582" s="24"/>
      <c r="DG582" s="24"/>
      <c r="DH582" s="24"/>
      <c r="DI582" s="24"/>
    </row>
    <row r="583" spans="1:113" outlineLevel="1" collapsed="1">
      <c r="A583" s="1" t="s">
        <v>1041</v>
      </c>
      <c r="B583" s="19" t="s">
        <v>475</v>
      </c>
      <c r="C583" s="53">
        <v>0</v>
      </c>
      <c r="D583" s="53">
        <v>0</v>
      </c>
      <c r="E583" s="53">
        <v>0</v>
      </c>
      <c r="F583" s="53">
        <v>-110</v>
      </c>
      <c r="G583" s="53">
        <v>-123</v>
      </c>
      <c r="H583" s="53">
        <v>-123</v>
      </c>
      <c r="I583" s="53">
        <v>-114</v>
      </c>
      <c r="J583" s="53">
        <v>-111</v>
      </c>
      <c r="K583" s="53">
        <v>-111</v>
      </c>
      <c r="L583" s="53">
        <v>0</v>
      </c>
      <c r="M583" s="53">
        <v>0</v>
      </c>
      <c r="N583" s="53">
        <v>-1127</v>
      </c>
      <c r="O583" s="53">
        <v>-1659</v>
      </c>
      <c r="P583" s="53">
        <v>-1710</v>
      </c>
      <c r="Q583" s="53">
        <v>-1377</v>
      </c>
      <c r="R583" s="53">
        <v>671</v>
      </c>
      <c r="S583" s="53">
        <v>466</v>
      </c>
      <c r="T583" s="53">
        <v>229</v>
      </c>
      <c r="U583" s="53">
        <v>-19</v>
      </c>
      <c r="V583" s="53">
        <v>29</v>
      </c>
      <c r="W583" s="53">
        <v>82</v>
      </c>
      <c r="X583" s="53">
        <v>-512</v>
      </c>
      <c r="Y583" s="53">
        <v>-973</v>
      </c>
      <c r="Z583" s="53">
        <v>-902</v>
      </c>
      <c r="AA583" s="53">
        <v>-834</v>
      </c>
      <c r="AB583" s="164">
        <v>-597</v>
      </c>
      <c r="AC583" s="164">
        <v>-862</v>
      </c>
      <c r="AD583" s="164">
        <v>-1191</v>
      </c>
      <c r="AE583" s="164">
        <v>-1380</v>
      </c>
      <c r="AF583" s="164">
        <v>-1138</v>
      </c>
      <c r="AG583" s="164">
        <v>-1447</v>
      </c>
      <c r="AH583" s="164">
        <v>-992</v>
      </c>
      <c r="AI583" s="164">
        <v>-1017</v>
      </c>
      <c r="AJ583" s="164">
        <v>-1039</v>
      </c>
      <c r="AK583" s="164">
        <v>-1256</v>
      </c>
      <c r="AL583" s="164">
        <v>-1267</v>
      </c>
      <c r="AM583" s="164">
        <v>-2048</v>
      </c>
      <c r="AN583" s="164">
        <v>-1344</v>
      </c>
      <c r="AO583" s="164">
        <v>-2563</v>
      </c>
      <c r="AP583" s="164">
        <v>-1432</v>
      </c>
      <c r="AQ583" s="164">
        <v>-1068</v>
      </c>
      <c r="AR583" s="164">
        <v>-455</v>
      </c>
      <c r="AS583" s="164">
        <v>138</v>
      </c>
      <c r="AT583" s="164">
        <v>574</v>
      </c>
      <c r="AU583" s="164">
        <v>1098</v>
      </c>
      <c r="AV583" s="164">
        <v>237</v>
      </c>
      <c r="AW583" s="171">
        <v>849</v>
      </c>
      <c r="AX583" s="54">
        <v>849</v>
      </c>
      <c r="AY583" s="54">
        <v>849</v>
      </c>
      <c r="AZ583" s="54">
        <v>849</v>
      </c>
      <c r="BA583" s="54">
        <v>849</v>
      </c>
      <c r="BB583" s="54">
        <v>849</v>
      </c>
      <c r="BC583" s="54">
        <v>849</v>
      </c>
      <c r="BD583" s="54">
        <v>849</v>
      </c>
      <c r="BE583" s="54">
        <v>849</v>
      </c>
      <c r="BF583" s="54">
        <v>849</v>
      </c>
      <c r="BG583" s="54">
        <v>849</v>
      </c>
      <c r="BH583" s="54">
        <v>849</v>
      </c>
      <c r="BI583" s="54">
        <v>849</v>
      </c>
      <c r="BJ583" s="54">
        <v>849</v>
      </c>
      <c r="BK583" s="54">
        <v>849</v>
      </c>
      <c r="BL583" s="54">
        <v>849</v>
      </c>
      <c r="BM583" s="54">
        <v>849</v>
      </c>
      <c r="BN583" s="54">
        <v>849</v>
      </c>
      <c r="BO583" s="54">
        <v>849</v>
      </c>
      <c r="BP583" s="54">
        <v>849</v>
      </c>
      <c r="BQ583" s="54">
        <v>849</v>
      </c>
      <c r="BR583" s="55"/>
      <c r="BS583" s="55">
        <v>0</v>
      </c>
      <c r="BT583" s="55">
        <v>0</v>
      </c>
      <c r="BU583" s="55">
        <v>0</v>
      </c>
      <c r="BV583" s="55">
        <v>0</v>
      </c>
      <c r="BW583" s="55">
        <v>-43</v>
      </c>
      <c r="BX583" s="55">
        <v>-55</v>
      </c>
      <c r="BY583" s="55">
        <v>-47</v>
      </c>
      <c r="BZ583" s="55">
        <v>-88</v>
      </c>
      <c r="CA583" s="55">
        <v>-86</v>
      </c>
      <c r="CB583" s="55">
        <v>0</v>
      </c>
      <c r="CC583" s="55">
        <v>0</v>
      </c>
      <c r="CD583" s="55">
        <v>-123</v>
      </c>
      <c r="CE583" s="55">
        <v>-114</v>
      </c>
      <c r="CF583" s="55">
        <v>-111</v>
      </c>
      <c r="CG583" s="55">
        <v>0</v>
      </c>
      <c r="CH583" s="55">
        <v>-1659</v>
      </c>
      <c r="CI583" s="55">
        <v>-1377</v>
      </c>
      <c r="CJ583" s="55">
        <v>466</v>
      </c>
      <c r="CK583" s="55">
        <v>-19</v>
      </c>
      <c r="CL583" s="55">
        <v>82</v>
      </c>
      <c r="CM583" s="55">
        <v>-973</v>
      </c>
      <c r="CN583" s="55">
        <v>-834</v>
      </c>
      <c r="CO583" s="55">
        <v>-862</v>
      </c>
      <c r="CP583" s="55">
        <v>-1380</v>
      </c>
      <c r="CQ583" s="55">
        <v>-1447</v>
      </c>
      <c r="CR583" s="55">
        <v>-1017</v>
      </c>
      <c r="CS583" s="55">
        <v>-1256</v>
      </c>
      <c r="CT583" s="55">
        <v>-2048</v>
      </c>
      <c r="CU583" s="55">
        <v>-2563</v>
      </c>
      <c r="CV583" s="55">
        <v>-1068</v>
      </c>
      <c r="CW583" s="55">
        <v>138</v>
      </c>
      <c r="CX583" s="55">
        <v>1098</v>
      </c>
      <c r="CY583" s="56">
        <v>849</v>
      </c>
      <c r="CZ583" s="55">
        <v>849</v>
      </c>
      <c r="DA583" s="55">
        <v>849</v>
      </c>
      <c r="DB583" s="55">
        <v>849</v>
      </c>
      <c r="DC583" s="55">
        <v>849</v>
      </c>
      <c r="DD583" s="55">
        <v>849</v>
      </c>
      <c r="DE583" s="55">
        <v>849</v>
      </c>
      <c r="DF583" s="55">
        <v>849</v>
      </c>
      <c r="DG583" s="55">
        <v>849</v>
      </c>
      <c r="DH583" s="55">
        <v>849</v>
      </c>
      <c r="DI583" s="55">
        <v>849</v>
      </c>
    </row>
    <row r="584" spans="1:113" outlineLevel="1">
      <c r="A584" s="1" t="s">
        <v>1042</v>
      </c>
      <c r="B584" s="19" t="s">
        <v>572</v>
      </c>
      <c r="C584" s="55">
        <v>-687</v>
      </c>
      <c r="D584" s="55">
        <v>-687</v>
      </c>
      <c r="E584" s="55">
        <v>-687</v>
      </c>
      <c r="F584" s="55">
        <v>-722</v>
      </c>
      <c r="G584" s="55">
        <v>-737</v>
      </c>
      <c r="H584" s="55">
        <v>-1522</v>
      </c>
      <c r="I584" s="55">
        <v>-2279</v>
      </c>
      <c r="J584" s="55">
        <v>691</v>
      </c>
      <c r="K584" s="55">
        <v>1144</v>
      </c>
      <c r="L584" s="55">
        <v>4864</v>
      </c>
      <c r="M584" s="55">
        <v>3219</v>
      </c>
      <c r="N584" s="55">
        <v>0</v>
      </c>
      <c r="O584" s="55">
        <v>0</v>
      </c>
      <c r="P584" s="55">
        <v>-95</v>
      </c>
      <c r="Q584" s="55">
        <v>-100</v>
      </c>
      <c r="R584" s="55">
        <v>-264</v>
      </c>
      <c r="S584" s="55">
        <v>-250</v>
      </c>
      <c r="T584" s="55">
        <v>-277</v>
      </c>
      <c r="U584" s="55">
        <v>-328</v>
      </c>
      <c r="V584" s="55">
        <v>-390</v>
      </c>
      <c r="W584" s="55">
        <v>-74</v>
      </c>
      <c r="X584" s="55">
        <v>-66</v>
      </c>
      <c r="Y584" s="55">
        <v>0</v>
      </c>
      <c r="Z584" s="55">
        <v>0</v>
      </c>
      <c r="AA584" s="55">
        <v>0</v>
      </c>
      <c r="AB584" s="55">
        <v>0</v>
      </c>
      <c r="AC584" s="55">
        <v>0</v>
      </c>
      <c r="AD584" s="55">
        <v>0</v>
      </c>
      <c r="AE584" s="55">
        <v>0</v>
      </c>
      <c r="AF584" s="55">
        <v>0</v>
      </c>
      <c r="AG584" s="55">
        <v>0</v>
      </c>
      <c r="AH584" s="55">
        <v>0</v>
      </c>
      <c r="AI584" s="55">
        <v>0</v>
      </c>
      <c r="AJ584" s="55">
        <v>0</v>
      </c>
      <c r="AK584" s="55">
        <v>0</v>
      </c>
      <c r="AL584" s="55">
        <v>0</v>
      </c>
      <c r="AM584" s="55">
        <v>0</v>
      </c>
      <c r="AN584" s="55">
        <v>0</v>
      </c>
      <c r="AO584" s="55">
        <v>0</v>
      </c>
      <c r="AP584" s="55">
        <v>0</v>
      </c>
      <c r="AQ584" s="55">
        <v>0</v>
      </c>
      <c r="AR584" s="55">
        <v>137</v>
      </c>
      <c r="AS584" s="55">
        <v>0</v>
      </c>
      <c r="AT584" s="55">
        <v>0</v>
      </c>
      <c r="AU584" s="55">
        <v>0</v>
      </c>
      <c r="AV584" s="55">
        <v>41</v>
      </c>
      <c r="AW584" s="56">
        <v>48</v>
      </c>
      <c r="AX584" s="54">
        <v>48</v>
      </c>
      <c r="AY584" s="54">
        <v>48</v>
      </c>
      <c r="AZ584" s="54">
        <v>48</v>
      </c>
      <c r="BA584" s="54">
        <v>48</v>
      </c>
      <c r="BB584" s="54">
        <v>48</v>
      </c>
      <c r="BC584" s="54">
        <v>48</v>
      </c>
      <c r="BD584" s="54">
        <v>48</v>
      </c>
      <c r="BE584" s="54">
        <v>48</v>
      </c>
      <c r="BF584" s="54">
        <v>48</v>
      </c>
      <c r="BG584" s="54">
        <v>48</v>
      </c>
      <c r="BH584" s="54">
        <v>48</v>
      </c>
      <c r="BI584" s="54">
        <v>48</v>
      </c>
      <c r="BJ584" s="54">
        <v>48</v>
      </c>
      <c r="BK584" s="54">
        <v>48</v>
      </c>
      <c r="BL584" s="54">
        <v>48</v>
      </c>
      <c r="BM584" s="54">
        <v>48</v>
      </c>
      <c r="BN584" s="54">
        <v>48</v>
      </c>
      <c r="BO584" s="54">
        <v>48</v>
      </c>
      <c r="BP584" s="54">
        <v>48</v>
      </c>
      <c r="BQ584" s="54">
        <v>48</v>
      </c>
      <c r="BR584" s="55"/>
      <c r="BS584" s="53">
        <v>0</v>
      </c>
      <c r="BT584" s="53">
        <v>0</v>
      </c>
      <c r="BU584" s="53">
        <v>0</v>
      </c>
      <c r="BV584" s="53">
        <v>0</v>
      </c>
      <c r="BW584" s="53">
        <v>0</v>
      </c>
      <c r="BX584" s="53">
        <v>0</v>
      </c>
      <c r="BY584" s="53">
        <v>0</v>
      </c>
      <c r="BZ584" s="53">
        <v>0</v>
      </c>
      <c r="CA584" s="53">
        <v>0</v>
      </c>
      <c r="CB584" s="53">
        <v>-692</v>
      </c>
      <c r="CC584" s="55">
        <v>-687</v>
      </c>
      <c r="CD584" s="55">
        <v>-737</v>
      </c>
      <c r="CE584" s="55">
        <v>-2279</v>
      </c>
      <c r="CF584" s="55">
        <v>1144</v>
      </c>
      <c r="CG584" s="55">
        <v>3219</v>
      </c>
      <c r="CH584" s="55">
        <v>0</v>
      </c>
      <c r="CI584" s="55">
        <v>-100</v>
      </c>
      <c r="CJ584" s="55">
        <v>-250</v>
      </c>
      <c r="CK584" s="55">
        <v>-328</v>
      </c>
      <c r="CL584" s="55">
        <v>-74</v>
      </c>
      <c r="CM584" s="55">
        <v>0</v>
      </c>
      <c r="CN584" s="55">
        <v>0</v>
      </c>
      <c r="CO584" s="55">
        <v>0</v>
      </c>
      <c r="CP584" s="55">
        <v>0</v>
      </c>
      <c r="CQ584" s="55">
        <v>0</v>
      </c>
      <c r="CR584" s="55">
        <v>0</v>
      </c>
      <c r="CS584" s="55">
        <v>0</v>
      </c>
      <c r="CT584" s="55">
        <v>0</v>
      </c>
      <c r="CU584" s="55">
        <v>0</v>
      </c>
      <c r="CV584" s="55">
        <v>0</v>
      </c>
      <c r="CW584" s="55">
        <v>0</v>
      </c>
      <c r="CX584" s="55">
        <v>0</v>
      </c>
      <c r="CY584" s="56">
        <v>48</v>
      </c>
      <c r="CZ584" s="55">
        <v>48</v>
      </c>
      <c r="DA584" s="55">
        <v>48</v>
      </c>
      <c r="DB584" s="55">
        <v>48</v>
      </c>
      <c r="DC584" s="55">
        <v>48</v>
      </c>
      <c r="DD584" s="55">
        <v>48</v>
      </c>
      <c r="DE584" s="55">
        <v>48</v>
      </c>
      <c r="DF584" s="55">
        <v>48</v>
      </c>
      <c r="DG584" s="55">
        <v>48</v>
      </c>
      <c r="DH584" s="55">
        <v>48</v>
      </c>
      <c r="DI584" s="55">
        <v>48</v>
      </c>
    </row>
    <row r="585" spans="1:113" s="24" customFormat="1" outlineLevel="1">
      <c r="A585" s="1" t="s">
        <v>1043</v>
      </c>
      <c r="B585" s="24" t="s">
        <v>168</v>
      </c>
      <c r="C585" s="81">
        <v>-11977</v>
      </c>
      <c r="D585" s="81">
        <v>-12209</v>
      </c>
      <c r="E585" s="81">
        <v>-12683</v>
      </c>
      <c r="F585" s="81">
        <v>-12527</v>
      </c>
      <c r="G585" s="81">
        <v>-12051</v>
      </c>
      <c r="H585" s="81">
        <v>-13027</v>
      </c>
      <c r="I585" s="81">
        <v>-13948</v>
      </c>
      <c r="J585" s="81">
        <v>-10450</v>
      </c>
      <c r="K585" s="81">
        <v>-10023</v>
      </c>
      <c r="L585" s="81">
        <v>-6190</v>
      </c>
      <c r="M585" s="81">
        <v>-7874</v>
      </c>
      <c r="N585" s="81">
        <v>-8291</v>
      </c>
      <c r="O585" s="81">
        <v>-8820</v>
      </c>
      <c r="P585" s="81">
        <v>-11833</v>
      </c>
      <c r="Q585" s="81">
        <v>-11512</v>
      </c>
      <c r="R585" s="81">
        <v>-11831</v>
      </c>
      <c r="S585" s="81">
        <v>-11148</v>
      </c>
      <c r="T585" s="81">
        <v>-11329</v>
      </c>
      <c r="U585" s="81">
        <v>-11822</v>
      </c>
      <c r="V585" s="81">
        <v>-11747</v>
      </c>
      <c r="W585" s="81">
        <v>-12116</v>
      </c>
      <c r="X585" s="81">
        <v>-13105</v>
      </c>
      <c r="Y585" s="81">
        <v>-13936</v>
      </c>
      <c r="Z585" s="81">
        <v>-13643</v>
      </c>
      <c r="AA585" s="81">
        <v>-17039</v>
      </c>
      <c r="AB585" s="166">
        <v>-16786</v>
      </c>
      <c r="AC585" s="166">
        <v>-16336</v>
      </c>
      <c r="AD585" s="166">
        <v>-16735</v>
      </c>
      <c r="AE585" s="166">
        <v>-17751</v>
      </c>
      <c r="AF585" s="166">
        <v>-17801</v>
      </c>
      <c r="AG585" s="166">
        <v>-18233</v>
      </c>
      <c r="AH585" s="166">
        <v>-17477</v>
      </c>
      <c r="AI585" s="166">
        <v>-18632</v>
      </c>
      <c r="AJ585" s="166">
        <v>-19441</v>
      </c>
      <c r="AK585" s="166">
        <v>-20679</v>
      </c>
      <c r="AL585" s="166">
        <v>-19906</v>
      </c>
      <c r="AM585" s="166">
        <v>-21036</v>
      </c>
      <c r="AN585" s="166">
        <v>-18511</v>
      </c>
      <c r="AO585" s="166">
        <v>-19163</v>
      </c>
      <c r="AP585" s="166">
        <v>-17476</v>
      </c>
      <c r="AQ585" s="166">
        <v>-19403</v>
      </c>
      <c r="AR585" s="166">
        <v>-19078</v>
      </c>
      <c r="AS585" s="166">
        <v>-15705</v>
      </c>
      <c r="AT585" s="166">
        <v>-14873</v>
      </c>
      <c r="AU585" s="166">
        <v>-14836</v>
      </c>
      <c r="AV585" s="166">
        <v>-15705</v>
      </c>
      <c r="AW585" s="167">
        <v>-15501</v>
      </c>
      <c r="AX585" s="82">
        <v>-15588.650474930488</v>
      </c>
      <c r="AY585" s="82">
        <v>-15673.912872261513</v>
      </c>
      <c r="AZ585" s="82">
        <v>-15738.320140735002</v>
      </c>
      <c r="BA585" s="82">
        <v>-15810.082462338269</v>
      </c>
      <c r="BB585" s="82">
        <v>-15862.917631020726</v>
      </c>
      <c r="BC585" s="82">
        <v>-15925.488405928045</v>
      </c>
      <c r="BD585" s="82">
        <v>-15971.436982813764</v>
      </c>
      <c r="BE585" s="82">
        <v>-16023.696788236535</v>
      </c>
      <c r="BF585" s="82">
        <v>-16060.934257240959</v>
      </c>
      <c r="BG585" s="82">
        <v>-16111.461445881669</v>
      </c>
      <c r="BH585" s="82">
        <v>-16147.452412260318</v>
      </c>
      <c r="BI585" s="82">
        <v>-16199.874307040365</v>
      </c>
      <c r="BJ585" s="82">
        <v>-16237.543317930158</v>
      </c>
      <c r="BK585" s="82">
        <v>-16292.121124397163</v>
      </c>
      <c r="BL585" s="82">
        <v>-16333.78611070121</v>
      </c>
      <c r="BM585" s="82">
        <v>-16388.69722811845</v>
      </c>
      <c r="BN585" s="82">
        <v>-16432.931711103534</v>
      </c>
      <c r="BO585" s="82">
        <v>-16491.333300286846</v>
      </c>
      <c r="BP585" s="82">
        <v>-16531.259393199609</v>
      </c>
      <c r="BQ585" s="82">
        <v>-16587.863020411514</v>
      </c>
      <c r="BR585" s="82"/>
      <c r="BS585" s="81">
        <v>-731.6</v>
      </c>
      <c r="BT585" s="81">
        <v>-686.4</v>
      </c>
      <c r="BU585" s="81">
        <v>-647.20000000000005</v>
      </c>
      <c r="BV585" s="81">
        <v>-608</v>
      </c>
      <c r="BW585" s="81">
        <v>-617</v>
      </c>
      <c r="BX585" s="81">
        <v>-629</v>
      </c>
      <c r="BY585" s="81">
        <v>-578</v>
      </c>
      <c r="BZ585" s="81">
        <v>-579</v>
      </c>
      <c r="CA585" s="81">
        <v>-9235</v>
      </c>
      <c r="CB585" s="81">
        <v>-11982</v>
      </c>
      <c r="CC585" s="82">
        <v>-12683</v>
      </c>
      <c r="CD585" s="82">
        <v>-12051</v>
      </c>
      <c r="CE585" s="82">
        <v>-13948</v>
      </c>
      <c r="CF585" s="82">
        <v>-10023</v>
      </c>
      <c r="CG585" s="82">
        <v>-7874</v>
      </c>
      <c r="CH585" s="82">
        <v>-8820</v>
      </c>
      <c r="CI585" s="82">
        <v>-11512</v>
      </c>
      <c r="CJ585" s="82">
        <v>-11148</v>
      </c>
      <c r="CK585" s="82">
        <v>-11822</v>
      </c>
      <c r="CL585" s="82">
        <v>-12116</v>
      </c>
      <c r="CM585" s="82">
        <v>-13936</v>
      </c>
      <c r="CN585" s="82">
        <v>-17039</v>
      </c>
      <c r="CO585" s="82">
        <v>-16336</v>
      </c>
      <c r="CP585" s="82">
        <v>-17751</v>
      </c>
      <c r="CQ585" s="82">
        <v>-18233</v>
      </c>
      <c r="CR585" s="82">
        <v>-18632</v>
      </c>
      <c r="CS585" s="82">
        <v>-20679</v>
      </c>
      <c r="CT585" s="82">
        <v>-21036</v>
      </c>
      <c r="CU585" s="82">
        <v>-19163</v>
      </c>
      <c r="CV585" s="82">
        <v>-19403</v>
      </c>
      <c r="CW585" s="82">
        <v>-15705</v>
      </c>
      <c r="CX585" s="82">
        <v>-14836</v>
      </c>
      <c r="CY585" s="83">
        <v>-15501</v>
      </c>
      <c r="CZ585" s="82">
        <v>-15673.912872261513</v>
      </c>
      <c r="DA585" s="82">
        <v>-15810.082462338269</v>
      </c>
      <c r="DB585" s="82">
        <v>-15925.488405928045</v>
      </c>
      <c r="DC585" s="82">
        <v>-16023.696788236535</v>
      </c>
      <c r="DD585" s="82">
        <v>-16111.461445881669</v>
      </c>
      <c r="DE585" s="82">
        <v>-16199.874307040365</v>
      </c>
      <c r="DF585" s="82">
        <v>-16292.121124397163</v>
      </c>
      <c r="DG585" s="82">
        <v>-16388.69722811845</v>
      </c>
      <c r="DH585" s="82">
        <v>-16491.333300286846</v>
      </c>
      <c r="DI585" s="82">
        <v>-16587.863020411514</v>
      </c>
    </row>
    <row r="586" spans="1:113" outlineLevel="1">
      <c r="C586" s="55"/>
      <c r="D586" s="55"/>
      <c r="E586" s="55"/>
      <c r="F586" s="55"/>
      <c r="G586" s="55"/>
      <c r="H586" s="55"/>
      <c r="I586" s="55"/>
      <c r="J586" s="55"/>
      <c r="K586" s="55"/>
      <c r="L586" s="55"/>
      <c r="M586" s="55"/>
      <c r="N586" s="55"/>
      <c r="O586" s="55"/>
      <c r="P586" s="55"/>
      <c r="Q586" s="55"/>
      <c r="R586" s="55"/>
      <c r="S586" s="55"/>
      <c r="T586" s="55"/>
      <c r="U586" s="55"/>
      <c r="V586" s="55"/>
      <c r="W586" s="55"/>
      <c r="X586" s="55"/>
      <c r="Y586" s="55"/>
      <c r="Z586" s="55">
        <v>111</v>
      </c>
      <c r="AA586" s="50"/>
      <c r="AB586" s="166"/>
      <c r="AC586" s="55"/>
      <c r="AD586" s="55"/>
      <c r="AE586" s="55"/>
      <c r="AF586" s="55"/>
      <c r="AG586" s="55"/>
      <c r="AH586" s="55"/>
      <c r="AI586" s="55"/>
      <c r="AJ586" s="55"/>
      <c r="AK586" s="50"/>
      <c r="AL586" s="50"/>
      <c r="AM586" s="50"/>
      <c r="AN586" s="50"/>
      <c r="AO586" s="50"/>
      <c r="AP586" s="50"/>
      <c r="AQ586" s="50"/>
      <c r="AR586" s="50"/>
      <c r="AS586" s="50"/>
      <c r="AT586" s="50"/>
      <c r="AU586" s="50"/>
      <c r="AV586" s="50"/>
      <c r="AW586" s="49"/>
      <c r="AX586" s="48"/>
      <c r="AY586" s="48"/>
      <c r="AZ586" s="48"/>
      <c r="BA586" s="48"/>
      <c r="BB586" s="48"/>
      <c r="BC586" s="48"/>
      <c r="BD586" s="48"/>
      <c r="BE586" s="48"/>
      <c r="BF586" s="48"/>
      <c r="BG586" s="48"/>
      <c r="BH586" s="48"/>
      <c r="BI586" s="48"/>
      <c r="BJ586" s="48"/>
      <c r="BK586" s="48"/>
      <c r="BL586" s="235"/>
      <c r="BM586" s="235"/>
      <c r="BN586" s="235"/>
      <c r="BO586" s="235"/>
      <c r="BP586" s="235"/>
      <c r="BQ586" s="235"/>
      <c r="BR586" s="55"/>
      <c r="BS586" s="55"/>
      <c r="BT586" s="55"/>
      <c r="BU586" s="55"/>
      <c r="BV586" s="55"/>
      <c r="BW586" s="55"/>
      <c r="BX586" s="55"/>
      <c r="BY586" s="55"/>
      <c r="BZ586" s="55"/>
      <c r="CA586" s="55"/>
      <c r="CB586" s="55"/>
      <c r="CC586" s="55"/>
      <c r="CD586" s="55"/>
      <c r="CE586" s="55"/>
      <c r="CF586" s="55"/>
      <c r="CG586" s="55"/>
      <c r="CH586" s="55"/>
      <c r="CI586" s="55"/>
      <c r="CJ586" s="55"/>
      <c r="CK586" s="55"/>
      <c r="CL586" s="55"/>
      <c r="CM586" s="55"/>
      <c r="CN586" s="55"/>
      <c r="CO586" s="55"/>
      <c r="CP586" s="55"/>
      <c r="CQ586" s="55"/>
      <c r="CR586" s="55"/>
      <c r="CS586" s="55"/>
      <c r="CT586" s="55"/>
      <c r="CU586" s="55"/>
      <c r="CV586" s="55"/>
      <c r="CW586" s="55"/>
      <c r="CX586" s="55"/>
      <c r="CY586" s="56"/>
      <c r="CZ586" s="55"/>
      <c r="DA586" s="55"/>
      <c r="DB586" s="55"/>
    </row>
    <row r="587" spans="1:113" s="24" customFormat="1" outlineLevel="1">
      <c r="A587" s="1" t="s">
        <v>1044</v>
      </c>
      <c r="B587" s="24" t="s">
        <v>635</v>
      </c>
      <c r="C587" s="82">
        <v>9015</v>
      </c>
      <c r="D587" s="82">
        <v>9336</v>
      </c>
      <c r="E587" s="82">
        <v>9561</v>
      </c>
      <c r="F587" s="82">
        <v>10148</v>
      </c>
      <c r="G587" s="82">
        <v>10213</v>
      </c>
      <c r="H587" s="82">
        <v>11438</v>
      </c>
      <c r="I587" s="82">
        <v>12588</v>
      </c>
      <c r="J587" s="82">
        <v>13487</v>
      </c>
      <c r="K587" s="82">
        <v>14141</v>
      </c>
      <c r="L587" s="82">
        <v>15290</v>
      </c>
      <c r="M587" s="82">
        <v>16354</v>
      </c>
      <c r="N587" s="82">
        <v>16553</v>
      </c>
      <c r="O587" s="82">
        <v>17512</v>
      </c>
      <c r="P587" s="82">
        <v>16196</v>
      </c>
      <c r="Q587" s="82">
        <v>16791</v>
      </c>
      <c r="R587" s="82">
        <v>20948</v>
      </c>
      <c r="S587" s="82">
        <v>23311</v>
      </c>
      <c r="T587" s="82">
        <v>27065</v>
      </c>
      <c r="U587" s="82">
        <v>26601</v>
      </c>
      <c r="V587" s="82">
        <v>27735</v>
      </c>
      <c r="W587" s="82">
        <v>28213</v>
      </c>
      <c r="X587" s="82">
        <v>29473</v>
      </c>
      <c r="Y587" s="82">
        <v>30299</v>
      </c>
      <c r="Z587" s="82">
        <v>31780</v>
      </c>
      <c r="AA587" s="82">
        <v>33750</v>
      </c>
      <c r="AB587" s="82">
        <v>35258</v>
      </c>
      <c r="AC587" s="82">
        <v>37608</v>
      </c>
      <c r="AD587" s="82">
        <v>40998</v>
      </c>
      <c r="AE587" s="82">
        <v>41147</v>
      </c>
      <c r="AF587" s="82">
        <v>47972</v>
      </c>
      <c r="AG587" s="82">
        <v>48753</v>
      </c>
      <c r="AH587" s="82">
        <v>50418</v>
      </c>
      <c r="AI587" s="82">
        <v>52884</v>
      </c>
      <c r="AJ587" s="82">
        <v>54363</v>
      </c>
      <c r="AK587" s="82">
        <v>56365</v>
      </c>
      <c r="AL587" s="82">
        <v>57518</v>
      </c>
      <c r="AM587" s="82">
        <v>57355</v>
      </c>
      <c r="AN587" s="82">
        <v>63218</v>
      </c>
      <c r="AO587" s="82">
        <v>63414</v>
      </c>
      <c r="AP587" s="82">
        <v>67900</v>
      </c>
      <c r="AQ587" s="82">
        <v>70844</v>
      </c>
      <c r="AR587" s="82">
        <v>66027</v>
      </c>
      <c r="AS587" s="82">
        <v>67558</v>
      </c>
      <c r="AT587" s="82">
        <v>66864</v>
      </c>
      <c r="AU587" s="82">
        <v>67771</v>
      </c>
      <c r="AV587" s="82">
        <v>68093</v>
      </c>
      <c r="AW587" s="83">
        <v>66963</v>
      </c>
      <c r="AX587" s="82">
        <v>67350.194280010895</v>
      </c>
      <c r="AY587" s="82">
        <v>67963.084859786701</v>
      </c>
      <c r="AZ587" s="82">
        <v>68416.993803016492</v>
      </c>
      <c r="BA587" s="82">
        <v>69335.948018759547</v>
      </c>
      <c r="BB587" s="82">
        <v>69813.200273445123</v>
      </c>
      <c r="BC587" s="82">
        <v>70947.933870455483</v>
      </c>
      <c r="BD587" s="82">
        <v>71680.587578578095</v>
      </c>
      <c r="BE587" s="82">
        <v>72986.606395688461</v>
      </c>
      <c r="BF587" s="82">
        <v>73869.287241431972</v>
      </c>
      <c r="BG587" s="82">
        <v>75248.801761905313</v>
      </c>
      <c r="BH587" s="82">
        <v>76256.767864128182</v>
      </c>
      <c r="BI587" s="82">
        <v>77656.575197625294</v>
      </c>
      <c r="BJ587" s="82">
        <v>78041.984758663166</v>
      </c>
      <c r="BK587" s="82">
        <v>78528.427730700976</v>
      </c>
      <c r="BL587" s="82">
        <v>79144.536406921368</v>
      </c>
      <c r="BM587" s="82">
        <v>80656.754491217202</v>
      </c>
      <c r="BN587" s="82">
        <v>82499.36703456231</v>
      </c>
      <c r="BO587" s="82">
        <v>83866.6925171482</v>
      </c>
      <c r="BP587" s="82">
        <v>84935.767048771828</v>
      </c>
      <c r="BQ587" s="82">
        <v>86361.843476361246</v>
      </c>
      <c r="BR587" s="82"/>
      <c r="BS587" s="186">
        <v>6229</v>
      </c>
      <c r="BT587" s="82">
        <v>6546.5</v>
      </c>
      <c r="BU587" s="82">
        <v>6554.1</v>
      </c>
      <c r="BV587" s="82">
        <v>7212</v>
      </c>
      <c r="BW587" s="82">
        <v>7764</v>
      </c>
      <c r="BX587" s="82">
        <v>7468</v>
      </c>
      <c r="BY587" s="82">
        <v>7617</v>
      </c>
      <c r="BZ587" s="82">
        <v>7021</v>
      </c>
      <c r="CA587" s="82">
        <v>9618</v>
      </c>
      <c r="CB587" s="82">
        <v>9015</v>
      </c>
      <c r="CC587" s="82">
        <v>9561</v>
      </c>
      <c r="CD587" s="82">
        <v>10213</v>
      </c>
      <c r="CE587" s="82">
        <v>12588</v>
      </c>
      <c r="CF587" s="82">
        <v>14141</v>
      </c>
      <c r="CG587" s="82">
        <v>16354</v>
      </c>
      <c r="CH587" s="82">
        <v>17512</v>
      </c>
      <c r="CI587" s="82">
        <v>16791</v>
      </c>
      <c r="CJ587" s="82">
        <v>23311</v>
      </c>
      <c r="CK587" s="82">
        <v>26601</v>
      </c>
      <c r="CL587" s="82">
        <v>28213</v>
      </c>
      <c r="CM587" s="82">
        <v>30299</v>
      </c>
      <c r="CN587" s="82">
        <v>33750</v>
      </c>
      <c r="CO587" s="82">
        <v>37608</v>
      </c>
      <c r="CP587" s="82">
        <v>41147</v>
      </c>
      <c r="CQ587" s="82">
        <v>48753</v>
      </c>
      <c r="CR587" s="82">
        <v>52884</v>
      </c>
      <c r="CS587" s="82">
        <v>56365</v>
      </c>
      <c r="CT587" s="82">
        <v>57355</v>
      </c>
      <c r="CU587" s="82">
        <v>63414</v>
      </c>
      <c r="CV587" s="82">
        <v>70844</v>
      </c>
      <c r="CW587" s="82">
        <v>67558</v>
      </c>
      <c r="CX587" s="82">
        <v>67771</v>
      </c>
      <c r="CY587" s="83">
        <v>66963</v>
      </c>
      <c r="CZ587" s="82">
        <v>67963.084859786686</v>
      </c>
      <c r="DA587" s="82">
        <v>69335.948018759533</v>
      </c>
      <c r="DB587" s="82">
        <v>70947.933870455483</v>
      </c>
      <c r="DC587" s="82">
        <v>72986.606395688461</v>
      </c>
      <c r="DD587" s="82">
        <v>75248.801761905313</v>
      </c>
      <c r="DE587" s="82">
        <v>77656.575197625294</v>
      </c>
      <c r="DF587" s="82">
        <v>78528.427730700976</v>
      </c>
      <c r="DG587" s="82">
        <v>80656.754491217202</v>
      </c>
      <c r="DH587" s="82">
        <v>83866.692517148214</v>
      </c>
      <c r="DI587" s="82">
        <v>86361.843476361275</v>
      </c>
    </row>
    <row r="588" spans="1:113" outlineLevel="1">
      <c r="A588" s="1" t="s">
        <v>1045</v>
      </c>
      <c r="B588" s="19" t="s">
        <v>573</v>
      </c>
      <c r="C588" s="55">
        <v>-687</v>
      </c>
      <c r="D588" s="55">
        <v>-687</v>
      </c>
      <c r="E588" s="55">
        <v>-687</v>
      </c>
      <c r="F588" s="55">
        <v>-687</v>
      </c>
      <c r="G588" s="55">
        <v>-687</v>
      </c>
      <c r="H588" s="55">
        <v>-1519</v>
      </c>
      <c r="I588" s="55">
        <v>-2260</v>
      </c>
      <c r="J588" s="55">
        <v>-2260</v>
      </c>
      <c r="K588" s="55">
        <v>-2260</v>
      </c>
      <c r="L588" s="55">
        <v>-939</v>
      </c>
      <c r="M588" s="55">
        <v>-939</v>
      </c>
      <c r="N588" s="55">
        <v>-939</v>
      </c>
      <c r="O588" s="55">
        <v>-939</v>
      </c>
      <c r="P588" s="55">
        <v>-939</v>
      </c>
      <c r="Q588" s="55">
        <v>-939</v>
      </c>
      <c r="R588" s="55">
        <v>-939</v>
      </c>
      <c r="S588" s="55">
        <v>-939</v>
      </c>
      <c r="T588" s="55">
        <v>-939</v>
      </c>
      <c r="U588" s="55">
        <v>-939</v>
      </c>
      <c r="V588" s="55">
        <v>-939</v>
      </c>
      <c r="W588" s="55">
        <v>-939</v>
      </c>
      <c r="X588" s="55">
        <v>-939</v>
      </c>
      <c r="Y588" s="55">
        <v>-939</v>
      </c>
      <c r="Z588" s="55">
        <v>-939</v>
      </c>
      <c r="AA588" s="55">
        <v>-939</v>
      </c>
      <c r="AB588" s="55">
        <v>-939</v>
      </c>
      <c r="AC588" s="55">
        <v>-939</v>
      </c>
      <c r="AD588" s="55">
        <v>-939</v>
      </c>
      <c r="AE588" s="55">
        <v>-939</v>
      </c>
      <c r="AF588" s="55">
        <v>0</v>
      </c>
      <c r="AG588" s="55">
        <v>0</v>
      </c>
      <c r="AH588" s="55">
        <v>0</v>
      </c>
      <c r="AI588" s="55">
        <v>0</v>
      </c>
      <c r="AJ588" s="55">
        <v>0</v>
      </c>
      <c r="AK588" s="55">
        <v>0</v>
      </c>
      <c r="AL588" s="55">
        <v>0</v>
      </c>
      <c r="AM588" s="55">
        <v>0</v>
      </c>
      <c r="AN588" s="55">
        <v>0</v>
      </c>
      <c r="AO588" s="55">
        <v>0</v>
      </c>
      <c r="AP588" s="55">
        <v>0</v>
      </c>
      <c r="AQ588" s="55">
        <v>0</v>
      </c>
      <c r="AR588" s="55">
        <v>0</v>
      </c>
      <c r="AS588" s="55">
        <v>0</v>
      </c>
      <c r="AT588" s="55">
        <v>0</v>
      </c>
      <c r="AU588" s="55">
        <v>0</v>
      </c>
      <c r="AV588" s="55">
        <v>0</v>
      </c>
      <c r="AW588" s="56">
        <v>0</v>
      </c>
      <c r="AX588" s="55">
        <v>0</v>
      </c>
      <c r="AY588" s="55">
        <v>0</v>
      </c>
      <c r="AZ588" s="55">
        <v>0</v>
      </c>
      <c r="BA588" s="55">
        <v>0</v>
      </c>
      <c r="BB588" s="55">
        <v>0</v>
      </c>
      <c r="BC588" s="55">
        <v>0</v>
      </c>
      <c r="BD588" s="55">
        <v>0</v>
      </c>
      <c r="BE588" s="55">
        <v>0</v>
      </c>
      <c r="BF588" s="55">
        <v>0</v>
      </c>
      <c r="BG588" s="55">
        <v>0</v>
      </c>
      <c r="BH588" s="55">
        <v>0</v>
      </c>
      <c r="BI588" s="55">
        <v>0</v>
      </c>
      <c r="BJ588" s="55">
        <v>0</v>
      </c>
      <c r="BK588" s="55">
        <v>0</v>
      </c>
      <c r="BL588" s="55">
        <v>0</v>
      </c>
      <c r="BM588" s="55">
        <v>0</v>
      </c>
      <c r="BN588" s="55">
        <v>0</v>
      </c>
      <c r="BO588" s="55">
        <v>0</v>
      </c>
      <c r="BP588" s="55">
        <v>0</v>
      </c>
      <c r="BQ588" s="55">
        <v>0</v>
      </c>
      <c r="BR588" s="55"/>
      <c r="BS588" s="55">
        <v>0</v>
      </c>
      <c r="BT588" s="55">
        <v>0</v>
      </c>
      <c r="BU588" s="55">
        <v>0</v>
      </c>
      <c r="BV588" s="55">
        <v>0</v>
      </c>
      <c r="BW588" s="55">
        <v>0</v>
      </c>
      <c r="BX588" s="55">
        <v>0</v>
      </c>
      <c r="BY588" s="55">
        <v>0</v>
      </c>
      <c r="BZ588" s="55">
        <v>0</v>
      </c>
      <c r="CA588" s="55">
        <v>0</v>
      </c>
      <c r="CB588" s="55">
        <v>-687</v>
      </c>
      <c r="CC588" s="55">
        <v>-687</v>
      </c>
      <c r="CD588" s="55">
        <v>-687</v>
      </c>
      <c r="CE588" s="55">
        <v>-2260</v>
      </c>
      <c r="CF588" s="55">
        <v>-2260</v>
      </c>
      <c r="CG588" s="55">
        <v>-939</v>
      </c>
      <c r="CH588" s="55">
        <v>-939</v>
      </c>
      <c r="CI588" s="55">
        <v>-939</v>
      </c>
      <c r="CJ588" s="55">
        <v>-939</v>
      </c>
      <c r="CK588" s="55">
        <v>-939</v>
      </c>
      <c r="CL588" s="55">
        <v>-939</v>
      </c>
      <c r="CM588" s="55">
        <v>-939</v>
      </c>
      <c r="CN588" s="55">
        <v>-939</v>
      </c>
      <c r="CO588" s="55">
        <v>-939</v>
      </c>
      <c r="CP588" s="55">
        <v>-939</v>
      </c>
      <c r="CQ588" s="55">
        <v>0</v>
      </c>
      <c r="CR588" s="55">
        <v>0</v>
      </c>
      <c r="CS588" s="55">
        <v>0</v>
      </c>
      <c r="CT588" s="55">
        <v>0</v>
      </c>
      <c r="CU588" s="55">
        <v>0</v>
      </c>
      <c r="CV588" s="55">
        <v>0</v>
      </c>
      <c r="CW588" s="55">
        <v>0</v>
      </c>
      <c r="CX588" s="55">
        <v>0</v>
      </c>
      <c r="CY588" s="56">
        <v>0</v>
      </c>
      <c r="CZ588" s="55">
        <v>0</v>
      </c>
      <c r="DA588" s="55">
        <v>0</v>
      </c>
      <c r="DB588" s="55">
        <v>0</v>
      </c>
      <c r="DC588" s="55">
        <v>0</v>
      </c>
      <c r="DD588" s="55">
        <v>0</v>
      </c>
      <c r="DE588" s="55">
        <v>0</v>
      </c>
      <c r="DF588" s="55">
        <v>0</v>
      </c>
      <c r="DG588" s="55">
        <v>0</v>
      </c>
      <c r="DH588" s="55">
        <v>0</v>
      </c>
      <c r="DI588" s="55">
        <v>0</v>
      </c>
    </row>
    <row r="589" spans="1:113" outlineLevel="1">
      <c r="A589" s="1" t="s">
        <v>1046</v>
      </c>
      <c r="B589" s="19" t="s">
        <v>574</v>
      </c>
      <c r="C589" s="55">
        <v>-1149</v>
      </c>
      <c r="D589" s="55">
        <v>-1146</v>
      </c>
      <c r="E589" s="55">
        <v>-1102</v>
      </c>
      <c r="F589" s="55">
        <v>-1101</v>
      </c>
      <c r="G589" s="55">
        <v>-1038</v>
      </c>
      <c r="H589" s="55">
        <v>-1830</v>
      </c>
      <c r="I589" s="55">
        <v>-2598</v>
      </c>
      <c r="J589" s="55">
        <v>-2558</v>
      </c>
      <c r="K589" s="55">
        <v>-2564</v>
      </c>
      <c r="L589" s="55">
        <v>-2577</v>
      </c>
      <c r="M589" s="55">
        <v>-3940</v>
      </c>
      <c r="N589" s="55">
        <v>-2846</v>
      </c>
      <c r="O589" s="55">
        <v>-2780</v>
      </c>
      <c r="P589" s="55">
        <v>-3104</v>
      </c>
      <c r="Q589" s="55">
        <v>-3255</v>
      </c>
      <c r="R589" s="55">
        <v>-4294</v>
      </c>
      <c r="S589" s="55">
        <v>-4019</v>
      </c>
      <c r="T589" s="55">
        <v>-5824</v>
      </c>
      <c r="U589" s="55">
        <v>-5712</v>
      </c>
      <c r="V589" s="55">
        <v>-5797</v>
      </c>
      <c r="W589" s="55">
        <v>-5699</v>
      </c>
      <c r="X589" s="55">
        <v>-5697</v>
      </c>
      <c r="Y589" s="55">
        <v>-5696</v>
      </c>
      <c r="Z589" s="55">
        <v>-5792</v>
      </c>
      <c r="AA589" s="55">
        <v>-5781</v>
      </c>
      <c r="AB589" s="55">
        <v>-5781</v>
      </c>
      <c r="AC589" s="55">
        <v>-5257</v>
      </c>
      <c r="AD589" s="55">
        <v>-7474</v>
      </c>
      <c r="AE589" s="55">
        <v>-6810</v>
      </c>
      <c r="AF589" s="55">
        <v>-6817</v>
      </c>
      <c r="AG589" s="55">
        <v>-7090</v>
      </c>
      <c r="AH589" s="55">
        <v>-7093</v>
      </c>
      <c r="AI589" s="55">
        <v>-8725</v>
      </c>
      <c r="AJ589" s="55">
        <v>-8523</v>
      </c>
      <c r="AK589" s="55">
        <v>-9895</v>
      </c>
      <c r="AL589" s="55">
        <v>-9492</v>
      </c>
      <c r="AM589" s="55">
        <v>-8988</v>
      </c>
      <c r="AN589" s="55">
        <v>-10838</v>
      </c>
      <c r="AO589" s="55">
        <v>-10841</v>
      </c>
      <c r="AP589" s="55">
        <v>-10825</v>
      </c>
      <c r="AQ589" s="55">
        <v>-12008</v>
      </c>
      <c r="AR589" s="55">
        <v>-10563</v>
      </c>
      <c r="AS589" s="55">
        <v>-10535</v>
      </c>
      <c r="AT589" s="55">
        <v>-9312</v>
      </c>
      <c r="AU589" s="55">
        <v>-10862</v>
      </c>
      <c r="AV589" s="55">
        <v>-10862</v>
      </c>
      <c r="AW589" s="56">
        <v>-9272</v>
      </c>
      <c r="AX589" s="55">
        <v>-9272</v>
      </c>
      <c r="AY589" s="55">
        <v>-9272</v>
      </c>
      <c r="AZ589" s="55">
        <v>-9272</v>
      </c>
      <c r="BA589" s="55">
        <v>-9272</v>
      </c>
      <c r="BB589" s="55">
        <v>-9272</v>
      </c>
      <c r="BC589" s="55">
        <v>-9272</v>
      </c>
      <c r="BD589" s="55">
        <v>-9272</v>
      </c>
      <c r="BE589" s="55">
        <v>-9272</v>
      </c>
      <c r="BF589" s="55">
        <v>-9272</v>
      </c>
      <c r="BG589" s="55">
        <v>-9272</v>
      </c>
      <c r="BH589" s="55">
        <v>-9272</v>
      </c>
      <c r="BI589" s="55">
        <v>-9272</v>
      </c>
      <c r="BJ589" s="55">
        <v>-9272</v>
      </c>
      <c r="BK589" s="55">
        <v>-9272</v>
      </c>
      <c r="BL589" s="55">
        <v>-9272</v>
      </c>
      <c r="BM589" s="55">
        <v>-9272</v>
      </c>
      <c r="BN589" s="55">
        <v>-9272</v>
      </c>
      <c r="BO589" s="55">
        <v>-9272</v>
      </c>
      <c r="BP589" s="55">
        <v>-9272</v>
      </c>
      <c r="BQ589" s="55">
        <v>-9272</v>
      </c>
      <c r="BR589" s="55"/>
      <c r="BS589" s="55">
        <v>-1437.6</v>
      </c>
      <c r="BT589" s="55">
        <v>-1601</v>
      </c>
      <c r="BU589" s="55">
        <v>-1130.3</v>
      </c>
      <c r="BV589" s="55">
        <v>-1125</v>
      </c>
      <c r="BW589" s="55">
        <v>-1014</v>
      </c>
      <c r="BX589" s="55">
        <v>-1073</v>
      </c>
      <c r="BY589" s="55">
        <v>-1306</v>
      </c>
      <c r="BZ589" s="55">
        <v>-638</v>
      </c>
      <c r="CA589" s="55">
        <v>-418</v>
      </c>
      <c r="CB589" s="55">
        <v>-1149</v>
      </c>
      <c r="CC589" s="55">
        <v>-1102</v>
      </c>
      <c r="CD589" s="55">
        <v>-1038</v>
      </c>
      <c r="CE589" s="55">
        <v>-2598</v>
      </c>
      <c r="CF589" s="55">
        <v>-2564</v>
      </c>
      <c r="CG589" s="55">
        <v>-3940</v>
      </c>
      <c r="CH589" s="55">
        <v>-2780</v>
      </c>
      <c r="CI589" s="55">
        <v>-3255</v>
      </c>
      <c r="CJ589" s="55">
        <v>-4019</v>
      </c>
      <c r="CK589" s="55">
        <v>-5712</v>
      </c>
      <c r="CL589" s="55">
        <v>-5699</v>
      </c>
      <c r="CM589" s="55">
        <v>-5696</v>
      </c>
      <c r="CN589" s="55">
        <v>-5781</v>
      </c>
      <c r="CO589" s="55">
        <v>-5257</v>
      </c>
      <c r="CP589" s="55">
        <v>-6810</v>
      </c>
      <c r="CQ589" s="55">
        <v>-7090</v>
      </c>
      <c r="CR589" s="55">
        <v>-8725</v>
      </c>
      <c r="CS589" s="55">
        <v>-9895</v>
      </c>
      <c r="CT589" s="55">
        <v>-8988</v>
      </c>
      <c r="CU589" s="55">
        <v>-10841</v>
      </c>
      <c r="CV589" s="55">
        <v>-12008</v>
      </c>
      <c r="CW589" s="55">
        <v>-10535</v>
      </c>
      <c r="CX589" s="55">
        <v>-10862</v>
      </c>
      <c r="CY589" s="56">
        <v>-9272</v>
      </c>
      <c r="CZ589" s="55">
        <v>-9272</v>
      </c>
      <c r="DA589" s="55">
        <v>-9272</v>
      </c>
      <c r="DB589" s="55">
        <v>-9272</v>
      </c>
      <c r="DC589" s="55">
        <v>-9272</v>
      </c>
      <c r="DD589" s="55">
        <v>-9272</v>
      </c>
      <c r="DE589" s="55">
        <v>-9272</v>
      </c>
      <c r="DF589" s="55">
        <v>-9272</v>
      </c>
      <c r="DG589" s="55">
        <v>-9272</v>
      </c>
      <c r="DH589" s="55">
        <v>-9272</v>
      </c>
      <c r="DI589" s="55">
        <v>-9272</v>
      </c>
    </row>
    <row r="590" spans="1:113" s="24" customFormat="1" outlineLevel="1">
      <c r="A590" s="1" t="s">
        <v>932</v>
      </c>
      <c r="B590" s="24" t="s">
        <v>575</v>
      </c>
      <c r="C590" s="82">
        <v>7179</v>
      </c>
      <c r="D590" s="82">
        <v>7503</v>
      </c>
      <c r="E590" s="82">
        <v>7772</v>
      </c>
      <c r="F590" s="82">
        <v>8360</v>
      </c>
      <c r="G590" s="82">
        <v>8488</v>
      </c>
      <c r="H590" s="82">
        <v>8089</v>
      </c>
      <c r="I590" s="82">
        <v>7730</v>
      </c>
      <c r="J590" s="82">
        <v>8669</v>
      </c>
      <c r="K590" s="82">
        <v>9317</v>
      </c>
      <c r="L590" s="82">
        <v>11774</v>
      </c>
      <c r="M590" s="82">
        <v>11475</v>
      </c>
      <c r="N590" s="82">
        <v>12768</v>
      </c>
      <c r="O590" s="82">
        <v>13793</v>
      </c>
      <c r="P590" s="82">
        <v>12153</v>
      </c>
      <c r="Q590" s="82">
        <v>12597</v>
      </c>
      <c r="R590" s="82">
        <v>15715</v>
      </c>
      <c r="S590" s="82">
        <v>18353</v>
      </c>
      <c r="T590" s="82">
        <v>20302</v>
      </c>
      <c r="U590" s="82">
        <v>19950</v>
      </c>
      <c r="V590" s="82">
        <v>20999</v>
      </c>
      <c r="W590" s="82">
        <v>21575</v>
      </c>
      <c r="X590" s="82">
        <v>22837</v>
      </c>
      <c r="Y590" s="82">
        <v>23664</v>
      </c>
      <c r="Z590" s="82">
        <v>25049</v>
      </c>
      <c r="AA590" s="82">
        <v>27030</v>
      </c>
      <c r="AB590" s="82">
        <v>28538</v>
      </c>
      <c r="AC590" s="82">
        <v>31412</v>
      </c>
      <c r="AD590" s="82">
        <v>32585</v>
      </c>
      <c r="AE590" s="82">
        <v>33398</v>
      </c>
      <c r="AF590" s="82">
        <v>41155</v>
      </c>
      <c r="AG590" s="82">
        <v>41663</v>
      </c>
      <c r="AH590" s="82">
        <v>43325</v>
      </c>
      <c r="AI590" s="82">
        <v>44159</v>
      </c>
      <c r="AJ590" s="82">
        <v>45840</v>
      </c>
      <c r="AK590" s="82">
        <v>46470</v>
      </c>
      <c r="AL590" s="82">
        <v>48026</v>
      </c>
      <c r="AM590" s="82">
        <v>48367</v>
      </c>
      <c r="AN590" s="82">
        <v>52380</v>
      </c>
      <c r="AO590" s="82">
        <v>52573</v>
      </c>
      <c r="AP590" s="82">
        <v>57075</v>
      </c>
      <c r="AQ590" s="82">
        <v>58836</v>
      </c>
      <c r="AR590" s="82">
        <v>55464</v>
      </c>
      <c r="AS590" s="82">
        <v>57023</v>
      </c>
      <c r="AT590" s="82">
        <v>57552</v>
      </c>
      <c r="AU590" s="82">
        <v>56909</v>
      </c>
      <c r="AV590" s="82">
        <v>57231</v>
      </c>
      <c r="AW590" s="83">
        <v>57691</v>
      </c>
      <c r="AX590" s="82">
        <v>58078.194280010895</v>
      </c>
      <c r="AY590" s="82">
        <v>58691.084859786701</v>
      </c>
      <c r="AZ590" s="82">
        <v>59144.993803016492</v>
      </c>
      <c r="BA590" s="82">
        <v>60063.948018759547</v>
      </c>
      <c r="BB590" s="82">
        <v>60541.200273445123</v>
      </c>
      <c r="BC590" s="82">
        <v>61675.933870455483</v>
      </c>
      <c r="BD590" s="82">
        <v>62408.587578578095</v>
      </c>
      <c r="BE590" s="82">
        <v>63714.606395688461</v>
      </c>
      <c r="BF590" s="82">
        <v>64597.287241431972</v>
      </c>
      <c r="BG590" s="82">
        <v>65976.801761905313</v>
      </c>
      <c r="BH590" s="82">
        <v>66984.767864128182</v>
      </c>
      <c r="BI590" s="82">
        <v>68384.575197625294</v>
      </c>
      <c r="BJ590" s="82">
        <v>68769.984758663166</v>
      </c>
      <c r="BK590" s="82">
        <v>69256.427730700976</v>
      </c>
      <c r="BL590" s="82">
        <v>69872.536406921368</v>
      </c>
      <c r="BM590" s="82">
        <v>71384.754491217202</v>
      </c>
      <c r="BN590" s="82">
        <v>73227.36703456231</v>
      </c>
      <c r="BO590" s="82">
        <v>74594.6925171482</v>
      </c>
      <c r="BP590" s="82">
        <v>75663.767048771828</v>
      </c>
      <c r="BQ590" s="82">
        <v>77089.843476361246</v>
      </c>
      <c r="BR590" s="82"/>
      <c r="BS590" s="82">
        <v>4791.3999999999996</v>
      </c>
      <c r="BT590" s="82">
        <v>4945.5</v>
      </c>
      <c r="BU590" s="82">
        <v>5423.8</v>
      </c>
      <c r="BV590" s="82">
        <v>6087</v>
      </c>
      <c r="BW590" s="82">
        <v>6750</v>
      </c>
      <c r="BX590" s="82">
        <v>6395</v>
      </c>
      <c r="BY590" s="82">
        <v>6311</v>
      </c>
      <c r="BZ590" s="82">
        <v>6383</v>
      </c>
      <c r="CA590" s="82">
        <v>9200</v>
      </c>
      <c r="CB590" s="82">
        <v>7179</v>
      </c>
      <c r="CC590" s="82">
        <v>7772</v>
      </c>
      <c r="CD590" s="82">
        <v>8488</v>
      </c>
      <c r="CE590" s="82">
        <v>7730</v>
      </c>
      <c r="CF590" s="82">
        <v>9317</v>
      </c>
      <c r="CG590" s="82">
        <v>11475</v>
      </c>
      <c r="CH590" s="82">
        <v>13793</v>
      </c>
      <c r="CI590" s="82">
        <v>12597</v>
      </c>
      <c r="CJ590" s="82">
        <v>18353</v>
      </c>
      <c r="CK590" s="82">
        <v>19950</v>
      </c>
      <c r="CL590" s="82">
        <v>21575</v>
      </c>
      <c r="CM590" s="82">
        <v>23664</v>
      </c>
      <c r="CN590" s="82">
        <v>27030</v>
      </c>
      <c r="CO590" s="82">
        <v>31412</v>
      </c>
      <c r="CP590" s="82">
        <v>33398</v>
      </c>
      <c r="CQ590" s="82">
        <v>41663</v>
      </c>
      <c r="CR590" s="82">
        <v>44159</v>
      </c>
      <c r="CS590" s="82">
        <v>46470</v>
      </c>
      <c r="CT590" s="82">
        <v>48367</v>
      </c>
      <c r="CU590" s="82">
        <v>52573</v>
      </c>
      <c r="CV590" s="82">
        <v>58836</v>
      </c>
      <c r="CW590" s="82">
        <v>57023</v>
      </c>
      <c r="CX590" s="82">
        <v>56909</v>
      </c>
      <c r="CY590" s="83">
        <v>57691</v>
      </c>
      <c r="CZ590" s="82">
        <v>58691.084859786686</v>
      </c>
      <c r="DA590" s="82">
        <v>60063.948018759533</v>
      </c>
      <c r="DB590" s="82">
        <v>61675.933870455483</v>
      </c>
      <c r="DC590" s="82">
        <v>63714.606395688461</v>
      </c>
      <c r="DD590" s="82">
        <v>65976.801761905313</v>
      </c>
      <c r="DE590" s="82">
        <v>68384.575197625294</v>
      </c>
      <c r="DF590" s="82">
        <v>69256.427730700976</v>
      </c>
      <c r="DG590" s="82">
        <v>71384.754491217202</v>
      </c>
      <c r="DH590" s="82">
        <v>74594.692517148214</v>
      </c>
      <c r="DI590" s="82">
        <v>77089.843476361275</v>
      </c>
    </row>
    <row r="591" spans="1:113" s="24" customFormat="1" outlineLevel="1">
      <c r="A591" s="1" t="s">
        <v>2402</v>
      </c>
      <c r="B591" s="19" t="s">
        <v>2403</v>
      </c>
      <c r="C591" s="82"/>
      <c r="D591" s="82"/>
      <c r="E591" s="82"/>
      <c r="F591" s="82"/>
      <c r="G591" s="82"/>
      <c r="H591" s="82"/>
      <c r="I591" s="82"/>
      <c r="J591" s="82"/>
      <c r="K591" s="82"/>
      <c r="L591" s="82"/>
      <c r="M591" s="82"/>
      <c r="N591" s="82"/>
      <c r="O591" s="82"/>
      <c r="P591" s="82"/>
      <c r="Q591" s="82"/>
      <c r="R591" s="82"/>
      <c r="S591" s="82"/>
      <c r="T591" s="82"/>
      <c r="U591" s="82"/>
      <c r="V591" s="82"/>
      <c r="W591" s="82"/>
      <c r="X591" s="82"/>
      <c r="Y591" s="55"/>
      <c r="Z591" s="55"/>
      <c r="AA591" s="55">
        <v>3097.9896000000003</v>
      </c>
      <c r="AB591" s="55">
        <v>3288.2561000000005</v>
      </c>
      <c r="AC591" s="55">
        <v>3546.4580000000005</v>
      </c>
      <c r="AD591" s="55">
        <v>3682.1576000000005</v>
      </c>
      <c r="AE591" s="55">
        <v>3782.2652000000003</v>
      </c>
      <c r="AF591" s="55">
        <v>4547.4282000000003</v>
      </c>
      <c r="AG591" s="55">
        <v>4600.4337000000005</v>
      </c>
      <c r="AH591" s="55">
        <v>4812.6291000000001</v>
      </c>
      <c r="AI591" s="55">
        <v>4984.081900000001</v>
      </c>
      <c r="AJ591" s="55">
        <v>5201.1704</v>
      </c>
      <c r="AK591" s="55">
        <v>5289.0568000000003</v>
      </c>
      <c r="AL591" s="55">
        <v>5475.4014720336145</v>
      </c>
      <c r="AM591" s="55">
        <v>5515.8430000000008</v>
      </c>
      <c r="AN591" s="55">
        <v>5911.7309999999998</v>
      </c>
      <c r="AO591" s="55">
        <v>5402</v>
      </c>
      <c r="AP591" s="55">
        <v>4973</v>
      </c>
      <c r="AQ591" s="55">
        <v>6424.4160000000011</v>
      </c>
      <c r="AR591" s="55">
        <v>6065.5197000000007</v>
      </c>
      <c r="AS591" s="55">
        <v>5024</v>
      </c>
      <c r="AT591" s="55">
        <v>4244</v>
      </c>
      <c r="AU591" s="55">
        <v>4081</v>
      </c>
      <c r="AV591" s="55">
        <v>4180</v>
      </c>
      <c r="AW591" s="56">
        <v>4357</v>
      </c>
      <c r="AX591" s="55">
        <v>4357</v>
      </c>
      <c r="AY591" s="55">
        <v>4357</v>
      </c>
      <c r="AZ591" s="55">
        <v>4357</v>
      </c>
      <c r="BA591" s="55">
        <v>4357</v>
      </c>
      <c r="BB591" s="55">
        <v>4357</v>
      </c>
      <c r="BC591" s="55">
        <v>4357</v>
      </c>
      <c r="BD591" s="55">
        <v>4357</v>
      </c>
      <c r="BE591" s="55">
        <v>4357</v>
      </c>
      <c r="BF591" s="55">
        <v>4357</v>
      </c>
      <c r="BG591" s="55">
        <v>4357</v>
      </c>
      <c r="BH591" s="55">
        <v>4357</v>
      </c>
      <c r="BI591" s="55">
        <v>4357</v>
      </c>
      <c r="BJ591" s="55">
        <v>4357</v>
      </c>
      <c r="BK591" s="55">
        <v>4357</v>
      </c>
      <c r="BL591" s="55">
        <v>4357</v>
      </c>
      <c r="BM591" s="55">
        <v>4357</v>
      </c>
      <c r="BN591" s="55">
        <v>4357</v>
      </c>
      <c r="BO591" s="55">
        <v>4357</v>
      </c>
      <c r="BP591" s="55">
        <v>4357</v>
      </c>
      <c r="BQ591" s="55">
        <v>4357</v>
      </c>
      <c r="BR591" s="82"/>
      <c r="BS591" s="55"/>
      <c r="BT591" s="55"/>
      <c r="BU591" s="55"/>
      <c r="BV591" s="55"/>
      <c r="BW591" s="55"/>
      <c r="BX591" s="55"/>
      <c r="BY591" s="55"/>
      <c r="BZ591" s="55"/>
      <c r="CA591" s="55">
        <v>0</v>
      </c>
      <c r="CB591" s="55">
        <v>0</v>
      </c>
      <c r="CC591" s="55">
        <v>0</v>
      </c>
      <c r="CD591" s="55">
        <v>0</v>
      </c>
      <c r="CE591" s="55">
        <v>0</v>
      </c>
      <c r="CF591" s="55">
        <v>0</v>
      </c>
      <c r="CG591" s="55">
        <v>0</v>
      </c>
      <c r="CH591" s="55">
        <v>0</v>
      </c>
      <c r="CI591" s="55">
        <v>0</v>
      </c>
      <c r="CJ591" s="55">
        <v>0</v>
      </c>
      <c r="CK591" s="55">
        <v>0</v>
      </c>
      <c r="CL591" s="55">
        <v>0</v>
      </c>
      <c r="CM591" s="55">
        <v>0</v>
      </c>
      <c r="CN591" s="55">
        <v>3097.9896000000003</v>
      </c>
      <c r="CO591" s="55">
        <v>3546.4580000000005</v>
      </c>
      <c r="CP591" s="55">
        <v>3782.2652000000003</v>
      </c>
      <c r="CQ591" s="55">
        <v>4600.4337000000005</v>
      </c>
      <c r="CR591" s="55">
        <v>4984.081900000001</v>
      </c>
      <c r="CS591" s="55">
        <v>5289.0568000000003</v>
      </c>
      <c r="CT591" s="55">
        <v>5515.8430000000008</v>
      </c>
      <c r="CU591" s="55">
        <v>5402</v>
      </c>
      <c r="CV591" s="55">
        <v>6424.4160000000011</v>
      </c>
      <c r="CW591" s="55">
        <v>5024</v>
      </c>
      <c r="CX591" s="55">
        <v>4081</v>
      </c>
      <c r="CY591" s="56">
        <v>4357</v>
      </c>
      <c r="CZ591" s="55">
        <v>4357</v>
      </c>
      <c r="DA591" s="55">
        <v>4357</v>
      </c>
      <c r="DB591" s="55">
        <v>4357</v>
      </c>
      <c r="DC591" s="55">
        <v>4357</v>
      </c>
      <c r="DD591" s="55">
        <v>4357</v>
      </c>
      <c r="DE591" s="55">
        <v>4357</v>
      </c>
      <c r="DF591" s="55">
        <v>4357</v>
      </c>
      <c r="DG591" s="55">
        <v>4357</v>
      </c>
      <c r="DH591" s="55">
        <v>4357</v>
      </c>
      <c r="DI591" s="55">
        <v>4357</v>
      </c>
    </row>
    <row r="592" spans="1:113" s="24" customFormat="1" outlineLevel="1">
      <c r="A592" s="1" t="s">
        <v>2404</v>
      </c>
      <c r="B592" s="19" t="s">
        <v>2405</v>
      </c>
      <c r="C592" s="82"/>
      <c r="D592" s="82"/>
      <c r="E592" s="82"/>
      <c r="F592" s="82"/>
      <c r="G592" s="82"/>
      <c r="H592" s="82"/>
      <c r="I592" s="82"/>
      <c r="J592" s="82"/>
      <c r="K592" s="82"/>
      <c r="L592" s="82"/>
      <c r="M592" s="82"/>
      <c r="N592" s="82"/>
      <c r="O592" s="82"/>
      <c r="P592" s="82"/>
      <c r="Q592" s="82"/>
      <c r="R592" s="82"/>
      <c r="S592" s="82"/>
      <c r="T592" s="82"/>
      <c r="U592" s="82"/>
      <c r="V592" s="82"/>
      <c r="W592" s="82"/>
      <c r="X592" s="82"/>
      <c r="Y592" s="82"/>
      <c r="Z592" s="55"/>
      <c r="AA592" s="55">
        <v>851.90639999999985</v>
      </c>
      <c r="AB592" s="55">
        <v>1056.3049000000028</v>
      </c>
      <c r="AC592" s="55">
        <v>506.12200000000303</v>
      </c>
      <c r="AD592" s="55">
        <v>554.41840000000229</v>
      </c>
      <c r="AE592" s="55">
        <v>642.38680000000022</v>
      </c>
      <c r="AF592" s="55">
        <v>-228.14620000000286</v>
      </c>
      <c r="AG592" s="55">
        <v>-259.09670000000187</v>
      </c>
      <c r="AH592" s="55">
        <v>-11.33810000000085</v>
      </c>
      <c r="AI592" s="55">
        <v>697.73709999999846</v>
      </c>
      <c r="AJ592" s="55">
        <v>970.5335999999952</v>
      </c>
      <c r="AK592" s="55">
        <v>1131.5112000000008</v>
      </c>
      <c r="AL592" s="55">
        <v>1252.6132483025285</v>
      </c>
      <c r="AM592" s="55">
        <v>1275.5869999999995</v>
      </c>
      <c r="AN592" s="55">
        <v>825.5789999999979</v>
      </c>
      <c r="AO592" s="55">
        <v>967.27199999999721</v>
      </c>
      <c r="AP592" s="55">
        <v>924.00800000000163</v>
      </c>
      <c r="AQ592" s="55">
        <v>-1016.2559999999939</v>
      </c>
      <c r="AR592" s="55">
        <v>-874.32270000000426</v>
      </c>
      <c r="AS592" s="55">
        <v>452.81199999999808</v>
      </c>
      <c r="AT592" s="55">
        <v>1304.1800000000003</v>
      </c>
      <c r="AU592" s="55">
        <v>4342.8559999999998</v>
      </c>
      <c r="AV592" s="55">
        <v>3701.948000000004</v>
      </c>
      <c r="AW592" s="56">
        <v>3591.3669999999984</v>
      </c>
      <c r="AX592" s="55">
        <v>3591.3669999999984</v>
      </c>
      <c r="AY592" s="55">
        <v>3591.3669999999984</v>
      </c>
      <c r="AZ592" s="55">
        <v>3591.3669999999984</v>
      </c>
      <c r="BA592" s="55">
        <v>3591.3669999999984</v>
      </c>
      <c r="BB592" s="55">
        <v>3591.3669999999984</v>
      </c>
      <c r="BC592" s="55">
        <v>3591.3669999999984</v>
      </c>
      <c r="BD592" s="55">
        <v>3591.3669999999984</v>
      </c>
      <c r="BE592" s="55">
        <v>3591.3669999999984</v>
      </c>
      <c r="BF592" s="55">
        <v>3591.3669999999984</v>
      </c>
      <c r="BG592" s="55">
        <v>3591.3669999999984</v>
      </c>
      <c r="BH592" s="55">
        <v>3591.3669999999984</v>
      </c>
      <c r="BI592" s="55">
        <v>3591.3669999999984</v>
      </c>
      <c r="BJ592" s="55">
        <v>3591.3669999999984</v>
      </c>
      <c r="BK592" s="55">
        <v>3591.3669999999984</v>
      </c>
      <c r="BL592" s="55">
        <v>3591.3669999999984</v>
      </c>
      <c r="BM592" s="55">
        <v>3591.3669999999984</v>
      </c>
      <c r="BN592" s="55">
        <v>3591.3669999999984</v>
      </c>
      <c r="BO592" s="55">
        <v>3591.3669999999984</v>
      </c>
      <c r="BP592" s="55">
        <v>3591.3669999999984</v>
      </c>
      <c r="BQ592" s="55">
        <v>3591.3669999999984</v>
      </c>
      <c r="BR592" s="82"/>
      <c r="BS592" s="82"/>
      <c r="BT592" s="82"/>
      <c r="BU592" s="82"/>
      <c r="BV592" s="82"/>
      <c r="BW592" s="82"/>
      <c r="BX592" s="82"/>
      <c r="BY592" s="82"/>
      <c r="BZ592" s="82"/>
      <c r="CA592" s="55">
        <v>0</v>
      </c>
      <c r="CB592" s="55">
        <v>0</v>
      </c>
      <c r="CC592" s="55">
        <v>0</v>
      </c>
      <c r="CD592" s="55">
        <v>0</v>
      </c>
      <c r="CE592" s="55">
        <v>0</v>
      </c>
      <c r="CF592" s="55">
        <v>0</v>
      </c>
      <c r="CG592" s="55">
        <v>0</v>
      </c>
      <c r="CH592" s="55">
        <v>0</v>
      </c>
      <c r="CI592" s="55">
        <v>0</v>
      </c>
      <c r="CJ592" s="55">
        <v>0</v>
      </c>
      <c r="CK592" s="55">
        <v>0</v>
      </c>
      <c r="CL592" s="55">
        <v>0</v>
      </c>
      <c r="CM592" s="55">
        <v>0</v>
      </c>
      <c r="CN592" s="55">
        <v>851.90639999999985</v>
      </c>
      <c r="CO592" s="55">
        <v>506.12200000000303</v>
      </c>
      <c r="CP592" s="55">
        <v>642.38680000000022</v>
      </c>
      <c r="CQ592" s="55">
        <v>-259.09670000000187</v>
      </c>
      <c r="CR592" s="55">
        <v>697.73709999999846</v>
      </c>
      <c r="CS592" s="55">
        <v>1131.5112000000008</v>
      </c>
      <c r="CT592" s="55">
        <v>1275.5869999999995</v>
      </c>
      <c r="CU592" s="55">
        <v>967.27199999999721</v>
      </c>
      <c r="CV592" s="55">
        <v>-1016.2559999999939</v>
      </c>
      <c r="CW592" s="55">
        <v>452.81199999999808</v>
      </c>
      <c r="CX592" s="55">
        <v>4342.8559999999998</v>
      </c>
      <c r="CY592" s="56">
        <v>3591.3669999999984</v>
      </c>
      <c r="CZ592" s="55">
        <v>3591.3669999999984</v>
      </c>
      <c r="DA592" s="55">
        <v>3591.3669999999984</v>
      </c>
      <c r="DB592" s="55">
        <v>3591.3669999999984</v>
      </c>
      <c r="DC592" s="55">
        <v>3591.3669999999984</v>
      </c>
      <c r="DD592" s="55">
        <v>3591.3669999999984</v>
      </c>
      <c r="DE592" s="55">
        <v>3591.3669999999984</v>
      </c>
      <c r="DF592" s="55">
        <v>3591.3669999999984</v>
      </c>
      <c r="DG592" s="55">
        <v>3591.3669999999984</v>
      </c>
      <c r="DH592" s="55">
        <v>3591.3669999999984</v>
      </c>
      <c r="DI592" s="55">
        <v>3591.3669999999984</v>
      </c>
    </row>
    <row r="593" spans="1:113" s="24" customFormat="1" outlineLevel="1">
      <c r="A593" s="1" t="s">
        <v>2406</v>
      </c>
      <c r="B593" s="24" t="s">
        <v>2407</v>
      </c>
      <c r="C593" s="82"/>
      <c r="D593" s="82"/>
      <c r="E593" s="82"/>
      <c r="F593" s="82"/>
      <c r="G593" s="82"/>
      <c r="H593" s="82"/>
      <c r="I593" s="82"/>
      <c r="J593" s="82"/>
      <c r="K593" s="82"/>
      <c r="L593" s="82"/>
      <c r="M593" s="82"/>
      <c r="N593" s="82"/>
      <c r="O593" s="82"/>
      <c r="P593" s="82"/>
      <c r="Q593" s="82"/>
      <c r="R593" s="82"/>
      <c r="S593" s="82"/>
      <c r="T593" s="82"/>
      <c r="U593" s="82"/>
      <c r="V593" s="82"/>
      <c r="W593" s="82"/>
      <c r="X593" s="82"/>
      <c r="Y593" s="82"/>
      <c r="Z593" s="166"/>
      <c r="AA593" s="166">
        <v>30979.896000000001</v>
      </c>
      <c r="AB593" s="166">
        <v>32882.561000000002</v>
      </c>
      <c r="AC593" s="166">
        <v>35464.58</v>
      </c>
      <c r="AD593" s="166">
        <v>36821.576000000001</v>
      </c>
      <c r="AE593" s="166">
        <v>37822.652000000002</v>
      </c>
      <c r="AF593" s="166">
        <v>45474.281999999999</v>
      </c>
      <c r="AG593" s="166">
        <v>46004.337</v>
      </c>
      <c r="AH593" s="166">
        <v>48126.290999999997</v>
      </c>
      <c r="AI593" s="166">
        <v>49840.819000000003</v>
      </c>
      <c r="AJ593" s="166">
        <v>52011.703999999998</v>
      </c>
      <c r="AK593" s="166">
        <v>52890.567999999999</v>
      </c>
      <c r="AL593" s="166">
        <v>54754.014720336141</v>
      </c>
      <c r="AM593" s="166">
        <v>55158.43</v>
      </c>
      <c r="AN593" s="166">
        <v>59117.31</v>
      </c>
      <c r="AO593" s="166">
        <v>58942.271999999997</v>
      </c>
      <c r="AP593" s="166">
        <v>62972.008000000002</v>
      </c>
      <c r="AQ593" s="166">
        <v>64244.160000000003</v>
      </c>
      <c r="AR593" s="166">
        <v>60655.197</v>
      </c>
      <c r="AS593" s="798">
        <v>62499.811999999998</v>
      </c>
      <c r="AT593" s="798">
        <v>63100.18</v>
      </c>
      <c r="AU593" s="798">
        <v>65332.856</v>
      </c>
      <c r="AV593" s="798">
        <v>65112.948000000004</v>
      </c>
      <c r="AW593" s="167">
        <v>65639.366999999998</v>
      </c>
      <c r="AX593" s="82">
        <v>66026.561280010894</v>
      </c>
      <c r="AY593" s="82">
        <v>66639.451859786699</v>
      </c>
      <c r="AZ593" s="82">
        <v>67093.360803016491</v>
      </c>
      <c r="BA593" s="82">
        <v>68012.315018759546</v>
      </c>
      <c r="BB593" s="82">
        <v>68489.567273445122</v>
      </c>
      <c r="BC593" s="82">
        <v>69624.300870455481</v>
      </c>
      <c r="BD593" s="82">
        <v>70356.954578578094</v>
      </c>
      <c r="BE593" s="82">
        <v>71662.973395688459</v>
      </c>
      <c r="BF593" s="82">
        <v>72545.65424143197</v>
      </c>
      <c r="BG593" s="82">
        <v>73925.168761905312</v>
      </c>
      <c r="BH593" s="82">
        <v>74933.13486412818</v>
      </c>
      <c r="BI593" s="82">
        <v>76332.942197625292</v>
      </c>
      <c r="BJ593" s="82">
        <v>76718.351758663164</v>
      </c>
      <c r="BK593" s="82">
        <v>77204.794730700974</v>
      </c>
      <c r="BL593" s="82">
        <v>77820.903406921367</v>
      </c>
      <c r="BM593" s="82">
        <v>79333.1214912172</v>
      </c>
      <c r="BN593" s="82">
        <v>81175.734034562309</v>
      </c>
      <c r="BO593" s="82">
        <v>82543.059517148198</v>
      </c>
      <c r="BP593" s="82">
        <v>83612.134048771826</v>
      </c>
      <c r="BQ593" s="82">
        <v>85038.210476361244</v>
      </c>
      <c r="BR593" s="82"/>
      <c r="BS593" s="82"/>
      <c r="BT593" s="82"/>
      <c r="BU593" s="82"/>
      <c r="BV593" s="82"/>
      <c r="BW593" s="82"/>
      <c r="BX593" s="82"/>
      <c r="BY593" s="82"/>
      <c r="BZ593" s="82"/>
      <c r="CA593" s="82">
        <v>0</v>
      </c>
      <c r="CB593" s="82">
        <v>0</v>
      </c>
      <c r="CC593" s="82">
        <v>0</v>
      </c>
      <c r="CD593" s="82">
        <v>0</v>
      </c>
      <c r="CE593" s="82">
        <v>0</v>
      </c>
      <c r="CF593" s="82">
        <v>0</v>
      </c>
      <c r="CG593" s="82">
        <v>0</v>
      </c>
      <c r="CH593" s="82">
        <v>0</v>
      </c>
      <c r="CI593" s="82">
        <v>0</v>
      </c>
      <c r="CJ593" s="82">
        <v>0</v>
      </c>
      <c r="CK593" s="82">
        <v>0</v>
      </c>
      <c r="CL593" s="82">
        <v>0</v>
      </c>
      <c r="CM593" s="82">
        <v>0</v>
      </c>
      <c r="CN593" s="82">
        <v>30979.896000000001</v>
      </c>
      <c r="CO593" s="82">
        <v>35464.58</v>
      </c>
      <c r="CP593" s="82">
        <v>37822.652000000002</v>
      </c>
      <c r="CQ593" s="82">
        <v>46004.337</v>
      </c>
      <c r="CR593" s="82">
        <v>49840.819000000003</v>
      </c>
      <c r="CS593" s="82">
        <v>52890.567999999999</v>
      </c>
      <c r="CT593" s="82">
        <v>55158.43</v>
      </c>
      <c r="CU593" s="82">
        <v>58942.271999999997</v>
      </c>
      <c r="CV593" s="82">
        <v>64244.160000000003</v>
      </c>
      <c r="CW593" s="82">
        <v>62499.811999999998</v>
      </c>
      <c r="CX593" s="82">
        <v>65332.856</v>
      </c>
      <c r="CY593" s="83">
        <v>65639.366999999998</v>
      </c>
      <c r="CZ593" s="82">
        <v>66639.451859786685</v>
      </c>
      <c r="DA593" s="82">
        <v>68012.315018759531</v>
      </c>
      <c r="DB593" s="82">
        <v>69624.300870455481</v>
      </c>
      <c r="DC593" s="82">
        <v>71662.973395688459</v>
      </c>
      <c r="DD593" s="82">
        <v>73925.168761905312</v>
      </c>
      <c r="DE593" s="82">
        <v>76332.942197625292</v>
      </c>
      <c r="DF593" s="82">
        <v>77204.794730700974</v>
      </c>
      <c r="DG593" s="82">
        <v>79333.1214912172</v>
      </c>
      <c r="DH593" s="82">
        <v>82543.059517148213</v>
      </c>
      <c r="DI593" s="82">
        <v>85038.210476361273</v>
      </c>
    </row>
    <row r="594" spans="1:113" outlineLevel="1">
      <c r="C594" s="55"/>
      <c r="D594" s="55"/>
      <c r="E594" s="55"/>
      <c r="F594" s="55"/>
      <c r="G594" s="55"/>
      <c r="H594" s="55"/>
      <c r="I594" s="55"/>
      <c r="J594" s="55"/>
      <c r="K594" s="55"/>
      <c r="L594" s="55"/>
      <c r="M594" s="55"/>
      <c r="N594" s="55"/>
      <c r="O594" s="55"/>
      <c r="P594" s="55"/>
      <c r="Q594" s="55"/>
      <c r="R594" s="55"/>
      <c r="S594" s="55"/>
      <c r="T594" s="55"/>
      <c r="U594" s="55"/>
      <c r="V594" s="55"/>
      <c r="W594" s="55"/>
      <c r="X594" s="55"/>
      <c r="Y594" s="55"/>
      <c r="Z594" s="55"/>
      <c r="AA594" s="55"/>
      <c r="AB594" s="55"/>
      <c r="AC594" s="55"/>
      <c r="AD594" s="55"/>
      <c r="AE594" s="55"/>
      <c r="AF594" s="55"/>
      <c r="AG594" s="55"/>
      <c r="AH594" s="55"/>
      <c r="AI594" s="55"/>
      <c r="AJ594" s="55"/>
      <c r="AK594" s="55"/>
      <c r="AL594" s="55"/>
      <c r="AM594" s="55"/>
      <c r="AN594" s="55"/>
      <c r="AO594" s="55"/>
      <c r="AP594" s="55"/>
      <c r="AQ594" s="55"/>
      <c r="AR594" s="55"/>
      <c r="AS594" s="55"/>
      <c r="AT594" s="55"/>
      <c r="AU594" s="55"/>
      <c r="AV594" s="55"/>
      <c r="AW594" s="56"/>
      <c r="AX594" s="55"/>
      <c r="AY594" s="55"/>
      <c r="AZ594" s="55"/>
      <c r="BA594" s="55"/>
      <c r="BB594" s="55"/>
      <c r="BC594" s="55"/>
      <c r="BD594" s="55"/>
      <c r="BE594" s="55"/>
      <c r="BF594" s="55"/>
      <c r="BG594" s="55"/>
      <c r="BH594" s="55"/>
      <c r="BI594" s="55"/>
      <c r="BJ594" s="55"/>
      <c r="BK594" s="55"/>
      <c r="BL594" s="55"/>
      <c r="BM594" s="55"/>
      <c r="BN594" s="55"/>
      <c r="BO594" s="55"/>
      <c r="BP594" s="55"/>
      <c r="BQ594" s="55"/>
      <c r="BR594" s="55"/>
      <c r="BS594" s="55"/>
      <c r="BT594" s="55"/>
      <c r="BU594" s="55"/>
      <c r="BV594" s="55"/>
      <c r="BW594" s="55"/>
      <c r="BX594" s="55"/>
      <c r="BY594" s="55"/>
      <c r="BZ594" s="55"/>
      <c r="CA594" s="55"/>
      <c r="CB594" s="55"/>
      <c r="CC594" s="55"/>
      <c r="CD594" s="55"/>
      <c r="CE594" s="55"/>
      <c r="CF594" s="55"/>
      <c r="CG594" s="55"/>
      <c r="CH594" s="55"/>
      <c r="CI594" s="55"/>
      <c r="CJ594" s="55"/>
      <c r="CK594" s="55"/>
      <c r="CL594" s="55"/>
      <c r="CM594" s="55"/>
      <c r="CN594" s="55"/>
      <c r="CO594" s="55"/>
      <c r="CP594" s="55"/>
      <c r="CQ594" s="55"/>
      <c r="CR594" s="55"/>
      <c r="CS594" s="55"/>
      <c r="CT594" s="55"/>
      <c r="CU594" s="55"/>
      <c r="CV594" s="55"/>
      <c r="CW594" s="55"/>
      <c r="CX594" s="55"/>
      <c r="CY594" s="56"/>
      <c r="CZ594" s="55"/>
      <c r="DA594" s="55"/>
      <c r="DB594" s="55"/>
    </row>
    <row r="595" spans="1:113" s="24" customFormat="1" outlineLevel="1">
      <c r="A595" s="1" t="s">
        <v>933</v>
      </c>
      <c r="B595" s="24" t="s">
        <v>576</v>
      </c>
      <c r="C595" s="82">
        <v>259.84999999999945</v>
      </c>
      <c r="D595" s="82">
        <v>589.44999999999982</v>
      </c>
      <c r="E595" s="82">
        <v>719.54999999999927</v>
      </c>
      <c r="F595" s="82">
        <v>1171.4499999999998</v>
      </c>
      <c r="G595" s="82">
        <v>1147.5999999999995</v>
      </c>
      <c r="H595" s="82">
        <v>215.44999999999982</v>
      </c>
      <c r="I595" s="82">
        <v>-736.05000000000109</v>
      </c>
      <c r="J595" s="82">
        <v>-364.70000000000073</v>
      </c>
      <c r="K595" s="82">
        <v>-160.95000000000073</v>
      </c>
      <c r="L595" s="82">
        <v>1640.6499999999996</v>
      </c>
      <c r="M595" s="82">
        <v>653.09999999999854</v>
      </c>
      <c r="N595" s="82">
        <v>1039.5499999999993</v>
      </c>
      <c r="O595" s="82">
        <v>1525.6499999999996</v>
      </c>
      <c r="P595" s="82">
        <v>2241.5999999999985</v>
      </c>
      <c r="Q595" s="82">
        <v>2321.9499999999989</v>
      </c>
      <c r="R595" s="82">
        <v>161.21500000000015</v>
      </c>
      <c r="S595" s="82">
        <v>-421.34000000000015</v>
      </c>
      <c r="T595" s="82">
        <v>967.81499999999869</v>
      </c>
      <c r="U595" s="82">
        <v>1046.6349999999984</v>
      </c>
      <c r="V595" s="82">
        <v>2437.4049999999988</v>
      </c>
      <c r="W595" s="82">
        <v>-2676.2545000000027</v>
      </c>
      <c r="X595" s="82">
        <v>-3423.6075000000019</v>
      </c>
      <c r="Y595" s="82">
        <v>-2270.9025000000001</v>
      </c>
      <c r="Z595" s="82">
        <v>-452.41649999999936</v>
      </c>
      <c r="AA595" s="82">
        <v>-125.53499999999985</v>
      </c>
      <c r="AB595" s="82">
        <v>-704.23749999999927</v>
      </c>
      <c r="AC595" s="82">
        <v>1861.9375000000036</v>
      </c>
      <c r="AD595" s="82">
        <v>810.68000000000029</v>
      </c>
      <c r="AE595" s="82">
        <v>213.11000000000058</v>
      </c>
      <c r="AF595" s="82">
        <v>1888.7999999999956</v>
      </c>
      <c r="AG595" s="82">
        <v>2196.2999999999956</v>
      </c>
      <c r="AH595" s="82">
        <v>-323.10000000000582</v>
      </c>
      <c r="AI595" s="82">
        <v>-1732.614999999998</v>
      </c>
      <c r="AJ595" s="82">
        <v>-447.77999999999884</v>
      </c>
      <c r="AK595" s="82">
        <v>-1684.2599999999948</v>
      </c>
      <c r="AL595" s="82">
        <v>1285.8800000000047</v>
      </c>
      <c r="AM595" s="82">
        <v>826.99000000000524</v>
      </c>
      <c r="AN595" s="82">
        <v>5218.8300000000017</v>
      </c>
      <c r="AO595" s="82">
        <v>4803.4599999999991</v>
      </c>
      <c r="AP595" s="82">
        <v>9445.32</v>
      </c>
      <c r="AQ595" s="82">
        <v>11514.599999999999</v>
      </c>
      <c r="AR595" s="82">
        <v>5911.6650000000009</v>
      </c>
      <c r="AS595" s="82">
        <v>4744.3400000000038</v>
      </c>
      <c r="AT595" s="82">
        <v>4592.0999999999985</v>
      </c>
      <c r="AU595" s="82">
        <v>5429.8799999999974</v>
      </c>
      <c r="AV595" s="82">
        <v>6230.1599999999962</v>
      </c>
      <c r="AW595" s="83">
        <v>6260.3899999999994</v>
      </c>
      <c r="AX595" s="82">
        <v>5685.9602476738437</v>
      </c>
      <c r="AY595" s="82">
        <v>5463.9401773151912</v>
      </c>
      <c r="AZ595" s="82">
        <v>4867.0746198403867</v>
      </c>
      <c r="BA595" s="82">
        <v>4945.6957215732909</v>
      </c>
      <c r="BB595" s="82">
        <v>4555.5627207466096</v>
      </c>
      <c r="BC595" s="82">
        <v>4679.2023297746637</v>
      </c>
      <c r="BD595" s="82">
        <v>4380.5655017221434</v>
      </c>
      <c r="BE595" s="82">
        <v>4634.7024655260175</v>
      </c>
      <c r="BF595" s="82">
        <v>4444.5070025505629</v>
      </c>
      <c r="BG595" s="82">
        <v>4729.7390918565507</v>
      </c>
      <c r="BH595" s="82">
        <v>4621.5962812459547</v>
      </c>
      <c r="BI595" s="82">
        <v>4883.039001358251</v>
      </c>
      <c r="BJ595" s="82">
        <v>2364.5515474916028</v>
      </c>
      <c r="BK595" s="82">
        <v>-242.22472773463232</v>
      </c>
      <c r="BL595" s="82">
        <v>806.57901927593048</v>
      </c>
      <c r="BM595" s="82">
        <v>2793.1419211527682</v>
      </c>
      <c r="BN595" s="82">
        <v>3272.8999060957576</v>
      </c>
      <c r="BO595" s="82">
        <v>3249.8720905474474</v>
      </c>
      <c r="BP595" s="82">
        <v>2900.5330471359921</v>
      </c>
      <c r="BQ595" s="82">
        <v>2879.5625042569154</v>
      </c>
      <c r="BR595" s="82"/>
      <c r="BS595" s="82">
        <v>1149.5549999999998</v>
      </c>
      <c r="BT595" s="82">
        <v>1558.1099999999997</v>
      </c>
      <c r="BU595" s="82">
        <v>2076.9</v>
      </c>
      <c r="BV595" s="82">
        <v>2567.85</v>
      </c>
      <c r="BW595" s="82">
        <v>2887.7</v>
      </c>
      <c r="BX595" s="82">
        <v>2071.5999999999995</v>
      </c>
      <c r="BY595" s="82">
        <v>1589.4499999999998</v>
      </c>
      <c r="BZ595" s="82">
        <v>1405.1999999999998</v>
      </c>
      <c r="CA595" s="82">
        <v>2775.7999999999993</v>
      </c>
      <c r="CB595" s="82">
        <v>259.84999999999945</v>
      </c>
      <c r="CC595" s="82">
        <v>719.54999999999927</v>
      </c>
      <c r="CD595" s="82">
        <v>1147.5999999999995</v>
      </c>
      <c r="CE595" s="82">
        <v>-736.05000000000109</v>
      </c>
      <c r="CF595" s="82">
        <v>-160.95000000000073</v>
      </c>
      <c r="CG595" s="82">
        <v>653.09999999999854</v>
      </c>
      <c r="CH595" s="82">
        <v>1525.6499999999996</v>
      </c>
      <c r="CI595" s="82">
        <v>2321.9499999999989</v>
      </c>
      <c r="CJ595" s="82">
        <v>-421.34000000000015</v>
      </c>
      <c r="CK595" s="82">
        <v>1046.6349999999984</v>
      </c>
      <c r="CL595" s="82">
        <v>-2676.2545000000027</v>
      </c>
      <c r="CM595" s="82">
        <v>-2270.9025000000001</v>
      </c>
      <c r="CN595" s="82">
        <v>-125.53499999999985</v>
      </c>
      <c r="CO595" s="82">
        <v>1861.9375000000036</v>
      </c>
      <c r="CP595" s="82">
        <v>213.11000000000058</v>
      </c>
      <c r="CQ595" s="82">
        <v>2196.2999999999956</v>
      </c>
      <c r="CR595" s="82">
        <v>-1732.614999999998</v>
      </c>
      <c r="CS595" s="82">
        <v>-1684.2599999999948</v>
      </c>
      <c r="CT595" s="82">
        <v>826.99000000000524</v>
      </c>
      <c r="CU595" s="82">
        <v>4803.4599999999991</v>
      </c>
      <c r="CV595" s="82">
        <v>11514.599999999999</v>
      </c>
      <c r="CW595" s="82">
        <v>4744.3400000000038</v>
      </c>
      <c r="CX595" s="82">
        <v>5429.8799999999974</v>
      </c>
      <c r="CY595" s="83">
        <v>6260.3899999999994</v>
      </c>
      <c r="CZ595" s="82">
        <v>5463.9401773151767</v>
      </c>
      <c r="DA595" s="82">
        <v>4945.6957215732764</v>
      </c>
      <c r="DB595" s="82">
        <v>4679.2023297746637</v>
      </c>
      <c r="DC595" s="82">
        <v>4634.7024655260175</v>
      </c>
      <c r="DD595" s="82">
        <v>4729.7390918565507</v>
      </c>
      <c r="DE595" s="82">
        <v>4883.039001358251</v>
      </c>
      <c r="DF595" s="82">
        <v>-242.22472773463232</v>
      </c>
      <c r="DG595" s="82">
        <v>2793.1419211527682</v>
      </c>
      <c r="DH595" s="82">
        <v>3249.872090547462</v>
      </c>
      <c r="DI595" s="82">
        <v>2879.5625042569445</v>
      </c>
    </row>
    <row r="596" spans="1:113" outlineLevel="1">
      <c r="C596" s="55"/>
      <c r="D596" s="55"/>
      <c r="E596" s="55"/>
      <c r="F596" s="55"/>
      <c r="G596" s="55"/>
      <c r="H596" s="55"/>
      <c r="I596" s="55"/>
      <c r="J596" s="55"/>
      <c r="K596" s="55"/>
      <c r="L596" s="55"/>
      <c r="M596" s="55"/>
      <c r="N596" s="55"/>
      <c r="O596" s="55"/>
      <c r="P596" s="55"/>
      <c r="Q596" s="55"/>
      <c r="R596" s="55"/>
      <c r="S596" s="55"/>
      <c r="T596" s="55"/>
      <c r="U596" s="55"/>
      <c r="V596" s="55"/>
      <c r="W596" s="55"/>
      <c r="X596" s="55"/>
      <c r="Y596" s="55"/>
      <c r="Z596" s="55"/>
      <c r="AA596" s="55"/>
      <c r="AB596" s="55"/>
      <c r="AC596" s="55"/>
      <c r="AD596" s="55"/>
      <c r="AE596" s="55"/>
      <c r="AF596" s="55"/>
      <c r="AG596" s="55"/>
      <c r="AH596" s="55"/>
      <c r="AI596" s="55"/>
      <c r="AJ596" s="55"/>
      <c r="AK596" s="55"/>
      <c r="AL596" s="55"/>
      <c r="AM596" s="55"/>
      <c r="AN596" s="55"/>
      <c r="AO596" s="55"/>
      <c r="AP596" s="55"/>
      <c r="AQ596" s="55"/>
      <c r="AR596" s="55"/>
      <c r="AS596" s="55"/>
      <c r="AT596" s="55"/>
      <c r="AU596" s="55"/>
      <c r="AV596" s="55"/>
      <c r="AW596" s="56"/>
      <c r="AX596" s="55"/>
      <c r="AY596" s="55"/>
      <c r="AZ596" s="55"/>
      <c r="BA596" s="55"/>
      <c r="BB596" s="55"/>
      <c r="BC596" s="55"/>
      <c r="BD596" s="55"/>
      <c r="BE596" s="55"/>
      <c r="BF596" s="55"/>
      <c r="BG596" s="55"/>
      <c r="BH596" s="55"/>
      <c r="BI596" s="55"/>
      <c r="BJ596" s="55"/>
      <c r="BK596" s="55"/>
      <c r="BL596" s="55"/>
      <c r="BM596" s="55"/>
      <c r="BN596" s="55"/>
      <c r="BO596" s="55"/>
      <c r="BP596" s="55"/>
      <c r="BQ596" s="55"/>
      <c r="BR596" s="55"/>
      <c r="BS596" s="55"/>
      <c r="BT596" s="55"/>
      <c r="BU596" s="55"/>
      <c r="BV596" s="55"/>
      <c r="BW596" s="55"/>
      <c r="BX596" s="55"/>
      <c r="BY596" s="55"/>
      <c r="BZ596" s="55"/>
      <c r="CA596" s="55"/>
      <c r="CB596" s="55"/>
      <c r="CC596" s="55"/>
      <c r="CD596" s="55"/>
      <c r="CE596" s="55"/>
      <c r="CF596" s="55"/>
      <c r="CG596" s="55"/>
      <c r="CH596" s="55"/>
      <c r="CI596" s="55"/>
      <c r="CJ596" s="55"/>
      <c r="CK596" s="55"/>
      <c r="CL596" s="55"/>
      <c r="CM596" s="55"/>
      <c r="CN596" s="55"/>
      <c r="CO596" s="55"/>
      <c r="CP596" s="55"/>
      <c r="CQ596" s="55"/>
      <c r="CR596" s="55"/>
      <c r="CS596" s="55"/>
      <c r="CT596" s="55"/>
      <c r="CU596" s="55"/>
      <c r="CV596" s="55"/>
      <c r="CW596" s="55"/>
      <c r="CX596" s="55"/>
      <c r="CY596" s="56"/>
      <c r="CZ596" s="55"/>
      <c r="DA596" s="55"/>
      <c r="DB596" s="55"/>
    </row>
    <row r="597" spans="1:113" s="24" customFormat="1" outlineLevel="1">
      <c r="A597" s="1"/>
      <c r="B597" s="24" t="s">
        <v>577</v>
      </c>
      <c r="C597" s="82"/>
      <c r="D597" s="82"/>
      <c r="E597" s="82"/>
      <c r="F597" s="82"/>
      <c r="G597" s="82"/>
      <c r="H597" s="82"/>
      <c r="I597" s="82"/>
      <c r="J597" s="82"/>
      <c r="K597" s="82"/>
      <c r="L597" s="82"/>
      <c r="M597" s="82"/>
      <c r="N597" s="82"/>
      <c r="O597" s="82"/>
      <c r="P597" s="82"/>
      <c r="Q597" s="82"/>
      <c r="R597" s="82"/>
      <c r="S597" s="82"/>
      <c r="T597" s="82"/>
      <c r="U597" s="82"/>
      <c r="V597" s="82"/>
      <c r="W597" s="82"/>
      <c r="X597" s="82"/>
      <c r="Y597" s="82"/>
      <c r="Z597" s="82"/>
      <c r="AA597" s="82"/>
      <c r="AB597" s="82"/>
      <c r="AC597" s="82"/>
      <c r="AD597" s="82"/>
      <c r="AE597" s="82"/>
      <c r="AF597" s="82"/>
      <c r="AG597" s="82"/>
      <c r="AH597" s="82"/>
      <c r="AI597" s="82"/>
      <c r="AJ597" s="82"/>
      <c r="AK597" s="82"/>
      <c r="AL597" s="82"/>
      <c r="AM597" s="82"/>
      <c r="AN597" s="82"/>
      <c r="AO597" s="82"/>
      <c r="AP597" s="82"/>
      <c r="AQ597" s="82"/>
      <c r="AR597" s="82"/>
      <c r="AS597" s="82"/>
      <c r="AT597" s="82"/>
      <c r="AU597" s="82"/>
      <c r="AV597" s="82"/>
      <c r="AW597" s="83"/>
      <c r="AX597" s="82"/>
      <c r="AY597" s="82"/>
      <c r="AZ597" s="82"/>
      <c r="BA597" s="82"/>
      <c r="BB597" s="82"/>
      <c r="BC597" s="82"/>
      <c r="BD597" s="82"/>
      <c r="BE597" s="82"/>
      <c r="BF597" s="82"/>
      <c r="BG597" s="82"/>
      <c r="BH597" s="82"/>
      <c r="BI597" s="82"/>
      <c r="BJ597" s="82"/>
      <c r="BK597" s="82"/>
      <c r="BL597" s="82"/>
      <c r="BM597" s="82"/>
      <c r="BN597" s="82"/>
      <c r="BO597" s="82"/>
      <c r="BP597" s="82"/>
      <c r="BQ597" s="82"/>
      <c r="BR597" s="82"/>
      <c r="BS597" s="82"/>
      <c r="BT597" s="82"/>
      <c r="BU597" s="82"/>
      <c r="BV597" s="82"/>
      <c r="BW597" s="82"/>
      <c r="BX597" s="82"/>
      <c r="BY597" s="82"/>
      <c r="BZ597" s="82"/>
      <c r="CA597" s="82"/>
      <c r="CB597" s="82"/>
      <c r="CC597" s="82"/>
      <c r="CD597" s="82"/>
      <c r="CE597" s="82"/>
      <c r="CF597" s="82"/>
      <c r="CG597" s="82"/>
      <c r="CH597" s="82"/>
      <c r="CI597" s="82"/>
      <c r="CJ597" s="82"/>
      <c r="CK597" s="82"/>
      <c r="CL597" s="82"/>
      <c r="CM597" s="82"/>
      <c r="CN597" s="82"/>
      <c r="CO597" s="82"/>
      <c r="CP597" s="82"/>
      <c r="CQ597" s="82"/>
      <c r="CR597" s="82"/>
      <c r="CS597" s="82"/>
      <c r="CT597" s="82"/>
      <c r="CU597" s="82"/>
      <c r="CV597" s="82"/>
      <c r="CW597" s="82"/>
      <c r="CX597" s="82"/>
      <c r="CY597" s="83"/>
      <c r="CZ597" s="82"/>
      <c r="DA597" s="82"/>
      <c r="DB597" s="82"/>
    </row>
    <row r="598" spans="1:113" outlineLevel="1">
      <c r="A598" s="1" t="s">
        <v>934</v>
      </c>
      <c r="B598" s="19" t="s">
        <v>404</v>
      </c>
      <c r="C598" s="53">
        <v>954</v>
      </c>
      <c r="D598" s="53">
        <v>940</v>
      </c>
      <c r="E598" s="53">
        <v>959</v>
      </c>
      <c r="F598" s="53">
        <v>939</v>
      </c>
      <c r="G598" s="53">
        <v>930</v>
      </c>
      <c r="H598" s="53">
        <v>965</v>
      </c>
      <c r="I598" s="53">
        <v>992</v>
      </c>
      <c r="J598" s="53">
        <v>968</v>
      </c>
      <c r="K598" s="53">
        <v>975</v>
      </c>
      <c r="L598" s="53">
        <v>1011</v>
      </c>
      <c r="M598" s="53">
        <v>1082</v>
      </c>
      <c r="N598" s="53">
        <v>1113</v>
      </c>
      <c r="O598" s="53">
        <v>1107</v>
      </c>
      <c r="P598" s="53">
        <v>0</v>
      </c>
      <c r="Q598" s="53">
        <v>0</v>
      </c>
      <c r="R598" s="53">
        <v>0</v>
      </c>
      <c r="S598" s="53">
        <v>590</v>
      </c>
      <c r="T598" s="53">
        <v>603</v>
      </c>
      <c r="U598" s="53">
        <v>603</v>
      </c>
      <c r="V598" s="53">
        <v>618</v>
      </c>
      <c r="W598" s="53">
        <v>620</v>
      </c>
      <c r="X598" s="53">
        <v>631</v>
      </c>
      <c r="Y598" s="53">
        <v>595</v>
      </c>
      <c r="Z598" s="53">
        <v>124</v>
      </c>
      <c r="AA598" s="164">
        <v>202</v>
      </c>
      <c r="AB598" s="164">
        <v>194</v>
      </c>
      <c r="AC598" s="164">
        <v>171</v>
      </c>
      <c r="AD598" s="164">
        <v>186</v>
      </c>
      <c r="AE598" s="164">
        <v>156</v>
      </c>
      <c r="AF598" s="164">
        <v>178</v>
      </c>
      <c r="AG598" s="164">
        <v>181</v>
      </c>
      <c r="AH598" s="164">
        <v>188</v>
      </c>
      <c r="AI598" s="164">
        <v>182</v>
      </c>
      <c r="AJ598" s="164">
        <v>185</v>
      </c>
      <c r="AK598" s="164">
        <v>176</v>
      </c>
      <c r="AL598" s="164">
        <v>764</v>
      </c>
      <c r="AM598" s="164">
        <v>799</v>
      </c>
      <c r="AN598" s="164">
        <v>482</v>
      </c>
      <c r="AO598" s="164">
        <v>1597</v>
      </c>
      <c r="AP598" s="164">
        <v>2061</v>
      </c>
      <c r="AQ598" s="164">
        <v>1596</v>
      </c>
      <c r="AR598" s="164">
        <v>1574</v>
      </c>
      <c r="AS598" s="164">
        <v>1020</v>
      </c>
      <c r="AT598" s="164">
        <v>1127</v>
      </c>
      <c r="AU598" s="164">
        <v>2156</v>
      </c>
      <c r="AV598" s="164">
        <v>2162</v>
      </c>
      <c r="AW598" s="171">
        <v>2074</v>
      </c>
      <c r="AX598" s="55">
        <v>2116.501426140167</v>
      </c>
      <c r="AY598" s="55">
        <v>2153.8111472666528</v>
      </c>
      <c r="AZ598" s="55">
        <v>2194.8310865024851</v>
      </c>
      <c r="BA598" s="55">
        <v>2228.9283037938758</v>
      </c>
      <c r="BB598" s="55">
        <v>2264.1410671022618</v>
      </c>
      <c r="BC598" s="55">
        <v>2305.3422016092331</v>
      </c>
      <c r="BD598" s="55">
        <v>2347.3747621991215</v>
      </c>
      <c r="BE598" s="55">
        <v>2390.2551738469069</v>
      </c>
      <c r="BF598" s="55">
        <v>2434.0002131482661</v>
      </c>
      <c r="BG598" s="55">
        <v>2478.6270150963078</v>
      </c>
      <c r="BH598" s="55">
        <v>2524.1530800294522</v>
      </c>
      <c r="BI598" s="55">
        <v>2570.5962807523983</v>
      </c>
      <c r="BJ598" s="55">
        <v>2941.8193558990974</v>
      </c>
      <c r="BK598" s="55">
        <v>3363.1949799120111</v>
      </c>
      <c r="BL598" s="55">
        <v>3346.9804475418409</v>
      </c>
      <c r="BM598" s="55">
        <v>3063.2138318310654</v>
      </c>
      <c r="BN598" s="55">
        <v>3124.6289556501497</v>
      </c>
      <c r="BO598" s="55">
        <v>3187.2951575548814</v>
      </c>
      <c r="BP598" s="55">
        <v>3251.2382278744676</v>
      </c>
      <c r="BQ598" s="55">
        <v>3316.4844936697605</v>
      </c>
      <c r="BR598" s="55"/>
      <c r="BS598" s="53">
        <v>462.9</v>
      </c>
      <c r="BT598" s="53">
        <v>397.4</v>
      </c>
      <c r="BU598" s="53">
        <v>396.3</v>
      </c>
      <c r="BV598" s="53">
        <v>476</v>
      </c>
      <c r="BW598" s="53">
        <v>613</v>
      </c>
      <c r="BX598" s="53">
        <v>690</v>
      </c>
      <c r="BY598" s="53">
        <v>739</v>
      </c>
      <c r="BZ598" s="53">
        <v>734</v>
      </c>
      <c r="CA598" s="53">
        <v>938</v>
      </c>
      <c r="CB598" s="53">
        <v>954</v>
      </c>
      <c r="CC598" s="55">
        <v>959</v>
      </c>
      <c r="CD598" s="55">
        <v>930</v>
      </c>
      <c r="CE598" s="55">
        <v>992</v>
      </c>
      <c r="CF598" s="55">
        <v>975</v>
      </c>
      <c r="CG598" s="55">
        <v>1082</v>
      </c>
      <c r="CH598" s="55">
        <v>1107</v>
      </c>
      <c r="CI598" s="55">
        <v>0</v>
      </c>
      <c r="CJ598" s="55">
        <v>590</v>
      </c>
      <c r="CK598" s="55">
        <v>603</v>
      </c>
      <c r="CL598" s="55">
        <v>620</v>
      </c>
      <c r="CM598" s="55">
        <v>595</v>
      </c>
      <c r="CN598" s="55">
        <v>202</v>
      </c>
      <c r="CO598" s="55">
        <v>171</v>
      </c>
      <c r="CP598" s="55">
        <v>156</v>
      </c>
      <c r="CQ598" s="55">
        <v>181</v>
      </c>
      <c r="CR598" s="55">
        <v>182</v>
      </c>
      <c r="CS598" s="55">
        <v>176</v>
      </c>
      <c r="CT598" s="55">
        <v>799</v>
      </c>
      <c r="CU598" s="55">
        <v>1597</v>
      </c>
      <c r="CV598" s="55">
        <v>1596</v>
      </c>
      <c r="CW598" s="55">
        <v>1020</v>
      </c>
      <c r="CX598" s="55">
        <v>2156</v>
      </c>
      <c r="CY598" s="56">
        <v>2074</v>
      </c>
      <c r="CZ598" s="55">
        <v>2153.8111472666528</v>
      </c>
      <c r="DA598" s="55">
        <v>2228.9283037938758</v>
      </c>
      <c r="DB598" s="55">
        <v>2305.3422016092331</v>
      </c>
      <c r="DC598" s="55">
        <v>2390.2551738469069</v>
      </c>
      <c r="DD598" s="55">
        <v>2478.6270150963078</v>
      </c>
      <c r="DE598" s="55">
        <v>2570.5962807523983</v>
      </c>
      <c r="DF598" s="55">
        <v>3363.1949799120111</v>
      </c>
      <c r="DG598" s="55">
        <v>3063.2138318310654</v>
      </c>
      <c r="DH598" s="55">
        <v>3187.2951575548814</v>
      </c>
      <c r="DI598" s="55">
        <v>3316.4844936697605</v>
      </c>
    </row>
    <row r="599" spans="1:113" outlineLevel="1">
      <c r="A599" s="1" t="s">
        <v>935</v>
      </c>
      <c r="B599" s="19" t="s">
        <v>405</v>
      </c>
      <c r="C599" s="55">
        <v>0</v>
      </c>
      <c r="D599" s="55">
        <v>0</v>
      </c>
      <c r="E599" s="55">
        <v>0</v>
      </c>
      <c r="F599" s="55">
        <v>0</v>
      </c>
      <c r="G599" s="55">
        <v>0</v>
      </c>
      <c r="H599" s="55">
        <v>0</v>
      </c>
      <c r="I599" s="55">
        <v>0</v>
      </c>
      <c r="J599" s="55">
        <v>0</v>
      </c>
      <c r="K599" s="55">
        <v>0</v>
      </c>
      <c r="L599" s="55">
        <v>0</v>
      </c>
      <c r="M599" s="55">
        <v>0</v>
      </c>
      <c r="N599" s="55">
        <v>0</v>
      </c>
      <c r="O599" s="55">
        <v>0</v>
      </c>
      <c r="P599" s="55">
        <v>1592</v>
      </c>
      <c r="Q599" s="55">
        <v>1359</v>
      </c>
      <c r="R599" s="55">
        <v>627</v>
      </c>
      <c r="S599" s="55">
        <v>0</v>
      </c>
      <c r="T599" s="55">
        <v>73</v>
      </c>
      <c r="U599" s="55">
        <v>225</v>
      </c>
      <c r="V599" s="55">
        <v>0</v>
      </c>
      <c r="W599" s="55">
        <v>0</v>
      </c>
      <c r="X599" s="55">
        <v>0</v>
      </c>
      <c r="Y599" s="55">
        <v>0</v>
      </c>
      <c r="Z599" s="55">
        <v>0</v>
      </c>
      <c r="AA599" s="55">
        <v>0</v>
      </c>
      <c r="AB599" s="55">
        <v>0</v>
      </c>
      <c r="AC599" s="55">
        <v>0</v>
      </c>
      <c r="AD599" s="55">
        <v>0</v>
      </c>
      <c r="AE599" s="55">
        <v>0</v>
      </c>
      <c r="AF599" s="55">
        <v>0</v>
      </c>
      <c r="AG599" s="55">
        <v>0</v>
      </c>
      <c r="AH599" s="55">
        <v>0</v>
      </c>
      <c r="AI599" s="55">
        <v>0</v>
      </c>
      <c r="AJ599" s="164">
        <v>0</v>
      </c>
      <c r="AK599" s="164">
        <v>0</v>
      </c>
      <c r="AL599" s="164">
        <v>0</v>
      </c>
      <c r="AM599" s="164">
        <v>0</v>
      </c>
      <c r="AN599" s="164">
        <v>0</v>
      </c>
      <c r="AO599" s="164">
        <v>0</v>
      </c>
      <c r="AP599" s="164">
        <v>0</v>
      </c>
      <c r="AQ599" s="164">
        <v>0</v>
      </c>
      <c r="AR599" s="164">
        <v>0</v>
      </c>
      <c r="AS599" s="164">
        <v>0</v>
      </c>
      <c r="AT599" s="164">
        <v>0</v>
      </c>
      <c r="AU599" s="164">
        <v>0</v>
      </c>
      <c r="AV599" s="164">
        <v>0</v>
      </c>
      <c r="AW599" s="171">
        <v>0</v>
      </c>
      <c r="AX599" s="54">
        <v>0</v>
      </c>
      <c r="AY599" s="54">
        <v>0</v>
      </c>
      <c r="AZ599" s="54">
        <v>0</v>
      </c>
      <c r="BA599" s="54">
        <v>0</v>
      </c>
      <c r="BB599" s="54">
        <v>0</v>
      </c>
      <c r="BC599" s="54">
        <v>0</v>
      </c>
      <c r="BD599" s="54">
        <v>0</v>
      </c>
      <c r="BE599" s="54">
        <v>0</v>
      </c>
      <c r="BF599" s="54">
        <v>0</v>
      </c>
      <c r="BG599" s="54">
        <v>0</v>
      </c>
      <c r="BH599" s="54">
        <v>0</v>
      </c>
      <c r="BI599" s="54">
        <v>0</v>
      </c>
      <c r="BJ599" s="54">
        <v>0</v>
      </c>
      <c r="BK599" s="54">
        <v>0</v>
      </c>
      <c r="BL599" s="54">
        <v>0</v>
      </c>
      <c r="BM599" s="54">
        <v>0</v>
      </c>
      <c r="BN599" s="54">
        <v>0</v>
      </c>
      <c r="BO599" s="54">
        <v>0</v>
      </c>
      <c r="BP599" s="54">
        <v>0</v>
      </c>
      <c r="BQ599" s="54">
        <v>0</v>
      </c>
      <c r="BR599" s="55"/>
      <c r="BS599" s="53">
        <v>0</v>
      </c>
      <c r="BT599" s="53">
        <v>0</v>
      </c>
      <c r="BU599" s="53">
        <v>0</v>
      </c>
      <c r="BV599" s="53">
        <v>0</v>
      </c>
      <c r="BW599" s="53">
        <v>0</v>
      </c>
      <c r="BX599" s="53">
        <v>0</v>
      </c>
      <c r="BY599" s="53">
        <v>0</v>
      </c>
      <c r="BZ599" s="53">
        <v>0</v>
      </c>
      <c r="CA599" s="55">
        <v>0</v>
      </c>
      <c r="CB599" s="55">
        <v>0</v>
      </c>
      <c r="CC599" s="55">
        <v>0</v>
      </c>
      <c r="CD599" s="55">
        <v>0</v>
      </c>
      <c r="CE599" s="55">
        <v>0</v>
      </c>
      <c r="CF599" s="55">
        <v>0</v>
      </c>
      <c r="CG599" s="55">
        <v>0</v>
      </c>
      <c r="CH599" s="55">
        <v>0</v>
      </c>
      <c r="CI599" s="55">
        <v>1359</v>
      </c>
      <c r="CJ599" s="55">
        <v>0</v>
      </c>
      <c r="CK599" s="55">
        <v>225</v>
      </c>
      <c r="CL599" s="55">
        <v>0</v>
      </c>
      <c r="CM599" s="55">
        <v>0</v>
      </c>
      <c r="CN599" s="55">
        <v>0</v>
      </c>
      <c r="CO599" s="55">
        <v>0</v>
      </c>
      <c r="CP599" s="55">
        <v>0</v>
      </c>
      <c r="CQ599" s="55">
        <v>0</v>
      </c>
      <c r="CR599" s="55">
        <v>0</v>
      </c>
      <c r="CS599" s="55">
        <v>0</v>
      </c>
      <c r="CT599" s="55">
        <v>0</v>
      </c>
      <c r="CU599" s="55">
        <v>0</v>
      </c>
      <c r="CV599" s="55">
        <v>0</v>
      </c>
      <c r="CW599" s="55">
        <v>0</v>
      </c>
      <c r="CX599" s="55">
        <v>0</v>
      </c>
      <c r="CY599" s="56">
        <v>0</v>
      </c>
      <c r="CZ599" s="55">
        <v>0</v>
      </c>
      <c r="DA599" s="55">
        <v>0</v>
      </c>
      <c r="DB599" s="55">
        <v>0</v>
      </c>
      <c r="DC599" s="55">
        <v>0</v>
      </c>
      <c r="DD599" s="55">
        <v>0</v>
      </c>
      <c r="DE599" s="55">
        <v>0</v>
      </c>
      <c r="DF599" s="55">
        <v>0</v>
      </c>
      <c r="DG599" s="55">
        <v>0</v>
      </c>
      <c r="DH599" s="55">
        <v>0</v>
      </c>
      <c r="DI599" s="55">
        <v>0</v>
      </c>
    </row>
    <row r="600" spans="1:113" outlineLevel="1">
      <c r="A600" s="1" t="s">
        <v>936</v>
      </c>
      <c r="B600" s="19" t="s">
        <v>860</v>
      </c>
      <c r="C600" s="53">
        <v>317</v>
      </c>
      <c r="D600" s="53">
        <v>298</v>
      </c>
      <c r="E600" s="53">
        <v>297</v>
      </c>
      <c r="F600" s="53">
        <v>298</v>
      </c>
      <c r="G600" s="53">
        <v>250</v>
      </c>
      <c r="H600" s="53">
        <v>249</v>
      </c>
      <c r="I600" s="53">
        <v>267</v>
      </c>
      <c r="J600" s="53">
        <v>250</v>
      </c>
      <c r="K600" s="53">
        <v>237</v>
      </c>
      <c r="L600" s="53">
        <v>232</v>
      </c>
      <c r="M600" s="53">
        <v>235</v>
      </c>
      <c r="N600" s="53">
        <v>212</v>
      </c>
      <c r="O600" s="53">
        <v>191</v>
      </c>
      <c r="P600" s="53">
        <v>203</v>
      </c>
      <c r="Q600" s="53">
        <v>196</v>
      </c>
      <c r="R600" s="53">
        <v>320</v>
      </c>
      <c r="S600" s="53">
        <v>373</v>
      </c>
      <c r="T600" s="53">
        <v>350</v>
      </c>
      <c r="U600" s="53">
        <v>382</v>
      </c>
      <c r="V600" s="53">
        <v>350</v>
      </c>
      <c r="W600" s="53">
        <v>336</v>
      </c>
      <c r="X600" s="53">
        <v>368</v>
      </c>
      <c r="Y600" s="53">
        <v>358</v>
      </c>
      <c r="Z600" s="53">
        <v>324</v>
      </c>
      <c r="AA600" s="164">
        <v>0</v>
      </c>
      <c r="AB600" s="164">
        <v>0</v>
      </c>
      <c r="AC600" s="164">
        <v>0</v>
      </c>
      <c r="AD600" s="164">
        <v>-30</v>
      </c>
      <c r="AE600" s="164">
        <v>-20</v>
      </c>
      <c r="AF600" s="164">
        <v>-19</v>
      </c>
      <c r="AG600" s="164">
        <v>-25</v>
      </c>
      <c r="AH600" s="164">
        <v>-34</v>
      </c>
      <c r="AI600" s="164">
        <v>-29</v>
      </c>
      <c r="AJ600" s="164">
        <v>-31</v>
      </c>
      <c r="AK600" s="164">
        <v>-25</v>
      </c>
      <c r="AL600" s="164">
        <v>-23</v>
      </c>
      <c r="AM600" s="164">
        <v>-30</v>
      </c>
      <c r="AN600" s="164">
        <v>-21</v>
      </c>
      <c r="AO600" s="164">
        <v>-16</v>
      </c>
      <c r="AP600" s="164">
        <v>-49</v>
      </c>
      <c r="AQ600" s="164">
        <v>-34</v>
      </c>
      <c r="AR600" s="164">
        <v>-37</v>
      </c>
      <c r="AS600" s="164">
        <v>-519</v>
      </c>
      <c r="AT600" s="164">
        <v>-399</v>
      </c>
      <c r="AU600" s="164">
        <v>-467</v>
      </c>
      <c r="AV600" s="164">
        <v>-386</v>
      </c>
      <c r="AW600" s="171">
        <v>-425</v>
      </c>
      <c r="AX600" s="54">
        <v>-425</v>
      </c>
      <c r="AY600" s="54">
        <v>-425</v>
      </c>
      <c r="AZ600" s="54">
        <v>-425</v>
      </c>
      <c r="BA600" s="54">
        <v>-425</v>
      </c>
      <c r="BB600" s="54">
        <v>-425</v>
      </c>
      <c r="BC600" s="54">
        <v>-425</v>
      </c>
      <c r="BD600" s="54">
        <v>-425</v>
      </c>
      <c r="BE600" s="54">
        <v>-425</v>
      </c>
      <c r="BF600" s="54">
        <v>-425</v>
      </c>
      <c r="BG600" s="54">
        <v>-425</v>
      </c>
      <c r="BH600" s="54">
        <v>-425</v>
      </c>
      <c r="BI600" s="54">
        <v>-425</v>
      </c>
      <c r="BJ600" s="54">
        <v>-425</v>
      </c>
      <c r="BK600" s="54">
        <v>-425</v>
      </c>
      <c r="BL600" s="54">
        <v>-425</v>
      </c>
      <c r="BM600" s="54">
        <v>-425</v>
      </c>
      <c r="BN600" s="54">
        <v>-425</v>
      </c>
      <c r="BO600" s="54">
        <v>-425</v>
      </c>
      <c r="BP600" s="54">
        <v>-425</v>
      </c>
      <c r="BQ600" s="54">
        <v>-425</v>
      </c>
      <c r="BR600" s="55"/>
      <c r="BS600" s="53">
        <v>0</v>
      </c>
      <c r="BT600" s="53">
        <v>0</v>
      </c>
      <c r="BU600" s="53">
        <v>0</v>
      </c>
      <c r="BV600" s="53">
        <v>0</v>
      </c>
      <c r="BW600" s="53">
        <v>43</v>
      </c>
      <c r="BX600" s="53">
        <v>45</v>
      </c>
      <c r="BY600" s="53">
        <v>42</v>
      </c>
      <c r="BZ600" s="53">
        <v>40</v>
      </c>
      <c r="CA600" s="53">
        <v>39</v>
      </c>
      <c r="CB600" s="53">
        <v>0</v>
      </c>
      <c r="CC600" s="55">
        <v>297</v>
      </c>
      <c r="CD600" s="55">
        <v>250</v>
      </c>
      <c r="CE600" s="55">
        <v>267</v>
      </c>
      <c r="CF600" s="55">
        <v>237</v>
      </c>
      <c r="CG600" s="55">
        <v>235</v>
      </c>
      <c r="CH600" s="55">
        <v>191</v>
      </c>
      <c r="CI600" s="55">
        <v>196</v>
      </c>
      <c r="CJ600" s="55">
        <v>373</v>
      </c>
      <c r="CK600" s="55">
        <v>382</v>
      </c>
      <c r="CL600" s="55">
        <v>336</v>
      </c>
      <c r="CM600" s="55">
        <v>358</v>
      </c>
      <c r="CN600" s="55">
        <v>0</v>
      </c>
      <c r="CO600" s="55">
        <v>0</v>
      </c>
      <c r="CP600" s="55">
        <v>-20</v>
      </c>
      <c r="CQ600" s="55">
        <v>-25</v>
      </c>
      <c r="CR600" s="55">
        <v>-29</v>
      </c>
      <c r="CS600" s="55">
        <v>-25</v>
      </c>
      <c r="CT600" s="55">
        <v>-30</v>
      </c>
      <c r="CU600" s="55">
        <v>-16</v>
      </c>
      <c r="CV600" s="55">
        <v>-34</v>
      </c>
      <c r="CW600" s="55">
        <v>-519</v>
      </c>
      <c r="CX600" s="55">
        <v>-467</v>
      </c>
      <c r="CY600" s="56">
        <v>-425</v>
      </c>
      <c r="CZ600" s="55">
        <v>-425</v>
      </c>
      <c r="DA600" s="55">
        <v>-425</v>
      </c>
      <c r="DB600" s="55">
        <v>-425</v>
      </c>
      <c r="DC600" s="55">
        <v>-425</v>
      </c>
      <c r="DD600" s="55">
        <v>-425</v>
      </c>
      <c r="DE600" s="55">
        <v>-425</v>
      </c>
      <c r="DF600" s="55">
        <v>-425</v>
      </c>
      <c r="DG600" s="55">
        <v>-425</v>
      </c>
      <c r="DH600" s="55">
        <v>-425</v>
      </c>
      <c r="DI600" s="55">
        <v>-425</v>
      </c>
    </row>
    <row r="601" spans="1:113" outlineLevel="1">
      <c r="A601" s="1" t="s">
        <v>737</v>
      </c>
      <c r="B601" s="19" t="s">
        <v>716</v>
      </c>
      <c r="C601" s="53">
        <v>5348</v>
      </c>
      <c r="D601" s="53">
        <v>5241</v>
      </c>
      <c r="E601" s="53">
        <v>4934</v>
      </c>
      <c r="F601" s="53">
        <v>4620</v>
      </c>
      <c r="G601" s="53">
        <v>4990</v>
      </c>
      <c r="H601" s="53">
        <v>4381</v>
      </c>
      <c r="I601" s="53">
        <v>5338</v>
      </c>
      <c r="J601" s="53">
        <v>4374</v>
      </c>
      <c r="K601" s="53">
        <v>4783</v>
      </c>
      <c r="L601" s="53">
        <v>5349</v>
      </c>
      <c r="M601" s="53">
        <v>5335</v>
      </c>
      <c r="N601" s="53">
        <v>6780</v>
      </c>
      <c r="O601" s="53">
        <v>6922</v>
      </c>
      <c r="P601" s="53">
        <v>7532</v>
      </c>
      <c r="Q601" s="53">
        <v>6977</v>
      </c>
      <c r="R601" s="53">
        <v>8966</v>
      </c>
      <c r="S601" s="53">
        <v>7561</v>
      </c>
      <c r="T601" s="53">
        <v>8299</v>
      </c>
      <c r="U601" s="53">
        <v>7454</v>
      </c>
      <c r="V601" s="53">
        <v>5990</v>
      </c>
      <c r="W601" s="53">
        <v>5728</v>
      </c>
      <c r="X601" s="53">
        <v>4314</v>
      </c>
      <c r="Y601" s="53">
        <v>3726</v>
      </c>
      <c r="Z601" s="53">
        <v>2900</v>
      </c>
      <c r="AA601" s="164">
        <v>2901</v>
      </c>
      <c r="AB601" s="164">
        <v>2728</v>
      </c>
      <c r="AC601" s="164">
        <v>2764</v>
      </c>
      <c r="AD601" s="164">
        <v>3747</v>
      </c>
      <c r="AE601" s="164">
        <v>5525</v>
      </c>
      <c r="AF601" s="164">
        <v>7174</v>
      </c>
      <c r="AG601" s="164">
        <v>7768</v>
      </c>
      <c r="AH601" s="164">
        <v>9219</v>
      </c>
      <c r="AI601" s="164">
        <v>9239</v>
      </c>
      <c r="AJ601" s="164">
        <v>10468</v>
      </c>
      <c r="AK601" s="164">
        <v>12428</v>
      </c>
      <c r="AL601" s="164">
        <v>12191</v>
      </c>
      <c r="AM601" s="164">
        <v>11981</v>
      </c>
      <c r="AN601" s="164">
        <v>14274</v>
      </c>
      <c r="AO601" s="164">
        <v>14848</v>
      </c>
      <c r="AP601" s="164">
        <v>15810</v>
      </c>
      <c r="AQ601" s="164">
        <v>16910</v>
      </c>
      <c r="AR601" s="164">
        <v>17391</v>
      </c>
      <c r="AS601" s="164">
        <v>19491</v>
      </c>
      <c r="AT601" s="164">
        <v>22161</v>
      </c>
      <c r="AU601" s="164">
        <v>24320</v>
      </c>
      <c r="AV601" s="164">
        <v>25371</v>
      </c>
      <c r="AW601" s="171">
        <v>29179</v>
      </c>
      <c r="AX601" s="54">
        <v>29179</v>
      </c>
      <c r="AY601" s="54">
        <v>29179</v>
      </c>
      <c r="AZ601" s="54">
        <v>29179</v>
      </c>
      <c r="BA601" s="54">
        <v>29179</v>
      </c>
      <c r="BB601" s="54">
        <v>29179</v>
      </c>
      <c r="BC601" s="54">
        <v>29179</v>
      </c>
      <c r="BD601" s="54">
        <v>29179</v>
      </c>
      <c r="BE601" s="54">
        <v>29179</v>
      </c>
      <c r="BF601" s="54">
        <v>29179</v>
      </c>
      <c r="BG601" s="54">
        <v>29179</v>
      </c>
      <c r="BH601" s="54">
        <v>29179</v>
      </c>
      <c r="BI601" s="54">
        <v>29179</v>
      </c>
      <c r="BJ601" s="54">
        <v>29179</v>
      </c>
      <c r="BK601" s="54">
        <v>29179</v>
      </c>
      <c r="BL601" s="54">
        <v>29179</v>
      </c>
      <c r="BM601" s="54">
        <v>29179</v>
      </c>
      <c r="BN601" s="54">
        <v>29179</v>
      </c>
      <c r="BO601" s="54">
        <v>29179</v>
      </c>
      <c r="BP601" s="54">
        <v>29179</v>
      </c>
      <c r="BQ601" s="54">
        <v>29179</v>
      </c>
      <c r="BR601" s="55"/>
      <c r="BS601" s="53">
        <v>467.2</v>
      </c>
      <c r="BT601" s="53">
        <v>486.1</v>
      </c>
      <c r="BU601" s="53">
        <v>471.3</v>
      </c>
      <c r="BV601" s="53">
        <v>441</v>
      </c>
      <c r="BW601" s="53">
        <v>1641</v>
      </c>
      <c r="BX601" s="53">
        <v>1702</v>
      </c>
      <c r="BY601" s="53">
        <v>1885</v>
      </c>
      <c r="BZ601" s="53">
        <v>2335</v>
      </c>
      <c r="CA601" s="53">
        <v>5120</v>
      </c>
      <c r="CB601" s="53">
        <v>4825</v>
      </c>
      <c r="CC601" s="55">
        <v>4934</v>
      </c>
      <c r="CD601" s="55">
        <v>4990</v>
      </c>
      <c r="CE601" s="55">
        <v>5338</v>
      </c>
      <c r="CF601" s="55">
        <v>4783</v>
      </c>
      <c r="CG601" s="55">
        <v>5335</v>
      </c>
      <c r="CH601" s="55">
        <v>6922</v>
      </c>
      <c r="CI601" s="55">
        <v>6977</v>
      </c>
      <c r="CJ601" s="55">
        <v>7561</v>
      </c>
      <c r="CK601" s="55">
        <v>7454</v>
      </c>
      <c r="CL601" s="55">
        <v>5728</v>
      </c>
      <c r="CM601" s="55">
        <v>3726</v>
      </c>
      <c r="CN601" s="55">
        <v>2901</v>
      </c>
      <c r="CO601" s="55">
        <v>2764</v>
      </c>
      <c r="CP601" s="55">
        <v>5525</v>
      </c>
      <c r="CQ601" s="55">
        <v>7768</v>
      </c>
      <c r="CR601" s="55">
        <v>9239</v>
      </c>
      <c r="CS601" s="55">
        <v>12428</v>
      </c>
      <c r="CT601" s="55">
        <v>11981</v>
      </c>
      <c r="CU601" s="55">
        <v>14848</v>
      </c>
      <c r="CV601" s="55">
        <v>16910</v>
      </c>
      <c r="CW601" s="55">
        <v>19491</v>
      </c>
      <c r="CX601" s="55">
        <v>24320</v>
      </c>
      <c r="CY601" s="56">
        <v>29179</v>
      </c>
      <c r="CZ601" s="55">
        <v>29179</v>
      </c>
      <c r="DA601" s="55">
        <v>29179</v>
      </c>
      <c r="DB601" s="55">
        <v>29179</v>
      </c>
      <c r="DC601" s="55">
        <v>29179</v>
      </c>
      <c r="DD601" s="55">
        <v>29179</v>
      </c>
      <c r="DE601" s="55">
        <v>29179</v>
      </c>
      <c r="DF601" s="55">
        <v>29179</v>
      </c>
      <c r="DG601" s="55">
        <v>29179</v>
      </c>
      <c r="DH601" s="55">
        <v>29179</v>
      </c>
      <c r="DI601" s="55">
        <v>29179</v>
      </c>
    </row>
    <row r="602" spans="1:113" outlineLevel="1">
      <c r="A602" s="1" t="s">
        <v>738</v>
      </c>
      <c r="B602" s="19" t="s">
        <v>717</v>
      </c>
      <c r="C602" s="55">
        <v>0</v>
      </c>
      <c r="D602" s="55">
        <v>0</v>
      </c>
      <c r="E602" s="55">
        <v>0</v>
      </c>
      <c r="F602" s="55">
        <v>0</v>
      </c>
      <c r="G602" s="55">
        <v>0</v>
      </c>
      <c r="H602" s="55">
        <v>0</v>
      </c>
      <c r="I602" s="55">
        <v>0</v>
      </c>
      <c r="J602" s="55">
        <v>0</v>
      </c>
      <c r="K602" s="55">
        <v>0</v>
      </c>
      <c r="L602" s="55">
        <v>0</v>
      </c>
      <c r="M602" s="55">
        <v>0</v>
      </c>
      <c r="N602" s="55">
        <v>0</v>
      </c>
      <c r="O602" s="55">
        <v>0</v>
      </c>
      <c r="P602" s="55">
        <v>-1650</v>
      </c>
      <c r="Q602" s="55">
        <v>-1624</v>
      </c>
      <c r="R602" s="55">
        <v>-3722</v>
      </c>
      <c r="S602" s="55">
        <v>-1855</v>
      </c>
      <c r="T602" s="55">
        <v>-1919</v>
      </c>
      <c r="U602" s="55">
        <v>-1999</v>
      </c>
      <c r="V602" s="55">
        <v>-2005</v>
      </c>
      <c r="W602" s="55">
        <v>-2056</v>
      </c>
      <c r="X602" s="55">
        <v>-1944</v>
      </c>
      <c r="Y602" s="55">
        <v>-1871</v>
      </c>
      <c r="Z602" s="55">
        <v>-1758</v>
      </c>
      <c r="AA602" s="164">
        <v>0</v>
      </c>
      <c r="AB602" s="164">
        <v>0</v>
      </c>
      <c r="AC602" s="164">
        <v>0</v>
      </c>
      <c r="AD602" s="164">
        <v>0</v>
      </c>
      <c r="AE602" s="164">
        <v>0</v>
      </c>
      <c r="AF602" s="164">
        <v>0</v>
      </c>
      <c r="AG602" s="164">
        <v>0</v>
      </c>
      <c r="AH602" s="164">
        <v>0</v>
      </c>
      <c r="AI602" s="164">
        <v>0</v>
      </c>
      <c r="AJ602" s="164">
        <v>0</v>
      </c>
      <c r="AK602" s="164">
        <v>0</v>
      </c>
      <c r="AL602" s="164">
        <v>0</v>
      </c>
      <c r="AM602" s="164">
        <v>0</v>
      </c>
      <c r="AN602" s="164">
        <v>0</v>
      </c>
      <c r="AO602" s="164">
        <v>0</v>
      </c>
      <c r="AP602" s="164">
        <v>0</v>
      </c>
      <c r="AQ602" s="164">
        <v>0</v>
      </c>
      <c r="AR602" s="164">
        <v>0</v>
      </c>
      <c r="AS602" s="164">
        <v>0</v>
      </c>
      <c r="AT602" s="164">
        <v>0</v>
      </c>
      <c r="AU602" s="164">
        <v>0</v>
      </c>
      <c r="AV602" s="164">
        <v>0</v>
      </c>
      <c r="AW602" s="171">
        <v>0</v>
      </c>
      <c r="AX602" s="55">
        <v>0</v>
      </c>
      <c r="AY602" s="55">
        <v>0</v>
      </c>
      <c r="AZ602" s="55">
        <v>0</v>
      </c>
      <c r="BA602" s="55">
        <v>0</v>
      </c>
      <c r="BB602" s="55">
        <v>0</v>
      </c>
      <c r="BC602" s="55">
        <v>0</v>
      </c>
      <c r="BD602" s="55">
        <v>0</v>
      </c>
      <c r="BE602" s="55">
        <v>0</v>
      </c>
      <c r="BF602" s="55">
        <v>0</v>
      </c>
      <c r="BG602" s="55">
        <v>0</v>
      </c>
      <c r="BH602" s="55">
        <v>0</v>
      </c>
      <c r="BI602" s="55">
        <v>0</v>
      </c>
      <c r="BJ602" s="55">
        <v>0</v>
      </c>
      <c r="BK602" s="55">
        <v>0</v>
      </c>
      <c r="BL602" s="55">
        <v>0</v>
      </c>
      <c r="BM602" s="55">
        <v>0</v>
      </c>
      <c r="BN602" s="55">
        <v>0</v>
      </c>
      <c r="BO602" s="55">
        <v>0</v>
      </c>
      <c r="BP602" s="55">
        <v>0</v>
      </c>
      <c r="BQ602" s="55">
        <v>0</v>
      </c>
      <c r="BR602" s="55"/>
      <c r="BS602" s="53">
        <v>0</v>
      </c>
      <c r="BT602" s="53">
        <v>0</v>
      </c>
      <c r="BU602" s="53">
        <v>0</v>
      </c>
      <c r="BV602" s="53">
        <v>0</v>
      </c>
      <c r="BW602" s="53">
        <v>0</v>
      </c>
      <c r="BX602" s="53">
        <v>0</v>
      </c>
      <c r="BY602" s="53">
        <v>0</v>
      </c>
      <c r="BZ602" s="53">
        <v>0</v>
      </c>
      <c r="CA602" s="53">
        <v>0</v>
      </c>
      <c r="CB602" s="53">
        <v>0</v>
      </c>
      <c r="CC602" s="55">
        <v>0</v>
      </c>
      <c r="CD602" s="55">
        <v>0</v>
      </c>
      <c r="CE602" s="55">
        <v>0</v>
      </c>
      <c r="CF602" s="55">
        <v>0</v>
      </c>
      <c r="CG602" s="55">
        <v>0</v>
      </c>
      <c r="CH602" s="55">
        <v>0</v>
      </c>
      <c r="CI602" s="55">
        <v>-1624</v>
      </c>
      <c r="CJ602" s="55">
        <v>-1855</v>
      </c>
      <c r="CK602" s="55">
        <v>-1999</v>
      </c>
      <c r="CL602" s="55">
        <v>-2056</v>
      </c>
      <c r="CM602" s="55">
        <v>-1871</v>
      </c>
      <c r="CN602" s="55">
        <v>0</v>
      </c>
      <c r="CO602" s="55">
        <v>0</v>
      </c>
      <c r="CP602" s="55">
        <v>0</v>
      </c>
      <c r="CQ602" s="55">
        <v>0</v>
      </c>
      <c r="CR602" s="55">
        <v>0</v>
      </c>
      <c r="CS602" s="55">
        <v>0</v>
      </c>
      <c r="CT602" s="55">
        <v>0</v>
      </c>
      <c r="CU602" s="55">
        <v>0</v>
      </c>
      <c r="CV602" s="55">
        <v>0</v>
      </c>
      <c r="CW602" s="55">
        <v>0</v>
      </c>
      <c r="CX602" s="55">
        <v>0</v>
      </c>
      <c r="CY602" s="56">
        <v>0</v>
      </c>
      <c r="CZ602" s="55">
        <v>0</v>
      </c>
      <c r="DA602" s="55">
        <v>0</v>
      </c>
      <c r="DB602" s="55">
        <v>0</v>
      </c>
      <c r="DC602" s="55">
        <v>0</v>
      </c>
      <c r="DD602" s="55">
        <v>0</v>
      </c>
      <c r="DE602" s="55">
        <v>0</v>
      </c>
      <c r="DF602" s="55">
        <v>0</v>
      </c>
      <c r="DG602" s="55">
        <v>0</v>
      </c>
      <c r="DH602" s="55">
        <v>0</v>
      </c>
      <c r="DI602" s="55">
        <v>0</v>
      </c>
    </row>
    <row r="603" spans="1:113" outlineLevel="1">
      <c r="A603" s="1" t="s">
        <v>739</v>
      </c>
      <c r="B603" s="19" t="s">
        <v>271</v>
      </c>
      <c r="C603" s="55">
        <v>-835</v>
      </c>
      <c r="D603" s="55">
        <v>-568</v>
      </c>
      <c r="E603" s="55">
        <v>-150</v>
      </c>
      <c r="F603" s="55">
        <v>4</v>
      </c>
      <c r="G603" s="55">
        <v>7</v>
      </c>
      <c r="H603" s="55">
        <v>5</v>
      </c>
      <c r="I603" s="55">
        <v>61</v>
      </c>
      <c r="J603" s="55">
        <v>61</v>
      </c>
      <c r="K603" s="55">
        <v>92</v>
      </c>
      <c r="L603" s="55">
        <v>52</v>
      </c>
      <c r="M603" s="55">
        <v>73</v>
      </c>
      <c r="N603" s="55">
        <v>71</v>
      </c>
      <c r="O603" s="55">
        <v>145</v>
      </c>
      <c r="P603" s="55">
        <v>81</v>
      </c>
      <c r="Q603" s="55">
        <v>105</v>
      </c>
      <c r="R603" s="55">
        <v>118</v>
      </c>
      <c r="S603" s="55">
        <v>115</v>
      </c>
      <c r="T603" s="55">
        <v>123</v>
      </c>
      <c r="U603" s="55">
        <v>154</v>
      </c>
      <c r="V603" s="55">
        <v>158</v>
      </c>
      <c r="W603" s="55">
        <v>121</v>
      </c>
      <c r="X603" s="55">
        <v>219</v>
      </c>
      <c r="Y603" s="55">
        <v>131</v>
      </c>
      <c r="Z603" s="55">
        <v>476</v>
      </c>
      <c r="AA603" s="55">
        <v>-15</v>
      </c>
      <c r="AB603" s="55">
        <v>0</v>
      </c>
      <c r="AC603" s="55">
        <v>0</v>
      </c>
      <c r="AD603" s="55">
        <v>0</v>
      </c>
      <c r="AE603" s="55">
        <v>0</v>
      </c>
      <c r="AF603" s="55">
        <v>0</v>
      </c>
      <c r="AG603" s="55">
        <v>0</v>
      </c>
      <c r="AH603" s="55">
        <v>0</v>
      </c>
      <c r="AI603" s="55">
        <v>0</v>
      </c>
      <c r="AJ603" s="55">
        <v>0</v>
      </c>
      <c r="AK603" s="55">
        <v>0</v>
      </c>
      <c r="AL603" s="55">
        <v>0</v>
      </c>
      <c r="AM603" s="55">
        <v>0</v>
      </c>
      <c r="AN603" s="55">
        <v>0</v>
      </c>
      <c r="AO603" s="55">
        <v>0</v>
      </c>
      <c r="AP603" s="55">
        <v>0</v>
      </c>
      <c r="AQ603" s="55">
        <v>0</v>
      </c>
      <c r="AR603" s="55">
        <v>0</v>
      </c>
      <c r="AS603" s="55">
        <v>0</v>
      </c>
      <c r="AT603" s="55">
        <v>0</v>
      </c>
      <c r="AU603" s="55">
        <v>0</v>
      </c>
      <c r="AV603" s="55">
        <v>0</v>
      </c>
      <c r="AW603" s="56">
        <v>0</v>
      </c>
      <c r="AX603" s="54">
        <v>0</v>
      </c>
      <c r="AY603" s="54">
        <v>0</v>
      </c>
      <c r="AZ603" s="54">
        <v>0</v>
      </c>
      <c r="BA603" s="54">
        <v>0</v>
      </c>
      <c r="BB603" s="54">
        <v>0</v>
      </c>
      <c r="BC603" s="54">
        <v>0</v>
      </c>
      <c r="BD603" s="54">
        <v>0</v>
      </c>
      <c r="BE603" s="54">
        <v>0</v>
      </c>
      <c r="BF603" s="54">
        <v>0</v>
      </c>
      <c r="BG603" s="54">
        <v>0</v>
      </c>
      <c r="BH603" s="54">
        <v>0</v>
      </c>
      <c r="BI603" s="54">
        <v>0</v>
      </c>
      <c r="BJ603" s="54">
        <v>0</v>
      </c>
      <c r="BK603" s="54">
        <v>0</v>
      </c>
      <c r="BL603" s="54">
        <v>0</v>
      </c>
      <c r="BM603" s="54">
        <v>0</v>
      </c>
      <c r="BN603" s="54">
        <v>0</v>
      </c>
      <c r="BO603" s="54">
        <v>0</v>
      </c>
      <c r="BP603" s="54">
        <v>0</v>
      </c>
      <c r="BQ603" s="54">
        <v>0</v>
      </c>
      <c r="BR603" s="55"/>
      <c r="BS603" s="55">
        <v>226</v>
      </c>
      <c r="BT603" s="55">
        <v>0</v>
      </c>
      <c r="BU603" s="55">
        <v>0</v>
      </c>
      <c r="BV603" s="55">
        <v>0</v>
      </c>
      <c r="BW603" s="55">
        <v>0</v>
      </c>
      <c r="BX603" s="55">
        <v>0</v>
      </c>
      <c r="BY603" s="55">
        <v>0</v>
      </c>
      <c r="BZ603" s="55">
        <v>0</v>
      </c>
      <c r="CA603" s="55">
        <v>0</v>
      </c>
      <c r="CB603" s="55">
        <v>5</v>
      </c>
      <c r="CC603" s="55">
        <v>-150</v>
      </c>
      <c r="CD603" s="55">
        <v>7</v>
      </c>
      <c r="CE603" s="55">
        <v>61</v>
      </c>
      <c r="CF603" s="55">
        <v>92</v>
      </c>
      <c r="CG603" s="55">
        <v>73</v>
      </c>
      <c r="CH603" s="55">
        <v>145</v>
      </c>
      <c r="CI603" s="55">
        <v>105</v>
      </c>
      <c r="CJ603" s="55">
        <v>115</v>
      </c>
      <c r="CK603" s="55">
        <v>154</v>
      </c>
      <c r="CL603" s="55">
        <v>121</v>
      </c>
      <c r="CM603" s="55">
        <v>131</v>
      </c>
      <c r="CN603" s="55">
        <v>-15</v>
      </c>
      <c r="CO603" s="55">
        <v>0</v>
      </c>
      <c r="CP603" s="55">
        <v>0</v>
      </c>
      <c r="CQ603" s="55">
        <v>0</v>
      </c>
      <c r="CR603" s="55">
        <v>0</v>
      </c>
      <c r="CS603" s="55">
        <v>0</v>
      </c>
      <c r="CT603" s="55">
        <v>0</v>
      </c>
      <c r="CU603" s="55">
        <v>0</v>
      </c>
      <c r="CV603" s="55">
        <v>0</v>
      </c>
      <c r="CW603" s="55">
        <v>0</v>
      </c>
      <c r="CX603" s="55">
        <v>0</v>
      </c>
      <c r="CY603" s="56">
        <v>0</v>
      </c>
      <c r="CZ603" s="55">
        <v>0</v>
      </c>
      <c r="DA603" s="55">
        <v>0</v>
      </c>
      <c r="DB603" s="55">
        <v>0</v>
      </c>
      <c r="DC603" s="55">
        <v>0</v>
      </c>
      <c r="DD603" s="55">
        <v>0</v>
      </c>
      <c r="DE603" s="55">
        <v>0</v>
      </c>
      <c r="DF603" s="55">
        <v>0</v>
      </c>
      <c r="DG603" s="55">
        <v>0</v>
      </c>
      <c r="DH603" s="55">
        <v>0</v>
      </c>
      <c r="DI603" s="55">
        <v>0</v>
      </c>
    </row>
    <row r="604" spans="1:113" s="24" customFormat="1" outlineLevel="1">
      <c r="A604" s="1" t="s">
        <v>740</v>
      </c>
      <c r="B604" s="24" t="s">
        <v>168</v>
      </c>
      <c r="C604" s="81">
        <v>5784</v>
      </c>
      <c r="D604" s="81">
        <v>5911</v>
      </c>
      <c r="E604" s="81">
        <v>6040</v>
      </c>
      <c r="F604" s="81">
        <v>5861</v>
      </c>
      <c r="G604" s="81">
        <v>6177</v>
      </c>
      <c r="H604" s="81">
        <v>5600</v>
      </c>
      <c r="I604" s="81">
        <v>6658</v>
      </c>
      <c r="J604" s="81">
        <v>5653</v>
      </c>
      <c r="K604" s="81">
        <v>6087</v>
      </c>
      <c r="L604" s="81">
        <v>6644</v>
      </c>
      <c r="M604" s="81">
        <v>6725</v>
      </c>
      <c r="N604" s="81">
        <v>8176</v>
      </c>
      <c r="O604" s="81">
        <v>8365</v>
      </c>
      <c r="P604" s="81">
        <v>7758</v>
      </c>
      <c r="Q604" s="81">
        <v>7013</v>
      </c>
      <c r="R604" s="81">
        <v>6309</v>
      </c>
      <c r="S604" s="81">
        <v>6784</v>
      </c>
      <c r="T604" s="81">
        <v>7529</v>
      </c>
      <c r="U604" s="81">
        <v>6819</v>
      </c>
      <c r="V604" s="81">
        <v>5111</v>
      </c>
      <c r="W604" s="81">
        <v>4749</v>
      </c>
      <c r="X604" s="81">
        <v>3588</v>
      </c>
      <c r="Y604" s="81">
        <v>2939</v>
      </c>
      <c r="Z604" s="81">
        <v>2066</v>
      </c>
      <c r="AA604" s="166">
        <v>3088</v>
      </c>
      <c r="AB604" s="166">
        <v>2922</v>
      </c>
      <c r="AC604" s="166">
        <v>2935</v>
      </c>
      <c r="AD604" s="166">
        <v>3903</v>
      </c>
      <c r="AE604" s="166">
        <v>5661</v>
      </c>
      <c r="AF604" s="166">
        <v>7333</v>
      </c>
      <c r="AG604" s="166">
        <v>7924</v>
      </c>
      <c r="AH604" s="166">
        <v>9373</v>
      </c>
      <c r="AI604" s="166">
        <v>9392</v>
      </c>
      <c r="AJ604" s="166">
        <v>10622</v>
      </c>
      <c r="AK604" s="166">
        <v>12579</v>
      </c>
      <c r="AL604" s="166">
        <v>12932</v>
      </c>
      <c r="AM604" s="166">
        <v>12750</v>
      </c>
      <c r="AN604" s="166">
        <v>14735</v>
      </c>
      <c r="AO604" s="166">
        <v>16429</v>
      </c>
      <c r="AP604" s="166">
        <v>17822</v>
      </c>
      <c r="AQ604" s="166">
        <v>18472</v>
      </c>
      <c r="AR604" s="166">
        <v>18928</v>
      </c>
      <c r="AS604" s="166">
        <v>19992</v>
      </c>
      <c r="AT604" s="166">
        <v>22889</v>
      </c>
      <c r="AU604" s="166">
        <v>26009</v>
      </c>
      <c r="AV604" s="166">
        <v>27147</v>
      </c>
      <c r="AW604" s="167">
        <v>30828</v>
      </c>
      <c r="AX604" s="82">
        <v>30870.501426140167</v>
      </c>
      <c r="AY604" s="82">
        <v>30907.811147266653</v>
      </c>
      <c r="AZ604" s="82">
        <v>30948.831086502483</v>
      </c>
      <c r="BA604" s="82">
        <v>30982.928303793877</v>
      </c>
      <c r="BB604" s="82">
        <v>31018.14106710226</v>
      </c>
      <c r="BC604" s="82">
        <v>31059.342201609234</v>
      </c>
      <c r="BD604" s="82">
        <v>31101.374762199121</v>
      </c>
      <c r="BE604" s="82">
        <v>31144.255173846908</v>
      </c>
      <c r="BF604" s="82">
        <v>31188.000213148265</v>
      </c>
      <c r="BG604" s="82">
        <v>31232.627015096306</v>
      </c>
      <c r="BH604" s="82">
        <v>31278.153080029453</v>
      </c>
      <c r="BI604" s="82">
        <v>31324.596280752397</v>
      </c>
      <c r="BJ604" s="82">
        <v>31695.819355899097</v>
      </c>
      <c r="BK604" s="82">
        <v>32117.194979912012</v>
      </c>
      <c r="BL604" s="82">
        <v>32100.980447541842</v>
      </c>
      <c r="BM604" s="82">
        <v>31817.213831831064</v>
      </c>
      <c r="BN604" s="82">
        <v>31878.628955650151</v>
      </c>
      <c r="BO604" s="82">
        <v>31941.29515755488</v>
      </c>
      <c r="BP604" s="82">
        <v>32005.238227874466</v>
      </c>
      <c r="BQ604" s="82">
        <v>32070.484493669759</v>
      </c>
      <c r="BR604" s="82"/>
      <c r="BS604" s="81">
        <v>1156.0999999999999</v>
      </c>
      <c r="BT604" s="81">
        <v>883.5</v>
      </c>
      <c r="BU604" s="81">
        <v>867.6</v>
      </c>
      <c r="BV604" s="81">
        <v>917</v>
      </c>
      <c r="BW604" s="81">
        <v>2297</v>
      </c>
      <c r="BX604" s="81">
        <v>2437</v>
      </c>
      <c r="BY604" s="81">
        <v>2666</v>
      </c>
      <c r="BZ604" s="81">
        <v>3109</v>
      </c>
      <c r="CA604" s="81">
        <v>6097</v>
      </c>
      <c r="CB604" s="81">
        <v>5784</v>
      </c>
      <c r="CC604" s="82">
        <v>6040</v>
      </c>
      <c r="CD604" s="82">
        <v>6177</v>
      </c>
      <c r="CE604" s="82">
        <v>6658</v>
      </c>
      <c r="CF604" s="82">
        <v>6087</v>
      </c>
      <c r="CG604" s="82">
        <v>6725</v>
      </c>
      <c r="CH604" s="82">
        <v>8365</v>
      </c>
      <c r="CI604" s="82">
        <v>7013</v>
      </c>
      <c r="CJ604" s="82">
        <v>6784</v>
      </c>
      <c r="CK604" s="82">
        <v>6819</v>
      </c>
      <c r="CL604" s="82">
        <v>4749</v>
      </c>
      <c r="CM604" s="82">
        <v>2939</v>
      </c>
      <c r="CN604" s="82">
        <v>3088</v>
      </c>
      <c r="CO604" s="82">
        <v>2935</v>
      </c>
      <c r="CP604" s="82">
        <v>5661</v>
      </c>
      <c r="CQ604" s="82">
        <v>7924</v>
      </c>
      <c r="CR604" s="82">
        <v>9392</v>
      </c>
      <c r="CS604" s="82">
        <v>12579</v>
      </c>
      <c r="CT604" s="82">
        <v>12750</v>
      </c>
      <c r="CU604" s="82">
        <v>16429</v>
      </c>
      <c r="CV604" s="82">
        <v>18472</v>
      </c>
      <c r="CW604" s="82">
        <v>19992</v>
      </c>
      <c r="CX604" s="82">
        <v>26009</v>
      </c>
      <c r="CY604" s="83">
        <v>30828</v>
      </c>
      <c r="CZ604" s="82">
        <v>30907.811147266653</v>
      </c>
      <c r="DA604" s="82">
        <v>30982.928303793877</v>
      </c>
      <c r="DB604" s="82">
        <v>31059.342201609234</v>
      </c>
      <c r="DC604" s="82">
        <v>31144.255173846908</v>
      </c>
      <c r="DD604" s="82">
        <v>31232.627015096306</v>
      </c>
      <c r="DE604" s="82">
        <v>31324.596280752397</v>
      </c>
      <c r="DF604" s="82">
        <v>32117.194979912012</v>
      </c>
      <c r="DG604" s="82">
        <v>31817.213831831064</v>
      </c>
      <c r="DH604" s="82">
        <v>31941.29515755488</v>
      </c>
      <c r="DI604" s="82">
        <v>32070.484493669759</v>
      </c>
    </row>
    <row r="605" spans="1:113" outlineLevel="1">
      <c r="C605" s="55"/>
      <c r="D605" s="55"/>
      <c r="E605" s="55"/>
      <c r="F605" s="55"/>
      <c r="G605" s="55"/>
      <c r="H605" s="55"/>
      <c r="I605" s="55"/>
      <c r="J605" s="55"/>
      <c r="K605" s="55"/>
      <c r="L605" s="55"/>
      <c r="M605" s="55"/>
      <c r="N605" s="55"/>
      <c r="O605" s="55"/>
      <c r="P605" s="55"/>
      <c r="Q605" s="55"/>
      <c r="R605" s="55"/>
      <c r="S605" s="55"/>
      <c r="T605" s="55"/>
      <c r="U605" s="55"/>
      <c r="V605" s="55"/>
      <c r="W605" s="55"/>
      <c r="X605" s="55"/>
      <c r="Y605" s="55"/>
      <c r="Z605" s="55"/>
      <c r="AA605" s="55"/>
      <c r="AB605" s="55"/>
      <c r="AC605" s="55"/>
      <c r="AD605" s="55"/>
      <c r="AE605" s="55"/>
      <c r="AF605" s="55"/>
      <c r="AG605" s="55"/>
      <c r="AH605" s="55"/>
      <c r="AI605" s="55"/>
      <c r="AJ605" s="55"/>
      <c r="AK605" s="55"/>
      <c r="AL605" s="55"/>
      <c r="AM605" s="55"/>
      <c r="AN605" s="55"/>
      <c r="AO605" s="55"/>
      <c r="AP605" s="55"/>
      <c r="AQ605" s="55"/>
      <c r="AR605" s="55"/>
      <c r="AS605" s="55"/>
      <c r="AT605" s="55"/>
      <c r="AU605" s="55"/>
      <c r="AV605" s="55"/>
      <c r="AW605" s="56"/>
      <c r="AX605" s="55"/>
      <c r="AY605" s="55"/>
      <c r="AZ605" s="55"/>
      <c r="BA605" s="55"/>
      <c r="BB605" s="55"/>
      <c r="BC605" s="55"/>
      <c r="BD605" s="55"/>
      <c r="BE605" s="55"/>
      <c r="BF605" s="55"/>
      <c r="BG605" s="55"/>
      <c r="BH605" s="55"/>
      <c r="BI605" s="55"/>
      <c r="BJ605" s="55"/>
      <c r="BK605" s="55"/>
      <c r="BL605" s="55"/>
      <c r="BM605" s="55"/>
      <c r="BN605" s="55"/>
      <c r="BO605" s="55"/>
      <c r="BP605" s="55"/>
      <c r="BQ605" s="55"/>
      <c r="BR605" s="55"/>
      <c r="BS605" s="55"/>
      <c r="BT605" s="55"/>
      <c r="BU605" s="55"/>
      <c r="BV605" s="55"/>
      <c r="BW605" s="55"/>
      <c r="BX605" s="55"/>
      <c r="BY605" s="55"/>
      <c r="BZ605" s="55"/>
      <c r="CA605" s="55"/>
      <c r="CB605" s="55"/>
      <c r="CC605" s="55"/>
      <c r="CD605" s="55"/>
      <c r="CE605" s="55"/>
      <c r="CF605" s="55"/>
      <c r="CG605" s="55"/>
      <c r="CH605" s="55"/>
      <c r="CI605" s="55"/>
      <c r="CJ605" s="55"/>
      <c r="CK605" s="55"/>
      <c r="CL605" s="55"/>
      <c r="CM605" s="55"/>
      <c r="CN605" s="55"/>
      <c r="CO605" s="55"/>
      <c r="CP605" s="55"/>
      <c r="CQ605" s="55"/>
      <c r="CR605" s="55"/>
      <c r="CS605" s="55"/>
      <c r="CT605" s="55"/>
      <c r="CU605" s="55"/>
      <c r="CV605" s="55"/>
      <c r="CW605" s="55"/>
      <c r="CX605" s="55"/>
      <c r="CY605" s="56"/>
      <c r="CZ605" s="55"/>
      <c r="DA605" s="55"/>
      <c r="DB605" s="55"/>
    </row>
    <row r="606" spans="1:113" outlineLevel="1">
      <c r="A606" s="1" t="s">
        <v>741</v>
      </c>
      <c r="B606" s="19" t="s">
        <v>718</v>
      </c>
      <c r="C606" s="53">
        <v>-2149</v>
      </c>
      <c r="D606" s="53">
        <v>-2366</v>
      </c>
      <c r="E606" s="53">
        <v>-1781</v>
      </c>
      <c r="F606" s="53">
        <v>-1910</v>
      </c>
      <c r="G606" s="53">
        <v>-2114</v>
      </c>
      <c r="H606" s="53">
        <v>-2138</v>
      </c>
      <c r="I606" s="53">
        <v>-1891</v>
      </c>
      <c r="J606" s="53">
        <v>-1803</v>
      </c>
      <c r="K606" s="53">
        <v>-1749</v>
      </c>
      <c r="L606" s="53">
        <v>-2048</v>
      </c>
      <c r="M606" s="53">
        <v>-2163</v>
      </c>
      <c r="N606" s="53">
        <v>-1788</v>
      </c>
      <c r="O606" s="53">
        <v>-1926</v>
      </c>
      <c r="P606" s="53">
        <v>0</v>
      </c>
      <c r="Q606" s="53">
        <v>0</v>
      </c>
      <c r="R606" s="53">
        <v>0</v>
      </c>
      <c r="S606" s="53">
        <v>0</v>
      </c>
      <c r="T606" s="53">
        <v>0</v>
      </c>
      <c r="U606" s="53">
        <v>0</v>
      </c>
      <c r="V606" s="53">
        <v>0</v>
      </c>
      <c r="W606" s="53">
        <v>0</v>
      </c>
      <c r="X606" s="53">
        <v>0</v>
      </c>
      <c r="Y606" s="53">
        <v>0</v>
      </c>
      <c r="Z606" s="53">
        <v>0</v>
      </c>
      <c r="AA606" s="164">
        <v>0</v>
      </c>
      <c r="AB606" s="164">
        <v>0</v>
      </c>
      <c r="AC606" s="164">
        <v>0</v>
      </c>
      <c r="AD606" s="164">
        <v>0</v>
      </c>
      <c r="AE606" s="164">
        <v>0</v>
      </c>
      <c r="AF606" s="164">
        <v>0</v>
      </c>
      <c r="AG606" s="164">
        <v>0</v>
      </c>
      <c r="AH606" s="164">
        <v>0</v>
      </c>
      <c r="AI606" s="164">
        <v>0</v>
      </c>
      <c r="AJ606" s="164">
        <v>0</v>
      </c>
      <c r="AK606" s="164">
        <v>0</v>
      </c>
      <c r="AL606" s="164">
        <v>0</v>
      </c>
      <c r="AM606" s="164">
        <v>0</v>
      </c>
      <c r="AN606" s="164">
        <v>0</v>
      </c>
      <c r="AO606" s="164">
        <v>0</v>
      </c>
      <c r="AP606" s="164"/>
      <c r="AQ606" s="164"/>
      <c r="AR606" s="164"/>
      <c r="AS606" s="164"/>
      <c r="AT606" s="164"/>
      <c r="AU606" s="164"/>
      <c r="AV606" s="164"/>
      <c r="AW606" s="171"/>
      <c r="AX606" s="55">
        <v>0</v>
      </c>
      <c r="AY606" s="55">
        <v>0</v>
      </c>
      <c r="AZ606" s="55">
        <v>0</v>
      </c>
      <c r="BA606" s="55">
        <v>0</v>
      </c>
      <c r="BB606" s="55">
        <v>0</v>
      </c>
      <c r="BC606" s="55">
        <v>0</v>
      </c>
      <c r="BD606" s="55">
        <v>0</v>
      </c>
      <c r="BE606" s="55">
        <v>0</v>
      </c>
      <c r="BF606" s="55">
        <v>0</v>
      </c>
      <c r="BG606" s="55">
        <v>0</v>
      </c>
      <c r="BH606" s="55">
        <v>0</v>
      </c>
      <c r="BI606" s="55">
        <v>0</v>
      </c>
      <c r="BJ606" s="55">
        <v>0</v>
      </c>
      <c r="BK606" s="55">
        <v>0</v>
      </c>
      <c r="BL606" s="55">
        <v>0</v>
      </c>
      <c r="BM606" s="55">
        <v>0</v>
      </c>
      <c r="BN606" s="55">
        <v>0</v>
      </c>
      <c r="BO606" s="55">
        <v>0</v>
      </c>
      <c r="BP606" s="55">
        <v>0</v>
      </c>
      <c r="BQ606" s="55">
        <v>0</v>
      </c>
      <c r="BR606" s="55"/>
      <c r="BS606" s="53">
        <v>0</v>
      </c>
      <c r="BT606" s="53">
        <v>-42.4</v>
      </c>
      <c r="BU606" s="53">
        <v>-79.599999999999994</v>
      </c>
      <c r="BV606" s="53">
        <v>-282</v>
      </c>
      <c r="BW606" s="53">
        <v>-239</v>
      </c>
      <c r="BX606" s="53">
        <v>-487</v>
      </c>
      <c r="BY606" s="53">
        <v>-381</v>
      </c>
      <c r="BZ606" s="53">
        <v>-788</v>
      </c>
      <c r="CA606" s="53">
        <v>-3197</v>
      </c>
      <c r="CB606" s="53">
        <v>-2119</v>
      </c>
      <c r="CC606" s="55">
        <v>-1781</v>
      </c>
      <c r="CD606" s="55">
        <v>-2114</v>
      </c>
      <c r="CE606" s="55">
        <v>-1891</v>
      </c>
      <c r="CF606" s="55">
        <v>-1749</v>
      </c>
      <c r="CG606" s="55">
        <v>-2163</v>
      </c>
      <c r="CH606" s="55">
        <v>-1926</v>
      </c>
      <c r="CI606" s="55">
        <v>0</v>
      </c>
      <c r="CJ606" s="55">
        <v>0</v>
      </c>
      <c r="CK606" s="55">
        <v>0</v>
      </c>
      <c r="CL606" s="55">
        <v>0</v>
      </c>
      <c r="CM606" s="55">
        <v>0</v>
      </c>
      <c r="CN606" s="55">
        <v>0</v>
      </c>
      <c r="CO606" s="55">
        <v>0</v>
      </c>
      <c r="CP606" s="55">
        <v>0</v>
      </c>
      <c r="CQ606" s="55">
        <v>0</v>
      </c>
      <c r="CR606" s="55">
        <v>0</v>
      </c>
      <c r="CS606" s="55">
        <v>0</v>
      </c>
      <c r="CT606" s="55">
        <v>0</v>
      </c>
      <c r="CU606" s="55">
        <v>0</v>
      </c>
      <c r="CV606" s="55">
        <v>0</v>
      </c>
      <c r="CW606" s="55">
        <v>0</v>
      </c>
      <c r="CX606" s="55">
        <v>0</v>
      </c>
      <c r="CY606" s="56">
        <v>0</v>
      </c>
      <c r="CZ606" s="55">
        <v>0</v>
      </c>
      <c r="DA606" s="55">
        <v>0</v>
      </c>
      <c r="DB606" s="55">
        <v>0</v>
      </c>
      <c r="DC606" s="55">
        <v>0</v>
      </c>
      <c r="DD606" s="55">
        <v>0</v>
      </c>
      <c r="DE606" s="55">
        <v>0</v>
      </c>
      <c r="DF606" s="55">
        <v>0</v>
      </c>
      <c r="DG606" s="55">
        <v>0</v>
      </c>
      <c r="DH606" s="55">
        <v>0</v>
      </c>
      <c r="DI606" s="55">
        <v>0</v>
      </c>
    </row>
    <row r="607" spans="1:113" s="24" customFormat="1" outlineLevel="1">
      <c r="A607" s="1" t="s">
        <v>742</v>
      </c>
      <c r="B607" s="24" t="s">
        <v>719</v>
      </c>
      <c r="C607" s="82">
        <v>12650</v>
      </c>
      <c r="D607" s="82">
        <v>12881</v>
      </c>
      <c r="E607" s="82">
        <v>13820</v>
      </c>
      <c r="F607" s="82">
        <v>14099</v>
      </c>
      <c r="G607" s="82">
        <v>14276</v>
      </c>
      <c r="H607" s="82">
        <v>14900</v>
      </c>
      <c r="I607" s="82">
        <v>17355</v>
      </c>
      <c r="J607" s="82">
        <v>17337</v>
      </c>
      <c r="K607" s="82">
        <v>18479</v>
      </c>
      <c r="L607" s="82">
        <v>19886</v>
      </c>
      <c r="M607" s="82">
        <v>20916</v>
      </c>
      <c r="N607" s="82">
        <v>22941</v>
      </c>
      <c r="O607" s="82">
        <v>23951</v>
      </c>
      <c r="P607" s="82">
        <v>23954</v>
      </c>
      <c r="Q607" s="82">
        <v>23804</v>
      </c>
      <c r="R607" s="82">
        <v>27257</v>
      </c>
      <c r="S607" s="82">
        <v>30095</v>
      </c>
      <c r="T607" s="82">
        <v>34594</v>
      </c>
      <c r="U607" s="82">
        <v>33420</v>
      </c>
      <c r="V607" s="82">
        <v>32846</v>
      </c>
      <c r="W607" s="82">
        <v>32962</v>
      </c>
      <c r="X607" s="82">
        <v>33061</v>
      </c>
      <c r="Y607" s="82">
        <v>33238</v>
      </c>
      <c r="Z607" s="82">
        <v>33846</v>
      </c>
      <c r="AA607" s="82">
        <v>36838</v>
      </c>
      <c r="AB607" s="82">
        <v>38180</v>
      </c>
      <c r="AC607" s="82">
        <v>40543</v>
      </c>
      <c r="AD607" s="82">
        <v>44901</v>
      </c>
      <c r="AE607" s="82">
        <v>46808</v>
      </c>
      <c r="AF607" s="82">
        <v>55305</v>
      </c>
      <c r="AG607" s="82">
        <v>56677</v>
      </c>
      <c r="AH607" s="82">
        <v>59791</v>
      </c>
      <c r="AI607" s="82">
        <v>62276</v>
      </c>
      <c r="AJ607" s="82">
        <v>64985</v>
      </c>
      <c r="AK607" s="82">
        <v>68944</v>
      </c>
      <c r="AL607" s="82">
        <v>70450</v>
      </c>
      <c r="AM607" s="82">
        <v>70105</v>
      </c>
      <c r="AN607" s="82">
        <v>77953</v>
      </c>
      <c r="AO607" s="82">
        <v>79843</v>
      </c>
      <c r="AP607" s="82">
        <v>85722</v>
      </c>
      <c r="AQ607" s="82">
        <v>89316</v>
      </c>
      <c r="AR607" s="82">
        <v>84955</v>
      </c>
      <c r="AS607" s="82">
        <v>87550</v>
      </c>
      <c r="AT607" s="82">
        <v>89753</v>
      </c>
      <c r="AU607" s="82">
        <v>93780</v>
      </c>
      <c r="AV607" s="82">
        <v>95240</v>
      </c>
      <c r="AW607" s="83">
        <v>97791</v>
      </c>
      <c r="AX607" s="82">
        <v>98220.695706151062</v>
      </c>
      <c r="AY607" s="82">
        <v>98870.89600705335</v>
      </c>
      <c r="AZ607" s="82">
        <v>99365.824889518975</v>
      </c>
      <c r="BA607" s="82">
        <v>100318.87632255342</v>
      </c>
      <c r="BB607" s="82">
        <v>100831.34134054738</v>
      </c>
      <c r="BC607" s="82">
        <v>102007.27607206472</v>
      </c>
      <c r="BD607" s="82">
        <v>102781.96234077722</v>
      </c>
      <c r="BE607" s="82">
        <v>104130.86156953537</v>
      </c>
      <c r="BF607" s="82">
        <v>105057.28745458023</v>
      </c>
      <c r="BG607" s="82">
        <v>106481.42877700162</v>
      </c>
      <c r="BH607" s="82">
        <v>107534.92094415764</v>
      </c>
      <c r="BI607" s="82">
        <v>108981.17147837768</v>
      </c>
      <c r="BJ607" s="82">
        <v>109737.80411456226</v>
      </c>
      <c r="BK607" s="82">
        <v>110645.62271061298</v>
      </c>
      <c r="BL607" s="82">
        <v>111245.5168544632</v>
      </c>
      <c r="BM607" s="82">
        <v>112473.96832304826</v>
      </c>
      <c r="BN607" s="82">
        <v>114377.99599021245</v>
      </c>
      <c r="BO607" s="82">
        <v>115807.98767470308</v>
      </c>
      <c r="BP607" s="82">
        <v>116941.00527664629</v>
      </c>
      <c r="BQ607" s="82">
        <v>118432.32797003101</v>
      </c>
      <c r="BR607" s="82"/>
      <c r="BS607" s="82">
        <v>7385.1</v>
      </c>
      <c r="BT607" s="82">
        <v>7387.6</v>
      </c>
      <c r="BU607" s="82">
        <v>7342.1</v>
      </c>
      <c r="BV607" s="82">
        <v>7847</v>
      </c>
      <c r="BW607" s="82">
        <v>9822</v>
      </c>
      <c r="BX607" s="82">
        <v>9418</v>
      </c>
      <c r="BY607" s="82">
        <v>9902</v>
      </c>
      <c r="BZ607" s="82">
        <v>9342</v>
      </c>
      <c r="CA607" s="82">
        <v>12518</v>
      </c>
      <c r="CB607" s="82">
        <v>12680</v>
      </c>
      <c r="CC607" s="82">
        <v>13820</v>
      </c>
      <c r="CD607" s="82">
        <v>14276</v>
      </c>
      <c r="CE607" s="82">
        <v>17355</v>
      </c>
      <c r="CF607" s="82">
        <v>18479</v>
      </c>
      <c r="CG607" s="82">
        <v>20916</v>
      </c>
      <c r="CH607" s="82">
        <v>23951</v>
      </c>
      <c r="CI607" s="82">
        <v>23804</v>
      </c>
      <c r="CJ607" s="82">
        <v>30095</v>
      </c>
      <c r="CK607" s="82">
        <v>33420</v>
      </c>
      <c r="CL607" s="82">
        <v>32962</v>
      </c>
      <c r="CM607" s="82">
        <v>33238</v>
      </c>
      <c r="CN607" s="82">
        <v>36838</v>
      </c>
      <c r="CO607" s="82">
        <v>40543</v>
      </c>
      <c r="CP607" s="82">
        <v>46808</v>
      </c>
      <c r="CQ607" s="82">
        <v>56677</v>
      </c>
      <c r="CR607" s="82">
        <v>62276</v>
      </c>
      <c r="CS607" s="82">
        <v>68944</v>
      </c>
      <c r="CT607" s="82">
        <v>70105</v>
      </c>
      <c r="CU607" s="82">
        <v>79843</v>
      </c>
      <c r="CV607" s="82">
        <v>89316</v>
      </c>
      <c r="CW607" s="82">
        <v>87550</v>
      </c>
      <c r="CX607" s="82">
        <v>93780</v>
      </c>
      <c r="CY607" s="83">
        <v>97791</v>
      </c>
      <c r="CZ607" s="82">
        <v>98870.896007053336</v>
      </c>
      <c r="DA607" s="82">
        <v>100318.87632255341</v>
      </c>
      <c r="DB607" s="82">
        <v>102007.27607206472</v>
      </c>
      <c r="DC607" s="82">
        <v>104130.86156953537</v>
      </c>
      <c r="DD607" s="82">
        <v>106481.42877700162</v>
      </c>
      <c r="DE607" s="82">
        <v>108981.17147837768</v>
      </c>
      <c r="DF607" s="82">
        <v>110645.62271061298</v>
      </c>
      <c r="DG607" s="82">
        <v>112473.96832304826</v>
      </c>
      <c r="DH607" s="82">
        <v>115807.98767470309</v>
      </c>
      <c r="DI607" s="82">
        <v>118432.32797003104</v>
      </c>
    </row>
    <row r="608" spans="1:113" outlineLevel="1">
      <c r="C608" s="55"/>
      <c r="D608" s="55"/>
      <c r="E608" s="55"/>
      <c r="F608" s="55"/>
      <c r="G608" s="55"/>
      <c r="H608" s="55"/>
      <c r="I608" s="55"/>
      <c r="J608" s="55"/>
      <c r="K608" s="55"/>
      <c r="L608" s="55"/>
      <c r="M608" s="55"/>
      <c r="N608" s="55"/>
      <c r="O608" s="55"/>
      <c r="P608" s="55"/>
      <c r="Q608" s="55"/>
      <c r="R608" s="55"/>
      <c r="S608" s="55"/>
      <c r="T608" s="55"/>
      <c r="U608" s="55"/>
      <c r="V608" s="55"/>
      <c r="W608" s="55"/>
      <c r="X608" s="55"/>
      <c r="Y608" s="55"/>
      <c r="Z608" s="55"/>
      <c r="AA608" s="55"/>
      <c r="AB608" s="55"/>
      <c r="AC608" s="55"/>
      <c r="AD608" s="55"/>
      <c r="AE608" s="55"/>
      <c r="AF608" s="55"/>
      <c r="AG608" s="55"/>
      <c r="AH608" s="55"/>
      <c r="AI608" s="55"/>
      <c r="AP608" s="55"/>
      <c r="AQ608" s="55"/>
      <c r="AR608" s="55"/>
      <c r="AS608" s="55"/>
      <c r="AT608" s="55"/>
      <c r="AU608" s="55"/>
      <c r="AV608" s="55"/>
      <c r="AW608" s="56"/>
      <c r="AX608" s="55"/>
      <c r="AY608" s="55"/>
      <c r="AZ608" s="55"/>
      <c r="BA608" s="55"/>
      <c r="BB608" s="55"/>
      <c r="BC608" s="55"/>
      <c r="BD608" s="55"/>
      <c r="BE608" s="55"/>
      <c r="BF608" s="55"/>
      <c r="BG608" s="55"/>
      <c r="BH608" s="55"/>
      <c r="BI608" s="55"/>
      <c r="BJ608" s="55"/>
      <c r="BK608" s="55"/>
      <c r="BL608" s="55"/>
      <c r="BM608" s="55"/>
      <c r="BN608" s="55"/>
      <c r="BO608" s="55"/>
      <c r="BP608" s="55"/>
      <c r="BQ608" s="55"/>
      <c r="BR608" s="55"/>
      <c r="BS608" s="55"/>
      <c r="BT608" s="55"/>
      <c r="BU608" s="55"/>
      <c r="BV608" s="55"/>
      <c r="BW608" s="55"/>
      <c r="BX608" s="55"/>
      <c r="BY608" s="55"/>
      <c r="BZ608" s="55"/>
      <c r="CA608" s="55"/>
      <c r="CB608" s="55"/>
      <c r="CC608" s="55"/>
      <c r="CD608" s="55"/>
      <c r="CE608" s="55"/>
      <c r="CF608" s="55"/>
      <c r="CG608" s="55"/>
      <c r="CH608" s="55"/>
      <c r="CI608" s="55"/>
      <c r="CJ608" s="55"/>
      <c r="CK608" s="55"/>
      <c r="CL608" s="55"/>
      <c r="CM608" s="55"/>
      <c r="CN608" s="55"/>
      <c r="CO608" s="55"/>
      <c r="CP608" s="55"/>
      <c r="CQ608" s="55"/>
      <c r="CR608" s="55"/>
      <c r="CS608" s="55"/>
      <c r="CT608" s="55"/>
      <c r="CU608" s="55"/>
      <c r="CV608" s="55"/>
      <c r="CW608" s="55"/>
      <c r="CX608" s="55"/>
      <c r="CY608" s="56"/>
      <c r="CZ608" s="55"/>
      <c r="DA608" s="55"/>
      <c r="DB608" s="55"/>
    </row>
    <row r="609" spans="1:113" s="24" customFormat="1" outlineLevel="1">
      <c r="A609" s="1"/>
      <c r="B609" s="24" t="s">
        <v>720</v>
      </c>
      <c r="C609" s="82"/>
      <c r="D609" s="82"/>
      <c r="E609" s="82"/>
      <c r="F609" s="82"/>
      <c r="G609" s="82"/>
      <c r="H609" s="82"/>
      <c r="I609" s="82"/>
      <c r="J609" s="82"/>
      <c r="K609" s="82"/>
      <c r="L609" s="82"/>
      <c r="M609" s="82"/>
      <c r="N609" s="82"/>
      <c r="O609" s="82"/>
      <c r="P609" s="82"/>
      <c r="Q609" s="82"/>
      <c r="R609" s="82"/>
      <c r="S609" s="82"/>
      <c r="T609" s="82"/>
      <c r="U609" s="82"/>
      <c r="V609" s="82"/>
      <c r="W609" s="82"/>
      <c r="X609" s="82"/>
      <c r="Y609" s="82"/>
      <c r="Z609" s="82"/>
      <c r="AA609" s="82"/>
      <c r="AB609" s="82"/>
      <c r="AC609" s="164"/>
      <c r="AD609" s="50"/>
      <c r="AE609" s="164"/>
      <c r="AF609" s="164"/>
      <c r="AH609" s="164"/>
      <c r="AI609" s="164"/>
      <c r="AP609" s="82"/>
      <c r="AQ609" s="82"/>
      <c r="AR609" s="82"/>
      <c r="AS609" s="82"/>
      <c r="AT609" s="82"/>
      <c r="AU609" s="82"/>
      <c r="AV609" s="82"/>
      <c r="AW609" s="83"/>
      <c r="AX609" s="82"/>
      <c r="AY609" s="82"/>
      <c r="AZ609" s="82"/>
      <c r="BA609" s="82"/>
      <c r="BB609" s="82"/>
      <c r="BC609" s="82"/>
      <c r="BD609" s="82"/>
      <c r="BE609" s="82"/>
      <c r="BF609" s="82"/>
      <c r="BG609" s="82"/>
      <c r="BH609" s="82"/>
      <c r="BI609" s="82"/>
      <c r="BJ609" s="82"/>
      <c r="BK609" s="82"/>
      <c r="BL609" s="82"/>
      <c r="BM609" s="82"/>
      <c r="BN609" s="82"/>
      <c r="BO609" s="82"/>
      <c r="BP609" s="82"/>
      <c r="BQ609" s="82"/>
      <c r="BR609" s="82"/>
      <c r="BS609" s="82"/>
      <c r="BT609" s="82"/>
      <c r="BU609" s="82"/>
      <c r="BV609" s="82"/>
      <c r="BW609" s="82"/>
      <c r="BX609" s="82"/>
      <c r="BY609" s="82"/>
      <c r="BZ609" s="82"/>
      <c r="CA609" s="82"/>
      <c r="CB609" s="82"/>
      <c r="CC609" s="82"/>
      <c r="CD609" s="82"/>
      <c r="CE609" s="82"/>
      <c r="CF609" s="82"/>
      <c r="CG609" s="82"/>
      <c r="CH609" s="82"/>
      <c r="CI609" s="82"/>
      <c r="CJ609" s="82"/>
      <c r="CK609" s="82"/>
      <c r="CL609" s="82"/>
      <c r="CM609" s="82"/>
      <c r="CN609" s="82"/>
      <c r="CO609" s="82"/>
      <c r="CP609" s="82"/>
      <c r="CQ609" s="82"/>
      <c r="CR609" s="82"/>
      <c r="CS609" s="82"/>
      <c r="CT609" s="82"/>
      <c r="CU609" s="82"/>
      <c r="CV609" s="82"/>
      <c r="CW609" s="82"/>
      <c r="CX609" s="82"/>
      <c r="CY609" s="83"/>
      <c r="CZ609" s="82"/>
      <c r="DA609" s="82"/>
      <c r="DB609" s="82"/>
    </row>
    <row r="610" spans="1:113" outlineLevel="1">
      <c r="A610" s="1" t="s">
        <v>743</v>
      </c>
      <c r="B610" s="19" t="s">
        <v>762</v>
      </c>
      <c r="C610" s="55">
        <v>36755.5</v>
      </c>
      <c r="D610" s="55">
        <v>39872.5</v>
      </c>
      <c r="E610" s="55">
        <v>42919</v>
      </c>
      <c r="F610" s="55">
        <v>46772.5</v>
      </c>
      <c r="G610" s="55">
        <v>50101.5</v>
      </c>
      <c r="H610" s="55">
        <v>56114</v>
      </c>
      <c r="I610" s="55">
        <v>64727.5</v>
      </c>
      <c r="J610" s="55">
        <v>70324.5</v>
      </c>
      <c r="K610" s="55">
        <v>75339</v>
      </c>
      <c r="L610" s="55">
        <v>79669.5</v>
      </c>
      <c r="M610" s="55">
        <v>83560.5</v>
      </c>
      <c r="N610" s="55">
        <v>88360.5</v>
      </c>
      <c r="O610" s="55">
        <v>96385</v>
      </c>
      <c r="P610" s="181">
        <v>35681.040000000001</v>
      </c>
      <c r="Q610" s="53">
        <v>39369</v>
      </c>
      <c r="R610" s="53">
        <v>45547</v>
      </c>
      <c r="S610" s="53">
        <v>75417</v>
      </c>
      <c r="T610" s="53">
        <v>79440</v>
      </c>
      <c r="U610" s="53">
        <v>78318</v>
      </c>
      <c r="V610" s="53">
        <v>79017</v>
      </c>
      <c r="W610" s="53">
        <v>79224</v>
      </c>
      <c r="X610" s="53">
        <v>78504</v>
      </c>
      <c r="Y610" s="53">
        <v>80250</v>
      </c>
      <c r="Z610" s="53">
        <v>65894</v>
      </c>
      <c r="AA610" s="164">
        <v>69173</v>
      </c>
      <c r="AB610" s="164">
        <v>73979</v>
      </c>
      <c r="AC610" s="164">
        <v>75569</v>
      </c>
      <c r="AD610" s="164">
        <v>81979</v>
      </c>
      <c r="AE610" s="164">
        <v>84059</v>
      </c>
      <c r="AF610" s="164">
        <v>89385</v>
      </c>
      <c r="AG610" s="164">
        <v>93999</v>
      </c>
      <c r="AH610" s="164">
        <v>123247</v>
      </c>
      <c r="AI610" s="164">
        <v>142752</v>
      </c>
      <c r="AJ610" s="164">
        <v>143985</v>
      </c>
      <c r="AK610" s="164">
        <v>147288</v>
      </c>
      <c r="AL610" s="164">
        <v>153064</v>
      </c>
      <c r="AM610" s="164">
        <v>158023</v>
      </c>
      <c r="AN610" s="164">
        <v>157657</v>
      </c>
      <c r="AO610" s="164">
        <v>158289</v>
      </c>
      <c r="AP610" s="164">
        <v>161503</v>
      </c>
      <c r="AQ610" s="164">
        <v>169228</v>
      </c>
      <c r="AR610" s="164">
        <v>177168</v>
      </c>
      <c r="AS610" s="164">
        <v>180973</v>
      </c>
      <c r="AT610" s="164">
        <v>178422</v>
      </c>
      <c r="AU610" s="164">
        <v>154762</v>
      </c>
      <c r="AV610" s="164">
        <v>150781</v>
      </c>
      <c r="AW610" s="171">
        <v>152181</v>
      </c>
      <c r="AX610" s="55">
        <v>155810.93224799351</v>
      </c>
      <c r="AY610" s="55">
        <v>159180.96496310353</v>
      </c>
      <c r="AZ610" s="55">
        <v>163305.82988249866</v>
      </c>
      <c r="BA610" s="55">
        <v>165757.63172382384</v>
      </c>
      <c r="BB610" s="55">
        <v>168276.64345099061</v>
      </c>
      <c r="BC610" s="55">
        <v>171111.88613234466</v>
      </c>
      <c r="BD610" s="55">
        <v>173998.23461429693</v>
      </c>
      <c r="BE610" s="55">
        <v>176936.57405010867</v>
      </c>
      <c r="BF610" s="55">
        <v>179927.80612996678</v>
      </c>
      <c r="BG610" s="55">
        <v>182972.8493439572</v>
      </c>
      <c r="BH610" s="55">
        <v>186072.63925135662</v>
      </c>
      <c r="BI610" s="55">
        <v>189228.12875625741</v>
      </c>
      <c r="BJ610" s="55">
        <v>200845.75636076924</v>
      </c>
      <c r="BK610" s="55">
        <v>213070.86630429843</v>
      </c>
      <c r="BL610" s="55">
        <v>208245.16242427996</v>
      </c>
      <c r="BM610" s="55">
        <v>203172.34436326279</v>
      </c>
      <c r="BN610" s="55">
        <v>206881.21460472423</v>
      </c>
      <c r="BO610" s="55">
        <v>210657.85466162753</v>
      </c>
      <c r="BP610" s="55">
        <v>214503.50414524617</v>
      </c>
      <c r="BQ610" s="55">
        <v>218419.42536698899</v>
      </c>
      <c r="BR610" s="55"/>
      <c r="BS610" s="53">
        <v>11770.8</v>
      </c>
      <c r="BT610" s="53">
        <v>12926.4</v>
      </c>
      <c r="BU610" s="53">
        <v>14832.9</v>
      </c>
      <c r="BV610" s="53">
        <v>16559</v>
      </c>
      <c r="BW610" s="53">
        <v>17468</v>
      </c>
      <c r="BX610" s="53">
        <v>19710</v>
      </c>
      <c r="BY610" s="53">
        <v>23079</v>
      </c>
      <c r="BZ610" s="53">
        <v>28739</v>
      </c>
      <c r="CA610" s="53">
        <v>37828</v>
      </c>
      <c r="CB610" s="53">
        <v>38954</v>
      </c>
      <c r="CC610" s="55">
        <v>42919</v>
      </c>
      <c r="CD610" s="55">
        <v>50101.5</v>
      </c>
      <c r="CE610" s="55">
        <v>64727.5</v>
      </c>
      <c r="CF610" s="55">
        <v>75339</v>
      </c>
      <c r="CG610" s="55">
        <v>83560.5</v>
      </c>
      <c r="CH610" s="55">
        <v>96385</v>
      </c>
      <c r="CI610" s="55">
        <v>39369</v>
      </c>
      <c r="CJ610" s="55">
        <v>75417</v>
      </c>
      <c r="CK610" s="55">
        <v>78318</v>
      </c>
      <c r="CL610" s="55">
        <v>79224</v>
      </c>
      <c r="CM610" s="55">
        <v>80250</v>
      </c>
      <c r="CN610" s="55">
        <v>69173</v>
      </c>
      <c r="CO610" s="55">
        <v>75569</v>
      </c>
      <c r="CP610" s="55">
        <v>84059</v>
      </c>
      <c r="CQ610" s="55">
        <v>93999</v>
      </c>
      <c r="CR610" s="55">
        <v>142752</v>
      </c>
      <c r="CS610" s="55">
        <v>147288</v>
      </c>
      <c r="CT610" s="55">
        <v>158023</v>
      </c>
      <c r="CU610" s="55">
        <v>158289</v>
      </c>
      <c r="CV610" s="55">
        <v>169228</v>
      </c>
      <c r="CW610" s="55">
        <v>180973</v>
      </c>
      <c r="CX610" s="55">
        <v>154762</v>
      </c>
      <c r="CY610" s="56">
        <v>152181</v>
      </c>
      <c r="CZ610" s="55">
        <v>159180.96496310353</v>
      </c>
      <c r="DA610" s="55">
        <v>165757.63172382384</v>
      </c>
      <c r="DB610" s="55">
        <v>171111.88613234466</v>
      </c>
      <c r="DC610" s="55">
        <v>176936.57405010867</v>
      </c>
      <c r="DD610" s="55">
        <v>182972.8493439572</v>
      </c>
      <c r="DE610" s="55">
        <v>189228.12875625741</v>
      </c>
      <c r="DF610" s="55">
        <v>213070.86630429843</v>
      </c>
      <c r="DG610" s="55">
        <v>203172.34436326279</v>
      </c>
      <c r="DH610" s="55">
        <v>210657.85466162753</v>
      </c>
      <c r="DI610" s="55">
        <v>218419.42536698899</v>
      </c>
    </row>
    <row r="611" spans="1:113" outlineLevel="1">
      <c r="A611" s="1" t="s">
        <v>890</v>
      </c>
      <c r="B611" s="19" t="s">
        <v>623</v>
      </c>
      <c r="C611" s="164">
        <v>100983.5</v>
      </c>
      <c r="D611" s="164">
        <v>97604.5</v>
      </c>
      <c r="E611" s="164">
        <v>96940</v>
      </c>
      <c r="F611" s="164">
        <v>95740.5</v>
      </c>
      <c r="G611" s="164">
        <v>95381.5</v>
      </c>
      <c r="H611" s="164">
        <v>99148</v>
      </c>
      <c r="I611" s="164">
        <v>102186.5</v>
      </c>
      <c r="J611" s="164">
        <v>107675.5</v>
      </c>
      <c r="K611" s="164">
        <v>111366</v>
      </c>
      <c r="L611" s="164">
        <v>119641.5</v>
      </c>
      <c r="M611" s="164">
        <v>129430.5</v>
      </c>
      <c r="N611" s="164">
        <v>142563.5</v>
      </c>
      <c r="O611" s="164">
        <v>144839</v>
      </c>
      <c r="P611" s="53">
        <v>145954.96</v>
      </c>
      <c r="Q611" s="53">
        <v>148071</v>
      </c>
      <c r="R611" s="53">
        <v>175684</v>
      </c>
      <c r="S611" s="53">
        <v>183036</v>
      </c>
      <c r="T611" s="53">
        <v>179026</v>
      </c>
      <c r="U611" s="53">
        <v>178445</v>
      </c>
      <c r="V611" s="53">
        <v>165591</v>
      </c>
      <c r="W611" s="53">
        <v>167518</v>
      </c>
      <c r="X611" s="53">
        <v>179942</v>
      </c>
      <c r="Y611" s="53">
        <v>181179</v>
      </c>
      <c r="Z611" s="53">
        <v>192573</v>
      </c>
      <c r="AA611" s="164">
        <v>210501</v>
      </c>
      <c r="AB611" s="164">
        <v>208225</v>
      </c>
      <c r="AC611" s="164">
        <v>213569</v>
      </c>
      <c r="AD611" s="164">
        <v>229545</v>
      </c>
      <c r="AE611" s="164">
        <v>235115</v>
      </c>
      <c r="AF611" s="164">
        <v>245572</v>
      </c>
      <c r="AG611" s="164">
        <v>250031</v>
      </c>
      <c r="AH611" s="164">
        <v>250279</v>
      </c>
      <c r="AI611" s="164">
        <v>234507</v>
      </c>
      <c r="AJ611" s="164">
        <v>223000</v>
      </c>
      <c r="AK611" s="164">
        <v>222240</v>
      </c>
      <c r="AL611" s="164">
        <v>216292</v>
      </c>
      <c r="AM611" s="164">
        <v>214551</v>
      </c>
      <c r="AN611" s="164">
        <v>217560</v>
      </c>
      <c r="AO611" s="164">
        <v>215905</v>
      </c>
      <c r="AP611" s="164">
        <v>215397</v>
      </c>
      <c r="AQ611" s="164">
        <v>212322</v>
      </c>
      <c r="AR611" s="164">
        <v>213519</v>
      </c>
      <c r="AS611" s="164">
        <v>212674</v>
      </c>
      <c r="AT611" s="164">
        <v>223595</v>
      </c>
      <c r="AU611" s="164">
        <v>208107</v>
      </c>
      <c r="AV611" s="164">
        <v>217954</v>
      </c>
      <c r="AW611" s="171">
        <v>218263</v>
      </c>
      <c r="AX611" s="55">
        <v>222224.38805338935</v>
      </c>
      <c r="AY611" s="55">
        <v>225518.368034991</v>
      </c>
      <c r="AZ611" s="55">
        <v>228720.21014080249</v>
      </c>
      <c r="BA611" s="55">
        <v>232358.62506046676</v>
      </c>
      <c r="BB611" s="55">
        <v>236129.08145818498</v>
      </c>
      <c r="BC611" s="55">
        <v>240652.90968874056</v>
      </c>
      <c r="BD611" s="55">
        <v>245274.13588140777</v>
      </c>
      <c r="BE611" s="55">
        <v>249994.80860203394</v>
      </c>
      <c r="BF611" s="55">
        <v>254817.02268367662</v>
      </c>
      <c r="BG611" s="55">
        <v>259742.92017404511</v>
      </c>
      <c r="BH611" s="55">
        <v>264774.69130719238</v>
      </c>
      <c r="BI611" s="55">
        <v>269914.57549978967</v>
      </c>
      <c r="BJ611" s="55">
        <v>278737.95998661476</v>
      </c>
      <c r="BK611" s="55">
        <v>288316.48357593233</v>
      </c>
      <c r="BL611" s="55">
        <v>290724.91415981873</v>
      </c>
      <c r="BM611" s="55">
        <v>293107.27409258776</v>
      </c>
      <c r="BN611" s="55">
        <v>299348.43538324913</v>
      </c>
      <c r="BO611" s="55">
        <v>305724.5174276192</v>
      </c>
      <c r="BP611" s="55">
        <v>312238.45897592371</v>
      </c>
      <c r="BQ611" s="55">
        <v>318893.26303560898</v>
      </c>
      <c r="BR611" s="55"/>
      <c r="BS611" s="164">
        <v>48767</v>
      </c>
      <c r="BT611" s="164">
        <v>46031.7</v>
      </c>
      <c r="BU611" s="164">
        <v>43681.2</v>
      </c>
      <c r="BV611" s="164">
        <v>46182</v>
      </c>
      <c r="BW611" s="164">
        <v>51983</v>
      </c>
      <c r="BX611" s="164">
        <v>57037</v>
      </c>
      <c r="BY611" s="164">
        <v>59012</v>
      </c>
      <c r="BZ611" s="164">
        <v>56820</v>
      </c>
      <c r="CA611" s="164">
        <v>73857</v>
      </c>
      <c r="CB611" s="164">
        <v>79213</v>
      </c>
      <c r="CC611" s="55">
        <v>96940</v>
      </c>
      <c r="CD611" s="55">
        <v>95381.5</v>
      </c>
      <c r="CE611" s="55">
        <v>102186.5</v>
      </c>
      <c r="CF611" s="55">
        <v>111366</v>
      </c>
      <c r="CG611" s="55">
        <v>129430.5</v>
      </c>
      <c r="CH611" s="55">
        <v>144839</v>
      </c>
      <c r="CI611" s="55">
        <v>148071</v>
      </c>
      <c r="CJ611" s="55">
        <v>183036</v>
      </c>
      <c r="CK611" s="55">
        <v>178445</v>
      </c>
      <c r="CL611" s="55">
        <v>167518</v>
      </c>
      <c r="CM611" s="55">
        <v>181179</v>
      </c>
      <c r="CN611" s="55">
        <v>210501</v>
      </c>
      <c r="CO611" s="55">
        <v>213569</v>
      </c>
      <c r="CP611" s="55">
        <v>235115</v>
      </c>
      <c r="CQ611" s="55">
        <v>250031</v>
      </c>
      <c r="CR611" s="55">
        <v>234507</v>
      </c>
      <c r="CS611" s="55">
        <v>222240</v>
      </c>
      <c r="CT611" s="55">
        <v>214551</v>
      </c>
      <c r="CU611" s="55">
        <v>215905</v>
      </c>
      <c r="CV611" s="55">
        <v>212322</v>
      </c>
      <c r="CW611" s="55">
        <v>212674</v>
      </c>
      <c r="CX611" s="55">
        <v>208107</v>
      </c>
      <c r="CY611" s="56">
        <v>218263</v>
      </c>
      <c r="CZ611" s="55">
        <v>225518.368034991</v>
      </c>
      <c r="DA611" s="55">
        <v>232358.62506046676</v>
      </c>
      <c r="DB611" s="55">
        <v>240652.90968874056</v>
      </c>
      <c r="DC611" s="55">
        <v>249994.80860203394</v>
      </c>
      <c r="DD611" s="55">
        <v>259742.92017404511</v>
      </c>
      <c r="DE611" s="55">
        <v>269914.57549978967</v>
      </c>
      <c r="DF611" s="55">
        <v>288316.48357593233</v>
      </c>
      <c r="DG611" s="55">
        <v>293107.27409258776</v>
      </c>
      <c r="DH611" s="55">
        <v>305724.5174276192</v>
      </c>
      <c r="DI611" s="55">
        <v>318893.26303560898</v>
      </c>
    </row>
    <row r="612" spans="1:113" outlineLevel="1">
      <c r="A612" s="1" t="s">
        <v>891</v>
      </c>
      <c r="B612" s="19" t="s">
        <v>412</v>
      </c>
      <c r="C612" s="55">
        <v>644</v>
      </c>
      <c r="D612" s="55">
        <v>794</v>
      </c>
      <c r="E612" s="55">
        <v>1190</v>
      </c>
      <c r="F612" s="55">
        <v>1258</v>
      </c>
      <c r="G612" s="55">
        <v>1325</v>
      </c>
      <c r="H612" s="55">
        <v>2209</v>
      </c>
      <c r="I612" s="55">
        <v>2407</v>
      </c>
      <c r="J612" s="55">
        <v>2674</v>
      </c>
      <c r="K612" s="55">
        <v>2854</v>
      </c>
      <c r="L612" s="55">
        <v>3356</v>
      </c>
      <c r="M612" s="55">
        <v>3447</v>
      </c>
      <c r="N612" s="55">
        <v>3645</v>
      </c>
      <c r="O612" s="55">
        <v>4123</v>
      </c>
      <c r="P612" s="55">
        <v>16592</v>
      </c>
      <c r="Q612" s="55">
        <v>18061</v>
      </c>
      <c r="R612" s="55">
        <v>18058</v>
      </c>
      <c r="S612" s="55">
        <v>30383</v>
      </c>
      <c r="T612" s="55">
        <v>38983</v>
      </c>
      <c r="U612" s="55">
        <v>34058</v>
      </c>
      <c r="V612" s="55">
        <v>40955</v>
      </c>
      <c r="W612" s="55">
        <v>34969</v>
      </c>
      <c r="X612" s="55">
        <v>39259</v>
      </c>
      <c r="Y612" s="55">
        <v>41358</v>
      </c>
      <c r="Z612" s="55">
        <v>43144</v>
      </c>
      <c r="AA612" s="55">
        <v>49484</v>
      </c>
      <c r="AB612" s="55">
        <v>51993</v>
      </c>
      <c r="AC612" s="55">
        <v>48577</v>
      </c>
      <c r="AD612" s="55">
        <v>41524</v>
      </c>
      <c r="AE612" s="55">
        <v>49547</v>
      </c>
      <c r="AF612" s="55">
        <v>57705</v>
      </c>
      <c r="AG612" s="55">
        <v>50637</v>
      </c>
      <c r="AH612" s="55">
        <v>62955</v>
      </c>
      <c r="AI612" s="55">
        <v>59804</v>
      </c>
      <c r="AJ612" s="55">
        <v>73851</v>
      </c>
      <c r="AK612" s="55">
        <v>89084</v>
      </c>
      <c r="AL612" s="55">
        <v>75788</v>
      </c>
      <c r="AM612" s="55">
        <v>80188</v>
      </c>
      <c r="AN612" s="55">
        <v>73937</v>
      </c>
      <c r="AO612" s="55">
        <v>80754</v>
      </c>
      <c r="AP612" s="55">
        <v>76716</v>
      </c>
      <c r="AQ612" s="55">
        <v>69130</v>
      </c>
      <c r="AR612" s="55">
        <v>81240</v>
      </c>
      <c r="AS612" s="55">
        <v>104245</v>
      </c>
      <c r="AT612" s="55">
        <v>102363</v>
      </c>
      <c r="AU612" s="55">
        <v>105123</v>
      </c>
      <c r="AV612" s="55">
        <v>94909</v>
      </c>
      <c r="AW612" s="56">
        <v>97107</v>
      </c>
      <c r="AX612" s="55">
        <v>98257.716356226694</v>
      </c>
      <c r="AY612" s="55">
        <v>99183.80047891922</v>
      </c>
      <c r="AZ612" s="55">
        <v>101409.58891466343</v>
      </c>
      <c r="BA612" s="55">
        <v>102958.76409922083</v>
      </c>
      <c r="BB612" s="55">
        <v>104554.61647899266</v>
      </c>
      <c r="BC612" s="55">
        <v>106387.30909419495</v>
      </c>
      <c r="BD612" s="55">
        <v>108255.10293025854</v>
      </c>
      <c r="BE612" s="55">
        <v>110158.65307660685</v>
      </c>
      <c r="BF612" s="55">
        <v>112098.62790346028</v>
      </c>
      <c r="BG612" s="55">
        <v>114075.7093006228</v>
      </c>
      <c r="BH612" s="55">
        <v>116090.59292219851</v>
      </c>
      <c r="BI612" s="55">
        <v>118143.98843728965</v>
      </c>
      <c r="BJ612" s="55">
        <v>124102.04011781195</v>
      </c>
      <c r="BK612" s="55">
        <v>130418.58156009299</v>
      </c>
      <c r="BL612" s="55">
        <v>128902.26330358717</v>
      </c>
      <c r="BM612" s="55">
        <v>127280.49581746243</v>
      </c>
      <c r="BN612" s="55">
        <v>129720.05117990439</v>
      </c>
      <c r="BO612" s="55">
        <v>132206.90451621465</v>
      </c>
      <c r="BP612" s="55">
        <v>134741.98234824673</v>
      </c>
      <c r="BQ612" s="55">
        <v>137326.22952562312</v>
      </c>
      <c r="BR612" s="55"/>
      <c r="BS612" s="55">
        <v>12299.099999999991</v>
      </c>
      <c r="BT612" s="55">
        <v>8789.7000000000044</v>
      </c>
      <c r="BU612" s="55">
        <v>8423.9000000000015</v>
      </c>
      <c r="BV612" s="55">
        <v>7642</v>
      </c>
      <c r="BW612" s="55">
        <v>7795</v>
      </c>
      <c r="BX612" s="55">
        <v>9721</v>
      </c>
      <c r="BY612" s="55">
        <v>12340</v>
      </c>
      <c r="BZ612" s="55">
        <v>13997</v>
      </c>
      <c r="CA612" s="55">
        <v>16799</v>
      </c>
      <c r="CB612" s="55">
        <v>20216</v>
      </c>
      <c r="CC612" s="55">
        <v>1190</v>
      </c>
      <c r="CD612" s="55">
        <v>1325</v>
      </c>
      <c r="CE612" s="55">
        <v>2407</v>
      </c>
      <c r="CF612" s="55">
        <v>2854</v>
      </c>
      <c r="CG612" s="55">
        <v>3447</v>
      </c>
      <c r="CH612" s="55">
        <v>4123</v>
      </c>
      <c r="CI612" s="55">
        <v>18061</v>
      </c>
      <c r="CJ612" s="55">
        <v>30383</v>
      </c>
      <c r="CK612" s="55">
        <v>34058</v>
      </c>
      <c r="CL612" s="55">
        <v>34969</v>
      </c>
      <c r="CM612" s="55">
        <v>41358</v>
      </c>
      <c r="CN612" s="55">
        <v>49484</v>
      </c>
      <c r="CO612" s="55">
        <v>48577</v>
      </c>
      <c r="CP612" s="55">
        <v>49547</v>
      </c>
      <c r="CQ612" s="55">
        <v>50637</v>
      </c>
      <c r="CR612" s="55">
        <v>59804</v>
      </c>
      <c r="CS612" s="55">
        <v>89084</v>
      </c>
      <c r="CT612" s="55">
        <v>80188</v>
      </c>
      <c r="CU612" s="55">
        <v>80754</v>
      </c>
      <c r="CV612" s="55">
        <v>69130</v>
      </c>
      <c r="CW612" s="55">
        <v>104245</v>
      </c>
      <c r="CX612" s="55">
        <v>105123</v>
      </c>
      <c r="CY612" s="56">
        <v>97107</v>
      </c>
      <c r="CZ612" s="55">
        <v>99183.80047891922</v>
      </c>
      <c r="DA612" s="55">
        <v>102958.76409922083</v>
      </c>
      <c r="DB612" s="55">
        <v>106387.30909419495</v>
      </c>
      <c r="DC612" s="55">
        <v>110158.65307660685</v>
      </c>
      <c r="DD612" s="55">
        <v>114075.7093006228</v>
      </c>
      <c r="DE612" s="55">
        <v>118143.98843728965</v>
      </c>
      <c r="DF612" s="55">
        <v>130418.58156009299</v>
      </c>
      <c r="DG612" s="55">
        <v>127280.49581746243</v>
      </c>
      <c r="DH612" s="55">
        <v>132206.90451621465</v>
      </c>
      <c r="DI612" s="55">
        <v>137326.22952562312</v>
      </c>
    </row>
    <row r="613" spans="1:113" s="24" customFormat="1" outlineLevel="1">
      <c r="A613" s="1" t="s">
        <v>892</v>
      </c>
      <c r="B613" s="24" t="s">
        <v>168</v>
      </c>
      <c r="C613" s="81">
        <v>138383</v>
      </c>
      <c r="D613" s="81">
        <v>138271</v>
      </c>
      <c r="E613" s="81">
        <v>141049</v>
      </c>
      <c r="F613" s="81">
        <v>143771</v>
      </c>
      <c r="G613" s="81">
        <v>146808</v>
      </c>
      <c r="H613" s="81">
        <v>157471</v>
      </c>
      <c r="I613" s="81">
        <v>169321</v>
      </c>
      <c r="J613" s="81">
        <v>180674</v>
      </c>
      <c r="K613" s="81">
        <v>189559</v>
      </c>
      <c r="L613" s="81">
        <v>202667</v>
      </c>
      <c r="M613" s="81">
        <v>216438</v>
      </c>
      <c r="N613" s="81">
        <v>234569</v>
      </c>
      <c r="O613" s="81">
        <v>245347</v>
      </c>
      <c r="P613" s="81">
        <v>198228</v>
      </c>
      <c r="Q613" s="81">
        <v>205501</v>
      </c>
      <c r="R613" s="81">
        <v>239289</v>
      </c>
      <c r="S613" s="81">
        <v>288836</v>
      </c>
      <c r="T613" s="81">
        <v>297449</v>
      </c>
      <c r="U613" s="81">
        <v>290821</v>
      </c>
      <c r="V613" s="81">
        <v>285563</v>
      </c>
      <c r="W613" s="81">
        <v>281711</v>
      </c>
      <c r="X613" s="81">
        <v>297705</v>
      </c>
      <c r="Y613" s="81">
        <v>302787</v>
      </c>
      <c r="Z613" s="81">
        <v>301611</v>
      </c>
      <c r="AA613" s="166">
        <v>329158</v>
      </c>
      <c r="AB613" s="166">
        <v>334197</v>
      </c>
      <c r="AC613" s="166">
        <v>337715</v>
      </c>
      <c r="AD613" s="166">
        <v>353048</v>
      </c>
      <c r="AE613" s="166">
        <v>368721</v>
      </c>
      <c r="AF613" s="166">
        <v>392662</v>
      </c>
      <c r="AG613" s="166">
        <v>394667</v>
      </c>
      <c r="AH613" s="166">
        <v>436481</v>
      </c>
      <c r="AI613" s="166">
        <v>437063</v>
      </c>
      <c r="AJ613" s="166">
        <v>440836</v>
      </c>
      <c r="AK613" s="166">
        <v>458612</v>
      </c>
      <c r="AL613" s="166">
        <v>445144</v>
      </c>
      <c r="AM613" s="166">
        <v>452762</v>
      </c>
      <c r="AN613" s="166">
        <v>449154</v>
      </c>
      <c r="AO613" s="166">
        <v>454948</v>
      </c>
      <c r="AP613" s="166">
        <v>453616</v>
      </c>
      <c r="AQ613" s="166">
        <v>450680</v>
      </c>
      <c r="AR613" s="166">
        <v>471927</v>
      </c>
      <c r="AS613" s="166">
        <v>497892</v>
      </c>
      <c r="AT613" s="166">
        <v>504380</v>
      </c>
      <c r="AU613" s="166">
        <v>467992</v>
      </c>
      <c r="AV613" s="166">
        <v>463644</v>
      </c>
      <c r="AW613" s="167">
        <v>467551</v>
      </c>
      <c r="AX613" s="82">
        <v>476293.03665760957</v>
      </c>
      <c r="AY613" s="82">
        <v>483883.13347701373</v>
      </c>
      <c r="AZ613" s="82">
        <v>493435.62893796456</v>
      </c>
      <c r="BA613" s="82">
        <v>501075.0208835114</v>
      </c>
      <c r="BB613" s="82">
        <v>508960.34138816828</v>
      </c>
      <c r="BC613" s="82">
        <v>518152.10491528019</v>
      </c>
      <c r="BD613" s="82">
        <v>527527.4734259632</v>
      </c>
      <c r="BE613" s="82">
        <v>537090.03572874947</v>
      </c>
      <c r="BF613" s="82">
        <v>546843.45671710372</v>
      </c>
      <c r="BG613" s="82">
        <v>556791.4788186251</v>
      </c>
      <c r="BH613" s="82">
        <v>566937.9234807475</v>
      </c>
      <c r="BI613" s="82">
        <v>577286.69269333675</v>
      </c>
      <c r="BJ613" s="82">
        <v>603685.75646519603</v>
      </c>
      <c r="BK613" s="82">
        <v>631805.93144032371</v>
      </c>
      <c r="BL613" s="82">
        <v>627872.33988768584</v>
      </c>
      <c r="BM613" s="82">
        <v>623560.11427331297</v>
      </c>
      <c r="BN613" s="82">
        <v>635949.70116787776</v>
      </c>
      <c r="BO613" s="82">
        <v>648589.27660546137</v>
      </c>
      <c r="BP613" s="82">
        <v>661483.94546941668</v>
      </c>
      <c r="BQ613" s="82">
        <v>674638.91792822117</v>
      </c>
      <c r="BR613" s="82"/>
      <c r="BS613" s="81">
        <v>72836.899999999994</v>
      </c>
      <c r="BT613" s="81">
        <v>67747.8</v>
      </c>
      <c r="BU613" s="81">
        <v>66938</v>
      </c>
      <c r="BV613" s="81">
        <v>70383</v>
      </c>
      <c r="BW613" s="81">
        <v>77246</v>
      </c>
      <c r="BX613" s="81">
        <v>86468</v>
      </c>
      <c r="BY613" s="81">
        <v>94431</v>
      </c>
      <c r="BZ613" s="81">
        <v>99556</v>
      </c>
      <c r="CA613" s="81">
        <v>128484</v>
      </c>
      <c r="CB613" s="81">
        <v>138383</v>
      </c>
      <c r="CC613" s="82">
        <v>141049</v>
      </c>
      <c r="CD613" s="82">
        <v>146808</v>
      </c>
      <c r="CE613" s="82">
        <v>169321</v>
      </c>
      <c r="CF613" s="82">
        <v>189559</v>
      </c>
      <c r="CG613" s="82">
        <v>216438</v>
      </c>
      <c r="CH613" s="82">
        <v>245347</v>
      </c>
      <c r="CI613" s="82">
        <v>205501</v>
      </c>
      <c r="CJ613" s="82">
        <v>288836</v>
      </c>
      <c r="CK613" s="82">
        <v>290821</v>
      </c>
      <c r="CL613" s="82">
        <v>281711</v>
      </c>
      <c r="CM613" s="82">
        <v>302787</v>
      </c>
      <c r="CN613" s="82">
        <v>329158</v>
      </c>
      <c r="CO613" s="82">
        <v>337715</v>
      </c>
      <c r="CP613" s="82">
        <v>368721</v>
      </c>
      <c r="CQ613" s="82">
        <v>394667</v>
      </c>
      <c r="CR613" s="82">
        <v>437063</v>
      </c>
      <c r="CS613" s="82">
        <v>458612</v>
      </c>
      <c r="CT613" s="82">
        <v>452762</v>
      </c>
      <c r="CU613" s="82">
        <v>454948</v>
      </c>
      <c r="CV613" s="82">
        <v>450680</v>
      </c>
      <c r="CW613" s="82">
        <v>497892</v>
      </c>
      <c r="CX613" s="82">
        <v>467992</v>
      </c>
      <c r="CY613" s="83">
        <v>467551</v>
      </c>
      <c r="CZ613" s="82">
        <v>483883.13347701373</v>
      </c>
      <c r="DA613" s="82">
        <v>501075.0208835114</v>
      </c>
      <c r="DB613" s="82">
        <v>518152.10491528019</v>
      </c>
      <c r="DC613" s="82">
        <v>537090.03572874947</v>
      </c>
      <c r="DD613" s="82">
        <v>556791.4788186251</v>
      </c>
      <c r="DE613" s="82">
        <v>577286.69269333675</v>
      </c>
      <c r="DF613" s="82">
        <v>631805.93144032371</v>
      </c>
      <c r="DG613" s="82">
        <v>623560.11427331297</v>
      </c>
      <c r="DH613" s="82">
        <v>648589.27660546137</v>
      </c>
      <c r="DI613" s="82">
        <v>674638.91792822117</v>
      </c>
    </row>
    <row r="614" spans="1:113" s="24" customFormat="1" outlineLevel="1">
      <c r="A614" s="1" t="s">
        <v>2408</v>
      </c>
      <c r="B614" s="19" t="s">
        <v>2409</v>
      </c>
      <c r="C614" s="81"/>
      <c r="D614" s="81"/>
      <c r="E614" s="81"/>
      <c r="F614" s="81"/>
      <c r="G614" s="81"/>
      <c r="H614" s="81"/>
      <c r="I614" s="81"/>
      <c r="J614" s="81"/>
      <c r="K614" s="81"/>
      <c r="L614" s="81"/>
      <c r="M614" s="81"/>
      <c r="N614" s="81"/>
      <c r="O614" s="81"/>
      <c r="P614" s="81"/>
      <c r="Q614" s="81"/>
      <c r="R614" s="81"/>
      <c r="S614" s="81"/>
      <c r="T614" s="81"/>
      <c r="U614" s="81"/>
      <c r="V614" s="81"/>
      <c r="W614" s="81"/>
      <c r="X614" s="81"/>
      <c r="Y614" s="81"/>
      <c r="Z614" s="166"/>
      <c r="AA614" s="164">
        <v>-16289</v>
      </c>
      <c r="AB614" s="164">
        <v>-17543</v>
      </c>
      <c r="AC614" s="164">
        <v>-14762</v>
      </c>
      <c r="AD614" s="164">
        <v>-4846</v>
      </c>
      <c r="AE614" s="164">
        <v>-10847</v>
      </c>
      <c r="AF614" s="164">
        <v>-17511</v>
      </c>
      <c r="AG614" s="164">
        <v>-7448</v>
      </c>
      <c r="AH614" s="164">
        <v>-23498</v>
      </c>
      <c r="AI614" s="164">
        <v>-21404</v>
      </c>
      <c r="AJ614" s="164">
        <v>-27944</v>
      </c>
      <c r="AK614" s="164">
        <v>-24381</v>
      </c>
      <c r="AL614" s="164">
        <v>-13872</v>
      </c>
      <c r="AM614" s="164">
        <v>-9898</v>
      </c>
      <c r="AN614" s="164">
        <v>-8998</v>
      </c>
      <c r="AO614" s="164">
        <v>-11085</v>
      </c>
      <c r="AP614" s="164">
        <v>-15561</v>
      </c>
      <c r="AQ614" s="164">
        <v>-14619</v>
      </c>
      <c r="AR614" s="164">
        <v>-24356</v>
      </c>
      <c r="AS614" s="164">
        <v>-47640</v>
      </c>
      <c r="AT614" s="164">
        <v>-47850</v>
      </c>
      <c r="AU614" s="164">
        <v>-46578</v>
      </c>
      <c r="AV614" s="164">
        <v>-40307</v>
      </c>
      <c r="AW614" s="171">
        <v>-43644</v>
      </c>
      <c r="AX614" s="55">
        <v>-44161.180683690749</v>
      </c>
      <c r="AY614" s="55">
        <v>-44577.40212448073</v>
      </c>
      <c r="AZ614" s="55">
        <v>-45577.765749035301</v>
      </c>
      <c r="BA614" s="55">
        <v>-46274.030711960972</v>
      </c>
      <c r="BB614" s="55">
        <v>-46991.274384021286</v>
      </c>
      <c r="BC614" s="55">
        <v>-47814.964092259506</v>
      </c>
      <c r="BD614" s="55">
        <v>-48654.429776310702</v>
      </c>
      <c r="BE614" s="55">
        <v>-49509.96586111639</v>
      </c>
      <c r="BF614" s="55">
        <v>-50381.872740570921</v>
      </c>
      <c r="BG614" s="55">
        <v>-51270.4568848423</v>
      </c>
      <c r="BH614" s="55">
        <v>-52176.030950358181</v>
      </c>
      <c r="BI614" s="55">
        <v>-53098.913892480145</v>
      </c>
      <c r="BJ614" s="55">
        <v>-55776.714746638085</v>
      </c>
      <c r="BK614" s="55">
        <v>-58615.636088116182</v>
      </c>
      <c r="BL614" s="55">
        <v>-57934.138420729272</v>
      </c>
      <c r="BM614" s="55">
        <v>-57205.247401910565</v>
      </c>
      <c r="BN614" s="55">
        <v>-58301.68694013558</v>
      </c>
      <c r="BO614" s="55">
        <v>-59419.384191723257</v>
      </c>
      <c r="BP614" s="55">
        <v>-60558.75557484918</v>
      </c>
      <c r="BQ614" s="55">
        <v>-61720.225744964773</v>
      </c>
      <c r="BR614" s="82"/>
      <c r="BS614" s="81"/>
      <c r="BT614" s="81"/>
      <c r="BU614" s="81"/>
      <c r="BV614" s="81"/>
      <c r="BW614" s="81"/>
      <c r="BX614" s="81"/>
      <c r="BY614" s="81"/>
      <c r="BZ614" s="81"/>
      <c r="CA614" s="81"/>
      <c r="CB614" s="81"/>
      <c r="CC614" s="82"/>
      <c r="CD614" s="82"/>
      <c r="CE614" s="82"/>
      <c r="CF614" s="82"/>
      <c r="CG614" s="82"/>
      <c r="CH614" s="82"/>
      <c r="CI614" s="82"/>
      <c r="CJ614" s="82"/>
      <c r="CK614" s="82"/>
      <c r="CL614" s="82"/>
      <c r="CM614" s="82"/>
      <c r="CN614" s="55">
        <v>-16289</v>
      </c>
      <c r="CO614" s="55">
        <v>-14762</v>
      </c>
      <c r="CP614" s="55">
        <v>-10847</v>
      </c>
      <c r="CQ614" s="55">
        <v>-7448</v>
      </c>
      <c r="CR614" s="55">
        <v>-21404</v>
      </c>
      <c r="CS614" s="55">
        <v>-24381</v>
      </c>
      <c r="CT614" s="55">
        <v>-9898</v>
      </c>
      <c r="CU614" s="55">
        <v>-11085</v>
      </c>
      <c r="CV614" s="55">
        <v>-14619</v>
      </c>
      <c r="CW614" s="55">
        <v>-47640</v>
      </c>
      <c r="CX614" s="55">
        <v>-46578</v>
      </c>
      <c r="CY614" s="56">
        <v>-43644</v>
      </c>
      <c r="CZ614" s="55">
        <v>-44577.40212448073</v>
      </c>
      <c r="DA614" s="55">
        <v>-46274.030711960972</v>
      </c>
      <c r="DB614" s="55">
        <v>-47814.964092259506</v>
      </c>
      <c r="DC614" s="55">
        <v>-49509.96586111639</v>
      </c>
      <c r="DD614" s="55">
        <v>-51270.4568848423</v>
      </c>
      <c r="DE614" s="55">
        <v>-53098.913892480145</v>
      </c>
      <c r="DF614" s="55">
        <v>-58615.636088116182</v>
      </c>
      <c r="DG614" s="55">
        <v>-57205.247401910565</v>
      </c>
      <c r="DH614" s="55">
        <v>-59419.384191723257</v>
      </c>
      <c r="DI614" s="55">
        <v>-61720.225744964773</v>
      </c>
    </row>
    <row r="615" spans="1:113" s="24" customFormat="1" outlineLevel="1">
      <c r="A615" s="1" t="s">
        <v>2410</v>
      </c>
      <c r="B615" s="19" t="s">
        <v>2405</v>
      </c>
      <c r="C615" s="81"/>
      <c r="D615" s="81"/>
      <c r="E615" s="81"/>
      <c r="F615" s="81"/>
      <c r="G615" s="81"/>
      <c r="H615" s="81"/>
      <c r="I615" s="81"/>
      <c r="J615" s="81"/>
      <c r="K615" s="81"/>
      <c r="L615" s="81"/>
      <c r="M615" s="81"/>
      <c r="N615" s="81"/>
      <c r="O615" s="81"/>
      <c r="P615" s="81"/>
      <c r="Q615" s="81"/>
      <c r="R615" s="81"/>
      <c r="S615" s="81"/>
      <c r="T615" s="81"/>
      <c r="U615" s="81"/>
      <c r="V615" s="81"/>
      <c r="W615" s="81"/>
      <c r="X615" s="81"/>
      <c r="Y615" s="81"/>
      <c r="Z615" s="81"/>
      <c r="AA615" s="55">
        <v>-31536.954456196865</v>
      </c>
      <c r="AB615" s="55">
        <v>-29200.802574296074</v>
      </c>
      <c r="AC615" s="55">
        <v>-29889.606307327864</v>
      </c>
      <c r="AD615" s="55">
        <v>-71963.313147344277</v>
      </c>
      <c r="AE615" s="55">
        <v>-59064.880705921154</v>
      </c>
      <c r="AF615" s="55">
        <v>-63277.973963141383</v>
      </c>
      <c r="AG615" s="55">
        <v>-66776.310314006929</v>
      </c>
      <c r="AH615" s="55">
        <v>-101000.85700352088</v>
      </c>
      <c r="AI615" s="55">
        <v>-96239.826947204012</v>
      </c>
      <c r="AJ615" s="55">
        <v>-93770.952395655098</v>
      </c>
      <c r="AK615" s="55">
        <v>-93720.958206864714</v>
      </c>
      <c r="AL615" s="55">
        <v>-99429.486543417326</v>
      </c>
      <c r="AM615" s="55">
        <v>-102379.8641975309</v>
      </c>
      <c r="AN615" s="55">
        <v>-102342.79999999999</v>
      </c>
      <c r="AO615" s="55">
        <v>-105114.31034482759</v>
      </c>
      <c r="AP615" s="55">
        <v>-101306.29411764705</v>
      </c>
      <c r="AQ615" s="55">
        <v>-104905.53608247417</v>
      </c>
      <c r="AR615" s="55">
        <v>-117923.1902173913</v>
      </c>
      <c r="AS615" s="55">
        <v>-114231.50537634414</v>
      </c>
      <c r="AT615" s="55">
        <v>-115447.94594594592</v>
      </c>
      <c r="AU615" s="55">
        <v>-79357.162303664954</v>
      </c>
      <c r="AV615" s="55">
        <v>-80637.273684210493</v>
      </c>
      <c r="AW615" s="56">
        <v>-80245.392670157074</v>
      </c>
      <c r="AX615" s="54">
        <v>-82159.464325661407</v>
      </c>
      <c r="AY615" s="54">
        <v>-83936.490357395189</v>
      </c>
      <c r="AZ615" s="54">
        <v>-86111.541153277838</v>
      </c>
      <c r="BA615" s="54">
        <v>-87404.381925164955</v>
      </c>
      <c r="BB615" s="54">
        <v>-88732.662625037003</v>
      </c>
      <c r="BC615" s="54">
        <v>-90227.692637196495</v>
      </c>
      <c r="BD615" s="54">
        <v>-91749.670856009427</v>
      </c>
      <c r="BE615" s="54">
        <v>-93299.064024834195</v>
      </c>
      <c r="BF615" s="54">
        <v>-94876.347606988245</v>
      </c>
      <c r="BG615" s="54">
        <v>-96482.005924414596</v>
      </c>
      <c r="BH615" s="54">
        <v>-98116.532299679937</v>
      </c>
      <c r="BI615" s="54">
        <v>-99780.429201312363</v>
      </c>
      <c r="BJ615" s="54">
        <v>-105906.43106106954</v>
      </c>
      <c r="BK615" s="54">
        <v>-112352.75976080434</v>
      </c>
      <c r="BL615" s="54">
        <v>-109808.15496282048</v>
      </c>
      <c r="BM615" s="54">
        <v>-107133.24628663497</v>
      </c>
      <c r="BN615" s="54">
        <v>-109088.9421283546</v>
      </c>
      <c r="BO615" s="54">
        <v>-111080.3731502302</v>
      </c>
      <c r="BP615" s="54">
        <v>-113108.19300214841</v>
      </c>
      <c r="BQ615" s="54">
        <v>-115173.06730382967</v>
      </c>
      <c r="BR615" s="82"/>
      <c r="BS615" s="81"/>
      <c r="BT615" s="81"/>
      <c r="BU615" s="81"/>
      <c r="BV615" s="81"/>
      <c r="BW615" s="81"/>
      <c r="BX615" s="81"/>
      <c r="BY615" s="81"/>
      <c r="BZ615" s="81"/>
      <c r="CA615" s="81"/>
      <c r="CB615" s="81"/>
      <c r="CC615" s="82"/>
      <c r="CD615" s="82"/>
      <c r="CE615" s="82"/>
      <c r="CF615" s="82"/>
      <c r="CG615" s="82"/>
      <c r="CH615" s="82"/>
      <c r="CI615" s="82"/>
      <c r="CJ615" s="82"/>
      <c r="CK615" s="82"/>
      <c r="CL615" s="82"/>
      <c r="CM615" s="82"/>
      <c r="CN615" s="55">
        <v>-31536.954456196865</v>
      </c>
      <c r="CO615" s="55">
        <v>-29889.606307327864</v>
      </c>
      <c r="CP615" s="55">
        <v>-59064.880705921154</v>
      </c>
      <c r="CQ615" s="55">
        <v>-66776.310314006929</v>
      </c>
      <c r="CR615" s="55">
        <v>-96239.826947204012</v>
      </c>
      <c r="CS615" s="55">
        <v>-93720.958206864714</v>
      </c>
      <c r="CT615" s="55">
        <v>-102379.8641975309</v>
      </c>
      <c r="CU615" s="55">
        <v>-105114.31034482759</v>
      </c>
      <c r="CV615" s="55">
        <v>-104905.53608247417</v>
      </c>
      <c r="CW615" s="55">
        <v>-114231.50537634414</v>
      </c>
      <c r="CX615" s="55">
        <v>-79357.162303664954</v>
      </c>
      <c r="CY615" s="56">
        <v>-80245.392670157074</v>
      </c>
      <c r="CZ615" s="55">
        <v>-83936.490357395189</v>
      </c>
      <c r="DA615" s="55">
        <v>-87404.381925164955</v>
      </c>
      <c r="DB615" s="55">
        <v>-90227.692637196495</v>
      </c>
      <c r="DC615" s="55">
        <v>-93299.064024834195</v>
      </c>
      <c r="DD615" s="55">
        <v>-96482.005924414596</v>
      </c>
      <c r="DE615" s="55">
        <v>-99780.429201312363</v>
      </c>
      <c r="DF615" s="55">
        <v>-112352.75976080434</v>
      </c>
      <c r="DG615" s="55">
        <v>-107133.24628663497</v>
      </c>
      <c r="DH615" s="55">
        <v>-111080.3731502302</v>
      </c>
      <c r="DI615" s="55">
        <v>-115173.06730382967</v>
      </c>
    </row>
    <row r="616" spans="1:113" s="24" customFormat="1" outlineLevel="1">
      <c r="A616" s="1" t="s">
        <v>2411</v>
      </c>
      <c r="B616" s="24" t="s">
        <v>2412</v>
      </c>
      <c r="C616" s="81"/>
      <c r="D616" s="81"/>
      <c r="E616" s="81"/>
      <c r="F616" s="81"/>
      <c r="G616" s="81"/>
      <c r="H616" s="81"/>
      <c r="I616" s="81"/>
      <c r="J616" s="81"/>
      <c r="K616" s="81"/>
      <c r="L616" s="81"/>
      <c r="M616" s="81"/>
      <c r="N616" s="81"/>
      <c r="O616" s="81"/>
      <c r="P616" s="81"/>
      <c r="Q616" s="81"/>
      <c r="R616" s="81"/>
      <c r="S616" s="81"/>
      <c r="T616" s="81"/>
      <c r="U616" s="81"/>
      <c r="V616" s="81"/>
      <c r="W616" s="81"/>
      <c r="X616" s="81"/>
      <c r="Y616" s="81"/>
      <c r="Z616" s="166"/>
      <c r="AA616" s="166">
        <v>281332.04554380313</v>
      </c>
      <c r="AB616" s="166">
        <v>287453.19742570393</v>
      </c>
      <c r="AC616" s="166">
        <v>293063.39369267214</v>
      </c>
      <c r="AD616" s="166">
        <v>276238.68685265572</v>
      </c>
      <c r="AE616" s="166">
        <v>298809.11929407885</v>
      </c>
      <c r="AF616" s="166">
        <v>311873.02603685862</v>
      </c>
      <c r="AG616" s="166">
        <v>320442.68968599307</v>
      </c>
      <c r="AH616" s="166">
        <v>311982.14299647912</v>
      </c>
      <c r="AI616" s="166">
        <v>319419.17305279599</v>
      </c>
      <c r="AJ616" s="166">
        <v>319121.0476043449</v>
      </c>
      <c r="AK616" s="166">
        <v>340510.04179313529</v>
      </c>
      <c r="AL616" s="166">
        <v>331842.51345658267</v>
      </c>
      <c r="AM616" s="166">
        <v>340484.1358024691</v>
      </c>
      <c r="AN616" s="166">
        <v>337813.2</v>
      </c>
      <c r="AO616" s="166">
        <v>338748.68965517241</v>
      </c>
      <c r="AP616" s="166">
        <v>336748.70588235295</v>
      </c>
      <c r="AQ616" s="166">
        <v>331155.46391752583</v>
      </c>
      <c r="AR616" s="166">
        <v>329647.8097826087</v>
      </c>
      <c r="AS616" s="166">
        <v>336020.49462365586</v>
      </c>
      <c r="AT616" s="166">
        <v>341082.05405405408</v>
      </c>
      <c r="AU616" s="166">
        <v>342056.83769633505</v>
      </c>
      <c r="AV616" s="166">
        <v>342699.72631578951</v>
      </c>
      <c r="AW616" s="167">
        <v>343661.60732984293</v>
      </c>
      <c r="AX616" s="82">
        <v>349972.39164825738</v>
      </c>
      <c r="AY616" s="82">
        <v>355369.24099513778</v>
      </c>
      <c r="AZ616" s="82">
        <v>361746.32203565142</v>
      </c>
      <c r="BA616" s="82">
        <v>367396.60824638547</v>
      </c>
      <c r="BB616" s="82">
        <v>373236.40437910997</v>
      </c>
      <c r="BC616" s="82">
        <v>380109.44818582415</v>
      </c>
      <c r="BD616" s="82">
        <v>387123.3727936431</v>
      </c>
      <c r="BE616" s="82">
        <v>394281.00584279886</v>
      </c>
      <c r="BF616" s="82">
        <v>401585.23636954452</v>
      </c>
      <c r="BG616" s="82">
        <v>409039.01600936818</v>
      </c>
      <c r="BH616" s="82">
        <v>416645.36023070937</v>
      </c>
      <c r="BI616" s="82">
        <v>424407.34959954425</v>
      </c>
      <c r="BJ616" s="82">
        <v>442002.6106574884</v>
      </c>
      <c r="BK616" s="82">
        <v>460837.53559140314</v>
      </c>
      <c r="BL616" s="82">
        <v>460130.04650413606</v>
      </c>
      <c r="BM616" s="82">
        <v>459221.62058476743</v>
      </c>
      <c r="BN616" s="82">
        <v>468559.07209938765</v>
      </c>
      <c r="BO616" s="82">
        <v>478089.51926350786</v>
      </c>
      <c r="BP616" s="82">
        <v>487816.99689241906</v>
      </c>
      <c r="BQ616" s="82">
        <v>497745.62487942673</v>
      </c>
      <c r="BR616" s="82"/>
      <c r="BS616" s="81"/>
      <c r="BT616" s="81"/>
      <c r="BU616" s="81"/>
      <c r="BV616" s="81"/>
      <c r="BW616" s="81"/>
      <c r="BX616" s="81"/>
      <c r="BY616" s="81"/>
      <c r="BZ616" s="81"/>
      <c r="CA616" s="81"/>
      <c r="CB616" s="81"/>
      <c r="CC616" s="82"/>
      <c r="CD616" s="82"/>
      <c r="CE616" s="82"/>
      <c r="CF616" s="82"/>
      <c r="CG616" s="82"/>
      <c r="CH616" s="82"/>
      <c r="CI616" s="82"/>
      <c r="CJ616" s="82"/>
      <c r="CK616" s="82"/>
      <c r="CL616" s="82"/>
      <c r="CM616" s="82"/>
      <c r="CN616" s="82">
        <v>281332.04554380313</v>
      </c>
      <c r="CO616" s="82">
        <v>293063.39369267214</v>
      </c>
      <c r="CP616" s="82">
        <v>298809.11929407885</v>
      </c>
      <c r="CQ616" s="82">
        <v>320442.68968599307</v>
      </c>
      <c r="CR616" s="82">
        <v>319419.17305279599</v>
      </c>
      <c r="CS616" s="82">
        <v>340510.04179313529</v>
      </c>
      <c r="CT616" s="82">
        <v>340484.1358024691</v>
      </c>
      <c r="CU616" s="82">
        <v>338748.68965517241</v>
      </c>
      <c r="CV616" s="82">
        <v>331155.46391752583</v>
      </c>
      <c r="CW616" s="82">
        <v>336020.49462365586</v>
      </c>
      <c r="CX616" s="82">
        <v>342056.83769633505</v>
      </c>
      <c r="CY616" s="83">
        <v>343661.60732984293</v>
      </c>
      <c r="CZ616" s="82">
        <v>355369.24099513778</v>
      </c>
      <c r="DA616" s="82">
        <v>367396.60824638547</v>
      </c>
      <c r="DB616" s="82">
        <v>380109.44818582415</v>
      </c>
      <c r="DC616" s="82">
        <v>394281.00584279886</v>
      </c>
      <c r="DD616" s="82">
        <v>409039.01600936818</v>
      </c>
      <c r="DE616" s="82">
        <v>424407.34959954425</v>
      </c>
      <c r="DF616" s="82">
        <v>460837.53559140314</v>
      </c>
      <c r="DG616" s="82">
        <v>459221.62058476743</v>
      </c>
      <c r="DH616" s="82">
        <v>478089.51926350786</v>
      </c>
      <c r="DI616" s="82">
        <v>497745.62487942673</v>
      </c>
    </row>
    <row r="617" spans="1:113">
      <c r="C617" s="55"/>
      <c r="D617" s="55"/>
      <c r="E617" s="55"/>
      <c r="F617" s="55"/>
      <c r="G617" s="55"/>
      <c r="H617" s="55"/>
      <c r="I617" s="55"/>
      <c r="J617" s="55"/>
      <c r="K617" s="55"/>
      <c r="L617" s="55"/>
      <c r="M617" s="55"/>
      <c r="N617" s="55"/>
      <c r="O617" s="55"/>
      <c r="P617" s="55"/>
      <c r="Q617" s="55"/>
      <c r="R617" s="55"/>
      <c r="S617" s="55"/>
      <c r="T617" s="55"/>
      <c r="U617" s="55"/>
      <c r="V617" s="55"/>
      <c r="W617" s="55"/>
      <c r="X617" s="55"/>
      <c r="Y617" s="55"/>
      <c r="Z617" s="55"/>
      <c r="AA617" s="55"/>
      <c r="AB617" s="55"/>
      <c r="AC617" s="45"/>
      <c r="AD617" s="55"/>
      <c r="AE617" s="55"/>
      <c r="AF617" s="55"/>
      <c r="AG617" s="45"/>
      <c r="AH617" s="45"/>
      <c r="AI617" s="45"/>
      <c r="AJ617" s="55"/>
      <c r="AK617" s="55"/>
      <c r="AL617" s="55"/>
      <c r="AM617" s="55"/>
      <c r="AN617" s="55"/>
      <c r="AO617" s="55"/>
      <c r="AP617" s="45"/>
      <c r="AQ617" s="45"/>
      <c r="AR617" s="45"/>
      <c r="AS617" s="45"/>
      <c r="AT617" s="45"/>
      <c r="AU617" s="45"/>
      <c r="AV617" s="45"/>
      <c r="AW617" s="501"/>
      <c r="AX617" s="55"/>
      <c r="AY617" s="55"/>
      <c r="AZ617" s="55"/>
      <c r="BA617" s="55"/>
      <c r="BB617" s="55"/>
      <c r="BC617" s="55"/>
      <c r="BD617" s="55"/>
      <c r="BE617" s="55"/>
      <c r="BF617" s="55"/>
      <c r="BG617" s="55"/>
      <c r="BH617" s="55"/>
      <c r="BI617" s="55"/>
      <c r="BJ617" s="55"/>
      <c r="BK617" s="55"/>
      <c r="BL617" s="55"/>
      <c r="BM617" s="55"/>
      <c r="BN617" s="55"/>
      <c r="BO617" s="55"/>
      <c r="BP617" s="55"/>
      <c r="BQ617" s="55"/>
      <c r="BR617" s="55"/>
      <c r="BS617" s="55"/>
      <c r="BT617" s="55"/>
      <c r="BU617" s="55"/>
      <c r="BV617" s="55"/>
      <c r="BW617" s="55"/>
      <c r="BX617" s="55"/>
      <c r="BY617" s="55"/>
      <c r="BZ617" s="55"/>
      <c r="CA617" s="55"/>
      <c r="CB617" s="55"/>
      <c r="CC617" s="55"/>
      <c r="CD617" s="55"/>
      <c r="CE617" s="55"/>
      <c r="CF617" s="55"/>
      <c r="CG617" s="55"/>
      <c r="CH617" s="55"/>
      <c r="CI617" s="55"/>
      <c r="CJ617" s="55"/>
      <c r="CK617" s="55"/>
      <c r="CL617" s="55"/>
      <c r="CM617" s="55"/>
      <c r="CN617" s="55"/>
      <c r="CO617" s="55"/>
      <c r="CP617" s="55"/>
      <c r="CQ617" s="55"/>
      <c r="CR617" s="55"/>
      <c r="CS617" s="55"/>
      <c r="CT617" s="55"/>
      <c r="CU617" s="55"/>
      <c r="CV617" s="45"/>
      <c r="CW617" s="45"/>
      <c r="CX617" s="45"/>
      <c r="CY617" s="43"/>
      <c r="CZ617" s="42"/>
      <c r="DA617" s="42"/>
      <c r="DB617" s="42"/>
      <c r="DC617" s="42"/>
      <c r="DD617" s="42"/>
      <c r="DE617" s="42"/>
      <c r="DF617" s="42"/>
      <c r="DG617" s="232"/>
      <c r="DH617" s="232"/>
      <c r="DI617" s="232"/>
    </row>
    <row r="618" spans="1:113" s="36" customFormat="1" collapsed="1">
      <c r="A618" s="1" t="s">
        <v>26</v>
      </c>
      <c r="B618" s="2" t="s">
        <v>413</v>
      </c>
      <c r="C618" s="79" t="e">
        <v>#VALUE!</v>
      </c>
      <c r="D618" s="79">
        <v>733</v>
      </c>
      <c r="E618" s="79">
        <v>1047</v>
      </c>
      <c r="F618" s="79">
        <v>2092</v>
      </c>
      <c r="G618" s="79">
        <v>1255</v>
      </c>
      <c r="H618" s="79">
        <v>828</v>
      </c>
      <c r="I618" s="79">
        <v>715</v>
      </c>
      <c r="J618" s="79">
        <v>788</v>
      </c>
      <c r="K618" s="79">
        <v>1362</v>
      </c>
      <c r="L618" s="79">
        <v>951</v>
      </c>
      <c r="M618" s="79">
        <v>1948</v>
      </c>
      <c r="N618" s="79">
        <v>1080</v>
      </c>
      <c r="O618" s="79">
        <v>1421</v>
      </c>
      <c r="P618" s="79">
        <v>636</v>
      </c>
      <c r="Q618" s="79">
        <v>1629</v>
      </c>
      <c r="R618" s="79">
        <v>-2998</v>
      </c>
      <c r="S618" s="79">
        <v>479</v>
      </c>
      <c r="T618" s="79">
        <v>1154</v>
      </c>
      <c r="U618" s="79">
        <v>1860</v>
      </c>
      <c r="V618" s="79">
        <v>2040</v>
      </c>
      <c r="W618" s="79">
        <v>2418</v>
      </c>
      <c r="X618" s="79">
        <v>1332</v>
      </c>
      <c r="Y618" s="79">
        <v>2606</v>
      </c>
      <c r="Z618" s="79">
        <v>1710</v>
      </c>
      <c r="AA618" s="79">
        <v>0</v>
      </c>
      <c r="AB618" s="79">
        <v>3224</v>
      </c>
      <c r="AC618" s="79">
        <v>2243</v>
      </c>
      <c r="AD618" s="79">
        <v>3534</v>
      </c>
      <c r="AE618" s="79">
        <v>2639</v>
      </c>
      <c r="AF618" s="79">
        <v>-2066</v>
      </c>
      <c r="AG618" s="79">
        <v>2829</v>
      </c>
      <c r="AH618" s="79">
        <v>3222</v>
      </c>
      <c r="AI618" s="79">
        <v>2872</v>
      </c>
      <c r="AJ618" s="79">
        <v>2407</v>
      </c>
      <c r="AK618" s="79">
        <v>2972</v>
      </c>
      <c r="AL618" s="79">
        <v>3317</v>
      </c>
      <c r="AM618" s="79">
        <v>3541</v>
      </c>
      <c r="AN618" s="79">
        <v>4089</v>
      </c>
      <c r="AO618" s="79">
        <v>3540</v>
      </c>
      <c r="AP618" s="79">
        <v>1471</v>
      </c>
      <c r="AQ618" s="79">
        <v>2661</v>
      </c>
      <c r="AR618" s="79">
        <v>9549</v>
      </c>
      <c r="AS618" s="79">
        <v>3457</v>
      </c>
      <c r="AT618" s="79">
        <v>4902</v>
      </c>
      <c r="AU618" s="79">
        <v>4748</v>
      </c>
      <c r="AV618" s="79">
        <v>4177</v>
      </c>
      <c r="AW618" s="80">
        <v>3728</v>
      </c>
      <c r="AX618" s="79">
        <v>4539.2870602399989</v>
      </c>
      <c r="AY618" s="79">
        <v>3948.1304083087543</v>
      </c>
      <c r="AZ618" s="79">
        <v>4166.667271952766</v>
      </c>
      <c r="BA618" s="79">
        <v>3583.3338538793814</v>
      </c>
      <c r="BB618" s="79">
        <v>4166.6672719527778</v>
      </c>
      <c r="BC618" s="79">
        <v>3583.3338538793851</v>
      </c>
      <c r="BD618" s="79">
        <v>4166.667271952766</v>
      </c>
      <c r="BE618" s="79">
        <v>3583.3338538793732</v>
      </c>
      <c r="BF618" s="79">
        <v>4166.6672719527742</v>
      </c>
      <c r="BG618" s="79">
        <v>3583.3338538793751</v>
      </c>
      <c r="BH618" s="79">
        <v>4166.6672719527769</v>
      </c>
      <c r="BI618" s="79">
        <v>3733.3338756696803</v>
      </c>
      <c r="BJ618" s="79">
        <v>4233.3339483040127</v>
      </c>
      <c r="BK618" s="79">
        <v>3550.0005157037413</v>
      </c>
      <c r="BL618" s="79">
        <v>3600.0005229671988</v>
      </c>
      <c r="BM618" s="79">
        <v>3366.6671557378304</v>
      </c>
      <c r="BN618" s="79">
        <v>3783.3338829331196</v>
      </c>
      <c r="BO618" s="79">
        <v>4250.0006173918237</v>
      </c>
      <c r="BP618" s="79">
        <v>4833.3340354652191</v>
      </c>
      <c r="BQ618" s="79">
        <v>4466.6673155333783</v>
      </c>
      <c r="BR618" s="79"/>
      <c r="BS618" s="79">
        <v>1904.6000000000008</v>
      </c>
      <c r="BT618" s="79">
        <v>305.6999999999997</v>
      </c>
      <c r="BU618" s="79">
        <v>483.30000000000018</v>
      </c>
      <c r="BV618" s="79">
        <v>487</v>
      </c>
      <c r="BW618" s="79">
        <v>783.99999999999977</v>
      </c>
      <c r="BX618" s="79">
        <v>985</v>
      </c>
      <c r="BY618" s="79">
        <v>995</v>
      </c>
      <c r="BZ618" s="79">
        <v>-537</v>
      </c>
      <c r="CA618" s="79">
        <v>-7631</v>
      </c>
      <c r="CB618" s="79">
        <v>1804</v>
      </c>
      <c r="CC618" s="79">
        <v>1780</v>
      </c>
      <c r="CD618" s="79">
        <v>3347</v>
      </c>
      <c r="CE618" s="79">
        <v>1543</v>
      </c>
      <c r="CF618" s="79">
        <v>2150</v>
      </c>
      <c r="CG618" s="79">
        <v>2899</v>
      </c>
      <c r="CH618" s="79">
        <v>2501</v>
      </c>
      <c r="CI618" s="79">
        <v>2265</v>
      </c>
      <c r="CJ618" s="79">
        <v>-2519</v>
      </c>
      <c r="CK618" s="79">
        <v>3014</v>
      </c>
      <c r="CL618" s="79">
        <v>4458</v>
      </c>
      <c r="CM618" s="79">
        <v>3938</v>
      </c>
      <c r="CN618" s="79">
        <v>1710</v>
      </c>
      <c r="CO618" s="79">
        <v>5467</v>
      </c>
      <c r="CP618" s="79">
        <v>6173</v>
      </c>
      <c r="CQ618" s="79">
        <v>763</v>
      </c>
      <c r="CR618" s="79">
        <v>6094</v>
      </c>
      <c r="CS618" s="79">
        <v>5379</v>
      </c>
      <c r="CT618" s="79">
        <v>6857.9999999999964</v>
      </c>
      <c r="CU618" s="79">
        <v>7629</v>
      </c>
      <c r="CV618" s="79">
        <v>4132</v>
      </c>
      <c r="CW618" s="79">
        <v>13006</v>
      </c>
      <c r="CX618" s="79">
        <v>9650</v>
      </c>
      <c r="CY618" s="80">
        <v>7905</v>
      </c>
      <c r="CZ618" s="79">
        <v>8487.4174685487505</v>
      </c>
      <c r="DA618" s="79">
        <v>7750.001125832151</v>
      </c>
      <c r="DB618" s="79">
        <v>7750.0011258321638</v>
      </c>
      <c r="DC618" s="79">
        <v>7750.0011258321383</v>
      </c>
      <c r="DD618" s="79">
        <v>7750.0011258321501</v>
      </c>
      <c r="DE618" s="79">
        <v>7900.0011476224563</v>
      </c>
      <c r="DF618" s="79">
        <v>7783.3344640077557</v>
      </c>
      <c r="DG618" s="79">
        <v>6966.667678705031</v>
      </c>
      <c r="DH618" s="79">
        <v>8033.3345003249451</v>
      </c>
      <c r="DI618" s="79">
        <v>9300.0013509985947</v>
      </c>
    </row>
    <row r="619" spans="1:113" outlineLevel="1">
      <c r="C619" s="55"/>
      <c r="D619" s="55"/>
      <c r="E619" s="55"/>
      <c r="F619" s="55"/>
      <c r="G619" s="55"/>
      <c r="H619" s="55"/>
      <c r="I619" s="55"/>
      <c r="J619" s="55"/>
      <c r="K619" s="55"/>
      <c r="L619" s="55"/>
      <c r="M619" s="55"/>
      <c r="N619" s="55"/>
      <c r="O619" s="55"/>
      <c r="P619" s="55"/>
      <c r="Q619" s="55"/>
      <c r="R619" s="55"/>
      <c r="S619" s="55"/>
      <c r="T619" s="55"/>
      <c r="U619" s="55"/>
      <c r="V619" s="55"/>
      <c r="W619" s="55"/>
      <c r="X619" s="55"/>
      <c r="Y619" s="55"/>
      <c r="Z619" s="55"/>
      <c r="AA619" s="55"/>
      <c r="AB619" s="55"/>
      <c r="AC619" s="55"/>
      <c r="AD619" s="55"/>
      <c r="AE619" s="55"/>
      <c r="AF619" s="55"/>
      <c r="AG619" s="55"/>
      <c r="AH619" s="55"/>
      <c r="AI619" s="55"/>
      <c r="AJ619" s="55"/>
      <c r="AK619" s="55"/>
      <c r="AL619" s="55"/>
      <c r="AM619" s="55"/>
      <c r="AN619" s="55"/>
      <c r="AO619" s="55"/>
      <c r="AP619" s="55"/>
      <c r="AQ619" s="55"/>
      <c r="AR619" s="55"/>
      <c r="AS619" s="55"/>
      <c r="AT619" s="55"/>
      <c r="AU619" s="55"/>
      <c r="AV619" s="55"/>
      <c r="AW619" s="56"/>
      <c r="AX619" s="55"/>
      <c r="AY619" s="55"/>
      <c r="AZ619" s="55"/>
      <c r="BA619" s="55"/>
      <c r="BB619" s="55"/>
      <c r="BC619" s="55"/>
      <c r="BD619" s="55"/>
      <c r="BE619" s="55"/>
      <c r="BF619" s="55"/>
      <c r="BG619" s="55"/>
      <c r="BH619" s="55"/>
      <c r="BI619" s="55"/>
      <c r="BJ619" s="55"/>
      <c r="BK619" s="55"/>
      <c r="BL619" s="55"/>
      <c r="BM619" s="55"/>
      <c r="BN619" s="55"/>
      <c r="BO619" s="55"/>
      <c r="BP619" s="55"/>
      <c r="BQ619" s="55"/>
      <c r="BR619" s="55"/>
      <c r="BS619" s="55"/>
      <c r="BT619" s="55"/>
      <c r="BU619" s="55"/>
      <c r="BV619" s="55"/>
      <c r="BW619" s="55"/>
      <c r="BX619" s="55"/>
      <c r="BY619" s="55"/>
      <c r="BZ619" s="55"/>
      <c r="CA619" s="55"/>
      <c r="CB619" s="55"/>
      <c r="CC619" s="55"/>
      <c r="CD619" s="55"/>
      <c r="CE619" s="55"/>
      <c r="CF619" s="55"/>
      <c r="CG619" s="55"/>
      <c r="CH619" s="55"/>
      <c r="CI619" s="55"/>
      <c r="CJ619" s="55"/>
      <c r="CK619" s="55"/>
      <c r="CL619" s="55"/>
      <c r="CM619" s="55"/>
      <c r="CN619" s="55"/>
      <c r="CO619" s="55"/>
      <c r="CP619" s="55"/>
      <c r="CQ619" s="55"/>
      <c r="CR619" s="55"/>
      <c r="CS619" s="55"/>
      <c r="CT619" s="55"/>
      <c r="CU619" s="55"/>
      <c r="CV619" s="55"/>
      <c r="CW619" s="55"/>
      <c r="CX619" s="55"/>
      <c r="CY619" s="56"/>
      <c r="CZ619" s="55"/>
      <c r="DA619" s="55"/>
      <c r="DB619" s="55"/>
      <c r="DC619" s="55"/>
      <c r="DD619" s="55"/>
      <c r="DE619" s="55"/>
      <c r="DF619" s="55"/>
      <c r="DG619" s="55"/>
      <c r="DH619" s="55"/>
      <c r="DI619" s="55"/>
    </row>
    <row r="620" spans="1:113" s="24" customFormat="1" outlineLevel="1">
      <c r="A620" s="1" t="s">
        <v>60</v>
      </c>
      <c r="B620" s="24" t="s">
        <v>356</v>
      </c>
      <c r="C620" s="82">
        <v>1148.5</v>
      </c>
      <c r="D620" s="82">
        <v>1175</v>
      </c>
      <c r="E620" s="82">
        <v>1292</v>
      </c>
      <c r="F620" s="82">
        <v>1188</v>
      </c>
      <c r="G620" s="82">
        <v>1351</v>
      </c>
      <c r="H620" s="82">
        <v>1201</v>
      </c>
      <c r="I620" s="82">
        <v>1393</v>
      </c>
      <c r="J620" s="82">
        <v>1672</v>
      </c>
      <c r="K620" s="82">
        <v>1689</v>
      </c>
      <c r="L620" s="82">
        <v>2061</v>
      </c>
      <c r="M620" s="82">
        <v>1992</v>
      </c>
      <c r="N620" s="82">
        <v>2268</v>
      </c>
      <c r="O620" s="82">
        <v>2204</v>
      </c>
      <c r="P620" s="82">
        <v>2360</v>
      </c>
      <c r="Q620" s="82">
        <v>2325</v>
      </c>
      <c r="R620" s="82">
        <v>1880</v>
      </c>
      <c r="S620" s="82">
        <v>2371</v>
      </c>
      <c r="T620" s="82">
        <v>2919</v>
      </c>
      <c r="U620" s="82">
        <v>3135</v>
      </c>
      <c r="V620" s="82">
        <v>3313</v>
      </c>
      <c r="W620" s="82">
        <v>3480</v>
      </c>
      <c r="X620" s="82">
        <v>3556</v>
      </c>
      <c r="Y620" s="82">
        <v>3515</v>
      </c>
      <c r="Z620" s="82">
        <v>3730</v>
      </c>
      <c r="AA620" s="82">
        <v>3990</v>
      </c>
      <c r="AB620" s="82">
        <v>4245</v>
      </c>
      <c r="AC620" s="82">
        <v>4390</v>
      </c>
      <c r="AD620" s="82">
        <v>4599</v>
      </c>
      <c r="AE620" s="82">
        <v>4486</v>
      </c>
      <c r="AF620" s="82">
        <v>4776</v>
      </c>
      <c r="AG620" s="82">
        <v>4619</v>
      </c>
      <c r="AH620" s="82">
        <v>4828</v>
      </c>
      <c r="AI620" s="82">
        <v>4827</v>
      </c>
      <c r="AJ620" s="82">
        <v>4598</v>
      </c>
      <c r="AK620" s="82">
        <v>4317</v>
      </c>
      <c r="AL620" s="82">
        <v>4512.5931563709537</v>
      </c>
      <c r="AM620" s="82">
        <v>3708.406843629049</v>
      </c>
      <c r="AN620" s="82">
        <v>4327</v>
      </c>
      <c r="AO620" s="82">
        <v>2898</v>
      </c>
      <c r="AP620" s="82">
        <v>3868</v>
      </c>
      <c r="AQ620" s="82">
        <v>4785</v>
      </c>
      <c r="AR620" s="82">
        <v>4746</v>
      </c>
      <c r="AS620" s="82">
        <v>4849</v>
      </c>
      <c r="AT620" s="82">
        <v>5180</v>
      </c>
      <c r="AU620" s="82">
        <v>4892</v>
      </c>
      <c r="AV620" s="82">
        <v>5019</v>
      </c>
      <c r="AW620" s="83">
        <v>4817</v>
      </c>
      <c r="AX620" s="82">
        <v>4929.351263001472</v>
      </c>
      <c r="AY620" s="82">
        <v>4796.3005259160636</v>
      </c>
      <c r="AZ620" s="82">
        <v>4940.6445081511138</v>
      </c>
      <c r="BA620" s="82">
        <v>4856.6884050461886</v>
      </c>
      <c r="BB620" s="82">
        <v>4966.5450990995378</v>
      </c>
      <c r="BC620" s="82">
        <v>4900.6358611220267</v>
      </c>
      <c r="BD620" s="82">
        <v>5065.2184891530624</v>
      </c>
      <c r="BE620" s="82">
        <v>5060.8633895093299</v>
      </c>
      <c r="BF620" s="82">
        <v>5206.0169500176871</v>
      </c>
      <c r="BG620" s="82">
        <v>5132.3220902529119</v>
      </c>
      <c r="BH620" s="82">
        <v>5329.8304453520759</v>
      </c>
      <c r="BI620" s="82">
        <v>5304.4560893191019</v>
      </c>
      <c r="BJ620" s="82">
        <v>4775.5659239690403</v>
      </c>
      <c r="BK620" s="82">
        <v>4091.0212942085582</v>
      </c>
      <c r="BL620" s="82">
        <v>4257.7741854916367</v>
      </c>
      <c r="BM620" s="82">
        <v>4933.7963574509013</v>
      </c>
      <c r="BN620" s="82">
        <v>5670.1809092633166</v>
      </c>
      <c r="BO620" s="82">
        <v>5675.7276891610209</v>
      </c>
      <c r="BP620" s="82">
        <v>5942.3346600016121</v>
      </c>
      <c r="BQ620" s="82">
        <v>5949.3473703347017</v>
      </c>
      <c r="BR620" s="82"/>
      <c r="BS620" s="82">
        <v>408.9</v>
      </c>
      <c r="BT620" s="82">
        <v>579</v>
      </c>
      <c r="BU620" s="82">
        <v>682</v>
      </c>
      <c r="BV620" s="82">
        <v>1011</v>
      </c>
      <c r="BW620" s="82">
        <v>1119</v>
      </c>
      <c r="BX620" s="82">
        <v>1249</v>
      </c>
      <c r="BY620" s="82">
        <v>1297</v>
      </c>
      <c r="BZ620" s="82">
        <v>1469</v>
      </c>
      <c r="CA620" s="82">
        <v>1678</v>
      </c>
      <c r="CB620" s="82">
        <v>2253</v>
      </c>
      <c r="CC620" s="82">
        <v>2467</v>
      </c>
      <c r="CD620" s="82">
        <v>2539</v>
      </c>
      <c r="CE620" s="82">
        <v>2594</v>
      </c>
      <c r="CF620" s="82">
        <v>3361</v>
      </c>
      <c r="CG620" s="82">
        <v>4053</v>
      </c>
      <c r="CH620" s="82">
        <v>4472</v>
      </c>
      <c r="CI620" s="82">
        <v>4685</v>
      </c>
      <c r="CJ620" s="82">
        <v>4251</v>
      </c>
      <c r="CK620" s="82">
        <v>6054</v>
      </c>
      <c r="CL620" s="82">
        <v>6793</v>
      </c>
      <c r="CM620" s="82">
        <v>7071</v>
      </c>
      <c r="CN620" s="82">
        <v>7720</v>
      </c>
      <c r="CO620" s="82">
        <v>8635</v>
      </c>
      <c r="CP620" s="82">
        <v>9085</v>
      </c>
      <c r="CQ620" s="82">
        <v>9395</v>
      </c>
      <c r="CR620" s="82">
        <v>9655</v>
      </c>
      <c r="CS620" s="82">
        <v>8915</v>
      </c>
      <c r="CT620" s="82">
        <v>8221</v>
      </c>
      <c r="CU620" s="82">
        <v>7225</v>
      </c>
      <c r="CV620" s="82">
        <v>8653</v>
      </c>
      <c r="CW620" s="82">
        <v>9595</v>
      </c>
      <c r="CX620" s="82">
        <v>10072</v>
      </c>
      <c r="CY620" s="83">
        <v>9836</v>
      </c>
      <c r="CZ620" s="82">
        <v>9725.6517889175338</v>
      </c>
      <c r="DA620" s="82">
        <v>9797.332913197306</v>
      </c>
      <c r="DB620" s="82">
        <v>9867.1809602215653</v>
      </c>
      <c r="DC620" s="82">
        <v>10126.081878662391</v>
      </c>
      <c r="DD620" s="82">
        <v>10338.339040270599</v>
      </c>
      <c r="DE620" s="82">
        <v>10634.286534671177</v>
      </c>
      <c r="DF620" s="82">
        <v>8866.5872181775994</v>
      </c>
      <c r="DG620" s="82">
        <v>9191.5705429425398</v>
      </c>
      <c r="DH620" s="82">
        <v>11345.908598424339</v>
      </c>
      <c r="DI620" s="82">
        <v>11891.682030336311</v>
      </c>
    </row>
    <row r="621" spans="1:113" outlineLevel="1">
      <c r="A621" s="1" t="s">
        <v>61</v>
      </c>
      <c r="B621" s="19" t="s">
        <v>426</v>
      </c>
      <c r="C621" s="55">
        <v>98</v>
      </c>
      <c r="D621" s="55">
        <v>-40</v>
      </c>
      <c r="E621" s="55">
        <v>-146</v>
      </c>
      <c r="F621" s="55">
        <v>156</v>
      </c>
      <c r="G621" s="55">
        <v>-129</v>
      </c>
      <c r="H621" s="55">
        <v>-173</v>
      </c>
      <c r="I621" s="55">
        <v>-8</v>
      </c>
      <c r="J621" s="55">
        <v>-151</v>
      </c>
      <c r="K621" s="55">
        <v>10</v>
      </c>
      <c r="L621" s="55">
        <v>104</v>
      </c>
      <c r="M621" s="55">
        <v>-282</v>
      </c>
      <c r="N621" s="55">
        <v>87</v>
      </c>
      <c r="O621" s="55">
        <v>-46</v>
      </c>
      <c r="P621" s="55">
        <v>-101</v>
      </c>
      <c r="Q621" s="55">
        <v>-494</v>
      </c>
      <c r="R621" s="55">
        <v>574</v>
      </c>
      <c r="S621" s="55">
        <v>-312</v>
      </c>
      <c r="T621" s="55">
        <v>-100</v>
      </c>
      <c r="U621" s="55">
        <v>80</v>
      </c>
      <c r="V621" s="55">
        <v>-477</v>
      </c>
      <c r="W621" s="55">
        <v>-53</v>
      </c>
      <c r="X621" s="55">
        <v>3</v>
      </c>
      <c r="Y621" s="55">
        <v>187</v>
      </c>
      <c r="Z621" s="55">
        <v>20</v>
      </c>
      <c r="AA621" s="55">
        <v>446</v>
      </c>
      <c r="AB621" s="55">
        <v>434</v>
      </c>
      <c r="AC621" s="55">
        <v>-49</v>
      </c>
      <c r="AD621" s="55">
        <v>388</v>
      </c>
      <c r="AE621" s="55">
        <v>10</v>
      </c>
      <c r="AF621" s="55">
        <v>381</v>
      </c>
      <c r="AG621" s="55">
        <v>2</v>
      </c>
      <c r="AH621" s="55">
        <v>83</v>
      </c>
      <c r="AI621" s="55">
        <v>-365</v>
      </c>
      <c r="AJ621" s="55">
        <v>-250</v>
      </c>
      <c r="AK621" s="55">
        <v>238</v>
      </c>
      <c r="AL621" s="55">
        <v>386</v>
      </c>
      <c r="AM621" s="55">
        <v>71</v>
      </c>
      <c r="AN621" s="55">
        <v>18</v>
      </c>
      <c r="AO621" s="55">
        <v>-204</v>
      </c>
      <c r="AP621" s="55">
        <v>-296</v>
      </c>
      <c r="AQ621" s="55">
        <v>84</v>
      </c>
      <c r="AR621" s="55">
        <v>234</v>
      </c>
      <c r="AS621" s="55">
        <v>-474</v>
      </c>
      <c r="AT621" s="55">
        <v>314</v>
      </c>
      <c r="AU621" s="55">
        <v>-85</v>
      </c>
      <c r="AV621" s="55">
        <v>-15</v>
      </c>
      <c r="AW621" s="56">
        <v>-20</v>
      </c>
      <c r="AX621" s="55">
        <v>84.780552179912121</v>
      </c>
      <c r="AY621" s="55">
        <v>-150.01714050048068</v>
      </c>
      <c r="AZ621" s="55">
        <v>-255.66102449506769</v>
      </c>
      <c r="BA621" s="55">
        <v>-282.63801382048609</v>
      </c>
      <c r="BB621" s="55">
        <v>-269.79040377872411</v>
      </c>
      <c r="BC621" s="55">
        <v>-119.99763532496634</v>
      </c>
      <c r="BD621" s="55">
        <v>-119.94893219196453</v>
      </c>
      <c r="BE621" s="55">
        <v>-119.25091309681704</v>
      </c>
      <c r="BF621" s="55">
        <v>-119.43136331697731</v>
      </c>
      <c r="BG621" s="55">
        <v>-118.94652725948583</v>
      </c>
      <c r="BH621" s="55">
        <v>-119.20610479778054</v>
      </c>
      <c r="BI621" s="55">
        <v>-118.89298537226563</v>
      </c>
      <c r="BJ621" s="55">
        <v>-119.153403737361</v>
      </c>
      <c r="BK621" s="55">
        <v>0</v>
      </c>
      <c r="BL621" s="55">
        <v>0</v>
      </c>
      <c r="BM621" s="55">
        <v>0</v>
      </c>
      <c r="BN621" s="55">
        <v>0</v>
      </c>
      <c r="BO621" s="55">
        <v>0</v>
      </c>
      <c r="BP621" s="55">
        <v>0</v>
      </c>
      <c r="BQ621" s="55">
        <v>0</v>
      </c>
      <c r="BR621" s="55"/>
      <c r="BS621" s="55">
        <v>1.6</v>
      </c>
      <c r="BT621" s="55">
        <v>21.4</v>
      </c>
      <c r="BU621" s="55">
        <v>-2.4</v>
      </c>
      <c r="BV621" s="55">
        <v>43</v>
      </c>
      <c r="BW621" s="55">
        <v>-34</v>
      </c>
      <c r="BX621" s="55">
        <v>28</v>
      </c>
      <c r="BY621" s="55">
        <v>-45</v>
      </c>
      <c r="BZ621" s="55">
        <v>-33</v>
      </c>
      <c r="CA621" s="55">
        <v>-26</v>
      </c>
      <c r="CB621" s="55">
        <v>98</v>
      </c>
      <c r="CC621" s="55">
        <v>-186</v>
      </c>
      <c r="CD621" s="55">
        <v>27</v>
      </c>
      <c r="CE621" s="55">
        <v>-181</v>
      </c>
      <c r="CF621" s="55">
        <v>-141</v>
      </c>
      <c r="CG621" s="55">
        <v>-178</v>
      </c>
      <c r="CH621" s="55">
        <v>41</v>
      </c>
      <c r="CI621" s="55">
        <v>-595</v>
      </c>
      <c r="CJ621" s="55">
        <v>262</v>
      </c>
      <c r="CK621" s="55">
        <v>-20</v>
      </c>
      <c r="CL621" s="55">
        <v>-530</v>
      </c>
      <c r="CM621" s="55">
        <v>190</v>
      </c>
      <c r="CN621" s="55">
        <v>466</v>
      </c>
      <c r="CO621" s="55">
        <v>385</v>
      </c>
      <c r="CP621" s="55">
        <v>398</v>
      </c>
      <c r="CQ621" s="55">
        <v>383</v>
      </c>
      <c r="CR621" s="55">
        <v>-282</v>
      </c>
      <c r="CS621" s="55">
        <v>-12</v>
      </c>
      <c r="CT621" s="55">
        <v>457</v>
      </c>
      <c r="CU621" s="55">
        <v>-186</v>
      </c>
      <c r="CV621" s="55">
        <v>-212</v>
      </c>
      <c r="CW621" s="55">
        <v>-240</v>
      </c>
      <c r="CX621" s="55">
        <v>229</v>
      </c>
      <c r="CY621" s="56">
        <v>-35</v>
      </c>
      <c r="CZ621" s="55">
        <v>-65.236588320568558</v>
      </c>
      <c r="DA621" s="55">
        <v>-538.29903831555384</v>
      </c>
      <c r="DB621" s="55">
        <v>-389.78803910369044</v>
      </c>
      <c r="DC621" s="55">
        <v>-239.19984528878157</v>
      </c>
      <c r="DD621" s="55">
        <v>-238.37789057646313</v>
      </c>
      <c r="DE621" s="55">
        <v>-238.09909017004617</v>
      </c>
      <c r="DF621" s="55">
        <v>-119.153403737361</v>
      </c>
      <c r="DG621" s="55">
        <v>0</v>
      </c>
      <c r="DH621" s="55">
        <v>0</v>
      </c>
      <c r="DI621" s="55">
        <v>0</v>
      </c>
    </row>
    <row r="622" spans="1:113" outlineLevel="1">
      <c r="A622" s="1" t="s">
        <v>62</v>
      </c>
      <c r="B622" s="19" t="s">
        <v>427</v>
      </c>
      <c r="C622" s="55">
        <v>-662.5</v>
      </c>
      <c r="D622" s="55">
        <v>-82</v>
      </c>
      <c r="E622" s="55">
        <v>64</v>
      </c>
      <c r="F622" s="55">
        <v>1242</v>
      </c>
      <c r="G622" s="55">
        <v>34</v>
      </c>
      <c r="H622" s="55">
        <v>37</v>
      </c>
      <c r="I622" s="55">
        <v>-225</v>
      </c>
      <c r="J622" s="55">
        <v>-2826</v>
      </c>
      <c r="K622" s="55">
        <v>178</v>
      </c>
      <c r="L622" s="55">
        <v>-1135</v>
      </c>
      <c r="M622" s="55">
        <v>1352</v>
      </c>
      <c r="N622" s="55">
        <v>262</v>
      </c>
      <c r="O622" s="55">
        <v>609</v>
      </c>
      <c r="P622" s="55">
        <v>38</v>
      </c>
      <c r="Q622" s="55">
        <v>-324</v>
      </c>
      <c r="R622" s="55">
        <v>-1903</v>
      </c>
      <c r="S622" s="55">
        <v>41</v>
      </c>
      <c r="T622" s="55">
        <v>410</v>
      </c>
      <c r="U622" s="55">
        <v>246</v>
      </c>
      <c r="V622" s="55">
        <v>-147</v>
      </c>
      <c r="W622" s="55">
        <v>198</v>
      </c>
      <c r="X622" s="55">
        <v>77</v>
      </c>
      <c r="Y622" s="55">
        <v>698</v>
      </c>
      <c r="Z622" s="55">
        <v>352</v>
      </c>
      <c r="AA622" s="55">
        <v>410</v>
      </c>
      <c r="AB622" s="55">
        <v>107</v>
      </c>
      <c r="AC622" s="55">
        <v>200</v>
      </c>
      <c r="AD622" s="55">
        <v>299</v>
      </c>
      <c r="AE622" s="55">
        <v>85</v>
      </c>
      <c r="AF622" s="55">
        <v>580</v>
      </c>
      <c r="AG622" s="55">
        <v>-851</v>
      </c>
      <c r="AH622" s="55">
        <v>-565</v>
      </c>
      <c r="AI622" s="55">
        <v>113</v>
      </c>
      <c r="AJ622" s="55">
        <v>174</v>
      </c>
      <c r="AK622" s="55">
        <v>80</v>
      </c>
      <c r="AL622" s="55">
        <v>-949</v>
      </c>
      <c r="AM622" s="55">
        <v>1067</v>
      </c>
      <c r="AN622" s="55">
        <v>-579</v>
      </c>
      <c r="AO622" s="55">
        <v>1141</v>
      </c>
      <c r="AP622" s="55">
        <v>-120</v>
      </c>
      <c r="AQ622" s="55">
        <v>1063</v>
      </c>
      <c r="AR622" s="55">
        <v>-610</v>
      </c>
      <c r="AS622" s="55">
        <v>-2795</v>
      </c>
      <c r="AT622" s="55">
        <v>-879</v>
      </c>
      <c r="AU622" s="55">
        <v>7</v>
      </c>
      <c r="AV622" s="55">
        <v>-271</v>
      </c>
      <c r="AW622" s="56">
        <v>-638</v>
      </c>
      <c r="AX622" s="55">
        <v>0</v>
      </c>
      <c r="AY622" s="55">
        <v>0</v>
      </c>
      <c r="AZ622" s="55">
        <v>0</v>
      </c>
      <c r="BA622" s="55">
        <v>0</v>
      </c>
      <c r="BB622" s="55">
        <v>0</v>
      </c>
      <c r="BC622" s="55">
        <v>0</v>
      </c>
      <c r="BD622" s="55">
        <v>0</v>
      </c>
      <c r="BE622" s="55">
        <v>0</v>
      </c>
      <c r="BF622" s="55">
        <v>0</v>
      </c>
      <c r="BG622" s="55">
        <v>0</v>
      </c>
      <c r="BH622" s="55">
        <v>0</v>
      </c>
      <c r="BI622" s="55">
        <v>0</v>
      </c>
      <c r="BJ622" s="55">
        <v>0</v>
      </c>
      <c r="BK622" s="55">
        <v>0</v>
      </c>
      <c r="BL622" s="55">
        <v>0</v>
      </c>
      <c r="BM622" s="55">
        <v>0</v>
      </c>
      <c r="BN622" s="55">
        <v>0</v>
      </c>
      <c r="BO622" s="55">
        <v>0</v>
      </c>
      <c r="BP622" s="55">
        <v>0</v>
      </c>
      <c r="BQ622" s="55">
        <v>0</v>
      </c>
      <c r="BR622" s="55"/>
      <c r="BS622" s="55">
        <v>6965.1</v>
      </c>
      <c r="BT622" s="55">
        <v>-61</v>
      </c>
      <c r="BU622" s="55">
        <v>200.10000000000036</v>
      </c>
      <c r="BV622" s="55">
        <v>64.199999999999818</v>
      </c>
      <c r="BW622" s="55">
        <v>320.69999999999982</v>
      </c>
      <c r="BX622" s="55">
        <v>-465</v>
      </c>
      <c r="BY622" s="55">
        <v>-184</v>
      </c>
      <c r="BZ622" s="55">
        <v>-1903</v>
      </c>
      <c r="CA622" s="55">
        <v>401</v>
      </c>
      <c r="CB622" s="55">
        <v>-449</v>
      </c>
      <c r="CC622" s="55">
        <v>-18</v>
      </c>
      <c r="CD622" s="55">
        <v>1276</v>
      </c>
      <c r="CE622" s="55">
        <v>-188</v>
      </c>
      <c r="CF622" s="55">
        <v>-2648</v>
      </c>
      <c r="CG622" s="55">
        <v>217</v>
      </c>
      <c r="CH622" s="55">
        <v>871</v>
      </c>
      <c r="CI622" s="55">
        <v>-286</v>
      </c>
      <c r="CJ622" s="55">
        <v>-1862</v>
      </c>
      <c r="CK622" s="55">
        <v>656</v>
      </c>
      <c r="CL622" s="55">
        <v>51</v>
      </c>
      <c r="CM622" s="55">
        <v>775</v>
      </c>
      <c r="CN622" s="55">
        <v>762</v>
      </c>
      <c r="CO622" s="55">
        <v>307</v>
      </c>
      <c r="CP622" s="55">
        <v>384</v>
      </c>
      <c r="CQ622" s="55">
        <v>-271</v>
      </c>
      <c r="CR622" s="55">
        <v>-452</v>
      </c>
      <c r="CS622" s="55">
        <v>254</v>
      </c>
      <c r="CT622" s="55">
        <v>118</v>
      </c>
      <c r="CU622" s="55">
        <v>562</v>
      </c>
      <c r="CV622" s="55">
        <v>943</v>
      </c>
      <c r="CW622" s="55">
        <v>-3405</v>
      </c>
      <c r="CX622" s="55">
        <v>-872</v>
      </c>
      <c r="CY622" s="56">
        <v>-909</v>
      </c>
      <c r="CZ622" s="55">
        <v>0</v>
      </c>
      <c r="DA622" s="55">
        <v>0</v>
      </c>
      <c r="DB622" s="55">
        <v>0</v>
      </c>
      <c r="DC622" s="55">
        <v>0</v>
      </c>
      <c r="DD622" s="55">
        <v>0</v>
      </c>
      <c r="DE622" s="55">
        <v>0</v>
      </c>
      <c r="DF622" s="55">
        <v>0</v>
      </c>
      <c r="DG622" s="55">
        <v>0</v>
      </c>
      <c r="DH622" s="55">
        <v>0</v>
      </c>
      <c r="DI622" s="55">
        <v>0</v>
      </c>
    </row>
    <row r="623" spans="1:113" outlineLevel="1">
      <c r="A623" s="1" t="s">
        <v>63</v>
      </c>
      <c r="B623" s="19" t="s">
        <v>280</v>
      </c>
      <c r="C623" s="55">
        <v>285</v>
      </c>
      <c r="D623" s="55">
        <v>174</v>
      </c>
      <c r="E623" s="55">
        <v>303</v>
      </c>
      <c r="F623" s="55">
        <v>-426</v>
      </c>
      <c r="G623" s="55">
        <v>181</v>
      </c>
      <c r="H623" s="55">
        <v>165</v>
      </c>
      <c r="I623" s="55">
        <v>36</v>
      </c>
      <c r="J623" s="55">
        <v>-28</v>
      </c>
      <c r="K623" s="55">
        <v>-25</v>
      </c>
      <c r="L623" s="55">
        <v>-19</v>
      </c>
      <c r="M623" s="55">
        <v>-6</v>
      </c>
      <c r="N623" s="55">
        <v>4</v>
      </c>
      <c r="O623" s="55">
        <v>1</v>
      </c>
      <c r="P623" s="55">
        <v>-4</v>
      </c>
      <c r="Q623" s="55">
        <v>44</v>
      </c>
      <c r="R623" s="55">
        <v>641</v>
      </c>
      <c r="S623" s="55">
        <v>45</v>
      </c>
      <c r="T623" s="55">
        <v>-202</v>
      </c>
      <c r="U623" s="55">
        <v>8</v>
      </c>
      <c r="V623" s="55">
        <v>-7</v>
      </c>
      <c r="W623" s="55">
        <v>0</v>
      </c>
      <c r="X623" s="55">
        <v>-33</v>
      </c>
      <c r="Y623" s="55">
        <v>-10</v>
      </c>
      <c r="Z623" s="55">
        <v>-45</v>
      </c>
      <c r="AA623" s="55">
        <v>0</v>
      </c>
      <c r="AB623" s="55">
        <v>2</v>
      </c>
      <c r="AC623" s="55">
        <v>40</v>
      </c>
      <c r="AD623" s="55">
        <v>0</v>
      </c>
      <c r="AE623" s="55">
        <v>0</v>
      </c>
      <c r="AF623" s="55">
        <v>0</v>
      </c>
      <c r="AG623" s="55">
        <v>0</v>
      </c>
      <c r="AH623" s="55">
        <v>79</v>
      </c>
      <c r="AI623" s="55">
        <v>147</v>
      </c>
      <c r="AJ623" s="55">
        <v>273</v>
      </c>
      <c r="AK623" s="55">
        <v>224</v>
      </c>
      <c r="AL623" s="55">
        <v>255.40684362904631</v>
      </c>
      <c r="AM623" s="55">
        <v>229.59315637095096</v>
      </c>
      <c r="AN623" s="55">
        <v>164</v>
      </c>
      <c r="AO623" s="55">
        <v>18</v>
      </c>
      <c r="AP623" s="55">
        <v>99</v>
      </c>
      <c r="AQ623" s="55">
        <v>49</v>
      </c>
      <c r="AR623" s="55">
        <v>100</v>
      </c>
      <c r="AS623" s="55">
        <v>13</v>
      </c>
      <c r="AT623" s="55">
        <v>10</v>
      </c>
      <c r="AU623" s="55">
        <v>8</v>
      </c>
      <c r="AV623" s="55">
        <v>6</v>
      </c>
      <c r="AW623" s="56">
        <v>5</v>
      </c>
      <c r="AX623" s="55">
        <v>0</v>
      </c>
      <c r="AY623" s="55">
        <v>0</v>
      </c>
      <c r="AZ623" s="55">
        <v>0</v>
      </c>
      <c r="BA623" s="55">
        <v>0</v>
      </c>
      <c r="BB623" s="55">
        <v>0</v>
      </c>
      <c r="BC623" s="55">
        <v>0</v>
      </c>
      <c r="BD623" s="55">
        <v>0</v>
      </c>
      <c r="BE623" s="55">
        <v>0</v>
      </c>
      <c r="BF623" s="55">
        <v>0</v>
      </c>
      <c r="BG623" s="55">
        <v>0</v>
      </c>
      <c r="BH623" s="55">
        <v>0</v>
      </c>
      <c r="BI623" s="55">
        <v>0</v>
      </c>
      <c r="BJ623" s="55">
        <v>0</v>
      </c>
      <c r="BK623" s="55">
        <v>0</v>
      </c>
      <c r="BL623" s="55">
        <v>0</v>
      </c>
      <c r="BM623" s="55">
        <v>0</v>
      </c>
      <c r="BN623" s="55">
        <v>0</v>
      </c>
      <c r="BO623" s="55">
        <v>0</v>
      </c>
      <c r="BP623" s="55">
        <v>0</v>
      </c>
      <c r="BQ623" s="55">
        <v>0</v>
      </c>
      <c r="BR623" s="55"/>
      <c r="BS623" s="55">
        <v>0</v>
      </c>
      <c r="BT623" s="55">
        <v>-136</v>
      </c>
      <c r="BU623" s="55">
        <v>0</v>
      </c>
      <c r="BV623" s="55">
        <v>-28</v>
      </c>
      <c r="BW623" s="55">
        <v>0</v>
      </c>
      <c r="BX623" s="55">
        <v>-128</v>
      </c>
      <c r="BY623" s="55">
        <v>-161</v>
      </c>
      <c r="BZ623" s="55">
        <v>0</v>
      </c>
      <c r="CA623" s="55">
        <v>987</v>
      </c>
      <c r="CB623" s="55">
        <v>0</v>
      </c>
      <c r="CC623" s="55">
        <v>477</v>
      </c>
      <c r="CD623" s="55">
        <v>-245</v>
      </c>
      <c r="CE623" s="55">
        <v>201</v>
      </c>
      <c r="CF623" s="55">
        <v>-53</v>
      </c>
      <c r="CG623" s="55">
        <v>-25</v>
      </c>
      <c r="CH623" s="55">
        <v>5</v>
      </c>
      <c r="CI623" s="55">
        <v>40</v>
      </c>
      <c r="CJ623" s="55">
        <v>686</v>
      </c>
      <c r="CK623" s="55">
        <v>-194</v>
      </c>
      <c r="CL623" s="55">
        <v>-7</v>
      </c>
      <c r="CM623" s="55">
        <v>-43</v>
      </c>
      <c r="CN623" s="55">
        <v>-45</v>
      </c>
      <c r="CO623" s="55">
        <v>42</v>
      </c>
      <c r="CP623" s="55">
        <v>0</v>
      </c>
      <c r="CQ623" s="55">
        <v>0</v>
      </c>
      <c r="CR623" s="55">
        <v>226</v>
      </c>
      <c r="CS623" s="55">
        <v>497</v>
      </c>
      <c r="CT623" s="55">
        <v>484.99999999999727</v>
      </c>
      <c r="CU623" s="55">
        <v>182</v>
      </c>
      <c r="CV623" s="55">
        <v>148</v>
      </c>
      <c r="CW623" s="55">
        <v>113</v>
      </c>
      <c r="CX623" s="55">
        <v>18</v>
      </c>
      <c r="CY623" s="56">
        <v>11</v>
      </c>
      <c r="CZ623" s="55">
        <v>0</v>
      </c>
      <c r="DA623" s="55">
        <v>0</v>
      </c>
      <c r="DB623" s="55">
        <v>0</v>
      </c>
      <c r="DC623" s="55">
        <v>0</v>
      </c>
      <c r="DD623" s="55">
        <v>0</v>
      </c>
      <c r="DE623" s="55">
        <v>0</v>
      </c>
      <c r="DF623" s="55">
        <v>0</v>
      </c>
      <c r="DG623" s="55">
        <v>0</v>
      </c>
      <c r="DH623" s="55">
        <v>0</v>
      </c>
      <c r="DI623" s="55">
        <v>0</v>
      </c>
    </row>
    <row r="624" spans="1:113" s="24" customFormat="1" outlineLevel="1">
      <c r="A624" s="1" t="s">
        <v>20</v>
      </c>
      <c r="B624" s="24" t="s">
        <v>414</v>
      </c>
      <c r="C624" s="82">
        <v>869</v>
      </c>
      <c r="D624" s="82">
        <v>1227</v>
      </c>
      <c r="E624" s="82">
        <v>1513</v>
      </c>
      <c r="F624" s="82">
        <v>2160</v>
      </c>
      <c r="G624" s="82">
        <v>1437</v>
      </c>
      <c r="H624" s="82">
        <v>1230</v>
      </c>
      <c r="I624" s="82">
        <v>1196</v>
      </c>
      <c r="J624" s="82">
        <v>-1333</v>
      </c>
      <c r="K624" s="82">
        <v>1852</v>
      </c>
      <c r="L624" s="82">
        <v>1011</v>
      </c>
      <c r="M624" s="82">
        <v>3056</v>
      </c>
      <c r="N624" s="82">
        <v>2621</v>
      </c>
      <c r="O624" s="82">
        <v>2768</v>
      </c>
      <c r="P624" s="82">
        <v>2293</v>
      </c>
      <c r="Q624" s="82">
        <v>1551</v>
      </c>
      <c r="R624" s="82">
        <v>1192</v>
      </c>
      <c r="S624" s="82">
        <v>2145</v>
      </c>
      <c r="T624" s="82">
        <v>3027</v>
      </c>
      <c r="U624" s="82">
        <v>3469</v>
      </c>
      <c r="V624" s="82">
        <v>2682</v>
      </c>
      <c r="W624" s="82">
        <v>3625</v>
      </c>
      <c r="X624" s="82">
        <v>3603</v>
      </c>
      <c r="Y624" s="82">
        <v>4390</v>
      </c>
      <c r="Z624" s="82">
        <v>4057</v>
      </c>
      <c r="AA624" s="82">
        <v>4846</v>
      </c>
      <c r="AB624" s="82">
        <v>4788</v>
      </c>
      <c r="AC624" s="82">
        <v>4581</v>
      </c>
      <c r="AD624" s="82">
        <v>5286</v>
      </c>
      <c r="AE624" s="82">
        <v>4581</v>
      </c>
      <c r="AF624" s="82">
        <v>5737</v>
      </c>
      <c r="AG624" s="82">
        <v>3770</v>
      </c>
      <c r="AH624" s="82">
        <v>4425</v>
      </c>
      <c r="AI624" s="82">
        <v>4722</v>
      </c>
      <c r="AJ624" s="82">
        <v>4795</v>
      </c>
      <c r="AK624" s="82">
        <v>4859</v>
      </c>
      <c r="AL624" s="82">
        <v>4205</v>
      </c>
      <c r="AM624" s="82">
        <v>5076</v>
      </c>
      <c r="AN624" s="82">
        <v>3930</v>
      </c>
      <c r="AO624" s="82">
        <v>3853</v>
      </c>
      <c r="AP624" s="82">
        <v>3551</v>
      </c>
      <c r="AQ624" s="82">
        <v>5981</v>
      </c>
      <c r="AR624" s="82">
        <v>4470</v>
      </c>
      <c r="AS624" s="82">
        <v>1593</v>
      </c>
      <c r="AT624" s="82">
        <v>4625</v>
      </c>
      <c r="AU624" s="82">
        <v>4822</v>
      </c>
      <c r="AV624" s="82">
        <v>4739</v>
      </c>
      <c r="AW624" s="83">
        <v>4164</v>
      </c>
      <c r="AX624" s="82">
        <v>5014.1318151813839</v>
      </c>
      <c r="AY624" s="82">
        <v>4646.2833854155833</v>
      </c>
      <c r="AZ624" s="82">
        <v>4684.9834836560458</v>
      </c>
      <c r="BA624" s="82">
        <v>4574.0503912257027</v>
      </c>
      <c r="BB624" s="82">
        <v>4696.7546953208139</v>
      </c>
      <c r="BC624" s="82">
        <v>4780.6382257970599</v>
      </c>
      <c r="BD624" s="82">
        <v>4945.2695569610978</v>
      </c>
      <c r="BE624" s="82">
        <v>4941.6124764125125</v>
      </c>
      <c r="BF624" s="82">
        <v>5086.5855867007094</v>
      </c>
      <c r="BG624" s="82">
        <v>5013.3755629934258</v>
      </c>
      <c r="BH624" s="82">
        <v>5210.6243405542955</v>
      </c>
      <c r="BI624" s="82">
        <v>5185.5631039468362</v>
      </c>
      <c r="BJ624" s="82">
        <v>4656.4125202316791</v>
      </c>
      <c r="BK624" s="82">
        <v>4091.0212942085582</v>
      </c>
      <c r="BL624" s="82">
        <v>4257.7741854916367</v>
      </c>
      <c r="BM624" s="82">
        <v>4933.7963574509013</v>
      </c>
      <c r="BN624" s="82">
        <v>5670.1809092633166</v>
      </c>
      <c r="BO624" s="82">
        <v>5675.7276891610209</v>
      </c>
      <c r="BP624" s="82">
        <v>5942.3346600016121</v>
      </c>
      <c r="BQ624" s="82">
        <v>5949.3473703347017</v>
      </c>
      <c r="BR624" s="82"/>
      <c r="BS624" s="82">
        <v>7375.6</v>
      </c>
      <c r="BT624" s="82">
        <v>403.4</v>
      </c>
      <c r="BU624" s="82">
        <v>879.70000000000039</v>
      </c>
      <c r="BV624" s="82">
        <v>1090.1999999999998</v>
      </c>
      <c r="BW624" s="82">
        <v>1405.6999999999998</v>
      </c>
      <c r="BX624" s="82">
        <v>684</v>
      </c>
      <c r="BY624" s="82">
        <v>907</v>
      </c>
      <c r="BZ624" s="82">
        <v>-467</v>
      </c>
      <c r="CA624" s="82">
        <v>3040</v>
      </c>
      <c r="CB624" s="82">
        <v>1902</v>
      </c>
      <c r="CC624" s="82">
        <v>2740</v>
      </c>
      <c r="CD624" s="82">
        <v>3597</v>
      </c>
      <c r="CE624" s="82">
        <v>2426</v>
      </c>
      <c r="CF624" s="82">
        <v>519</v>
      </c>
      <c r="CG624" s="82">
        <v>4067</v>
      </c>
      <c r="CH624" s="82">
        <v>5389</v>
      </c>
      <c r="CI624" s="82">
        <v>3844</v>
      </c>
      <c r="CJ624" s="82">
        <v>3337</v>
      </c>
      <c r="CK624" s="82">
        <v>6496</v>
      </c>
      <c r="CL624" s="82">
        <v>6307</v>
      </c>
      <c r="CM624" s="82">
        <v>7993</v>
      </c>
      <c r="CN624" s="82">
        <v>8903</v>
      </c>
      <c r="CO624" s="82">
        <v>9369</v>
      </c>
      <c r="CP624" s="82">
        <v>9867</v>
      </c>
      <c r="CQ624" s="82">
        <v>9507</v>
      </c>
      <c r="CR624" s="82">
        <v>9147</v>
      </c>
      <c r="CS624" s="82">
        <v>9654</v>
      </c>
      <c r="CT624" s="82">
        <v>9280.9999999999964</v>
      </c>
      <c r="CU624" s="82">
        <v>7783</v>
      </c>
      <c r="CV624" s="82">
        <v>9532</v>
      </c>
      <c r="CW624" s="82">
        <v>6063</v>
      </c>
      <c r="CX624" s="82">
        <v>9447</v>
      </c>
      <c r="CY624" s="83">
        <v>8903</v>
      </c>
      <c r="CZ624" s="82">
        <v>9660.4152005969645</v>
      </c>
      <c r="DA624" s="82">
        <v>9259.0338748817521</v>
      </c>
      <c r="DB624" s="82">
        <v>9477.3929211178747</v>
      </c>
      <c r="DC624" s="82">
        <v>9886.8820333736094</v>
      </c>
      <c r="DD624" s="82">
        <v>10099.961149694136</v>
      </c>
      <c r="DE624" s="82">
        <v>10396.187444501131</v>
      </c>
      <c r="DF624" s="82">
        <v>8747.4338144402391</v>
      </c>
      <c r="DG624" s="82">
        <v>9191.5705429425398</v>
      </c>
      <c r="DH624" s="82">
        <v>11345.908598424339</v>
      </c>
      <c r="DI624" s="82">
        <v>11891.682030336311</v>
      </c>
    </row>
    <row r="625" spans="1:113" outlineLevel="1">
      <c r="A625" s="1" t="s">
        <v>21</v>
      </c>
      <c r="B625" s="19" t="s">
        <v>541</v>
      </c>
      <c r="C625" s="55" t="e">
        <v>#VALUE!</v>
      </c>
      <c r="D625" s="55">
        <v>5.6000000000003638</v>
      </c>
      <c r="E625" s="55">
        <v>-138.90000000000055</v>
      </c>
      <c r="F625" s="55">
        <v>-136.09999999999945</v>
      </c>
      <c r="G625" s="55">
        <v>-151.85000000000036</v>
      </c>
      <c r="H625" s="55">
        <v>-533.14999999999964</v>
      </c>
      <c r="I625" s="55">
        <v>-592.50000000000091</v>
      </c>
      <c r="J625" s="55">
        <v>-567.64999999999964</v>
      </c>
      <c r="K625" s="55">
        <v>-444.25</v>
      </c>
      <c r="L625" s="55">
        <v>-655.39999999999964</v>
      </c>
      <c r="M625" s="55">
        <v>-688.55000000000109</v>
      </c>
      <c r="N625" s="55">
        <v>-906.54999999999927</v>
      </c>
      <c r="O625" s="55">
        <v>-538.89999999999964</v>
      </c>
      <c r="P625" s="55">
        <v>2355.9499999999989</v>
      </c>
      <c r="Q625" s="55">
        <v>-363.64999999999964</v>
      </c>
      <c r="R625" s="55">
        <v>-5278.7349999999988</v>
      </c>
      <c r="S625" s="55">
        <v>-3220.5550000000003</v>
      </c>
      <c r="T625" s="55">
        <v>-559.84500000000116</v>
      </c>
      <c r="U625" s="55">
        <v>430.81999999999971</v>
      </c>
      <c r="V625" s="55">
        <v>341.77000000000044</v>
      </c>
      <c r="W625" s="55">
        <v>-5689.6595000000016</v>
      </c>
      <c r="X625" s="55">
        <v>-2009.3529999999992</v>
      </c>
      <c r="Y625" s="55">
        <v>325.70500000000175</v>
      </c>
      <c r="Z625" s="55">
        <v>433.48600000000079</v>
      </c>
      <c r="AA625" s="55">
        <v>-1654.1185000000005</v>
      </c>
      <c r="AB625" s="55">
        <v>-2086.7024999999994</v>
      </c>
      <c r="AC625" s="55">
        <v>-307.82499999999709</v>
      </c>
      <c r="AD625" s="55">
        <v>-2224.2575000000033</v>
      </c>
      <c r="AE625" s="55">
        <v>-1410.5699999999997</v>
      </c>
      <c r="AF625" s="55">
        <v>-6081.3100000000049</v>
      </c>
      <c r="AG625" s="55">
        <v>-200.5</v>
      </c>
      <c r="AH625" s="55">
        <v>-4181.4000000000015</v>
      </c>
      <c r="AI625" s="55">
        <v>-2243.5149999999921</v>
      </c>
      <c r="AJ625" s="55">
        <v>-396.16500000000087</v>
      </c>
      <c r="AK625" s="55">
        <v>-1866.4799999999959</v>
      </c>
      <c r="AL625" s="55">
        <v>1414.1399999999994</v>
      </c>
      <c r="AM625" s="55">
        <v>-799.88999999999942</v>
      </c>
      <c r="AN625" s="55">
        <v>378.83999999999651</v>
      </c>
      <c r="AO625" s="55">
        <v>-608.37000000000262</v>
      </c>
      <c r="AP625" s="55">
        <v>139.86000000000058</v>
      </c>
      <c r="AQ625" s="55">
        <v>308.27999999999884</v>
      </c>
      <c r="AR625" s="55">
        <v>-2230.9349999999977</v>
      </c>
      <c r="AS625" s="55">
        <v>-2726.3249999999971</v>
      </c>
      <c r="AT625" s="55">
        <v>-681.24000000000524</v>
      </c>
      <c r="AU625" s="55">
        <v>1480.7799999999988</v>
      </c>
      <c r="AV625" s="55">
        <v>478.27999999999884</v>
      </c>
      <c r="AW625" s="56">
        <v>-429.7699999999968</v>
      </c>
      <c r="AX625" s="55">
        <v>-961.62403233705118</v>
      </c>
      <c r="AY625" s="55">
        <v>-834.91065013445768</v>
      </c>
      <c r="AZ625" s="55">
        <v>-1050.774500704596</v>
      </c>
      <c r="BA625" s="55">
        <v>-840.33311401015089</v>
      </c>
      <c r="BB625" s="55">
        <v>-867.38525551225757</v>
      </c>
      <c r="BC625" s="55">
        <v>-1011.0939879823054</v>
      </c>
      <c r="BD625" s="55">
        <v>-1031.2905361751327</v>
      </c>
      <c r="BE625" s="55">
        <v>-1051.8818533064914</v>
      </c>
      <c r="BF625" s="55">
        <v>-1072.8763087189654</v>
      </c>
      <c r="BG625" s="55">
        <v>-1094.2824311673539</v>
      </c>
      <c r="BH625" s="55">
        <v>-1116.1089128334643</v>
      </c>
      <c r="BI625" s="55">
        <v>-1138.364613384816</v>
      </c>
      <c r="BJ625" s="55">
        <v>-2903.8970149045199</v>
      </c>
      <c r="BK625" s="55">
        <v>-3093.2192472640454</v>
      </c>
      <c r="BL625" s="55">
        <v>432.69507079017058</v>
      </c>
      <c r="BM625" s="55">
        <v>474.34481758100446</v>
      </c>
      <c r="BN625" s="55">
        <v>-1362.8545584021194</v>
      </c>
      <c r="BO625" s="55">
        <v>-1390.3532981341996</v>
      </c>
      <c r="BP625" s="55">
        <v>-1418.4135750350833</v>
      </c>
      <c r="BQ625" s="55">
        <v>-1447.0469704684947</v>
      </c>
      <c r="BR625" s="55"/>
      <c r="BS625" s="55">
        <v>-3641.8449999999998</v>
      </c>
      <c r="BT625" s="55">
        <v>254.45499999999947</v>
      </c>
      <c r="BU625" s="55">
        <v>40.490000000000236</v>
      </c>
      <c r="BV625" s="55">
        <v>-172.25</v>
      </c>
      <c r="BW625" s="55">
        <v>-343.15000000000009</v>
      </c>
      <c r="BX625" s="55">
        <v>-461.10000000000036</v>
      </c>
      <c r="BY625" s="55">
        <v>-398.14999999999964</v>
      </c>
      <c r="BZ625" s="55">
        <v>-256.25</v>
      </c>
      <c r="CA625" s="55">
        <v>-1446.4000000000005</v>
      </c>
      <c r="CB625" s="55">
        <v>-494.94999999999982</v>
      </c>
      <c r="CC625" s="55">
        <v>-133.30000000000018</v>
      </c>
      <c r="CD625" s="55">
        <v>-287.94999999999982</v>
      </c>
      <c r="CE625" s="55">
        <v>-1125.6500000000005</v>
      </c>
      <c r="CF625" s="55">
        <v>-1011.8999999999996</v>
      </c>
      <c r="CG625" s="55">
        <v>-1343.9500000000007</v>
      </c>
      <c r="CH625" s="55">
        <v>-1445.4499999999989</v>
      </c>
      <c r="CI625" s="55">
        <v>1992.2999999999993</v>
      </c>
      <c r="CJ625" s="55">
        <v>-8499.2899999999991</v>
      </c>
      <c r="CK625" s="55">
        <v>-129.02500000000146</v>
      </c>
      <c r="CL625" s="55">
        <v>-5347.8895000000011</v>
      </c>
      <c r="CM625" s="55">
        <v>-1683.6479999999974</v>
      </c>
      <c r="CN625" s="55">
        <v>-1220.6324999999997</v>
      </c>
      <c r="CO625" s="55">
        <v>-2394.5274999999965</v>
      </c>
      <c r="CP625" s="55">
        <v>-3634.8275000000031</v>
      </c>
      <c r="CQ625" s="55">
        <v>-6281.8100000000049</v>
      </c>
      <c r="CR625" s="55">
        <v>-6424.9149999999936</v>
      </c>
      <c r="CS625" s="55">
        <v>-2262.6449999999968</v>
      </c>
      <c r="CT625" s="55">
        <v>614.25</v>
      </c>
      <c r="CU625" s="55">
        <v>-229.53000000000611</v>
      </c>
      <c r="CV625" s="55">
        <v>448.13999999999942</v>
      </c>
      <c r="CW625" s="55">
        <v>-4957.2599999999948</v>
      </c>
      <c r="CX625" s="55">
        <v>799.5399999999936</v>
      </c>
      <c r="CY625" s="56">
        <v>48.510000000002037</v>
      </c>
      <c r="CZ625" s="55">
        <v>-1796.5346824715089</v>
      </c>
      <c r="DA625" s="55">
        <v>-1891.1076147147469</v>
      </c>
      <c r="DB625" s="55">
        <v>-1878.479243494563</v>
      </c>
      <c r="DC625" s="55">
        <v>-2083.1723894816241</v>
      </c>
      <c r="DD625" s="55">
        <v>-2167.1587398863194</v>
      </c>
      <c r="DE625" s="55">
        <v>-2254.4735262182803</v>
      </c>
      <c r="DF625" s="55">
        <v>-5997.1162621685653</v>
      </c>
      <c r="DG625" s="55">
        <v>907.03988837117504</v>
      </c>
      <c r="DH625" s="55">
        <v>-2753.207856536319</v>
      </c>
      <c r="DI625" s="55">
        <v>-2865.460545503578</v>
      </c>
    </row>
    <row r="626" spans="1:113" outlineLevel="1">
      <c r="A626" s="1" t="s">
        <v>22</v>
      </c>
      <c r="B626" s="19" t="s">
        <v>542</v>
      </c>
      <c r="C626" s="55" t="e">
        <v>#VALUE!</v>
      </c>
      <c r="D626" s="55">
        <v>-224</v>
      </c>
      <c r="E626" s="55">
        <v>-335</v>
      </c>
      <c r="F626" s="55">
        <v>-326</v>
      </c>
      <c r="G626" s="55">
        <v>519</v>
      </c>
      <c r="H626" s="55">
        <v>-47</v>
      </c>
      <c r="I626" s="55">
        <v>-305</v>
      </c>
      <c r="J626" s="55">
        <v>763</v>
      </c>
      <c r="K626" s="55">
        <v>255</v>
      </c>
      <c r="L626" s="55">
        <v>0</v>
      </c>
      <c r="M626" s="55">
        <v>0</v>
      </c>
      <c r="N626" s="55">
        <v>1910</v>
      </c>
      <c r="O626" s="55">
        <v>0</v>
      </c>
      <c r="P626" s="55">
        <v>-296</v>
      </c>
      <c r="Q626" s="55">
        <v>-80</v>
      </c>
      <c r="R626" s="55">
        <v>-143</v>
      </c>
      <c r="S626" s="55">
        <v>-10</v>
      </c>
      <c r="T626" s="55">
        <v>-71</v>
      </c>
      <c r="U626" s="55">
        <v>-278</v>
      </c>
      <c r="V626" s="55">
        <v>-183</v>
      </c>
      <c r="W626" s="55">
        <v>10</v>
      </c>
      <c r="X626" s="55">
        <v>-260</v>
      </c>
      <c r="Y626" s="55">
        <v>-196</v>
      </c>
      <c r="Z626" s="55">
        <v>-116</v>
      </c>
      <c r="AA626" s="55">
        <v>-670</v>
      </c>
      <c r="AB626" s="55">
        <v>-149</v>
      </c>
      <c r="AC626" s="55">
        <v>103</v>
      </c>
      <c r="AD626" s="55">
        <v>-97</v>
      </c>
      <c r="AE626" s="55">
        <v>-550</v>
      </c>
      <c r="AF626" s="55">
        <v>248</v>
      </c>
      <c r="AG626" s="55">
        <v>269</v>
      </c>
      <c r="AH626" s="55">
        <v>-420</v>
      </c>
      <c r="AI626" s="55">
        <v>-1073</v>
      </c>
      <c r="AJ626" s="55">
        <v>-200</v>
      </c>
      <c r="AK626" s="55">
        <v>-406</v>
      </c>
      <c r="AL626" s="55">
        <v>495</v>
      </c>
      <c r="AM626" s="55">
        <v>-22</v>
      </c>
      <c r="AN626" s="55">
        <v>400</v>
      </c>
      <c r="AO626" s="55">
        <v>1189</v>
      </c>
      <c r="AP626" s="55">
        <v>705</v>
      </c>
      <c r="AQ626" s="55">
        <v>18</v>
      </c>
      <c r="AR626" s="55">
        <v>689</v>
      </c>
      <c r="AS626" s="55">
        <v>-31</v>
      </c>
      <c r="AT626" s="55">
        <v>256</v>
      </c>
      <c r="AU626" s="55">
        <v>-17</v>
      </c>
      <c r="AV626" s="55">
        <v>0</v>
      </c>
      <c r="AW626" s="56">
        <v>-9</v>
      </c>
      <c r="AX626" s="55">
        <v>0</v>
      </c>
      <c r="AY626" s="55">
        <v>0</v>
      </c>
      <c r="AZ626" s="55">
        <v>0</v>
      </c>
      <c r="BA626" s="55">
        <v>0</v>
      </c>
      <c r="BB626" s="55">
        <v>0</v>
      </c>
      <c r="BC626" s="55">
        <v>0</v>
      </c>
      <c r="BD626" s="55">
        <v>0</v>
      </c>
      <c r="BE626" s="55">
        <v>0</v>
      </c>
      <c r="BF626" s="55">
        <v>0</v>
      </c>
      <c r="BG626" s="55">
        <v>0</v>
      </c>
      <c r="BH626" s="55">
        <v>0</v>
      </c>
      <c r="BI626" s="55">
        <v>0</v>
      </c>
      <c r="BJ626" s="55">
        <v>0</v>
      </c>
      <c r="BK626" s="55">
        <v>0</v>
      </c>
      <c r="BL626" s="55">
        <v>0</v>
      </c>
      <c r="BM626" s="55">
        <v>0</v>
      </c>
      <c r="BN626" s="55">
        <v>0</v>
      </c>
      <c r="BO626" s="55">
        <v>0</v>
      </c>
      <c r="BP626" s="55">
        <v>0</v>
      </c>
      <c r="BQ626" s="55">
        <v>0</v>
      </c>
      <c r="BR626" s="55"/>
      <c r="BS626" s="55">
        <v>0</v>
      </c>
      <c r="BT626" s="55">
        <v>0</v>
      </c>
      <c r="BU626" s="55">
        <v>0</v>
      </c>
      <c r="BV626" s="55">
        <v>0</v>
      </c>
      <c r="BW626" s="55">
        <v>0</v>
      </c>
      <c r="BX626" s="55">
        <v>0</v>
      </c>
      <c r="BY626" s="55">
        <v>0</v>
      </c>
      <c r="BZ626" s="55">
        <v>0</v>
      </c>
      <c r="CA626" s="55">
        <v>-588</v>
      </c>
      <c r="CB626" s="55">
        <v>-870</v>
      </c>
      <c r="CC626" s="55">
        <v>-559</v>
      </c>
      <c r="CD626" s="55">
        <v>193</v>
      </c>
      <c r="CE626" s="55">
        <v>-352</v>
      </c>
      <c r="CF626" s="55">
        <v>1018</v>
      </c>
      <c r="CG626" s="55">
        <v>0</v>
      </c>
      <c r="CH626" s="55">
        <v>1910</v>
      </c>
      <c r="CI626" s="55">
        <v>-376</v>
      </c>
      <c r="CJ626" s="55">
        <v>-153</v>
      </c>
      <c r="CK626" s="55">
        <v>-349</v>
      </c>
      <c r="CL626" s="55">
        <v>-173</v>
      </c>
      <c r="CM626" s="55">
        <v>-456</v>
      </c>
      <c r="CN626" s="55">
        <v>-786</v>
      </c>
      <c r="CO626" s="55">
        <v>-46</v>
      </c>
      <c r="CP626" s="55">
        <v>-647</v>
      </c>
      <c r="CQ626" s="55">
        <v>517</v>
      </c>
      <c r="CR626" s="55">
        <v>-1493</v>
      </c>
      <c r="CS626" s="55">
        <v>-606</v>
      </c>
      <c r="CT626" s="55">
        <v>473</v>
      </c>
      <c r="CU626" s="55">
        <v>1589</v>
      </c>
      <c r="CV626" s="55">
        <v>723</v>
      </c>
      <c r="CW626" s="55">
        <v>658</v>
      </c>
      <c r="CX626" s="55">
        <v>239</v>
      </c>
      <c r="CY626" s="56">
        <v>-9</v>
      </c>
      <c r="CZ626" s="55">
        <v>0</v>
      </c>
      <c r="DA626" s="55">
        <v>0</v>
      </c>
      <c r="DB626" s="55">
        <v>0</v>
      </c>
      <c r="DC626" s="55">
        <v>0</v>
      </c>
      <c r="DD626" s="55">
        <v>0</v>
      </c>
      <c r="DE626" s="55">
        <v>0</v>
      </c>
      <c r="DF626" s="55">
        <v>0</v>
      </c>
      <c r="DG626" s="55">
        <v>0</v>
      </c>
      <c r="DH626" s="55">
        <v>0</v>
      </c>
      <c r="DI626" s="55">
        <v>0</v>
      </c>
    </row>
    <row r="627" spans="1:113" outlineLevel="1">
      <c r="A627" s="1" t="s">
        <v>23</v>
      </c>
      <c r="B627" s="19" t="s">
        <v>781</v>
      </c>
      <c r="C627" s="55" t="e">
        <v>#VALUE!</v>
      </c>
      <c r="D627" s="55">
        <v>-170</v>
      </c>
      <c r="E627" s="55">
        <v>-300</v>
      </c>
      <c r="F627" s="55">
        <v>467</v>
      </c>
      <c r="G627" s="55">
        <v>-177</v>
      </c>
      <c r="H627" s="55">
        <v>-306</v>
      </c>
      <c r="I627" s="55">
        <v>-30</v>
      </c>
      <c r="J627" s="55">
        <v>-133</v>
      </c>
      <c r="K627" s="55">
        <v>-318</v>
      </c>
      <c r="L627" s="55">
        <v>-41</v>
      </c>
      <c r="M627" s="55">
        <v>-81</v>
      </c>
      <c r="N627" s="55">
        <v>1858</v>
      </c>
      <c r="O627" s="55">
        <v>-36</v>
      </c>
      <c r="P627" s="55">
        <v>-427</v>
      </c>
      <c r="Q627" s="55">
        <v>11</v>
      </c>
      <c r="R627" s="55">
        <v>-97</v>
      </c>
      <c r="S627" s="55">
        <v>-1056</v>
      </c>
      <c r="T627" s="55">
        <v>96</v>
      </c>
      <c r="U627" s="55">
        <v>-514</v>
      </c>
      <c r="V627" s="55">
        <v>-338</v>
      </c>
      <c r="W627" s="55">
        <v>-279</v>
      </c>
      <c r="X627" s="55">
        <v>-342</v>
      </c>
      <c r="Y627" s="55">
        <v>-316</v>
      </c>
      <c r="Z627" s="55">
        <v>-159</v>
      </c>
      <c r="AA627" s="55">
        <v>15</v>
      </c>
      <c r="AB627" s="55">
        <v>-23</v>
      </c>
      <c r="AC627" s="55">
        <v>545</v>
      </c>
      <c r="AD627" s="55">
        <v>-153</v>
      </c>
      <c r="AE627" s="55">
        <v>-58</v>
      </c>
      <c r="AF627" s="55">
        <v>-224</v>
      </c>
      <c r="AG627" s="55">
        <v>-62</v>
      </c>
      <c r="AH627" s="55">
        <v>176</v>
      </c>
      <c r="AI627" s="55">
        <v>23</v>
      </c>
      <c r="AJ627" s="55">
        <v>-566</v>
      </c>
      <c r="AK627" s="55">
        <v>102</v>
      </c>
      <c r="AL627" s="55">
        <v>364</v>
      </c>
      <c r="AM627" s="55">
        <v>-47</v>
      </c>
      <c r="AN627" s="55">
        <v>3688</v>
      </c>
      <c r="AO627" s="55">
        <v>608</v>
      </c>
      <c r="AP627" s="55">
        <v>908</v>
      </c>
      <c r="AQ627" s="55">
        <v>467</v>
      </c>
      <c r="AR627" s="55">
        <v>1422</v>
      </c>
      <c r="AS627" s="55">
        <v>350</v>
      </c>
      <c r="AT627" s="55">
        <v>-221</v>
      </c>
      <c r="AU627" s="55">
        <v>-330</v>
      </c>
      <c r="AV627" s="55">
        <v>-383</v>
      </c>
      <c r="AW627" s="56">
        <v>-277</v>
      </c>
      <c r="AX627" s="55">
        <v>-87.650474930489509</v>
      </c>
      <c r="AY627" s="55">
        <v>-85.262397331023749</v>
      </c>
      <c r="AZ627" s="55">
        <v>-64.40726847348833</v>
      </c>
      <c r="BA627" s="55">
        <v>-71.762321603266173</v>
      </c>
      <c r="BB627" s="55">
        <v>-52.83516868245988</v>
      </c>
      <c r="BC627" s="55">
        <v>-62.570774907315354</v>
      </c>
      <c r="BD627" s="55">
        <v>-45.948576885719376</v>
      </c>
      <c r="BE627" s="55">
        <v>-52.259805422773752</v>
      </c>
      <c r="BF627" s="55">
        <v>-37.237469004424383</v>
      </c>
      <c r="BG627" s="55">
        <v>-50.527188640709028</v>
      </c>
      <c r="BH627" s="55">
        <v>-35.990966378650228</v>
      </c>
      <c r="BI627" s="55">
        <v>-52.421894780043658</v>
      </c>
      <c r="BJ627" s="55">
        <v>-37.669010889794663</v>
      </c>
      <c r="BK627" s="55">
        <v>-54.577806467006667</v>
      </c>
      <c r="BL627" s="55">
        <v>-41.664986304045669</v>
      </c>
      <c r="BM627" s="55">
        <v>-54.91111741723762</v>
      </c>
      <c r="BN627" s="55">
        <v>-44.234482985088107</v>
      </c>
      <c r="BO627" s="55">
        <v>-58.401589183307806</v>
      </c>
      <c r="BP627" s="55">
        <v>-39.926092912764943</v>
      </c>
      <c r="BQ627" s="55">
        <v>-56.603627211905405</v>
      </c>
      <c r="BR627" s="55"/>
      <c r="BS627" s="55">
        <v>-731.6</v>
      </c>
      <c r="BT627" s="55">
        <v>45.200000000000045</v>
      </c>
      <c r="BU627" s="55">
        <v>39.199999999999932</v>
      </c>
      <c r="BV627" s="55">
        <v>39.200000000000045</v>
      </c>
      <c r="BW627" s="55">
        <v>34</v>
      </c>
      <c r="BX627" s="55">
        <v>-43</v>
      </c>
      <c r="BY627" s="55">
        <v>-3</v>
      </c>
      <c r="BZ627" s="55">
        <v>-7</v>
      </c>
      <c r="CA627" s="55">
        <v>-8035</v>
      </c>
      <c r="CB627" s="55">
        <v>-1135</v>
      </c>
      <c r="CC627" s="55">
        <v>-470</v>
      </c>
      <c r="CD627" s="55">
        <v>290</v>
      </c>
      <c r="CE627" s="55">
        <v>-336</v>
      </c>
      <c r="CF627" s="55">
        <v>-451</v>
      </c>
      <c r="CG627" s="55">
        <v>-122</v>
      </c>
      <c r="CH627" s="55">
        <v>1822</v>
      </c>
      <c r="CI627" s="55">
        <v>-416</v>
      </c>
      <c r="CJ627" s="55">
        <v>-1153</v>
      </c>
      <c r="CK627" s="55">
        <v>-418</v>
      </c>
      <c r="CL627" s="55">
        <v>-617</v>
      </c>
      <c r="CM627" s="55">
        <v>-658</v>
      </c>
      <c r="CN627" s="55">
        <v>-144</v>
      </c>
      <c r="CO627" s="55">
        <v>522</v>
      </c>
      <c r="CP627" s="55">
        <v>-211</v>
      </c>
      <c r="CQ627" s="55">
        <v>-286</v>
      </c>
      <c r="CR627" s="55">
        <v>199</v>
      </c>
      <c r="CS627" s="55">
        <v>-464</v>
      </c>
      <c r="CT627" s="55">
        <v>317</v>
      </c>
      <c r="CU627" s="55">
        <v>4296</v>
      </c>
      <c r="CV627" s="55">
        <v>1375</v>
      </c>
      <c r="CW627" s="55">
        <v>1772</v>
      </c>
      <c r="CX627" s="55">
        <v>-551</v>
      </c>
      <c r="CY627" s="56">
        <v>-660</v>
      </c>
      <c r="CZ627" s="55">
        <v>-172.91287226151326</v>
      </c>
      <c r="DA627" s="55">
        <v>-136.1695900767545</v>
      </c>
      <c r="DB627" s="55">
        <v>-115.40594358977523</v>
      </c>
      <c r="DC627" s="55">
        <v>-98.208382308493128</v>
      </c>
      <c r="DD627" s="55">
        <v>-87.764657645133411</v>
      </c>
      <c r="DE627" s="55">
        <v>-88.412861158693886</v>
      </c>
      <c r="DF627" s="55">
        <v>-92.24681735680133</v>
      </c>
      <c r="DG627" s="55">
        <v>-96.576103721283289</v>
      </c>
      <c r="DH627" s="55">
        <v>-102.63607216839591</v>
      </c>
      <c r="DI627" s="55">
        <v>-96.529720124670348</v>
      </c>
    </row>
    <row r="628" spans="1:113" outlineLevel="1">
      <c r="A628" s="1" t="s">
        <v>24</v>
      </c>
      <c r="B628" s="19" t="s">
        <v>782</v>
      </c>
      <c r="C628" s="55" t="e">
        <v>#VALUE!</v>
      </c>
      <c r="D628" s="55">
        <v>224</v>
      </c>
      <c r="E628" s="55">
        <v>438</v>
      </c>
      <c r="F628" s="55">
        <v>379</v>
      </c>
      <c r="G628" s="55">
        <v>-396</v>
      </c>
      <c r="H628" s="55">
        <v>-448</v>
      </c>
      <c r="I628" s="55">
        <v>-505</v>
      </c>
      <c r="J628" s="55">
        <v>2430</v>
      </c>
      <c r="K628" s="55">
        <v>221</v>
      </c>
      <c r="L628" s="55">
        <v>2438</v>
      </c>
      <c r="M628" s="55">
        <v>-1326</v>
      </c>
      <c r="N628" s="55">
        <v>-4016</v>
      </c>
      <c r="O628" s="55">
        <v>-286</v>
      </c>
      <c r="P628" s="55">
        <v>-2574</v>
      </c>
      <c r="Q628" s="55">
        <v>591</v>
      </c>
      <c r="R628" s="55">
        <v>-832</v>
      </c>
      <c r="S628" s="55">
        <v>2038</v>
      </c>
      <c r="T628" s="55">
        <v>51</v>
      </c>
      <c r="U628" s="55">
        <v>-1169</v>
      </c>
      <c r="V628" s="55">
        <v>928</v>
      </c>
      <c r="W628" s="55">
        <v>-362</v>
      </c>
      <c r="X628" s="55">
        <v>-407</v>
      </c>
      <c r="Y628" s="55">
        <v>-445</v>
      </c>
      <c r="Z628" s="55">
        <v>-687</v>
      </c>
      <c r="AA628" s="55">
        <v>-2210</v>
      </c>
      <c r="AB628" s="55">
        <v>116</v>
      </c>
      <c r="AC628" s="55">
        <v>-112</v>
      </c>
      <c r="AD628" s="55">
        <v>-329</v>
      </c>
      <c r="AE628" s="55">
        <v>-521</v>
      </c>
      <c r="AF628" s="55">
        <v>-70</v>
      </c>
      <c r="AG628" s="55">
        <v>-640</v>
      </c>
      <c r="AH628" s="55">
        <v>703</v>
      </c>
      <c r="AI628" s="55">
        <v>34</v>
      </c>
      <c r="AJ628" s="55">
        <v>59</v>
      </c>
      <c r="AK628" s="55">
        <v>-953</v>
      </c>
      <c r="AL628" s="55">
        <v>-191</v>
      </c>
      <c r="AM628" s="55">
        <v>-1125</v>
      </c>
      <c r="AN628" s="55">
        <v>84</v>
      </c>
      <c r="AO628" s="55">
        <v>-1917</v>
      </c>
      <c r="AP628" s="55">
        <v>809</v>
      </c>
      <c r="AQ628" s="55">
        <v>-2044</v>
      </c>
      <c r="AR628" s="55">
        <v>-404</v>
      </c>
      <c r="AS628" s="55">
        <v>3104</v>
      </c>
      <c r="AT628" s="55">
        <v>771</v>
      </c>
      <c r="AU628" s="55">
        <v>-370</v>
      </c>
      <c r="AV628" s="55">
        <v>143</v>
      </c>
      <c r="AW628" s="56">
        <v>310</v>
      </c>
      <c r="AX628" s="55">
        <v>0</v>
      </c>
      <c r="AY628" s="55">
        <v>0</v>
      </c>
      <c r="AZ628" s="55">
        <v>0</v>
      </c>
      <c r="BA628" s="55">
        <v>0</v>
      </c>
      <c r="BB628" s="55">
        <v>0</v>
      </c>
      <c r="BC628" s="55">
        <v>0</v>
      </c>
      <c r="BD628" s="55">
        <v>0</v>
      </c>
      <c r="BE628" s="55">
        <v>0</v>
      </c>
      <c r="BF628" s="55">
        <v>0</v>
      </c>
      <c r="BG628" s="55">
        <v>0</v>
      </c>
      <c r="BH628" s="55">
        <v>0</v>
      </c>
      <c r="BI628" s="55">
        <v>0</v>
      </c>
      <c r="BJ628" s="55">
        <v>0</v>
      </c>
      <c r="BK628" s="55">
        <v>0</v>
      </c>
      <c r="BL628" s="55">
        <v>0</v>
      </c>
      <c r="BM628" s="55">
        <v>0</v>
      </c>
      <c r="BN628" s="55">
        <v>0</v>
      </c>
      <c r="BO628" s="55">
        <v>0</v>
      </c>
      <c r="BP628" s="55">
        <v>0</v>
      </c>
      <c r="BQ628" s="55">
        <v>0</v>
      </c>
      <c r="BR628" s="55"/>
      <c r="BS628" s="55">
        <v>52</v>
      </c>
      <c r="BT628" s="55">
        <v>11.200000000000003</v>
      </c>
      <c r="BU628" s="55">
        <v>42.7</v>
      </c>
      <c r="BV628" s="55">
        <v>20.799999999999997</v>
      </c>
      <c r="BW628" s="55">
        <v>7.2999999999999972</v>
      </c>
      <c r="BX628" s="55">
        <v>-11</v>
      </c>
      <c r="BY628" s="55">
        <v>7</v>
      </c>
      <c r="BZ628" s="55">
        <v>9</v>
      </c>
      <c r="CA628" s="55">
        <v>769</v>
      </c>
      <c r="CB628" s="55">
        <v>-114</v>
      </c>
      <c r="CC628" s="55">
        <v>662</v>
      </c>
      <c r="CD628" s="55">
        <v>-17</v>
      </c>
      <c r="CE628" s="55">
        <v>-953</v>
      </c>
      <c r="CF628" s="55">
        <v>2651</v>
      </c>
      <c r="CG628" s="55">
        <v>1112</v>
      </c>
      <c r="CH628" s="55">
        <v>-4302</v>
      </c>
      <c r="CI628" s="55">
        <v>-1983</v>
      </c>
      <c r="CJ628" s="55">
        <v>1206</v>
      </c>
      <c r="CK628" s="55">
        <v>-1118</v>
      </c>
      <c r="CL628" s="55">
        <v>566</v>
      </c>
      <c r="CM628" s="55">
        <v>-852</v>
      </c>
      <c r="CN628" s="55">
        <v>-2897</v>
      </c>
      <c r="CO628" s="55">
        <v>4</v>
      </c>
      <c r="CP628" s="55">
        <v>-850</v>
      </c>
      <c r="CQ628" s="55">
        <v>-710</v>
      </c>
      <c r="CR628" s="55">
        <v>737</v>
      </c>
      <c r="CS628" s="55">
        <v>-894</v>
      </c>
      <c r="CT628" s="55">
        <v>-1316</v>
      </c>
      <c r="CU628" s="55">
        <v>-1833</v>
      </c>
      <c r="CV628" s="55">
        <v>-1235</v>
      </c>
      <c r="CW628" s="55">
        <v>2700</v>
      </c>
      <c r="CX628" s="55">
        <v>401</v>
      </c>
      <c r="CY628" s="56">
        <v>453</v>
      </c>
      <c r="CZ628" s="55">
        <v>0</v>
      </c>
      <c r="DA628" s="55">
        <v>0</v>
      </c>
      <c r="DB628" s="55">
        <v>0</v>
      </c>
      <c r="DC628" s="55">
        <v>0</v>
      </c>
      <c r="DD628" s="55">
        <v>0</v>
      </c>
      <c r="DE628" s="55">
        <v>0</v>
      </c>
      <c r="DF628" s="55">
        <v>0</v>
      </c>
      <c r="DG628" s="55">
        <v>0</v>
      </c>
      <c r="DH628" s="55">
        <v>0</v>
      </c>
      <c r="DI628" s="55">
        <v>0</v>
      </c>
    </row>
    <row r="629" spans="1:113" s="24" customFormat="1" outlineLevel="1">
      <c r="A629" s="1" t="s">
        <v>893</v>
      </c>
      <c r="B629" s="24" t="s">
        <v>783</v>
      </c>
      <c r="C629" s="82" t="e">
        <v>#VALUE!</v>
      </c>
      <c r="D629" s="82">
        <v>1062.6000000000004</v>
      </c>
      <c r="E629" s="82">
        <v>1177.0999999999995</v>
      </c>
      <c r="F629" s="82">
        <v>2543.9000000000005</v>
      </c>
      <c r="G629" s="82">
        <v>1231.1499999999996</v>
      </c>
      <c r="H629" s="82">
        <v>-104.14999999999964</v>
      </c>
      <c r="I629" s="82">
        <v>-236.50000000000091</v>
      </c>
      <c r="J629" s="82">
        <v>1159.3500000000004</v>
      </c>
      <c r="K629" s="82">
        <v>1565.75</v>
      </c>
      <c r="L629" s="82">
        <v>2752.6000000000004</v>
      </c>
      <c r="M629" s="82">
        <v>960.44999999999891</v>
      </c>
      <c r="N629" s="82">
        <v>1466.4500000000007</v>
      </c>
      <c r="O629" s="82">
        <v>1907.1000000000004</v>
      </c>
      <c r="P629" s="82">
        <v>1351.9499999999989</v>
      </c>
      <c r="Q629" s="82">
        <v>1709.3500000000004</v>
      </c>
      <c r="R629" s="82">
        <v>-5158.7349999999988</v>
      </c>
      <c r="S629" s="82">
        <v>-103.55500000000029</v>
      </c>
      <c r="T629" s="82">
        <v>2543.1549999999988</v>
      </c>
      <c r="U629" s="82">
        <v>1938.8199999999997</v>
      </c>
      <c r="V629" s="82">
        <v>3430.7700000000004</v>
      </c>
      <c r="W629" s="82">
        <v>-2695.6595000000016</v>
      </c>
      <c r="X629" s="82">
        <v>584.64700000000084</v>
      </c>
      <c r="Y629" s="82">
        <v>3758.7050000000017</v>
      </c>
      <c r="Z629" s="82">
        <v>3528.4860000000008</v>
      </c>
      <c r="AA629" s="82">
        <v>326.88149999999951</v>
      </c>
      <c r="AB629" s="82">
        <v>2645.2975000000006</v>
      </c>
      <c r="AC629" s="82">
        <v>4809.1750000000029</v>
      </c>
      <c r="AD629" s="82">
        <v>2482.7424999999967</v>
      </c>
      <c r="AE629" s="82">
        <v>2041.4300000000003</v>
      </c>
      <c r="AF629" s="82">
        <v>-390.31000000000495</v>
      </c>
      <c r="AG629" s="82">
        <v>3136.5</v>
      </c>
      <c r="AH629" s="82">
        <v>702.59999999999854</v>
      </c>
      <c r="AI629" s="82">
        <v>1462.4850000000079</v>
      </c>
      <c r="AJ629" s="82">
        <v>3691.8349999999991</v>
      </c>
      <c r="AK629" s="82">
        <v>1735.5200000000041</v>
      </c>
      <c r="AL629" s="82">
        <v>6287.1399999999994</v>
      </c>
      <c r="AM629" s="82">
        <v>3082.1100000000006</v>
      </c>
      <c r="AN629" s="82">
        <v>8480.8399999999965</v>
      </c>
      <c r="AO629" s="82">
        <v>3124.6299999999974</v>
      </c>
      <c r="AP629" s="82">
        <v>6112.8600000000006</v>
      </c>
      <c r="AQ629" s="82">
        <v>4730.2799999999988</v>
      </c>
      <c r="AR629" s="82">
        <v>3946.0650000000023</v>
      </c>
      <c r="AS629" s="82">
        <v>2289.6750000000029</v>
      </c>
      <c r="AT629" s="82">
        <v>4749.7599999999948</v>
      </c>
      <c r="AU629" s="82">
        <v>5585.7799999999988</v>
      </c>
      <c r="AV629" s="82">
        <v>4977.2799999999988</v>
      </c>
      <c r="AW629" s="83">
        <v>3758.2300000000032</v>
      </c>
      <c r="AX629" s="82">
        <v>3964.8573079138432</v>
      </c>
      <c r="AY629" s="82">
        <v>3726.1103379501019</v>
      </c>
      <c r="AZ629" s="82">
        <v>3569.8017144779615</v>
      </c>
      <c r="BA629" s="82">
        <v>3661.9549556122856</v>
      </c>
      <c r="BB629" s="82">
        <v>3776.5342711260964</v>
      </c>
      <c r="BC629" s="82">
        <v>3706.9734629074392</v>
      </c>
      <c r="BD629" s="82">
        <v>3868.0304439002457</v>
      </c>
      <c r="BE629" s="82">
        <v>3837.4708176832473</v>
      </c>
      <c r="BF629" s="82">
        <v>3976.4718089773196</v>
      </c>
      <c r="BG629" s="82">
        <v>3868.5659431853628</v>
      </c>
      <c r="BH629" s="82">
        <v>4058.524461342181</v>
      </c>
      <c r="BI629" s="82">
        <v>3994.7765957819765</v>
      </c>
      <c r="BJ629" s="82">
        <v>1714.8464944373645</v>
      </c>
      <c r="BK629" s="82">
        <v>943.2242404775061</v>
      </c>
      <c r="BL629" s="82">
        <v>4648.8042699777616</v>
      </c>
      <c r="BM629" s="82">
        <v>5353.2300576146681</v>
      </c>
      <c r="BN629" s="82">
        <v>4263.0918678761091</v>
      </c>
      <c r="BO629" s="82">
        <v>4226.9728018435135</v>
      </c>
      <c r="BP629" s="82">
        <v>4483.9949920537638</v>
      </c>
      <c r="BQ629" s="82">
        <v>4445.6967726543016</v>
      </c>
      <c r="BR629" s="82"/>
      <c r="BS629" s="82">
        <v>3054.1550000000007</v>
      </c>
      <c r="BT629" s="82">
        <v>714.25499999999954</v>
      </c>
      <c r="BU629" s="82">
        <v>1002.0900000000006</v>
      </c>
      <c r="BV629" s="82">
        <v>977.94999999999982</v>
      </c>
      <c r="BW629" s="82">
        <v>1103.8499999999997</v>
      </c>
      <c r="BX629" s="82">
        <v>168.89999999999964</v>
      </c>
      <c r="BY629" s="82">
        <v>512.85000000000036</v>
      </c>
      <c r="BZ629" s="82">
        <v>-721.25</v>
      </c>
      <c r="CA629" s="82">
        <v>-6260.4000000000005</v>
      </c>
      <c r="CB629" s="82">
        <v>-711.94999999999982</v>
      </c>
      <c r="CC629" s="82">
        <v>2239.6999999999998</v>
      </c>
      <c r="CD629" s="82">
        <v>3775.05</v>
      </c>
      <c r="CE629" s="82">
        <v>-340.65000000000055</v>
      </c>
      <c r="CF629" s="82">
        <v>2725.1000000000004</v>
      </c>
      <c r="CG629" s="82">
        <v>3713.0499999999993</v>
      </c>
      <c r="CH629" s="82">
        <v>3373.5500000000011</v>
      </c>
      <c r="CI629" s="82">
        <v>3061.2999999999993</v>
      </c>
      <c r="CJ629" s="82">
        <v>-5262.2899999999991</v>
      </c>
      <c r="CK629" s="82">
        <v>4481.9749999999985</v>
      </c>
      <c r="CL629" s="82">
        <v>735.11049999999886</v>
      </c>
      <c r="CM629" s="82">
        <v>4343.3520000000026</v>
      </c>
      <c r="CN629" s="82">
        <v>3855.3675000000003</v>
      </c>
      <c r="CO629" s="82">
        <v>7454.4725000000035</v>
      </c>
      <c r="CP629" s="82">
        <v>4524.1724999999969</v>
      </c>
      <c r="CQ629" s="82">
        <v>2746.1899999999951</v>
      </c>
      <c r="CR629" s="82">
        <v>2165.0850000000064</v>
      </c>
      <c r="CS629" s="82">
        <v>5427.3550000000032</v>
      </c>
      <c r="CT629" s="82">
        <v>9369.2499999999964</v>
      </c>
      <c r="CU629" s="82">
        <v>11605.469999999994</v>
      </c>
      <c r="CV629" s="82">
        <v>10843.14</v>
      </c>
      <c r="CW629" s="82">
        <v>6235.7400000000052</v>
      </c>
      <c r="CX629" s="82">
        <v>10335.539999999994</v>
      </c>
      <c r="CY629" s="83">
        <v>8735.510000000002</v>
      </c>
      <c r="CZ629" s="82">
        <v>7690.9676458639424</v>
      </c>
      <c r="DA629" s="82">
        <v>7231.7566700902507</v>
      </c>
      <c r="DB629" s="82">
        <v>7483.5077340335365</v>
      </c>
      <c r="DC629" s="82">
        <v>7705.5012615834921</v>
      </c>
      <c r="DD629" s="82">
        <v>7845.0377521626833</v>
      </c>
      <c r="DE629" s="82">
        <v>8053.3010571241566</v>
      </c>
      <c r="DF629" s="82">
        <v>2658.0707349148724</v>
      </c>
      <c r="DG629" s="82">
        <v>10002.034327592432</v>
      </c>
      <c r="DH629" s="82">
        <v>8490.0646697196244</v>
      </c>
      <c r="DI629" s="82">
        <v>8929.6917647080627</v>
      </c>
    </row>
    <row r="630" spans="1:113" outlineLevel="1">
      <c r="A630" s="1" t="s">
        <v>25</v>
      </c>
      <c r="B630" s="19" t="s">
        <v>784</v>
      </c>
      <c r="C630" s="55" t="e">
        <v>#VALUE!</v>
      </c>
      <c r="D630" s="55">
        <v>-329.60000000000036</v>
      </c>
      <c r="E630" s="55">
        <v>-130.09999999999945</v>
      </c>
      <c r="F630" s="55">
        <v>-451.90000000000055</v>
      </c>
      <c r="G630" s="55">
        <v>23.850000000000364</v>
      </c>
      <c r="H630" s="55">
        <v>932.14999999999964</v>
      </c>
      <c r="I630" s="55">
        <v>951.50000000000091</v>
      </c>
      <c r="J630" s="55">
        <v>-371.35000000000036</v>
      </c>
      <c r="K630" s="55">
        <v>-203.75</v>
      </c>
      <c r="L630" s="55">
        <v>-1801.6000000000004</v>
      </c>
      <c r="M630" s="55">
        <v>987.55000000000109</v>
      </c>
      <c r="N630" s="55">
        <v>-386.45000000000073</v>
      </c>
      <c r="O630" s="55">
        <v>-486.10000000000036</v>
      </c>
      <c r="P630" s="55">
        <v>-715.94999999999891</v>
      </c>
      <c r="Q630" s="55">
        <v>-80.350000000000364</v>
      </c>
      <c r="R630" s="55">
        <v>2160.7349999999988</v>
      </c>
      <c r="S630" s="55">
        <v>582.55500000000029</v>
      </c>
      <c r="T630" s="55">
        <v>-1389.1549999999988</v>
      </c>
      <c r="U630" s="55">
        <v>-78.819999999999709</v>
      </c>
      <c r="V630" s="55">
        <v>-1390.7700000000004</v>
      </c>
      <c r="W630" s="55">
        <v>5113.6595000000016</v>
      </c>
      <c r="X630" s="55">
        <v>747.35299999999916</v>
      </c>
      <c r="Y630" s="55">
        <v>-1152.7050000000017</v>
      </c>
      <c r="Z630" s="55">
        <v>-1818.4860000000008</v>
      </c>
      <c r="AA630" s="55">
        <v>-326.88149999999951</v>
      </c>
      <c r="AB630" s="55">
        <v>578.70249999999942</v>
      </c>
      <c r="AC630" s="55">
        <v>-2566.1750000000029</v>
      </c>
      <c r="AD630" s="55">
        <v>1051.2575000000033</v>
      </c>
      <c r="AE630" s="55">
        <v>597.56999999999971</v>
      </c>
      <c r="AF630" s="55">
        <v>-1675.6899999999951</v>
      </c>
      <c r="AG630" s="55">
        <v>-307.5</v>
      </c>
      <c r="AH630" s="55">
        <v>2519.4000000000015</v>
      </c>
      <c r="AI630" s="55">
        <v>1409.5149999999921</v>
      </c>
      <c r="AJ630" s="55">
        <v>-1284.8349999999991</v>
      </c>
      <c r="AK630" s="55">
        <v>1236.4799999999959</v>
      </c>
      <c r="AL630" s="55">
        <v>-2970.1399999999994</v>
      </c>
      <c r="AM630" s="55">
        <v>458.88999999999942</v>
      </c>
      <c r="AN630" s="55">
        <v>-4391.8399999999965</v>
      </c>
      <c r="AO630" s="55">
        <v>415.37000000000262</v>
      </c>
      <c r="AP630" s="55">
        <v>-4641.8600000000006</v>
      </c>
      <c r="AQ630" s="55">
        <v>-2069.2799999999988</v>
      </c>
      <c r="AR630" s="55">
        <v>5602.9349999999977</v>
      </c>
      <c r="AS630" s="55">
        <v>1167.3249999999971</v>
      </c>
      <c r="AT630" s="55">
        <v>152.24000000000524</v>
      </c>
      <c r="AU630" s="55">
        <v>-837.77999999999884</v>
      </c>
      <c r="AV630" s="55">
        <v>-800.27999999999884</v>
      </c>
      <c r="AW630" s="56">
        <v>-30.230000000003201</v>
      </c>
      <c r="AX630" s="55">
        <v>574.42975232615572</v>
      </c>
      <c r="AY630" s="55">
        <v>222.02007035865245</v>
      </c>
      <c r="AZ630" s="55">
        <v>596.86555747480452</v>
      </c>
      <c r="BA630" s="55">
        <v>-78.621101732904208</v>
      </c>
      <c r="BB630" s="55">
        <v>390.13300082668138</v>
      </c>
      <c r="BC630" s="55">
        <v>-123.63960902805411</v>
      </c>
      <c r="BD630" s="55">
        <v>298.63682805252029</v>
      </c>
      <c r="BE630" s="55">
        <v>-254.1369638038741</v>
      </c>
      <c r="BF630" s="55">
        <v>190.19546297545457</v>
      </c>
      <c r="BG630" s="55">
        <v>-285.23208930598776</v>
      </c>
      <c r="BH630" s="55">
        <v>108.14281061059592</v>
      </c>
      <c r="BI630" s="55">
        <v>-261.44272011229623</v>
      </c>
      <c r="BJ630" s="55">
        <v>2518.4874538666481</v>
      </c>
      <c r="BK630" s="55">
        <v>2606.7762752262352</v>
      </c>
      <c r="BL630" s="55">
        <v>-1048.8037470105628</v>
      </c>
      <c r="BM630" s="55">
        <v>-1986.5629018768377</v>
      </c>
      <c r="BN630" s="55">
        <v>-479.75798494298942</v>
      </c>
      <c r="BO630" s="55">
        <v>23.027815548310173</v>
      </c>
      <c r="BP630" s="55">
        <v>349.33904341145535</v>
      </c>
      <c r="BQ630" s="55">
        <v>20.970542879076675</v>
      </c>
      <c r="BR630" s="55"/>
      <c r="BS630" s="55">
        <v>-1149.5549999999998</v>
      </c>
      <c r="BT630" s="55">
        <v>-408.55499999999984</v>
      </c>
      <c r="BU630" s="55">
        <v>-518.79000000000042</v>
      </c>
      <c r="BV630" s="55">
        <v>-490.94999999999982</v>
      </c>
      <c r="BW630" s="55">
        <v>-319.84999999999991</v>
      </c>
      <c r="BX630" s="55">
        <v>816.10000000000036</v>
      </c>
      <c r="BY630" s="55">
        <v>482.14999999999964</v>
      </c>
      <c r="BZ630" s="55">
        <v>184.25</v>
      </c>
      <c r="CA630" s="55">
        <v>-1370.5999999999995</v>
      </c>
      <c r="CB630" s="55">
        <v>2515.9499999999998</v>
      </c>
      <c r="CC630" s="55">
        <v>-459.69999999999982</v>
      </c>
      <c r="CD630" s="55">
        <v>-428.05000000000018</v>
      </c>
      <c r="CE630" s="55">
        <v>1883.6500000000005</v>
      </c>
      <c r="CF630" s="55">
        <v>-575.10000000000036</v>
      </c>
      <c r="CG630" s="55">
        <v>-814.04999999999927</v>
      </c>
      <c r="CH630" s="55">
        <v>-872.55000000000109</v>
      </c>
      <c r="CI630" s="55">
        <v>-796.29999999999927</v>
      </c>
      <c r="CJ630" s="55">
        <v>2743.2899999999991</v>
      </c>
      <c r="CK630" s="55">
        <v>-1467.9749999999985</v>
      </c>
      <c r="CL630" s="55">
        <v>3722.8895000000011</v>
      </c>
      <c r="CM630" s="55">
        <v>-405.35200000000259</v>
      </c>
      <c r="CN630" s="55">
        <v>-2145.3675000000003</v>
      </c>
      <c r="CO630" s="55">
        <v>-1987.4725000000035</v>
      </c>
      <c r="CP630" s="55">
        <v>1648.8275000000031</v>
      </c>
      <c r="CQ630" s="55">
        <v>-1983.1899999999951</v>
      </c>
      <c r="CR630" s="55">
        <v>3928.9149999999936</v>
      </c>
      <c r="CS630" s="55">
        <v>-48.355000000003201</v>
      </c>
      <c r="CT630" s="55">
        <v>-2511.25</v>
      </c>
      <c r="CU630" s="55">
        <v>-3976.4699999999939</v>
      </c>
      <c r="CV630" s="55">
        <v>-6711.1399999999994</v>
      </c>
      <c r="CW630" s="55">
        <v>6770.2599999999948</v>
      </c>
      <c r="CX630" s="55">
        <v>-685.5399999999936</v>
      </c>
      <c r="CY630" s="56">
        <v>-830.51000000000204</v>
      </c>
      <c r="CZ630" s="55">
        <v>796.44982268480817</v>
      </c>
      <c r="DA630" s="55">
        <v>518.24445574190031</v>
      </c>
      <c r="DB630" s="55">
        <v>266.49339179862727</v>
      </c>
      <c r="DC630" s="55">
        <v>44.49986424864619</v>
      </c>
      <c r="DD630" s="55">
        <v>-95.036626330533181</v>
      </c>
      <c r="DE630" s="55">
        <v>-153.29990950170031</v>
      </c>
      <c r="DF630" s="55">
        <v>5125.2637290928833</v>
      </c>
      <c r="DG630" s="55">
        <v>-3035.3666488874005</v>
      </c>
      <c r="DH630" s="55">
        <v>-456.73016939467925</v>
      </c>
      <c r="DI630" s="55">
        <v>370.30958629053202</v>
      </c>
    </row>
    <row r="631" spans="1:113" s="24" customFormat="1" outlineLevel="1">
      <c r="A631" s="1" t="s">
        <v>894</v>
      </c>
      <c r="B631" s="24" t="s">
        <v>650</v>
      </c>
      <c r="C631" s="82" t="e">
        <v>#VALUE!</v>
      </c>
      <c r="D631" s="82">
        <v>733</v>
      </c>
      <c r="E631" s="82">
        <v>1047</v>
      </c>
      <c r="F631" s="82">
        <v>2092</v>
      </c>
      <c r="G631" s="82">
        <v>1255</v>
      </c>
      <c r="H631" s="82">
        <v>828</v>
      </c>
      <c r="I631" s="82">
        <v>715</v>
      </c>
      <c r="J631" s="82">
        <v>788</v>
      </c>
      <c r="K631" s="82">
        <v>1362</v>
      </c>
      <c r="L631" s="82">
        <v>951</v>
      </c>
      <c r="M631" s="82">
        <v>1948</v>
      </c>
      <c r="N631" s="82">
        <v>1080</v>
      </c>
      <c r="O631" s="82">
        <v>1421</v>
      </c>
      <c r="P631" s="82">
        <v>636</v>
      </c>
      <c r="Q631" s="82">
        <v>1629</v>
      </c>
      <c r="R631" s="82">
        <v>-2998</v>
      </c>
      <c r="S631" s="82">
        <v>479</v>
      </c>
      <c r="T631" s="82">
        <v>1154</v>
      </c>
      <c r="U631" s="82">
        <v>1860</v>
      </c>
      <c r="V631" s="82">
        <v>2040</v>
      </c>
      <c r="W631" s="82">
        <v>2418</v>
      </c>
      <c r="X631" s="82">
        <v>1332</v>
      </c>
      <c r="Y631" s="82">
        <v>2606</v>
      </c>
      <c r="Z631" s="82">
        <v>1710</v>
      </c>
      <c r="AA631" s="82">
        <v>0</v>
      </c>
      <c r="AB631" s="82">
        <v>3224</v>
      </c>
      <c r="AC631" s="82">
        <v>2243</v>
      </c>
      <c r="AD631" s="82">
        <v>3534</v>
      </c>
      <c r="AE631" s="82">
        <v>2639</v>
      </c>
      <c r="AF631" s="82">
        <v>-2066</v>
      </c>
      <c r="AG631" s="82">
        <v>2829</v>
      </c>
      <c r="AH631" s="82">
        <v>3222</v>
      </c>
      <c r="AI631" s="82">
        <v>2872</v>
      </c>
      <c r="AJ631" s="82">
        <v>2407</v>
      </c>
      <c r="AK631" s="82">
        <v>2972</v>
      </c>
      <c r="AL631" s="82">
        <v>3317</v>
      </c>
      <c r="AM631" s="82">
        <v>3541</v>
      </c>
      <c r="AN631" s="82">
        <v>4089</v>
      </c>
      <c r="AO631" s="82">
        <v>3540</v>
      </c>
      <c r="AP631" s="82">
        <v>1471</v>
      </c>
      <c r="AQ631" s="82">
        <v>2661</v>
      </c>
      <c r="AR631" s="82">
        <v>9549</v>
      </c>
      <c r="AS631" s="82">
        <v>3457</v>
      </c>
      <c r="AT631" s="82">
        <v>4902</v>
      </c>
      <c r="AU631" s="82">
        <v>4748</v>
      </c>
      <c r="AV631" s="82">
        <v>4177</v>
      </c>
      <c r="AW631" s="83">
        <v>3728</v>
      </c>
      <c r="AX631" s="82">
        <v>4539.2870602399989</v>
      </c>
      <c r="AY631" s="82">
        <v>3948.1304083087543</v>
      </c>
      <c r="AZ631" s="82">
        <v>4166.667271952766</v>
      </c>
      <c r="BA631" s="82">
        <v>3583.3338538793814</v>
      </c>
      <c r="BB631" s="82">
        <v>4166.6672719527778</v>
      </c>
      <c r="BC631" s="82">
        <v>3583.3338538793851</v>
      </c>
      <c r="BD631" s="82">
        <v>4166.667271952766</v>
      </c>
      <c r="BE631" s="82">
        <v>3583.3338538793732</v>
      </c>
      <c r="BF631" s="82">
        <v>4166.6672719527742</v>
      </c>
      <c r="BG631" s="82">
        <v>3583.3338538793751</v>
      </c>
      <c r="BH631" s="82">
        <v>4166.6672719527769</v>
      </c>
      <c r="BI631" s="82">
        <v>3733.3338756696803</v>
      </c>
      <c r="BJ631" s="82">
        <v>4233.3339483040127</v>
      </c>
      <c r="BK631" s="82">
        <v>3550.0005157037413</v>
      </c>
      <c r="BL631" s="82">
        <v>3600.0005229671988</v>
      </c>
      <c r="BM631" s="82">
        <v>3366.6671557378304</v>
      </c>
      <c r="BN631" s="82">
        <v>3783.3338829331196</v>
      </c>
      <c r="BO631" s="82">
        <v>4250.0006173918237</v>
      </c>
      <c r="BP631" s="82">
        <v>4833.3340354652191</v>
      </c>
      <c r="BQ631" s="82">
        <v>4466.6673155333783</v>
      </c>
      <c r="BR631" s="82"/>
      <c r="BS631" s="82">
        <v>1904.6000000000008</v>
      </c>
      <c r="BT631" s="82">
        <v>305.6999999999997</v>
      </c>
      <c r="BU631" s="82">
        <v>483.30000000000018</v>
      </c>
      <c r="BV631" s="82">
        <v>487</v>
      </c>
      <c r="BW631" s="82">
        <v>783.99999999999977</v>
      </c>
      <c r="BX631" s="82">
        <v>985</v>
      </c>
      <c r="BY631" s="82">
        <v>995</v>
      </c>
      <c r="BZ631" s="82">
        <v>-537</v>
      </c>
      <c r="CA631" s="82">
        <v>-7631</v>
      </c>
      <c r="CB631" s="82">
        <v>1804</v>
      </c>
      <c r="CC631" s="82">
        <v>1780</v>
      </c>
      <c r="CD631" s="82">
        <v>3347</v>
      </c>
      <c r="CE631" s="82">
        <v>1543</v>
      </c>
      <c r="CF631" s="82">
        <v>2150</v>
      </c>
      <c r="CG631" s="82">
        <v>2899</v>
      </c>
      <c r="CH631" s="82">
        <v>2501</v>
      </c>
      <c r="CI631" s="82">
        <v>2265</v>
      </c>
      <c r="CJ631" s="82">
        <v>-2519</v>
      </c>
      <c r="CK631" s="82">
        <v>3014</v>
      </c>
      <c r="CL631" s="82">
        <v>4458</v>
      </c>
      <c r="CM631" s="82">
        <v>3938</v>
      </c>
      <c r="CN631" s="82">
        <v>1710</v>
      </c>
      <c r="CO631" s="82">
        <v>5467</v>
      </c>
      <c r="CP631" s="82">
        <v>6173</v>
      </c>
      <c r="CQ631" s="82">
        <v>763</v>
      </c>
      <c r="CR631" s="82">
        <v>6094</v>
      </c>
      <c r="CS631" s="82">
        <v>5379</v>
      </c>
      <c r="CT631" s="82">
        <v>6857.9999999999964</v>
      </c>
      <c r="CU631" s="82">
        <v>7629</v>
      </c>
      <c r="CV631" s="82">
        <v>4132</v>
      </c>
      <c r="CW631" s="82">
        <v>13006</v>
      </c>
      <c r="CX631" s="82">
        <v>9650</v>
      </c>
      <c r="CY631" s="83">
        <v>7905</v>
      </c>
      <c r="CZ631" s="82">
        <v>8487.4174685487505</v>
      </c>
      <c r="DA631" s="82">
        <v>7750.001125832151</v>
      </c>
      <c r="DB631" s="82">
        <v>7750.0011258321638</v>
      </c>
      <c r="DC631" s="82">
        <v>7750.0011258321383</v>
      </c>
      <c r="DD631" s="82">
        <v>7750.0011258321501</v>
      </c>
      <c r="DE631" s="82">
        <v>7900.0011476224563</v>
      </c>
      <c r="DF631" s="82">
        <v>7783.3344640077557</v>
      </c>
      <c r="DG631" s="82">
        <v>6966.667678705031</v>
      </c>
      <c r="DH631" s="82">
        <v>8033.3345003249451</v>
      </c>
      <c r="DI631" s="82">
        <v>9300.0013509985947</v>
      </c>
    </row>
    <row r="632" spans="1:113" outlineLevel="1">
      <c r="C632" s="55"/>
      <c r="D632" s="55"/>
      <c r="E632" s="55"/>
      <c r="F632" s="55"/>
      <c r="G632" s="55"/>
      <c r="H632" s="55"/>
      <c r="I632" s="55"/>
      <c r="J632" s="55"/>
      <c r="K632" s="55"/>
      <c r="L632" s="55"/>
      <c r="M632" s="55"/>
      <c r="N632" s="55"/>
      <c r="O632" s="55"/>
      <c r="P632" s="55"/>
      <c r="Q632" s="55"/>
      <c r="R632" s="55"/>
      <c r="S632" s="55"/>
      <c r="T632" s="55"/>
      <c r="U632" s="55"/>
      <c r="V632" s="55"/>
      <c r="W632" s="55"/>
      <c r="X632" s="55"/>
      <c r="Y632" s="55"/>
      <c r="Z632" s="55"/>
      <c r="AA632" s="55"/>
      <c r="AB632" s="55"/>
      <c r="AC632" s="55"/>
      <c r="AD632" s="55"/>
      <c r="AE632" s="55"/>
      <c r="AF632" s="55"/>
      <c r="AG632" s="55"/>
      <c r="AH632" s="55"/>
      <c r="AI632" s="55"/>
      <c r="AJ632" s="55"/>
      <c r="AK632" s="55"/>
      <c r="AL632" s="55"/>
      <c r="AM632" s="55"/>
      <c r="AN632" s="55"/>
      <c r="AO632" s="55"/>
      <c r="AP632" s="55"/>
      <c r="AQ632" s="55"/>
      <c r="AR632" s="55"/>
      <c r="AS632" s="55"/>
      <c r="AT632" s="55"/>
      <c r="AU632" s="55"/>
      <c r="AV632" s="55"/>
      <c r="AW632" s="56"/>
      <c r="AX632" s="55"/>
      <c r="AY632" s="55"/>
      <c r="AZ632" s="55"/>
      <c r="BA632" s="55"/>
      <c r="BB632" s="55"/>
      <c r="BC632" s="55"/>
      <c r="BD632" s="55"/>
      <c r="BE632" s="55"/>
      <c r="BF632" s="55"/>
      <c r="BG632" s="55"/>
      <c r="BH632" s="55"/>
      <c r="BI632" s="55"/>
      <c r="BJ632" s="55"/>
      <c r="BK632" s="55"/>
      <c r="BL632" s="55"/>
      <c r="BM632" s="55"/>
      <c r="BN632" s="55"/>
      <c r="BO632" s="55"/>
      <c r="BP632" s="55"/>
      <c r="BQ632" s="55"/>
      <c r="BR632" s="55"/>
      <c r="BS632" s="55"/>
      <c r="BT632" s="55"/>
      <c r="BU632" s="55"/>
      <c r="BV632" s="55"/>
      <c r="BW632" s="55"/>
      <c r="BX632" s="55"/>
      <c r="BY632" s="55"/>
      <c r="BZ632" s="55"/>
      <c r="CA632" s="55"/>
      <c r="CB632" s="55"/>
      <c r="CC632" s="55"/>
      <c r="CD632" s="55"/>
      <c r="CE632" s="55"/>
      <c r="CF632" s="55"/>
      <c r="CG632" s="55"/>
      <c r="CH632" s="55"/>
      <c r="CI632" s="55"/>
      <c r="CJ632" s="55"/>
      <c r="CK632" s="55"/>
      <c r="CL632" s="55"/>
      <c r="CM632" s="55"/>
      <c r="CN632" s="55"/>
      <c r="CO632" s="55"/>
      <c r="CP632" s="55"/>
      <c r="CQ632" s="55"/>
      <c r="CR632" s="55"/>
      <c r="CS632" s="55"/>
      <c r="CT632" s="55"/>
      <c r="CU632" s="55"/>
      <c r="CV632" s="55"/>
      <c r="CW632" s="55"/>
      <c r="CX632" s="55"/>
      <c r="CY632" s="56"/>
      <c r="CZ632" s="55"/>
      <c r="DA632" s="55"/>
      <c r="DB632" s="55"/>
    </row>
    <row r="633" spans="1:113" outlineLevel="1">
      <c r="A633" s="1" t="s">
        <v>604</v>
      </c>
      <c r="B633" s="19" t="s">
        <v>651</v>
      </c>
      <c r="C633" s="55" t="e">
        <v>#VALUE!</v>
      </c>
      <c r="D633" s="55">
        <v>939</v>
      </c>
      <c r="E633" s="55">
        <v>1051</v>
      </c>
      <c r="F633" s="55">
        <v>2105</v>
      </c>
      <c r="G633" s="55">
        <v>1255</v>
      </c>
      <c r="H633" s="55">
        <v>1035</v>
      </c>
      <c r="I633" s="55">
        <v>1189</v>
      </c>
      <c r="J633" s="55">
        <v>1144</v>
      </c>
      <c r="K633" s="55">
        <v>1504</v>
      </c>
      <c r="L633" s="55">
        <v>1212</v>
      </c>
      <c r="M633" s="55">
        <v>1668</v>
      </c>
      <c r="N633" s="55">
        <v>1380</v>
      </c>
      <c r="O633" s="55">
        <v>1939</v>
      </c>
      <c r="P633" s="55">
        <v>1486</v>
      </c>
      <c r="Q633" s="55">
        <v>2029</v>
      </c>
      <c r="R633" s="55">
        <v>1662</v>
      </c>
      <c r="S633" s="55">
        <v>1747</v>
      </c>
      <c r="T633" s="55">
        <v>1840</v>
      </c>
      <c r="U633" s="55">
        <v>2633</v>
      </c>
      <c r="V633" s="55">
        <v>2045</v>
      </c>
      <c r="W633" s="55">
        <v>2930</v>
      </c>
      <c r="X633" s="55">
        <v>2166</v>
      </c>
      <c r="Y633" s="55">
        <v>3137</v>
      </c>
      <c r="Z633" s="55">
        <v>2639</v>
      </c>
      <c r="AA633" s="55">
        <v>0</v>
      </c>
      <c r="AB633" s="55">
        <v>3224</v>
      </c>
      <c r="AC633" s="55">
        <v>2950</v>
      </c>
      <c r="AD633" s="55">
        <v>3534</v>
      </c>
      <c r="AE633" s="55">
        <v>3210</v>
      </c>
      <c r="AF633" s="55">
        <v>3613</v>
      </c>
      <c r="AG633" s="55">
        <v>3381</v>
      </c>
      <c r="AH633" s="55">
        <v>3808</v>
      </c>
      <c r="AI633" s="55">
        <v>3429</v>
      </c>
      <c r="AJ633" s="55">
        <v>3979</v>
      </c>
      <c r="AK633" s="55">
        <v>3505</v>
      </c>
      <c r="AL633" s="55">
        <v>4065</v>
      </c>
      <c r="AM633" s="55">
        <v>3541</v>
      </c>
      <c r="AN633" s="55">
        <v>4089</v>
      </c>
      <c r="AO633" s="55">
        <v>3540</v>
      </c>
      <c r="AP633" s="55">
        <v>1735</v>
      </c>
      <c r="AQ633" s="55">
        <v>2661</v>
      </c>
      <c r="AR633" s="55">
        <v>3548</v>
      </c>
      <c r="AS633" s="55">
        <v>2987</v>
      </c>
      <c r="AT633" s="55">
        <v>3571</v>
      </c>
      <c r="AU633" s="55">
        <v>3546</v>
      </c>
      <c r="AV633" s="55">
        <v>4023</v>
      </c>
      <c r="AW633" s="56">
        <v>3600</v>
      </c>
      <c r="AX633" s="55">
        <v>4180.1750750000001</v>
      </c>
      <c r="AY633" s="55">
        <v>3589.0184230687628</v>
      </c>
      <c r="AZ633" s="55">
        <v>4166.6672719527687</v>
      </c>
      <c r="BA633" s="55">
        <v>3583.3338538793814</v>
      </c>
      <c r="BB633" s="55">
        <v>4166.6672719527687</v>
      </c>
      <c r="BC633" s="55">
        <v>3583.3338538793814</v>
      </c>
      <c r="BD633" s="55">
        <v>4166.6672719527687</v>
      </c>
      <c r="BE633" s="55">
        <v>3583.3338538793814</v>
      </c>
      <c r="BF633" s="55">
        <v>4166.6672719527687</v>
      </c>
      <c r="BG633" s="55">
        <v>3583.3338538793814</v>
      </c>
      <c r="BH633" s="55">
        <v>4166.6672719527687</v>
      </c>
      <c r="BI633" s="55">
        <v>3733.3338756696812</v>
      </c>
      <c r="BJ633" s="55">
        <v>4233.3339483040136</v>
      </c>
      <c r="BK633" s="55">
        <v>3550.000515703759</v>
      </c>
      <c r="BL633" s="55">
        <v>3600.0005229671929</v>
      </c>
      <c r="BM633" s="55">
        <v>3366.6671557378372</v>
      </c>
      <c r="BN633" s="55">
        <v>3783.3338829331142</v>
      </c>
      <c r="BO633" s="55">
        <v>4250.0006173918246</v>
      </c>
      <c r="BP633" s="55">
        <v>4833.3340354652119</v>
      </c>
      <c r="BQ633" s="55">
        <v>4466.6673155333683</v>
      </c>
      <c r="BR633" s="55"/>
      <c r="BS633" s="55">
        <v>0</v>
      </c>
      <c r="BT633" s="55">
        <v>365.2</v>
      </c>
      <c r="BU633" s="55">
        <v>539.29999999999995</v>
      </c>
      <c r="BV633" s="55">
        <v>575</v>
      </c>
      <c r="BW633" s="55">
        <v>867</v>
      </c>
      <c r="BX633" s="55">
        <v>864</v>
      </c>
      <c r="BY633" s="55">
        <v>980</v>
      </c>
      <c r="BZ633" s="55">
        <v>1144</v>
      </c>
      <c r="CA633" s="55">
        <v>1364</v>
      </c>
      <c r="CB633" s="55">
        <v>1738</v>
      </c>
      <c r="CC633" s="55">
        <v>1990</v>
      </c>
      <c r="CD633" s="55">
        <v>3360</v>
      </c>
      <c r="CE633" s="55">
        <v>2224</v>
      </c>
      <c r="CF633" s="55">
        <v>2648</v>
      </c>
      <c r="CG633" s="55">
        <v>2880</v>
      </c>
      <c r="CH633" s="55">
        <v>3319</v>
      </c>
      <c r="CI633" s="55">
        <v>3515</v>
      </c>
      <c r="CJ633" s="55">
        <v>3409</v>
      </c>
      <c r="CK633" s="55">
        <v>4473</v>
      </c>
      <c r="CL633" s="55">
        <v>4975</v>
      </c>
      <c r="CM633" s="55">
        <v>5303</v>
      </c>
      <c r="CN633" s="55">
        <v>2639</v>
      </c>
      <c r="CO633" s="55">
        <v>6174</v>
      </c>
      <c r="CP633" s="55">
        <v>6744</v>
      </c>
      <c r="CQ633" s="55">
        <v>6994</v>
      </c>
      <c r="CR633" s="55">
        <v>7237</v>
      </c>
      <c r="CS633" s="55">
        <v>7484</v>
      </c>
      <c r="CT633" s="55">
        <v>7606</v>
      </c>
      <c r="CU633" s="55">
        <v>7629</v>
      </c>
      <c r="CV633" s="55">
        <v>4396</v>
      </c>
      <c r="CW633" s="55">
        <v>6535</v>
      </c>
      <c r="CX633" s="55">
        <v>7117</v>
      </c>
      <c r="CY633" s="56">
        <v>7623</v>
      </c>
      <c r="CZ633" s="55">
        <v>7769.1934980687629</v>
      </c>
      <c r="DA633" s="55">
        <v>7750.0011258321501</v>
      </c>
      <c r="DB633" s="55">
        <v>7750.0011258321501</v>
      </c>
      <c r="DC633" s="55">
        <v>7750.0011258321501</v>
      </c>
      <c r="DD633" s="55">
        <v>7750.0011258321501</v>
      </c>
      <c r="DE633" s="55">
        <v>7900.0011476224499</v>
      </c>
      <c r="DF633" s="55">
        <v>7783.3344640077721</v>
      </c>
      <c r="DG633" s="55">
        <v>6966.6676787050301</v>
      </c>
      <c r="DH633" s="55">
        <v>8033.3345003249387</v>
      </c>
      <c r="DI633" s="55">
        <v>9300.0013509985802</v>
      </c>
    </row>
    <row r="634" spans="1:113" outlineLevel="1">
      <c r="A634" s="1" t="s">
        <v>744</v>
      </c>
      <c r="B634" s="19" t="s">
        <v>410</v>
      </c>
      <c r="C634" s="55">
        <v>304</v>
      </c>
      <c r="D634" s="55">
        <v>-206</v>
      </c>
      <c r="E634" s="55">
        <v>-4</v>
      </c>
      <c r="F634" s="55">
        <v>-13</v>
      </c>
      <c r="G634" s="55">
        <v>0</v>
      </c>
      <c r="H634" s="55">
        <v>-207</v>
      </c>
      <c r="I634" s="55">
        <v>-474</v>
      </c>
      <c r="J634" s="55">
        <v>-356</v>
      </c>
      <c r="K634" s="55">
        <v>-142</v>
      </c>
      <c r="L634" s="55">
        <v>-261</v>
      </c>
      <c r="M634" s="55">
        <v>280</v>
      </c>
      <c r="N634" s="55">
        <v>-300</v>
      </c>
      <c r="O634" s="55">
        <v>-518</v>
      </c>
      <c r="P634" s="55">
        <v>-850</v>
      </c>
      <c r="Q634" s="55">
        <v>-400</v>
      </c>
      <c r="R634" s="55">
        <v>-4660</v>
      </c>
      <c r="S634" s="55">
        <v>-1268</v>
      </c>
      <c r="T634" s="55">
        <v>-686</v>
      </c>
      <c r="U634" s="55">
        <v>-773</v>
      </c>
      <c r="V634" s="55">
        <v>-5</v>
      </c>
      <c r="W634" s="55">
        <v>-512</v>
      </c>
      <c r="X634" s="55">
        <v>-834</v>
      </c>
      <c r="Y634" s="55">
        <v>-531</v>
      </c>
      <c r="Z634" s="55">
        <v>-929</v>
      </c>
      <c r="AA634" s="55">
        <v>0</v>
      </c>
      <c r="AB634" s="55">
        <v>0</v>
      </c>
      <c r="AC634" s="55">
        <v>-707</v>
      </c>
      <c r="AD634" s="55">
        <v>0</v>
      </c>
      <c r="AE634" s="55">
        <v>-571</v>
      </c>
      <c r="AF634" s="55">
        <v>-5679</v>
      </c>
      <c r="AG634" s="55">
        <v>-552</v>
      </c>
      <c r="AH634" s="55">
        <v>-586</v>
      </c>
      <c r="AI634" s="55">
        <v>-557</v>
      </c>
      <c r="AJ634" s="55">
        <v>-1572</v>
      </c>
      <c r="AK634" s="55">
        <v>-533</v>
      </c>
      <c r="AL634" s="55">
        <v>-748</v>
      </c>
      <c r="AM634" s="55">
        <v>0</v>
      </c>
      <c r="AN634" s="55">
        <v>0</v>
      </c>
      <c r="AO634" s="55">
        <v>0</v>
      </c>
      <c r="AP634" s="55">
        <v>-264</v>
      </c>
      <c r="AQ634" s="55">
        <v>0</v>
      </c>
      <c r="AR634" s="55">
        <v>6001</v>
      </c>
      <c r="AS634" s="55">
        <v>470</v>
      </c>
      <c r="AT634" s="55">
        <v>1331</v>
      </c>
      <c r="AU634" s="55">
        <v>1202</v>
      </c>
      <c r="AV634" s="55">
        <v>154</v>
      </c>
      <c r="AW634" s="56">
        <v>128</v>
      </c>
      <c r="AX634" s="55">
        <v>359.11198524000002</v>
      </c>
      <c r="AY634" s="55">
        <v>359.11198524000002</v>
      </c>
      <c r="AZ634" s="55">
        <v>0</v>
      </c>
      <c r="BA634" s="55">
        <v>0</v>
      </c>
      <c r="BB634" s="55">
        <v>0</v>
      </c>
      <c r="BC634" s="55">
        <v>0</v>
      </c>
      <c r="BD634" s="55">
        <v>0</v>
      </c>
      <c r="BE634" s="55">
        <v>0</v>
      </c>
      <c r="BF634" s="55">
        <v>0</v>
      </c>
      <c r="BG634" s="55">
        <v>0</v>
      </c>
      <c r="BH634" s="55">
        <v>0</v>
      </c>
      <c r="BI634" s="55">
        <v>0</v>
      </c>
      <c r="BJ634" s="55">
        <v>0</v>
      </c>
      <c r="BK634" s="55">
        <v>0</v>
      </c>
      <c r="BL634" s="55">
        <v>0</v>
      </c>
      <c r="BM634" s="55">
        <v>0</v>
      </c>
      <c r="BN634" s="55">
        <v>0</v>
      </c>
      <c r="BO634" s="55">
        <v>0</v>
      </c>
      <c r="BP634" s="55">
        <v>0</v>
      </c>
      <c r="BQ634" s="55">
        <v>0</v>
      </c>
      <c r="BR634" s="55"/>
      <c r="BS634" s="55">
        <v>0</v>
      </c>
      <c r="BT634" s="55">
        <v>-59.5</v>
      </c>
      <c r="BU634" s="55">
        <v>-56</v>
      </c>
      <c r="BV634" s="55">
        <v>-88</v>
      </c>
      <c r="BW634" s="55">
        <v>-83</v>
      </c>
      <c r="BX634" s="55">
        <v>121</v>
      </c>
      <c r="BY634" s="55">
        <v>15</v>
      </c>
      <c r="BZ634" s="55">
        <v>-1681</v>
      </c>
      <c r="CA634" s="55">
        <v>-8995</v>
      </c>
      <c r="CB634" s="55">
        <v>66</v>
      </c>
      <c r="CC634" s="55">
        <v>-210</v>
      </c>
      <c r="CD634" s="55">
        <v>-13</v>
      </c>
      <c r="CE634" s="55">
        <v>-681</v>
      </c>
      <c r="CF634" s="55">
        <v>-498</v>
      </c>
      <c r="CG634" s="55">
        <v>19</v>
      </c>
      <c r="CH634" s="55">
        <v>-818</v>
      </c>
      <c r="CI634" s="55">
        <v>-1250</v>
      </c>
      <c r="CJ634" s="55">
        <v>-5928</v>
      </c>
      <c r="CK634" s="55">
        <v>-1459</v>
      </c>
      <c r="CL634" s="55">
        <v>-517</v>
      </c>
      <c r="CM634" s="55">
        <v>-1365</v>
      </c>
      <c r="CN634" s="55">
        <v>-929</v>
      </c>
      <c r="CO634" s="55">
        <v>-707</v>
      </c>
      <c r="CP634" s="55">
        <v>-571</v>
      </c>
      <c r="CQ634" s="55">
        <v>-6231</v>
      </c>
      <c r="CR634" s="55">
        <v>-1143</v>
      </c>
      <c r="CS634" s="55">
        <v>-2105</v>
      </c>
      <c r="CT634" s="55">
        <v>-748</v>
      </c>
      <c r="CU634" s="55">
        <v>0</v>
      </c>
      <c r="CV634" s="55">
        <v>-264</v>
      </c>
      <c r="CW634" s="55">
        <v>6471</v>
      </c>
      <c r="CX634" s="55">
        <v>2533</v>
      </c>
      <c r="CY634" s="56">
        <v>282</v>
      </c>
      <c r="CZ634" s="55">
        <v>718.22397048000005</v>
      </c>
      <c r="DA634" s="55">
        <v>0</v>
      </c>
      <c r="DB634" s="55">
        <v>0</v>
      </c>
      <c r="DC634" s="55">
        <v>0</v>
      </c>
      <c r="DD634" s="55">
        <v>0</v>
      </c>
      <c r="DE634" s="55">
        <v>0</v>
      </c>
      <c r="DF634" s="55">
        <v>0</v>
      </c>
      <c r="DG634" s="55">
        <v>0</v>
      </c>
      <c r="DH634" s="55">
        <v>0</v>
      </c>
      <c r="DI634" s="55">
        <v>0</v>
      </c>
    </row>
    <row r="635" spans="1:113" s="24" customFormat="1" outlineLevel="1">
      <c r="A635" s="1" t="s">
        <v>894</v>
      </c>
      <c r="B635" s="24" t="s">
        <v>650</v>
      </c>
      <c r="C635" s="82" t="e">
        <v>#VALUE!</v>
      </c>
      <c r="D635" s="82">
        <v>733</v>
      </c>
      <c r="E635" s="82">
        <v>1047</v>
      </c>
      <c r="F635" s="82">
        <v>2092</v>
      </c>
      <c r="G635" s="82">
        <v>1255</v>
      </c>
      <c r="H635" s="82">
        <v>828</v>
      </c>
      <c r="I635" s="82">
        <v>715</v>
      </c>
      <c r="J635" s="82">
        <v>788</v>
      </c>
      <c r="K635" s="82">
        <v>1362</v>
      </c>
      <c r="L635" s="82">
        <v>951</v>
      </c>
      <c r="M635" s="82">
        <v>1948</v>
      </c>
      <c r="N635" s="82">
        <v>1080</v>
      </c>
      <c r="O635" s="82">
        <v>1421</v>
      </c>
      <c r="P635" s="82">
        <v>636</v>
      </c>
      <c r="Q635" s="82">
        <v>1629</v>
      </c>
      <c r="R635" s="82">
        <v>-2998</v>
      </c>
      <c r="S635" s="82">
        <v>479</v>
      </c>
      <c r="T635" s="82">
        <v>1154</v>
      </c>
      <c r="U635" s="82">
        <v>1860</v>
      </c>
      <c r="V635" s="82">
        <v>2040</v>
      </c>
      <c r="W635" s="82">
        <v>2418</v>
      </c>
      <c r="X635" s="82">
        <v>1332</v>
      </c>
      <c r="Y635" s="82">
        <v>2606</v>
      </c>
      <c r="Z635" s="82">
        <v>1710</v>
      </c>
      <c r="AA635" s="82">
        <v>0</v>
      </c>
      <c r="AB635" s="82">
        <v>3224</v>
      </c>
      <c r="AC635" s="82">
        <v>2243</v>
      </c>
      <c r="AD635" s="82">
        <v>3534</v>
      </c>
      <c r="AE635" s="82">
        <v>2639</v>
      </c>
      <c r="AF635" s="82">
        <v>-2066</v>
      </c>
      <c r="AG635" s="82">
        <v>2829</v>
      </c>
      <c r="AH635" s="82">
        <v>3222</v>
      </c>
      <c r="AI635" s="82">
        <v>2872</v>
      </c>
      <c r="AJ635" s="82">
        <v>2407</v>
      </c>
      <c r="AK635" s="82">
        <v>2972</v>
      </c>
      <c r="AL635" s="82">
        <v>3317</v>
      </c>
      <c r="AM635" s="82">
        <v>3541</v>
      </c>
      <c r="AN635" s="82">
        <v>4089</v>
      </c>
      <c r="AO635" s="82">
        <v>3540</v>
      </c>
      <c r="AP635" s="82">
        <v>1471</v>
      </c>
      <c r="AQ635" s="82">
        <v>2661</v>
      </c>
      <c r="AR635" s="82">
        <v>9549</v>
      </c>
      <c r="AS635" s="82">
        <v>3457</v>
      </c>
      <c r="AT635" s="82">
        <v>4902</v>
      </c>
      <c r="AU635" s="82">
        <v>4748</v>
      </c>
      <c r="AV635" s="82">
        <v>4177</v>
      </c>
      <c r="AW635" s="83">
        <v>3728</v>
      </c>
      <c r="AX635" s="82">
        <v>4539.2870602399998</v>
      </c>
      <c r="AY635" s="82">
        <v>3948.130408308763</v>
      </c>
      <c r="AZ635" s="82">
        <v>4166.6672719527687</v>
      </c>
      <c r="BA635" s="82">
        <v>3583.3338538793814</v>
      </c>
      <c r="BB635" s="82">
        <v>4166.6672719527687</v>
      </c>
      <c r="BC635" s="82">
        <v>3583.3338538793814</v>
      </c>
      <c r="BD635" s="82">
        <v>4166.6672719527687</v>
      </c>
      <c r="BE635" s="82">
        <v>3583.3338538793814</v>
      </c>
      <c r="BF635" s="82">
        <v>4166.6672719527687</v>
      </c>
      <c r="BG635" s="82">
        <v>3583.3338538793814</v>
      </c>
      <c r="BH635" s="82">
        <v>4166.6672719527687</v>
      </c>
      <c r="BI635" s="82">
        <v>3733.3338756696812</v>
      </c>
      <c r="BJ635" s="82">
        <v>4233.3339483040136</v>
      </c>
      <c r="BK635" s="82">
        <v>3550.000515703759</v>
      </c>
      <c r="BL635" s="82">
        <v>3600.0005229671929</v>
      </c>
      <c r="BM635" s="82">
        <v>3366.6671557378372</v>
      </c>
      <c r="BN635" s="82">
        <v>3783.3338829331142</v>
      </c>
      <c r="BO635" s="82">
        <v>4250.0006173918246</v>
      </c>
      <c r="BP635" s="82">
        <v>4833.3340354652119</v>
      </c>
      <c r="BQ635" s="82">
        <v>4466.6673155333683</v>
      </c>
      <c r="BR635" s="82"/>
      <c r="BS635" s="82">
        <v>0</v>
      </c>
      <c r="BT635" s="82">
        <v>305.7</v>
      </c>
      <c r="BU635" s="82">
        <v>483.29999999999995</v>
      </c>
      <c r="BV635" s="82">
        <v>487</v>
      </c>
      <c r="BW635" s="82">
        <v>784</v>
      </c>
      <c r="BX635" s="82">
        <v>985</v>
      </c>
      <c r="BY635" s="82">
        <v>995</v>
      </c>
      <c r="BZ635" s="82">
        <v>-537</v>
      </c>
      <c r="CA635" s="82">
        <v>-7631</v>
      </c>
      <c r="CB635" s="82">
        <v>1804</v>
      </c>
      <c r="CC635" s="82">
        <v>1780</v>
      </c>
      <c r="CD635" s="82">
        <v>3347</v>
      </c>
      <c r="CE635" s="82">
        <v>1543</v>
      </c>
      <c r="CF635" s="82">
        <v>2150</v>
      </c>
      <c r="CG635" s="82">
        <v>2899</v>
      </c>
      <c r="CH635" s="82">
        <v>2501</v>
      </c>
      <c r="CI635" s="82">
        <v>2265</v>
      </c>
      <c r="CJ635" s="82">
        <v>-2519</v>
      </c>
      <c r="CK635" s="82">
        <v>3014</v>
      </c>
      <c r="CL635" s="82">
        <v>4458</v>
      </c>
      <c r="CM635" s="82">
        <v>3938</v>
      </c>
      <c r="CN635" s="82">
        <v>1710</v>
      </c>
      <c r="CO635" s="82">
        <v>5467</v>
      </c>
      <c r="CP635" s="82">
        <v>6173</v>
      </c>
      <c r="CQ635" s="82">
        <v>763</v>
      </c>
      <c r="CR635" s="82">
        <v>6094</v>
      </c>
      <c r="CS635" s="82">
        <v>5379</v>
      </c>
      <c r="CT635" s="82">
        <v>6858</v>
      </c>
      <c r="CU635" s="82">
        <v>7629</v>
      </c>
      <c r="CV635" s="82">
        <v>4132</v>
      </c>
      <c r="CW635" s="82">
        <v>13006</v>
      </c>
      <c r="CX635" s="82">
        <v>9650</v>
      </c>
      <c r="CY635" s="83">
        <v>7905</v>
      </c>
      <c r="CZ635" s="82">
        <v>8487.4174685487633</v>
      </c>
      <c r="DA635" s="82">
        <v>7750.0011258321501</v>
      </c>
      <c r="DB635" s="82">
        <v>7750.0011258321501</v>
      </c>
      <c r="DC635" s="82">
        <v>7750.0011258321501</v>
      </c>
      <c r="DD635" s="82">
        <v>7750.0011258321501</v>
      </c>
      <c r="DE635" s="82">
        <v>7900.0011476224499</v>
      </c>
      <c r="DF635" s="82">
        <v>7783.3344640077721</v>
      </c>
      <c r="DG635" s="82">
        <v>6966.6676787050301</v>
      </c>
      <c r="DH635" s="82">
        <v>8033.3345003249387</v>
      </c>
      <c r="DI635" s="82">
        <v>9300.0013509985802</v>
      </c>
    </row>
    <row r="636" spans="1:113" outlineLevel="1">
      <c r="A636" s="1" t="s">
        <v>745</v>
      </c>
      <c r="B636" s="19" t="s">
        <v>656</v>
      </c>
      <c r="C636" s="55" t="e">
        <v>#VALUE!</v>
      </c>
      <c r="D636" s="55">
        <v>281.7</v>
      </c>
      <c r="E636" s="55">
        <v>315.3</v>
      </c>
      <c r="F636" s="55">
        <v>631.5</v>
      </c>
      <c r="G636" s="55">
        <v>376.5</v>
      </c>
      <c r="H636" s="55">
        <v>310.5</v>
      </c>
      <c r="I636" s="55">
        <v>356.7</v>
      </c>
      <c r="J636" s="55">
        <v>343.2</v>
      </c>
      <c r="K636" s="55">
        <v>451.20000000000005</v>
      </c>
      <c r="L636" s="55">
        <v>363.59999999999997</v>
      </c>
      <c r="M636" s="55">
        <v>428.91428571428571</v>
      </c>
      <c r="N636" s="55">
        <v>354.85714285714283</v>
      </c>
      <c r="O636" s="55">
        <v>498.59999999999997</v>
      </c>
      <c r="P636" s="55">
        <v>382.1142857142857</v>
      </c>
      <c r="Q636" s="55">
        <v>521.74285714285713</v>
      </c>
      <c r="R636" s="55">
        <v>427.37142857142851</v>
      </c>
      <c r="S636" s="55">
        <v>449.2285714285714</v>
      </c>
      <c r="T636" s="55">
        <v>473.14285714285717</v>
      </c>
      <c r="U636" s="55">
        <v>677.05714285714282</v>
      </c>
      <c r="V636" s="55">
        <v>525.85714285714289</v>
      </c>
      <c r="W636" s="55">
        <v>753.42857142857144</v>
      </c>
      <c r="X636" s="55">
        <v>556.97142857142853</v>
      </c>
      <c r="Y636" s="55">
        <v>806.65714285714273</v>
      </c>
      <c r="Z636" s="55">
        <v>678.6</v>
      </c>
      <c r="AA636" s="55">
        <v>0</v>
      </c>
      <c r="AB636" s="55">
        <v>829.02857142857147</v>
      </c>
      <c r="AC636" s="55">
        <v>758.57142857142867</v>
      </c>
      <c r="AD636" s="55">
        <v>908.74285714285702</v>
      </c>
      <c r="AE636" s="55">
        <v>825.42857142857144</v>
      </c>
      <c r="AF636" s="55">
        <v>929.05714285714271</v>
      </c>
      <c r="AG636" s="55">
        <v>869.4</v>
      </c>
      <c r="AH636" s="55">
        <v>979.19999999999993</v>
      </c>
      <c r="AI636" s="55">
        <v>881.74285714285702</v>
      </c>
      <c r="AJ636" s="55">
        <v>1023.1714285714286</v>
      </c>
      <c r="AK636" s="55">
        <v>901.28571428571433</v>
      </c>
      <c r="AL636" s="55">
        <v>1045.2857142857144</v>
      </c>
      <c r="AM636" s="55">
        <v>910.54285714285709</v>
      </c>
      <c r="AN636" s="55">
        <v>1051.4571428571428</v>
      </c>
      <c r="AO636" s="55">
        <v>910.28571428571433</v>
      </c>
      <c r="AP636" s="55">
        <v>446.14285714285717</v>
      </c>
      <c r="AQ636" s="55">
        <v>684.25714285714275</v>
      </c>
      <c r="AR636" s="55">
        <v>912.34285714285704</v>
      </c>
      <c r="AS636" s="55">
        <v>768.0857142857144</v>
      </c>
      <c r="AT636" s="55">
        <v>918.25714285714275</v>
      </c>
      <c r="AU636" s="55">
        <v>911.82857142857142</v>
      </c>
      <c r="AV636" s="55">
        <v>1034.4857142857143</v>
      </c>
      <c r="AW636" s="56">
        <v>925.71428571428567</v>
      </c>
      <c r="AX636" s="55">
        <v>1074.9021621428572</v>
      </c>
      <c r="AY636" s="55">
        <v>922.89045164625338</v>
      </c>
      <c r="AZ636" s="55">
        <v>1071.428727073569</v>
      </c>
      <c r="BA636" s="55">
        <v>921.42870528326944</v>
      </c>
      <c r="BB636" s="55">
        <v>1071.428727073569</v>
      </c>
      <c r="BC636" s="55">
        <v>921.42870528326944</v>
      </c>
      <c r="BD636" s="55">
        <v>1071.428727073569</v>
      </c>
      <c r="BE636" s="55">
        <v>921.42870528326944</v>
      </c>
      <c r="BF636" s="55">
        <v>1071.428727073569</v>
      </c>
      <c r="BG636" s="55">
        <v>921.42870528326944</v>
      </c>
      <c r="BH636" s="55">
        <v>1071.428727073569</v>
      </c>
      <c r="BI636" s="55">
        <v>960.00013945791807</v>
      </c>
      <c r="BJ636" s="55">
        <v>1088.5715867067463</v>
      </c>
      <c r="BK636" s="55">
        <v>912.8572754666809</v>
      </c>
      <c r="BL636" s="55">
        <v>925.71442019156393</v>
      </c>
      <c r="BM636" s="55">
        <v>865.71441147544385</v>
      </c>
      <c r="BN636" s="55">
        <v>972.85728418280064</v>
      </c>
      <c r="BO636" s="55">
        <v>1092.8573016150406</v>
      </c>
      <c r="BP636" s="55">
        <v>1242.8573234053401</v>
      </c>
      <c r="BQ636" s="55">
        <v>1148.571595422866</v>
      </c>
      <c r="BR636" s="55"/>
      <c r="BS636" s="55">
        <v>0</v>
      </c>
      <c r="BT636" s="55">
        <v>125.91223880597016</v>
      </c>
      <c r="BU636" s="55">
        <v>185.93776119402989</v>
      </c>
      <c r="BV636" s="55">
        <v>198.24626865671644</v>
      </c>
      <c r="BW636" s="55">
        <v>341.38124999999997</v>
      </c>
      <c r="BX636" s="55">
        <v>340.2</v>
      </c>
      <c r="BY636" s="55">
        <v>385.875</v>
      </c>
      <c r="BZ636" s="55">
        <v>450.45</v>
      </c>
      <c r="CA636" s="55">
        <v>537.07499999999993</v>
      </c>
      <c r="CB636" s="55">
        <v>626.73333333333335</v>
      </c>
      <c r="CC636" s="55">
        <v>597</v>
      </c>
      <c r="CD636" s="55">
        <v>1008</v>
      </c>
      <c r="CE636" s="55">
        <v>667.2</v>
      </c>
      <c r="CF636" s="55">
        <v>794.40000000000009</v>
      </c>
      <c r="CG636" s="55">
        <v>792.51428571428573</v>
      </c>
      <c r="CH636" s="55">
        <v>853.4571428571428</v>
      </c>
      <c r="CI636" s="55">
        <v>903.85714285714289</v>
      </c>
      <c r="CJ636" s="55">
        <v>876.59999999999991</v>
      </c>
      <c r="CK636" s="55">
        <v>1150.2</v>
      </c>
      <c r="CL636" s="55">
        <v>1279.2857142857142</v>
      </c>
      <c r="CM636" s="55">
        <v>1363.6285714285714</v>
      </c>
      <c r="CN636" s="55">
        <v>678.6</v>
      </c>
      <c r="CO636" s="55">
        <v>1587.6000000000001</v>
      </c>
      <c r="CP636" s="55">
        <v>1734.1714285714284</v>
      </c>
      <c r="CQ636" s="55">
        <v>1798.4571428571426</v>
      </c>
      <c r="CR636" s="55">
        <v>1860.9428571428571</v>
      </c>
      <c r="CS636" s="55">
        <v>1924.457142857143</v>
      </c>
      <c r="CT636" s="55">
        <v>1955.8285714285716</v>
      </c>
      <c r="CU636" s="55">
        <v>1961.7428571428572</v>
      </c>
      <c r="CV636" s="55">
        <v>1130.3999999999999</v>
      </c>
      <c r="CW636" s="55">
        <v>1680.4285714285716</v>
      </c>
      <c r="CX636" s="55">
        <v>1830.0857142857142</v>
      </c>
      <c r="CY636" s="56">
        <v>1960.1999999999998</v>
      </c>
      <c r="CZ636" s="55">
        <v>1997.7926137891104</v>
      </c>
      <c r="DA636" s="55">
        <v>1992.8574323568384</v>
      </c>
      <c r="DB636" s="55">
        <v>1992.8574323568384</v>
      </c>
      <c r="DC636" s="55">
        <v>1992.8574323568384</v>
      </c>
      <c r="DD636" s="55">
        <v>1992.8574323568384</v>
      </c>
      <c r="DE636" s="55">
        <v>2031.4288665314871</v>
      </c>
      <c r="DF636" s="55">
        <v>2001.4288621734272</v>
      </c>
      <c r="DG636" s="55">
        <v>1791.4288316670077</v>
      </c>
      <c r="DH636" s="55">
        <v>2065.7145857978412</v>
      </c>
      <c r="DI636" s="55">
        <v>2391.4289188282064</v>
      </c>
    </row>
    <row r="637" spans="1:113" s="24" customFormat="1" outlineLevel="1">
      <c r="A637" s="1" t="s">
        <v>746</v>
      </c>
      <c r="B637" s="24" t="s">
        <v>772</v>
      </c>
      <c r="C637" s="82" t="e">
        <v>#VALUE!</v>
      </c>
      <c r="D637" s="82">
        <v>1014.7</v>
      </c>
      <c r="E637" s="82">
        <v>1362.3</v>
      </c>
      <c r="F637" s="82">
        <v>2723.5</v>
      </c>
      <c r="G637" s="82">
        <v>1631.5</v>
      </c>
      <c r="H637" s="82">
        <v>1138.5</v>
      </c>
      <c r="I637" s="82">
        <v>1071.7</v>
      </c>
      <c r="J637" s="82">
        <v>1131.2</v>
      </c>
      <c r="K637" s="82">
        <v>1813.2</v>
      </c>
      <c r="L637" s="82">
        <v>1314.6</v>
      </c>
      <c r="M637" s="82">
        <v>2376.9142857142856</v>
      </c>
      <c r="N637" s="82">
        <v>1434.8571428571429</v>
      </c>
      <c r="O637" s="82">
        <v>1919.6</v>
      </c>
      <c r="P637" s="82">
        <v>1018.1142857142856</v>
      </c>
      <c r="Q637" s="82">
        <v>2150.7428571428572</v>
      </c>
      <c r="R637" s="82">
        <v>-2570.6285714285714</v>
      </c>
      <c r="S637" s="82">
        <v>928.2285714285714</v>
      </c>
      <c r="T637" s="82">
        <v>1627.1428571428571</v>
      </c>
      <c r="U637" s="82">
        <v>2537.0571428571429</v>
      </c>
      <c r="V637" s="82">
        <v>2565.8571428571431</v>
      </c>
      <c r="W637" s="82">
        <v>3171.4285714285716</v>
      </c>
      <c r="X637" s="82">
        <v>1888.9714285714285</v>
      </c>
      <c r="Y637" s="82">
        <v>3412.6571428571428</v>
      </c>
      <c r="Z637" s="82">
        <v>2388.6</v>
      </c>
      <c r="AA637" s="82">
        <v>0</v>
      </c>
      <c r="AB637" s="82">
        <v>4053.0285714285715</v>
      </c>
      <c r="AC637" s="82">
        <v>3001.5714285714284</v>
      </c>
      <c r="AD637" s="82">
        <v>4442.7428571428572</v>
      </c>
      <c r="AE637" s="82">
        <v>3464.4285714285716</v>
      </c>
      <c r="AF637" s="82">
        <v>-1136.9428571428573</v>
      </c>
      <c r="AG637" s="82">
        <v>3698.4</v>
      </c>
      <c r="AH637" s="82">
        <v>4201.2</v>
      </c>
      <c r="AI637" s="82">
        <v>3753.7428571428572</v>
      </c>
      <c r="AJ637" s="82">
        <v>3430.1714285714288</v>
      </c>
      <c r="AK637" s="82">
        <v>3873.2857142857142</v>
      </c>
      <c r="AL637" s="82">
        <v>4362.2857142857147</v>
      </c>
      <c r="AM637" s="82">
        <v>4451.5428571428574</v>
      </c>
      <c r="AN637" s="82">
        <v>5140.4571428571426</v>
      </c>
      <c r="AO637" s="82">
        <v>4450.2857142857147</v>
      </c>
      <c r="AP637" s="82">
        <v>1917.1428571428571</v>
      </c>
      <c r="AQ637" s="82">
        <v>3345.2571428571428</v>
      </c>
      <c r="AR637" s="82">
        <v>10461.342857142858</v>
      </c>
      <c r="AS637" s="82">
        <v>4225.0857142857149</v>
      </c>
      <c r="AT637" s="82">
        <v>5820.2571428571428</v>
      </c>
      <c r="AU637" s="82">
        <v>5659.8285714285712</v>
      </c>
      <c r="AV637" s="82">
        <v>5211.4857142857145</v>
      </c>
      <c r="AW637" s="83">
        <v>4653.7142857142853</v>
      </c>
      <c r="AX637" s="82">
        <v>5614.1892223828572</v>
      </c>
      <c r="AY637" s="82">
        <v>4871.020859955016</v>
      </c>
      <c r="AZ637" s="82">
        <v>5238.0959990263382</v>
      </c>
      <c r="BA637" s="82">
        <v>4504.7625591626511</v>
      </c>
      <c r="BB637" s="82">
        <v>5238.0959990263382</v>
      </c>
      <c r="BC637" s="82">
        <v>4504.7625591626511</v>
      </c>
      <c r="BD637" s="82">
        <v>5238.0959990263382</v>
      </c>
      <c r="BE637" s="82">
        <v>4504.7625591626511</v>
      </c>
      <c r="BF637" s="82">
        <v>5238.0959990263382</v>
      </c>
      <c r="BG637" s="82">
        <v>4504.7625591626511</v>
      </c>
      <c r="BH637" s="82">
        <v>5238.0959990263382</v>
      </c>
      <c r="BI637" s="82">
        <v>4693.3340151275988</v>
      </c>
      <c r="BJ637" s="82">
        <v>5321.9055350107601</v>
      </c>
      <c r="BK637" s="82">
        <v>4462.8577911704397</v>
      </c>
      <c r="BL637" s="82">
        <v>4525.7149431587568</v>
      </c>
      <c r="BM637" s="82">
        <v>4232.3815672132814</v>
      </c>
      <c r="BN637" s="82">
        <v>4756.1911671159151</v>
      </c>
      <c r="BO637" s="82">
        <v>5342.8579190068649</v>
      </c>
      <c r="BP637" s="82">
        <v>6076.191358870552</v>
      </c>
      <c r="BQ637" s="82">
        <v>5615.2389109562346</v>
      </c>
      <c r="BR637" s="82"/>
      <c r="BS637" s="82">
        <v>0</v>
      </c>
      <c r="BT637" s="82">
        <v>431.61223880597015</v>
      </c>
      <c r="BU637" s="82">
        <v>669.23776119402987</v>
      </c>
      <c r="BV637" s="82">
        <v>685.24626865671644</v>
      </c>
      <c r="BW637" s="82">
        <v>1125.3812499999999</v>
      </c>
      <c r="BX637" s="82">
        <v>1325.2</v>
      </c>
      <c r="BY637" s="82">
        <v>1380.875</v>
      </c>
      <c r="BZ637" s="82">
        <v>-86.550000000000011</v>
      </c>
      <c r="CA637" s="82">
        <v>-7093.9250000000002</v>
      </c>
      <c r="CB637" s="82">
        <v>2430.7333333333336</v>
      </c>
      <c r="CC637" s="82">
        <v>2377</v>
      </c>
      <c r="CD637" s="82">
        <v>4355</v>
      </c>
      <c r="CE637" s="82">
        <v>2210.1999999999998</v>
      </c>
      <c r="CF637" s="82">
        <v>2944.4</v>
      </c>
      <c r="CG637" s="82">
        <v>3691.5142857142855</v>
      </c>
      <c r="CH637" s="82">
        <v>3354.4571428571426</v>
      </c>
      <c r="CI637" s="82">
        <v>3168.8571428571431</v>
      </c>
      <c r="CJ637" s="82">
        <v>-1642.4</v>
      </c>
      <c r="CK637" s="82">
        <v>4164.2</v>
      </c>
      <c r="CL637" s="82">
        <v>5737.2857142857138</v>
      </c>
      <c r="CM637" s="82">
        <v>5301.6285714285714</v>
      </c>
      <c r="CN637" s="82">
        <v>2388.6</v>
      </c>
      <c r="CO637" s="82">
        <v>7054.6</v>
      </c>
      <c r="CP637" s="82">
        <v>7907.1714285714279</v>
      </c>
      <c r="CQ637" s="82">
        <v>2561.4571428571426</v>
      </c>
      <c r="CR637" s="82">
        <v>7954.9428571428571</v>
      </c>
      <c r="CS637" s="82">
        <v>7303.4571428571435</v>
      </c>
      <c r="CT637" s="82">
        <v>8813.8285714285721</v>
      </c>
      <c r="CU637" s="82">
        <v>9590.7428571428572</v>
      </c>
      <c r="CV637" s="82">
        <v>5262.4</v>
      </c>
      <c r="CW637" s="82">
        <v>14686.428571428572</v>
      </c>
      <c r="CX637" s="82">
        <v>11480.085714285715</v>
      </c>
      <c r="CY637" s="83">
        <v>9865.2000000000007</v>
      </c>
      <c r="CZ637" s="82">
        <v>10485.210082337873</v>
      </c>
      <c r="DA637" s="82">
        <v>9742.8585581889893</v>
      </c>
      <c r="DB637" s="82">
        <v>9742.8585581889893</v>
      </c>
      <c r="DC637" s="82">
        <v>9742.8585581889893</v>
      </c>
      <c r="DD637" s="82">
        <v>9742.8585581889893</v>
      </c>
      <c r="DE637" s="82">
        <v>9931.430014153937</v>
      </c>
      <c r="DF637" s="82">
        <v>9784.7633261811989</v>
      </c>
      <c r="DG637" s="82">
        <v>8758.0965103720373</v>
      </c>
      <c r="DH637" s="82">
        <v>10099.049086122781</v>
      </c>
      <c r="DI637" s="82">
        <v>11691.430269826786</v>
      </c>
    </row>
    <row r="638" spans="1:113" outlineLevel="1">
      <c r="C638" s="55"/>
      <c r="D638" s="55"/>
      <c r="E638" s="55"/>
      <c r="F638" s="55"/>
      <c r="G638" s="55"/>
      <c r="H638" s="55"/>
      <c r="I638" s="55"/>
      <c r="J638" s="55"/>
      <c r="K638" s="55"/>
      <c r="L638" s="55"/>
      <c r="M638" s="55"/>
      <c r="N638" s="55"/>
      <c r="O638" s="55"/>
      <c r="P638" s="55"/>
      <c r="Q638" s="55"/>
      <c r="R638" s="55"/>
      <c r="S638" s="55"/>
      <c r="T638" s="55"/>
      <c r="U638" s="55"/>
      <c r="V638" s="55"/>
      <c r="W638" s="55"/>
      <c r="X638" s="55"/>
      <c r="Y638" s="55"/>
      <c r="Z638" s="55"/>
      <c r="AA638" s="55"/>
      <c r="AB638" s="55"/>
      <c r="AC638" s="55"/>
      <c r="AD638" s="55"/>
      <c r="AE638" s="55"/>
      <c r="AF638" s="55"/>
      <c r="AG638" s="55"/>
      <c r="AH638" s="55"/>
      <c r="AI638" s="55"/>
      <c r="AJ638" s="55"/>
      <c r="AK638" s="55"/>
      <c r="AL638" s="55"/>
      <c r="AM638" s="55"/>
      <c r="AN638" s="55"/>
      <c r="AO638" s="55"/>
      <c r="AP638" s="55"/>
      <c r="AQ638" s="55"/>
      <c r="AR638" s="55"/>
      <c r="AS638" s="55"/>
      <c r="AT638" s="55"/>
      <c r="AU638" s="55"/>
      <c r="AV638" s="55"/>
      <c r="AW638" s="56"/>
      <c r="AX638" s="55"/>
      <c r="AY638" s="55"/>
      <c r="AZ638" s="55"/>
      <c r="BA638" s="55"/>
      <c r="BB638" s="55"/>
      <c r="BC638" s="55"/>
      <c r="BD638" s="55"/>
      <c r="BE638" s="55"/>
      <c r="BF638" s="55"/>
      <c r="BG638" s="55"/>
      <c r="BH638" s="55"/>
      <c r="BI638" s="55"/>
      <c r="BJ638" s="55"/>
      <c r="BK638" s="55"/>
      <c r="BL638" s="55"/>
      <c r="BM638" s="55"/>
      <c r="BN638" s="55"/>
      <c r="BO638" s="55"/>
      <c r="BP638" s="55"/>
      <c r="BQ638" s="55"/>
      <c r="BR638" s="55"/>
      <c r="BS638" s="55"/>
      <c r="BT638" s="55"/>
      <c r="BU638" s="55"/>
      <c r="BV638" s="55"/>
      <c r="BW638" s="55"/>
      <c r="BX638" s="55"/>
      <c r="BY638" s="55"/>
      <c r="BZ638" s="55"/>
      <c r="CA638" s="55"/>
      <c r="CB638" s="55"/>
      <c r="CC638" s="55"/>
      <c r="CD638" s="55"/>
      <c r="CE638" s="55"/>
      <c r="CF638" s="55"/>
      <c r="CG638" s="55"/>
      <c r="CH638" s="55"/>
      <c r="CI638" s="55"/>
      <c r="CJ638" s="55"/>
      <c r="CK638" s="55"/>
      <c r="CL638" s="55"/>
      <c r="CM638" s="55"/>
      <c r="CN638" s="55"/>
      <c r="CO638" s="55"/>
      <c r="CP638" s="55"/>
      <c r="CQ638" s="55"/>
      <c r="CR638" s="55"/>
      <c r="CS638" s="55"/>
      <c r="CT638" s="55"/>
      <c r="CU638" s="55"/>
      <c r="CV638" s="55"/>
      <c r="CW638" s="55"/>
      <c r="CX638" s="55"/>
      <c r="CY638" s="56"/>
      <c r="CZ638" s="55"/>
      <c r="DA638" s="55"/>
      <c r="DB638" s="55"/>
    </row>
    <row r="639" spans="1:113" s="5" customFormat="1" ht="12.95" customHeight="1" outlineLevel="1">
      <c r="A639" s="1"/>
      <c r="B639" s="6" t="s">
        <v>657</v>
      </c>
      <c r="C639" s="568" t="e">
        <v>#VALUE!</v>
      </c>
      <c r="D639" s="568" t="s">
        <v>797</v>
      </c>
      <c r="E639" s="568" t="s">
        <v>797</v>
      </c>
      <c r="F639" s="568" t="s">
        <v>797</v>
      </c>
      <c r="G639" s="568" t="s">
        <v>797</v>
      </c>
      <c r="H639" s="568" t="s">
        <v>797</v>
      </c>
      <c r="I639" s="568" t="s">
        <v>797</v>
      </c>
      <c r="J639" s="568" t="s">
        <v>797</v>
      </c>
      <c r="K639" s="568" t="s">
        <v>797</v>
      </c>
      <c r="L639" s="568" t="s">
        <v>797</v>
      </c>
      <c r="M639" s="97" t="s">
        <v>797</v>
      </c>
      <c r="N639" s="97" t="s">
        <v>797</v>
      </c>
      <c r="O639" s="97" t="s">
        <v>797</v>
      </c>
      <c r="P639" s="97" t="s">
        <v>797</v>
      </c>
      <c r="Q639" s="97" t="s">
        <v>797</v>
      </c>
      <c r="R639" s="97" t="s">
        <v>797</v>
      </c>
      <c r="S639" s="97" t="s">
        <v>797</v>
      </c>
      <c r="T639" s="100" t="s">
        <v>797</v>
      </c>
      <c r="U639" s="97" t="s">
        <v>797</v>
      </c>
      <c r="V639" s="97" t="s">
        <v>797</v>
      </c>
      <c r="W639" s="97" t="s">
        <v>797</v>
      </c>
      <c r="X639" s="97" t="s">
        <v>797</v>
      </c>
      <c r="Y639" s="100" t="s">
        <v>797</v>
      </c>
      <c r="Z639" s="100" t="s">
        <v>797</v>
      </c>
      <c r="AA639" s="100" t="s">
        <v>797</v>
      </c>
      <c r="AB639" s="100" t="s">
        <v>797</v>
      </c>
      <c r="AC639" s="100" t="s">
        <v>797</v>
      </c>
      <c r="AD639" s="100" t="s">
        <v>797</v>
      </c>
      <c r="AE639" s="100" t="s">
        <v>797</v>
      </c>
      <c r="AF639" s="100" t="s">
        <v>797</v>
      </c>
      <c r="AG639" s="100" t="s">
        <v>797</v>
      </c>
      <c r="AH639" s="100" t="s">
        <v>797</v>
      </c>
      <c r="AI639" s="100" t="s">
        <v>797</v>
      </c>
      <c r="AJ639" s="100" t="s">
        <v>797</v>
      </c>
      <c r="AK639" s="100" t="s">
        <v>797</v>
      </c>
      <c r="AL639" s="100" t="s">
        <v>797</v>
      </c>
      <c r="AM639" s="100" t="s">
        <v>797</v>
      </c>
      <c r="AN639" s="100" t="s">
        <v>797</v>
      </c>
      <c r="AO639" s="100" t="s">
        <v>797</v>
      </c>
      <c r="AP639" s="100" t="s">
        <v>797</v>
      </c>
      <c r="AQ639" s="100" t="s">
        <v>797</v>
      </c>
      <c r="AR639" s="100" t="s">
        <v>797</v>
      </c>
      <c r="AS639" s="100" t="s">
        <v>797</v>
      </c>
      <c r="AT639" s="100" t="s">
        <v>797</v>
      </c>
      <c r="AU639" s="100" t="s">
        <v>797</v>
      </c>
      <c r="AV639" s="100" t="s">
        <v>797</v>
      </c>
      <c r="AW639" s="98" t="s">
        <v>797</v>
      </c>
      <c r="AX639" s="97" t="s">
        <v>797</v>
      </c>
      <c r="AY639" s="97" t="s">
        <v>797</v>
      </c>
      <c r="AZ639" s="97" t="s">
        <v>797</v>
      </c>
      <c r="BA639" s="97" t="s">
        <v>797</v>
      </c>
      <c r="BB639" s="97" t="s">
        <v>797</v>
      </c>
      <c r="BC639" s="97" t="s">
        <v>797</v>
      </c>
      <c r="BD639" s="97" t="s">
        <v>797</v>
      </c>
      <c r="BE639" s="97" t="s">
        <v>797</v>
      </c>
      <c r="BF639" s="97" t="s">
        <v>797</v>
      </c>
      <c r="BG639" s="97" t="s">
        <v>797</v>
      </c>
      <c r="BH639" s="97" t="s">
        <v>797</v>
      </c>
      <c r="BI639" s="97" t="s">
        <v>797</v>
      </c>
      <c r="BJ639" s="97" t="s">
        <v>797</v>
      </c>
      <c r="BK639" s="97" t="s">
        <v>797</v>
      </c>
      <c r="BL639" s="568" t="s">
        <v>797</v>
      </c>
      <c r="BM639" s="568" t="s">
        <v>797</v>
      </c>
      <c r="BN639" s="568" t="s">
        <v>797</v>
      </c>
      <c r="BO639" s="568" t="s">
        <v>797</v>
      </c>
      <c r="BP639" s="568" t="s">
        <v>797</v>
      </c>
      <c r="BQ639" s="568" t="s">
        <v>797</v>
      </c>
      <c r="BR639" s="99"/>
      <c r="BS639" s="568" t="s">
        <v>982</v>
      </c>
      <c r="BT639" s="568" t="s">
        <v>797</v>
      </c>
      <c r="BU639" s="568" t="s">
        <v>797</v>
      </c>
      <c r="BV639" s="568" t="s">
        <v>797</v>
      </c>
      <c r="BW639" s="568" t="s">
        <v>797</v>
      </c>
      <c r="BX639" s="568" t="s">
        <v>797</v>
      </c>
      <c r="BY639" s="568" t="s">
        <v>797</v>
      </c>
      <c r="BZ639" s="568" t="s">
        <v>797</v>
      </c>
      <c r="CA639" s="568" t="s">
        <v>797</v>
      </c>
      <c r="CB639" s="568" t="s">
        <v>797</v>
      </c>
      <c r="CC639" s="97" t="s">
        <v>797</v>
      </c>
      <c r="CD639" s="97" t="s">
        <v>797</v>
      </c>
      <c r="CE639" s="97" t="s">
        <v>797</v>
      </c>
      <c r="CF639" s="97" t="s">
        <v>797</v>
      </c>
      <c r="CG639" s="97" t="s">
        <v>797</v>
      </c>
      <c r="CH639" s="97" t="s">
        <v>797</v>
      </c>
      <c r="CI639" s="97" t="s">
        <v>797</v>
      </c>
      <c r="CJ639" s="97" t="s">
        <v>797</v>
      </c>
      <c r="CK639" s="97" t="s">
        <v>797</v>
      </c>
      <c r="CL639" s="97" t="s">
        <v>797</v>
      </c>
      <c r="CM639" s="100" t="s">
        <v>797</v>
      </c>
      <c r="CN639" s="100" t="s">
        <v>797</v>
      </c>
      <c r="CO639" s="100" t="s">
        <v>797</v>
      </c>
      <c r="CP639" s="100" t="s">
        <v>797</v>
      </c>
      <c r="CQ639" s="100" t="s">
        <v>797</v>
      </c>
      <c r="CR639" s="100" t="s">
        <v>797</v>
      </c>
      <c r="CS639" s="100" t="s">
        <v>797</v>
      </c>
      <c r="CT639" s="100" t="s">
        <v>797</v>
      </c>
      <c r="CU639" s="100" t="s">
        <v>797</v>
      </c>
      <c r="CV639" s="100" t="s">
        <v>797</v>
      </c>
      <c r="CW639" s="100" t="s">
        <v>797</v>
      </c>
      <c r="CX639" s="100" t="s">
        <v>797</v>
      </c>
      <c r="CY639" s="98" t="s">
        <v>797</v>
      </c>
      <c r="CZ639" s="97" t="s">
        <v>797</v>
      </c>
      <c r="DA639" s="97" t="s">
        <v>797</v>
      </c>
      <c r="DB639" s="97" t="s">
        <v>797</v>
      </c>
      <c r="DC639" s="97" t="s">
        <v>797</v>
      </c>
      <c r="DD639" s="97" t="s">
        <v>797</v>
      </c>
      <c r="DE639" s="97" t="s">
        <v>797</v>
      </c>
      <c r="DF639" s="97" t="s">
        <v>797</v>
      </c>
      <c r="DG639" s="568" t="s">
        <v>797</v>
      </c>
      <c r="DH639" s="568" t="s">
        <v>797</v>
      </c>
      <c r="DI639" s="568" t="s">
        <v>797</v>
      </c>
    </row>
    <row r="640" spans="1:113">
      <c r="AW640" s="22"/>
      <c r="CY640" s="22"/>
    </row>
    <row r="641" spans="1:113" s="36" customFormat="1" collapsed="1">
      <c r="A641" s="1" t="s">
        <v>747</v>
      </c>
      <c r="B641" s="2" t="s">
        <v>658</v>
      </c>
      <c r="C641" s="104"/>
      <c r="D641" s="104"/>
      <c r="E641" s="10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c r="AM641" s="104"/>
      <c r="AN641" s="104"/>
      <c r="AO641" s="104"/>
      <c r="AP641" s="104"/>
      <c r="AQ641" s="104"/>
      <c r="AR641" s="104"/>
      <c r="AS641" s="104"/>
      <c r="AT641" s="104"/>
      <c r="AU641" s="104"/>
      <c r="AV641" s="104"/>
      <c r="AW641" s="105"/>
      <c r="AX641" s="104"/>
      <c r="AY641" s="104"/>
      <c r="AZ641" s="104"/>
      <c r="BA641" s="104"/>
      <c r="BB641" s="104"/>
      <c r="BC641" s="104"/>
      <c r="BD641" s="104"/>
      <c r="BE641" s="104"/>
      <c r="BF641" s="104"/>
      <c r="BG641" s="104"/>
      <c r="BH641" s="104"/>
      <c r="BI641" s="104"/>
      <c r="BJ641" s="104"/>
      <c r="BK641" s="104"/>
      <c r="BL641" s="104"/>
      <c r="BM641" s="104"/>
      <c r="BN641" s="104"/>
      <c r="BO641" s="104"/>
      <c r="BP641" s="104"/>
      <c r="BQ641" s="104"/>
      <c r="BR641" s="104"/>
      <c r="BS641" s="104">
        <v>36.170074063127714</v>
      </c>
      <c r="BT641" s="104">
        <v>37.504030319432381</v>
      </c>
      <c r="BU641" s="104">
        <v>38.772660686734497</v>
      </c>
      <c r="BV641" s="104">
        <v>39.538648287529924</v>
      </c>
      <c r="BW641" s="104">
        <v>40.134180635993694</v>
      </c>
      <c r="BX641" s="104">
        <v>45.118979231840555</v>
      </c>
      <c r="BY641" s="104">
        <v>48.04643272169757</v>
      </c>
      <c r="BZ641" s="104">
        <v>52.79867567515101</v>
      </c>
      <c r="CA641" s="104">
        <v>47.390625478789758</v>
      </c>
      <c r="CB641" s="104">
        <v>50.336504244443013</v>
      </c>
      <c r="CC641" s="104">
        <v>52.539890065149969</v>
      </c>
      <c r="CD641" s="104">
        <v>53.730529880358773</v>
      </c>
      <c r="CE641" s="104">
        <v>56.290848350885632</v>
      </c>
      <c r="CF641" s="104">
        <v>58.234309586642304</v>
      </c>
      <c r="CG641" s="104">
        <v>60.425291236624027</v>
      </c>
      <c r="CH641" s="104">
        <v>62.343431818667554</v>
      </c>
      <c r="CI641" s="104">
        <v>64.207431672062611</v>
      </c>
      <c r="CJ641" s="104">
        <v>62.127367679712826</v>
      </c>
      <c r="CK641" s="104">
        <v>63.674682221368741</v>
      </c>
      <c r="CL641" s="104">
        <v>65.240211091919335</v>
      </c>
      <c r="CM641" s="104">
        <v>66.239075869003202</v>
      </c>
      <c r="CN641" s="104">
        <v>69.772552332775405</v>
      </c>
      <c r="CO641" s="104">
        <v>71.231941849791809</v>
      </c>
      <c r="CP641" s="104">
        <v>72.407288731193489</v>
      </c>
      <c r="CQ641" s="104">
        <v>73.764320132762037</v>
      </c>
      <c r="CR641" s="104">
        <v>75.339456282070884</v>
      </c>
      <c r="CS641" s="104">
        <v>77.491043718865754</v>
      </c>
      <c r="CT641" s="104">
        <v>77.490629104801087</v>
      </c>
      <c r="CU641" s="104">
        <v>78.96952940906246</v>
      </c>
      <c r="CV641" s="104">
        <v>82.84461502356146</v>
      </c>
      <c r="CW641" s="104">
        <v>85.433640964025756</v>
      </c>
      <c r="CX641" s="104">
        <v>87.682676971148723</v>
      </c>
      <c r="CY641" s="105">
        <v>89.726318075327711</v>
      </c>
      <c r="CZ641" s="104">
        <v>91.737604942410101</v>
      </c>
      <c r="DA641" s="104">
        <v>94.056537496570314</v>
      </c>
      <c r="DB641" s="104">
        <v>96.581855048050755</v>
      </c>
      <c r="DC641" s="104">
        <v>99.331925861613001</v>
      </c>
      <c r="DD641" s="104">
        <v>102.32675297758229</v>
      </c>
      <c r="DE641" s="104">
        <v>105.47497684972996</v>
      </c>
      <c r="DF641" s="104">
        <v>108.99139264649878</v>
      </c>
      <c r="DG641" s="104">
        <v>113.43676944918003</v>
      </c>
      <c r="DH641" s="104">
        <v>117.4732133587285</v>
      </c>
      <c r="DI641" s="104">
        <v>120.91347220479817</v>
      </c>
    </row>
    <row r="642" spans="1:113" outlineLevel="1">
      <c r="AW642" s="22"/>
      <c r="CY642" s="22"/>
    </row>
    <row r="643" spans="1:113" outlineLevel="1">
      <c r="A643" s="1" t="s">
        <v>748</v>
      </c>
      <c r="B643" s="19" t="s">
        <v>659</v>
      </c>
      <c r="AW643" s="22"/>
      <c r="BS643" s="55">
        <v>17376.756938023249</v>
      </c>
      <c r="BT643" s="55">
        <v>18617.588305507321</v>
      </c>
      <c r="BU643" s="55">
        <v>19791.253664697477</v>
      </c>
      <c r="BV643" s="55">
        <v>21065.675240855551</v>
      </c>
      <c r="BW643" s="55">
        <v>22156.520337291688</v>
      </c>
      <c r="BX643" s="55">
        <v>23143.450647310652</v>
      </c>
      <c r="BY643" s="55">
        <v>24208.217754921297</v>
      </c>
      <c r="BZ643" s="55">
        <v>26899.74913510929</v>
      </c>
      <c r="CA643" s="55">
        <v>36924.826808134036</v>
      </c>
      <c r="CB643" s="55">
        <v>38407.136394057947</v>
      </c>
      <c r="CC643" s="55">
        <v>40045.371533129102</v>
      </c>
      <c r="CD643" s="55">
        <v>40262.409599577593</v>
      </c>
      <c r="CE643" s="55">
        <v>42302.764053940002</v>
      </c>
      <c r="CF643" s="55">
        <v>43917.710054740666</v>
      </c>
      <c r="CG643" s="55">
        <v>44927.386249612573</v>
      </c>
      <c r="CH643" s="55">
        <v>46424.92362582808</v>
      </c>
      <c r="CI643" s="55">
        <v>48291.7418285268</v>
      </c>
      <c r="CJ643" s="55">
        <v>55108.706851265662</v>
      </c>
      <c r="CK643" s="55">
        <v>56999.381761028308</v>
      </c>
      <c r="CL643" s="55">
        <v>57614.326737759831</v>
      </c>
      <c r="CM643" s="55">
        <v>58804.001817420438</v>
      </c>
      <c r="CN643" s="55">
        <v>62327.557979170866</v>
      </c>
      <c r="CO643" s="55">
        <v>62407.710639317076</v>
      </c>
      <c r="CP643" s="55">
        <v>61788.996886216286</v>
      </c>
      <c r="CQ643" s="55">
        <v>66525.217609089523</v>
      </c>
      <c r="CR643" s="55">
        <v>66351.96197629848</v>
      </c>
      <c r="CS643" s="55">
        <v>66878.286592189063</v>
      </c>
      <c r="CT643" s="55">
        <v>65972.454098893882</v>
      </c>
      <c r="CU643" s="55">
        <v>64215.002513695443</v>
      </c>
      <c r="CV643" s="55">
        <v>65798.137737414319</v>
      </c>
      <c r="CW643" s="55">
        <v>58648.171996044206</v>
      </c>
      <c r="CX643" s="55">
        <v>54217.859303692145</v>
      </c>
      <c r="CY643" s="56">
        <v>51138.248781720751</v>
      </c>
      <c r="CZ643" s="55">
        <v>47202.135454745148</v>
      </c>
      <c r="DA643" s="55">
        <v>43653.124384385308</v>
      </c>
      <c r="DB643" s="55">
        <v>39788.251328763436</v>
      </c>
      <c r="DC643" s="55">
        <v>35579.404571191233</v>
      </c>
      <c r="DD643" s="55">
        <v>30995.970452195106</v>
      </c>
      <c r="DE643" s="55">
        <v>25854.61067481801</v>
      </c>
      <c r="DF643" s="55">
        <v>20372.336560869058</v>
      </c>
      <c r="DG643" s="55">
        <v>15218.806836081376</v>
      </c>
      <c r="DH643" s="55">
        <v>8539.9461441676722</v>
      </c>
      <c r="DI643" s="55">
        <v>0</v>
      </c>
    </row>
    <row r="644" spans="1:113" outlineLevel="1">
      <c r="A644" s="1" t="s">
        <v>6</v>
      </c>
      <c r="B644" s="19" t="s">
        <v>660</v>
      </c>
      <c r="AW644" s="22"/>
      <c r="BS644" s="55">
        <v>4545.7800844475541</v>
      </c>
      <c r="BT644" s="55">
        <v>4950.3545119633864</v>
      </c>
      <c r="BU644" s="55">
        <v>5390.9360635281273</v>
      </c>
      <c r="BV644" s="55">
        <v>5870.729373182131</v>
      </c>
      <c r="BW644" s="55">
        <v>6393.2242873953401</v>
      </c>
      <c r="BX644" s="55">
        <v>6962.2212489735257</v>
      </c>
      <c r="BY644" s="55">
        <v>7581.8589401321688</v>
      </c>
      <c r="BZ644" s="55">
        <v>8256.6443858039329</v>
      </c>
      <c r="CA644" s="55">
        <v>8991.4857361404829</v>
      </c>
      <c r="CB644" s="55">
        <v>9791.7279666569866</v>
      </c>
      <c r="CC644" s="55">
        <v>10663.191755689459</v>
      </c>
      <c r="CD644" s="55">
        <v>11612.21582194582</v>
      </c>
      <c r="CE644" s="55">
        <v>12645.703030098995</v>
      </c>
      <c r="CF644" s="55">
        <v>13771.170599777808</v>
      </c>
      <c r="CG644" s="55">
        <v>14996.804783158035</v>
      </c>
      <c r="CH644" s="55">
        <v>16331.520408859098</v>
      </c>
      <c r="CI644" s="55">
        <v>17785.025725247557</v>
      </c>
      <c r="CJ644" s="55">
        <v>19367.893014794598</v>
      </c>
      <c r="CK644" s="55">
        <v>21091.635493111309</v>
      </c>
      <c r="CL644" s="55">
        <v>22968.791051998218</v>
      </c>
      <c r="CM644" s="55">
        <v>25013.01345562606</v>
      </c>
      <c r="CN644" s="55">
        <v>27239.171653176782</v>
      </c>
      <c r="CO644" s="55">
        <v>29663.457930309509</v>
      </c>
      <c r="CP644" s="55">
        <v>32303.505686107063</v>
      </c>
      <c r="CQ644" s="55">
        <v>35178.517692170586</v>
      </c>
      <c r="CR644" s="55">
        <v>38309.405766773772</v>
      </c>
      <c r="CS644" s="55">
        <v>41718.942880016635</v>
      </c>
      <c r="CT644" s="55">
        <v>45431.928796338121</v>
      </c>
      <c r="CU644" s="55">
        <v>49475.370459212201</v>
      </c>
      <c r="CV644" s="55">
        <v>53878.678430082095</v>
      </c>
      <c r="CW644" s="55">
        <v>58673.880810359406</v>
      </c>
      <c r="CX644" s="55">
        <v>63895.856202481395</v>
      </c>
      <c r="CY644" s="56">
        <v>69582.587404502236</v>
      </c>
      <c r="CZ644" s="55">
        <v>75775.43768350294</v>
      </c>
      <c r="DA644" s="55">
        <v>82519.4516373347</v>
      </c>
      <c r="DB644" s="55">
        <v>89863.682833057479</v>
      </c>
      <c r="DC644" s="55">
        <v>97861.550605199591</v>
      </c>
      <c r="DD644" s="55">
        <v>106571.22860906237</v>
      </c>
      <c r="DE644" s="55">
        <v>116056.06795526891</v>
      </c>
      <c r="DF644" s="55">
        <v>126385.05800328786</v>
      </c>
      <c r="DG644" s="55">
        <v>137633.32816558046</v>
      </c>
      <c r="DH644" s="55">
        <v>149882.69437231714</v>
      </c>
      <c r="DI644" s="55">
        <v>163222.25417145336</v>
      </c>
    </row>
    <row r="645" spans="1:113" s="24" customFormat="1" outlineLevel="1">
      <c r="A645" s="1" t="s">
        <v>749</v>
      </c>
      <c r="B645" s="24" t="s">
        <v>168</v>
      </c>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23"/>
      <c r="AX645" s="13"/>
      <c r="AY645" s="13"/>
      <c r="AZ645" s="13"/>
      <c r="BA645" s="13"/>
      <c r="BB645" s="13"/>
      <c r="BC645" s="13"/>
      <c r="BD645" s="13"/>
      <c r="BE645" s="13"/>
      <c r="BF645" s="13"/>
      <c r="BG645" s="13"/>
      <c r="BH645" s="13"/>
      <c r="BI645" s="13"/>
      <c r="BJ645" s="13"/>
      <c r="BK645" s="13"/>
      <c r="BL645" s="13"/>
      <c r="BM645" s="13"/>
      <c r="BN645" s="13"/>
      <c r="BO645" s="13"/>
      <c r="BP645" s="13"/>
      <c r="BQ645" s="13"/>
      <c r="BR645" s="13"/>
      <c r="BS645" s="82">
        <v>21922.537022470802</v>
      </c>
      <c r="BT645" s="82">
        <v>23567.942817470706</v>
      </c>
      <c r="BU645" s="82">
        <v>25182.189728225603</v>
      </c>
      <c r="BV645" s="82">
        <v>26936.404614037681</v>
      </c>
      <c r="BW645" s="82">
        <v>28549.744624687028</v>
      </c>
      <c r="BX645" s="82">
        <v>30105.671896284177</v>
      </c>
      <c r="BY645" s="82">
        <v>31790.076695053467</v>
      </c>
      <c r="BZ645" s="82">
        <v>35156.393520913225</v>
      </c>
      <c r="CA645" s="82">
        <v>45916.312544274522</v>
      </c>
      <c r="CB645" s="82">
        <v>48198.864360714935</v>
      </c>
      <c r="CC645" s="82">
        <v>50708.563288818565</v>
      </c>
      <c r="CD645" s="82">
        <v>51874.625421523415</v>
      </c>
      <c r="CE645" s="82">
        <v>54948.467084038995</v>
      </c>
      <c r="CF645" s="82">
        <v>57688.880654518478</v>
      </c>
      <c r="CG645" s="82">
        <v>59924.191032770606</v>
      </c>
      <c r="CH645" s="82">
        <v>62756.444034687178</v>
      </c>
      <c r="CI645" s="82">
        <v>66076.767553774349</v>
      </c>
      <c r="CJ645" s="82">
        <v>74476.599866060264</v>
      </c>
      <c r="CK645" s="82">
        <v>78091.017254139617</v>
      </c>
      <c r="CL645" s="82">
        <v>80583.117789758049</v>
      </c>
      <c r="CM645" s="82">
        <v>83817.015273046505</v>
      </c>
      <c r="CN645" s="82">
        <v>89566.729632347648</v>
      </c>
      <c r="CO645" s="82">
        <v>92071.168569626578</v>
      </c>
      <c r="CP645" s="82">
        <v>94092.502572323341</v>
      </c>
      <c r="CQ645" s="82">
        <v>101703.73530126011</v>
      </c>
      <c r="CR645" s="82">
        <v>104661.36774307225</v>
      </c>
      <c r="CS645" s="82">
        <v>108597.2294722057</v>
      </c>
      <c r="CT645" s="82">
        <v>111404.382895232</v>
      </c>
      <c r="CU645" s="82">
        <v>113690.37297290764</v>
      </c>
      <c r="CV645" s="82">
        <v>119676.81616749641</v>
      </c>
      <c r="CW645" s="82">
        <v>117322.0528064036</v>
      </c>
      <c r="CX645" s="82">
        <v>118113.71550617354</v>
      </c>
      <c r="CY645" s="83">
        <v>120720.83618622299</v>
      </c>
      <c r="CZ645" s="82">
        <v>122977.57313824809</v>
      </c>
      <c r="DA645" s="82">
        <v>126172.57602172001</v>
      </c>
      <c r="DB645" s="82">
        <v>129651.93416182091</v>
      </c>
      <c r="DC645" s="82">
        <v>133440.95517639082</v>
      </c>
      <c r="DD645" s="82">
        <v>137567.19906125747</v>
      </c>
      <c r="DE645" s="82">
        <v>141910.67863008691</v>
      </c>
      <c r="DF645" s="82">
        <v>146757.39456415692</v>
      </c>
      <c r="DG645" s="82">
        <v>152852.13500166184</v>
      </c>
      <c r="DH645" s="82">
        <v>158422.64051648483</v>
      </c>
      <c r="DI645" s="82">
        <v>163222.25417145336</v>
      </c>
    </row>
    <row r="646" spans="1:113" outlineLevel="1">
      <c r="AW646" s="22"/>
      <c r="BS646" s="55"/>
      <c r="BT646" s="55"/>
      <c r="BU646" s="55"/>
      <c r="BV646" s="55"/>
      <c r="BW646" s="55"/>
      <c r="BX646" s="55"/>
      <c r="BY646" s="55"/>
      <c r="BZ646" s="55"/>
      <c r="CA646" s="55"/>
      <c r="CB646" s="55"/>
      <c r="CC646" s="55"/>
      <c r="CD646" s="55"/>
      <c r="CE646" s="55"/>
      <c r="CF646" s="55"/>
      <c r="CG646" s="55"/>
      <c r="CH646" s="55"/>
      <c r="CI646" s="55"/>
      <c r="CJ646" s="55"/>
      <c r="CK646" s="55"/>
      <c r="CL646" s="55"/>
      <c r="CM646" s="55"/>
      <c r="CN646" s="55"/>
      <c r="CO646" s="55"/>
      <c r="CP646" s="55"/>
      <c r="CQ646" s="55"/>
      <c r="CR646" s="55"/>
      <c r="CS646" s="55"/>
      <c r="CT646" s="55"/>
      <c r="CU646" s="55"/>
      <c r="CV646" s="55"/>
      <c r="CW646" s="55"/>
      <c r="CX646" s="55"/>
      <c r="CY646" s="56"/>
      <c r="CZ646" s="55"/>
      <c r="DA646" s="55"/>
      <c r="DB646" s="55"/>
    </row>
    <row r="647" spans="1:113" outlineLevel="1">
      <c r="A647" s="1" t="s">
        <v>750</v>
      </c>
      <c r="B647" s="19" t="s">
        <v>661</v>
      </c>
      <c r="AW647" s="22"/>
      <c r="BS647" s="55">
        <v>7718.4600990011777</v>
      </c>
      <c r="BT647" s="55">
        <v>8279.4908090063091</v>
      </c>
      <c r="BU647" s="55">
        <v>8830.4277298138441</v>
      </c>
      <c r="BV647" s="55">
        <v>9418.0895291105571</v>
      </c>
      <c r="BW647" s="55">
        <v>9914.9182472013981</v>
      </c>
      <c r="BX647" s="55">
        <v>10457.145971202321</v>
      </c>
      <c r="BY647" s="55">
        <v>11001.956962639333</v>
      </c>
      <c r="BZ647" s="55">
        <v>11530.681132314228</v>
      </c>
      <c r="CA647" s="55">
        <v>12019.836753090194</v>
      </c>
      <c r="CB647" s="55">
        <v>12462.868890781889</v>
      </c>
      <c r="CC647" s="55">
        <v>12975.064222061472</v>
      </c>
      <c r="CD647" s="55">
        <v>13121.84493782495</v>
      </c>
      <c r="CE647" s="55">
        <v>13622.489137291366</v>
      </c>
      <c r="CF647" s="55">
        <v>14040.4906705103</v>
      </c>
      <c r="CG647" s="55">
        <v>14497.580054471431</v>
      </c>
      <c r="CH647" s="55">
        <v>14934.407536462244</v>
      </c>
      <c r="CI647" s="55">
        <v>15359.712664350234</v>
      </c>
      <c r="CJ647" s="55">
        <v>15850.127091477403</v>
      </c>
      <c r="CK647" s="55">
        <v>16110.588402618896</v>
      </c>
      <c r="CL647" s="55">
        <v>16265.145056166264</v>
      </c>
      <c r="CM647" s="55">
        <v>16349.114394736493</v>
      </c>
      <c r="CN647" s="55">
        <v>17125.585575868034</v>
      </c>
      <c r="CO647" s="55">
        <v>17062.162692120288</v>
      </c>
      <c r="CP647" s="55">
        <v>16846.523743147565</v>
      </c>
      <c r="CQ647" s="55">
        <v>16547.407213430557</v>
      </c>
      <c r="CR647" s="55">
        <v>16159.183598283014</v>
      </c>
      <c r="CS647" s="55">
        <v>15672.893795673059</v>
      </c>
      <c r="CT647" s="55">
        <v>15111.952772059389</v>
      </c>
      <c r="CU647" s="55">
        <v>14495.173711629819</v>
      </c>
      <c r="CV647" s="55">
        <v>14654.844171964874</v>
      </c>
      <c r="CW647" s="55">
        <v>14278.696731841173</v>
      </c>
      <c r="CX647" s="55">
        <v>13719.415026689321</v>
      </c>
      <c r="CY647" s="56">
        <v>12980.242964064675</v>
      </c>
      <c r="CZ647" s="55">
        <v>12137.691974077319</v>
      </c>
      <c r="DA647" s="55">
        <v>11225.089127413361</v>
      </c>
      <c r="DB647" s="55">
        <v>10231.264627396313</v>
      </c>
      <c r="DC647" s="55">
        <v>9148.9897468777453</v>
      </c>
      <c r="DD647" s="55">
        <v>7970.3924019930255</v>
      </c>
      <c r="DE647" s="55">
        <v>6648.3284592389182</v>
      </c>
      <c r="DF647" s="55">
        <v>5238.6008299377536</v>
      </c>
      <c r="DG647" s="55">
        <v>3913.4074721352058</v>
      </c>
      <c r="DH647" s="55">
        <v>2195.9861513573978</v>
      </c>
      <c r="DI647" s="55">
        <v>0</v>
      </c>
    </row>
    <row r="648" spans="1:113" outlineLevel="1">
      <c r="A648" s="1" t="s">
        <v>751</v>
      </c>
      <c r="B648" s="19" t="s">
        <v>546</v>
      </c>
      <c r="AW648" s="22"/>
      <c r="BS648" s="55">
        <v>1066.6708292511639</v>
      </c>
      <c r="BT648" s="55">
        <v>1161.6045330545176</v>
      </c>
      <c r="BU648" s="55">
        <v>1264.9873364963696</v>
      </c>
      <c r="BV648" s="55">
        <v>1377.5712094445464</v>
      </c>
      <c r="BW648" s="55">
        <v>1500.1750470851109</v>
      </c>
      <c r="BX648" s="55">
        <v>1633.6906262756859</v>
      </c>
      <c r="BY648" s="55">
        <v>1779.0890920142217</v>
      </c>
      <c r="BZ648" s="55">
        <v>1937.4280212034876</v>
      </c>
      <c r="CA648" s="55">
        <v>2109.8591150905982</v>
      </c>
      <c r="CB648" s="55">
        <v>2297.6365763336612</v>
      </c>
      <c r="CC648" s="55">
        <v>2502.1262316273574</v>
      </c>
      <c r="CD648" s="55">
        <v>2724.8154662421921</v>
      </c>
      <c r="CE648" s="55">
        <v>2967.3240427377468</v>
      </c>
      <c r="CF648" s="55">
        <v>3231.4158825414065</v>
      </c>
      <c r="CG648" s="55">
        <v>3519.011896087592</v>
      </c>
      <c r="CH648" s="55">
        <v>3832.2039548393877</v>
      </c>
      <c r="CI648" s="55">
        <v>4173.2701068200931</v>
      </c>
      <c r="CJ648" s="55">
        <v>4544.6911463270826</v>
      </c>
      <c r="CK648" s="55">
        <v>4949.1686583501914</v>
      </c>
      <c r="CL648" s="55">
        <v>5389.6446689433587</v>
      </c>
      <c r="CM648" s="55">
        <v>5869.323044479318</v>
      </c>
      <c r="CN648" s="55">
        <v>6391.692795437978</v>
      </c>
      <c r="CO648" s="55">
        <v>6960.5534542319565</v>
      </c>
      <c r="CP648" s="55">
        <v>7580.0427116586025</v>
      </c>
      <c r="CQ648" s="55">
        <v>8254.6665129962166</v>
      </c>
      <c r="CR648" s="55">
        <v>8989.3318326528806</v>
      </c>
      <c r="CS648" s="55">
        <v>9789.3823657589874</v>
      </c>
      <c r="CT648" s="55">
        <v>10660.637396311538</v>
      </c>
      <c r="CU648" s="55">
        <v>11609.434124583262</v>
      </c>
      <c r="CV648" s="55">
        <v>12642.673761671174</v>
      </c>
      <c r="CW648" s="55">
        <v>13767.871726459909</v>
      </c>
      <c r="CX648" s="55">
        <v>14993.212310114841</v>
      </c>
      <c r="CY648" s="56">
        <v>16327.608205715062</v>
      </c>
      <c r="CZ648" s="55">
        <v>17780.765336023705</v>
      </c>
      <c r="DA648" s="55">
        <v>19363.253450929813</v>
      </c>
      <c r="DB648" s="55">
        <v>21086.583008062564</v>
      </c>
      <c r="DC648" s="55">
        <v>22963.288895780133</v>
      </c>
      <c r="DD648" s="55">
        <v>25007.021607504565</v>
      </c>
      <c r="DE648" s="55">
        <v>27232.646530572471</v>
      </c>
      <c r="DF648" s="55">
        <v>29656.352071793423</v>
      </c>
      <c r="DG648" s="55">
        <v>32295.767406183037</v>
      </c>
      <c r="DH648" s="55">
        <v>35170.090705333329</v>
      </c>
      <c r="DI648" s="55">
        <v>38300.228778107994</v>
      </c>
    </row>
    <row r="649" spans="1:113" s="24" customFormat="1" outlineLevel="1">
      <c r="A649" s="1" t="s">
        <v>752</v>
      </c>
      <c r="B649" s="24" t="s">
        <v>168</v>
      </c>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23"/>
      <c r="AX649" s="13"/>
      <c r="AY649" s="13"/>
      <c r="AZ649" s="13"/>
      <c r="BA649" s="13"/>
      <c r="BB649" s="13"/>
      <c r="BC649" s="13"/>
      <c r="BD649" s="13"/>
      <c r="BE649" s="13"/>
      <c r="BF649" s="13"/>
      <c r="BG649" s="13"/>
      <c r="BH649" s="13"/>
      <c r="BI649" s="13"/>
      <c r="BJ649" s="13"/>
      <c r="BK649" s="13"/>
      <c r="BL649" s="13"/>
      <c r="BM649" s="13"/>
      <c r="BN649" s="13"/>
      <c r="BO649" s="13"/>
      <c r="BP649" s="13"/>
      <c r="BQ649" s="13"/>
      <c r="BR649" s="13"/>
      <c r="BS649" s="82">
        <v>8785.1309282523416</v>
      </c>
      <c r="BT649" s="82">
        <v>9441.0953420608275</v>
      </c>
      <c r="BU649" s="82">
        <v>10095.415066310214</v>
      </c>
      <c r="BV649" s="82">
        <v>10795.660738555103</v>
      </c>
      <c r="BW649" s="82">
        <v>11415.093294286509</v>
      </c>
      <c r="BX649" s="82">
        <v>12090.836597478006</v>
      </c>
      <c r="BY649" s="82">
        <v>12781.046054653554</v>
      </c>
      <c r="BZ649" s="82">
        <v>13468.109153517717</v>
      </c>
      <c r="CA649" s="82">
        <v>14129.695868180792</v>
      </c>
      <c r="CB649" s="82">
        <v>14760.50546711555</v>
      </c>
      <c r="CC649" s="82">
        <v>15477.190453688829</v>
      </c>
      <c r="CD649" s="82">
        <v>15846.660404067141</v>
      </c>
      <c r="CE649" s="82">
        <v>16589.813180029112</v>
      </c>
      <c r="CF649" s="82">
        <v>17271.906553051707</v>
      </c>
      <c r="CG649" s="82">
        <v>18016.591950559025</v>
      </c>
      <c r="CH649" s="82">
        <v>18766.611491301632</v>
      </c>
      <c r="CI649" s="82">
        <v>19532.982771170326</v>
      </c>
      <c r="CJ649" s="82">
        <v>20394.818237804488</v>
      </c>
      <c r="CK649" s="82">
        <v>21059.757060969088</v>
      </c>
      <c r="CL649" s="82">
        <v>21654.789725109622</v>
      </c>
      <c r="CM649" s="82">
        <v>22218.43743921581</v>
      </c>
      <c r="CN649" s="82">
        <v>23517.278371306013</v>
      </c>
      <c r="CO649" s="82">
        <v>24022.716146352243</v>
      </c>
      <c r="CP649" s="82">
        <v>24426.566454806169</v>
      </c>
      <c r="CQ649" s="82">
        <v>24802.073726426774</v>
      </c>
      <c r="CR649" s="82">
        <v>25148.515430935895</v>
      </c>
      <c r="CS649" s="82">
        <v>25462.276161432048</v>
      </c>
      <c r="CT649" s="82">
        <v>25772.590168370927</v>
      </c>
      <c r="CU649" s="82">
        <v>26104.607836213079</v>
      </c>
      <c r="CV649" s="82">
        <v>27297.517933636049</v>
      </c>
      <c r="CW649" s="82">
        <v>28046.568458301081</v>
      </c>
      <c r="CX649" s="82">
        <v>28712.627336804162</v>
      </c>
      <c r="CY649" s="83">
        <v>29307.851169779737</v>
      </c>
      <c r="CZ649" s="82">
        <v>29918.457310101025</v>
      </c>
      <c r="DA649" s="82">
        <v>30588.342578343174</v>
      </c>
      <c r="DB649" s="82">
        <v>31317.847635458878</v>
      </c>
      <c r="DC649" s="82">
        <v>32112.278642657879</v>
      </c>
      <c r="DD649" s="82">
        <v>32977.414009497588</v>
      </c>
      <c r="DE649" s="82">
        <v>33880.974989811388</v>
      </c>
      <c r="DF649" s="82">
        <v>34894.952901731172</v>
      </c>
      <c r="DG649" s="82">
        <v>36209.174878318241</v>
      </c>
      <c r="DH649" s="82">
        <v>37366.076856690728</v>
      </c>
      <c r="DI649" s="82">
        <v>38300.228778107994</v>
      </c>
    </row>
    <row r="650" spans="1:113" outlineLevel="1">
      <c r="AW650" s="22"/>
      <c r="BS650" s="55"/>
      <c r="BT650" s="55"/>
      <c r="BU650" s="55"/>
      <c r="BV650" s="55"/>
      <c r="BW650" s="55"/>
      <c r="BX650" s="55"/>
      <c r="BY650" s="55"/>
      <c r="BZ650" s="55"/>
      <c r="CA650" s="55"/>
      <c r="CB650" s="55"/>
      <c r="CC650" s="55"/>
      <c r="CD650" s="55"/>
      <c r="CE650" s="55"/>
      <c r="CF650" s="55"/>
      <c r="CG650" s="55"/>
      <c r="CH650" s="55"/>
      <c r="CI650" s="55"/>
      <c r="CJ650" s="55"/>
      <c r="CK650" s="55"/>
      <c r="CL650" s="55"/>
      <c r="CM650" s="55"/>
      <c r="CN650" s="55"/>
      <c r="CO650" s="55"/>
      <c r="CP650" s="55"/>
      <c r="CQ650" s="55"/>
      <c r="CR650" s="55"/>
      <c r="CS650" s="55"/>
      <c r="CT650" s="55"/>
      <c r="CU650" s="55"/>
      <c r="CV650" s="55"/>
      <c r="CW650" s="55"/>
      <c r="CX650" s="55"/>
      <c r="CY650" s="56"/>
      <c r="CZ650" s="55"/>
      <c r="DA650" s="55"/>
      <c r="DB650" s="55"/>
    </row>
    <row r="651" spans="1:113" s="24" customFormat="1" outlineLevel="1">
      <c r="A651" s="1" t="s">
        <v>753</v>
      </c>
      <c r="B651" s="24" t="s">
        <v>547</v>
      </c>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23"/>
      <c r="AX651" s="13"/>
      <c r="AY651" s="13"/>
      <c r="AZ651" s="13"/>
      <c r="BA651" s="13"/>
      <c r="BB651" s="13"/>
      <c r="BC651" s="13"/>
      <c r="BD651" s="13"/>
      <c r="BE651" s="13"/>
      <c r="BF651" s="13"/>
      <c r="BG651" s="13"/>
      <c r="BH651" s="13"/>
      <c r="BI651" s="13"/>
      <c r="BJ651" s="13"/>
      <c r="BK651" s="13"/>
      <c r="BL651" s="13"/>
      <c r="BM651" s="13"/>
      <c r="BN651" s="13"/>
      <c r="BO651" s="13"/>
      <c r="BP651" s="13"/>
      <c r="BQ651" s="13"/>
      <c r="BR651" s="13"/>
      <c r="BS651" s="82">
        <v>30707.667950723146</v>
      </c>
      <c r="BT651" s="82">
        <v>33009.038159531534</v>
      </c>
      <c r="BU651" s="82">
        <v>35277.604794535815</v>
      </c>
      <c r="BV651" s="82">
        <v>37732.065352592785</v>
      </c>
      <c r="BW651" s="82">
        <v>39964.837918973535</v>
      </c>
      <c r="BX651" s="82">
        <v>42196.508493762187</v>
      </c>
      <c r="BY651" s="82">
        <v>44571.122749707021</v>
      </c>
      <c r="BZ651" s="82">
        <v>48624.502674430943</v>
      </c>
      <c r="CA651" s="82">
        <v>60046.00841245531</v>
      </c>
      <c r="CB651" s="82">
        <v>62959.369827830487</v>
      </c>
      <c r="CC651" s="82">
        <v>66185.753742507397</v>
      </c>
      <c r="CD651" s="82">
        <v>67721.285825590559</v>
      </c>
      <c r="CE651" s="82">
        <v>71538.280264068104</v>
      </c>
      <c r="CF651" s="82">
        <v>74960.787207570189</v>
      </c>
      <c r="CG651" s="82">
        <v>77940.782983329627</v>
      </c>
      <c r="CH651" s="82">
        <v>81523.055525988806</v>
      </c>
      <c r="CI651" s="82">
        <v>85609.750324944675</v>
      </c>
      <c r="CJ651" s="82">
        <v>94871.418103864751</v>
      </c>
      <c r="CK651" s="82">
        <v>99150.774315108705</v>
      </c>
      <c r="CL651" s="82">
        <v>102237.90751486766</v>
      </c>
      <c r="CM651" s="82">
        <v>106035.45271226231</v>
      </c>
      <c r="CN651" s="82">
        <v>113084.00800365367</v>
      </c>
      <c r="CO651" s="82">
        <v>116093.88471597881</v>
      </c>
      <c r="CP651" s="82">
        <v>118519.0690271295</v>
      </c>
      <c r="CQ651" s="82">
        <v>126505.80902768689</v>
      </c>
      <c r="CR651" s="82">
        <v>129809.88317400814</v>
      </c>
      <c r="CS651" s="82">
        <v>134059.50563363775</v>
      </c>
      <c r="CT651" s="82">
        <v>137176.97306360293</v>
      </c>
      <c r="CU651" s="82">
        <v>139794.98080912072</v>
      </c>
      <c r="CV651" s="82">
        <v>146974.33410113247</v>
      </c>
      <c r="CW651" s="82">
        <v>145368.62126470468</v>
      </c>
      <c r="CX651" s="82">
        <v>146826.3428429777</v>
      </c>
      <c r="CY651" s="83">
        <v>150028.68735600275</v>
      </c>
      <c r="CZ651" s="82">
        <v>152896.03044834911</v>
      </c>
      <c r="DA651" s="82">
        <v>156760.91860006319</v>
      </c>
      <c r="DB651" s="82">
        <v>160969.78179727978</v>
      </c>
      <c r="DC651" s="82">
        <v>165553.23381904871</v>
      </c>
      <c r="DD651" s="82">
        <v>170544.61307075506</v>
      </c>
      <c r="DE651" s="82">
        <v>175791.65361989831</v>
      </c>
      <c r="DF651" s="82">
        <v>181652.34746588807</v>
      </c>
      <c r="DG651" s="82">
        <v>189061.30987998008</v>
      </c>
      <c r="DH651" s="82">
        <v>195788.71737317555</v>
      </c>
      <c r="DI651" s="82">
        <v>201522.48294956135</v>
      </c>
    </row>
    <row r="652" spans="1:113" outlineLevel="1">
      <c r="A652" s="1" t="s">
        <v>754</v>
      </c>
      <c r="B652" s="19" t="s">
        <v>155</v>
      </c>
      <c r="AW652" s="22"/>
      <c r="BS652" s="55">
        <v>848.97995777196866</v>
      </c>
      <c r="BT652" s="55">
        <v>880.14642368791476</v>
      </c>
      <c r="BU652" s="55">
        <v>909.85772370802329</v>
      </c>
      <c r="BV652" s="55">
        <v>954.30842951940474</v>
      </c>
      <c r="BW652" s="55">
        <v>995.78058616529256</v>
      </c>
      <c r="BX652" s="55">
        <v>935.22746330182986</v>
      </c>
      <c r="BY652" s="55">
        <v>927.6676794691333</v>
      </c>
      <c r="BZ652" s="55">
        <v>920.94171023527042</v>
      </c>
      <c r="CA652" s="55">
        <v>1267.0440156846973</v>
      </c>
      <c r="CB652" s="55">
        <v>1250.7696108988537</v>
      </c>
      <c r="CC652" s="55">
        <v>1259.7238719083048</v>
      </c>
      <c r="CD652" s="55">
        <v>1260.3874552583952</v>
      </c>
      <c r="CE652" s="55">
        <v>1270.8687532676452</v>
      </c>
      <c r="CF652" s="55">
        <v>1287.2271988739192</v>
      </c>
      <c r="CG652" s="55">
        <v>1289.8702081238689</v>
      </c>
      <c r="CH652" s="55">
        <v>1307.6446571486024</v>
      </c>
      <c r="CI652" s="55">
        <v>1333.3308636637844</v>
      </c>
      <c r="CJ652" s="55">
        <v>1527.0471234667202</v>
      </c>
      <c r="CK652" s="55">
        <v>1557.1459621958577</v>
      </c>
      <c r="CL652" s="55">
        <v>1567.0995817414034</v>
      </c>
      <c r="CM652" s="55">
        <v>1600.7990951136135</v>
      </c>
      <c r="CN652" s="55">
        <v>1620.7520611301024</v>
      </c>
      <c r="CO652" s="55">
        <v>1629.8009249949728</v>
      </c>
      <c r="CP652" s="55">
        <v>1636.8389302232054</v>
      </c>
      <c r="CQ652" s="55">
        <v>1715</v>
      </c>
      <c r="CR652" s="55">
        <v>1723</v>
      </c>
      <c r="CS652" s="55">
        <v>1730</v>
      </c>
      <c r="CT652" s="55">
        <v>1770.239507</v>
      </c>
      <c r="CU652" s="55">
        <v>1770.239507</v>
      </c>
      <c r="CV652" s="55">
        <v>1774.0964100000001</v>
      </c>
      <c r="CW652" s="55">
        <v>1701.5384059999999</v>
      </c>
      <c r="CX652" s="55">
        <v>1674.519391</v>
      </c>
      <c r="CY652" s="56">
        <v>1672.0700300000001</v>
      </c>
      <c r="CZ652" s="55">
        <v>1666.6669087811076</v>
      </c>
      <c r="DA652" s="55">
        <v>1666.6669087811076</v>
      </c>
      <c r="DB652" s="55">
        <v>1666.6669087811076</v>
      </c>
      <c r="DC652" s="55">
        <v>1666.6669087811076</v>
      </c>
      <c r="DD652" s="55">
        <v>1666.6669087811076</v>
      </c>
      <c r="DE652" s="55">
        <v>1666.6669087811076</v>
      </c>
      <c r="DF652" s="55">
        <v>1666.6669087811076</v>
      </c>
      <c r="DG652" s="55">
        <v>1666.6669087811076</v>
      </c>
      <c r="DH652" s="55">
        <v>1666.6669087811076</v>
      </c>
      <c r="DI652" s="55">
        <v>1666.6669087811076</v>
      </c>
    </row>
    <row r="653" spans="1:113" s="24" customFormat="1" outlineLevel="1">
      <c r="A653" s="1" t="s">
        <v>755</v>
      </c>
      <c r="B653" s="24" t="s">
        <v>548</v>
      </c>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23"/>
      <c r="AX653" s="13"/>
      <c r="AY653" s="13"/>
      <c r="AZ653" s="13"/>
      <c r="BA653" s="13"/>
      <c r="BB653" s="13"/>
      <c r="BC653" s="13"/>
      <c r="BD653" s="13"/>
      <c r="BE653" s="13"/>
      <c r="BF653" s="13"/>
      <c r="BG653" s="13"/>
      <c r="BH653" s="13"/>
      <c r="BI653" s="13"/>
      <c r="BJ653" s="13"/>
      <c r="BK653" s="13"/>
      <c r="BL653" s="13"/>
      <c r="BM653" s="13"/>
      <c r="BN653" s="13"/>
      <c r="BO653" s="13"/>
      <c r="BP653" s="13"/>
      <c r="BQ653" s="13"/>
      <c r="BR653" s="13"/>
      <c r="BS653" s="106">
        <v>36.170074063127714</v>
      </c>
      <c r="BT653" s="106">
        <v>37.504030319432381</v>
      </c>
      <c r="BU653" s="106">
        <v>38.772660686734497</v>
      </c>
      <c r="BV653" s="106">
        <v>39.538648287529924</v>
      </c>
      <c r="BW653" s="106">
        <v>40.134180635993694</v>
      </c>
      <c r="BX653" s="106">
        <v>45.118979231840555</v>
      </c>
      <c r="BY653" s="106">
        <v>48.04643272169757</v>
      </c>
      <c r="BZ653" s="106">
        <v>52.79867567515101</v>
      </c>
      <c r="CA653" s="106">
        <v>47.390625478789758</v>
      </c>
      <c r="CB653" s="106">
        <v>50.336504244443013</v>
      </c>
      <c r="CC653" s="106">
        <v>52.539890065149969</v>
      </c>
      <c r="CD653" s="106">
        <v>53.730529880358773</v>
      </c>
      <c r="CE653" s="106">
        <v>56.290848350885632</v>
      </c>
      <c r="CF653" s="106">
        <v>58.234309586642304</v>
      </c>
      <c r="CG653" s="106">
        <v>60.425291236624027</v>
      </c>
      <c r="CH653" s="106">
        <v>62.343431818667554</v>
      </c>
      <c r="CI653" s="106">
        <v>64.207431672062611</v>
      </c>
      <c r="CJ653" s="106">
        <v>62.127367679712826</v>
      </c>
      <c r="CK653" s="106">
        <v>63.674682221368741</v>
      </c>
      <c r="CL653" s="106">
        <v>65.240211091919335</v>
      </c>
      <c r="CM653" s="106">
        <v>66.239075869003202</v>
      </c>
      <c r="CN653" s="106">
        <v>69.772552332775405</v>
      </c>
      <c r="CO653" s="106">
        <v>71.231941849791809</v>
      </c>
      <c r="CP653" s="106">
        <v>72.407288731193489</v>
      </c>
      <c r="CQ653" s="106">
        <v>73.764320132762037</v>
      </c>
      <c r="CR653" s="106">
        <v>75.339456282070884</v>
      </c>
      <c r="CS653" s="106">
        <v>77.491043718865754</v>
      </c>
      <c r="CT653" s="106">
        <v>77.490629104801087</v>
      </c>
      <c r="CU653" s="106">
        <v>78.96952940906246</v>
      </c>
      <c r="CV653" s="106">
        <v>82.84461502356146</v>
      </c>
      <c r="CW653" s="106">
        <v>85.433640964025756</v>
      </c>
      <c r="CX653" s="106">
        <v>87.682676971148723</v>
      </c>
      <c r="CY653" s="107">
        <v>89.726318075327711</v>
      </c>
      <c r="CZ653" s="106">
        <v>91.737604942410101</v>
      </c>
      <c r="DA653" s="106">
        <v>94.056537496570314</v>
      </c>
      <c r="DB653" s="106">
        <v>96.581855048050755</v>
      </c>
      <c r="DC653" s="106">
        <v>99.331925861613001</v>
      </c>
      <c r="DD653" s="106">
        <v>102.32675297758229</v>
      </c>
      <c r="DE653" s="106">
        <v>105.47497684972996</v>
      </c>
      <c r="DF653" s="106">
        <v>108.99139264649878</v>
      </c>
      <c r="DG653" s="106">
        <v>113.43676944918003</v>
      </c>
      <c r="DH653" s="106">
        <v>117.4732133587285</v>
      </c>
      <c r="DI653" s="106">
        <v>120.91347220479817</v>
      </c>
    </row>
    <row r="654" spans="1:113" outlineLevel="1">
      <c r="AW654" s="22"/>
      <c r="CY654" s="22"/>
    </row>
    <row r="655" spans="1:113" s="5" customFormat="1" ht="12.95" customHeight="1" outlineLevel="1">
      <c r="A655" s="1"/>
      <c r="B655" s="6" t="s">
        <v>441</v>
      </c>
      <c r="C655" s="568"/>
      <c r="D655" s="568"/>
      <c r="E655" s="568"/>
      <c r="F655" s="568"/>
      <c r="G655" s="568"/>
      <c r="H655" s="568"/>
      <c r="I655" s="568"/>
      <c r="J655" s="568"/>
      <c r="K655" s="568"/>
      <c r="L655" s="568"/>
      <c r="M655" s="97"/>
      <c r="N655" s="97"/>
      <c r="O655" s="97"/>
      <c r="P655" s="97"/>
      <c r="Q655" s="97"/>
      <c r="R655" s="97"/>
      <c r="S655" s="97"/>
      <c r="T655" s="100"/>
      <c r="U655" s="97"/>
      <c r="V655" s="97"/>
      <c r="W655" s="97"/>
      <c r="X655" s="97"/>
      <c r="Y655" s="100"/>
      <c r="Z655" s="100"/>
      <c r="AA655" s="100"/>
      <c r="AB655" s="100"/>
      <c r="AC655" s="100"/>
      <c r="AD655" s="100"/>
      <c r="AE655" s="100"/>
      <c r="AF655" s="100"/>
      <c r="AG655" s="100"/>
      <c r="AH655" s="100"/>
      <c r="AI655" s="100"/>
      <c r="AJ655" s="100"/>
      <c r="AK655" s="100"/>
      <c r="AL655" s="100"/>
      <c r="AM655" s="100"/>
      <c r="AN655" s="100"/>
      <c r="AO655" s="100"/>
      <c r="AP655" s="100"/>
      <c r="AQ655" s="100"/>
      <c r="AR655" s="100"/>
      <c r="AS655" s="100"/>
      <c r="AT655" s="100"/>
      <c r="AU655" s="100"/>
      <c r="AV655" s="100"/>
      <c r="AW655" s="98"/>
      <c r="AX655" s="97"/>
      <c r="AY655" s="97"/>
      <c r="AZ655" s="97"/>
      <c r="BA655" s="97"/>
      <c r="BB655" s="97"/>
      <c r="BC655" s="97"/>
      <c r="BD655" s="97"/>
      <c r="BE655" s="97"/>
      <c r="BF655" s="97"/>
      <c r="BG655" s="97"/>
      <c r="BH655" s="97"/>
      <c r="BI655" s="97"/>
      <c r="BJ655" s="97"/>
      <c r="BK655" s="97"/>
      <c r="BL655" s="568"/>
      <c r="BM655" s="568"/>
      <c r="BN655" s="568"/>
      <c r="BO655" s="568"/>
      <c r="BP655" s="568"/>
      <c r="BQ655" s="568"/>
      <c r="BR655" s="99"/>
      <c r="BS655" s="568" t="e">
        <v>#DIV/0!</v>
      </c>
      <c r="BT655" s="568" t="s">
        <v>797</v>
      </c>
      <c r="BU655" s="568" t="s">
        <v>797</v>
      </c>
      <c r="BV655" s="568" t="s">
        <v>797</v>
      </c>
      <c r="BW655" s="568" t="s">
        <v>797</v>
      </c>
      <c r="BX655" s="568" t="s">
        <v>797</v>
      </c>
      <c r="BY655" s="568" t="s">
        <v>797</v>
      </c>
      <c r="BZ655" s="568" t="s">
        <v>797</v>
      </c>
      <c r="CA655" s="568" t="s">
        <v>797</v>
      </c>
      <c r="CB655" s="568" t="s">
        <v>797</v>
      </c>
      <c r="CC655" s="97" t="s">
        <v>797</v>
      </c>
      <c r="CD655" s="97" t="s">
        <v>797</v>
      </c>
      <c r="CE655" s="97" t="s">
        <v>797</v>
      </c>
      <c r="CF655" s="97" t="s">
        <v>797</v>
      </c>
      <c r="CG655" s="97" t="s">
        <v>797</v>
      </c>
      <c r="CH655" s="97" t="s">
        <v>797</v>
      </c>
      <c r="CI655" s="97" t="s">
        <v>797</v>
      </c>
      <c r="CJ655" s="97" t="s">
        <v>797</v>
      </c>
      <c r="CK655" s="97" t="s">
        <v>797</v>
      </c>
      <c r="CL655" s="97" t="s">
        <v>797</v>
      </c>
      <c r="CM655" s="100" t="s">
        <v>797</v>
      </c>
      <c r="CN655" s="100" t="s">
        <v>797</v>
      </c>
      <c r="CO655" s="100" t="s">
        <v>797</v>
      </c>
      <c r="CP655" s="100" t="s">
        <v>797</v>
      </c>
      <c r="CQ655" s="100" t="s">
        <v>797</v>
      </c>
      <c r="CR655" s="100" t="s">
        <v>797</v>
      </c>
      <c r="CS655" s="100" t="s">
        <v>797</v>
      </c>
      <c r="CT655" s="100" t="s">
        <v>797</v>
      </c>
      <c r="CU655" s="100" t="s">
        <v>797</v>
      </c>
      <c r="CV655" s="100" t="s">
        <v>797</v>
      </c>
      <c r="CW655" s="100" t="s">
        <v>797</v>
      </c>
      <c r="CX655" s="100" t="s">
        <v>797</v>
      </c>
      <c r="CY655" s="98" t="s">
        <v>797</v>
      </c>
      <c r="CZ655" s="97" t="s">
        <v>797</v>
      </c>
      <c r="DA655" s="97" t="s">
        <v>797</v>
      </c>
      <c r="DB655" s="97" t="s">
        <v>797</v>
      </c>
      <c r="DC655" s="97" t="s">
        <v>797</v>
      </c>
      <c r="DD655" s="97" t="s">
        <v>797</v>
      </c>
      <c r="DE655" s="97" t="s">
        <v>797</v>
      </c>
      <c r="DF655" s="97" t="s">
        <v>797</v>
      </c>
      <c r="DG655" s="568" t="s">
        <v>797</v>
      </c>
      <c r="DH655" s="568" t="s">
        <v>797</v>
      </c>
      <c r="DI655" s="568" t="s">
        <v>797</v>
      </c>
    </row>
    <row r="656" spans="1:113">
      <c r="AW656" s="22"/>
      <c r="CY656" s="22"/>
    </row>
    <row r="657" spans="1:113" s="36" customFormat="1" collapsed="1">
      <c r="A657" s="1" t="s">
        <v>756</v>
      </c>
      <c r="B657" s="2" t="s">
        <v>446</v>
      </c>
      <c r="C657" s="3"/>
      <c r="D657" s="79"/>
      <c r="E657" s="79"/>
      <c r="F657" s="79"/>
      <c r="G657" s="79"/>
      <c r="H657" s="79"/>
      <c r="I657" s="79"/>
      <c r="J657" s="79"/>
      <c r="K657" s="79"/>
      <c r="L657" s="79"/>
      <c r="M657" s="79"/>
      <c r="N657" s="79"/>
      <c r="O657" s="79"/>
      <c r="P657" s="79"/>
      <c r="Q657" s="79"/>
      <c r="R657" s="79"/>
      <c r="S657" s="79"/>
      <c r="T657" s="79"/>
      <c r="U657" s="79"/>
      <c r="V657" s="79"/>
      <c r="W657" s="79"/>
      <c r="X657" s="79"/>
      <c r="Y657" s="79"/>
      <c r="Z657" s="79"/>
      <c r="AA657" s="79"/>
      <c r="AB657" s="79"/>
      <c r="AC657" s="79"/>
      <c r="AD657" s="79"/>
      <c r="AE657" s="79"/>
      <c r="AF657" s="79"/>
      <c r="AG657" s="79"/>
      <c r="AH657" s="79"/>
      <c r="AI657" s="79"/>
      <c r="AJ657" s="79"/>
      <c r="AK657" s="79"/>
      <c r="AL657" s="79"/>
      <c r="AM657" s="79"/>
      <c r="AN657" s="79"/>
      <c r="AO657" s="79"/>
      <c r="AP657" s="79"/>
      <c r="AQ657" s="79"/>
      <c r="AR657" s="79"/>
      <c r="AS657" s="79"/>
      <c r="AT657" s="79"/>
      <c r="AU657" s="79"/>
      <c r="AV657" s="79"/>
      <c r="AW657" s="80"/>
      <c r="AX657" s="79"/>
      <c r="AY657" s="79"/>
      <c r="AZ657" s="79"/>
      <c r="BA657" s="79"/>
      <c r="BB657" s="79"/>
      <c r="BC657" s="79"/>
      <c r="BD657" s="79"/>
      <c r="BE657" s="79"/>
      <c r="BF657" s="79"/>
      <c r="BG657" s="79"/>
      <c r="BH657" s="79"/>
      <c r="BI657" s="79"/>
      <c r="BJ657" s="79"/>
      <c r="BK657" s="79"/>
      <c r="BL657" s="79"/>
      <c r="BM657" s="79"/>
      <c r="BN657" s="79"/>
      <c r="BO657" s="79"/>
      <c r="BP657" s="79"/>
      <c r="BQ657" s="79"/>
      <c r="BR657" s="79"/>
      <c r="BS657" s="79"/>
      <c r="BT657" s="79"/>
      <c r="BU657" s="79"/>
      <c r="BV657" s="79"/>
      <c r="BW657" s="79"/>
      <c r="BX657" s="79"/>
      <c r="BY657" s="79"/>
      <c r="BZ657" s="79"/>
      <c r="CA657" s="79"/>
      <c r="CB657" s="79"/>
      <c r="CC657" s="79"/>
      <c r="CD657" s="79"/>
      <c r="CE657" s="79"/>
      <c r="CF657" s="79"/>
      <c r="CG657" s="79"/>
      <c r="CH657" s="79"/>
      <c r="CI657" s="79"/>
      <c r="CJ657" s="79"/>
      <c r="CK657" s="79"/>
      <c r="CL657" s="79"/>
      <c r="CM657" s="79"/>
      <c r="CN657" s="79"/>
      <c r="CO657" s="79"/>
      <c r="CP657" s="79"/>
      <c r="CQ657" s="79"/>
      <c r="CR657" s="79"/>
      <c r="CS657" s="79"/>
      <c r="CT657" s="79"/>
      <c r="CU657" s="79"/>
      <c r="CV657" s="79"/>
      <c r="CW657" s="79"/>
      <c r="CX657" s="79"/>
      <c r="CY657" s="80"/>
      <c r="CZ657" s="79"/>
      <c r="DA657" s="79"/>
      <c r="DB657" s="79"/>
      <c r="DC657" s="79"/>
      <c r="DD657" s="79"/>
      <c r="DE657" s="79"/>
      <c r="DF657" s="79"/>
      <c r="DG657" s="79"/>
      <c r="DH657" s="79"/>
      <c r="DI657" s="79"/>
    </row>
    <row r="658" spans="1:113" outlineLevel="1">
      <c r="U658" s="108"/>
      <c r="Z658" s="55"/>
      <c r="AW658" s="22"/>
      <c r="CY658" s="22"/>
    </row>
    <row r="659" spans="1:113" s="24" customFormat="1" outlineLevel="1">
      <c r="A659" s="1"/>
      <c r="B659" s="24" t="s">
        <v>447</v>
      </c>
      <c r="C659" s="13"/>
      <c r="D659" s="13"/>
      <c r="E659" s="13"/>
      <c r="F659" s="13"/>
      <c r="G659" s="13"/>
      <c r="H659" s="13"/>
      <c r="I659" s="13"/>
      <c r="J659" s="13"/>
      <c r="K659" s="13"/>
      <c r="L659" s="13"/>
      <c r="M659" s="13"/>
      <c r="N659" s="13"/>
      <c r="O659" s="13"/>
      <c r="P659" s="13"/>
      <c r="Q659" s="13"/>
      <c r="R659" s="13"/>
      <c r="S659" s="13"/>
      <c r="T659" s="13"/>
      <c r="U659" s="108"/>
      <c r="V659" s="13"/>
      <c r="W659" s="13"/>
      <c r="X659" s="82"/>
      <c r="Y659" s="82"/>
      <c r="Z659" s="82"/>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23"/>
      <c r="AX659" s="13"/>
      <c r="AY659" s="13"/>
      <c r="AZ659" s="13"/>
      <c r="BA659" s="13"/>
      <c r="BB659" s="13"/>
      <c r="BC659" s="13"/>
      <c r="BD659" s="13"/>
      <c r="BE659" s="13"/>
      <c r="BF659" s="13"/>
      <c r="BG659" s="13"/>
      <c r="BH659" s="13"/>
      <c r="BI659" s="13"/>
      <c r="BJ659" s="13"/>
      <c r="BK659" s="13"/>
      <c r="BL659" s="13"/>
      <c r="BM659" s="13"/>
      <c r="BN659" s="13"/>
      <c r="BO659" s="13"/>
      <c r="BP659" s="13"/>
      <c r="BQ659" s="13"/>
      <c r="BR659" s="13"/>
      <c r="BS659" s="13"/>
      <c r="BT659" s="13"/>
      <c r="BU659" s="13"/>
      <c r="BV659" s="13"/>
      <c r="BW659" s="13"/>
      <c r="BX659" s="13"/>
      <c r="BY659" s="13"/>
      <c r="BZ659" s="13"/>
      <c r="CA659" s="13"/>
      <c r="CB659" s="82"/>
      <c r="CC659" s="13"/>
      <c r="CD659" s="13"/>
      <c r="CE659" s="13"/>
      <c r="CF659" s="13"/>
      <c r="CG659" s="13"/>
      <c r="CH659" s="13"/>
      <c r="CI659" s="13"/>
      <c r="CJ659" s="13"/>
      <c r="CK659" s="13"/>
      <c r="CL659" s="13"/>
      <c r="CM659" s="13"/>
      <c r="CN659" s="13"/>
      <c r="CO659" s="13"/>
      <c r="CP659" s="13"/>
      <c r="CQ659" s="13"/>
      <c r="CR659" s="13"/>
      <c r="CS659" s="13"/>
      <c r="CT659" s="13"/>
      <c r="CU659" s="13"/>
      <c r="CV659" s="13"/>
      <c r="CW659" s="13"/>
      <c r="CX659" s="13"/>
      <c r="CY659" s="23"/>
      <c r="CZ659" s="13"/>
      <c r="DA659" s="13"/>
      <c r="DB659" s="13"/>
    </row>
    <row r="660" spans="1:113" outlineLevel="1">
      <c r="A660" s="1" t="s">
        <v>757</v>
      </c>
      <c r="B660" s="19" t="s">
        <v>493</v>
      </c>
      <c r="C660" s="53">
        <v>230411</v>
      </c>
      <c r="D660" s="53">
        <v>239653</v>
      </c>
      <c r="E660" s="53">
        <v>249648</v>
      </c>
      <c r="F660" s="53">
        <v>262017</v>
      </c>
      <c r="G660" s="53">
        <v>265110</v>
      </c>
      <c r="H660" s="53">
        <v>285879</v>
      </c>
      <c r="I660" s="53">
        <v>305995</v>
      </c>
      <c r="J660" s="53">
        <v>325359</v>
      </c>
      <c r="K660" s="53">
        <v>337404</v>
      </c>
      <c r="L660" s="53">
        <v>351193</v>
      </c>
      <c r="M660" s="53">
        <v>369103</v>
      </c>
      <c r="N660" s="53">
        <v>397261</v>
      </c>
      <c r="O660" s="53">
        <v>440157</v>
      </c>
      <c r="P660" s="53">
        <v>472664</v>
      </c>
      <c r="Q660" s="53">
        <v>487572</v>
      </c>
      <c r="R660" s="53">
        <v>618761</v>
      </c>
      <c r="S660" s="53">
        <v>620372</v>
      </c>
      <c r="T660" s="53">
        <v>625476</v>
      </c>
      <c r="U660" s="53">
        <v>646330</v>
      </c>
      <c r="V660" s="53">
        <v>649642</v>
      </c>
      <c r="W660" s="53">
        <v>667899</v>
      </c>
      <c r="X660" s="53">
        <v>701986</v>
      </c>
      <c r="Y660" s="53">
        <v>718859</v>
      </c>
      <c r="Z660" s="53">
        <v>722183</v>
      </c>
      <c r="AA660" s="164">
        <v>753857</v>
      </c>
      <c r="AB660" s="164">
        <v>782301</v>
      </c>
      <c r="AC660" s="164">
        <v>791451</v>
      </c>
      <c r="AD660" s="164">
        <v>850714</v>
      </c>
      <c r="AE660" s="164">
        <v>873446</v>
      </c>
      <c r="AF660" s="164">
        <v>902991</v>
      </c>
      <c r="AG660" s="164">
        <v>933001</v>
      </c>
      <c r="AH660" s="164">
        <v>971663</v>
      </c>
      <c r="AI660" s="164">
        <v>976318</v>
      </c>
      <c r="AJ660" s="164">
        <v>961930</v>
      </c>
      <c r="AK660" s="164">
        <v>975165</v>
      </c>
      <c r="AL660" s="164">
        <v>980430</v>
      </c>
      <c r="AM660" s="164">
        <v>976502</v>
      </c>
      <c r="AN660" s="164">
        <v>979868</v>
      </c>
      <c r="AO660" s="164">
        <v>1015471</v>
      </c>
      <c r="AP660" s="164">
        <v>1059233</v>
      </c>
      <c r="AQ660" s="164">
        <v>1091975</v>
      </c>
      <c r="AR660" s="164">
        <v>1149813</v>
      </c>
      <c r="AS660" s="164">
        <v>1215260</v>
      </c>
      <c r="AT660" s="164">
        <v>1232181</v>
      </c>
      <c r="AU660" s="164">
        <v>1252423</v>
      </c>
      <c r="AV660" s="164">
        <v>1275969</v>
      </c>
      <c r="AW660" s="171">
        <v>1254076</v>
      </c>
      <c r="AX660" s="55">
        <v>1281851.1528226736</v>
      </c>
      <c r="AY660" s="55">
        <v>1306978.4735529444</v>
      </c>
      <c r="AZ660" s="55">
        <v>1336308.4403232643</v>
      </c>
      <c r="BA660" s="55">
        <v>1356722.4455156673</v>
      </c>
      <c r="BB660" s="55">
        <v>1377751.5318912526</v>
      </c>
      <c r="BC660" s="55">
        <v>1401901.5421262197</v>
      </c>
      <c r="BD660" s="55">
        <v>1426514.0930164114</v>
      </c>
      <c r="BE660" s="55">
        <v>1451597.8168966488</v>
      </c>
      <c r="BF660" s="55">
        <v>1477161.5211073076</v>
      </c>
      <c r="BG660" s="55">
        <v>1503214.1911408845</v>
      </c>
      <c r="BH660" s="55">
        <v>1529764.9938667142</v>
      </c>
      <c r="BI660" s="55">
        <v>1556823.2808345</v>
      </c>
      <c r="BJ660" s="55">
        <v>1584398.5916574046</v>
      </c>
      <c r="BK660" s="55">
        <v>1614746.5631100354</v>
      </c>
      <c r="BL660" s="55">
        <v>1645682.5709373867</v>
      </c>
      <c r="BM660" s="55">
        <v>1677218.1276913867</v>
      </c>
      <c r="BN660" s="55">
        <v>1709364.9735306925</v>
      </c>
      <c r="BO660" s="55">
        <v>1742135.0807633922</v>
      </c>
      <c r="BP660" s="55">
        <v>1775540.6584812107</v>
      </c>
      <c r="BQ660" s="55">
        <v>1809594.157287084</v>
      </c>
      <c r="BR660" s="55"/>
      <c r="BS660" s="53">
        <v>88340</v>
      </c>
      <c r="BT660" s="53">
        <v>90979</v>
      </c>
      <c r="BU660" s="53">
        <v>91321</v>
      </c>
      <c r="BV660" s="53">
        <v>102774</v>
      </c>
      <c r="BW660" s="53">
        <v>109285</v>
      </c>
      <c r="BX660" s="53">
        <v>120103</v>
      </c>
      <c r="BY660" s="53">
        <v>130544</v>
      </c>
      <c r="BZ660" s="53">
        <v>138096</v>
      </c>
      <c r="CA660" s="53">
        <v>218259</v>
      </c>
      <c r="CB660" s="53">
        <v>230411</v>
      </c>
      <c r="CC660" s="55">
        <v>249648</v>
      </c>
      <c r="CD660" s="55">
        <v>265110</v>
      </c>
      <c r="CE660" s="55">
        <v>305995</v>
      </c>
      <c r="CF660" s="55">
        <v>337404</v>
      </c>
      <c r="CG660" s="55">
        <v>369103</v>
      </c>
      <c r="CH660" s="55">
        <v>440157</v>
      </c>
      <c r="CI660" s="55">
        <v>487572</v>
      </c>
      <c r="CJ660" s="55">
        <v>620372</v>
      </c>
      <c r="CK660" s="55">
        <v>646330</v>
      </c>
      <c r="CL660" s="55">
        <v>667899</v>
      </c>
      <c r="CM660" s="55">
        <v>718859</v>
      </c>
      <c r="CN660" s="55">
        <v>753857</v>
      </c>
      <c r="CO660" s="55">
        <v>791451</v>
      </c>
      <c r="CP660" s="55">
        <v>873446</v>
      </c>
      <c r="CQ660" s="55">
        <v>933001</v>
      </c>
      <c r="CR660" s="55">
        <v>976318</v>
      </c>
      <c r="CS660" s="55">
        <v>975165</v>
      </c>
      <c r="CT660" s="55">
        <v>976502</v>
      </c>
      <c r="CU660" s="55">
        <v>1015471</v>
      </c>
      <c r="CV660" s="55">
        <v>1091975</v>
      </c>
      <c r="CW660" s="55">
        <v>1215260</v>
      </c>
      <c r="CX660" s="55">
        <v>1252423</v>
      </c>
      <c r="CY660" s="56">
        <v>1254076</v>
      </c>
      <c r="CZ660" s="55">
        <v>1306978.4735529444</v>
      </c>
      <c r="DA660" s="55">
        <v>1356722.4455156673</v>
      </c>
      <c r="DB660" s="55">
        <v>1401901.5421262197</v>
      </c>
      <c r="DC660" s="55">
        <v>1451597.8168966488</v>
      </c>
      <c r="DD660" s="55">
        <v>1503214.1911408845</v>
      </c>
      <c r="DE660" s="55">
        <v>1556823.2808345</v>
      </c>
      <c r="DF660" s="55">
        <v>1614746.5631100354</v>
      </c>
      <c r="DG660" s="55">
        <v>1677218.1276913867</v>
      </c>
      <c r="DH660" s="55">
        <v>1742135.0807633922</v>
      </c>
      <c r="DI660" s="55">
        <v>1809594.157287084</v>
      </c>
    </row>
    <row r="661" spans="1:113" outlineLevel="1">
      <c r="A661" s="1" t="s">
        <v>758</v>
      </c>
      <c r="B661" s="19" t="s">
        <v>494</v>
      </c>
      <c r="C661" s="53">
        <v>5716</v>
      </c>
      <c r="D661" s="53">
        <v>5554</v>
      </c>
      <c r="E661" s="53">
        <v>5391</v>
      </c>
      <c r="F661" s="53">
        <v>5161</v>
      </c>
      <c r="G661" s="53">
        <v>5029</v>
      </c>
      <c r="H661" s="53">
        <v>4867</v>
      </c>
      <c r="I661" s="53">
        <v>4705</v>
      </c>
      <c r="J661" s="53">
        <v>7475</v>
      </c>
      <c r="K661" s="53">
        <v>7474</v>
      </c>
      <c r="L661" s="53">
        <v>7552</v>
      </c>
      <c r="M661" s="53">
        <v>7580</v>
      </c>
      <c r="N661" s="53">
        <v>7579</v>
      </c>
      <c r="O661" s="53">
        <v>7538</v>
      </c>
      <c r="P661" s="53">
        <v>7897</v>
      </c>
      <c r="Q661" s="53">
        <v>7905</v>
      </c>
      <c r="R661" s="53">
        <v>7915</v>
      </c>
      <c r="S661" s="53">
        <v>8572</v>
      </c>
      <c r="T661" s="53">
        <v>8523</v>
      </c>
      <c r="U661" s="53">
        <v>8470</v>
      </c>
      <c r="V661" s="53">
        <v>8382</v>
      </c>
      <c r="W661" s="53">
        <v>8306</v>
      </c>
      <c r="X661" s="53">
        <v>8546</v>
      </c>
      <c r="Y661" s="53">
        <v>8581</v>
      </c>
      <c r="Z661" s="53">
        <v>8535</v>
      </c>
      <c r="AA661" s="53">
        <v>8500</v>
      </c>
      <c r="AB661" s="164">
        <v>7992</v>
      </c>
      <c r="AC661" s="164">
        <v>7938</v>
      </c>
      <c r="AD661" s="164">
        <v>7902</v>
      </c>
      <c r="AE661" s="164">
        <v>7881</v>
      </c>
      <c r="AF661" s="164">
        <v>7835</v>
      </c>
      <c r="AG661" s="164">
        <v>8156</v>
      </c>
      <c r="AH661" s="164">
        <v>8103</v>
      </c>
      <c r="AI661" s="164">
        <v>8090</v>
      </c>
      <c r="AJ661" s="164">
        <v>7244</v>
      </c>
      <c r="AK661" s="164">
        <v>7271</v>
      </c>
      <c r="AL661" s="164">
        <v>6379</v>
      </c>
      <c r="AM661" s="164">
        <v>6253</v>
      </c>
      <c r="AN661" s="164">
        <v>6311</v>
      </c>
      <c r="AO661" s="164">
        <v>5595</v>
      </c>
      <c r="AP661" s="164">
        <v>5546</v>
      </c>
      <c r="AQ661" s="164">
        <v>5515</v>
      </c>
      <c r="AR661" s="164">
        <v>5488</v>
      </c>
      <c r="AS661" s="164">
        <v>5490</v>
      </c>
      <c r="AT661" s="164">
        <v>5493</v>
      </c>
      <c r="AU661" s="164">
        <v>5481</v>
      </c>
      <c r="AV661" s="164">
        <v>5475</v>
      </c>
      <c r="AW661" s="171">
        <v>5471</v>
      </c>
      <c r="AX661" s="55">
        <v>5471</v>
      </c>
      <c r="AY661" s="55">
        <v>5471</v>
      </c>
      <c r="AZ661" s="55">
        <v>5471</v>
      </c>
      <c r="BA661" s="55">
        <v>5471</v>
      </c>
      <c r="BB661" s="55">
        <v>5471</v>
      </c>
      <c r="BC661" s="55">
        <v>5471</v>
      </c>
      <c r="BD661" s="55">
        <v>5471</v>
      </c>
      <c r="BE661" s="55">
        <v>5471</v>
      </c>
      <c r="BF661" s="55">
        <v>5471</v>
      </c>
      <c r="BG661" s="55">
        <v>5471</v>
      </c>
      <c r="BH661" s="55">
        <v>5471</v>
      </c>
      <c r="BI661" s="55">
        <v>5471</v>
      </c>
      <c r="BJ661" s="55">
        <v>5471</v>
      </c>
      <c r="BK661" s="55">
        <v>5471</v>
      </c>
      <c r="BL661" s="55">
        <v>5471</v>
      </c>
      <c r="BM661" s="55">
        <v>5471</v>
      </c>
      <c r="BN661" s="55">
        <v>5471</v>
      </c>
      <c r="BO661" s="55">
        <v>5471</v>
      </c>
      <c r="BP661" s="55">
        <v>5471</v>
      </c>
      <c r="BQ661" s="55">
        <v>5471</v>
      </c>
      <c r="BR661" s="55"/>
      <c r="BS661" s="53">
        <v>0</v>
      </c>
      <c r="BT661" s="53">
        <v>0</v>
      </c>
      <c r="BU661" s="53">
        <v>0</v>
      </c>
      <c r="BV661" s="53">
        <v>0</v>
      </c>
      <c r="BW661" s="53">
        <v>0</v>
      </c>
      <c r="BX661" s="53">
        <v>0</v>
      </c>
      <c r="BY661" s="53">
        <v>0</v>
      </c>
      <c r="BZ661" s="53">
        <v>491</v>
      </c>
      <c r="CA661" s="53">
        <v>5905</v>
      </c>
      <c r="CB661" s="53">
        <v>5716</v>
      </c>
      <c r="CC661" s="55">
        <v>5391</v>
      </c>
      <c r="CD661" s="55">
        <v>5029</v>
      </c>
      <c r="CE661" s="55">
        <v>4705</v>
      </c>
      <c r="CF661" s="55">
        <v>7474</v>
      </c>
      <c r="CG661" s="55">
        <v>7580</v>
      </c>
      <c r="CH661" s="55">
        <v>7538</v>
      </c>
      <c r="CI661" s="55">
        <v>7905</v>
      </c>
      <c r="CJ661" s="55">
        <v>8572</v>
      </c>
      <c r="CK661" s="55">
        <v>8470</v>
      </c>
      <c r="CL661" s="55">
        <v>8306</v>
      </c>
      <c r="CM661" s="55">
        <v>8581</v>
      </c>
      <c r="CN661" s="55">
        <v>8500</v>
      </c>
      <c r="CO661" s="55">
        <v>7938</v>
      </c>
      <c r="CP661" s="55">
        <v>7881</v>
      </c>
      <c r="CQ661" s="55">
        <v>8156</v>
      </c>
      <c r="CR661" s="55">
        <v>8090</v>
      </c>
      <c r="CS661" s="55">
        <v>7271</v>
      </c>
      <c r="CT661" s="55">
        <v>6253</v>
      </c>
      <c r="CU661" s="55">
        <v>5595</v>
      </c>
      <c r="CV661" s="55">
        <v>5515</v>
      </c>
      <c r="CW661" s="55">
        <v>5490</v>
      </c>
      <c r="CX661" s="55">
        <v>5481</v>
      </c>
      <c r="CY661" s="56">
        <v>5471</v>
      </c>
      <c r="CZ661" s="55">
        <v>5471</v>
      </c>
      <c r="DA661" s="55">
        <v>5471</v>
      </c>
      <c r="DB661" s="55">
        <v>5471</v>
      </c>
      <c r="DC661" s="55">
        <v>5471</v>
      </c>
      <c r="DD661" s="55">
        <v>5471</v>
      </c>
      <c r="DE661" s="55">
        <v>5471</v>
      </c>
      <c r="DF661" s="55">
        <v>5471</v>
      </c>
      <c r="DG661" s="55">
        <v>5471</v>
      </c>
      <c r="DH661" s="55">
        <v>5471</v>
      </c>
      <c r="DI661" s="55">
        <v>5471</v>
      </c>
    </row>
    <row r="662" spans="1:113" outlineLevel="1">
      <c r="A662" s="1" t="s">
        <v>759</v>
      </c>
      <c r="B662" s="19" t="s">
        <v>909</v>
      </c>
      <c r="C662" s="53">
        <v>4622</v>
      </c>
      <c r="D662" s="53">
        <v>4628</v>
      </c>
      <c r="E662" s="53">
        <v>7728</v>
      </c>
      <c r="F662" s="53">
        <v>6735</v>
      </c>
      <c r="G662" s="53">
        <v>7066</v>
      </c>
      <c r="H662" s="53">
        <v>7620</v>
      </c>
      <c r="I662" s="53">
        <v>8369</v>
      </c>
      <c r="J662" s="53">
        <v>6397</v>
      </c>
      <c r="K662" s="53">
        <v>6087</v>
      </c>
      <c r="L662" s="53">
        <v>5279</v>
      </c>
      <c r="M662" s="53">
        <v>7107</v>
      </c>
      <c r="N662" s="53">
        <v>5686</v>
      </c>
      <c r="O662" s="53">
        <v>5495</v>
      </c>
      <c r="P662" s="53">
        <v>7779</v>
      </c>
      <c r="Q662" s="53">
        <v>6984</v>
      </c>
      <c r="R662" s="53">
        <v>14846</v>
      </c>
      <c r="S662" s="53">
        <v>14421</v>
      </c>
      <c r="T662" s="53">
        <v>11923</v>
      </c>
      <c r="U662" s="53">
        <v>10072</v>
      </c>
      <c r="V662" s="53">
        <v>12771</v>
      </c>
      <c r="W662" s="53">
        <v>10393</v>
      </c>
      <c r="X662" s="53">
        <v>8428</v>
      </c>
      <c r="Y662" s="53">
        <v>10886</v>
      </c>
      <c r="Z662" s="53">
        <v>9650</v>
      </c>
      <c r="AA662" s="164">
        <v>7744</v>
      </c>
      <c r="AB662" s="164">
        <v>7599</v>
      </c>
      <c r="AC662" s="164">
        <v>8065</v>
      </c>
      <c r="AD662" s="164">
        <v>9795</v>
      </c>
      <c r="AE662" s="164">
        <v>13063</v>
      </c>
      <c r="AF662" s="164">
        <v>12350</v>
      </c>
      <c r="AG662" s="164">
        <v>11591</v>
      </c>
      <c r="AH662" s="164">
        <v>10612</v>
      </c>
      <c r="AI662" s="164">
        <v>10037</v>
      </c>
      <c r="AJ662" s="164">
        <v>6955</v>
      </c>
      <c r="AK662" s="164">
        <v>9222</v>
      </c>
      <c r="AL662" s="164">
        <v>7744</v>
      </c>
      <c r="AM662" s="164">
        <v>8093</v>
      </c>
      <c r="AN662" s="164">
        <v>7710</v>
      </c>
      <c r="AO662" s="164">
        <v>8547</v>
      </c>
      <c r="AP662" s="164">
        <v>7280</v>
      </c>
      <c r="AQ662" s="164">
        <v>5085</v>
      </c>
      <c r="AR662" s="164">
        <v>5072</v>
      </c>
      <c r="AS662" s="164">
        <v>6845</v>
      </c>
      <c r="AT662" s="164">
        <v>7598</v>
      </c>
      <c r="AU662" s="164">
        <v>6079</v>
      </c>
      <c r="AV662" s="164">
        <v>7906</v>
      </c>
      <c r="AW662" s="171">
        <v>5862</v>
      </c>
      <c r="AX662" s="55">
        <v>5991.8310037402143</v>
      </c>
      <c r="AY662" s="55">
        <v>6109.2850927434702</v>
      </c>
      <c r="AZ662" s="55">
        <v>6246.3838532712334</v>
      </c>
      <c r="BA662" s="55">
        <v>6341.8062187721016</v>
      </c>
      <c r="BB662" s="55">
        <v>6440.1036938323696</v>
      </c>
      <c r="BC662" s="55">
        <v>6552.9894838461942</v>
      </c>
      <c r="BD662" s="55">
        <v>6668.0373544045215</v>
      </c>
      <c r="BE662" s="55">
        <v>6785.2876561294179</v>
      </c>
      <c r="BF662" s="55">
        <v>6904.7815576815419</v>
      </c>
      <c r="BG662" s="55">
        <v>7026.5610604683179</v>
      </c>
      <c r="BH662" s="55">
        <v>7150.6690137174137</v>
      </c>
      <c r="BI662" s="55">
        <v>7277.1491299186328</v>
      </c>
      <c r="BJ662" s="55">
        <v>7406.0460006376861</v>
      </c>
      <c r="BK662" s="55">
        <v>7547.9032793475262</v>
      </c>
      <c r="BL662" s="55">
        <v>7692.5092505039265</v>
      </c>
      <c r="BM662" s="55">
        <v>7839.9177278944098</v>
      </c>
      <c r="BN662" s="55">
        <v>7990.1835892218023</v>
      </c>
      <c r="BO662" s="55">
        <v>8143.3627973384437</v>
      </c>
      <c r="BP662" s="55">
        <v>8299.5124219081281</v>
      </c>
      <c r="BQ662" s="55">
        <v>8458.6906615044754</v>
      </c>
      <c r="BR662" s="55"/>
      <c r="BS662" s="53">
        <v>2816</v>
      </c>
      <c r="BT662" s="53">
        <v>5181.8</v>
      </c>
      <c r="BU662" s="53">
        <v>4312.2</v>
      </c>
      <c r="BV662" s="53">
        <v>5033</v>
      </c>
      <c r="BW662" s="53">
        <v>5713</v>
      </c>
      <c r="BX662" s="53">
        <v>4839</v>
      </c>
      <c r="BY662" s="53">
        <v>3448</v>
      </c>
      <c r="BZ662" s="53">
        <v>1206</v>
      </c>
      <c r="CA662" s="53">
        <v>5154</v>
      </c>
      <c r="CB662" s="53">
        <v>4622</v>
      </c>
      <c r="CC662" s="55">
        <v>7728</v>
      </c>
      <c r="CD662" s="55">
        <v>7066</v>
      </c>
      <c r="CE662" s="55">
        <v>8369</v>
      </c>
      <c r="CF662" s="55">
        <v>6087</v>
      </c>
      <c r="CG662" s="55">
        <v>7107</v>
      </c>
      <c r="CH662" s="55">
        <v>5495</v>
      </c>
      <c r="CI662" s="55">
        <v>6984</v>
      </c>
      <c r="CJ662" s="55">
        <v>14421</v>
      </c>
      <c r="CK662" s="55">
        <v>10072</v>
      </c>
      <c r="CL662" s="55">
        <v>10393</v>
      </c>
      <c r="CM662" s="55">
        <v>10886</v>
      </c>
      <c r="CN662" s="55">
        <v>7744</v>
      </c>
      <c r="CO662" s="55">
        <v>8065</v>
      </c>
      <c r="CP662" s="55">
        <v>13063</v>
      </c>
      <c r="CQ662" s="55">
        <v>11591</v>
      </c>
      <c r="CR662" s="55">
        <v>10037</v>
      </c>
      <c r="CS662" s="55">
        <v>9222</v>
      </c>
      <c r="CT662" s="55">
        <v>8093</v>
      </c>
      <c r="CU662" s="55">
        <v>8547</v>
      </c>
      <c r="CV662" s="55">
        <v>5085</v>
      </c>
      <c r="CW662" s="55">
        <v>6845</v>
      </c>
      <c r="CX662" s="55">
        <v>6079</v>
      </c>
      <c r="CY662" s="56">
        <v>5862</v>
      </c>
      <c r="CZ662" s="55">
        <v>6109.2850927434702</v>
      </c>
      <c r="DA662" s="55">
        <v>6341.8062187721016</v>
      </c>
      <c r="DB662" s="55">
        <v>6552.9894838461942</v>
      </c>
      <c r="DC662" s="55">
        <v>6785.2876561294179</v>
      </c>
      <c r="DD662" s="55">
        <v>7026.5610604683179</v>
      </c>
      <c r="DE662" s="55">
        <v>7277.1491299186328</v>
      </c>
      <c r="DF662" s="55">
        <v>7547.9032793475262</v>
      </c>
      <c r="DG662" s="55">
        <v>7839.9177278944098</v>
      </c>
      <c r="DH662" s="55">
        <v>8143.3627973384437</v>
      </c>
      <c r="DI662" s="55">
        <v>8458.6906615044754</v>
      </c>
    </row>
    <row r="663" spans="1:113" outlineLevel="1">
      <c r="A663" s="1" t="s">
        <v>760</v>
      </c>
      <c r="B663" s="19" t="s">
        <v>1069</v>
      </c>
      <c r="C663" s="53">
        <v>6909</v>
      </c>
      <c r="D663" s="53">
        <v>7080</v>
      </c>
      <c r="E663" s="53">
        <v>8389</v>
      </c>
      <c r="F663" s="53">
        <v>13462</v>
      </c>
      <c r="G663" s="53">
        <v>10435</v>
      </c>
      <c r="H663" s="53">
        <v>12134</v>
      </c>
      <c r="I663" s="53">
        <v>14896</v>
      </c>
      <c r="J663" s="53">
        <v>15884</v>
      </c>
      <c r="K663" s="53">
        <v>14631</v>
      </c>
      <c r="L663" s="53">
        <v>28812</v>
      </c>
      <c r="M663" s="53">
        <v>29168</v>
      </c>
      <c r="N663" s="53">
        <v>33626</v>
      </c>
      <c r="O663" s="53">
        <v>35214</v>
      </c>
      <c r="P663" s="53">
        <v>38379</v>
      </c>
      <c r="Q663" s="53">
        <v>36430</v>
      </c>
      <c r="R663" s="53">
        <v>49123</v>
      </c>
      <c r="S663" s="53">
        <v>48582</v>
      </c>
      <c r="T663" s="53">
        <v>51926</v>
      </c>
      <c r="U663" s="53">
        <v>56420</v>
      </c>
      <c r="V663" s="53">
        <v>58627</v>
      </c>
      <c r="W663" s="53">
        <v>66464</v>
      </c>
      <c r="X663" s="53">
        <v>77710</v>
      </c>
      <c r="Y663" s="53">
        <v>75623</v>
      </c>
      <c r="Z663" s="53">
        <v>77739</v>
      </c>
      <c r="AA663" s="164">
        <v>80125</v>
      </c>
      <c r="AB663" s="164">
        <v>83542</v>
      </c>
      <c r="AC663" s="164">
        <v>88356</v>
      </c>
      <c r="AD663" s="164">
        <v>100146</v>
      </c>
      <c r="AE663" s="164">
        <v>102386</v>
      </c>
      <c r="AF663" s="164">
        <v>106789</v>
      </c>
      <c r="AG663" s="164">
        <v>116445</v>
      </c>
      <c r="AH663" s="164">
        <v>116677</v>
      </c>
      <c r="AI663" s="164">
        <v>117350</v>
      </c>
      <c r="AJ663" s="164">
        <v>119647</v>
      </c>
      <c r="AK663" s="164">
        <v>114752</v>
      </c>
      <c r="AL663" s="164">
        <v>116880</v>
      </c>
      <c r="AM663" s="164">
        <v>119944</v>
      </c>
      <c r="AN663" s="164">
        <v>119211</v>
      </c>
      <c r="AO663" s="164">
        <v>100982</v>
      </c>
      <c r="AP663" s="164">
        <v>112367</v>
      </c>
      <c r="AQ663" s="164">
        <v>106359</v>
      </c>
      <c r="AR663" s="164">
        <v>101701</v>
      </c>
      <c r="AS663" s="164">
        <v>71882</v>
      </c>
      <c r="AT663" s="164">
        <v>78000</v>
      </c>
      <c r="AU663" s="164">
        <v>130385</v>
      </c>
      <c r="AV663" s="164">
        <v>166429</v>
      </c>
      <c r="AW663" s="171">
        <v>158988</v>
      </c>
      <c r="AX663" s="55">
        <v>162509.2507032837</v>
      </c>
      <c r="AY663" s="55">
        <v>165694.81718271901</v>
      </c>
      <c r="AZ663" s="55">
        <v>169413.18254245768</v>
      </c>
      <c r="BA663" s="55">
        <v>172001.20899183536</v>
      </c>
      <c r="BB663" s="55">
        <v>174667.2135917811</v>
      </c>
      <c r="BC663" s="55">
        <v>177728.87957313866</v>
      </c>
      <c r="BD663" s="55">
        <v>180849.18507370626</v>
      </c>
      <c r="BE663" s="55">
        <v>184029.22447504333</v>
      </c>
      <c r="BF663" s="55">
        <v>187270.11434538948</v>
      </c>
      <c r="BG663" s="55">
        <v>190572.99383857677</v>
      </c>
      <c r="BH663" s="55">
        <v>193939.02510284961</v>
      </c>
      <c r="BI663" s="55">
        <v>197369.39369967653</v>
      </c>
      <c r="BJ663" s="55">
        <v>200865.30903264831</v>
      </c>
      <c r="BK663" s="55">
        <v>204712.73397763641</v>
      </c>
      <c r="BL663" s="55">
        <v>208634.70841336035</v>
      </c>
      <c r="BM663" s="55">
        <v>212632.6918666797</v>
      </c>
      <c r="BN663" s="55">
        <v>216708.17271975364</v>
      </c>
      <c r="BO663" s="55">
        <v>220862.66878595095</v>
      </c>
      <c r="BP663" s="55">
        <v>225097.72789736089</v>
      </c>
      <c r="BQ663" s="55">
        <v>229414.92850414084</v>
      </c>
      <c r="BR663" s="55"/>
      <c r="BS663" s="53">
        <v>8080.5</v>
      </c>
      <c r="BT663" s="53">
        <v>9566</v>
      </c>
      <c r="BU663" s="53">
        <v>11901.199999999999</v>
      </c>
      <c r="BV663" s="53">
        <v>12408</v>
      </c>
      <c r="BW663" s="53">
        <v>11277</v>
      </c>
      <c r="BX663" s="53">
        <v>11868</v>
      </c>
      <c r="BY663" s="53">
        <v>10867</v>
      </c>
      <c r="BZ663" s="53">
        <v>11895</v>
      </c>
      <c r="CA663" s="53">
        <v>16496</v>
      </c>
      <c r="CB663" s="53">
        <v>16614</v>
      </c>
      <c r="CC663" s="55">
        <v>8389</v>
      </c>
      <c r="CD663" s="55">
        <v>10435</v>
      </c>
      <c r="CE663" s="55">
        <v>14896</v>
      </c>
      <c r="CF663" s="55">
        <v>14631</v>
      </c>
      <c r="CG663" s="55">
        <v>29168</v>
      </c>
      <c r="CH663" s="55">
        <v>35214</v>
      </c>
      <c r="CI663" s="55">
        <v>36430</v>
      </c>
      <c r="CJ663" s="55">
        <v>48582</v>
      </c>
      <c r="CK663" s="55">
        <v>56420</v>
      </c>
      <c r="CL663" s="55">
        <v>66464</v>
      </c>
      <c r="CM663" s="55">
        <v>75623</v>
      </c>
      <c r="CN663" s="55">
        <v>80125</v>
      </c>
      <c r="CO663" s="55">
        <v>88356</v>
      </c>
      <c r="CP663" s="55">
        <v>102386</v>
      </c>
      <c r="CQ663" s="55">
        <v>116445</v>
      </c>
      <c r="CR663" s="55">
        <v>117350</v>
      </c>
      <c r="CS663" s="55">
        <v>114752</v>
      </c>
      <c r="CT663" s="55">
        <v>119944</v>
      </c>
      <c r="CU663" s="55">
        <v>100982</v>
      </c>
      <c r="CV663" s="55">
        <v>106359</v>
      </c>
      <c r="CW663" s="55">
        <v>71882</v>
      </c>
      <c r="CX663" s="55">
        <v>130385</v>
      </c>
      <c r="CY663" s="56">
        <v>158988</v>
      </c>
      <c r="CZ663" s="55">
        <v>165694.81718271901</v>
      </c>
      <c r="DA663" s="55">
        <v>172001.20899183536</v>
      </c>
      <c r="DB663" s="55">
        <v>177728.87957313866</v>
      </c>
      <c r="DC663" s="55">
        <v>184029.22447504333</v>
      </c>
      <c r="DD663" s="55">
        <v>190572.99383857677</v>
      </c>
      <c r="DE663" s="55">
        <v>197369.39369967653</v>
      </c>
      <c r="DF663" s="55">
        <v>204712.73397763641</v>
      </c>
      <c r="DG663" s="55">
        <v>212632.6918666797</v>
      </c>
      <c r="DH663" s="55">
        <v>220862.66878595095</v>
      </c>
      <c r="DI663" s="55">
        <v>229414.92850414084</v>
      </c>
    </row>
    <row r="664" spans="1:113" outlineLevel="1">
      <c r="A664" s="1" t="s">
        <v>1070</v>
      </c>
      <c r="B664" s="19" t="s">
        <v>1071</v>
      </c>
      <c r="C664" s="53">
        <v>0</v>
      </c>
      <c r="D664" s="53">
        <v>0</v>
      </c>
      <c r="E664" s="53">
        <v>0</v>
      </c>
      <c r="F664" s="53">
        <v>0</v>
      </c>
      <c r="G664" s="53">
        <v>0</v>
      </c>
      <c r="H664" s="53">
        <v>0</v>
      </c>
      <c r="I664" s="53">
        <v>0</v>
      </c>
      <c r="J664" s="53">
        <v>0</v>
      </c>
      <c r="K664" s="53">
        <v>0</v>
      </c>
      <c r="L664" s="53">
        <v>8238</v>
      </c>
      <c r="M664" s="53">
        <v>9675</v>
      </c>
      <c r="N664" s="53">
        <v>10519</v>
      </c>
      <c r="O664" s="53">
        <v>12743</v>
      </c>
      <c r="P664" s="53">
        <v>15583</v>
      </c>
      <c r="Q664" s="53">
        <v>18232</v>
      </c>
      <c r="R664" s="53">
        <v>43661</v>
      </c>
      <c r="S664" s="53">
        <v>26358</v>
      </c>
      <c r="T664" s="53">
        <v>20237</v>
      </c>
      <c r="U664" s="53">
        <v>27689</v>
      </c>
      <c r="V664" s="53">
        <v>25988</v>
      </c>
      <c r="W664" s="53">
        <v>30317</v>
      </c>
      <c r="X664" s="53">
        <v>37191</v>
      </c>
      <c r="Y664" s="53">
        <v>39567</v>
      </c>
      <c r="Z664" s="53">
        <v>37703</v>
      </c>
      <c r="AA664" s="164">
        <v>45340</v>
      </c>
      <c r="AB664" s="164">
        <v>37181</v>
      </c>
      <c r="AC664" s="164">
        <v>29247</v>
      </c>
      <c r="AD664" s="164">
        <v>53489</v>
      </c>
      <c r="AE664" s="164">
        <v>46154</v>
      </c>
      <c r="AF664" s="164">
        <v>45532</v>
      </c>
      <c r="AG664" s="164">
        <v>46567</v>
      </c>
      <c r="AH664" s="164">
        <v>45837</v>
      </c>
      <c r="AI664" s="164">
        <v>31724</v>
      </c>
      <c r="AJ664" s="164">
        <v>25228</v>
      </c>
      <c r="AK664" s="164">
        <v>32133</v>
      </c>
      <c r="AL664" s="164">
        <v>28569</v>
      </c>
      <c r="AM664" s="164">
        <v>25215</v>
      </c>
      <c r="AN664" s="164">
        <v>24818</v>
      </c>
      <c r="AO664" s="164">
        <v>30285</v>
      </c>
      <c r="AP664" s="164">
        <v>32398</v>
      </c>
      <c r="AQ664" s="164">
        <v>21449</v>
      </c>
      <c r="AR664" s="164">
        <v>19904</v>
      </c>
      <c r="AS664" s="164">
        <v>35736</v>
      </c>
      <c r="AT664" s="164">
        <v>29668</v>
      </c>
      <c r="AU664" s="164">
        <v>23945</v>
      </c>
      <c r="AV664" s="164">
        <v>30603</v>
      </c>
      <c r="AW664" s="171">
        <v>18058</v>
      </c>
      <c r="AX664" s="55">
        <v>18457.94682114309</v>
      </c>
      <c r="AY664" s="55">
        <v>18819.766326298464</v>
      </c>
      <c r="AZ664" s="55">
        <v>19242.101607364712</v>
      </c>
      <c r="BA664" s="55">
        <v>19536.051978605701</v>
      </c>
      <c r="BB664" s="55">
        <v>19838.859178305178</v>
      </c>
      <c r="BC664" s="55">
        <v>20186.60595347912</v>
      </c>
      <c r="BD664" s="55">
        <v>20541.01305797285</v>
      </c>
      <c r="BE664" s="55">
        <v>20902.204792627948</v>
      </c>
      <c r="BF664" s="55">
        <v>21270.307978269069</v>
      </c>
      <c r="BG664" s="55">
        <v>21645.452001012771</v>
      </c>
      <c r="BH664" s="55">
        <v>22027.768858701642</v>
      </c>
      <c r="BI664" s="55">
        <v>22417.393208473328</v>
      </c>
      <c r="BJ664" s="55">
        <v>22814.462415475144</v>
      </c>
      <c r="BK664" s="55">
        <v>23251.456400282772</v>
      </c>
      <c r="BL664" s="55">
        <v>23696.917783282133</v>
      </c>
      <c r="BM664" s="55">
        <v>24151.012338846336</v>
      </c>
      <c r="BN664" s="55">
        <v>24613.909118759344</v>
      </c>
      <c r="BO664" s="55">
        <v>25085.780517628384</v>
      </c>
      <c r="BP664" s="55">
        <v>25566.802339613947</v>
      </c>
      <c r="BQ664" s="55">
        <v>26057.153866504232</v>
      </c>
      <c r="BR664" s="55"/>
      <c r="BS664" s="53">
        <v>0</v>
      </c>
      <c r="BT664" s="53">
        <v>0</v>
      </c>
      <c r="BU664" s="53">
        <v>0</v>
      </c>
      <c r="BV664" s="53">
        <v>0</v>
      </c>
      <c r="BW664" s="53">
        <v>0</v>
      </c>
      <c r="BX664" s="53">
        <v>0</v>
      </c>
      <c r="BY664" s="53">
        <v>0</v>
      </c>
      <c r="BZ664" s="53">
        <v>0</v>
      </c>
      <c r="CA664" s="53">
        <v>0</v>
      </c>
      <c r="CB664" s="53">
        <v>0</v>
      </c>
      <c r="CC664" s="55">
        <v>0</v>
      </c>
      <c r="CD664" s="55">
        <v>0</v>
      </c>
      <c r="CE664" s="55">
        <v>0</v>
      </c>
      <c r="CF664" s="55">
        <v>0</v>
      </c>
      <c r="CG664" s="55">
        <v>9675</v>
      </c>
      <c r="CH664" s="55">
        <v>12743</v>
      </c>
      <c r="CI664" s="55">
        <v>18232</v>
      </c>
      <c r="CJ664" s="55">
        <v>26358</v>
      </c>
      <c r="CK664" s="55">
        <v>27689</v>
      </c>
      <c r="CL664" s="55">
        <v>30317</v>
      </c>
      <c r="CM664" s="55">
        <v>39567</v>
      </c>
      <c r="CN664" s="55">
        <v>45340</v>
      </c>
      <c r="CO664" s="55">
        <v>29247</v>
      </c>
      <c r="CP664" s="55">
        <v>46154</v>
      </c>
      <c r="CQ664" s="55">
        <v>46567</v>
      </c>
      <c r="CR664" s="55">
        <v>31724</v>
      </c>
      <c r="CS664" s="55">
        <v>32133</v>
      </c>
      <c r="CT664" s="55">
        <v>25215</v>
      </c>
      <c r="CU664" s="55">
        <v>30285</v>
      </c>
      <c r="CV664" s="55">
        <v>21449</v>
      </c>
      <c r="CW664" s="55">
        <v>35736</v>
      </c>
      <c r="CX664" s="55">
        <v>23945</v>
      </c>
      <c r="CY664" s="56">
        <v>18058</v>
      </c>
      <c r="CZ664" s="55">
        <v>18819.766326298464</v>
      </c>
      <c r="DA664" s="55">
        <v>19536.051978605701</v>
      </c>
      <c r="DB664" s="55">
        <v>20186.60595347912</v>
      </c>
      <c r="DC664" s="55">
        <v>20902.204792627948</v>
      </c>
      <c r="DD664" s="55">
        <v>21645.452001012771</v>
      </c>
      <c r="DE664" s="55">
        <v>22417.393208473328</v>
      </c>
      <c r="DF664" s="55">
        <v>23251.456400282772</v>
      </c>
      <c r="DG664" s="55">
        <v>24151.012338846336</v>
      </c>
      <c r="DH664" s="55">
        <v>25085.780517628384</v>
      </c>
      <c r="DI664" s="55">
        <v>26057.153866504232</v>
      </c>
    </row>
    <row r="665" spans="1:113" outlineLevel="1">
      <c r="A665" s="1" t="s">
        <v>895</v>
      </c>
      <c r="B665" s="19" t="s">
        <v>910</v>
      </c>
      <c r="C665" s="53">
        <v>-1157</v>
      </c>
      <c r="D665" s="53">
        <v>-1101</v>
      </c>
      <c r="E665" s="53">
        <v>-1057</v>
      </c>
      <c r="F665" s="53">
        <v>-1170</v>
      </c>
      <c r="G665" s="53">
        <v>-1167</v>
      </c>
      <c r="H665" s="53">
        <v>-1214</v>
      </c>
      <c r="I665" s="53">
        <v>-1299</v>
      </c>
      <c r="J665" s="53">
        <v>-1651</v>
      </c>
      <c r="K665" s="53">
        <v>-1572</v>
      </c>
      <c r="L665" s="53">
        <v>-1541</v>
      </c>
      <c r="M665" s="53">
        <v>-1579</v>
      </c>
      <c r="N665" s="53">
        <v>-1517</v>
      </c>
      <c r="O665" s="53">
        <v>-1920</v>
      </c>
      <c r="P665" s="53">
        <v>-1928</v>
      </c>
      <c r="Q665" s="53">
        <v>-2229</v>
      </c>
      <c r="R665" s="53">
        <v>-2238</v>
      </c>
      <c r="S665" s="53">
        <v>-2217</v>
      </c>
      <c r="T665" s="53">
        <v>-2421</v>
      </c>
      <c r="U665" s="53">
        <v>-2382</v>
      </c>
      <c r="V665" s="53">
        <v>-2280</v>
      </c>
      <c r="W665" s="53">
        <v>-2137</v>
      </c>
      <c r="X665" s="53">
        <v>-1999</v>
      </c>
      <c r="Y665" s="53">
        <v>-1871</v>
      </c>
      <c r="Z665" s="53">
        <v>-1731</v>
      </c>
      <c r="AA665" s="164">
        <v>-1655</v>
      </c>
      <c r="AB665" s="164">
        <v>-1536</v>
      </c>
      <c r="AC665" s="164">
        <v>-1453</v>
      </c>
      <c r="AD665" s="164">
        <v>-1484</v>
      </c>
      <c r="AE665" s="164">
        <v>-1348</v>
      </c>
      <c r="AF665" s="164">
        <v>-1262</v>
      </c>
      <c r="AG665" s="164">
        <v>-1183</v>
      </c>
      <c r="AH665" s="164">
        <v>-1116</v>
      </c>
      <c r="AI665" s="164">
        <v>-1084</v>
      </c>
      <c r="AJ665" s="164">
        <v>-1057</v>
      </c>
      <c r="AK665" s="164">
        <v>-1059</v>
      </c>
      <c r="AL665" s="164">
        <v>-1219</v>
      </c>
      <c r="AM665" s="164">
        <v>-1125</v>
      </c>
      <c r="AN665" s="164">
        <v>-980</v>
      </c>
      <c r="AO665" s="164">
        <v>-884</v>
      </c>
      <c r="AP665" s="164">
        <v>-852</v>
      </c>
      <c r="AQ665" s="164">
        <v>-810</v>
      </c>
      <c r="AR665" s="164">
        <v>-805</v>
      </c>
      <c r="AS665" s="164">
        <v>-879</v>
      </c>
      <c r="AT665" s="164">
        <v>-1107</v>
      </c>
      <c r="AU665" s="164">
        <v>-1378</v>
      </c>
      <c r="AV665" s="164">
        <v>-1610</v>
      </c>
      <c r="AW665" s="171">
        <v>-1826</v>
      </c>
      <c r="AX665" s="55">
        <v>-1866.4420697423459</v>
      </c>
      <c r="AY665" s="55">
        <v>-1903.028757992081</v>
      </c>
      <c r="AZ665" s="55">
        <v>-1945.7347178562393</v>
      </c>
      <c r="BA665" s="55">
        <v>-1975.4585730941419</v>
      </c>
      <c r="BB665" s="55">
        <v>-2006.0780185837446</v>
      </c>
      <c r="BC665" s="55">
        <v>-2041.2416918292654</v>
      </c>
      <c r="BD665" s="55">
        <v>-2077.0788483696106</v>
      </c>
      <c r="BE665" s="55">
        <v>-2113.6020573340702</v>
      </c>
      <c r="BF665" s="55">
        <v>-2150.8241426691402</v>
      </c>
      <c r="BG665" s="55">
        <v>-2188.7581877200873</v>
      </c>
      <c r="BH665" s="55">
        <v>-2227.4175399263054</v>
      </c>
      <c r="BI665" s="55">
        <v>-2266.8158156314275</v>
      </c>
      <c r="BJ665" s="55">
        <v>-2306.9669050092834</v>
      </c>
      <c r="BK665" s="55">
        <v>-2351.1551327343204</v>
      </c>
      <c r="BL665" s="55">
        <v>-2396.1995720607597</v>
      </c>
      <c r="BM665" s="55">
        <v>-2442.1169858640733</v>
      </c>
      <c r="BN665" s="55">
        <v>-2488.9244684269902</v>
      </c>
      <c r="BO665" s="55">
        <v>-2536.6394520539075</v>
      </c>
      <c r="BP665" s="55">
        <v>-2585.2797138185347</v>
      </c>
      <c r="BQ665" s="55">
        <v>-2634.8633824474891</v>
      </c>
      <c r="BR665" s="55"/>
      <c r="BS665" s="53">
        <v>-2111.1</v>
      </c>
      <c r="BT665" s="53">
        <v>-1571.3</v>
      </c>
      <c r="BU665" s="53">
        <v>-1396.4</v>
      </c>
      <c r="BV665" s="53">
        <v>-1332.9999999999998</v>
      </c>
      <c r="BW665" s="53">
        <v>-1183</v>
      </c>
      <c r="BX665" s="53">
        <v>-1227</v>
      </c>
      <c r="BY665" s="53">
        <v>-1404</v>
      </c>
      <c r="BZ665" s="53">
        <v>-1373</v>
      </c>
      <c r="CA665" s="53">
        <v>-1716</v>
      </c>
      <c r="CB665" s="53">
        <v>-1504</v>
      </c>
      <c r="CC665" s="55">
        <v>-1057</v>
      </c>
      <c r="CD665" s="55">
        <v>-1167</v>
      </c>
      <c r="CE665" s="55">
        <v>-1299</v>
      </c>
      <c r="CF665" s="55">
        <v>-1572</v>
      </c>
      <c r="CG665" s="55">
        <v>-1579</v>
      </c>
      <c r="CH665" s="55">
        <v>-1920</v>
      </c>
      <c r="CI665" s="55">
        <v>-2229</v>
      </c>
      <c r="CJ665" s="55">
        <v>-2217</v>
      </c>
      <c r="CK665" s="55">
        <v>-2382</v>
      </c>
      <c r="CL665" s="55">
        <v>-2137</v>
      </c>
      <c r="CM665" s="55">
        <v>-1871</v>
      </c>
      <c r="CN665" s="55">
        <v>-1655</v>
      </c>
      <c r="CO665" s="55">
        <v>-1453</v>
      </c>
      <c r="CP665" s="55">
        <v>-1348</v>
      </c>
      <c r="CQ665" s="55">
        <v>-1183</v>
      </c>
      <c r="CR665" s="55">
        <v>-1084</v>
      </c>
      <c r="CS665" s="55">
        <v>-1059</v>
      </c>
      <c r="CT665" s="55">
        <v>-1125</v>
      </c>
      <c r="CU665" s="55">
        <v>-884</v>
      </c>
      <c r="CV665" s="55">
        <v>-810</v>
      </c>
      <c r="CW665" s="55">
        <v>-879</v>
      </c>
      <c r="CX665" s="55">
        <v>-1378</v>
      </c>
      <c r="CY665" s="56">
        <v>-1826</v>
      </c>
      <c r="CZ665" s="55">
        <v>-1903.028757992081</v>
      </c>
      <c r="DA665" s="55">
        <v>-1975.4585730941419</v>
      </c>
      <c r="DB665" s="55">
        <v>-2041.2416918292654</v>
      </c>
      <c r="DC665" s="55">
        <v>-2113.6020573340702</v>
      </c>
      <c r="DD665" s="55">
        <v>-2188.7581877200873</v>
      </c>
      <c r="DE665" s="55">
        <v>-2266.8158156314275</v>
      </c>
      <c r="DF665" s="55">
        <v>-2351.1551327343204</v>
      </c>
      <c r="DG665" s="55">
        <v>-2442.1169858640733</v>
      </c>
      <c r="DH665" s="55">
        <v>-2536.6394520539075</v>
      </c>
      <c r="DI665" s="55">
        <v>-2634.8633824474891</v>
      </c>
    </row>
    <row r="666" spans="1:113" outlineLevel="1">
      <c r="A666" s="1" t="s">
        <v>896</v>
      </c>
      <c r="B666" s="19" t="s">
        <v>911</v>
      </c>
      <c r="C666" s="53">
        <v>919</v>
      </c>
      <c r="D666" s="53">
        <v>879</v>
      </c>
      <c r="E666" s="53">
        <v>862</v>
      </c>
      <c r="F666" s="53">
        <v>832</v>
      </c>
      <c r="G666" s="53">
        <v>821</v>
      </c>
      <c r="H666" s="53">
        <v>1027</v>
      </c>
      <c r="I666" s="53">
        <v>1204</v>
      </c>
      <c r="J666" s="53">
        <v>1063</v>
      </c>
      <c r="K666" s="53">
        <v>1132</v>
      </c>
      <c r="L666" s="53">
        <v>1143</v>
      </c>
      <c r="M666" s="53">
        <v>1313</v>
      </c>
      <c r="N666" s="53">
        <v>1325</v>
      </c>
      <c r="O666" s="53">
        <v>1436</v>
      </c>
      <c r="P666" s="53">
        <v>1490</v>
      </c>
      <c r="Q666" s="53">
        <v>1640</v>
      </c>
      <c r="R666" s="53">
        <v>2428</v>
      </c>
      <c r="S666" s="53">
        <v>2472</v>
      </c>
      <c r="T666" s="53">
        <v>2367</v>
      </c>
      <c r="U666" s="53">
        <v>2351</v>
      </c>
      <c r="V666" s="53">
        <v>2268</v>
      </c>
      <c r="W666" s="53">
        <v>2366</v>
      </c>
      <c r="X666" s="53">
        <v>2448</v>
      </c>
      <c r="Y666" s="53">
        <v>2503</v>
      </c>
      <c r="Z666" s="53">
        <v>2598</v>
      </c>
      <c r="AA666" s="164">
        <v>2718</v>
      </c>
      <c r="AB666" s="164">
        <v>2801</v>
      </c>
      <c r="AC666" s="164">
        <v>2816</v>
      </c>
      <c r="AD666" s="164">
        <v>2689</v>
      </c>
      <c r="AE666" s="164">
        <v>2833</v>
      </c>
      <c r="AF666" s="164">
        <v>3321</v>
      </c>
      <c r="AG666" s="164">
        <v>3940</v>
      </c>
      <c r="AH666" s="164">
        <v>4094</v>
      </c>
      <c r="AI666" s="164">
        <v>3873</v>
      </c>
      <c r="AJ666" s="164">
        <v>2635</v>
      </c>
      <c r="AK666" s="164">
        <v>2576</v>
      </c>
      <c r="AL666" s="164">
        <v>2417</v>
      </c>
      <c r="AM666" s="164">
        <v>2383</v>
      </c>
      <c r="AN666" s="164">
        <v>5205</v>
      </c>
      <c r="AO666" s="164">
        <v>5602</v>
      </c>
      <c r="AP666" s="164">
        <v>5468</v>
      </c>
      <c r="AQ666" s="164">
        <v>5284</v>
      </c>
      <c r="AR666" s="164">
        <v>4999</v>
      </c>
      <c r="AS666" s="164">
        <v>4887</v>
      </c>
      <c r="AT666" s="164">
        <v>5068</v>
      </c>
      <c r="AU666" s="164">
        <v>4950</v>
      </c>
      <c r="AV666" s="164">
        <v>4783</v>
      </c>
      <c r="AW666" s="171">
        <v>3676</v>
      </c>
      <c r="AX666" s="55">
        <v>3757.4156891417647</v>
      </c>
      <c r="AY666" s="55">
        <v>3831.0699421571126</v>
      </c>
      <c r="AZ666" s="55">
        <v>3917.0431669438844</v>
      </c>
      <c r="BA666" s="55">
        <v>3976.8815524063871</v>
      </c>
      <c r="BB666" s="55">
        <v>4038.5228895475584</v>
      </c>
      <c r="BC666" s="55">
        <v>4109.3124091809286</v>
      </c>
      <c r="BD666" s="55">
        <v>4181.4577473201998</v>
      </c>
      <c r="BE666" s="55">
        <v>4254.9842074260887</v>
      </c>
      <c r="BF666" s="55">
        <v>4329.9176059429101</v>
      </c>
      <c r="BG666" s="55">
        <v>4406.2842815219246</v>
      </c>
      <c r="BH666" s="55">
        <v>4484.1111044737636</v>
      </c>
      <c r="BI666" s="55">
        <v>4563.4254864518734</v>
      </c>
      <c r="BJ666" s="55">
        <v>4644.2553903691769</v>
      </c>
      <c r="BK666" s="55">
        <v>4733.2126330401725</v>
      </c>
      <c r="BL666" s="55">
        <v>4823.8935525166189</v>
      </c>
      <c r="BM666" s="55">
        <v>4916.3318948720298</v>
      </c>
      <c r="BN666" s="55">
        <v>5010.5620733502783</v>
      </c>
      <c r="BO666" s="55">
        <v>5106.6191816813553</v>
      </c>
      <c r="BP666" s="55">
        <v>5204.5390076653475</v>
      </c>
      <c r="BQ666" s="55">
        <v>5304.3580470300985</v>
      </c>
      <c r="BR666" s="55"/>
      <c r="BS666" s="53">
        <v>3103.3</v>
      </c>
      <c r="BT666" s="53">
        <v>2739.2</v>
      </c>
      <c r="BU666" s="53">
        <v>2693.1</v>
      </c>
      <c r="BV666" s="53">
        <v>2706</v>
      </c>
      <c r="BW666" s="53">
        <v>2578</v>
      </c>
      <c r="BX666" s="53">
        <v>2010</v>
      </c>
      <c r="BY666" s="53">
        <v>1662</v>
      </c>
      <c r="BZ666" s="53">
        <v>1001</v>
      </c>
      <c r="CA666" s="53">
        <v>1073</v>
      </c>
      <c r="CB666" s="53">
        <v>1361</v>
      </c>
      <c r="CC666" s="55">
        <v>862</v>
      </c>
      <c r="CD666" s="55">
        <v>821</v>
      </c>
      <c r="CE666" s="55">
        <v>1204</v>
      </c>
      <c r="CF666" s="55">
        <v>1132</v>
      </c>
      <c r="CG666" s="55">
        <v>1313</v>
      </c>
      <c r="CH666" s="55">
        <v>1436</v>
      </c>
      <c r="CI666" s="55">
        <v>1640</v>
      </c>
      <c r="CJ666" s="55">
        <v>2472</v>
      </c>
      <c r="CK666" s="55">
        <v>2351</v>
      </c>
      <c r="CL666" s="55">
        <v>2366</v>
      </c>
      <c r="CM666" s="55">
        <v>2503</v>
      </c>
      <c r="CN666" s="55">
        <v>2718</v>
      </c>
      <c r="CO666" s="55">
        <v>2816</v>
      </c>
      <c r="CP666" s="55">
        <v>2833</v>
      </c>
      <c r="CQ666" s="55">
        <v>3940</v>
      </c>
      <c r="CR666" s="55">
        <v>3873</v>
      </c>
      <c r="CS666" s="55">
        <v>2576</v>
      </c>
      <c r="CT666" s="55">
        <v>2383</v>
      </c>
      <c r="CU666" s="55">
        <v>5602</v>
      </c>
      <c r="CV666" s="55">
        <v>5284</v>
      </c>
      <c r="CW666" s="55">
        <v>4887</v>
      </c>
      <c r="CX666" s="55">
        <v>4950</v>
      </c>
      <c r="CY666" s="56">
        <v>3676</v>
      </c>
      <c r="CZ666" s="55">
        <v>3831.0699421571126</v>
      </c>
      <c r="DA666" s="55">
        <v>3976.8815524063871</v>
      </c>
      <c r="DB666" s="55">
        <v>4109.3124091809286</v>
      </c>
      <c r="DC666" s="55">
        <v>4254.9842074260887</v>
      </c>
      <c r="DD666" s="55">
        <v>4406.2842815219246</v>
      </c>
      <c r="DE666" s="55">
        <v>4563.4254864518734</v>
      </c>
      <c r="DF666" s="55">
        <v>4733.2126330401725</v>
      </c>
      <c r="DG666" s="55">
        <v>4916.3318948720298</v>
      </c>
      <c r="DH666" s="55">
        <v>5106.6191816813553</v>
      </c>
      <c r="DI666" s="55">
        <v>5304.3580470300985</v>
      </c>
    </row>
    <row r="667" spans="1:113" outlineLevel="1">
      <c r="A667" s="1" t="s">
        <v>900</v>
      </c>
      <c r="B667" s="19" t="s">
        <v>931</v>
      </c>
      <c r="C667" s="55">
        <v>73235</v>
      </c>
      <c r="D667" s="55">
        <v>74637</v>
      </c>
      <c r="E667" s="55">
        <v>74904</v>
      </c>
      <c r="F667" s="55">
        <v>76996</v>
      </c>
      <c r="G667" s="55">
        <v>76717</v>
      </c>
      <c r="H667" s="55">
        <v>79320</v>
      </c>
      <c r="I667" s="55">
        <v>82037</v>
      </c>
      <c r="J667" s="55">
        <v>77298</v>
      </c>
      <c r="K667" s="55">
        <v>75199</v>
      </c>
      <c r="L667" s="55">
        <v>48644</v>
      </c>
      <c r="M667" s="55">
        <v>50605</v>
      </c>
      <c r="N667" s="55">
        <v>52726</v>
      </c>
      <c r="O667" s="55">
        <v>53242</v>
      </c>
      <c r="P667" s="55">
        <v>52441</v>
      </c>
      <c r="Q667" s="55">
        <v>48718</v>
      </c>
      <c r="R667" s="55">
        <v>43086</v>
      </c>
      <c r="S667" s="55">
        <v>43196</v>
      </c>
      <c r="T667" s="55">
        <v>37907</v>
      </c>
      <c r="U667" s="55">
        <v>38667</v>
      </c>
      <c r="V667" s="55">
        <v>35984</v>
      </c>
      <c r="W667" s="55">
        <v>37201</v>
      </c>
      <c r="X667" s="55">
        <v>35492</v>
      </c>
      <c r="Y667" s="55">
        <v>36342</v>
      </c>
      <c r="Z667" s="55">
        <v>32196</v>
      </c>
      <c r="AA667" s="55">
        <v>31552</v>
      </c>
      <c r="AB667" s="55">
        <v>30305</v>
      </c>
      <c r="AC667" s="55">
        <v>30489</v>
      </c>
      <c r="AD667" s="55">
        <v>25719</v>
      </c>
      <c r="AE667" s="55">
        <v>27493</v>
      </c>
      <c r="AF667" s="55">
        <v>25050</v>
      </c>
      <c r="AG667" s="55">
        <v>25983</v>
      </c>
      <c r="AH667" s="55">
        <v>27035</v>
      </c>
      <c r="AI667" s="55">
        <v>25972</v>
      </c>
      <c r="AJ667" s="55">
        <v>24917</v>
      </c>
      <c r="AK667" s="55">
        <v>27674</v>
      </c>
      <c r="AL667" s="55">
        <v>26109</v>
      </c>
      <c r="AM667" s="55">
        <v>28262</v>
      </c>
      <c r="AN667" s="55">
        <v>12057</v>
      </c>
      <c r="AO667" s="55">
        <v>45284</v>
      </c>
      <c r="AP667" s="55">
        <v>44336</v>
      </c>
      <c r="AQ667" s="55">
        <v>33866</v>
      </c>
      <c r="AR667" s="55">
        <v>30098</v>
      </c>
      <c r="AS667" s="55">
        <v>48607</v>
      </c>
      <c r="AT667" s="55">
        <v>43294</v>
      </c>
      <c r="AU667" s="55">
        <v>38592</v>
      </c>
      <c r="AV667" s="55">
        <v>47139</v>
      </c>
      <c r="AW667" s="56">
        <v>37109</v>
      </c>
      <c r="AX667" s="55">
        <v>38112.725853923243</v>
      </c>
      <c r="AY667" s="55">
        <v>39033.25598475826</v>
      </c>
      <c r="AZ667" s="55">
        <v>40010.030337620759</v>
      </c>
      <c r="BA667" s="55">
        <v>40725.31052243826</v>
      </c>
      <c r="BB667" s="55">
        <v>41462.879362528445</v>
      </c>
      <c r="BC667" s="55">
        <v>42291.109949354781</v>
      </c>
      <c r="BD667" s="55">
        <v>43135.358491888037</v>
      </c>
      <c r="BE667" s="55">
        <v>43995.927258493844</v>
      </c>
      <c r="BF667" s="55">
        <v>44873.124713769415</v>
      </c>
      <c r="BG667" s="55">
        <v>45767.265631616814</v>
      </c>
      <c r="BH667" s="55">
        <v>46678.671211135108</v>
      </c>
      <c r="BI667" s="55">
        <v>47607.669195354683</v>
      </c>
      <c r="BJ667" s="55">
        <v>49611.462997550145</v>
      </c>
      <c r="BK667" s="55">
        <v>51795.630036464194</v>
      </c>
      <c r="BL667" s="55">
        <v>52653.591741088545</v>
      </c>
      <c r="BM667" s="55">
        <v>52544.928421905497</v>
      </c>
      <c r="BN667" s="55">
        <v>53679.575427638134</v>
      </c>
      <c r="BO667" s="55">
        <v>54836.870387160452</v>
      </c>
      <c r="BP667" s="55">
        <v>56003.536441465607</v>
      </c>
      <c r="BQ667" s="55">
        <v>57193.05925580184</v>
      </c>
      <c r="BR667" s="55"/>
      <c r="BS667" s="55">
        <v>16843.899999999994</v>
      </c>
      <c r="BT667" s="55">
        <v>14249.400000000009</v>
      </c>
      <c r="BU667" s="55">
        <v>13973.199999999997</v>
      </c>
      <c r="BV667" s="55">
        <v>19366</v>
      </c>
      <c r="BW667" s="55">
        <v>17870</v>
      </c>
      <c r="BX667" s="55">
        <v>18974</v>
      </c>
      <c r="BY667" s="55">
        <v>24353</v>
      </c>
      <c r="BZ667" s="55">
        <v>20944</v>
      </c>
      <c r="CA667" s="55">
        <v>56107</v>
      </c>
      <c r="CB667" s="55">
        <v>63435</v>
      </c>
      <c r="CC667" s="55">
        <v>74904</v>
      </c>
      <c r="CD667" s="55">
        <v>76717</v>
      </c>
      <c r="CE667" s="55">
        <v>82037</v>
      </c>
      <c r="CF667" s="55">
        <v>75199</v>
      </c>
      <c r="CG667" s="55">
        <v>50605</v>
      </c>
      <c r="CH667" s="55">
        <v>53242</v>
      </c>
      <c r="CI667" s="55">
        <v>48718</v>
      </c>
      <c r="CJ667" s="55">
        <v>43196</v>
      </c>
      <c r="CK667" s="55">
        <v>38667</v>
      </c>
      <c r="CL667" s="55">
        <v>37201</v>
      </c>
      <c r="CM667" s="55">
        <v>36342</v>
      </c>
      <c r="CN667" s="55">
        <v>31552</v>
      </c>
      <c r="CO667" s="55">
        <v>30489</v>
      </c>
      <c r="CP667" s="55">
        <v>27493</v>
      </c>
      <c r="CQ667" s="55">
        <v>25983</v>
      </c>
      <c r="CR667" s="55">
        <v>25972</v>
      </c>
      <c r="CS667" s="55">
        <v>27674</v>
      </c>
      <c r="CT667" s="55">
        <v>28262</v>
      </c>
      <c r="CU667" s="55">
        <v>45284</v>
      </c>
      <c r="CV667" s="55">
        <v>33866</v>
      </c>
      <c r="CW667" s="55">
        <v>48607</v>
      </c>
      <c r="CX667" s="55">
        <v>38592</v>
      </c>
      <c r="CY667" s="56">
        <v>37109</v>
      </c>
      <c r="CZ667" s="55">
        <v>39033.25598475826</v>
      </c>
      <c r="DA667" s="55">
        <v>40725.31052243826</v>
      </c>
      <c r="DB667" s="55">
        <v>42291.109949354781</v>
      </c>
      <c r="DC667" s="55">
        <v>43995.927258493844</v>
      </c>
      <c r="DD667" s="55">
        <v>45767.265631616814</v>
      </c>
      <c r="DE667" s="55">
        <v>47607.669195354683</v>
      </c>
      <c r="DF667" s="55">
        <v>51795.630036464194</v>
      </c>
      <c r="DG667" s="55">
        <v>52544.928421905497</v>
      </c>
      <c r="DH667" s="55">
        <v>54836.870387160452</v>
      </c>
      <c r="DI667" s="55">
        <v>57193.05925580184</v>
      </c>
    </row>
    <row r="668" spans="1:113" outlineLevel="1">
      <c r="A668" s="1" t="s">
        <v>901</v>
      </c>
      <c r="B668" s="19" t="s">
        <v>802</v>
      </c>
      <c r="C668" s="53">
        <v>3709</v>
      </c>
      <c r="D668" s="53">
        <v>5865</v>
      </c>
      <c r="E668" s="53">
        <v>6044</v>
      </c>
      <c r="F668" s="53">
        <v>5015</v>
      </c>
      <c r="G668" s="53">
        <v>5575</v>
      </c>
      <c r="H668" s="53">
        <v>5892</v>
      </c>
      <c r="I668" s="53">
        <v>6453</v>
      </c>
      <c r="J668" s="53">
        <v>5905</v>
      </c>
      <c r="K668" s="53">
        <v>6055</v>
      </c>
      <c r="L668" s="53">
        <v>7269</v>
      </c>
      <c r="M668" s="53">
        <v>5868</v>
      </c>
      <c r="N668" s="53">
        <v>9139</v>
      </c>
      <c r="O668" s="53">
        <v>10108</v>
      </c>
      <c r="P668" s="53">
        <v>6951</v>
      </c>
      <c r="Q668" s="53">
        <v>7736</v>
      </c>
      <c r="R668" s="53">
        <v>12588</v>
      </c>
      <c r="S668" s="53">
        <v>11340</v>
      </c>
      <c r="T668" s="53">
        <v>11686</v>
      </c>
      <c r="U668" s="53">
        <v>10119</v>
      </c>
      <c r="V668" s="53">
        <v>14362</v>
      </c>
      <c r="W668" s="53">
        <v>13241</v>
      </c>
      <c r="X668" s="53">
        <v>19220</v>
      </c>
      <c r="Y668" s="53">
        <v>19666</v>
      </c>
      <c r="Z668" s="53">
        <v>18837</v>
      </c>
      <c r="AA668" s="164">
        <v>20634</v>
      </c>
      <c r="AB668" s="164">
        <v>31051</v>
      </c>
      <c r="AC668" s="164">
        <v>26409</v>
      </c>
      <c r="AD668" s="164">
        <v>30047</v>
      </c>
      <c r="AE668" s="164">
        <v>33116</v>
      </c>
      <c r="AF668" s="164">
        <v>31587</v>
      </c>
      <c r="AG668" s="164">
        <v>23372</v>
      </c>
      <c r="AH668" s="164">
        <v>44709</v>
      </c>
      <c r="AI668" s="164">
        <v>45850</v>
      </c>
      <c r="AJ668" s="164">
        <v>37322</v>
      </c>
      <c r="AK668" s="164">
        <v>36417</v>
      </c>
      <c r="AL668" s="164">
        <v>37220</v>
      </c>
      <c r="AM668" s="164">
        <v>29387</v>
      </c>
      <c r="AN668" s="164">
        <v>37105</v>
      </c>
      <c r="AO668" s="164">
        <v>44165</v>
      </c>
      <c r="AP668" s="164">
        <v>63019</v>
      </c>
      <c r="AQ668" s="164">
        <v>100041</v>
      </c>
      <c r="AR668" s="164">
        <v>134355</v>
      </c>
      <c r="AS668" s="164">
        <v>161154</v>
      </c>
      <c r="AT668" s="164">
        <v>156140</v>
      </c>
      <c r="AU668" s="164">
        <v>116619</v>
      </c>
      <c r="AV668" s="164">
        <v>91534</v>
      </c>
      <c r="AW668" s="171">
        <v>83080</v>
      </c>
      <c r="AX668" s="55">
        <v>84920.047729569589</v>
      </c>
      <c r="AY668" s="55">
        <v>86584.681935368048</v>
      </c>
      <c r="AZ668" s="55">
        <v>88527.732946054937</v>
      </c>
      <c r="BA668" s="55">
        <v>89880.119525006172</v>
      </c>
      <c r="BB668" s="55">
        <v>91273.253989012839</v>
      </c>
      <c r="BC668" s="55">
        <v>92873.143350041253</v>
      </c>
      <c r="BD668" s="55">
        <v>94503.67509449464</v>
      </c>
      <c r="BE668" s="55">
        <v>96165.421097105427</v>
      </c>
      <c r="BF668" s="55">
        <v>97858.964826370269</v>
      </c>
      <c r="BG668" s="55">
        <v>99584.901553003714</v>
      </c>
      <c r="BH668" s="55">
        <v>101343.8385635692</v>
      </c>
      <c r="BI668" s="55">
        <v>103136.39537933127</v>
      </c>
      <c r="BJ668" s="55">
        <v>104963.2039803785</v>
      </c>
      <c r="BK668" s="55">
        <v>106973.69574346508</v>
      </c>
      <c r="BL668" s="55">
        <v>109023.14372771511</v>
      </c>
      <c r="BM668" s="55">
        <v>111112.31061642227</v>
      </c>
      <c r="BN668" s="55">
        <v>113241.97417136593</v>
      </c>
      <c r="BO668" s="55">
        <v>115412.927533756</v>
      </c>
      <c r="BP668" s="55">
        <v>117625.9795312397</v>
      </c>
      <c r="BQ668" s="55">
        <v>119881.95499109378</v>
      </c>
      <c r="BR668" s="55"/>
      <c r="BS668" s="53">
        <v>2236.5</v>
      </c>
      <c r="BT668" s="53">
        <v>2854.4</v>
      </c>
      <c r="BU668" s="53">
        <v>1845.7</v>
      </c>
      <c r="BV668" s="53">
        <v>1887</v>
      </c>
      <c r="BW668" s="53">
        <v>3065</v>
      </c>
      <c r="BX668" s="53">
        <v>2007</v>
      </c>
      <c r="BY668" s="53">
        <v>1526</v>
      </c>
      <c r="BZ668" s="53">
        <v>1814</v>
      </c>
      <c r="CA668" s="53">
        <v>2575</v>
      </c>
      <c r="CB668" s="53">
        <v>3709</v>
      </c>
      <c r="CC668" s="55">
        <v>6044</v>
      </c>
      <c r="CD668" s="55">
        <v>5575</v>
      </c>
      <c r="CE668" s="55">
        <v>6453</v>
      </c>
      <c r="CF668" s="55">
        <v>6055</v>
      </c>
      <c r="CG668" s="55">
        <v>5868</v>
      </c>
      <c r="CH668" s="55">
        <v>10108</v>
      </c>
      <c r="CI668" s="55">
        <v>7736</v>
      </c>
      <c r="CJ668" s="55">
        <v>11340</v>
      </c>
      <c r="CK668" s="55">
        <v>10119</v>
      </c>
      <c r="CL668" s="55">
        <v>13241</v>
      </c>
      <c r="CM668" s="55">
        <v>19666</v>
      </c>
      <c r="CN668" s="55">
        <v>20634</v>
      </c>
      <c r="CO668" s="55">
        <v>26409</v>
      </c>
      <c r="CP668" s="55">
        <v>33116</v>
      </c>
      <c r="CQ668" s="55">
        <v>23372</v>
      </c>
      <c r="CR668" s="55">
        <v>45850</v>
      </c>
      <c r="CS668" s="55">
        <v>36417</v>
      </c>
      <c r="CT668" s="55">
        <v>29387</v>
      </c>
      <c r="CU668" s="55">
        <v>44165</v>
      </c>
      <c r="CV668" s="55">
        <v>100041</v>
      </c>
      <c r="CW668" s="55">
        <v>161154</v>
      </c>
      <c r="CX668" s="55">
        <v>116619</v>
      </c>
      <c r="CY668" s="56">
        <v>83080</v>
      </c>
      <c r="CZ668" s="55">
        <v>86584.681935368048</v>
      </c>
      <c r="DA668" s="55">
        <v>89880.119525006172</v>
      </c>
      <c r="DB668" s="55">
        <v>92873.143350041253</v>
      </c>
      <c r="DC668" s="55">
        <v>96165.421097105427</v>
      </c>
      <c r="DD668" s="55">
        <v>99584.901553003714</v>
      </c>
      <c r="DE668" s="55">
        <v>103136.39537933127</v>
      </c>
      <c r="DF668" s="55">
        <v>106973.69574346508</v>
      </c>
      <c r="DG668" s="55">
        <v>111112.31061642227</v>
      </c>
      <c r="DH668" s="55">
        <v>115412.927533756</v>
      </c>
      <c r="DI668" s="55">
        <v>119881.95499109378</v>
      </c>
    </row>
    <row r="669" spans="1:113" outlineLevel="1">
      <c r="A669" s="1" t="s">
        <v>902</v>
      </c>
      <c r="B669" s="19" t="s">
        <v>803</v>
      </c>
      <c r="C669" s="53">
        <v>400</v>
      </c>
      <c r="D669" s="53">
        <v>335</v>
      </c>
      <c r="E669" s="53">
        <v>313</v>
      </c>
      <c r="F669" s="53">
        <v>323</v>
      </c>
      <c r="G669" s="53">
        <v>287</v>
      </c>
      <c r="H669" s="53">
        <v>251</v>
      </c>
      <c r="I669" s="53">
        <v>239</v>
      </c>
      <c r="J669" s="53">
        <v>233</v>
      </c>
      <c r="K669" s="53">
        <v>52</v>
      </c>
      <c r="L669" s="53">
        <v>191</v>
      </c>
      <c r="M669" s="53">
        <v>190</v>
      </c>
      <c r="N669" s="53">
        <v>216</v>
      </c>
      <c r="O669" s="53">
        <v>836</v>
      </c>
      <c r="P669" s="53">
        <v>872</v>
      </c>
      <c r="Q669" s="53">
        <v>906</v>
      </c>
      <c r="R669" s="53">
        <v>1062</v>
      </c>
      <c r="S669" s="53">
        <v>1047</v>
      </c>
      <c r="T669" s="53">
        <v>1339</v>
      </c>
      <c r="U669" s="53">
        <v>1490</v>
      </c>
      <c r="V669" s="53">
        <v>1683</v>
      </c>
      <c r="W669" s="53">
        <v>1712</v>
      </c>
      <c r="X669" s="53">
        <v>1863</v>
      </c>
      <c r="Y669" s="53">
        <v>1898</v>
      </c>
      <c r="Z669" s="53">
        <v>2029</v>
      </c>
      <c r="AA669" s="164">
        <v>2281</v>
      </c>
      <c r="AB669" s="164">
        <v>2220</v>
      </c>
      <c r="AC669" s="164">
        <v>1844</v>
      </c>
      <c r="AD669" s="164">
        <v>2102</v>
      </c>
      <c r="AE669" s="164">
        <v>2637</v>
      </c>
      <c r="AF669" s="164">
        <v>2673</v>
      </c>
      <c r="AG669" s="164">
        <v>2776</v>
      </c>
      <c r="AH669" s="164">
        <v>2842</v>
      </c>
      <c r="AI669" s="164">
        <v>2778</v>
      </c>
      <c r="AJ669" s="164">
        <v>2750</v>
      </c>
      <c r="AK669" s="164">
        <v>2842</v>
      </c>
      <c r="AL669" s="164">
        <v>2831</v>
      </c>
      <c r="AM669" s="164">
        <v>3001</v>
      </c>
      <c r="AN669" s="164">
        <v>3054</v>
      </c>
      <c r="AO669" s="164">
        <v>3034</v>
      </c>
      <c r="AP669" s="164">
        <v>2865</v>
      </c>
      <c r="AQ669" s="164">
        <v>3941</v>
      </c>
      <c r="AR669" s="164">
        <v>5151</v>
      </c>
      <c r="AS669" s="164">
        <v>2801</v>
      </c>
      <c r="AT669" s="164">
        <v>1840</v>
      </c>
      <c r="AU669" s="164">
        <v>1827</v>
      </c>
      <c r="AV669" s="164">
        <v>1774</v>
      </c>
      <c r="AW669" s="171">
        <v>1671</v>
      </c>
      <c r="AX669" s="55">
        <v>1708.0091448737458</v>
      </c>
      <c r="AY669" s="55">
        <v>1741.4901722917668</v>
      </c>
      <c r="AZ669" s="55">
        <v>1780.5710369867334</v>
      </c>
      <c r="BA669" s="55">
        <v>1807.7717829355479</v>
      </c>
      <c r="BB669" s="55">
        <v>1835.7920969624515</v>
      </c>
      <c r="BC669" s="55">
        <v>1867.9709019970985</v>
      </c>
      <c r="BD669" s="55">
        <v>1900.7660217007769</v>
      </c>
      <c r="BE669" s="55">
        <v>1934.1889582723059</v>
      </c>
      <c r="BF669" s="55">
        <v>1968.2514470975534</v>
      </c>
      <c r="BG669" s="55">
        <v>2002.9654609420948</v>
      </c>
      <c r="BH669" s="55">
        <v>2038.3432142480037</v>
      </c>
      <c r="BI669" s="55">
        <v>2074.3971675356593</v>
      </c>
      <c r="BJ669" s="55">
        <v>2111.140031911561</v>
      </c>
      <c r="BK669" s="55">
        <v>2151.5773421681529</v>
      </c>
      <c r="BL669" s="55">
        <v>2192.7981845090512</v>
      </c>
      <c r="BM669" s="55">
        <v>2234.817898893135</v>
      </c>
      <c r="BN669" s="55">
        <v>2277.6521285550375</v>
      </c>
      <c r="BO669" s="55">
        <v>2321.3168260580924</v>
      </c>
      <c r="BP669" s="55">
        <v>2365.8282594692055</v>
      </c>
      <c r="BQ669" s="55">
        <v>2411.2030186581337</v>
      </c>
      <c r="BR669" s="55"/>
      <c r="BS669" s="53">
        <v>0</v>
      </c>
      <c r="BT669" s="53">
        <v>0</v>
      </c>
      <c r="BU669" s="53">
        <v>0</v>
      </c>
      <c r="BV669" s="53">
        <v>0</v>
      </c>
      <c r="BW669" s="53">
        <v>0</v>
      </c>
      <c r="BX669" s="53">
        <v>0</v>
      </c>
      <c r="BY669" s="53">
        <v>276</v>
      </c>
      <c r="BZ669" s="53">
        <v>281</v>
      </c>
      <c r="CA669" s="53">
        <v>403</v>
      </c>
      <c r="CB669" s="53">
        <v>400</v>
      </c>
      <c r="CC669" s="55">
        <v>313</v>
      </c>
      <c r="CD669" s="55">
        <v>287</v>
      </c>
      <c r="CE669" s="55">
        <v>239</v>
      </c>
      <c r="CF669" s="55">
        <v>52</v>
      </c>
      <c r="CG669" s="55">
        <v>190</v>
      </c>
      <c r="CH669" s="55">
        <v>836</v>
      </c>
      <c r="CI669" s="55">
        <v>906</v>
      </c>
      <c r="CJ669" s="55">
        <v>1047</v>
      </c>
      <c r="CK669" s="55">
        <v>1490</v>
      </c>
      <c r="CL669" s="55">
        <v>1712</v>
      </c>
      <c r="CM669" s="55">
        <v>1898</v>
      </c>
      <c r="CN669" s="55">
        <v>2281</v>
      </c>
      <c r="CO669" s="55">
        <v>1844</v>
      </c>
      <c r="CP669" s="55">
        <v>2637</v>
      </c>
      <c r="CQ669" s="55">
        <v>2776</v>
      </c>
      <c r="CR669" s="55">
        <v>2778</v>
      </c>
      <c r="CS669" s="55">
        <v>2842</v>
      </c>
      <c r="CT669" s="55">
        <v>3001</v>
      </c>
      <c r="CU669" s="55">
        <v>3034</v>
      </c>
      <c r="CV669" s="55">
        <v>3941</v>
      </c>
      <c r="CW669" s="55">
        <v>2801</v>
      </c>
      <c r="CX669" s="55">
        <v>1827</v>
      </c>
      <c r="CY669" s="56">
        <v>1671</v>
      </c>
      <c r="CZ669" s="55">
        <v>1741.4901722917668</v>
      </c>
      <c r="DA669" s="55">
        <v>1807.7717829355479</v>
      </c>
      <c r="DB669" s="55">
        <v>1867.9709019970985</v>
      </c>
      <c r="DC669" s="55">
        <v>1934.1889582723059</v>
      </c>
      <c r="DD669" s="55">
        <v>2002.9654609420948</v>
      </c>
      <c r="DE669" s="55">
        <v>2074.3971675356593</v>
      </c>
      <c r="DF669" s="55">
        <v>2151.5773421681529</v>
      </c>
      <c r="DG669" s="55">
        <v>2234.817898893135</v>
      </c>
      <c r="DH669" s="55">
        <v>2321.3168260580924</v>
      </c>
      <c r="DI669" s="55">
        <v>2411.2030186581337</v>
      </c>
    </row>
    <row r="670" spans="1:113" outlineLevel="1">
      <c r="A670" s="1" t="s">
        <v>1072</v>
      </c>
      <c r="B670" s="19" t="s">
        <v>1073</v>
      </c>
      <c r="C670" s="53">
        <v>467</v>
      </c>
      <c r="D670" s="53">
        <v>1741</v>
      </c>
      <c r="E670" s="53">
        <v>777</v>
      </c>
      <c r="F670" s="53">
        <v>1303</v>
      </c>
      <c r="G670" s="53">
        <v>3822</v>
      </c>
      <c r="H670" s="53">
        <v>4796</v>
      </c>
      <c r="I670" s="53">
        <v>4143</v>
      </c>
      <c r="J670" s="53">
        <v>3671</v>
      </c>
      <c r="K670" s="53">
        <v>2663</v>
      </c>
      <c r="L670" s="53">
        <v>1189</v>
      </c>
      <c r="M670" s="53">
        <v>1410</v>
      </c>
      <c r="N670" s="53">
        <v>2493</v>
      </c>
      <c r="O670" s="53">
        <v>3353</v>
      </c>
      <c r="P670" s="53">
        <v>3346</v>
      </c>
      <c r="Q670" s="53">
        <v>1589</v>
      </c>
      <c r="R670" s="53">
        <v>10062</v>
      </c>
      <c r="S670" s="53">
        <v>8574</v>
      </c>
      <c r="T670" s="53">
        <v>3978</v>
      </c>
      <c r="U670" s="53">
        <v>5760</v>
      </c>
      <c r="V670" s="53">
        <v>4485</v>
      </c>
      <c r="W670" s="53">
        <v>4063</v>
      </c>
      <c r="X670" s="53">
        <v>3696</v>
      </c>
      <c r="Y670" s="53">
        <v>5245</v>
      </c>
      <c r="Z670" s="53">
        <v>4628</v>
      </c>
      <c r="AA670" s="164">
        <v>5572</v>
      </c>
      <c r="AB670" s="164">
        <v>10634</v>
      </c>
      <c r="AC670" s="164">
        <v>9961</v>
      </c>
      <c r="AD670" s="164">
        <v>9067</v>
      </c>
      <c r="AE670" s="164">
        <v>12976</v>
      </c>
      <c r="AF670" s="164">
        <v>11939</v>
      </c>
      <c r="AG670" s="164">
        <v>17124</v>
      </c>
      <c r="AH670" s="164">
        <v>13015</v>
      </c>
      <c r="AI670" s="164">
        <v>16270</v>
      </c>
      <c r="AJ670" s="164">
        <v>12270</v>
      </c>
      <c r="AK670" s="164">
        <v>14696</v>
      </c>
      <c r="AL670" s="164">
        <v>18243</v>
      </c>
      <c r="AM670" s="164">
        <v>19099</v>
      </c>
      <c r="AN670" s="164">
        <v>20346</v>
      </c>
      <c r="AO670" s="164">
        <v>16877</v>
      </c>
      <c r="AP670" s="164">
        <v>26633</v>
      </c>
      <c r="AQ670" s="164">
        <v>19318</v>
      </c>
      <c r="AR670" s="164">
        <v>24157</v>
      </c>
      <c r="AS670" s="164">
        <v>33164</v>
      </c>
      <c r="AT670" s="164">
        <v>61053</v>
      </c>
      <c r="AU670" s="164">
        <v>63386</v>
      </c>
      <c r="AV670" s="164">
        <v>51057</v>
      </c>
      <c r="AW670" s="171">
        <v>63068</v>
      </c>
      <c r="AX670" s="55">
        <v>64462.31634590769</v>
      </c>
      <c r="AY670" s="55">
        <v>65720.714511745886</v>
      </c>
      <c r="AZ670" s="55">
        <v>67197.997293783556</v>
      </c>
      <c r="BA670" s="55">
        <v>68248.029276353278</v>
      </c>
      <c r="BB670" s="55">
        <v>69328.39125346845</v>
      </c>
      <c r="BC670" s="55">
        <v>70556.100184985262</v>
      </c>
      <c r="BD670" s="55">
        <v>71807.341328059221</v>
      </c>
      <c r="BE670" s="55">
        <v>73082.556367407597</v>
      </c>
      <c r="BF670" s="55">
        <v>74382.195907621426</v>
      </c>
      <c r="BG670" s="55">
        <v>75706.719635788177</v>
      </c>
      <c r="BH670" s="55">
        <v>77056.596488043142</v>
      </c>
      <c r="BI670" s="55">
        <v>78432.304820088582</v>
      </c>
      <c r="BJ670" s="55">
        <v>79834.332581723007</v>
      </c>
      <c r="BK670" s="55">
        <v>81363.124575498587</v>
      </c>
      <c r="BL670" s="55">
        <v>82921.535950032485</v>
      </c>
      <c r="BM670" s="55">
        <v>84510.146605698028</v>
      </c>
      <c r="BN670" s="55">
        <v>86129.547909397414</v>
      </c>
      <c r="BO670" s="55">
        <v>87780.342923478835</v>
      </c>
      <c r="BP670" s="55">
        <v>89463.146639266866</v>
      </c>
      <c r="BQ670" s="55">
        <v>91178.586215299802</v>
      </c>
      <c r="BR670" s="55"/>
      <c r="BS670" s="53">
        <v>-7746.8000000000029</v>
      </c>
      <c r="BT670" s="53">
        <v>-11413.800000000003</v>
      </c>
      <c r="BU670" s="53">
        <v>-10534.800000000003</v>
      </c>
      <c r="BV670" s="53">
        <v>-11124</v>
      </c>
      <c r="BW670" s="53">
        <v>1573</v>
      </c>
      <c r="BX670" s="53">
        <v>827</v>
      </c>
      <c r="BY670" s="53">
        <v>739</v>
      </c>
      <c r="BZ670" s="53">
        <v>683</v>
      </c>
      <c r="CA670" s="53">
        <v>979</v>
      </c>
      <c r="CB670" s="53">
        <v>467</v>
      </c>
      <c r="CC670" s="55">
        <v>777</v>
      </c>
      <c r="CD670" s="55">
        <v>3822</v>
      </c>
      <c r="CE670" s="55">
        <v>4143</v>
      </c>
      <c r="CF670" s="55">
        <v>2663</v>
      </c>
      <c r="CG670" s="55">
        <v>1410</v>
      </c>
      <c r="CH670" s="55">
        <v>3353</v>
      </c>
      <c r="CI670" s="55">
        <v>1589</v>
      </c>
      <c r="CJ670" s="55">
        <v>8574</v>
      </c>
      <c r="CK670" s="55">
        <v>5760</v>
      </c>
      <c r="CL670" s="55">
        <v>4063</v>
      </c>
      <c r="CM670" s="55">
        <v>5245</v>
      </c>
      <c r="CN670" s="55">
        <v>5572</v>
      </c>
      <c r="CO670" s="55">
        <v>9961</v>
      </c>
      <c r="CP670" s="55">
        <v>12976</v>
      </c>
      <c r="CQ670" s="55">
        <v>17124</v>
      </c>
      <c r="CR670" s="55">
        <v>16270</v>
      </c>
      <c r="CS670" s="55">
        <v>14696</v>
      </c>
      <c r="CT670" s="55">
        <v>19099</v>
      </c>
      <c r="CU670" s="55">
        <v>16877</v>
      </c>
      <c r="CV670" s="55">
        <v>19318</v>
      </c>
      <c r="CW670" s="55">
        <v>33164</v>
      </c>
      <c r="CX670" s="55">
        <v>63386</v>
      </c>
      <c r="CY670" s="56">
        <v>63068</v>
      </c>
      <c r="CZ670" s="55">
        <v>65720.714511745886</v>
      </c>
      <c r="DA670" s="55">
        <v>68248.029276353278</v>
      </c>
      <c r="DB670" s="55">
        <v>70556.100184985262</v>
      </c>
      <c r="DC670" s="55">
        <v>73082.556367407597</v>
      </c>
      <c r="DD670" s="55">
        <v>75706.719635788177</v>
      </c>
      <c r="DE670" s="55">
        <v>78432.304820088582</v>
      </c>
      <c r="DF670" s="55">
        <v>81363.124575498587</v>
      </c>
      <c r="DG670" s="55">
        <v>84510.146605698028</v>
      </c>
      <c r="DH670" s="55">
        <v>87780.342923478835</v>
      </c>
      <c r="DI670" s="55">
        <v>91178.586215299802</v>
      </c>
    </row>
    <row r="671" spans="1:113" outlineLevel="1">
      <c r="A671" s="1" t="s">
        <v>903</v>
      </c>
      <c r="B671" s="19" t="s">
        <v>664</v>
      </c>
      <c r="C671" s="53">
        <v>6903</v>
      </c>
      <c r="D671" s="53">
        <v>7267</v>
      </c>
      <c r="E671" s="53">
        <v>7864</v>
      </c>
      <c r="F671" s="53">
        <v>8458</v>
      </c>
      <c r="G671" s="53">
        <v>7538</v>
      </c>
      <c r="H671" s="53">
        <v>5846</v>
      </c>
      <c r="I671" s="53">
        <v>6641</v>
      </c>
      <c r="J671" s="53">
        <v>9512</v>
      </c>
      <c r="K671" s="53">
        <v>8023</v>
      </c>
      <c r="L671" s="53">
        <v>9902</v>
      </c>
      <c r="M671" s="53">
        <v>11184</v>
      </c>
      <c r="N671" s="53">
        <v>12432</v>
      </c>
      <c r="O671" s="53">
        <v>14386</v>
      </c>
      <c r="P671" s="53">
        <v>17972</v>
      </c>
      <c r="Q671" s="53">
        <v>17672</v>
      </c>
      <c r="R671" s="53">
        <v>21682</v>
      </c>
      <c r="S671" s="53">
        <v>15109</v>
      </c>
      <c r="T671" s="53">
        <v>13675</v>
      </c>
      <c r="U671" s="53">
        <v>12608</v>
      </c>
      <c r="V671" s="53">
        <v>13242</v>
      </c>
      <c r="W671" s="53">
        <v>15899</v>
      </c>
      <c r="X671" s="53">
        <v>17424</v>
      </c>
      <c r="Y671" s="53">
        <v>22126</v>
      </c>
      <c r="Z671" s="53">
        <v>23479</v>
      </c>
      <c r="AA671" s="164">
        <v>25922</v>
      </c>
      <c r="AB671" s="164">
        <v>29585</v>
      </c>
      <c r="AC671" s="164">
        <v>24978</v>
      </c>
      <c r="AD671" s="164">
        <v>33957</v>
      </c>
      <c r="AE671" s="164">
        <v>36416</v>
      </c>
      <c r="AF671" s="164">
        <v>35053</v>
      </c>
      <c r="AG671" s="164">
        <v>28771</v>
      </c>
      <c r="AH671" s="164">
        <v>34031</v>
      </c>
      <c r="AI671" s="164">
        <v>28432</v>
      </c>
      <c r="AJ671" s="164">
        <v>24466</v>
      </c>
      <c r="AK671" s="164">
        <v>20899</v>
      </c>
      <c r="AL671" s="164">
        <v>22545</v>
      </c>
      <c r="AM671" s="164">
        <v>23370</v>
      </c>
      <c r="AN671" s="164">
        <v>23822</v>
      </c>
      <c r="AO671" s="164">
        <v>16429</v>
      </c>
      <c r="AP671" s="164">
        <v>11847</v>
      </c>
      <c r="AQ671" s="164">
        <v>19059</v>
      </c>
      <c r="AR671" s="164">
        <v>21487</v>
      </c>
      <c r="AS671" s="164">
        <v>26052</v>
      </c>
      <c r="AT671" s="164">
        <v>19863</v>
      </c>
      <c r="AU671" s="164">
        <v>21910</v>
      </c>
      <c r="AV671" s="164">
        <v>20544</v>
      </c>
      <c r="AW671" s="171">
        <v>24633</v>
      </c>
      <c r="AX671" s="55">
        <v>25202.428722927285</v>
      </c>
      <c r="AY671" s="55">
        <v>25711.971317148131</v>
      </c>
      <c r="AZ671" s="55">
        <v>26312.923560702176</v>
      </c>
      <c r="BA671" s="55">
        <v>26718.053730898664</v>
      </c>
      <c r="BB671" s="55">
        <v>27145.621023021838</v>
      </c>
      <c r="BC671" s="55">
        <v>27624.367634777838</v>
      </c>
      <c r="BD671" s="55">
        <v>28121.495172052968</v>
      </c>
      <c r="BE671" s="55">
        <v>28616.359550889189</v>
      </c>
      <c r="BF671" s="55">
        <v>29130.378641662319</v>
      </c>
      <c r="BG671" s="55">
        <v>29643.956428664806</v>
      </c>
      <c r="BH671" s="55">
        <v>30175.977185077656</v>
      </c>
      <c r="BI671" s="55">
        <v>30710.067303095217</v>
      </c>
      <c r="BJ671" s="55">
        <v>31276.407466617886</v>
      </c>
      <c r="BK671" s="55">
        <v>31898.119639777768</v>
      </c>
      <c r="BL671" s="55">
        <v>32529.661824949999</v>
      </c>
      <c r="BM671" s="55">
        <v>33154.742076311974</v>
      </c>
      <c r="BN671" s="55">
        <v>33785.903909251872</v>
      </c>
      <c r="BO671" s="55">
        <v>34439.683724545685</v>
      </c>
      <c r="BP671" s="55">
        <v>35113.324424992104</v>
      </c>
      <c r="BQ671" s="55">
        <v>35792.685246859182</v>
      </c>
      <c r="BR671" s="55"/>
      <c r="BS671" s="53">
        <v>3782.2</v>
      </c>
      <c r="BT671" s="53">
        <v>3111.8</v>
      </c>
      <c r="BU671" s="53">
        <v>3414.1</v>
      </c>
      <c r="BV671" s="53">
        <v>3802</v>
      </c>
      <c r="BW671" s="53">
        <v>2852</v>
      </c>
      <c r="BX671" s="53">
        <v>3621</v>
      </c>
      <c r="BY671" s="53">
        <v>3397</v>
      </c>
      <c r="BZ671" s="53">
        <v>3249</v>
      </c>
      <c r="CA671" s="53">
        <v>4633</v>
      </c>
      <c r="CB671" s="53">
        <v>6903</v>
      </c>
      <c r="CC671" s="55">
        <v>7864</v>
      </c>
      <c r="CD671" s="55">
        <v>7538</v>
      </c>
      <c r="CE671" s="55">
        <v>6641</v>
      </c>
      <c r="CF671" s="55">
        <v>8023</v>
      </c>
      <c r="CG671" s="55">
        <v>11184</v>
      </c>
      <c r="CH671" s="55">
        <v>14386</v>
      </c>
      <c r="CI671" s="55">
        <v>17672</v>
      </c>
      <c r="CJ671" s="55">
        <v>15109</v>
      </c>
      <c r="CK671" s="55">
        <v>12608</v>
      </c>
      <c r="CL671" s="55">
        <v>15899</v>
      </c>
      <c r="CM671" s="55">
        <v>22126</v>
      </c>
      <c r="CN671" s="55">
        <v>25922</v>
      </c>
      <c r="CO671" s="55">
        <v>24978</v>
      </c>
      <c r="CP671" s="55">
        <v>36416</v>
      </c>
      <c r="CQ671" s="55">
        <v>28771</v>
      </c>
      <c r="CR671" s="55">
        <v>28432</v>
      </c>
      <c r="CS671" s="55">
        <v>20899</v>
      </c>
      <c r="CT671" s="55">
        <v>23370</v>
      </c>
      <c r="CU671" s="55">
        <v>16429</v>
      </c>
      <c r="CV671" s="55">
        <v>19059</v>
      </c>
      <c r="CW671" s="55">
        <v>26052</v>
      </c>
      <c r="CX671" s="55">
        <v>21910</v>
      </c>
      <c r="CY671" s="56">
        <v>24633</v>
      </c>
      <c r="CZ671" s="55">
        <v>25711.971317148131</v>
      </c>
      <c r="DA671" s="55">
        <v>26718.053730898664</v>
      </c>
      <c r="DB671" s="55">
        <v>27624.367634777838</v>
      </c>
      <c r="DC671" s="55">
        <v>28616.359550889189</v>
      </c>
      <c r="DD671" s="55">
        <v>29643.956428664806</v>
      </c>
      <c r="DE671" s="55">
        <v>30710.067303095217</v>
      </c>
      <c r="DF671" s="55">
        <v>31898.119639777768</v>
      </c>
      <c r="DG671" s="55">
        <v>33154.742076311974</v>
      </c>
      <c r="DH671" s="55">
        <v>34439.683724545685</v>
      </c>
      <c r="DI671" s="55">
        <v>35792.685246859182</v>
      </c>
    </row>
    <row r="672" spans="1:113" outlineLevel="1">
      <c r="A672" s="1" t="s">
        <v>1047</v>
      </c>
      <c r="B672" s="19" t="s">
        <v>665</v>
      </c>
      <c r="C672" s="53">
        <v>24484</v>
      </c>
      <c r="D672" s="53">
        <v>24751</v>
      </c>
      <c r="E672" s="53">
        <v>23575</v>
      </c>
      <c r="F672" s="53">
        <v>29025</v>
      </c>
      <c r="G672" s="53">
        <v>30629</v>
      </c>
      <c r="H672" s="53">
        <v>33457</v>
      </c>
      <c r="I672" s="53">
        <v>44042</v>
      </c>
      <c r="J672" s="53">
        <v>58850</v>
      </c>
      <c r="K672" s="53">
        <v>70765</v>
      </c>
      <c r="L672" s="53">
        <v>70036</v>
      </c>
      <c r="M672" s="53">
        <v>78591</v>
      </c>
      <c r="N672" s="53">
        <v>82561</v>
      </c>
      <c r="O672" s="53">
        <v>88525</v>
      </c>
      <c r="P672" s="53">
        <v>81468</v>
      </c>
      <c r="Q672" s="53">
        <v>85817</v>
      </c>
      <c r="R672" s="53">
        <v>102399</v>
      </c>
      <c r="S672" s="53">
        <v>101819</v>
      </c>
      <c r="T672" s="53">
        <v>119207</v>
      </c>
      <c r="U672" s="53">
        <v>130210</v>
      </c>
      <c r="V672" s="53">
        <v>113609</v>
      </c>
      <c r="W672" s="53">
        <v>118652</v>
      </c>
      <c r="X672" s="53">
        <v>119307</v>
      </c>
      <c r="Y672" s="53">
        <v>124712</v>
      </c>
      <c r="Z672" s="53">
        <v>119284</v>
      </c>
      <c r="AA672" s="164">
        <v>132808</v>
      </c>
      <c r="AB672" s="164">
        <v>142675</v>
      </c>
      <c r="AC672" s="164">
        <v>142219</v>
      </c>
      <c r="AD672" s="164">
        <v>153249</v>
      </c>
      <c r="AE672" s="164">
        <v>154429</v>
      </c>
      <c r="AF672" s="164">
        <v>160798</v>
      </c>
      <c r="AG672" s="164">
        <v>161284</v>
      </c>
      <c r="AH672" s="164">
        <v>175583</v>
      </c>
      <c r="AI672" s="164">
        <v>167571</v>
      </c>
      <c r="AJ672" s="164">
        <v>166510</v>
      </c>
      <c r="AK672" s="164">
        <v>172294</v>
      </c>
      <c r="AL672" s="164">
        <v>168851</v>
      </c>
      <c r="AM672" s="164">
        <v>163990</v>
      </c>
      <c r="AN672" s="164">
        <v>153327</v>
      </c>
      <c r="AO672" s="164">
        <v>142503</v>
      </c>
      <c r="AP672" s="164">
        <v>122548</v>
      </c>
      <c r="AQ672" s="164">
        <v>103003</v>
      </c>
      <c r="AR672" s="164">
        <v>117466</v>
      </c>
      <c r="AS672" s="164">
        <v>116902</v>
      </c>
      <c r="AT672" s="164">
        <v>118843</v>
      </c>
      <c r="AU672" s="164">
        <v>122267</v>
      </c>
      <c r="AV672" s="164">
        <v>139275</v>
      </c>
      <c r="AW672" s="171">
        <v>144530</v>
      </c>
      <c r="AX672" s="55">
        <v>65399.5283580299</v>
      </c>
      <c r="AY672" s="55">
        <v>67392.573226127541</v>
      </c>
      <c r="AZ672" s="55">
        <v>69845.741886746837</v>
      </c>
      <c r="BA672" s="55">
        <v>70690.915331896162</v>
      </c>
      <c r="BB672" s="55">
        <v>71998.5667934597</v>
      </c>
      <c r="BC672" s="55">
        <v>73193.399014441762</v>
      </c>
      <c r="BD672" s="55">
        <v>74786.743399591418</v>
      </c>
      <c r="BE672" s="55">
        <v>75929.57451386936</v>
      </c>
      <c r="BF672" s="55">
        <v>77489.163398281671</v>
      </c>
      <c r="BG672" s="55">
        <v>78658.984379367903</v>
      </c>
      <c r="BH672" s="55">
        <v>80202.645676003303</v>
      </c>
      <c r="BI672" s="55">
        <v>81444.840092094615</v>
      </c>
      <c r="BJ672" s="55">
        <v>83609.866454075323</v>
      </c>
      <c r="BK672" s="55">
        <v>86140.662841915851</v>
      </c>
      <c r="BL672" s="55">
        <v>88630.092922450975</v>
      </c>
      <c r="BM672" s="55">
        <v>90404.664859164041</v>
      </c>
      <c r="BN672" s="55">
        <v>91967.409361960134</v>
      </c>
      <c r="BO672" s="55">
        <v>93984.120807724539</v>
      </c>
      <c r="BP672" s="55">
        <v>96333.102117466275</v>
      </c>
      <c r="BQ672" s="55">
        <v>98427.939111567102</v>
      </c>
      <c r="BR672" s="55"/>
      <c r="BS672" s="53">
        <v>4649.3999999999996</v>
      </c>
      <c r="BT672" s="53">
        <v>3424.8</v>
      </c>
      <c r="BU672" s="53">
        <v>3935.8</v>
      </c>
      <c r="BV672" s="53">
        <v>4921</v>
      </c>
      <c r="BW672" s="53">
        <v>6673</v>
      </c>
      <c r="BX672" s="53">
        <v>10154</v>
      </c>
      <c r="BY672" s="53">
        <v>10608</v>
      </c>
      <c r="BZ672" s="53">
        <v>10763</v>
      </c>
      <c r="CA672" s="53">
        <v>25275</v>
      </c>
      <c r="CB672" s="53">
        <v>24484</v>
      </c>
      <c r="CC672" s="55">
        <v>23575</v>
      </c>
      <c r="CD672" s="55">
        <v>30629</v>
      </c>
      <c r="CE672" s="55">
        <v>44042</v>
      </c>
      <c r="CF672" s="55">
        <v>70765</v>
      </c>
      <c r="CG672" s="55">
        <v>78591</v>
      </c>
      <c r="CH672" s="55">
        <v>88525</v>
      </c>
      <c r="CI672" s="55">
        <v>85817</v>
      </c>
      <c r="CJ672" s="55">
        <v>101819</v>
      </c>
      <c r="CK672" s="55">
        <v>130210</v>
      </c>
      <c r="CL672" s="55">
        <v>118652</v>
      </c>
      <c r="CM672" s="55">
        <v>124712</v>
      </c>
      <c r="CN672" s="55">
        <v>132808</v>
      </c>
      <c r="CO672" s="55">
        <v>142219</v>
      </c>
      <c r="CP672" s="55">
        <v>154429</v>
      </c>
      <c r="CQ672" s="55">
        <v>161284</v>
      </c>
      <c r="CR672" s="55">
        <v>167571</v>
      </c>
      <c r="CS672" s="55">
        <v>172294</v>
      </c>
      <c r="CT672" s="55">
        <v>163990</v>
      </c>
      <c r="CU672" s="55">
        <v>142503</v>
      </c>
      <c r="CV672" s="55">
        <v>103003</v>
      </c>
      <c r="CW672" s="55">
        <v>116902</v>
      </c>
      <c r="CX672" s="55">
        <v>122267</v>
      </c>
      <c r="CY672" s="56">
        <v>144530</v>
      </c>
      <c r="CZ672" s="55">
        <v>67392.573226127541</v>
      </c>
      <c r="DA672" s="55">
        <v>70690.915331896162</v>
      </c>
      <c r="DB672" s="55">
        <v>73193.399014441762</v>
      </c>
      <c r="DC672" s="55">
        <v>75929.57451386936</v>
      </c>
      <c r="DD672" s="55">
        <v>78658.984379367903</v>
      </c>
      <c r="DE672" s="55">
        <v>81444.840092094615</v>
      </c>
      <c r="DF672" s="55">
        <v>86140.662841915851</v>
      </c>
      <c r="DG672" s="55">
        <v>90404.664859164041</v>
      </c>
      <c r="DH672" s="55">
        <v>93984.120807724539</v>
      </c>
      <c r="DI672" s="55">
        <v>98427.939111567102</v>
      </c>
    </row>
    <row r="673" spans="1:113" outlineLevel="1">
      <c r="A673" s="1" t="s">
        <v>937</v>
      </c>
      <c r="B673" s="19" t="s">
        <v>662</v>
      </c>
      <c r="C673" s="53">
        <v>1007</v>
      </c>
      <c r="D673" s="53">
        <v>981</v>
      </c>
      <c r="E673" s="53">
        <v>834</v>
      </c>
      <c r="F673" s="53">
        <v>745</v>
      </c>
      <c r="G673" s="53">
        <v>819</v>
      </c>
      <c r="H673" s="53">
        <v>1041</v>
      </c>
      <c r="I673" s="53">
        <v>997</v>
      </c>
      <c r="J673" s="53">
        <v>849</v>
      </c>
      <c r="K673" s="53">
        <v>871</v>
      </c>
      <c r="L673" s="53">
        <v>846</v>
      </c>
      <c r="M673" s="53">
        <v>821</v>
      </c>
      <c r="N673" s="53">
        <v>826</v>
      </c>
      <c r="O673" s="53">
        <v>878</v>
      </c>
      <c r="P673" s="53">
        <v>875</v>
      </c>
      <c r="Q673" s="53">
        <v>1174</v>
      </c>
      <c r="R673" s="53">
        <v>1191</v>
      </c>
      <c r="S673" s="53">
        <v>1243</v>
      </c>
      <c r="T673" s="53">
        <v>1106</v>
      </c>
      <c r="U673" s="53">
        <v>1197</v>
      </c>
      <c r="V673" s="53">
        <v>1194</v>
      </c>
      <c r="W673" s="53">
        <v>1277</v>
      </c>
      <c r="X673" s="53">
        <v>1255</v>
      </c>
      <c r="Y673" s="53">
        <v>1224</v>
      </c>
      <c r="Z673" s="53">
        <v>1223</v>
      </c>
      <c r="AA673" s="164">
        <v>1249</v>
      </c>
      <c r="AB673" s="164">
        <v>1252</v>
      </c>
      <c r="AC673" s="164">
        <v>1363</v>
      </c>
      <c r="AD673" s="164">
        <v>1473</v>
      </c>
      <c r="AE673" s="164">
        <v>1726</v>
      </c>
      <c r="AF673" s="164">
        <v>1657</v>
      </c>
      <c r="AG673" s="164">
        <v>1656</v>
      </c>
      <c r="AH673" s="164">
        <v>1625</v>
      </c>
      <c r="AI673" s="164">
        <v>1780</v>
      </c>
      <c r="AJ673" s="164">
        <v>2120</v>
      </c>
      <c r="AK673" s="164">
        <v>1889</v>
      </c>
      <c r="AL673" s="164">
        <v>2171</v>
      </c>
      <c r="AM673" s="164">
        <v>2751</v>
      </c>
      <c r="AN673" s="164">
        <v>2999</v>
      </c>
      <c r="AO673" s="164">
        <v>3408</v>
      </c>
      <c r="AP673" s="164">
        <v>3607</v>
      </c>
      <c r="AQ673" s="164">
        <v>3733</v>
      </c>
      <c r="AR673" s="164">
        <v>3776</v>
      </c>
      <c r="AS673" s="164">
        <v>3636</v>
      </c>
      <c r="AT673" s="164">
        <v>3163</v>
      </c>
      <c r="AU673" s="164">
        <v>3013</v>
      </c>
      <c r="AV673" s="164">
        <v>2772</v>
      </c>
      <c r="AW673" s="171">
        <v>2908</v>
      </c>
      <c r="AX673" s="55">
        <v>2975.222779453276</v>
      </c>
      <c r="AY673" s="55">
        <v>3035.3758206579291</v>
      </c>
      <c r="AZ673" s="55">
        <v>3106.3200468689129</v>
      </c>
      <c r="BA673" s="55">
        <v>3154.1468862685547</v>
      </c>
      <c r="BB673" s="55">
        <v>3204.6224956338042</v>
      </c>
      <c r="BC673" s="55">
        <v>3261.1399781566988</v>
      </c>
      <c r="BD673" s="55">
        <v>3319.8273844164346</v>
      </c>
      <c r="BE673" s="55">
        <v>3378.2476179915457</v>
      </c>
      <c r="BF673" s="55">
        <v>3438.9291231256448</v>
      </c>
      <c r="BG673" s="55">
        <v>3499.5585310176284</v>
      </c>
      <c r="BH673" s="55">
        <v>3562.3651871150819</v>
      </c>
      <c r="BI673" s="55">
        <v>3625.4161375959434</v>
      </c>
      <c r="BJ673" s="55">
        <v>3692.2743032892786</v>
      </c>
      <c r="BK673" s="55">
        <v>3765.6693018501092</v>
      </c>
      <c r="BL673" s="55">
        <v>3840.2247629990093</v>
      </c>
      <c r="BM673" s="55">
        <v>3914.017373357497</v>
      </c>
      <c r="BN673" s="55">
        <v>3988.5279327773501</v>
      </c>
      <c r="BO673" s="55">
        <v>4065.708613282136</v>
      </c>
      <c r="BP673" s="55">
        <v>4145.2339312254717</v>
      </c>
      <c r="BQ673" s="55">
        <v>4225.434526767609</v>
      </c>
      <c r="BR673" s="55"/>
      <c r="BS673" s="53">
        <v>604.6</v>
      </c>
      <c r="BT673" s="53">
        <v>807.4</v>
      </c>
      <c r="BU673" s="53">
        <v>687.7</v>
      </c>
      <c r="BV673" s="53">
        <v>874</v>
      </c>
      <c r="BW673" s="53">
        <v>858</v>
      </c>
      <c r="BX673" s="53">
        <v>835</v>
      </c>
      <c r="BY673" s="53">
        <v>875</v>
      </c>
      <c r="BZ673" s="53">
        <v>805</v>
      </c>
      <c r="CA673" s="53">
        <v>1554</v>
      </c>
      <c r="CB673" s="53">
        <v>1007</v>
      </c>
      <c r="CC673" s="55">
        <v>834</v>
      </c>
      <c r="CD673" s="55">
        <v>819</v>
      </c>
      <c r="CE673" s="55">
        <v>997</v>
      </c>
      <c r="CF673" s="55">
        <v>871</v>
      </c>
      <c r="CG673" s="55">
        <v>821</v>
      </c>
      <c r="CH673" s="55">
        <v>878</v>
      </c>
      <c r="CI673" s="55">
        <v>1174</v>
      </c>
      <c r="CJ673" s="55">
        <v>1243</v>
      </c>
      <c r="CK673" s="55">
        <v>1197</v>
      </c>
      <c r="CL673" s="55">
        <v>1277</v>
      </c>
      <c r="CM673" s="55">
        <v>1224</v>
      </c>
      <c r="CN673" s="55">
        <v>1249</v>
      </c>
      <c r="CO673" s="55">
        <v>1363</v>
      </c>
      <c r="CP673" s="55">
        <v>1726</v>
      </c>
      <c r="CQ673" s="55">
        <v>1656</v>
      </c>
      <c r="CR673" s="55">
        <v>1780</v>
      </c>
      <c r="CS673" s="55">
        <v>1889</v>
      </c>
      <c r="CT673" s="55">
        <v>2751</v>
      </c>
      <c r="CU673" s="55">
        <v>3408</v>
      </c>
      <c r="CV673" s="55">
        <v>3733</v>
      </c>
      <c r="CW673" s="55">
        <v>3636</v>
      </c>
      <c r="CX673" s="55">
        <v>3013</v>
      </c>
      <c r="CY673" s="56">
        <v>2908</v>
      </c>
      <c r="CZ673" s="55">
        <v>3035.3758206579291</v>
      </c>
      <c r="DA673" s="55">
        <v>3154.1468862685547</v>
      </c>
      <c r="DB673" s="55">
        <v>3261.1399781566988</v>
      </c>
      <c r="DC673" s="55">
        <v>3378.2476179915457</v>
      </c>
      <c r="DD673" s="55">
        <v>3499.5585310176284</v>
      </c>
      <c r="DE673" s="55">
        <v>3625.4161375959434</v>
      </c>
      <c r="DF673" s="55">
        <v>3765.6693018501092</v>
      </c>
      <c r="DG673" s="55">
        <v>3914.017373357497</v>
      </c>
      <c r="DH673" s="55">
        <v>4065.708613282136</v>
      </c>
      <c r="DI673" s="55">
        <v>4225.434526767609</v>
      </c>
    </row>
    <row r="674" spans="1:113" outlineLevel="1">
      <c r="A674" s="1" t="s">
        <v>938</v>
      </c>
      <c r="B674" s="19" t="s">
        <v>663</v>
      </c>
      <c r="C674" s="55">
        <v>60814</v>
      </c>
      <c r="D674" s="55">
        <v>60056</v>
      </c>
      <c r="E674" s="55">
        <v>63519</v>
      </c>
      <c r="F674" s="55">
        <v>61995</v>
      </c>
      <c r="G674" s="55">
        <v>62998</v>
      </c>
      <c r="H674" s="55">
        <v>63420</v>
      </c>
      <c r="I674" s="55">
        <v>66253</v>
      </c>
      <c r="J674" s="55">
        <v>66624</v>
      </c>
      <c r="K674" s="55">
        <v>67076</v>
      </c>
      <c r="L674" s="55">
        <v>81836</v>
      </c>
      <c r="M674" s="55">
        <v>83937</v>
      </c>
      <c r="N674" s="55">
        <v>90136</v>
      </c>
      <c r="O674" s="55">
        <v>92856</v>
      </c>
      <c r="P674" s="55">
        <v>93604</v>
      </c>
      <c r="Q674" s="55">
        <v>93066</v>
      </c>
      <c r="R674" s="55">
        <v>113318</v>
      </c>
      <c r="S674" s="55">
        <v>102038</v>
      </c>
      <c r="T674" s="55">
        <v>87738</v>
      </c>
      <c r="U674" s="55">
        <v>92082</v>
      </c>
      <c r="V674" s="55">
        <v>90903</v>
      </c>
      <c r="W674" s="55">
        <v>93637</v>
      </c>
      <c r="X674" s="55">
        <v>93298</v>
      </c>
      <c r="Y674" s="55">
        <v>91570</v>
      </c>
      <c r="Z674" s="55">
        <v>86439</v>
      </c>
      <c r="AA674" s="55">
        <v>88912</v>
      </c>
      <c r="AB674" s="55">
        <v>92294.150621188164</v>
      </c>
      <c r="AC674" s="55">
        <v>93152.617370679916</v>
      </c>
      <c r="AD674" s="55">
        <v>100380.35760108427</v>
      </c>
      <c r="AE674" s="55">
        <v>102987.51572170771</v>
      </c>
      <c r="AF674" s="55">
        <v>105858.77883442512</v>
      </c>
      <c r="AG674" s="55">
        <v>109512.81700926134</v>
      </c>
      <c r="AH674" s="55">
        <v>114216.2457420375</v>
      </c>
      <c r="AI674" s="55">
        <v>114561.56552970409</v>
      </c>
      <c r="AJ674" s="55">
        <v>112450.35742037499</v>
      </c>
      <c r="AK674" s="55">
        <v>113889.62920713804</v>
      </c>
      <c r="AL674" s="55">
        <v>114460.39222950082</v>
      </c>
      <c r="AM674" s="55">
        <v>113832.89182290493</v>
      </c>
      <c r="AN674" s="55">
        <v>114066.61971990064</v>
      </c>
      <c r="AO674" s="55">
        <v>118437.15565845949</v>
      </c>
      <c r="AP674" s="55">
        <v>123556.07275807548</v>
      </c>
      <c r="AQ674" s="55">
        <v>127189.27375197655</v>
      </c>
      <c r="AR674" s="55">
        <v>134958.40411113625</v>
      </c>
      <c r="AS674" s="55">
        <v>143402.73444770728</v>
      </c>
      <c r="AT674" s="55">
        <v>145563.77605601991</v>
      </c>
      <c r="AU674" s="55">
        <v>148104.65687824716</v>
      </c>
      <c r="AV674" s="55">
        <v>151023.11746103459</v>
      </c>
      <c r="AW674" s="56">
        <v>148243.73878473011</v>
      </c>
      <c r="AX674" s="55">
        <v>151670.61504252066</v>
      </c>
      <c r="AY674" s="55">
        <v>154737.09087726951</v>
      </c>
      <c r="AZ674" s="55">
        <v>158353.67868287678</v>
      </c>
      <c r="BA674" s="55">
        <v>160791.79061095786</v>
      </c>
      <c r="BB674" s="55">
        <v>163364.93127455557</v>
      </c>
      <c r="BC674" s="55">
        <v>166246.07395539962</v>
      </c>
      <c r="BD674" s="55">
        <v>169237.83479567527</v>
      </c>
      <c r="BE674" s="55">
        <v>172215.97573303833</v>
      </c>
      <c r="BF674" s="55">
        <v>175309.39155015099</v>
      </c>
      <c r="BG674" s="55">
        <v>178400.15155916478</v>
      </c>
      <c r="BH674" s="55">
        <v>181601.9031136535</v>
      </c>
      <c r="BI674" s="55">
        <v>184816.10828325932</v>
      </c>
      <c r="BJ674" s="55">
        <v>188224.3972965568</v>
      </c>
      <c r="BK674" s="55">
        <v>191965.92033464392</v>
      </c>
      <c r="BL674" s="55">
        <v>195766.60132072805</v>
      </c>
      <c r="BM674" s="55">
        <v>199528.39377403859</v>
      </c>
      <c r="BN674" s="55">
        <v>203326.7857641833</v>
      </c>
      <c r="BO674" s="55">
        <v>207261.29492511149</v>
      </c>
      <c r="BP674" s="55">
        <v>211315.32878342114</v>
      </c>
      <c r="BQ674" s="55">
        <v>215403.78687693158</v>
      </c>
      <c r="BR674" s="55"/>
      <c r="BS674" s="55">
        <v>10455.600000000006</v>
      </c>
      <c r="BT674" s="55">
        <v>14677.900000000009</v>
      </c>
      <c r="BU674" s="55">
        <v>14610.199999999997</v>
      </c>
      <c r="BV674" s="55">
        <v>22149</v>
      </c>
      <c r="BW674" s="55">
        <v>20154</v>
      </c>
      <c r="BX674" s="55">
        <v>20589</v>
      </c>
      <c r="BY674" s="55">
        <v>24889</v>
      </c>
      <c r="BZ674" s="55">
        <v>22889</v>
      </c>
      <c r="CA674" s="55">
        <v>55768</v>
      </c>
      <c r="CB674" s="55">
        <v>60814</v>
      </c>
      <c r="CC674" s="55">
        <v>63519</v>
      </c>
      <c r="CD674" s="55">
        <v>62998</v>
      </c>
      <c r="CE674" s="55">
        <v>66253</v>
      </c>
      <c r="CF674" s="55">
        <v>67076</v>
      </c>
      <c r="CG674" s="55">
        <v>83937</v>
      </c>
      <c r="CH674" s="55">
        <v>92856</v>
      </c>
      <c r="CI674" s="55">
        <v>93066</v>
      </c>
      <c r="CJ674" s="55">
        <v>102038</v>
      </c>
      <c r="CK674" s="55">
        <v>92082</v>
      </c>
      <c r="CL674" s="55">
        <v>93637</v>
      </c>
      <c r="CM674" s="55">
        <v>91570</v>
      </c>
      <c r="CN674" s="55">
        <v>88912</v>
      </c>
      <c r="CO674" s="55">
        <v>93152.617370679916</v>
      </c>
      <c r="CP674" s="55">
        <v>102987.51572170771</v>
      </c>
      <c r="CQ674" s="55">
        <v>109512.81700926134</v>
      </c>
      <c r="CR674" s="55">
        <v>114561.56552970409</v>
      </c>
      <c r="CS674" s="55">
        <v>113889.62920713804</v>
      </c>
      <c r="CT674" s="55">
        <v>113832.89182290493</v>
      </c>
      <c r="CU674" s="55">
        <v>118437.15565845949</v>
      </c>
      <c r="CV674" s="55">
        <v>127189.27375197655</v>
      </c>
      <c r="CW674" s="55">
        <v>143402.73444770728</v>
      </c>
      <c r="CX674" s="55">
        <v>148104.65687824716</v>
      </c>
      <c r="CY674" s="56">
        <v>148243.73878473011</v>
      </c>
      <c r="CZ674" s="55">
        <v>154737.09087726951</v>
      </c>
      <c r="DA674" s="55">
        <v>160791.79061095786</v>
      </c>
      <c r="DB674" s="55">
        <v>166246.07395539962</v>
      </c>
      <c r="DC674" s="55">
        <v>172215.97573303833</v>
      </c>
      <c r="DD674" s="55">
        <v>178400.15155916478</v>
      </c>
      <c r="DE674" s="55">
        <v>184816.10828325932</v>
      </c>
      <c r="DF674" s="55">
        <v>191965.92033464392</v>
      </c>
      <c r="DG674" s="55">
        <v>199528.39377403859</v>
      </c>
      <c r="DH674" s="55">
        <v>207261.29492511149</v>
      </c>
      <c r="DI674" s="55">
        <v>215403.78687693158</v>
      </c>
    </row>
    <row r="675" spans="1:113" outlineLevel="1">
      <c r="A675" s="1" t="s">
        <v>939</v>
      </c>
      <c r="B675" s="19" t="s">
        <v>552</v>
      </c>
      <c r="C675" s="53">
        <v>4091</v>
      </c>
      <c r="D675" s="53">
        <v>4131</v>
      </c>
      <c r="E675" s="53">
        <v>4226</v>
      </c>
      <c r="F675" s="53">
        <v>4014</v>
      </c>
      <c r="G675" s="53">
        <v>3850</v>
      </c>
      <c r="H675" s="53">
        <v>3626</v>
      </c>
      <c r="I675" s="53">
        <v>3946</v>
      </c>
      <c r="J675" s="53">
        <v>1098</v>
      </c>
      <c r="K675" s="53">
        <v>1265</v>
      </c>
      <c r="L675" s="53">
        <v>1936</v>
      </c>
      <c r="M675" s="53">
        <v>1904</v>
      </c>
      <c r="N675" s="53">
        <v>1979</v>
      </c>
      <c r="O675" s="53">
        <v>2143</v>
      </c>
      <c r="P675" s="53">
        <v>1673</v>
      </c>
      <c r="Q675" s="53">
        <v>1206</v>
      </c>
      <c r="R675" s="53">
        <v>958</v>
      </c>
      <c r="S675" s="53">
        <v>516</v>
      </c>
      <c r="T675" s="53">
        <v>459</v>
      </c>
      <c r="U675" s="53">
        <v>1089</v>
      </c>
      <c r="V675" s="53">
        <v>269</v>
      </c>
      <c r="W675" s="53">
        <v>392</v>
      </c>
      <c r="X675" s="53">
        <v>829</v>
      </c>
      <c r="Y675" s="53">
        <v>1571</v>
      </c>
      <c r="Z675" s="53">
        <v>1262</v>
      </c>
      <c r="AA675" s="164">
        <v>1333</v>
      </c>
      <c r="AB675" s="164">
        <v>1780</v>
      </c>
      <c r="AC675" s="164">
        <v>2009</v>
      </c>
      <c r="AD675" s="164">
        <v>2674</v>
      </c>
      <c r="AE675" s="164">
        <v>2345</v>
      </c>
      <c r="AF675" s="164">
        <v>2554</v>
      </c>
      <c r="AG675" s="164">
        <v>2734</v>
      </c>
      <c r="AH675" s="164">
        <v>2144</v>
      </c>
      <c r="AI675" s="164">
        <v>1869</v>
      </c>
      <c r="AJ675" s="164">
        <v>1494</v>
      </c>
      <c r="AK675" s="164">
        <v>1676</v>
      </c>
      <c r="AL675" s="164">
        <v>2051</v>
      </c>
      <c r="AM675" s="164">
        <v>3092</v>
      </c>
      <c r="AN675" s="164">
        <v>1910</v>
      </c>
      <c r="AO675" s="164">
        <v>2666</v>
      </c>
      <c r="AP675" s="164">
        <v>2287</v>
      </c>
      <c r="AQ675" s="164">
        <v>3249</v>
      </c>
      <c r="AR675" s="164">
        <v>2848</v>
      </c>
      <c r="AS675" s="164">
        <v>-460</v>
      </c>
      <c r="AT675" s="164">
        <v>-1540</v>
      </c>
      <c r="AU675" s="164">
        <v>-2295</v>
      </c>
      <c r="AV675" s="164">
        <v>-1583</v>
      </c>
      <c r="AW675" s="171">
        <v>-2147</v>
      </c>
      <c r="AX675" s="55">
        <v>-2062.2194478200877</v>
      </c>
      <c r="AY675" s="55">
        <v>-2212.2365883205684</v>
      </c>
      <c r="AZ675" s="55">
        <v>-2467.897612815636</v>
      </c>
      <c r="BA675" s="55">
        <v>-2750.5356266361223</v>
      </c>
      <c r="BB675" s="55">
        <v>-3020.3260304148462</v>
      </c>
      <c r="BC675" s="55">
        <v>-3140.3236657398124</v>
      </c>
      <c r="BD675" s="55">
        <v>-3260.272597931777</v>
      </c>
      <c r="BE675" s="55">
        <v>-3379.5235110285939</v>
      </c>
      <c r="BF675" s="55">
        <v>-3498.9548743455712</v>
      </c>
      <c r="BG675" s="55">
        <v>-3617.9014016050569</v>
      </c>
      <c r="BH675" s="55">
        <v>-3737.1075064028373</v>
      </c>
      <c r="BI675" s="55">
        <v>-3856.000491775103</v>
      </c>
      <c r="BJ675" s="55">
        <v>-3975.1538955124638</v>
      </c>
      <c r="BK675" s="55">
        <v>-3975.1538955124638</v>
      </c>
      <c r="BL675" s="55">
        <v>-3975.1538955124638</v>
      </c>
      <c r="BM675" s="55">
        <v>-3975.1538955124638</v>
      </c>
      <c r="BN675" s="55">
        <v>-3975.1538955124638</v>
      </c>
      <c r="BO675" s="55">
        <v>-3975.1538955124638</v>
      </c>
      <c r="BP675" s="55">
        <v>-3975.1538955124638</v>
      </c>
      <c r="BQ675" s="55">
        <v>-3975.1538955124638</v>
      </c>
      <c r="BR675" s="55"/>
      <c r="BS675" s="53">
        <v>3491.3</v>
      </c>
      <c r="BT675" s="53">
        <v>3393.9</v>
      </c>
      <c r="BU675" s="53">
        <v>3615.6</v>
      </c>
      <c r="BV675" s="53">
        <v>4135</v>
      </c>
      <c r="BW675" s="53">
        <v>4415</v>
      </c>
      <c r="BX675" s="53">
        <v>4078</v>
      </c>
      <c r="BY675" s="53">
        <v>4112</v>
      </c>
      <c r="BZ675" s="53">
        <v>1511</v>
      </c>
      <c r="CA675" s="53">
        <v>3265</v>
      </c>
      <c r="CB675" s="53">
        <v>4091</v>
      </c>
      <c r="CC675" s="55">
        <v>4226</v>
      </c>
      <c r="CD675" s="55">
        <v>3850</v>
      </c>
      <c r="CE675" s="55">
        <v>3946</v>
      </c>
      <c r="CF675" s="55">
        <v>1265</v>
      </c>
      <c r="CG675" s="55">
        <v>1904</v>
      </c>
      <c r="CH675" s="55">
        <v>2143</v>
      </c>
      <c r="CI675" s="55">
        <v>1206</v>
      </c>
      <c r="CJ675" s="55">
        <v>516</v>
      </c>
      <c r="CK675" s="55">
        <v>1089</v>
      </c>
      <c r="CL675" s="55">
        <v>392</v>
      </c>
      <c r="CM675" s="55">
        <v>1571</v>
      </c>
      <c r="CN675" s="55">
        <v>1333</v>
      </c>
      <c r="CO675" s="55">
        <v>2009</v>
      </c>
      <c r="CP675" s="55">
        <v>2345</v>
      </c>
      <c r="CQ675" s="55">
        <v>2734</v>
      </c>
      <c r="CR675" s="55">
        <v>1869</v>
      </c>
      <c r="CS675" s="55">
        <v>1676</v>
      </c>
      <c r="CT675" s="55">
        <v>3092</v>
      </c>
      <c r="CU675" s="55">
        <v>2666</v>
      </c>
      <c r="CV675" s="55">
        <v>3249</v>
      </c>
      <c r="CW675" s="55">
        <v>-460</v>
      </c>
      <c r="CX675" s="55">
        <v>-2295</v>
      </c>
      <c r="CY675" s="56">
        <v>-2147</v>
      </c>
      <c r="CZ675" s="55">
        <v>-2212.2365883205684</v>
      </c>
      <c r="DA675" s="55">
        <v>-2750.5356266361223</v>
      </c>
      <c r="DB675" s="55">
        <v>-3140.3236657398124</v>
      </c>
      <c r="DC675" s="55">
        <v>-3379.5235110285939</v>
      </c>
      <c r="DD675" s="55">
        <v>-3617.9014016050569</v>
      </c>
      <c r="DE675" s="55">
        <v>-3856.000491775103</v>
      </c>
      <c r="DF675" s="55">
        <v>-3975.1538955124638</v>
      </c>
      <c r="DG675" s="55">
        <v>-3975.1538955124638</v>
      </c>
      <c r="DH675" s="55">
        <v>-3975.1538955124638</v>
      </c>
      <c r="DI675" s="55">
        <v>-3975.1538955124638</v>
      </c>
    </row>
    <row r="676" spans="1:113" outlineLevel="1">
      <c r="A676" s="1" t="s">
        <v>940</v>
      </c>
      <c r="B676" s="19" t="s">
        <v>553</v>
      </c>
      <c r="C676" s="53">
        <v>1160</v>
      </c>
      <c r="D676" s="53">
        <v>1246</v>
      </c>
      <c r="E676" s="53">
        <v>1452</v>
      </c>
      <c r="F676" s="53">
        <v>2424</v>
      </c>
      <c r="G676" s="53">
        <v>2809</v>
      </c>
      <c r="H676" s="53">
        <v>2996</v>
      </c>
      <c r="I676" s="53">
        <v>2840</v>
      </c>
      <c r="J676" s="53">
        <v>3357</v>
      </c>
      <c r="K676" s="53">
        <v>3843</v>
      </c>
      <c r="L676" s="53">
        <v>3590</v>
      </c>
      <c r="M676" s="53">
        <v>4487</v>
      </c>
      <c r="N676" s="53">
        <v>5141</v>
      </c>
      <c r="O676" s="53">
        <v>6367</v>
      </c>
      <c r="P676" s="53">
        <v>7159</v>
      </c>
      <c r="Q676" s="53">
        <v>7747</v>
      </c>
      <c r="R676" s="53">
        <v>7206</v>
      </c>
      <c r="S676" s="53">
        <v>7825</v>
      </c>
      <c r="T676" s="53">
        <v>9320</v>
      </c>
      <c r="U676" s="53">
        <v>9938</v>
      </c>
      <c r="V676" s="53">
        <v>10534</v>
      </c>
      <c r="W676" s="53">
        <v>11826</v>
      </c>
      <c r="X676" s="53">
        <v>11928</v>
      </c>
      <c r="Y676" s="53">
        <v>13356</v>
      </c>
      <c r="Z676" s="53">
        <v>14489</v>
      </c>
      <c r="AA676" s="164">
        <v>16405</v>
      </c>
      <c r="AB676" s="164">
        <v>17455</v>
      </c>
      <c r="AC676" s="164">
        <v>18827</v>
      </c>
      <c r="AD676" s="164">
        <v>19823</v>
      </c>
      <c r="AE676" s="164">
        <v>21528</v>
      </c>
      <c r="AF676" s="164">
        <v>22365</v>
      </c>
      <c r="AG676" s="164">
        <v>23435</v>
      </c>
      <c r="AH676" s="164">
        <v>24606</v>
      </c>
      <c r="AI676" s="164">
        <v>26274</v>
      </c>
      <c r="AJ676" s="164">
        <v>27267</v>
      </c>
      <c r="AK676" s="164">
        <v>28360</v>
      </c>
      <c r="AL676" s="164">
        <v>27959</v>
      </c>
      <c r="AM676" s="164">
        <v>28482</v>
      </c>
      <c r="AN676" s="164">
        <v>31066</v>
      </c>
      <c r="AO676" s="164">
        <v>31211</v>
      </c>
      <c r="AP676" s="164">
        <v>34211</v>
      </c>
      <c r="AQ676" s="164">
        <v>37044</v>
      </c>
      <c r="AR676" s="164">
        <v>34861</v>
      </c>
      <c r="AS676" s="164">
        <v>36826</v>
      </c>
      <c r="AT676" s="164">
        <v>38716</v>
      </c>
      <c r="AU676" s="164">
        <v>40010</v>
      </c>
      <c r="AV676" s="164">
        <v>40643</v>
      </c>
      <c r="AW676" s="171">
        <v>41600</v>
      </c>
      <c r="AX676" s="55">
        <v>42349.176188001475</v>
      </c>
      <c r="AY676" s="55">
        <v>43556.458290848779</v>
      </c>
      <c r="AZ676" s="55">
        <v>44330.435527047121</v>
      </c>
      <c r="BA676" s="55">
        <v>45603.790078213926</v>
      </c>
      <c r="BB676" s="55">
        <v>46403.667905360693</v>
      </c>
      <c r="BC676" s="55">
        <v>47720.969912603337</v>
      </c>
      <c r="BD676" s="55">
        <v>48619.52112980363</v>
      </c>
      <c r="BE676" s="55">
        <v>50097.050665433577</v>
      </c>
      <c r="BF676" s="55">
        <v>51136.400343498492</v>
      </c>
      <c r="BG676" s="55">
        <v>52685.388579872022</v>
      </c>
      <c r="BH676" s="55">
        <v>53848.551753271327</v>
      </c>
      <c r="BI676" s="55">
        <v>55419.673966920745</v>
      </c>
      <c r="BJ676" s="55">
        <v>55961.905942585778</v>
      </c>
      <c r="BK676" s="55">
        <v>56502.926721090575</v>
      </c>
      <c r="BL676" s="55">
        <v>57160.700383615018</v>
      </c>
      <c r="BM676" s="55">
        <v>58727.82958532808</v>
      </c>
      <c r="BN676" s="55">
        <v>60614.676611658288</v>
      </c>
      <c r="BO676" s="55">
        <v>62040.403683427488</v>
      </c>
      <c r="BP676" s="55">
        <v>63149.404307963887</v>
      </c>
      <c r="BQ676" s="55">
        <v>64632.084362765221</v>
      </c>
      <c r="BR676" s="55"/>
      <c r="BS676" s="53">
        <v>290.7</v>
      </c>
      <c r="BT676" s="53">
        <v>424</v>
      </c>
      <c r="BU676" s="53">
        <v>539.70000000000005</v>
      </c>
      <c r="BV676" s="53">
        <v>535</v>
      </c>
      <c r="BW676" s="53">
        <v>794</v>
      </c>
      <c r="BX676" s="53">
        <v>908</v>
      </c>
      <c r="BY676" s="53">
        <v>755</v>
      </c>
      <c r="BZ676" s="53">
        <v>1698</v>
      </c>
      <c r="CA676" s="53">
        <v>1686</v>
      </c>
      <c r="CB676" s="53">
        <v>1160</v>
      </c>
      <c r="CC676" s="55">
        <v>1452</v>
      </c>
      <c r="CD676" s="55">
        <v>2809</v>
      </c>
      <c r="CE676" s="55">
        <v>2840</v>
      </c>
      <c r="CF676" s="55">
        <v>3843</v>
      </c>
      <c r="CG676" s="55">
        <v>4487</v>
      </c>
      <c r="CH676" s="55">
        <v>6367</v>
      </c>
      <c r="CI676" s="55">
        <v>7747</v>
      </c>
      <c r="CJ676" s="55">
        <v>7825</v>
      </c>
      <c r="CK676" s="55">
        <v>9938</v>
      </c>
      <c r="CL676" s="55">
        <v>11826</v>
      </c>
      <c r="CM676" s="55">
        <v>13356</v>
      </c>
      <c r="CN676" s="55">
        <v>16405</v>
      </c>
      <c r="CO676" s="55">
        <v>18827</v>
      </c>
      <c r="CP676" s="55">
        <v>21528</v>
      </c>
      <c r="CQ676" s="55">
        <v>23435</v>
      </c>
      <c r="CR676" s="55">
        <v>26274</v>
      </c>
      <c r="CS676" s="55">
        <v>28360</v>
      </c>
      <c r="CT676" s="55">
        <v>28482</v>
      </c>
      <c r="CU676" s="55">
        <v>31211</v>
      </c>
      <c r="CV676" s="55">
        <v>37044</v>
      </c>
      <c r="CW676" s="55">
        <v>36826</v>
      </c>
      <c r="CX676" s="55">
        <v>40010</v>
      </c>
      <c r="CY676" s="56">
        <v>41600</v>
      </c>
      <c r="CZ676" s="55">
        <v>43556.458290848779</v>
      </c>
      <c r="DA676" s="55">
        <v>45603.790078213926</v>
      </c>
      <c r="DB676" s="55">
        <v>47720.969912603337</v>
      </c>
      <c r="DC676" s="55">
        <v>50097.050665433577</v>
      </c>
      <c r="DD676" s="55">
        <v>52685.388579872022</v>
      </c>
      <c r="DE676" s="55">
        <v>55419.673966920745</v>
      </c>
      <c r="DF676" s="55">
        <v>56502.926721090575</v>
      </c>
      <c r="DG676" s="55">
        <v>58727.82958532808</v>
      </c>
      <c r="DH676" s="55">
        <v>62040.403683427488</v>
      </c>
      <c r="DI676" s="55">
        <v>64632.084362765221</v>
      </c>
    </row>
    <row r="677" spans="1:113" outlineLevel="1">
      <c r="A677" s="1" t="s">
        <v>2218</v>
      </c>
      <c r="B677" s="19" t="s">
        <v>1635</v>
      </c>
      <c r="C677" s="164">
        <v>1343</v>
      </c>
      <c r="D677" s="164">
        <v>1261</v>
      </c>
      <c r="E677" s="164">
        <v>1219</v>
      </c>
      <c r="F677" s="164">
        <v>1316</v>
      </c>
      <c r="G677" s="164">
        <v>1310</v>
      </c>
      <c r="H677" s="164">
        <v>1341</v>
      </c>
      <c r="I677" s="164">
        <v>1310</v>
      </c>
      <c r="J677" s="164">
        <v>1651</v>
      </c>
      <c r="K677" s="164">
        <v>1572</v>
      </c>
      <c r="L677" s="164">
        <v>1541</v>
      </c>
      <c r="M677" s="164">
        <v>1579</v>
      </c>
      <c r="N677" s="164">
        <v>1517</v>
      </c>
      <c r="O677" s="164">
        <v>1920</v>
      </c>
      <c r="P677" s="164">
        <v>1928</v>
      </c>
      <c r="Q677" s="164">
        <v>2229</v>
      </c>
      <c r="R677" s="164">
        <v>2238</v>
      </c>
      <c r="S677" s="164">
        <v>2217</v>
      </c>
      <c r="T677" s="164">
        <v>2421</v>
      </c>
      <c r="U677" s="164">
        <v>2382</v>
      </c>
      <c r="V677" s="164">
        <v>2280</v>
      </c>
      <c r="W677" s="164">
        <v>2137</v>
      </c>
      <c r="X677" s="164">
        <v>1999</v>
      </c>
      <c r="Y677" s="164">
        <v>1871</v>
      </c>
      <c r="Z677" s="164">
        <v>1731</v>
      </c>
      <c r="AA677" s="164">
        <v>1655</v>
      </c>
      <c r="AB677" s="164">
        <v>1536</v>
      </c>
      <c r="AC677" s="55">
        <v>1453</v>
      </c>
      <c r="AD677" s="55">
        <v>1484</v>
      </c>
      <c r="AE677" s="55">
        <v>1348</v>
      </c>
      <c r="AF677" s="55">
        <v>1262</v>
      </c>
      <c r="AG677" s="55">
        <v>1183</v>
      </c>
      <c r="AH677" s="55">
        <v>1116</v>
      </c>
      <c r="AI677" s="55">
        <v>1084</v>
      </c>
      <c r="AJ677" s="55">
        <v>1057</v>
      </c>
      <c r="AK677" s="55">
        <v>1059</v>
      </c>
      <c r="AL677" s="55">
        <v>1219</v>
      </c>
      <c r="AM677" s="55">
        <v>1125</v>
      </c>
      <c r="AN677" s="55">
        <v>980</v>
      </c>
      <c r="AO677" s="55">
        <v>884</v>
      </c>
      <c r="AP677" s="55">
        <v>852</v>
      </c>
      <c r="AQ677" s="55">
        <v>810</v>
      </c>
      <c r="AR677" s="55">
        <v>805</v>
      </c>
      <c r="AS677" s="55">
        <v>879</v>
      </c>
      <c r="AT677" s="55">
        <v>1107</v>
      </c>
      <c r="AU677" s="55">
        <v>1378</v>
      </c>
      <c r="AV677" s="55">
        <v>1610</v>
      </c>
      <c r="AW677" s="56">
        <v>1826</v>
      </c>
      <c r="AX677" s="55">
        <v>1866.4420697423459</v>
      </c>
      <c r="AY677" s="55">
        <v>1903.028757992081</v>
      </c>
      <c r="AZ677" s="55">
        <v>1945.7347178562393</v>
      </c>
      <c r="BA677" s="55">
        <v>1975.4585730941419</v>
      </c>
      <c r="BB677" s="55">
        <v>2006.0780185837446</v>
      </c>
      <c r="BC677" s="55">
        <v>2041.2416918292654</v>
      </c>
      <c r="BD677" s="55">
        <v>2077.0788483696106</v>
      </c>
      <c r="BE677" s="55">
        <v>2113.6020573340702</v>
      </c>
      <c r="BF677" s="55">
        <v>2150.8241426691402</v>
      </c>
      <c r="BG677" s="55">
        <v>2188.7581877200873</v>
      </c>
      <c r="BH677" s="55">
        <v>2227.4175399263054</v>
      </c>
      <c r="BI677" s="55">
        <v>2266.8158156314275</v>
      </c>
      <c r="BJ677" s="55">
        <v>2306.9669050092834</v>
      </c>
      <c r="BK677" s="55">
        <v>2351.1551327343204</v>
      </c>
      <c r="BL677" s="55">
        <v>2396.1995720607597</v>
      </c>
      <c r="BM677" s="55">
        <v>2442.1169858640733</v>
      </c>
      <c r="BN677" s="55">
        <v>2488.9244684269902</v>
      </c>
      <c r="BO677" s="55">
        <v>2536.6394520539075</v>
      </c>
      <c r="BP677" s="55">
        <v>2585.2797138185347</v>
      </c>
      <c r="BQ677" s="55">
        <v>2634.8633824474891</v>
      </c>
      <c r="BR677" s="55"/>
      <c r="BS677" s="55"/>
      <c r="BT677" s="55"/>
      <c r="BU677" s="55"/>
      <c r="BV677" s="55"/>
      <c r="BW677" s="55"/>
      <c r="BX677" s="55"/>
      <c r="BY677" s="55"/>
      <c r="BZ677" s="55"/>
      <c r="CA677" s="55">
        <v>1920</v>
      </c>
      <c r="CB677" s="55">
        <v>1928</v>
      </c>
      <c r="CC677" s="55">
        <v>1219</v>
      </c>
      <c r="CD677" s="55">
        <v>1310</v>
      </c>
      <c r="CE677" s="55">
        <v>1310</v>
      </c>
      <c r="CF677" s="55">
        <v>1572</v>
      </c>
      <c r="CG677" s="55">
        <v>1579</v>
      </c>
      <c r="CH677" s="55">
        <v>1920</v>
      </c>
      <c r="CI677" s="55">
        <v>2229</v>
      </c>
      <c r="CJ677" s="55">
        <v>2217</v>
      </c>
      <c r="CK677" s="55">
        <v>2382</v>
      </c>
      <c r="CL677" s="55">
        <v>2137</v>
      </c>
      <c r="CM677" s="55">
        <v>1871</v>
      </c>
      <c r="CN677" s="55">
        <v>1655</v>
      </c>
      <c r="CO677" s="55">
        <v>1453</v>
      </c>
      <c r="CP677" s="55">
        <v>1348</v>
      </c>
      <c r="CQ677" s="55">
        <v>1183</v>
      </c>
      <c r="CR677" s="55">
        <v>1084</v>
      </c>
      <c r="CS677" s="55">
        <v>1059</v>
      </c>
      <c r="CT677" s="55">
        <v>1125</v>
      </c>
      <c r="CU677" s="55">
        <v>884</v>
      </c>
      <c r="CV677" s="55">
        <v>810</v>
      </c>
      <c r="CW677" s="55">
        <v>879</v>
      </c>
      <c r="CX677" s="55">
        <v>1378</v>
      </c>
      <c r="CY677" s="56">
        <v>1826</v>
      </c>
      <c r="CZ677" s="55">
        <v>1903.028757992081</v>
      </c>
      <c r="DA677" s="55">
        <v>1975.4585730941419</v>
      </c>
      <c r="DB677" s="55">
        <v>2041.2416918292654</v>
      </c>
      <c r="DC677" s="55">
        <v>2113.6020573340702</v>
      </c>
      <c r="DD677" s="55">
        <v>2188.7581877200873</v>
      </c>
      <c r="DE677" s="55">
        <v>2266.8158156314275</v>
      </c>
      <c r="DF677" s="55">
        <v>2351.1551327343204</v>
      </c>
      <c r="DG677" s="55">
        <v>2442.1169858640733</v>
      </c>
      <c r="DH677" s="55">
        <v>2536.6394520539075</v>
      </c>
      <c r="DI677" s="55">
        <v>2634.8633824474891</v>
      </c>
    </row>
    <row r="678" spans="1:113" outlineLevel="1">
      <c r="A678" s="1" t="s">
        <v>2219</v>
      </c>
      <c r="B678" s="19" t="s">
        <v>2220</v>
      </c>
      <c r="C678" s="164">
        <v>12075</v>
      </c>
      <c r="D678" s="164">
        <v>11865</v>
      </c>
      <c r="E678" s="164">
        <v>12517</v>
      </c>
      <c r="F678" s="164">
        <v>12831</v>
      </c>
      <c r="G678" s="164">
        <v>13197</v>
      </c>
      <c r="H678" s="164">
        <v>13734</v>
      </c>
      <c r="I678" s="164">
        <v>15019</v>
      </c>
      <c r="J678" s="164">
        <v>16297</v>
      </c>
      <c r="K678" s="164">
        <v>16786</v>
      </c>
      <c r="L678" s="164">
        <v>17263</v>
      </c>
      <c r="M678" s="164">
        <v>18310</v>
      </c>
      <c r="N678" s="164">
        <v>18395</v>
      </c>
      <c r="O678" s="164">
        <v>18721</v>
      </c>
      <c r="P678" s="164">
        <v>19805</v>
      </c>
      <c r="Q678" s="164">
        <v>18278</v>
      </c>
      <c r="R678" s="164">
        <v>14732</v>
      </c>
      <c r="S678" s="164">
        <v>14728</v>
      </c>
      <c r="T678" s="164">
        <v>10960</v>
      </c>
      <c r="U678" s="164">
        <v>11569</v>
      </c>
      <c r="V678" s="164">
        <v>10146</v>
      </c>
      <c r="W678" s="164">
        <v>10734</v>
      </c>
      <c r="X678" s="164">
        <v>10732</v>
      </c>
      <c r="Y678" s="164">
        <v>9717</v>
      </c>
      <c r="Z678" s="164">
        <v>8155</v>
      </c>
      <c r="AA678" s="164">
        <v>6063</v>
      </c>
      <c r="AB678" s="164">
        <v>4807</v>
      </c>
      <c r="AC678" s="164">
        <v>5027</v>
      </c>
      <c r="AD678" s="164">
        <v>2026</v>
      </c>
      <c r="AE678" s="164">
        <v>1944</v>
      </c>
      <c r="AF678" s="164">
        <v>1640</v>
      </c>
      <c r="AG678" s="164">
        <v>1431</v>
      </c>
      <c r="AH678" s="164">
        <v>1440</v>
      </c>
      <c r="AI678" s="164">
        <v>463</v>
      </c>
      <c r="AJ678" s="164">
        <v>222</v>
      </c>
      <c r="AK678" s="164">
        <v>379</v>
      </c>
      <c r="AL678" s="164">
        <v>53</v>
      </c>
      <c r="AM678" s="164">
        <v>32</v>
      </c>
      <c r="AN678" s="164">
        <v>32</v>
      </c>
      <c r="AO678" s="164">
        <v>32</v>
      </c>
      <c r="AP678" s="164">
        <v>32</v>
      </c>
      <c r="AQ678" s="164">
        <v>32</v>
      </c>
      <c r="AR678" s="164">
        <v>32</v>
      </c>
      <c r="AS678" s="164">
        <v>32</v>
      </c>
      <c r="AT678" s="164">
        <v>32</v>
      </c>
      <c r="AU678" s="164">
        <v>32</v>
      </c>
      <c r="AV678" s="164">
        <v>32</v>
      </c>
      <c r="AW678" s="171">
        <v>32</v>
      </c>
      <c r="AX678" s="55">
        <v>32</v>
      </c>
      <c r="AY678" s="55">
        <v>32</v>
      </c>
      <c r="AZ678" s="55">
        <v>32</v>
      </c>
      <c r="BA678" s="55">
        <v>32</v>
      </c>
      <c r="BB678" s="55">
        <v>32</v>
      </c>
      <c r="BC678" s="55">
        <v>32</v>
      </c>
      <c r="BD678" s="55">
        <v>32</v>
      </c>
      <c r="BE678" s="55">
        <v>32</v>
      </c>
      <c r="BF678" s="55">
        <v>32</v>
      </c>
      <c r="BG678" s="55">
        <v>32</v>
      </c>
      <c r="BH678" s="55">
        <v>32</v>
      </c>
      <c r="BI678" s="55">
        <v>32</v>
      </c>
      <c r="BJ678" s="55">
        <v>32</v>
      </c>
      <c r="BK678" s="55">
        <v>32</v>
      </c>
      <c r="BL678" s="55">
        <v>32</v>
      </c>
      <c r="BM678" s="55">
        <v>32</v>
      </c>
      <c r="BN678" s="55">
        <v>32</v>
      </c>
      <c r="BO678" s="55">
        <v>32</v>
      </c>
      <c r="BP678" s="55">
        <v>32</v>
      </c>
      <c r="BQ678" s="55">
        <v>32</v>
      </c>
      <c r="BR678" s="55"/>
      <c r="BS678" s="55"/>
      <c r="BT678" s="55"/>
      <c r="BU678" s="55"/>
      <c r="BV678" s="55"/>
      <c r="BW678" s="55"/>
      <c r="BX678" s="55"/>
      <c r="BY678" s="55"/>
      <c r="BZ678" s="55"/>
      <c r="CA678" s="55">
        <v>18721</v>
      </c>
      <c r="CB678" s="55">
        <v>19805</v>
      </c>
      <c r="CC678" s="55">
        <v>12517</v>
      </c>
      <c r="CD678" s="55">
        <v>13197</v>
      </c>
      <c r="CE678" s="55">
        <v>15019</v>
      </c>
      <c r="CF678" s="55">
        <v>16786</v>
      </c>
      <c r="CG678" s="55">
        <v>18310</v>
      </c>
      <c r="CH678" s="55">
        <v>18721</v>
      </c>
      <c r="CI678" s="55">
        <v>18278</v>
      </c>
      <c r="CJ678" s="55">
        <v>14728</v>
      </c>
      <c r="CK678" s="55">
        <v>11569</v>
      </c>
      <c r="CL678" s="55">
        <v>10734</v>
      </c>
      <c r="CM678" s="55">
        <v>9717</v>
      </c>
      <c r="CN678" s="55">
        <v>6063</v>
      </c>
      <c r="CO678" s="55">
        <v>5027</v>
      </c>
      <c r="CP678" s="55">
        <v>1944</v>
      </c>
      <c r="CQ678" s="55">
        <v>1431</v>
      </c>
      <c r="CR678" s="55">
        <v>463</v>
      </c>
      <c r="CS678" s="55">
        <v>379</v>
      </c>
      <c r="CT678" s="55">
        <v>32</v>
      </c>
      <c r="CU678" s="55">
        <v>32</v>
      </c>
      <c r="CV678" s="55">
        <v>32</v>
      </c>
      <c r="CW678" s="55">
        <v>32</v>
      </c>
      <c r="CX678" s="55">
        <v>32</v>
      </c>
      <c r="CY678" s="56">
        <v>32</v>
      </c>
      <c r="CZ678" s="55">
        <v>32</v>
      </c>
      <c r="DA678" s="55">
        <v>32</v>
      </c>
      <c r="DB678" s="55">
        <v>32</v>
      </c>
      <c r="DC678" s="55">
        <v>32</v>
      </c>
      <c r="DD678" s="55">
        <v>32</v>
      </c>
      <c r="DE678" s="55">
        <v>32</v>
      </c>
      <c r="DF678" s="55">
        <v>32</v>
      </c>
      <c r="DG678" s="55">
        <v>32</v>
      </c>
      <c r="DH678" s="55">
        <v>32</v>
      </c>
      <c r="DI678" s="55">
        <v>32</v>
      </c>
    </row>
    <row r="679" spans="1:113" outlineLevel="1">
      <c r="A679" s="1" t="s">
        <v>2221</v>
      </c>
      <c r="B679" s="19" t="s">
        <v>2222</v>
      </c>
      <c r="C679" s="164">
        <v>715</v>
      </c>
      <c r="D679" s="164">
        <v>1045</v>
      </c>
      <c r="E679" s="164">
        <v>943</v>
      </c>
      <c r="F679" s="164">
        <v>919</v>
      </c>
      <c r="G679" s="164">
        <v>665</v>
      </c>
      <c r="H679" s="164">
        <v>597</v>
      </c>
      <c r="I679" s="164">
        <v>363</v>
      </c>
      <c r="J679" s="164">
        <v>445</v>
      </c>
      <c r="K679" s="164">
        <v>395</v>
      </c>
      <c r="L679" s="164">
        <v>396</v>
      </c>
      <c r="M679" s="164">
        <v>326</v>
      </c>
      <c r="N679" s="164">
        <v>338</v>
      </c>
      <c r="O679" s="164">
        <v>421</v>
      </c>
      <c r="P679" s="164">
        <v>562</v>
      </c>
      <c r="Q679" s="164">
        <v>683</v>
      </c>
      <c r="R679" s="164">
        <v>2714</v>
      </c>
      <c r="S679" s="164">
        <v>4210</v>
      </c>
      <c r="T679" s="164">
        <v>4823</v>
      </c>
      <c r="U679" s="164">
        <v>5216</v>
      </c>
      <c r="V679" s="164">
        <v>5184</v>
      </c>
      <c r="W679" s="164">
        <v>5297</v>
      </c>
      <c r="X679" s="164">
        <v>4692</v>
      </c>
      <c r="Y679" s="164">
        <v>4687</v>
      </c>
      <c r="Z679" s="164">
        <v>4480</v>
      </c>
      <c r="AA679" s="164">
        <v>4330</v>
      </c>
      <c r="AB679" s="164">
        <v>3939</v>
      </c>
      <c r="AC679" s="164">
        <v>3367</v>
      </c>
      <c r="AD679" s="164">
        <v>3360</v>
      </c>
      <c r="AE679" s="164">
        <v>2855</v>
      </c>
      <c r="AF679" s="164">
        <v>2788</v>
      </c>
      <c r="AG679" s="164">
        <v>3116</v>
      </c>
      <c r="AH679" s="164">
        <v>3375</v>
      </c>
      <c r="AI679" s="164">
        <v>3187</v>
      </c>
      <c r="AJ679" s="164">
        <v>3367</v>
      </c>
      <c r="AK679" s="164">
        <v>3179</v>
      </c>
      <c r="AL679" s="164">
        <v>3560</v>
      </c>
      <c r="AM679" s="164">
        <v>3622</v>
      </c>
      <c r="AN679" s="164">
        <v>3383</v>
      </c>
      <c r="AO679" s="164">
        <v>3548</v>
      </c>
      <c r="AP679" s="164">
        <v>3100</v>
      </c>
      <c r="AQ679" s="164">
        <v>3409</v>
      </c>
      <c r="AR679" s="164">
        <v>3482</v>
      </c>
      <c r="AS679" s="164">
        <v>2951</v>
      </c>
      <c r="AT679" s="164">
        <v>3036</v>
      </c>
      <c r="AU679" s="164">
        <v>3326</v>
      </c>
      <c r="AV679" s="164">
        <v>3237</v>
      </c>
      <c r="AW679" s="171">
        <v>3900</v>
      </c>
      <c r="AX679" s="55">
        <v>4367.8618215136803</v>
      </c>
      <c r="AY679" s="55">
        <v>4875.8661740978669</v>
      </c>
      <c r="AZ679" s="55">
        <v>4969.8177199649926</v>
      </c>
      <c r="BA679" s="55">
        <v>5149.8536650143051</v>
      </c>
      <c r="BB679" s="55">
        <v>5338.0881366138074</v>
      </c>
      <c r="BC679" s="55">
        <v>5440.3567502910419</v>
      </c>
      <c r="BD679" s="55">
        <v>5544.8272058713055</v>
      </c>
      <c r="BE679" s="55">
        <v>5651.54581457124</v>
      </c>
      <c r="BF679" s="55">
        <v>5760.5599335542393</v>
      </c>
      <c r="BG679" s="55">
        <v>5871.9179873489311</v>
      </c>
      <c r="BH679" s="55">
        <v>5985.6694898158812</v>
      </c>
      <c r="BI679" s="55">
        <v>6101.8650666700223</v>
      </c>
      <c r="BJ679" s="55">
        <v>7371.3594271017719</v>
      </c>
      <c r="BK679" s="55">
        <v>8469.1864469083739</v>
      </c>
      <c r="BL679" s="55">
        <v>8476.4171161295671</v>
      </c>
      <c r="BM679" s="55">
        <v>6925.4786442456134</v>
      </c>
      <c r="BN679" s="55">
        <v>7143.6729602894939</v>
      </c>
      <c r="BO679" s="55">
        <v>7368.7905711135827</v>
      </c>
      <c r="BP679" s="55">
        <v>7525.7942405144022</v>
      </c>
      <c r="BQ679" s="55">
        <v>7686.1930787241217</v>
      </c>
      <c r="BR679" s="55"/>
      <c r="BS679" s="55"/>
      <c r="BT679" s="55"/>
      <c r="BU679" s="55"/>
      <c r="BV679" s="55"/>
      <c r="BW679" s="55"/>
      <c r="BX679" s="55"/>
      <c r="BY679" s="55"/>
      <c r="BZ679" s="55"/>
      <c r="CA679" s="55">
        <v>421</v>
      </c>
      <c r="CB679" s="55">
        <v>562</v>
      </c>
      <c r="CC679" s="55">
        <v>943</v>
      </c>
      <c r="CD679" s="55">
        <v>665</v>
      </c>
      <c r="CE679" s="55">
        <v>363</v>
      </c>
      <c r="CF679" s="55">
        <v>395</v>
      </c>
      <c r="CG679" s="55">
        <v>326</v>
      </c>
      <c r="CH679" s="55">
        <v>421</v>
      </c>
      <c r="CI679" s="55">
        <v>683</v>
      </c>
      <c r="CJ679" s="55">
        <v>4210</v>
      </c>
      <c r="CK679" s="55">
        <v>5216</v>
      </c>
      <c r="CL679" s="55">
        <v>5297</v>
      </c>
      <c r="CM679" s="55">
        <v>4687</v>
      </c>
      <c r="CN679" s="55">
        <v>4330</v>
      </c>
      <c r="CO679" s="55">
        <v>3367</v>
      </c>
      <c r="CP679" s="55">
        <v>2855</v>
      </c>
      <c r="CQ679" s="55">
        <v>3116</v>
      </c>
      <c r="CR679" s="55">
        <v>3187</v>
      </c>
      <c r="CS679" s="55">
        <v>3179</v>
      </c>
      <c r="CT679" s="55">
        <v>3622</v>
      </c>
      <c r="CU679" s="55">
        <v>3548</v>
      </c>
      <c r="CV679" s="55">
        <v>3409</v>
      </c>
      <c r="CW679" s="55">
        <v>2951</v>
      </c>
      <c r="CX679" s="55">
        <v>3326</v>
      </c>
      <c r="CY679" s="56">
        <v>3900</v>
      </c>
      <c r="CZ679" s="55">
        <v>4875.8661740978669</v>
      </c>
      <c r="DA679" s="55">
        <v>5149.8536650143051</v>
      </c>
      <c r="DB679" s="55">
        <v>5440.3567502910419</v>
      </c>
      <c r="DC679" s="55">
        <v>5651.54581457124</v>
      </c>
      <c r="DD679" s="55">
        <v>5871.9179873489311</v>
      </c>
      <c r="DE679" s="55">
        <v>6101.8650666700223</v>
      </c>
      <c r="DF679" s="55">
        <v>8469.1864469083739</v>
      </c>
      <c r="DG679" s="55">
        <v>6925.4786442456134</v>
      </c>
      <c r="DH679" s="55">
        <v>7368.7905711135827</v>
      </c>
      <c r="DI679" s="55">
        <v>7686.1930787241217</v>
      </c>
    </row>
    <row r="680" spans="1:113" outlineLevel="1">
      <c r="A680" s="1" t="s">
        <v>2223</v>
      </c>
      <c r="B680" s="19" t="s">
        <v>1493</v>
      </c>
      <c r="C680" s="164">
        <v>1256</v>
      </c>
      <c r="D680" s="164">
        <v>1248</v>
      </c>
      <c r="E680" s="164">
        <v>1253</v>
      </c>
      <c r="F680" s="164">
        <v>1253</v>
      </c>
      <c r="G680" s="164">
        <v>1254</v>
      </c>
      <c r="H680" s="164">
        <v>1257</v>
      </c>
      <c r="I680" s="164">
        <v>1255</v>
      </c>
      <c r="J680" s="164">
        <v>1256</v>
      </c>
      <c r="K680" s="164">
        <v>1264</v>
      </c>
      <c r="L680" s="164">
        <v>1273</v>
      </c>
      <c r="M680" s="164">
        <v>1277</v>
      </c>
      <c r="N680" s="164">
        <v>1276</v>
      </c>
      <c r="O680" s="164">
        <v>1286</v>
      </c>
      <c r="P680" s="164">
        <v>1300</v>
      </c>
      <c r="Q680" s="164">
        <v>1311.0119870000001</v>
      </c>
      <c r="R680" s="164">
        <v>1350.075</v>
      </c>
      <c r="S680" s="164">
        <v>1487.80744</v>
      </c>
      <c r="T680" s="164">
        <v>1516.740513</v>
      </c>
      <c r="U680" s="164">
        <v>1532.3529129999999</v>
      </c>
      <c r="V680" s="164">
        <v>1539.380404</v>
      </c>
      <c r="W680" s="164">
        <v>1544.6364510000001</v>
      </c>
      <c r="X680" s="164">
        <v>1557.2251389999999</v>
      </c>
      <c r="Y680" s="164">
        <v>1576.125595</v>
      </c>
      <c r="Z680" s="164">
        <v>1589.6833300000001</v>
      </c>
      <c r="AA680" s="164">
        <v>1620.7520611301024</v>
      </c>
      <c r="AB680" s="164">
        <v>1620.7520611301024</v>
      </c>
      <c r="AC680" s="164">
        <v>1629.8009249949728</v>
      </c>
      <c r="AD680" s="164">
        <v>1630.1218520008042</v>
      </c>
      <c r="AE680" s="164">
        <v>1636.8389302232054</v>
      </c>
      <c r="AF680" s="164">
        <v>1708</v>
      </c>
      <c r="AG680" s="164">
        <v>1715</v>
      </c>
      <c r="AH680" s="164">
        <v>1723</v>
      </c>
      <c r="AI680" s="164">
        <v>1730</v>
      </c>
      <c r="AJ680" s="164">
        <v>1753</v>
      </c>
      <c r="AK680" s="164">
        <v>1760</v>
      </c>
      <c r="AL680" s="164">
        <v>1770.239507</v>
      </c>
      <c r="AM680" s="164">
        <v>1770.239507</v>
      </c>
      <c r="AN680" s="164">
        <v>1770.239507</v>
      </c>
      <c r="AO680" s="164">
        <v>1770.239507</v>
      </c>
      <c r="AP680" s="164">
        <v>1774.0964100000001</v>
      </c>
      <c r="AQ680" s="164">
        <v>1774.0964100000001</v>
      </c>
      <c r="AR680" s="164">
        <v>1706.391603</v>
      </c>
      <c r="AS680" s="164">
        <v>1701.5384059999999</v>
      </c>
      <c r="AT680" s="164">
        <v>1688.4141689999999</v>
      </c>
      <c r="AU680" s="164">
        <v>1674.519391</v>
      </c>
      <c r="AV680" s="164">
        <v>1673.220748</v>
      </c>
      <c r="AW680" s="171">
        <v>1672.0700300000001</v>
      </c>
      <c r="AX680" s="55">
        <v>1669.3108944505875</v>
      </c>
      <c r="AY680" s="55">
        <v>1666.6669087811076</v>
      </c>
      <c r="AZ680" s="55">
        <v>1666.6669087811076</v>
      </c>
      <c r="BA680" s="55">
        <v>1666.6669087811076</v>
      </c>
      <c r="BB680" s="55">
        <v>1666.6669087811076</v>
      </c>
      <c r="BC680" s="55">
        <v>1666.6669087811076</v>
      </c>
      <c r="BD680" s="55">
        <v>1666.6669087811076</v>
      </c>
      <c r="BE680" s="55">
        <v>1666.6669087811076</v>
      </c>
      <c r="BF680" s="55">
        <v>1666.6669087811076</v>
      </c>
      <c r="BG680" s="55">
        <v>1666.6669087811076</v>
      </c>
      <c r="BH680" s="55">
        <v>1666.6669087811076</v>
      </c>
      <c r="BI680" s="55">
        <v>1666.6669087811076</v>
      </c>
      <c r="BJ680" s="55">
        <v>1666.6669087811076</v>
      </c>
      <c r="BK680" s="55">
        <v>1666.6669087811076</v>
      </c>
      <c r="BL680" s="55">
        <v>1666.6669087811076</v>
      </c>
      <c r="BM680" s="55">
        <v>1666.6669087811076</v>
      </c>
      <c r="BN680" s="55">
        <v>1666.6669087811076</v>
      </c>
      <c r="BO680" s="55">
        <v>1666.6669087811076</v>
      </c>
      <c r="BP680" s="55">
        <v>1666.6669087811076</v>
      </c>
      <c r="BQ680" s="55">
        <v>1666.6669087811076</v>
      </c>
      <c r="BR680" s="55"/>
      <c r="BS680" s="55"/>
      <c r="BT680" s="55"/>
      <c r="BU680" s="55"/>
      <c r="BV680" s="55"/>
      <c r="BW680" s="55"/>
      <c r="BX680" s="55"/>
      <c r="BY680" s="55"/>
      <c r="BZ680" s="55"/>
      <c r="CA680" s="55">
        <v>1286</v>
      </c>
      <c r="CB680" s="55">
        <v>1300</v>
      </c>
      <c r="CC680" s="55">
        <v>1253</v>
      </c>
      <c r="CD680" s="55">
        <v>1254</v>
      </c>
      <c r="CE680" s="55">
        <v>1255</v>
      </c>
      <c r="CF680" s="55">
        <v>1264</v>
      </c>
      <c r="CG680" s="55">
        <v>1277</v>
      </c>
      <c r="CH680" s="55">
        <v>1286</v>
      </c>
      <c r="CI680" s="55">
        <v>1311.0119870000001</v>
      </c>
      <c r="CJ680" s="55">
        <v>1487.80744</v>
      </c>
      <c r="CK680" s="55">
        <v>1532.3529129999999</v>
      </c>
      <c r="CL680" s="55">
        <v>1544.6364510000001</v>
      </c>
      <c r="CM680" s="55">
        <v>1576.125595</v>
      </c>
      <c r="CN680" s="55">
        <v>1620.7520611301024</v>
      </c>
      <c r="CO680" s="55">
        <v>1629.8009249949728</v>
      </c>
      <c r="CP680" s="55">
        <v>1636.8389302232054</v>
      </c>
      <c r="CQ680" s="55">
        <v>1715</v>
      </c>
      <c r="CR680" s="55">
        <v>1730</v>
      </c>
      <c r="CS680" s="55">
        <v>1760</v>
      </c>
      <c r="CT680" s="55">
        <v>1770.239507</v>
      </c>
      <c r="CU680" s="55">
        <v>1770.239507</v>
      </c>
      <c r="CV680" s="55">
        <v>1774.0964100000001</v>
      </c>
      <c r="CW680" s="55">
        <v>1701.5384059999999</v>
      </c>
      <c r="CX680" s="55">
        <v>1674.519391</v>
      </c>
      <c r="CY680" s="56">
        <v>1672.0700300000001</v>
      </c>
      <c r="CZ680" s="55">
        <v>1666.6669087811076</v>
      </c>
      <c r="DA680" s="55">
        <v>1666.6669087811076</v>
      </c>
      <c r="DB680" s="55">
        <v>1666.6669087811076</v>
      </c>
      <c r="DC680" s="55">
        <v>1666.6669087811076</v>
      </c>
      <c r="DD680" s="55">
        <v>1666.6669087811076</v>
      </c>
      <c r="DE680" s="55">
        <v>1666.6669087811076</v>
      </c>
      <c r="DF680" s="55">
        <v>1666.6669087811076</v>
      </c>
      <c r="DG680" s="55">
        <v>1666.6669087811076</v>
      </c>
      <c r="DH680" s="55">
        <v>1666.6669087811076</v>
      </c>
      <c r="DI680" s="55">
        <v>1666.6669087811076</v>
      </c>
    </row>
    <row r="681" spans="1:113" outlineLevel="1">
      <c r="A681" s="1" t="s">
        <v>2224</v>
      </c>
      <c r="B681" s="19" t="s">
        <v>2225</v>
      </c>
      <c r="C681" s="164"/>
      <c r="D681" s="164"/>
      <c r="E681" s="164"/>
      <c r="F681" s="164"/>
      <c r="G681" s="164"/>
      <c r="H681" s="164"/>
      <c r="I681" s="164"/>
      <c r="J681" s="164"/>
      <c r="K681" s="164"/>
      <c r="L681" s="164">
        <v>47</v>
      </c>
      <c r="M681" s="164">
        <v>56</v>
      </c>
      <c r="N681" s="164">
        <v>56</v>
      </c>
      <c r="O681" s="164">
        <v>45</v>
      </c>
      <c r="P681" s="164">
        <v>80</v>
      </c>
      <c r="Q681" s="164">
        <v>118</v>
      </c>
      <c r="R681" s="164">
        <v>183</v>
      </c>
      <c r="S681" s="164">
        <v>122</v>
      </c>
      <c r="T681" s="164">
        <v>96</v>
      </c>
      <c r="U681" s="164">
        <v>124</v>
      </c>
      <c r="V681" s="164">
        <v>123</v>
      </c>
      <c r="W681" s="164">
        <v>121</v>
      </c>
      <c r="X681" s="164">
        <v>108</v>
      </c>
      <c r="Y681" s="164">
        <v>104</v>
      </c>
      <c r="Z681" s="164">
        <v>93</v>
      </c>
      <c r="AA681" s="164">
        <v>0</v>
      </c>
      <c r="AB681" s="164">
        <v>0</v>
      </c>
      <c r="AC681" s="164">
        <v>0</v>
      </c>
      <c r="AD681" s="164">
        <v>1</v>
      </c>
      <c r="AE681" s="164">
        <v>2</v>
      </c>
      <c r="AF681" s="164">
        <v>0</v>
      </c>
      <c r="AG681" s="164">
        <v>0</v>
      </c>
      <c r="AH681" s="164">
        <v>0</v>
      </c>
      <c r="AI681" s="164">
        <v>0</v>
      </c>
      <c r="AJ681" s="164">
        <v>0</v>
      </c>
      <c r="AK681" s="164">
        <v>0</v>
      </c>
      <c r="AL681" s="164">
        <v>0</v>
      </c>
      <c r="AM681" s="164">
        <v>0</v>
      </c>
      <c r="AN681" s="164">
        <v>0</v>
      </c>
      <c r="AO681" s="164">
        <v>0</v>
      </c>
      <c r="AP681" s="164">
        <v>0</v>
      </c>
      <c r="AQ681" s="164">
        <v>0</v>
      </c>
      <c r="AR681" s="164">
        <v>0</v>
      </c>
      <c r="AS681" s="164">
        <v>0</v>
      </c>
      <c r="AT681" s="164">
        <v>0</v>
      </c>
      <c r="AU681" s="164">
        <v>0</v>
      </c>
      <c r="AV681" s="164">
        <v>0</v>
      </c>
      <c r="AW681" s="171">
        <v>0</v>
      </c>
      <c r="AX681" s="55">
        <v>0</v>
      </c>
      <c r="AY681" s="55">
        <v>0</v>
      </c>
      <c r="AZ681" s="55">
        <v>0</v>
      </c>
      <c r="BA681" s="55">
        <v>0</v>
      </c>
      <c r="BB681" s="55">
        <v>0</v>
      </c>
      <c r="BC681" s="55">
        <v>0</v>
      </c>
      <c r="BD681" s="55">
        <v>0</v>
      </c>
      <c r="BE681" s="55">
        <v>0</v>
      </c>
      <c r="BF681" s="55">
        <v>0</v>
      </c>
      <c r="BG681" s="55">
        <v>0</v>
      </c>
      <c r="BH681" s="55">
        <v>0</v>
      </c>
      <c r="BI681" s="55">
        <v>0</v>
      </c>
      <c r="BJ681" s="55">
        <v>0</v>
      </c>
      <c r="BK681" s="55">
        <v>0</v>
      </c>
      <c r="BL681" s="55">
        <v>0</v>
      </c>
      <c r="BM681" s="55">
        <v>0</v>
      </c>
      <c r="BN681" s="55">
        <v>0</v>
      </c>
      <c r="BO681" s="55">
        <v>0</v>
      </c>
      <c r="BP681" s="55">
        <v>0</v>
      </c>
      <c r="BQ681" s="55">
        <v>0</v>
      </c>
      <c r="BR681" s="55"/>
      <c r="BS681" s="55"/>
      <c r="BT681" s="55"/>
      <c r="BU681" s="55"/>
      <c r="BV681" s="55"/>
      <c r="BW681" s="55"/>
      <c r="BX681" s="55"/>
      <c r="BY681" s="55"/>
      <c r="BZ681" s="55"/>
      <c r="CA681" s="55">
        <v>45</v>
      </c>
      <c r="CB681" s="55">
        <v>80</v>
      </c>
      <c r="CC681" s="55">
        <v>0</v>
      </c>
      <c r="CD681" s="55">
        <v>0</v>
      </c>
      <c r="CE681" s="55">
        <v>0</v>
      </c>
      <c r="CF681" s="55">
        <v>0</v>
      </c>
      <c r="CG681" s="55">
        <v>56</v>
      </c>
      <c r="CH681" s="55">
        <v>45</v>
      </c>
      <c r="CI681" s="55">
        <v>118</v>
      </c>
      <c r="CJ681" s="55">
        <v>122</v>
      </c>
      <c r="CK681" s="55">
        <v>124</v>
      </c>
      <c r="CL681" s="55">
        <v>121</v>
      </c>
      <c r="CM681" s="55">
        <v>104</v>
      </c>
      <c r="CN681" s="55">
        <v>0</v>
      </c>
      <c r="CO681" s="55">
        <v>0</v>
      </c>
      <c r="CP681" s="55">
        <v>2</v>
      </c>
      <c r="CQ681" s="55">
        <v>0</v>
      </c>
      <c r="CR681" s="55">
        <v>0</v>
      </c>
      <c r="CS681" s="55">
        <v>0</v>
      </c>
      <c r="CT681" s="55">
        <v>0</v>
      </c>
      <c r="CU681" s="55">
        <v>0</v>
      </c>
      <c r="CV681" s="55">
        <v>0</v>
      </c>
      <c r="CW681" s="55">
        <v>0</v>
      </c>
      <c r="CX681" s="55">
        <v>0</v>
      </c>
      <c r="CY681" s="56">
        <v>0</v>
      </c>
      <c r="CZ681" s="55">
        <v>0</v>
      </c>
      <c r="DA681" s="55">
        <v>0</v>
      </c>
      <c r="DB681" s="55">
        <v>0</v>
      </c>
      <c r="DC681" s="55">
        <v>0</v>
      </c>
      <c r="DD681" s="55">
        <v>0</v>
      </c>
      <c r="DE681" s="55">
        <v>0</v>
      </c>
      <c r="DF681" s="55">
        <v>0</v>
      </c>
      <c r="DG681" s="55">
        <v>0</v>
      </c>
      <c r="DH681" s="55">
        <v>0</v>
      </c>
      <c r="DI681" s="55">
        <v>0</v>
      </c>
    </row>
    <row r="682" spans="1:113" outlineLevel="1">
      <c r="A682" s="1" t="s">
        <v>2226</v>
      </c>
      <c r="B682" s="19" t="s">
        <v>2227</v>
      </c>
      <c r="C682" s="164"/>
      <c r="D682" s="164"/>
      <c r="E682" s="164"/>
      <c r="F682" s="164"/>
      <c r="G682" s="164"/>
      <c r="H682" s="164"/>
      <c r="I682" s="164"/>
      <c r="J682" s="164"/>
      <c r="K682" s="164"/>
      <c r="L682" s="164">
        <v>4.2137667375396797</v>
      </c>
      <c r="M682" s="164">
        <v>4.2137667375396841</v>
      </c>
      <c r="N682" s="164">
        <v>4.4144222964701454</v>
      </c>
      <c r="O682" s="164">
        <v>4.4144222964701454</v>
      </c>
      <c r="P682" s="164">
        <v>4.6246328820163436</v>
      </c>
      <c r="Q682" s="164">
        <v>4.6246328820163436</v>
      </c>
      <c r="R682" s="164">
        <v>4.8448534954456939</v>
      </c>
      <c r="S682" s="164">
        <v>4.8448534954456939</v>
      </c>
      <c r="T682" s="164">
        <v>5.0755608047526319</v>
      </c>
      <c r="U682" s="164">
        <v>5.0755608047526319</v>
      </c>
      <c r="V682" s="164">
        <v>0</v>
      </c>
      <c r="W682" s="164">
        <v>0</v>
      </c>
      <c r="X682" s="164">
        <v>0</v>
      </c>
      <c r="Y682" s="164">
        <v>0</v>
      </c>
      <c r="Z682" s="164">
        <v>0</v>
      </c>
      <c r="AA682" s="164">
        <v>0</v>
      </c>
      <c r="AB682" s="164">
        <v>1</v>
      </c>
      <c r="AC682" s="164">
        <v>1</v>
      </c>
      <c r="AD682" s="164">
        <v>1</v>
      </c>
      <c r="AE682" s="164">
        <v>1</v>
      </c>
      <c r="AF682" s="164">
        <v>3</v>
      </c>
      <c r="AG682" s="164">
        <v>3</v>
      </c>
      <c r="AH682" s="164">
        <v>3</v>
      </c>
      <c r="AI682" s="164">
        <v>3</v>
      </c>
      <c r="AJ682" s="164">
        <v>3</v>
      </c>
      <c r="AK682" s="164">
        <v>2</v>
      </c>
      <c r="AL682" s="164">
        <v>2</v>
      </c>
      <c r="AM682" s="164">
        <v>2</v>
      </c>
      <c r="AN682" s="164">
        <v>2</v>
      </c>
      <c r="AO682" s="164">
        <v>2</v>
      </c>
      <c r="AP682" s="164">
        <v>2</v>
      </c>
      <c r="AQ682" s="164">
        <v>2</v>
      </c>
      <c r="AR682" s="164">
        <v>2</v>
      </c>
      <c r="AS682" s="164">
        <v>2</v>
      </c>
      <c r="AT682" s="164">
        <v>2</v>
      </c>
      <c r="AU682" s="164">
        <v>2</v>
      </c>
      <c r="AV682" s="164">
        <v>2</v>
      </c>
      <c r="AW682" s="171">
        <v>2</v>
      </c>
      <c r="AX682" s="55">
        <v>2</v>
      </c>
      <c r="AY682" s="55">
        <v>2</v>
      </c>
      <c r="AZ682" s="55">
        <v>2</v>
      </c>
      <c r="BA682" s="55">
        <v>2</v>
      </c>
      <c r="BB682" s="55">
        <v>2</v>
      </c>
      <c r="BC682" s="55">
        <v>2</v>
      </c>
      <c r="BD682" s="55">
        <v>2</v>
      </c>
      <c r="BE682" s="55">
        <v>2</v>
      </c>
      <c r="BF682" s="55">
        <v>2</v>
      </c>
      <c r="BG682" s="55">
        <v>2</v>
      </c>
      <c r="BH682" s="55">
        <v>2</v>
      </c>
      <c r="BI682" s="55">
        <v>2</v>
      </c>
      <c r="BJ682" s="55">
        <v>2</v>
      </c>
      <c r="BK682" s="55">
        <v>2</v>
      </c>
      <c r="BL682" s="55">
        <v>2</v>
      </c>
      <c r="BM682" s="55">
        <v>2</v>
      </c>
      <c r="BN682" s="55">
        <v>2</v>
      </c>
      <c r="BO682" s="55">
        <v>2</v>
      </c>
      <c r="BP682" s="55">
        <v>2</v>
      </c>
      <c r="BQ682" s="55">
        <v>2</v>
      </c>
      <c r="BR682" s="55"/>
      <c r="BS682" s="55"/>
      <c r="BT682" s="55"/>
      <c r="BU682" s="55"/>
      <c r="BV682" s="55"/>
      <c r="BW682" s="55"/>
      <c r="BX682" s="55"/>
      <c r="BY682" s="55"/>
      <c r="BZ682" s="55"/>
      <c r="CA682" s="55"/>
      <c r="CB682" s="55"/>
      <c r="CC682" s="55"/>
      <c r="CD682" s="55"/>
      <c r="CE682" s="55"/>
      <c r="CF682" s="55"/>
      <c r="CG682" s="55"/>
      <c r="CH682" s="55"/>
      <c r="CI682" s="55"/>
      <c r="CJ682" s="55"/>
      <c r="CK682" s="55"/>
      <c r="CL682" s="55"/>
      <c r="CM682" s="55"/>
      <c r="CN682" s="55"/>
      <c r="CO682" s="55"/>
      <c r="CP682" s="55"/>
      <c r="CQ682" s="55"/>
      <c r="CR682" s="55"/>
      <c r="CS682" s="55"/>
      <c r="CT682" s="55"/>
      <c r="CU682" s="55"/>
      <c r="CV682" s="55"/>
      <c r="CW682" s="55"/>
      <c r="CX682" s="55"/>
      <c r="CY682" s="56"/>
      <c r="CZ682" s="55"/>
      <c r="DA682" s="55"/>
      <c r="DB682" s="55"/>
    </row>
    <row r="683" spans="1:113" hidden="1" outlineLevel="2">
      <c r="A683" s="1" t="s">
        <v>2228</v>
      </c>
      <c r="B683" s="19" t="s">
        <v>2229</v>
      </c>
      <c r="C683" s="55"/>
      <c r="D683" s="55"/>
      <c r="E683" s="55"/>
      <c r="F683" s="55"/>
      <c r="G683" s="55"/>
      <c r="H683" s="55"/>
      <c r="I683" s="55"/>
      <c r="J683" s="55"/>
      <c r="K683" s="55"/>
      <c r="L683" s="55"/>
      <c r="M683" s="55"/>
      <c r="N683" s="55"/>
      <c r="O683" s="55"/>
      <c r="P683" s="55"/>
      <c r="Q683" s="55"/>
      <c r="R683" s="55"/>
      <c r="S683" s="55"/>
      <c r="T683" s="55"/>
      <c r="U683" s="55"/>
      <c r="V683" s="55"/>
      <c r="W683" s="55"/>
      <c r="X683" s="55"/>
      <c r="Y683" s="55"/>
      <c r="Z683" s="55"/>
      <c r="AA683" s="55"/>
      <c r="AB683" s="55"/>
      <c r="AC683" s="55"/>
      <c r="AD683" s="55"/>
      <c r="AE683" s="55"/>
      <c r="AF683" s="55"/>
      <c r="AG683" s="55"/>
      <c r="AH683" s="55"/>
      <c r="AI683" s="55"/>
      <c r="AJ683" s="55"/>
      <c r="AK683" s="55"/>
      <c r="AL683" s="55"/>
      <c r="AM683" s="55"/>
      <c r="AN683" s="55"/>
      <c r="AO683" s="55"/>
      <c r="AP683" s="55"/>
      <c r="AQ683" s="55"/>
      <c r="AR683" s="55"/>
      <c r="AS683" s="55"/>
      <c r="AT683" s="55"/>
      <c r="AU683" s="55"/>
      <c r="AV683" s="55"/>
      <c r="AW683" s="56"/>
      <c r="AX683" s="55"/>
      <c r="AY683" s="55"/>
      <c r="AZ683" s="55"/>
      <c r="BA683" s="55"/>
      <c r="BB683" s="55"/>
      <c r="BC683" s="55"/>
      <c r="BD683" s="55"/>
      <c r="BE683" s="55"/>
      <c r="BF683" s="55"/>
      <c r="BG683" s="55"/>
      <c r="BH683" s="55"/>
      <c r="BI683" s="55"/>
      <c r="BJ683" s="55"/>
      <c r="BK683" s="55"/>
      <c r="BL683" s="55"/>
      <c r="BM683" s="55"/>
      <c r="BN683" s="55"/>
      <c r="BO683" s="55"/>
      <c r="BP683" s="55"/>
      <c r="BQ683" s="55"/>
      <c r="BR683" s="55"/>
      <c r="BS683" s="55"/>
      <c r="BT683" s="55"/>
      <c r="BU683" s="55"/>
      <c r="BV683" s="55"/>
      <c r="BW683" s="55"/>
      <c r="BX683" s="55"/>
      <c r="BY683" s="55"/>
      <c r="BZ683" s="55"/>
      <c r="CA683" s="55"/>
      <c r="CB683" s="55"/>
      <c r="CC683" s="55"/>
      <c r="CD683" s="55"/>
      <c r="CE683" s="55"/>
      <c r="CF683" s="55"/>
      <c r="CG683" s="55"/>
      <c r="CH683" s="55"/>
      <c r="CI683" s="55"/>
      <c r="CJ683" s="55"/>
      <c r="CK683" s="55"/>
      <c r="CL683" s="55"/>
      <c r="CM683" s="55"/>
      <c r="CN683" s="55"/>
      <c r="CO683" s="55"/>
      <c r="CP683" s="55"/>
      <c r="CQ683" s="55"/>
      <c r="CR683" s="55"/>
      <c r="CS683" s="55"/>
      <c r="CT683" s="55"/>
      <c r="CU683" s="55"/>
      <c r="CV683" s="55"/>
      <c r="CW683" s="55"/>
      <c r="CX683" s="55"/>
      <c r="CY683" s="56"/>
      <c r="CZ683" s="55"/>
      <c r="DA683" s="55"/>
      <c r="DB683" s="55"/>
    </row>
    <row r="684" spans="1:113" hidden="1" outlineLevel="2">
      <c r="A684" s="1" t="s">
        <v>2413</v>
      </c>
      <c r="B684" s="19" t="s">
        <v>801</v>
      </c>
      <c r="C684" s="55"/>
      <c r="D684" s="55"/>
      <c r="E684" s="55"/>
      <c r="F684" s="55"/>
      <c r="G684" s="55"/>
      <c r="H684" s="55"/>
      <c r="I684" s="55"/>
      <c r="J684" s="55"/>
      <c r="K684" s="55"/>
      <c r="L684" s="55"/>
      <c r="M684" s="55"/>
      <c r="N684" s="55"/>
      <c r="O684" s="55"/>
      <c r="P684" s="55"/>
      <c r="Q684" s="55"/>
      <c r="R684" s="55"/>
      <c r="S684" s="55"/>
      <c r="T684" s="55"/>
      <c r="U684" s="55"/>
      <c r="V684" s="55"/>
      <c r="W684" s="55"/>
      <c r="X684" s="55"/>
      <c r="Y684" s="55"/>
      <c r="Z684" s="55"/>
      <c r="AA684" s="55"/>
      <c r="AB684" s="55"/>
      <c r="AC684" s="55"/>
      <c r="AD684" s="55"/>
      <c r="AE684" s="55"/>
      <c r="AF684" s="55"/>
      <c r="AG684" s="55"/>
      <c r="AH684" s="55"/>
      <c r="AI684" s="55"/>
      <c r="AJ684" s="55"/>
      <c r="AK684" s="55"/>
      <c r="AL684" s="55"/>
      <c r="AM684" s="55"/>
      <c r="AN684" s="55"/>
      <c r="AO684" s="55"/>
      <c r="AP684" s="55"/>
      <c r="AQ684" s="55"/>
      <c r="AR684" s="55"/>
      <c r="AS684" s="55"/>
      <c r="AT684" s="55"/>
      <c r="AU684" s="55"/>
      <c r="AV684" s="55"/>
      <c r="AW684" s="56"/>
      <c r="AX684" s="55"/>
      <c r="AY684" s="55"/>
      <c r="AZ684" s="55"/>
      <c r="BA684" s="55"/>
      <c r="BB684" s="55"/>
      <c r="BC684" s="55"/>
      <c r="BD684" s="55"/>
      <c r="BE684" s="55"/>
      <c r="BF684" s="55"/>
      <c r="BG684" s="55"/>
      <c r="BH684" s="55"/>
      <c r="BI684" s="55"/>
      <c r="BJ684" s="55"/>
      <c r="BK684" s="55"/>
      <c r="BL684" s="55"/>
      <c r="BM684" s="55"/>
      <c r="BN684" s="55"/>
      <c r="BO684" s="55"/>
      <c r="BP684" s="55"/>
      <c r="BQ684" s="55"/>
      <c r="BR684" s="55"/>
      <c r="BS684" s="55"/>
      <c r="BT684" s="55"/>
      <c r="BU684" s="55"/>
      <c r="BV684" s="55"/>
      <c r="BW684" s="55"/>
      <c r="BX684" s="55"/>
      <c r="BY684" s="55"/>
      <c r="BZ684" s="55"/>
      <c r="CA684" s="55"/>
      <c r="CB684" s="55"/>
      <c r="CC684" s="55"/>
      <c r="CD684" s="55"/>
      <c r="CE684" s="55"/>
      <c r="CF684" s="55"/>
      <c r="CG684" s="55"/>
      <c r="CH684" s="55"/>
      <c r="CI684" s="55"/>
      <c r="CJ684" s="55"/>
      <c r="CK684" s="55"/>
      <c r="CL684" s="55"/>
      <c r="CM684" s="55"/>
      <c r="CN684" s="55"/>
      <c r="CO684" s="55"/>
      <c r="CP684" s="55"/>
      <c r="CQ684" s="55"/>
      <c r="CR684" s="55"/>
      <c r="CS684" s="55"/>
      <c r="CT684" s="55"/>
      <c r="CU684" s="55"/>
      <c r="CV684" s="55"/>
      <c r="CW684" s="55"/>
      <c r="CX684" s="55"/>
      <c r="CY684" s="56"/>
      <c r="CZ684" s="55"/>
      <c r="DA684" s="55"/>
      <c r="DB684" s="55"/>
    </row>
    <row r="685" spans="1:113" hidden="1" outlineLevel="2">
      <c r="A685" s="1" t="s">
        <v>2414</v>
      </c>
      <c r="B685" s="19" t="s">
        <v>801</v>
      </c>
      <c r="C685" s="55"/>
      <c r="D685" s="55"/>
      <c r="E685" s="55"/>
      <c r="F685" s="55"/>
      <c r="G685" s="55"/>
      <c r="H685" s="55"/>
      <c r="I685" s="55"/>
      <c r="J685" s="55"/>
      <c r="K685" s="55"/>
      <c r="L685" s="55"/>
      <c r="M685" s="55"/>
      <c r="N685" s="55"/>
      <c r="O685" s="55"/>
      <c r="P685" s="55"/>
      <c r="Q685" s="55"/>
      <c r="R685" s="55"/>
      <c r="S685" s="55"/>
      <c r="T685" s="55"/>
      <c r="U685" s="55"/>
      <c r="V685" s="55"/>
      <c r="W685" s="55"/>
      <c r="X685" s="55"/>
      <c r="Y685" s="55"/>
      <c r="Z685" s="55"/>
      <c r="AA685" s="55"/>
      <c r="AB685" s="55"/>
      <c r="AC685" s="55"/>
      <c r="AD685" s="55"/>
      <c r="AE685" s="55"/>
      <c r="AF685" s="55"/>
      <c r="AG685" s="55"/>
      <c r="AH685" s="55"/>
      <c r="AI685" s="55"/>
      <c r="AJ685" s="55"/>
      <c r="AK685" s="55"/>
      <c r="AL685" s="55"/>
      <c r="AM685" s="55"/>
      <c r="AN685" s="55"/>
      <c r="AO685" s="55"/>
      <c r="AP685" s="55"/>
      <c r="AQ685" s="55"/>
      <c r="AR685" s="55"/>
      <c r="AS685" s="55"/>
      <c r="AT685" s="55"/>
      <c r="AU685" s="55"/>
      <c r="AV685" s="55"/>
      <c r="AW685" s="56"/>
      <c r="AX685" s="55"/>
      <c r="AY685" s="55"/>
      <c r="AZ685" s="55"/>
      <c r="BA685" s="55"/>
      <c r="BB685" s="55"/>
      <c r="BC685" s="55"/>
      <c r="BD685" s="55"/>
      <c r="BE685" s="55"/>
      <c r="BF685" s="55"/>
      <c r="BG685" s="55"/>
      <c r="BH685" s="55"/>
      <c r="BI685" s="55"/>
      <c r="BJ685" s="55"/>
      <c r="BK685" s="55"/>
      <c r="BL685" s="55"/>
      <c r="BM685" s="55"/>
      <c r="BN685" s="55"/>
      <c r="BO685" s="55"/>
      <c r="BP685" s="55"/>
      <c r="BQ685" s="55"/>
      <c r="BR685" s="55"/>
      <c r="BS685" s="55"/>
      <c r="BT685" s="55"/>
      <c r="BU685" s="55"/>
      <c r="BV685" s="55"/>
      <c r="BW685" s="55"/>
      <c r="BX685" s="55"/>
      <c r="BY685" s="55"/>
      <c r="BZ685" s="55"/>
      <c r="CA685" s="55"/>
      <c r="CB685" s="55"/>
      <c r="CC685" s="55"/>
      <c r="CD685" s="55"/>
      <c r="CE685" s="55"/>
      <c r="CF685" s="55"/>
      <c r="CG685" s="55"/>
      <c r="CH685" s="55"/>
      <c r="CI685" s="55"/>
      <c r="CJ685" s="55"/>
      <c r="CK685" s="55"/>
      <c r="CL685" s="55"/>
      <c r="CM685" s="55"/>
      <c r="CN685" s="55"/>
      <c r="CO685" s="55"/>
      <c r="CP685" s="55"/>
      <c r="CQ685" s="55"/>
      <c r="CR685" s="55"/>
      <c r="CS685" s="55"/>
      <c r="CT685" s="55"/>
      <c r="CU685" s="55"/>
      <c r="CV685" s="55"/>
      <c r="CW685" s="55"/>
      <c r="CX685" s="55"/>
      <c r="CY685" s="56"/>
      <c r="CZ685" s="55"/>
      <c r="DA685" s="55"/>
      <c r="DB685" s="55"/>
    </row>
    <row r="686" spans="1:113" hidden="1" outlineLevel="2">
      <c r="A686" s="1" t="s">
        <v>2415</v>
      </c>
      <c r="B686" s="19" t="s">
        <v>801</v>
      </c>
      <c r="C686" s="55"/>
      <c r="D686" s="55"/>
      <c r="E686" s="55"/>
      <c r="F686" s="55"/>
      <c r="G686" s="55"/>
      <c r="H686" s="55"/>
      <c r="I686" s="55"/>
      <c r="J686" s="55"/>
      <c r="K686" s="55"/>
      <c r="L686" s="55"/>
      <c r="M686" s="55"/>
      <c r="N686" s="55"/>
      <c r="O686" s="55"/>
      <c r="P686" s="55"/>
      <c r="Q686" s="55"/>
      <c r="R686" s="55"/>
      <c r="S686" s="55"/>
      <c r="T686" s="55"/>
      <c r="U686" s="55"/>
      <c r="V686" s="55"/>
      <c r="W686" s="55"/>
      <c r="X686" s="55"/>
      <c r="Y686" s="55"/>
      <c r="Z686" s="55"/>
      <c r="AA686" s="55"/>
      <c r="AB686" s="55"/>
      <c r="AC686" s="55"/>
      <c r="AD686" s="55"/>
      <c r="AE686" s="55"/>
      <c r="AF686" s="55"/>
      <c r="AG686" s="55"/>
      <c r="AH686" s="55"/>
      <c r="AI686" s="55"/>
      <c r="AJ686" s="55"/>
      <c r="AK686" s="55"/>
      <c r="AL686" s="55"/>
      <c r="AM686" s="55"/>
      <c r="AN686" s="55"/>
      <c r="AO686" s="55"/>
      <c r="AP686" s="55"/>
      <c r="AQ686" s="55"/>
      <c r="AR686" s="55"/>
      <c r="AS686" s="55"/>
      <c r="AT686" s="55"/>
      <c r="AU686" s="55"/>
      <c r="AV686" s="55"/>
      <c r="AW686" s="56"/>
      <c r="AX686" s="55"/>
      <c r="AY686" s="55"/>
      <c r="AZ686" s="55"/>
      <c r="BA686" s="55"/>
      <c r="BB686" s="55"/>
      <c r="BC686" s="55"/>
      <c r="BD686" s="55"/>
      <c r="BE686" s="55"/>
      <c r="BF686" s="55"/>
      <c r="BG686" s="55"/>
      <c r="BH686" s="55"/>
      <c r="BI686" s="55"/>
      <c r="BJ686" s="55"/>
      <c r="BK686" s="55"/>
      <c r="BL686" s="55"/>
      <c r="BM686" s="55"/>
      <c r="BN686" s="55"/>
      <c r="BO686" s="55"/>
      <c r="BP686" s="55"/>
      <c r="BQ686" s="55"/>
      <c r="BR686" s="55"/>
      <c r="BS686" s="55"/>
      <c r="BT686" s="55"/>
      <c r="BU686" s="55"/>
      <c r="BV686" s="55"/>
      <c r="BW686" s="55"/>
      <c r="BX686" s="55"/>
      <c r="BY686" s="55"/>
      <c r="BZ686" s="55"/>
      <c r="CA686" s="55"/>
      <c r="CB686" s="55"/>
      <c r="CC686" s="55"/>
      <c r="CD686" s="55"/>
      <c r="CE686" s="55"/>
      <c r="CF686" s="55"/>
      <c r="CG686" s="55"/>
      <c r="CH686" s="55"/>
      <c r="CI686" s="55"/>
      <c r="CJ686" s="55"/>
      <c r="CK686" s="55"/>
      <c r="CL686" s="55"/>
      <c r="CM686" s="55"/>
      <c r="CN686" s="55"/>
      <c r="CO686" s="55"/>
      <c r="CP686" s="55"/>
      <c r="CQ686" s="55"/>
      <c r="CR686" s="55"/>
      <c r="CS686" s="55"/>
      <c r="CT686" s="55"/>
      <c r="CU686" s="55"/>
      <c r="CV686" s="55"/>
      <c r="CW686" s="55"/>
      <c r="CX686" s="55"/>
      <c r="CY686" s="56"/>
      <c r="CZ686" s="55"/>
      <c r="DA686" s="55"/>
      <c r="DB686" s="55"/>
    </row>
    <row r="687" spans="1:113" hidden="1" outlineLevel="2">
      <c r="A687" s="1" t="s">
        <v>2416</v>
      </c>
      <c r="B687" s="19" t="s">
        <v>801</v>
      </c>
      <c r="C687" s="55"/>
      <c r="D687" s="55"/>
      <c r="E687" s="55"/>
      <c r="F687" s="55"/>
      <c r="G687" s="55"/>
      <c r="H687" s="55"/>
      <c r="I687" s="55"/>
      <c r="J687" s="55"/>
      <c r="K687" s="55"/>
      <c r="L687" s="55"/>
      <c r="M687" s="55"/>
      <c r="N687" s="55"/>
      <c r="O687" s="55"/>
      <c r="P687" s="55"/>
      <c r="Q687" s="55"/>
      <c r="R687" s="55"/>
      <c r="S687" s="55"/>
      <c r="T687" s="55"/>
      <c r="U687" s="55"/>
      <c r="V687" s="55"/>
      <c r="W687" s="55"/>
      <c r="X687" s="55"/>
      <c r="Y687" s="55"/>
      <c r="Z687" s="55"/>
      <c r="AA687" s="55"/>
      <c r="AB687" s="55"/>
      <c r="AC687" s="55"/>
      <c r="AD687" s="55"/>
      <c r="AE687" s="55"/>
      <c r="AF687" s="55"/>
      <c r="AG687" s="55"/>
      <c r="AH687" s="55"/>
      <c r="AI687" s="55"/>
      <c r="AJ687" s="55"/>
      <c r="AK687" s="55"/>
      <c r="AL687" s="55"/>
      <c r="AM687" s="55"/>
      <c r="AN687" s="55"/>
      <c r="AO687" s="55"/>
      <c r="AP687" s="55"/>
      <c r="AQ687" s="55"/>
      <c r="AR687" s="55"/>
      <c r="AS687" s="55"/>
      <c r="AT687" s="55"/>
      <c r="AU687" s="55"/>
      <c r="AV687" s="55"/>
      <c r="AW687" s="56"/>
      <c r="AX687" s="55"/>
      <c r="AY687" s="55"/>
      <c r="AZ687" s="55"/>
      <c r="BA687" s="55"/>
      <c r="BB687" s="55"/>
      <c r="BC687" s="55"/>
      <c r="BD687" s="55"/>
      <c r="BE687" s="55"/>
      <c r="BF687" s="55"/>
      <c r="BG687" s="55"/>
      <c r="BH687" s="55"/>
      <c r="BI687" s="55"/>
      <c r="BJ687" s="55"/>
      <c r="BK687" s="55"/>
      <c r="BL687" s="55"/>
      <c r="BM687" s="55"/>
      <c r="BN687" s="55"/>
      <c r="BO687" s="55"/>
      <c r="BP687" s="55"/>
      <c r="BQ687" s="55"/>
      <c r="BR687" s="55"/>
      <c r="BS687" s="55"/>
      <c r="BT687" s="55"/>
      <c r="BU687" s="55"/>
      <c r="BV687" s="55"/>
      <c r="BW687" s="55"/>
      <c r="BX687" s="55"/>
      <c r="BY687" s="55"/>
      <c r="BZ687" s="55"/>
      <c r="CA687" s="55"/>
      <c r="CB687" s="55"/>
      <c r="CC687" s="55"/>
      <c r="CD687" s="55"/>
      <c r="CE687" s="55"/>
      <c r="CF687" s="55"/>
      <c r="CG687" s="55"/>
      <c r="CH687" s="55"/>
      <c r="CI687" s="55"/>
      <c r="CJ687" s="55"/>
      <c r="CK687" s="55"/>
      <c r="CL687" s="55"/>
      <c r="CM687" s="55"/>
      <c r="CN687" s="55"/>
      <c r="CO687" s="55"/>
      <c r="CP687" s="55"/>
      <c r="CQ687" s="55"/>
      <c r="CR687" s="55"/>
      <c r="CS687" s="55"/>
      <c r="CT687" s="55"/>
      <c r="CU687" s="55"/>
      <c r="CV687" s="55"/>
      <c r="CW687" s="55"/>
      <c r="CX687" s="55"/>
      <c r="CY687" s="56"/>
      <c r="CZ687" s="55"/>
      <c r="DA687" s="55"/>
      <c r="DB687" s="55"/>
    </row>
    <row r="688" spans="1:113" hidden="1" outlineLevel="2">
      <c r="A688" s="1" t="s">
        <v>2417</v>
      </c>
      <c r="B688" s="19" t="s">
        <v>801</v>
      </c>
      <c r="C688" s="55"/>
      <c r="D688" s="55"/>
      <c r="E688" s="55"/>
      <c r="F688" s="55"/>
      <c r="G688" s="55"/>
      <c r="H688" s="55"/>
      <c r="I688" s="55"/>
      <c r="J688" s="55"/>
      <c r="K688" s="55"/>
      <c r="L688" s="55"/>
      <c r="M688" s="55"/>
      <c r="N688" s="55"/>
      <c r="O688" s="55"/>
      <c r="P688" s="55"/>
      <c r="Q688" s="55"/>
      <c r="R688" s="55"/>
      <c r="S688" s="55"/>
      <c r="T688" s="55"/>
      <c r="U688" s="55"/>
      <c r="V688" s="55"/>
      <c r="W688" s="55"/>
      <c r="X688" s="55"/>
      <c r="Y688" s="55"/>
      <c r="Z688" s="55"/>
      <c r="AA688" s="55"/>
      <c r="AB688" s="55"/>
      <c r="AC688" s="55"/>
      <c r="AD688" s="55"/>
      <c r="AE688" s="55"/>
      <c r="AF688" s="55"/>
      <c r="AG688" s="55"/>
      <c r="AH688" s="55"/>
      <c r="AI688" s="55"/>
      <c r="AJ688" s="55"/>
      <c r="AK688" s="55"/>
      <c r="AL688" s="55"/>
      <c r="AM688" s="55"/>
      <c r="AN688" s="55"/>
      <c r="AO688" s="55"/>
      <c r="AP688" s="55"/>
      <c r="AQ688" s="55"/>
      <c r="AR688" s="55"/>
      <c r="AS688" s="55"/>
      <c r="AT688" s="55"/>
      <c r="AU688" s="55"/>
      <c r="AV688" s="55"/>
      <c r="AW688" s="56"/>
      <c r="AX688" s="55"/>
      <c r="AY688" s="55"/>
      <c r="AZ688" s="55"/>
      <c r="BA688" s="55"/>
      <c r="BB688" s="55"/>
      <c r="BC688" s="55"/>
      <c r="BD688" s="55"/>
      <c r="BE688" s="55"/>
      <c r="BF688" s="55"/>
      <c r="BG688" s="55"/>
      <c r="BH688" s="55"/>
      <c r="BI688" s="55"/>
      <c r="BJ688" s="55"/>
      <c r="BK688" s="55"/>
      <c r="BL688" s="55"/>
      <c r="BM688" s="55"/>
      <c r="BN688" s="55"/>
      <c r="BO688" s="55"/>
      <c r="BP688" s="55"/>
      <c r="BQ688" s="55"/>
      <c r="BR688" s="55"/>
      <c r="BS688" s="55"/>
      <c r="BT688" s="55"/>
      <c r="BU688" s="55"/>
      <c r="BV688" s="55"/>
      <c r="BW688" s="55"/>
      <c r="BX688" s="55"/>
      <c r="BY688" s="55"/>
      <c r="BZ688" s="55"/>
      <c r="CA688" s="55"/>
      <c r="CB688" s="55"/>
      <c r="CC688" s="55"/>
      <c r="CD688" s="55"/>
      <c r="CE688" s="55"/>
      <c r="CF688" s="55"/>
      <c r="CG688" s="55"/>
      <c r="CH688" s="55"/>
      <c r="CI688" s="55"/>
      <c r="CJ688" s="55"/>
      <c r="CK688" s="55"/>
      <c r="CL688" s="55"/>
      <c r="CM688" s="55"/>
      <c r="CN688" s="55"/>
      <c r="CO688" s="55"/>
      <c r="CP688" s="55"/>
      <c r="CQ688" s="55"/>
      <c r="CR688" s="55"/>
      <c r="CS688" s="55"/>
      <c r="CT688" s="55"/>
      <c r="CU688" s="55"/>
      <c r="CV688" s="55"/>
      <c r="CW688" s="55"/>
      <c r="CX688" s="55"/>
      <c r="CY688" s="56"/>
      <c r="CZ688" s="55"/>
      <c r="DA688" s="55"/>
      <c r="DB688" s="55"/>
    </row>
    <row r="689" spans="1:113" hidden="1" outlineLevel="2">
      <c r="A689" s="1" t="s">
        <v>2418</v>
      </c>
      <c r="B689" s="19" t="s">
        <v>801</v>
      </c>
      <c r="C689" s="55"/>
      <c r="D689" s="55"/>
      <c r="E689" s="55"/>
      <c r="F689" s="55"/>
      <c r="G689" s="55"/>
      <c r="H689" s="55"/>
      <c r="I689" s="55"/>
      <c r="J689" s="55"/>
      <c r="K689" s="55"/>
      <c r="L689" s="55"/>
      <c r="M689" s="55"/>
      <c r="N689" s="55"/>
      <c r="O689" s="55"/>
      <c r="P689" s="55"/>
      <c r="Q689" s="55"/>
      <c r="R689" s="55"/>
      <c r="S689" s="55"/>
      <c r="T689" s="55"/>
      <c r="U689" s="55"/>
      <c r="V689" s="55"/>
      <c r="W689" s="55"/>
      <c r="X689" s="55"/>
      <c r="Y689" s="55"/>
      <c r="Z689" s="55"/>
      <c r="AA689" s="55"/>
      <c r="AB689" s="55"/>
      <c r="AC689" s="55"/>
      <c r="AD689" s="55"/>
      <c r="AE689" s="55"/>
      <c r="AF689" s="55"/>
      <c r="AG689" s="55"/>
      <c r="AH689" s="55"/>
      <c r="AI689" s="55"/>
      <c r="AJ689" s="55"/>
      <c r="AK689" s="55"/>
      <c r="AL689" s="55"/>
      <c r="AM689" s="55"/>
      <c r="AN689" s="55"/>
      <c r="AO689" s="55"/>
      <c r="AP689" s="55"/>
      <c r="AQ689" s="55"/>
      <c r="AR689" s="55"/>
      <c r="AS689" s="55"/>
      <c r="AT689" s="55"/>
      <c r="AU689" s="55"/>
      <c r="AV689" s="55"/>
      <c r="AW689" s="56"/>
      <c r="AX689" s="55"/>
      <c r="AY689" s="55"/>
      <c r="AZ689" s="55"/>
      <c r="BA689" s="55"/>
      <c r="BB689" s="55"/>
      <c r="BC689" s="55"/>
      <c r="BD689" s="55"/>
      <c r="BE689" s="55"/>
      <c r="BF689" s="55"/>
      <c r="BG689" s="55"/>
      <c r="BH689" s="55"/>
      <c r="BI689" s="55"/>
      <c r="BJ689" s="55"/>
      <c r="BK689" s="55"/>
      <c r="BL689" s="55"/>
      <c r="BM689" s="55"/>
      <c r="BN689" s="55"/>
      <c r="BO689" s="55"/>
      <c r="BP689" s="55"/>
      <c r="BQ689" s="55"/>
      <c r="BR689" s="55"/>
      <c r="BS689" s="55"/>
      <c r="BT689" s="55"/>
      <c r="BU689" s="55"/>
      <c r="BV689" s="55"/>
      <c r="BW689" s="55"/>
      <c r="BX689" s="55"/>
      <c r="BY689" s="55"/>
      <c r="BZ689" s="55"/>
      <c r="CA689" s="55"/>
      <c r="CB689" s="55"/>
      <c r="CC689" s="55"/>
      <c r="CD689" s="55"/>
      <c r="CE689" s="55"/>
      <c r="CF689" s="55"/>
      <c r="CG689" s="55"/>
      <c r="CH689" s="55"/>
      <c r="CI689" s="55"/>
      <c r="CJ689" s="55"/>
      <c r="CK689" s="55"/>
      <c r="CL689" s="55"/>
      <c r="CM689" s="55"/>
      <c r="CN689" s="55"/>
      <c r="CO689" s="55"/>
      <c r="CP689" s="55"/>
      <c r="CQ689" s="55"/>
      <c r="CR689" s="55"/>
      <c r="CS689" s="55"/>
      <c r="CT689" s="55"/>
      <c r="CU689" s="55"/>
      <c r="CV689" s="55"/>
      <c r="CW689" s="55"/>
      <c r="CX689" s="55"/>
      <c r="CY689" s="56"/>
      <c r="CZ689" s="55"/>
      <c r="DA689" s="55"/>
      <c r="DB689" s="55"/>
    </row>
    <row r="690" spans="1:113" hidden="1" outlineLevel="2">
      <c r="A690" s="1" t="s">
        <v>2419</v>
      </c>
      <c r="B690" s="19" t="s">
        <v>801</v>
      </c>
      <c r="C690" s="55"/>
      <c r="D690" s="55"/>
      <c r="E690" s="55"/>
      <c r="F690" s="55"/>
      <c r="G690" s="55"/>
      <c r="H690" s="55"/>
      <c r="I690" s="55"/>
      <c r="J690" s="55"/>
      <c r="K690" s="55"/>
      <c r="L690" s="55"/>
      <c r="M690" s="55"/>
      <c r="N690" s="55"/>
      <c r="O690" s="55"/>
      <c r="P690" s="55"/>
      <c r="Q690" s="55"/>
      <c r="R690" s="55"/>
      <c r="S690" s="55"/>
      <c r="T690" s="55"/>
      <c r="U690" s="55"/>
      <c r="V690" s="55"/>
      <c r="W690" s="55"/>
      <c r="X690" s="55"/>
      <c r="Y690" s="55"/>
      <c r="Z690" s="55"/>
      <c r="AA690" s="55"/>
      <c r="AB690" s="55"/>
      <c r="AC690" s="55"/>
      <c r="AD690" s="55"/>
      <c r="AE690" s="55"/>
      <c r="AF690" s="55"/>
      <c r="AG690" s="55"/>
      <c r="AH690" s="55"/>
      <c r="AI690" s="55"/>
      <c r="AJ690" s="55"/>
      <c r="AK690" s="55"/>
      <c r="AL690" s="55"/>
      <c r="AM690" s="55"/>
      <c r="AN690" s="55"/>
      <c r="AO690" s="55"/>
      <c r="AP690" s="55"/>
      <c r="AQ690" s="55"/>
      <c r="AR690" s="55"/>
      <c r="AS690" s="55"/>
      <c r="AT690" s="55"/>
      <c r="AU690" s="55"/>
      <c r="AV690" s="55"/>
      <c r="AW690" s="56"/>
      <c r="AX690" s="55"/>
      <c r="AY690" s="55"/>
      <c r="AZ690" s="55"/>
      <c r="BA690" s="55"/>
      <c r="BB690" s="55"/>
      <c r="BC690" s="55"/>
      <c r="BD690" s="55"/>
      <c r="BE690" s="55"/>
      <c r="BF690" s="55"/>
      <c r="BG690" s="55"/>
      <c r="BH690" s="55"/>
      <c r="BI690" s="55"/>
      <c r="BJ690" s="55"/>
      <c r="BK690" s="55"/>
      <c r="BL690" s="55"/>
      <c r="BM690" s="55"/>
      <c r="BN690" s="55"/>
      <c r="BO690" s="55"/>
      <c r="BP690" s="55"/>
      <c r="BQ690" s="55"/>
      <c r="BR690" s="55"/>
      <c r="BS690" s="55"/>
      <c r="BT690" s="55"/>
      <c r="BU690" s="55"/>
      <c r="BV690" s="55"/>
      <c r="BW690" s="55"/>
      <c r="BX690" s="55"/>
      <c r="BY690" s="55"/>
      <c r="BZ690" s="55"/>
      <c r="CA690" s="55"/>
      <c r="CB690" s="55"/>
      <c r="CC690" s="55"/>
      <c r="CD690" s="55"/>
      <c r="CE690" s="55"/>
      <c r="CF690" s="55"/>
      <c r="CG690" s="55"/>
      <c r="CH690" s="55"/>
      <c r="CI690" s="55"/>
      <c r="CJ690" s="55"/>
      <c r="CK690" s="55"/>
      <c r="CL690" s="55"/>
      <c r="CM690" s="55"/>
      <c r="CN690" s="55"/>
      <c r="CO690" s="55"/>
      <c r="CP690" s="55"/>
      <c r="CQ690" s="55"/>
      <c r="CR690" s="55"/>
      <c r="CS690" s="55"/>
      <c r="CT690" s="55"/>
      <c r="CU690" s="55"/>
      <c r="CV690" s="55"/>
      <c r="CW690" s="55"/>
      <c r="CX690" s="55"/>
      <c r="CY690" s="56"/>
      <c r="CZ690" s="55"/>
      <c r="DA690" s="55"/>
      <c r="DB690" s="55"/>
    </row>
    <row r="691" spans="1:113" hidden="1" outlineLevel="2">
      <c r="A691" s="1" t="s">
        <v>49</v>
      </c>
      <c r="B691" s="19" t="s">
        <v>801</v>
      </c>
      <c r="C691" s="55"/>
      <c r="D691" s="55"/>
      <c r="E691" s="55"/>
      <c r="F691" s="55"/>
      <c r="G691" s="55"/>
      <c r="H691" s="55"/>
      <c r="I691" s="55"/>
      <c r="J691" s="55"/>
      <c r="K691" s="55"/>
      <c r="L691" s="55"/>
      <c r="M691" s="55"/>
      <c r="N691" s="55"/>
      <c r="O691" s="55"/>
      <c r="P691" s="55"/>
      <c r="Q691" s="55"/>
      <c r="R691" s="55"/>
      <c r="S691" s="55"/>
      <c r="T691" s="55"/>
      <c r="U691" s="55"/>
      <c r="V691" s="55"/>
      <c r="W691" s="55"/>
      <c r="X691" s="55"/>
      <c r="Y691" s="55"/>
      <c r="Z691" s="55"/>
      <c r="AA691" s="55"/>
      <c r="AB691" s="55"/>
      <c r="AC691" s="55"/>
      <c r="AD691" s="55"/>
      <c r="AE691" s="55"/>
      <c r="AF691" s="55"/>
      <c r="AG691" s="55"/>
      <c r="AH691" s="55"/>
      <c r="AI691" s="55"/>
      <c r="AJ691" s="55"/>
      <c r="AK691" s="55"/>
      <c r="AL691" s="55"/>
      <c r="AM691" s="55"/>
      <c r="AN691" s="55"/>
      <c r="AO691" s="55"/>
      <c r="AP691" s="55"/>
      <c r="AQ691" s="55"/>
      <c r="AR691" s="55"/>
      <c r="AS691" s="55"/>
      <c r="AT691" s="55"/>
      <c r="AU691" s="55"/>
      <c r="AV691" s="55"/>
      <c r="AW691" s="56"/>
      <c r="AX691" s="55"/>
      <c r="AY691" s="55"/>
      <c r="AZ691" s="55"/>
      <c r="BA691" s="55"/>
      <c r="BB691" s="55"/>
      <c r="BC691" s="55"/>
      <c r="BD691" s="55"/>
      <c r="BE691" s="55"/>
      <c r="BF691" s="55"/>
      <c r="BG691" s="55"/>
      <c r="BH691" s="55"/>
      <c r="BI691" s="55"/>
      <c r="BJ691" s="55"/>
      <c r="BK691" s="55"/>
      <c r="BL691" s="55"/>
      <c r="BM691" s="55"/>
      <c r="BN691" s="55"/>
      <c r="BO691" s="55"/>
      <c r="BP691" s="55"/>
      <c r="BQ691" s="55"/>
      <c r="BR691" s="55"/>
      <c r="BS691" s="55"/>
      <c r="BT691" s="55"/>
      <c r="BU691" s="55"/>
      <c r="BV691" s="55"/>
      <c r="BW691" s="55"/>
      <c r="BX691" s="55"/>
      <c r="BY691" s="55"/>
      <c r="BZ691" s="55"/>
      <c r="CA691" s="55"/>
      <c r="CB691" s="55"/>
      <c r="CC691" s="55"/>
      <c r="CD691" s="55"/>
      <c r="CE691" s="55"/>
      <c r="CF691" s="55"/>
      <c r="CG691" s="55"/>
      <c r="CH691" s="55"/>
      <c r="CI691" s="55"/>
      <c r="CJ691" s="55"/>
      <c r="CK691" s="55"/>
      <c r="CL691" s="55"/>
      <c r="CM691" s="55"/>
      <c r="CN691" s="55"/>
      <c r="CO691" s="55"/>
      <c r="CP691" s="55"/>
      <c r="CQ691" s="55"/>
      <c r="CR691" s="55"/>
      <c r="CS691" s="55"/>
      <c r="CT691" s="55"/>
      <c r="CU691" s="55"/>
      <c r="CV691" s="55"/>
      <c r="CW691" s="55"/>
      <c r="CX691" s="55"/>
      <c r="CY691" s="56"/>
      <c r="CZ691" s="55"/>
      <c r="DA691" s="55"/>
      <c r="DB691" s="55"/>
    </row>
    <row r="692" spans="1:113" hidden="1" outlineLevel="2">
      <c r="A692" s="1" t="s">
        <v>50</v>
      </c>
      <c r="B692" s="19" t="s">
        <v>801</v>
      </c>
      <c r="C692" s="55"/>
      <c r="D692" s="55"/>
      <c r="E692" s="55"/>
      <c r="F692" s="55"/>
      <c r="G692" s="55"/>
      <c r="H692" s="55"/>
      <c r="I692" s="55"/>
      <c r="J692" s="55"/>
      <c r="K692" s="55"/>
      <c r="L692" s="55"/>
      <c r="M692" s="55"/>
      <c r="N692" s="55"/>
      <c r="O692" s="55"/>
      <c r="P692" s="55"/>
      <c r="Q692" s="55"/>
      <c r="R692" s="55"/>
      <c r="S692" s="55"/>
      <c r="T692" s="55"/>
      <c r="U692" s="55"/>
      <c r="V692" s="55"/>
      <c r="W692" s="55"/>
      <c r="X692" s="55"/>
      <c r="Y692" s="55"/>
      <c r="Z692" s="55"/>
      <c r="AA692" s="55"/>
      <c r="AB692" s="55"/>
      <c r="AC692" s="55"/>
      <c r="AD692" s="55"/>
      <c r="AE692" s="55"/>
      <c r="AF692" s="55"/>
      <c r="AG692" s="55"/>
      <c r="AH692" s="55"/>
      <c r="AI692" s="55"/>
      <c r="AJ692" s="55"/>
      <c r="AK692" s="55"/>
      <c r="AL692" s="55"/>
      <c r="AM692" s="55"/>
      <c r="AN692" s="55"/>
      <c r="AO692" s="55"/>
      <c r="AP692" s="55"/>
      <c r="AQ692" s="55"/>
      <c r="AR692" s="55"/>
      <c r="AS692" s="55"/>
      <c r="AT692" s="55"/>
      <c r="AU692" s="55"/>
      <c r="AV692" s="55"/>
      <c r="AW692" s="56"/>
      <c r="AX692" s="55"/>
      <c r="AY692" s="55"/>
      <c r="AZ692" s="55"/>
      <c r="BA692" s="55"/>
      <c r="BB692" s="55"/>
      <c r="BC692" s="55"/>
      <c r="BD692" s="55"/>
      <c r="BE692" s="55"/>
      <c r="BF692" s="55"/>
      <c r="BG692" s="55"/>
      <c r="BH692" s="55"/>
      <c r="BI692" s="55"/>
      <c r="BJ692" s="55"/>
      <c r="BK692" s="55"/>
      <c r="BL692" s="55"/>
      <c r="BM692" s="55"/>
      <c r="BN692" s="55"/>
      <c r="BO692" s="55"/>
      <c r="BP692" s="55"/>
      <c r="BQ692" s="55"/>
      <c r="BR692" s="55"/>
      <c r="BS692" s="55"/>
      <c r="BT692" s="55"/>
      <c r="BU692" s="55"/>
      <c r="BV692" s="55"/>
      <c r="BW692" s="55"/>
      <c r="BX692" s="55"/>
      <c r="BY692" s="55"/>
      <c r="BZ692" s="55"/>
      <c r="CA692" s="55"/>
      <c r="CB692" s="55"/>
      <c r="CC692" s="55"/>
      <c r="CD692" s="55"/>
      <c r="CE692" s="55"/>
      <c r="CF692" s="55"/>
      <c r="CG692" s="55"/>
      <c r="CH692" s="55"/>
      <c r="CI692" s="55"/>
      <c r="CJ692" s="55"/>
      <c r="CK692" s="55"/>
      <c r="CL692" s="55"/>
      <c r="CM692" s="55"/>
      <c r="CN692" s="55"/>
      <c r="CO692" s="55"/>
      <c r="CP692" s="55"/>
      <c r="CQ692" s="55"/>
      <c r="CR692" s="55"/>
      <c r="CS692" s="55"/>
      <c r="CT692" s="55"/>
      <c r="CU692" s="55"/>
      <c r="CV692" s="55"/>
      <c r="CW692" s="55"/>
      <c r="CX692" s="55"/>
      <c r="CY692" s="56"/>
      <c r="CZ692" s="55"/>
      <c r="DA692" s="55"/>
      <c r="DB692" s="55"/>
    </row>
    <row r="693" spans="1:113" hidden="1" outlineLevel="2">
      <c r="A693" s="1" t="s">
        <v>1051</v>
      </c>
      <c r="B693" s="19" t="s">
        <v>801</v>
      </c>
      <c r="C693" s="55"/>
      <c r="D693" s="55"/>
      <c r="E693" s="55"/>
      <c r="F693" s="55"/>
      <c r="G693" s="55"/>
      <c r="H693" s="55"/>
      <c r="I693" s="55"/>
      <c r="J693" s="55"/>
      <c r="K693" s="55"/>
      <c r="L693" s="55"/>
      <c r="M693" s="55"/>
      <c r="N693" s="55"/>
      <c r="O693" s="55"/>
      <c r="P693" s="55"/>
      <c r="Q693" s="55"/>
      <c r="R693" s="55"/>
      <c r="S693" s="55"/>
      <c r="T693" s="55"/>
      <c r="U693" s="55"/>
      <c r="V693" s="55"/>
      <c r="W693" s="55"/>
      <c r="X693" s="55"/>
      <c r="Y693" s="55"/>
      <c r="Z693" s="55"/>
      <c r="AA693" s="55"/>
      <c r="AB693" s="55"/>
      <c r="AC693" s="55"/>
      <c r="AD693" s="55"/>
      <c r="AE693" s="55"/>
      <c r="AF693" s="55"/>
      <c r="AG693" s="55"/>
      <c r="AH693" s="55"/>
      <c r="AI693" s="55"/>
      <c r="AJ693" s="55"/>
      <c r="AK693" s="55"/>
      <c r="AL693" s="55"/>
      <c r="AM693" s="55"/>
      <c r="AN693" s="55"/>
      <c r="AO693" s="55"/>
      <c r="AP693" s="55"/>
      <c r="AQ693" s="55"/>
      <c r="AR693" s="55"/>
      <c r="AS693" s="55"/>
      <c r="AT693" s="55"/>
      <c r="AU693" s="55"/>
      <c r="AV693" s="55"/>
      <c r="AW693" s="56"/>
      <c r="AX693" s="55"/>
      <c r="AY693" s="55"/>
      <c r="AZ693" s="55"/>
      <c r="BA693" s="55"/>
      <c r="BB693" s="55"/>
      <c r="BC693" s="55"/>
      <c r="BD693" s="55"/>
      <c r="BE693" s="55"/>
      <c r="BF693" s="55"/>
      <c r="BG693" s="55"/>
      <c r="BH693" s="55"/>
      <c r="BI693" s="55"/>
      <c r="BJ693" s="55"/>
      <c r="BK693" s="55"/>
      <c r="BL693" s="55"/>
      <c r="BM693" s="55"/>
      <c r="BN693" s="55"/>
      <c r="BO693" s="55"/>
      <c r="BP693" s="55"/>
      <c r="BQ693" s="55"/>
      <c r="BR693" s="55"/>
      <c r="BS693" s="55"/>
      <c r="BT693" s="55"/>
      <c r="BU693" s="55"/>
      <c r="BV693" s="55"/>
      <c r="BW693" s="55"/>
      <c r="BX693" s="55"/>
      <c r="BY693" s="55"/>
      <c r="BZ693" s="55"/>
      <c r="CA693" s="55"/>
      <c r="CB693" s="55"/>
      <c r="CC693" s="55"/>
      <c r="CD693" s="55"/>
      <c r="CE693" s="55"/>
      <c r="CF693" s="55"/>
      <c r="CG693" s="55"/>
      <c r="CH693" s="55"/>
      <c r="CI693" s="55"/>
      <c r="CJ693" s="55"/>
      <c r="CK693" s="55"/>
      <c r="CL693" s="55"/>
      <c r="CM693" s="55"/>
      <c r="CN693" s="55"/>
      <c r="CO693" s="55"/>
      <c r="CP693" s="55"/>
      <c r="CQ693" s="55"/>
      <c r="CR693" s="55"/>
      <c r="CS693" s="55"/>
      <c r="CT693" s="55"/>
      <c r="CU693" s="55"/>
      <c r="CV693" s="55"/>
      <c r="CW693" s="55"/>
      <c r="CX693" s="55"/>
      <c r="CY693" s="56"/>
      <c r="CZ693" s="55"/>
      <c r="DA693" s="55"/>
      <c r="DB693" s="55"/>
    </row>
    <row r="694" spans="1:113" outlineLevel="1" collapsed="1">
      <c r="C694" s="55"/>
      <c r="D694" s="55"/>
      <c r="E694" s="55"/>
      <c r="F694" s="55"/>
      <c r="G694" s="55"/>
      <c r="H694" s="55"/>
      <c r="I694" s="55"/>
      <c r="J694" s="55"/>
      <c r="K694" s="55"/>
      <c r="L694" s="55"/>
      <c r="M694" s="55"/>
      <c r="N694" s="55"/>
      <c r="O694" s="55"/>
      <c r="P694" s="55"/>
      <c r="Q694" s="55"/>
      <c r="R694" s="55"/>
      <c r="S694" s="55"/>
      <c r="T694" s="55"/>
      <c r="U694" s="55"/>
      <c r="V694" s="55"/>
      <c r="W694" s="55"/>
      <c r="X694" s="55"/>
      <c r="Y694" s="55"/>
      <c r="Z694" s="55"/>
      <c r="AA694" s="55"/>
      <c r="AB694" s="55"/>
      <c r="AC694" s="55"/>
      <c r="AD694" s="55"/>
      <c r="AE694" s="55"/>
      <c r="AF694" s="55"/>
      <c r="AG694" s="55"/>
      <c r="AH694" s="55"/>
      <c r="AI694" s="45"/>
      <c r="AJ694" s="45"/>
      <c r="AK694" s="45"/>
      <c r="AL694" s="45"/>
      <c r="AM694" s="45"/>
      <c r="AN694" s="45"/>
      <c r="AO694" s="45"/>
      <c r="AP694" s="55"/>
      <c r="AQ694" s="55"/>
      <c r="AR694" s="55"/>
      <c r="AS694" s="55"/>
      <c r="AT694" s="55"/>
      <c r="AU694" s="55"/>
      <c r="AV694" s="55"/>
      <c r="AW694" s="56"/>
      <c r="AX694" s="55"/>
      <c r="AY694" s="55"/>
      <c r="AZ694" s="55"/>
      <c r="BA694" s="55"/>
      <c r="BB694" s="55"/>
      <c r="BC694" s="55"/>
      <c r="BD694" s="55"/>
      <c r="BE694" s="55"/>
      <c r="BF694" s="55"/>
      <c r="BG694" s="55"/>
      <c r="BH694" s="55"/>
      <c r="BI694" s="55"/>
      <c r="BJ694" s="55"/>
      <c r="BK694" s="55"/>
      <c r="BL694" s="55"/>
      <c r="BM694" s="55"/>
      <c r="BN694" s="55"/>
      <c r="BO694" s="55"/>
      <c r="BP694" s="55"/>
      <c r="BQ694" s="55"/>
      <c r="BR694" s="55"/>
      <c r="BS694" s="55"/>
      <c r="BT694" s="55"/>
      <c r="BU694" s="55"/>
      <c r="BV694" s="55"/>
      <c r="BW694" s="55"/>
      <c r="BX694" s="55"/>
      <c r="BY694" s="55"/>
      <c r="BZ694" s="55"/>
      <c r="CA694" s="55"/>
      <c r="CB694" s="55"/>
      <c r="CC694" s="55"/>
      <c r="CD694" s="55"/>
      <c r="CE694" s="55"/>
      <c r="CF694" s="55"/>
      <c r="CG694" s="55"/>
      <c r="CH694" s="55"/>
      <c r="CI694" s="55"/>
      <c r="CJ694" s="55"/>
      <c r="CK694" s="55"/>
      <c r="CL694" s="55"/>
      <c r="CM694" s="55"/>
      <c r="CN694" s="55"/>
      <c r="CO694" s="55"/>
      <c r="CP694" s="55"/>
      <c r="CQ694" s="55"/>
      <c r="CR694" s="55"/>
      <c r="CS694" s="55"/>
      <c r="CT694" s="55"/>
      <c r="CU694" s="55"/>
      <c r="CV694" s="55"/>
      <c r="CW694" s="55"/>
      <c r="CX694" s="55"/>
      <c r="CY694" s="56"/>
      <c r="CZ694" s="55"/>
      <c r="DA694" s="55"/>
      <c r="DB694" s="55"/>
    </row>
    <row r="695" spans="1:113" s="24" customFormat="1" outlineLevel="1">
      <c r="A695" s="1"/>
      <c r="B695" s="24" t="s">
        <v>357</v>
      </c>
      <c r="C695" s="82"/>
      <c r="D695" s="82"/>
      <c r="E695" s="82"/>
      <c r="F695" s="82"/>
      <c r="G695" s="82"/>
      <c r="H695" s="82"/>
      <c r="I695" s="82"/>
      <c r="J695" s="82"/>
      <c r="K695" s="82"/>
      <c r="L695" s="82"/>
      <c r="M695" s="82"/>
      <c r="N695" s="82"/>
      <c r="O695" s="82"/>
      <c r="P695" s="82"/>
      <c r="Q695" s="82"/>
      <c r="R695" s="82"/>
      <c r="S695" s="82"/>
      <c r="T695" s="82"/>
      <c r="U695" s="82"/>
      <c r="V695" s="82"/>
      <c r="W695" s="82"/>
      <c r="X695" s="82"/>
      <c r="Y695" s="82"/>
      <c r="Z695" s="82"/>
      <c r="AA695" s="82"/>
      <c r="AB695" s="82"/>
      <c r="AC695" s="82"/>
      <c r="AD695" s="82"/>
      <c r="AE695" s="82"/>
      <c r="AF695" s="82"/>
      <c r="AG695" s="82"/>
      <c r="AH695" s="82"/>
      <c r="AI695" s="82"/>
      <c r="AJ695" s="82"/>
      <c r="AK695" s="82"/>
      <c r="AL695" s="82"/>
      <c r="AM695" s="82"/>
      <c r="AN695" s="82"/>
      <c r="AO695" s="82"/>
      <c r="AP695" s="82"/>
      <c r="AQ695" s="82"/>
      <c r="AR695" s="82"/>
      <c r="AS695" s="82"/>
      <c r="AT695" s="82"/>
      <c r="AU695" s="82"/>
      <c r="AV695" s="82"/>
      <c r="AW695" s="83"/>
      <c r="AX695" s="82"/>
      <c r="AY695" s="82"/>
      <c r="AZ695" s="82"/>
      <c r="BA695" s="82"/>
      <c r="BB695" s="82"/>
      <c r="BC695" s="82"/>
      <c r="BD695" s="82"/>
      <c r="BE695" s="82"/>
      <c r="BF695" s="82"/>
      <c r="BG695" s="82"/>
      <c r="BH695" s="82"/>
      <c r="BI695" s="82"/>
      <c r="BJ695" s="82"/>
      <c r="BK695" s="82"/>
      <c r="BL695" s="82"/>
      <c r="BM695" s="82"/>
      <c r="BN695" s="82"/>
      <c r="BO695" s="82"/>
      <c r="BP695" s="82"/>
      <c r="BQ695" s="82"/>
      <c r="BR695" s="82"/>
      <c r="BS695" s="82"/>
      <c r="BT695" s="82"/>
      <c r="BU695" s="82"/>
      <c r="BV695" s="82"/>
      <c r="BW695" s="82"/>
      <c r="BX695" s="82"/>
      <c r="BY695" s="82"/>
      <c r="BZ695" s="82"/>
      <c r="CA695" s="82"/>
      <c r="CB695" s="82"/>
      <c r="CC695" s="82"/>
      <c r="CD695" s="82"/>
      <c r="CE695" s="82"/>
      <c r="CF695" s="82"/>
      <c r="CG695" s="82"/>
      <c r="CH695" s="82"/>
      <c r="CI695" s="82"/>
      <c r="CJ695" s="82"/>
      <c r="CK695" s="82"/>
      <c r="CL695" s="82"/>
      <c r="CM695" s="82"/>
      <c r="CN695" s="82"/>
      <c r="CO695" s="82"/>
      <c r="CP695" s="82"/>
      <c r="CQ695" s="82"/>
      <c r="CR695" s="579"/>
      <c r="CS695" s="579"/>
      <c r="CT695" s="579"/>
      <c r="CU695" s="579"/>
      <c r="CV695" s="579"/>
      <c r="CW695" s="579"/>
      <c r="CX695" s="579"/>
      <c r="CY695" s="83"/>
      <c r="CZ695" s="82"/>
      <c r="DA695" s="82"/>
      <c r="DB695" s="82"/>
    </row>
    <row r="696" spans="1:113" outlineLevel="1">
      <c r="A696" s="1" t="s">
        <v>1052</v>
      </c>
      <c r="B696" s="19" t="s">
        <v>358</v>
      </c>
      <c r="C696" s="55">
        <v>68417</v>
      </c>
      <c r="D696" s="55">
        <v>70268</v>
      </c>
      <c r="E696" s="55">
        <v>68187</v>
      </c>
      <c r="F696" s="55">
        <v>69674</v>
      </c>
      <c r="G696" s="55">
        <v>70674</v>
      </c>
      <c r="H696" s="55">
        <v>69942</v>
      </c>
      <c r="I696" s="55">
        <v>77169</v>
      </c>
      <c r="J696" s="55">
        <v>70448</v>
      </c>
      <c r="K696" s="55">
        <v>70197</v>
      </c>
      <c r="L696" s="55">
        <v>67613</v>
      </c>
      <c r="M696" s="55">
        <v>67847</v>
      </c>
      <c r="N696" s="55">
        <v>67555</v>
      </c>
      <c r="O696" s="55">
        <v>66672</v>
      </c>
      <c r="P696" s="55">
        <v>75805</v>
      </c>
      <c r="Q696" s="55">
        <v>77492</v>
      </c>
      <c r="R696" s="55">
        <v>91473</v>
      </c>
      <c r="S696" s="55">
        <v>97585</v>
      </c>
      <c r="T696" s="55">
        <v>73049</v>
      </c>
      <c r="U696" s="55">
        <v>78422</v>
      </c>
      <c r="V696" s="55">
        <v>57275.972375690588</v>
      </c>
      <c r="W696" s="55">
        <v>68320</v>
      </c>
      <c r="X696" s="55">
        <v>76612</v>
      </c>
      <c r="Y696" s="55">
        <v>77514</v>
      </c>
      <c r="Z696" s="55">
        <v>71972</v>
      </c>
      <c r="AA696" s="55">
        <v>77077</v>
      </c>
      <c r="AB696" s="55">
        <v>74516</v>
      </c>
      <c r="AC696" s="55">
        <v>76043</v>
      </c>
      <c r="AD696" s="55">
        <v>76986</v>
      </c>
      <c r="AE696" s="55">
        <v>98205</v>
      </c>
      <c r="AF696" s="55">
        <v>128358</v>
      </c>
      <c r="AG696" s="55">
        <v>123061</v>
      </c>
      <c r="AH696" s="55">
        <v>134066</v>
      </c>
      <c r="AI696" s="55">
        <v>141177</v>
      </c>
      <c r="AJ696" s="55">
        <v>119901</v>
      </c>
      <c r="AK696" s="55">
        <v>124180</v>
      </c>
      <c r="AL696" s="55">
        <v>106906.27511126234</v>
      </c>
      <c r="AM696" s="55">
        <v>101303.65782816883</v>
      </c>
      <c r="AN696" s="55">
        <v>101539</v>
      </c>
      <c r="AO696" s="55">
        <v>103205</v>
      </c>
      <c r="AP696" s="55">
        <v>108184</v>
      </c>
      <c r="AQ696" s="55">
        <v>103446</v>
      </c>
      <c r="AR696" s="55">
        <v>117079</v>
      </c>
      <c r="AS696" s="55">
        <v>126727</v>
      </c>
      <c r="AT696" s="55">
        <v>127624</v>
      </c>
      <c r="AU696" s="55">
        <v>117187</v>
      </c>
      <c r="AV696" s="55">
        <v>121779</v>
      </c>
      <c r="AW696" s="56">
        <v>122992</v>
      </c>
      <c r="AX696" s="55">
        <v>125666.2911055382</v>
      </c>
      <c r="AY696" s="55">
        <v>128263.70733979158</v>
      </c>
      <c r="AZ696" s="55">
        <v>130908.9341730936</v>
      </c>
      <c r="BA696" s="55">
        <v>133315.06674683274</v>
      </c>
      <c r="BB696" s="55">
        <v>135316.23841286689</v>
      </c>
      <c r="BC696" s="55">
        <v>137516.79414538792</v>
      </c>
      <c r="BD696" s="55">
        <v>139908.29318104629</v>
      </c>
      <c r="BE696" s="55">
        <v>142345.55947801334</v>
      </c>
      <c r="BF696" s="55">
        <v>144829.44373748623</v>
      </c>
      <c r="BG696" s="55">
        <v>147360.81394608825</v>
      </c>
      <c r="BH696" s="55">
        <v>149940.5556839967</v>
      </c>
      <c r="BI696" s="55">
        <v>152569.57244084266</v>
      </c>
      <c r="BJ696" s="55">
        <v>155248.78593944476</v>
      </c>
      <c r="BK696" s="55">
        <v>158101.87829237225</v>
      </c>
      <c r="BL696" s="55">
        <v>161132.61575434747</v>
      </c>
      <c r="BM696" s="55">
        <v>164222.11785927214</v>
      </c>
      <c r="BN696" s="55">
        <v>167371.53574092855</v>
      </c>
      <c r="BO696" s="55">
        <v>170582.04330134214</v>
      </c>
      <c r="BP696" s="55">
        <v>173854.837665345</v>
      </c>
      <c r="BQ696" s="55">
        <v>177191.13964429806</v>
      </c>
      <c r="BR696" s="55"/>
      <c r="BS696" s="55">
        <v>17194.5</v>
      </c>
      <c r="BT696" s="55">
        <v>16519.899999999994</v>
      </c>
      <c r="BU696" s="55">
        <v>18107</v>
      </c>
      <c r="BV696" s="55">
        <v>15467</v>
      </c>
      <c r="BW696" s="55">
        <v>17310</v>
      </c>
      <c r="BX696" s="55">
        <v>18195</v>
      </c>
      <c r="BY696" s="55">
        <v>21390</v>
      </c>
      <c r="BZ696" s="55">
        <v>21910</v>
      </c>
      <c r="CA696" s="55">
        <v>30548</v>
      </c>
      <c r="CB696" s="55">
        <v>65023</v>
      </c>
      <c r="CC696" s="55">
        <v>69218.94794520548</v>
      </c>
      <c r="CD696" s="55">
        <v>70178.109589041094</v>
      </c>
      <c r="CE696" s="55">
        <v>73575.245901639355</v>
      </c>
      <c r="CF696" s="55">
        <v>70321.468493150678</v>
      </c>
      <c r="CG696" s="55">
        <v>67730.961643835617</v>
      </c>
      <c r="CH696" s="55">
        <v>67109.8712328767</v>
      </c>
      <c r="CI696" s="55">
        <v>76653.109289617496</v>
      </c>
      <c r="CJ696" s="55">
        <v>94554.117808219176</v>
      </c>
      <c r="CK696" s="55">
        <v>75757.5808219178</v>
      </c>
      <c r="CL696" s="55">
        <v>62843.372602739713</v>
      </c>
      <c r="CM696" s="55">
        <v>77065.464480874318</v>
      </c>
      <c r="CN696" s="55">
        <v>74545.479452054802</v>
      </c>
      <c r="CO696" s="55">
        <v>75285.775342465757</v>
      </c>
      <c r="CP696" s="55">
        <v>87682.701369863003</v>
      </c>
      <c r="CQ696" s="55">
        <v>125695.02732240436</v>
      </c>
      <c r="CR696" s="55">
        <v>137650.72328767122</v>
      </c>
      <c r="CS696" s="55">
        <v>130626.43561643836</v>
      </c>
      <c r="CT696" s="55">
        <v>104081.94201512754</v>
      </c>
      <c r="CU696" s="55">
        <v>102376.55191256831</v>
      </c>
      <c r="CV696" s="55">
        <v>105795.52876712329</v>
      </c>
      <c r="CW696" s="55">
        <v>121942.6493150685</v>
      </c>
      <c r="CX696" s="55">
        <v>122362.60821917807</v>
      </c>
      <c r="CY696" s="56">
        <v>122388.81420765028</v>
      </c>
      <c r="CZ696" s="55">
        <v>126975.67353595633</v>
      </c>
      <c r="DA696" s="55">
        <v>132121.88867601965</v>
      </c>
      <c r="DB696" s="55">
        <v>136425.55965885011</v>
      </c>
      <c r="DC696" s="55">
        <v>141133.58552706253</v>
      </c>
      <c r="DD696" s="55">
        <v>146105.53173305548</v>
      </c>
      <c r="DE696" s="55">
        <v>151265.86824087249</v>
      </c>
      <c r="DF696" s="55">
        <v>156687.05715297532</v>
      </c>
      <c r="DG696" s="55">
        <v>162685.80806939158</v>
      </c>
      <c r="DH696" s="55">
        <v>168989.98338782197</v>
      </c>
      <c r="DI696" s="55">
        <v>175536.69948487202</v>
      </c>
    </row>
    <row r="697" spans="1:113" outlineLevel="1">
      <c r="A697" s="1" t="s">
        <v>1053</v>
      </c>
      <c r="B697" s="19" t="s">
        <v>493</v>
      </c>
      <c r="C697" s="53">
        <v>231780</v>
      </c>
      <c r="D697" s="53">
        <v>238490</v>
      </c>
      <c r="E697" s="53">
        <v>241271</v>
      </c>
      <c r="F697" s="53">
        <v>253349</v>
      </c>
      <c r="G697" s="53">
        <v>263616</v>
      </c>
      <c r="H697" s="53">
        <v>274265</v>
      </c>
      <c r="I697" s="53">
        <v>301329</v>
      </c>
      <c r="J697" s="53">
        <v>316825</v>
      </c>
      <c r="K697" s="53">
        <v>330486</v>
      </c>
      <c r="L697" s="53">
        <v>344795</v>
      </c>
      <c r="M697" s="53">
        <v>362175</v>
      </c>
      <c r="N697" s="53">
        <v>386070</v>
      </c>
      <c r="O697" s="53">
        <v>425355</v>
      </c>
      <c r="P697" s="53">
        <v>461029</v>
      </c>
      <c r="Q697" s="53">
        <v>490608</v>
      </c>
      <c r="R697" s="53">
        <v>604010</v>
      </c>
      <c r="S697" s="53">
        <v>637864</v>
      </c>
      <c r="T697" s="53">
        <v>632208</v>
      </c>
      <c r="U697" s="53">
        <v>648760</v>
      </c>
      <c r="V697" s="53">
        <v>651433</v>
      </c>
      <c r="W697" s="53">
        <v>668922</v>
      </c>
      <c r="X697" s="53">
        <v>699510</v>
      </c>
      <c r="Y697" s="53">
        <v>714061</v>
      </c>
      <c r="Z697" s="53">
        <v>721366</v>
      </c>
      <c r="AA697" s="164">
        <v>735028</v>
      </c>
      <c r="AB697" s="164">
        <v>764622</v>
      </c>
      <c r="AC697" s="164">
        <v>796932</v>
      </c>
      <c r="AD697" s="164">
        <v>816258</v>
      </c>
      <c r="AE697" s="164">
        <v>870952</v>
      </c>
      <c r="AF697" s="164">
        <v>909279</v>
      </c>
      <c r="AG697" s="164">
        <v>923440</v>
      </c>
      <c r="AH697" s="164">
        <v>957124</v>
      </c>
      <c r="AI697" s="164">
        <v>987796</v>
      </c>
      <c r="AJ697" s="164">
        <v>971423</v>
      </c>
      <c r="AK697" s="164">
        <v>981230</v>
      </c>
      <c r="AL697" s="164">
        <v>977810</v>
      </c>
      <c r="AM697" s="164">
        <v>973244</v>
      </c>
      <c r="AN697" s="164">
        <v>983389</v>
      </c>
      <c r="AO697" s="164">
        <v>1016344</v>
      </c>
      <c r="AP697" s="164">
        <v>1031108</v>
      </c>
      <c r="AQ697" s="164">
        <v>1040329</v>
      </c>
      <c r="AR697" s="164">
        <v>1125149</v>
      </c>
      <c r="AS697" s="164">
        <v>1172789</v>
      </c>
      <c r="AT697" s="164">
        <v>1227651</v>
      </c>
      <c r="AU697" s="164">
        <v>1239854</v>
      </c>
      <c r="AV697" s="164">
        <v>1262472</v>
      </c>
      <c r="AW697" s="171">
        <v>1271054</v>
      </c>
      <c r="AX697" s="55">
        <v>1298691.313051733</v>
      </c>
      <c r="AY697" s="55">
        <v>1325534.1670114435</v>
      </c>
      <c r="AZ697" s="55">
        <v>1352871.1169543331</v>
      </c>
      <c r="BA697" s="55">
        <v>1377737.1605375048</v>
      </c>
      <c r="BB697" s="55">
        <v>1398418.1580885598</v>
      </c>
      <c r="BC697" s="55">
        <v>1421159.679212241</v>
      </c>
      <c r="BD697" s="55">
        <v>1445874.4933080336</v>
      </c>
      <c r="BE697" s="55">
        <v>1471062.2866265024</v>
      </c>
      <c r="BF697" s="55">
        <v>1496731.8506919704</v>
      </c>
      <c r="BG697" s="55">
        <v>1522892.1556640374</v>
      </c>
      <c r="BH697" s="55">
        <v>1549552.3535219103</v>
      </c>
      <c r="BI697" s="55">
        <v>1576721.7813290528</v>
      </c>
      <c r="BJ697" s="55">
        <v>1604409.9645787941</v>
      </c>
      <c r="BK697" s="55">
        <v>1633895.0892011914</v>
      </c>
      <c r="BL697" s="55">
        <v>1665216.0773467089</v>
      </c>
      <c r="BM697" s="55">
        <v>1697144.3654343316</v>
      </c>
      <c r="BN697" s="55">
        <v>1729691.8497922646</v>
      </c>
      <c r="BO697" s="55">
        <v>1762870.6620458579</v>
      </c>
      <c r="BP697" s="55">
        <v>1796693.1738152683</v>
      </c>
      <c r="BQ697" s="55">
        <v>1831172.0015077703</v>
      </c>
      <c r="BR697" s="55"/>
      <c r="BS697" s="53">
        <v>89063.9</v>
      </c>
      <c r="BT697" s="53">
        <v>88863</v>
      </c>
      <c r="BU697" s="53">
        <v>92840.3</v>
      </c>
      <c r="BV697" s="53">
        <v>93928</v>
      </c>
      <c r="BW697" s="53">
        <v>103105</v>
      </c>
      <c r="BX697" s="53">
        <v>114358</v>
      </c>
      <c r="BY697" s="53">
        <v>123555</v>
      </c>
      <c r="BZ697" s="53">
        <v>136181</v>
      </c>
      <c r="CA697" s="53">
        <v>159711</v>
      </c>
      <c r="CB697" s="53">
        <v>225630</v>
      </c>
      <c r="CC697" s="55">
        <v>239891.92876712329</v>
      </c>
      <c r="CD697" s="55">
        <v>258524.69315068491</v>
      </c>
      <c r="CE697" s="55">
        <v>287870.9453551913</v>
      </c>
      <c r="CF697" s="55">
        <v>323711.64109589037</v>
      </c>
      <c r="CG697" s="164">
        <v>353414</v>
      </c>
      <c r="CH697" s="164">
        <v>412285</v>
      </c>
      <c r="CI697" s="164">
        <v>475738</v>
      </c>
      <c r="CJ697" s="164">
        <v>620798</v>
      </c>
      <c r="CK697" s="164">
        <v>640417</v>
      </c>
      <c r="CL697" s="164">
        <v>660105</v>
      </c>
      <c r="CM697" s="164">
        <v>706746</v>
      </c>
      <c r="CN697" s="164">
        <v>728140</v>
      </c>
      <c r="CO697" s="164">
        <v>780644</v>
      </c>
      <c r="CP697" s="164">
        <v>843380</v>
      </c>
      <c r="CQ697" s="164">
        <v>916320</v>
      </c>
      <c r="CR697" s="164">
        <v>972389</v>
      </c>
      <c r="CS697" s="164">
        <v>976287</v>
      </c>
      <c r="CT697" s="164">
        <v>975546</v>
      </c>
      <c r="CU697" s="164">
        <v>999777</v>
      </c>
      <c r="CV697" s="164">
        <v>1040329</v>
      </c>
      <c r="CW697" s="164">
        <v>1148779</v>
      </c>
      <c r="CX697" s="164">
        <v>1233702</v>
      </c>
      <c r="CY697" s="171">
        <v>1266740</v>
      </c>
      <c r="CZ697" s="55">
        <v>1312223.0531300528</v>
      </c>
      <c r="DA697" s="55">
        <v>1365406.3279661238</v>
      </c>
      <c r="DB697" s="55">
        <v>1409882.3769563881</v>
      </c>
      <c r="DC697" s="55">
        <v>1458537.2090746954</v>
      </c>
      <c r="DD697" s="55">
        <v>1509919.5112806291</v>
      </c>
      <c r="DE697" s="55">
        <v>1563248.7226082506</v>
      </c>
      <c r="DF697" s="55">
        <v>1619273.6986350163</v>
      </c>
      <c r="DG697" s="55">
        <v>1681267.4571503224</v>
      </c>
      <c r="DH697" s="55">
        <v>1746417.607202295</v>
      </c>
      <c r="DI697" s="55">
        <v>1814074.2814739542</v>
      </c>
    </row>
    <row r="698" spans="1:113" outlineLevel="1">
      <c r="A698" s="1" t="s">
        <v>941</v>
      </c>
      <c r="B698" s="19" t="s">
        <v>267</v>
      </c>
      <c r="C698" s="55">
        <v>226064</v>
      </c>
      <c r="D698" s="55">
        <v>232855</v>
      </c>
      <c r="E698" s="55">
        <v>235798.5</v>
      </c>
      <c r="F698" s="55">
        <v>248073</v>
      </c>
      <c r="G698" s="55">
        <v>258521</v>
      </c>
      <c r="H698" s="55">
        <v>269317</v>
      </c>
      <c r="I698" s="55">
        <v>296543</v>
      </c>
      <c r="J698" s="55">
        <v>310735</v>
      </c>
      <c r="K698" s="55">
        <v>323011.5</v>
      </c>
      <c r="L698" s="55">
        <v>337282</v>
      </c>
      <c r="M698" s="55">
        <v>354609</v>
      </c>
      <c r="N698" s="55">
        <v>378490.5</v>
      </c>
      <c r="O698" s="55">
        <v>417796.5</v>
      </c>
      <c r="P698" s="55">
        <v>453311.5</v>
      </c>
      <c r="Q698" s="55">
        <v>482707</v>
      </c>
      <c r="R698" s="55">
        <v>596100</v>
      </c>
      <c r="S698" s="55">
        <v>629620.5</v>
      </c>
      <c r="T698" s="55">
        <v>623660.5</v>
      </c>
      <c r="U698" s="55">
        <v>640263.5</v>
      </c>
      <c r="V698" s="55">
        <v>643007</v>
      </c>
      <c r="W698" s="55">
        <v>660578</v>
      </c>
      <c r="X698" s="55">
        <v>691084</v>
      </c>
      <c r="Y698" s="55">
        <v>705497.5</v>
      </c>
      <c r="Z698" s="55">
        <v>712808</v>
      </c>
      <c r="AA698" s="55">
        <v>726510.5</v>
      </c>
      <c r="AB698" s="55">
        <v>756376</v>
      </c>
      <c r="AC698" s="55">
        <v>788967</v>
      </c>
      <c r="AD698" s="55">
        <v>808338</v>
      </c>
      <c r="AE698" s="55">
        <v>863060.5</v>
      </c>
      <c r="AF698" s="55">
        <v>901421</v>
      </c>
      <c r="AG698" s="55">
        <v>915444.5</v>
      </c>
      <c r="AH698" s="55">
        <v>948994.5</v>
      </c>
      <c r="AI698" s="55">
        <v>979699.5</v>
      </c>
      <c r="AJ698" s="55">
        <v>963756</v>
      </c>
      <c r="AK698" s="55">
        <v>973972.5</v>
      </c>
      <c r="AL698" s="55">
        <v>970985</v>
      </c>
      <c r="AM698" s="55">
        <v>966928</v>
      </c>
      <c r="AN698" s="55">
        <v>977107</v>
      </c>
      <c r="AO698" s="55">
        <v>1010391</v>
      </c>
      <c r="AP698" s="55">
        <v>1025537.5</v>
      </c>
      <c r="AQ698" s="55">
        <v>1034798.5</v>
      </c>
      <c r="AR698" s="55">
        <v>1119647.5</v>
      </c>
      <c r="AS698" s="55">
        <v>1167300</v>
      </c>
      <c r="AT698" s="55">
        <v>1222159.5</v>
      </c>
      <c r="AU698" s="55">
        <v>1234367</v>
      </c>
      <c r="AV698" s="55">
        <v>1256994</v>
      </c>
      <c r="AW698" s="56">
        <v>1265581</v>
      </c>
      <c r="AX698" s="55">
        <v>1293220.313051733</v>
      </c>
      <c r="AY698" s="55">
        <v>1320063.1670114435</v>
      </c>
      <c r="AZ698" s="55">
        <v>1347400.1169543331</v>
      </c>
      <c r="BA698" s="55">
        <v>1372266.1605375048</v>
      </c>
      <c r="BB698" s="55">
        <v>1392947.1580885598</v>
      </c>
      <c r="BC698" s="55">
        <v>1415688.679212241</v>
      </c>
      <c r="BD698" s="55">
        <v>1440403.4933080336</v>
      </c>
      <c r="BE698" s="55">
        <v>1465591.2866265024</v>
      </c>
      <c r="BF698" s="55">
        <v>1491260.8506919704</v>
      </c>
      <c r="BG698" s="55">
        <v>1517421.1556640374</v>
      </c>
      <c r="BH698" s="55">
        <v>1544081.3535219103</v>
      </c>
      <c r="BI698" s="55">
        <v>1571250.7813290528</v>
      </c>
      <c r="BJ698" s="55">
        <v>1598938.9645787941</v>
      </c>
      <c r="BK698" s="55">
        <v>1628424.0892011914</v>
      </c>
      <c r="BL698" s="55">
        <v>1659745.0773467089</v>
      </c>
      <c r="BM698" s="55">
        <v>1691673.3654343316</v>
      </c>
      <c r="BN698" s="55">
        <v>1724220.8497922646</v>
      </c>
      <c r="BO698" s="55">
        <v>1757399.6620458579</v>
      </c>
      <c r="BP698" s="55">
        <v>1791222.1738152683</v>
      </c>
      <c r="BQ698" s="55">
        <v>1825701.0015077703</v>
      </c>
      <c r="BR698" s="55"/>
      <c r="BS698" s="55">
        <v>89063.9</v>
      </c>
      <c r="BT698" s="55">
        <v>88863</v>
      </c>
      <c r="BU698" s="55">
        <v>92840.3</v>
      </c>
      <c r="BV698" s="55">
        <v>93928</v>
      </c>
      <c r="BW698" s="55">
        <v>103105</v>
      </c>
      <c r="BX698" s="55">
        <v>114358</v>
      </c>
      <c r="BY698" s="55">
        <v>123555</v>
      </c>
      <c r="BZ698" s="55">
        <v>135935.5</v>
      </c>
      <c r="CA698" s="55">
        <v>156513</v>
      </c>
      <c r="CB698" s="55">
        <v>219819.5</v>
      </c>
      <c r="CC698" s="55">
        <v>234338.42876712329</v>
      </c>
      <c r="CD698" s="55">
        <v>253314.69315068491</v>
      </c>
      <c r="CE698" s="55">
        <v>283003.9453551913</v>
      </c>
      <c r="CF698" s="55">
        <v>317622.14109589037</v>
      </c>
      <c r="CG698" s="55">
        <v>345887</v>
      </c>
      <c r="CH698" s="55">
        <v>404726</v>
      </c>
      <c r="CI698" s="55">
        <v>468016.5</v>
      </c>
      <c r="CJ698" s="55">
        <v>612559.5</v>
      </c>
      <c r="CK698" s="55">
        <v>631896</v>
      </c>
      <c r="CL698" s="55">
        <v>651717</v>
      </c>
      <c r="CM698" s="55">
        <v>698302.5</v>
      </c>
      <c r="CN698" s="55">
        <v>719599.5</v>
      </c>
      <c r="CO698" s="55">
        <v>772425</v>
      </c>
      <c r="CP698" s="55">
        <v>835470.5</v>
      </c>
      <c r="CQ698" s="55">
        <v>908301.5</v>
      </c>
      <c r="CR698" s="55">
        <v>964266</v>
      </c>
      <c r="CS698" s="55">
        <v>968606.5</v>
      </c>
      <c r="CT698" s="55">
        <v>969293</v>
      </c>
      <c r="CU698" s="55">
        <v>994182</v>
      </c>
      <c r="CV698" s="55">
        <v>1034814</v>
      </c>
      <c r="CW698" s="55">
        <v>1143289</v>
      </c>
      <c r="CX698" s="55">
        <v>1228221</v>
      </c>
      <c r="CY698" s="56">
        <v>1261269</v>
      </c>
      <c r="CZ698" s="55">
        <v>1306752.0531300528</v>
      </c>
      <c r="DA698" s="55">
        <v>1359935.3279661238</v>
      </c>
      <c r="DB698" s="55">
        <v>1404411.3769563881</v>
      </c>
      <c r="DC698" s="55">
        <v>1453066.2090746954</v>
      </c>
      <c r="DD698" s="55">
        <v>1504448.5112806291</v>
      </c>
      <c r="DE698" s="55">
        <v>1557777.7226082506</v>
      </c>
      <c r="DF698" s="55">
        <v>1613802.6986350163</v>
      </c>
      <c r="DG698" s="55">
        <v>1675796.4571503224</v>
      </c>
      <c r="DH698" s="55">
        <v>1740946.607202295</v>
      </c>
      <c r="DI698" s="55">
        <v>1808603.2814739542</v>
      </c>
    </row>
    <row r="699" spans="1:113" outlineLevel="1">
      <c r="A699" s="1" t="s">
        <v>942</v>
      </c>
      <c r="B699" s="19" t="s">
        <v>268</v>
      </c>
      <c r="C699" s="55">
        <v>62838</v>
      </c>
      <c r="D699" s="55">
        <v>57220</v>
      </c>
      <c r="E699" s="55">
        <v>55231</v>
      </c>
      <c r="F699" s="55">
        <v>54626</v>
      </c>
      <c r="G699" s="55">
        <v>58241</v>
      </c>
      <c r="H699" s="55">
        <v>56548</v>
      </c>
      <c r="I699" s="55">
        <v>64135.5</v>
      </c>
      <c r="J699" s="55">
        <v>58743</v>
      </c>
      <c r="K699" s="55">
        <v>59598.5</v>
      </c>
      <c r="L699" s="55">
        <v>57986.5</v>
      </c>
      <c r="M699" s="55">
        <v>57188.5</v>
      </c>
      <c r="N699" s="55">
        <v>57930.5</v>
      </c>
      <c r="O699" s="55">
        <v>56211.5</v>
      </c>
      <c r="P699" s="55">
        <v>63938.5</v>
      </c>
      <c r="Q699" s="55">
        <v>68172.5</v>
      </c>
      <c r="R699" s="55">
        <v>79768.5</v>
      </c>
      <c r="S699" s="55">
        <v>87250.5</v>
      </c>
      <c r="T699" s="55">
        <v>67107</v>
      </c>
      <c r="U699" s="55">
        <v>66963</v>
      </c>
      <c r="V699" s="55">
        <v>50388.883977900492</v>
      </c>
      <c r="W699" s="55">
        <v>61591</v>
      </c>
      <c r="X699" s="55">
        <v>66554.5</v>
      </c>
      <c r="Y699" s="55">
        <v>68377.5</v>
      </c>
      <c r="Z699" s="55">
        <v>63662</v>
      </c>
      <c r="AA699" s="55">
        <v>66065</v>
      </c>
      <c r="AB699" s="55">
        <v>58967.5</v>
      </c>
      <c r="AC699" s="55">
        <v>60654</v>
      </c>
      <c r="AD699" s="55">
        <v>58013.5</v>
      </c>
      <c r="AE699" s="55">
        <v>71613</v>
      </c>
      <c r="AF699" s="55">
        <v>99731</v>
      </c>
      <c r="AG699" s="55">
        <v>106302</v>
      </c>
      <c r="AH699" s="55">
        <v>108628.5</v>
      </c>
      <c r="AI699" s="55">
        <v>117156</v>
      </c>
      <c r="AJ699" s="55">
        <v>87368.5</v>
      </c>
      <c r="AK699" s="55">
        <v>88534.5</v>
      </c>
      <c r="AL699" s="55">
        <v>93523.5</v>
      </c>
      <c r="AM699" s="55">
        <v>93776</v>
      </c>
      <c r="AN699" s="55">
        <v>91411</v>
      </c>
      <c r="AO699" s="55">
        <v>94077.5</v>
      </c>
      <c r="AP699" s="55">
        <v>95807.5</v>
      </c>
      <c r="AQ699" s="55">
        <v>84016.5</v>
      </c>
      <c r="AR699" s="55">
        <v>95707.5</v>
      </c>
      <c r="AS699" s="55">
        <v>103274.5</v>
      </c>
      <c r="AT699" s="55">
        <v>115206</v>
      </c>
      <c r="AU699" s="55">
        <v>106461.5</v>
      </c>
      <c r="AV699" s="55">
        <v>109635.5</v>
      </c>
      <c r="AW699" s="56">
        <v>108379.5</v>
      </c>
      <c r="AX699" s="55">
        <v>110965.68942210288</v>
      </c>
      <c r="AY699" s="55">
        <v>113722.51193258888</v>
      </c>
      <c r="AZ699" s="55">
        <v>116069.03161723982</v>
      </c>
      <c r="BA699" s="55">
        <v>118723.51159756235</v>
      </c>
      <c r="BB699" s="55">
        <v>120331.62994311401</v>
      </c>
      <c r="BC699" s="55">
        <v>122869.07934116758</v>
      </c>
      <c r="BD699" s="55">
        <v>124840.63519258052</v>
      </c>
      <c r="BE699" s="55">
        <v>127519.76905229921</v>
      </c>
      <c r="BF699" s="55">
        <v>129602.01187002659</v>
      </c>
      <c r="BG699" s="55">
        <v>132411.53897546162</v>
      </c>
      <c r="BH699" s="55">
        <v>134564.66277487483</v>
      </c>
      <c r="BI699" s="55">
        <v>137370.69109179941</v>
      </c>
      <c r="BJ699" s="55">
        <v>140026.49258322641</v>
      </c>
      <c r="BK699" s="55">
        <v>143568.49313044222</v>
      </c>
      <c r="BL699" s="55">
        <v>146449.15218667919</v>
      </c>
      <c r="BM699" s="55">
        <v>149262.33015704132</v>
      </c>
      <c r="BN699" s="55">
        <v>151790.88139748224</v>
      </c>
      <c r="BO699" s="55">
        <v>154706.77845357149</v>
      </c>
      <c r="BP699" s="55">
        <v>157514.59836059716</v>
      </c>
      <c r="BQ699" s="55">
        <v>160974.04379113135</v>
      </c>
      <c r="BR699" s="55"/>
      <c r="BS699" s="55">
        <v>16378.600000000006</v>
      </c>
      <c r="BT699" s="55">
        <v>14522.699999999997</v>
      </c>
      <c r="BU699" s="55">
        <v>16203.099999999991</v>
      </c>
      <c r="BV699" s="55">
        <v>14556</v>
      </c>
      <c r="BW699" s="55">
        <v>17705</v>
      </c>
      <c r="BX699" s="55">
        <v>18822</v>
      </c>
      <c r="BY699" s="55">
        <v>21061</v>
      </c>
      <c r="BZ699" s="55">
        <v>22018</v>
      </c>
      <c r="CA699" s="55">
        <v>30182</v>
      </c>
      <c r="CB699" s="55">
        <v>54813</v>
      </c>
      <c r="CC699" s="55">
        <v>56217.326027397241</v>
      </c>
      <c r="CD699" s="55">
        <v>56448.356164383586</v>
      </c>
      <c r="CE699" s="55">
        <v>60362.480874316971</v>
      </c>
      <c r="CF699" s="55">
        <v>59174.265753424668</v>
      </c>
      <c r="CG699" s="55">
        <v>57772</v>
      </c>
      <c r="CH699" s="55">
        <v>56671</v>
      </c>
      <c r="CI699" s="55">
        <v>66033</v>
      </c>
      <c r="CJ699" s="55">
        <v>84143</v>
      </c>
      <c r="CK699" s="55">
        <v>66913</v>
      </c>
      <c r="CL699" s="55">
        <v>55900</v>
      </c>
      <c r="CM699" s="55">
        <v>67558</v>
      </c>
      <c r="CN699" s="55">
        <v>65012</v>
      </c>
      <c r="CO699" s="55">
        <v>59890.5</v>
      </c>
      <c r="CP699" s="55">
        <v>65884</v>
      </c>
      <c r="CQ699" s="55">
        <v>97982</v>
      </c>
      <c r="CR699" s="55">
        <v>112398.5</v>
      </c>
      <c r="CS699" s="55">
        <v>87993</v>
      </c>
      <c r="CT699" s="55">
        <v>93465</v>
      </c>
      <c r="CU699" s="55">
        <v>91134.5</v>
      </c>
      <c r="CV699" s="55">
        <v>92502</v>
      </c>
      <c r="CW699" s="55">
        <v>102602</v>
      </c>
      <c r="CX699" s="55">
        <v>111094.5</v>
      </c>
      <c r="CY699" s="56">
        <v>111342.5</v>
      </c>
      <c r="CZ699" s="55">
        <v>112355.43008492328</v>
      </c>
      <c r="DA699" s="55">
        <v>117407.18042923789</v>
      </c>
      <c r="DB699" s="55">
        <v>121610.78251637938</v>
      </c>
      <c r="DC699" s="55">
        <v>126187.52216030797</v>
      </c>
      <c r="DD699" s="55">
        <v>131018.32142454712</v>
      </c>
      <c r="DE699" s="55">
        <v>135979.20855655707</v>
      </c>
      <c r="DF699" s="55">
        <v>141812.04902346688</v>
      </c>
      <c r="DG699" s="55">
        <v>147863.42745046783</v>
      </c>
      <c r="DH699" s="55">
        <v>153260.81306411372</v>
      </c>
      <c r="DI699" s="55">
        <v>159258.53797489358</v>
      </c>
    </row>
    <row r="700" spans="1:113" outlineLevel="1">
      <c r="A700" s="1" t="s">
        <v>943</v>
      </c>
      <c r="B700" s="19" t="s">
        <v>373</v>
      </c>
      <c r="C700" s="53">
        <v>218312</v>
      </c>
      <c r="D700" s="53">
        <v>218312</v>
      </c>
      <c r="E700" s="53">
        <v>220641</v>
      </c>
      <c r="F700" s="53">
        <v>231636</v>
      </c>
      <c r="G700" s="53">
        <v>241352</v>
      </c>
      <c r="H700" s="53">
        <v>251503</v>
      </c>
      <c r="I700" s="53">
        <v>277285</v>
      </c>
      <c r="J700" s="53">
        <v>295161</v>
      </c>
      <c r="K700" s="53">
        <v>308085</v>
      </c>
      <c r="L700" s="53">
        <v>323521</v>
      </c>
      <c r="M700" s="53">
        <v>339452</v>
      </c>
      <c r="N700" s="53">
        <v>363944</v>
      </c>
      <c r="O700" s="53">
        <v>401955</v>
      </c>
      <c r="P700" s="53">
        <v>435988</v>
      </c>
      <c r="Q700" s="53">
        <v>464833</v>
      </c>
      <c r="R700" s="53">
        <v>572024</v>
      </c>
      <c r="S700" s="53">
        <v>607530</v>
      </c>
      <c r="T700" s="53">
        <v>599695</v>
      </c>
      <c r="U700" s="53">
        <v>614190</v>
      </c>
      <c r="V700" s="53">
        <v>615956</v>
      </c>
      <c r="W700" s="53">
        <v>632254</v>
      </c>
      <c r="X700" s="53">
        <v>661430</v>
      </c>
      <c r="Y700" s="53">
        <v>673631</v>
      </c>
      <c r="Z700" s="53">
        <v>678930</v>
      </c>
      <c r="AA700" s="164">
        <v>690539</v>
      </c>
      <c r="AB700" s="164">
        <v>718334</v>
      </c>
      <c r="AC700" s="164">
        <v>748587</v>
      </c>
      <c r="AD700" s="164">
        <v>766069</v>
      </c>
      <c r="AE700" s="164">
        <v>818787</v>
      </c>
      <c r="AF700" s="164">
        <v>853043</v>
      </c>
      <c r="AG700" s="164">
        <v>864303</v>
      </c>
      <c r="AH700" s="164">
        <v>895992</v>
      </c>
      <c r="AI700" s="164">
        <v>924964</v>
      </c>
      <c r="AJ700" s="164">
        <v>906318</v>
      </c>
      <c r="AK700" s="164">
        <v>914583</v>
      </c>
      <c r="AL700" s="164">
        <v>910071</v>
      </c>
      <c r="AM700" s="164">
        <v>904221</v>
      </c>
      <c r="AN700" s="164">
        <v>913061</v>
      </c>
      <c r="AO700" s="164">
        <v>944888</v>
      </c>
      <c r="AP700" s="164">
        <v>957600</v>
      </c>
      <c r="AQ700" s="164">
        <v>965137</v>
      </c>
      <c r="AR700" s="164">
        <v>1048474</v>
      </c>
      <c r="AS700" s="164">
        <v>1099039</v>
      </c>
      <c r="AT700" s="164">
        <v>1155148</v>
      </c>
      <c r="AU700" s="164">
        <v>1167877</v>
      </c>
      <c r="AV700" s="164">
        <v>1190236</v>
      </c>
      <c r="AW700" s="171">
        <v>1198092</v>
      </c>
      <c r="AX700" s="55">
        <v>1225366.3683512884</v>
      </c>
      <c r="AY700" s="55">
        <v>1251622.6872703701</v>
      </c>
      <c r="AZ700" s="55">
        <v>1278351.3651036141</v>
      </c>
      <c r="BA700" s="55">
        <v>1302462.8457745211</v>
      </c>
      <c r="BB700" s="55">
        <v>1322383.3944444614</v>
      </c>
      <c r="BC700" s="55">
        <v>1344261.1663986873</v>
      </c>
      <c r="BD700" s="55">
        <v>1367987.9662301426</v>
      </c>
      <c r="BE700" s="55">
        <v>1392107.2531946092</v>
      </c>
      <c r="BF700" s="55">
        <v>1416637.6485330965</v>
      </c>
      <c r="BG700" s="55">
        <v>1441622.9010217583</v>
      </c>
      <c r="BH700" s="55">
        <v>1467046.0231940122</v>
      </c>
      <c r="BI700" s="55">
        <v>1492967.2808717033</v>
      </c>
      <c r="BJ700" s="55">
        <v>1519717.7523878815</v>
      </c>
      <c r="BK700" s="55">
        <v>1548720.797602769</v>
      </c>
      <c r="BL700" s="55">
        <v>1579442.3515576108</v>
      </c>
      <c r="BM700" s="55">
        <v>1610258.1195983347</v>
      </c>
      <c r="BN700" s="55">
        <v>1641078.5093235194</v>
      </c>
      <c r="BO700" s="55">
        <v>1672600.9323701002</v>
      </c>
      <c r="BP700" s="55">
        <v>1705156.0021217503</v>
      </c>
      <c r="BQ700" s="55">
        <v>1738338.9095485772</v>
      </c>
      <c r="BR700" s="55"/>
      <c r="BS700" s="53">
        <v>83627.5</v>
      </c>
      <c r="BT700" s="53">
        <v>83076.3</v>
      </c>
      <c r="BU700" s="53">
        <v>86604.9</v>
      </c>
      <c r="BV700" s="53">
        <v>87693</v>
      </c>
      <c r="BW700" s="53">
        <v>96264</v>
      </c>
      <c r="BX700" s="53">
        <v>107737</v>
      </c>
      <c r="BY700" s="53">
        <v>116507</v>
      </c>
      <c r="BZ700" s="53">
        <v>129176</v>
      </c>
      <c r="CA700" s="53">
        <v>152027</v>
      </c>
      <c r="CB700" s="53">
        <v>207433</v>
      </c>
      <c r="CC700" s="55">
        <v>219486.07123287668</v>
      </c>
      <c r="CD700" s="55">
        <v>236533.92876712332</v>
      </c>
      <c r="CE700" s="55">
        <v>264464.44262295088</v>
      </c>
      <c r="CF700" s="55">
        <v>301676.11232876714</v>
      </c>
      <c r="CG700" s="164">
        <v>331421</v>
      </c>
      <c r="CH700" s="164">
        <v>389527</v>
      </c>
      <c r="CI700" s="164">
        <v>450332</v>
      </c>
      <c r="CJ700" s="164">
        <v>589631</v>
      </c>
      <c r="CK700" s="164">
        <v>606883</v>
      </c>
      <c r="CL700" s="164">
        <v>624036</v>
      </c>
      <c r="CM700" s="164">
        <v>667497</v>
      </c>
      <c r="CN700" s="164">
        <v>684686</v>
      </c>
      <c r="CO700" s="164">
        <v>733337</v>
      </c>
      <c r="CP700" s="164">
        <v>792209</v>
      </c>
      <c r="CQ700" s="164">
        <v>858641</v>
      </c>
      <c r="CR700" s="164">
        <v>910358</v>
      </c>
      <c r="CS700" s="164">
        <v>910417</v>
      </c>
      <c r="CT700" s="164">
        <v>907170</v>
      </c>
      <c r="CU700" s="164">
        <v>928888</v>
      </c>
      <c r="CV700" s="164">
        <v>965137</v>
      </c>
      <c r="CW700" s="164">
        <v>1073383</v>
      </c>
      <c r="CX700" s="164">
        <v>1161489</v>
      </c>
      <c r="CY700" s="171">
        <v>1194220</v>
      </c>
      <c r="CZ700" s="55">
        <v>1238602.4304913187</v>
      </c>
      <c r="DA700" s="55">
        <v>1290506.1937157973</v>
      </c>
      <c r="DB700" s="55">
        <v>1333412.1890734411</v>
      </c>
      <c r="DC700" s="55">
        <v>1380113.5094035356</v>
      </c>
      <c r="DD700" s="55">
        <v>1429232.9538972438</v>
      </c>
      <c r="DE700" s="55">
        <v>1480113.1777493414</v>
      </c>
      <c r="DF700" s="55">
        <v>1534338.4655920989</v>
      </c>
      <c r="DG700" s="55">
        <v>1594934.4316655158</v>
      </c>
      <c r="DH700" s="55">
        <v>1656969.2650511109</v>
      </c>
      <c r="DI700" s="55">
        <v>1721883.8239478767</v>
      </c>
    </row>
    <row r="701" spans="1:113" outlineLevel="1">
      <c r="A701" s="1" t="s">
        <v>944</v>
      </c>
      <c r="B701" s="19" t="s">
        <v>374</v>
      </c>
      <c r="C701" s="55">
        <v>11326</v>
      </c>
      <c r="D701" s="55">
        <v>17924</v>
      </c>
      <c r="E701" s="55">
        <v>18090.5</v>
      </c>
      <c r="F701" s="55">
        <v>18691.5</v>
      </c>
      <c r="G701" s="55">
        <v>19191.5</v>
      </c>
      <c r="H701" s="53">
        <v>19507</v>
      </c>
      <c r="I701" s="53">
        <v>19827</v>
      </c>
      <c r="J701" s="53">
        <v>17143</v>
      </c>
      <c r="K701" s="53">
        <v>18225</v>
      </c>
      <c r="L701" s="53">
        <v>18988</v>
      </c>
      <c r="M701" s="53">
        <v>21738</v>
      </c>
      <c r="N701" s="53">
        <v>20679</v>
      </c>
      <c r="O701" s="53">
        <v>21951</v>
      </c>
      <c r="P701" s="53">
        <v>23590</v>
      </c>
      <c r="Q701" s="53">
        <v>24321</v>
      </c>
      <c r="R701" s="53">
        <v>30528</v>
      </c>
      <c r="S701" s="53">
        <v>28875</v>
      </c>
      <c r="T701" s="53">
        <v>31053</v>
      </c>
      <c r="U701" s="53">
        <v>33109</v>
      </c>
      <c r="V701" s="53">
        <v>34014</v>
      </c>
      <c r="W701" s="53">
        <v>35203</v>
      </c>
      <c r="X701" s="53">
        <v>36613</v>
      </c>
      <c r="Y701" s="53">
        <v>38961</v>
      </c>
      <c r="Z701" s="53">
        <v>40989</v>
      </c>
      <c r="AA701" s="164">
        <v>42969</v>
      </c>
      <c r="AB701" s="164">
        <v>44811</v>
      </c>
      <c r="AC701" s="164">
        <v>46717</v>
      </c>
      <c r="AD701" s="164">
        <v>48704</v>
      </c>
      <c r="AE701" s="164">
        <v>50514</v>
      </c>
      <c r="AF701" s="164">
        <v>54738</v>
      </c>
      <c r="AG701" s="164">
        <v>59092</v>
      </c>
      <c r="AH701" s="164">
        <v>60588</v>
      </c>
      <c r="AI701" s="164">
        <v>62161</v>
      </c>
      <c r="AJ701" s="164">
        <v>64440</v>
      </c>
      <c r="AK701" s="164">
        <v>66554</v>
      </c>
      <c r="AL701" s="164">
        <v>67316</v>
      </c>
      <c r="AM701" s="164">
        <v>68895</v>
      </c>
      <c r="AN701" s="164">
        <v>70318</v>
      </c>
      <c r="AO701" s="164">
        <v>71555</v>
      </c>
      <c r="AP701" s="164">
        <v>73503</v>
      </c>
      <c r="AQ701" s="164">
        <v>76819</v>
      </c>
      <c r="AR701" s="164">
        <v>76675</v>
      </c>
      <c r="AS701" s="164">
        <v>73750</v>
      </c>
      <c r="AT701" s="164">
        <v>72503</v>
      </c>
      <c r="AU701" s="164">
        <v>71977</v>
      </c>
      <c r="AV701" s="164">
        <v>72236</v>
      </c>
      <c r="AW701" s="171">
        <v>72963</v>
      </c>
      <c r="AX701" s="55">
        <v>73324.944700444685</v>
      </c>
      <c r="AY701" s="55">
        <v>73911.47974107349</v>
      </c>
      <c r="AZ701" s="55">
        <v>74519.751850719069</v>
      </c>
      <c r="BA701" s="55">
        <v>75274.314762983617</v>
      </c>
      <c r="BB701" s="55">
        <v>76034.763644098217</v>
      </c>
      <c r="BC701" s="55">
        <v>76898.512813553665</v>
      </c>
      <c r="BD701" s="55">
        <v>77886.52707789086</v>
      </c>
      <c r="BE701" s="55">
        <v>78955.033431893113</v>
      </c>
      <c r="BF701" s="55">
        <v>80094.202158873784</v>
      </c>
      <c r="BG701" s="55">
        <v>81269.254642279033</v>
      </c>
      <c r="BH701" s="55">
        <v>82506.330327897973</v>
      </c>
      <c r="BI701" s="55">
        <v>83754.500457349379</v>
      </c>
      <c r="BJ701" s="55">
        <v>84692.2121909126</v>
      </c>
      <c r="BK701" s="55">
        <v>85174.291598422395</v>
      </c>
      <c r="BL701" s="55">
        <v>85773.725789098025</v>
      </c>
      <c r="BM701" s="55">
        <v>86886.245835997019</v>
      </c>
      <c r="BN701" s="55">
        <v>88613.340468745228</v>
      </c>
      <c r="BO701" s="55">
        <v>90269.729675757597</v>
      </c>
      <c r="BP701" s="55">
        <v>91537.171693518001</v>
      </c>
      <c r="BQ701" s="55">
        <v>92833.091959193116</v>
      </c>
      <c r="BR701" s="55"/>
      <c r="BS701" s="185">
        <v>5385.5499999999938</v>
      </c>
      <c r="BT701" s="55">
        <v>5729.0999999999967</v>
      </c>
      <c r="BU701" s="55">
        <v>6150.8500000000085</v>
      </c>
      <c r="BV701" s="55">
        <v>6118.7</v>
      </c>
      <c r="BW701" s="55">
        <v>6689.15</v>
      </c>
      <c r="BX701" s="55">
        <v>6443.5</v>
      </c>
      <c r="BY701" s="55">
        <v>6870.5</v>
      </c>
      <c r="BZ701" s="55">
        <v>6803</v>
      </c>
      <c r="CA701" s="55">
        <v>7089</v>
      </c>
      <c r="CB701" s="55">
        <v>16644.5</v>
      </c>
      <c r="CC701" s="55">
        <v>18007.93424657534</v>
      </c>
      <c r="CD701" s="55">
        <v>18943.554794520551</v>
      </c>
      <c r="CE701" s="55">
        <v>19667.874316939891</v>
      </c>
      <c r="CF701" s="55">
        <v>17688.446575342463</v>
      </c>
      <c r="CG701" s="164">
        <v>19636</v>
      </c>
      <c r="CH701" s="164">
        <v>21625</v>
      </c>
      <c r="CI701" s="164">
        <v>24204</v>
      </c>
      <c r="CJ701" s="164">
        <v>28856</v>
      </c>
      <c r="CK701" s="164">
        <v>32351</v>
      </c>
      <c r="CL701" s="164">
        <v>34903</v>
      </c>
      <c r="CM701" s="164">
        <v>38088</v>
      </c>
      <c r="CN701" s="164">
        <v>42030</v>
      </c>
      <c r="CO701" s="164">
        <v>45831</v>
      </c>
      <c r="CP701" s="164">
        <v>49633</v>
      </c>
      <c r="CQ701" s="164">
        <v>56497</v>
      </c>
      <c r="CR701" s="164">
        <v>61482</v>
      </c>
      <c r="CS701" s="164">
        <v>65319</v>
      </c>
      <c r="CT701" s="164">
        <v>67989</v>
      </c>
      <c r="CU701" s="164">
        <v>70852</v>
      </c>
      <c r="CV701" s="164">
        <v>75192</v>
      </c>
      <c r="CW701" s="164">
        <v>75391</v>
      </c>
      <c r="CX701" s="164">
        <v>72208</v>
      </c>
      <c r="CY701" s="171">
        <v>72517</v>
      </c>
      <c r="CZ701" s="55">
        <v>73620.622638734261</v>
      </c>
      <c r="DA701" s="55">
        <v>74900.134250326402</v>
      </c>
      <c r="DB701" s="55">
        <v>76470.187882946993</v>
      </c>
      <c r="DC701" s="55">
        <v>78423.699671159746</v>
      </c>
      <c r="DD701" s="55">
        <v>80686.557383384919</v>
      </c>
      <c r="DE701" s="55">
        <v>83135.544858909081</v>
      </c>
      <c r="DF701" s="55">
        <v>84935.233042917534</v>
      </c>
      <c r="DG701" s="55">
        <v>86333.025484806829</v>
      </c>
      <c r="DH701" s="55">
        <v>89448.342151184348</v>
      </c>
      <c r="DI701" s="55">
        <v>92190.457526077502</v>
      </c>
    </row>
    <row r="702" spans="1:113" outlineLevel="1">
      <c r="A702" s="1" t="s">
        <v>945</v>
      </c>
      <c r="B702" s="19" t="s">
        <v>303</v>
      </c>
      <c r="C702" s="55"/>
      <c r="D702" s="55">
        <v>12289</v>
      </c>
      <c r="E702" s="55">
        <v>12618</v>
      </c>
      <c r="F702" s="55">
        <v>13415.5</v>
      </c>
      <c r="G702" s="55">
        <v>14096.5</v>
      </c>
      <c r="H702" s="55">
        <v>14559</v>
      </c>
      <c r="I702" s="55">
        <v>15041</v>
      </c>
      <c r="J702" s="55">
        <v>11053</v>
      </c>
      <c r="K702" s="55">
        <v>10750.5</v>
      </c>
      <c r="L702" s="55">
        <v>11475</v>
      </c>
      <c r="M702" s="55">
        <v>14172</v>
      </c>
      <c r="N702" s="55">
        <v>13099.5</v>
      </c>
      <c r="O702" s="55">
        <v>14392.5</v>
      </c>
      <c r="P702" s="55">
        <v>15872.5</v>
      </c>
      <c r="Q702" s="55">
        <v>16420</v>
      </c>
      <c r="R702" s="55">
        <v>22618</v>
      </c>
      <c r="S702" s="55">
        <v>20631.5</v>
      </c>
      <c r="T702" s="55">
        <v>22505.5</v>
      </c>
      <c r="U702" s="55">
        <v>24612.5</v>
      </c>
      <c r="V702" s="55">
        <v>25588</v>
      </c>
      <c r="W702" s="55">
        <v>26859</v>
      </c>
      <c r="X702" s="55">
        <v>28187</v>
      </c>
      <c r="Y702" s="55">
        <v>30397.5</v>
      </c>
      <c r="Z702" s="55">
        <v>32431</v>
      </c>
      <c r="AA702" s="55">
        <v>34451.5</v>
      </c>
      <c r="AB702" s="55">
        <v>36565</v>
      </c>
      <c r="AC702" s="55">
        <v>38752</v>
      </c>
      <c r="AD702" s="55">
        <v>40784</v>
      </c>
      <c r="AE702" s="55">
        <v>42622.5</v>
      </c>
      <c r="AF702" s="55">
        <v>46880</v>
      </c>
      <c r="AG702" s="55">
        <v>51096.5</v>
      </c>
      <c r="AH702" s="55">
        <v>52458.5</v>
      </c>
      <c r="AI702" s="55">
        <v>54064.5</v>
      </c>
      <c r="AJ702" s="55">
        <v>56773</v>
      </c>
      <c r="AK702" s="55">
        <v>59296.5</v>
      </c>
      <c r="AL702" s="55">
        <v>60491</v>
      </c>
      <c r="AM702" s="55">
        <v>62579</v>
      </c>
      <c r="AN702" s="55">
        <v>64036</v>
      </c>
      <c r="AO702" s="55">
        <v>65602</v>
      </c>
      <c r="AP702" s="55">
        <v>67932.5</v>
      </c>
      <c r="AQ702" s="55">
        <v>71288.5</v>
      </c>
      <c r="AR702" s="55">
        <v>71173.5</v>
      </c>
      <c r="AS702" s="55">
        <v>68261</v>
      </c>
      <c r="AT702" s="55">
        <v>67011.5</v>
      </c>
      <c r="AU702" s="55">
        <v>66490</v>
      </c>
      <c r="AV702" s="55">
        <v>66758</v>
      </c>
      <c r="AW702" s="56">
        <v>67490</v>
      </c>
      <c r="AX702" s="55">
        <v>67853.944700444685</v>
      </c>
      <c r="AY702" s="55">
        <v>68440.47974107349</v>
      </c>
      <c r="AZ702" s="55">
        <v>69048.751850719069</v>
      </c>
      <c r="BA702" s="55">
        <v>69803.314762983617</v>
      </c>
      <c r="BB702" s="55">
        <v>70563.763644098217</v>
      </c>
      <c r="BC702" s="55">
        <v>71427.512813553665</v>
      </c>
      <c r="BD702" s="55">
        <v>72415.52707789086</v>
      </c>
      <c r="BE702" s="55">
        <v>73484.033431893113</v>
      </c>
      <c r="BF702" s="55">
        <v>74623.202158873784</v>
      </c>
      <c r="BG702" s="55">
        <v>75798.254642279033</v>
      </c>
      <c r="BH702" s="55">
        <v>77035.330327897973</v>
      </c>
      <c r="BI702" s="55">
        <v>78283.500457349379</v>
      </c>
      <c r="BJ702" s="55">
        <v>79221.2121909126</v>
      </c>
      <c r="BK702" s="55">
        <v>79703.291598422395</v>
      </c>
      <c r="BL702" s="55">
        <v>80302.725789098025</v>
      </c>
      <c r="BM702" s="55">
        <v>81415.245835997019</v>
      </c>
      <c r="BN702" s="55">
        <v>83142.340468745228</v>
      </c>
      <c r="BO702" s="55">
        <v>84798.729675757597</v>
      </c>
      <c r="BP702" s="55">
        <v>86066.171693518001</v>
      </c>
      <c r="BQ702" s="55">
        <v>87362.091959193116</v>
      </c>
      <c r="BR702" s="55"/>
      <c r="BS702" s="55">
        <v>5385.5499999999938</v>
      </c>
      <c r="BT702" s="55">
        <v>5729.0999999999967</v>
      </c>
      <c r="BU702" s="55">
        <v>6150.8500000000085</v>
      </c>
      <c r="BV702" s="55">
        <v>6118.7</v>
      </c>
      <c r="BW702" s="55">
        <v>6689.15</v>
      </c>
      <c r="BX702" s="55">
        <v>6443.5</v>
      </c>
      <c r="BY702" s="55">
        <v>6870.5</v>
      </c>
      <c r="BZ702" s="55">
        <v>6557.5</v>
      </c>
      <c r="CA702" s="55">
        <v>3891</v>
      </c>
      <c r="CB702" s="55">
        <v>10834</v>
      </c>
      <c r="CC702" s="55">
        <v>12454.43424657534</v>
      </c>
      <c r="CD702" s="55">
        <v>13733.554794520551</v>
      </c>
      <c r="CE702" s="55">
        <v>14800.874316939891</v>
      </c>
      <c r="CF702" s="55">
        <v>11598.946575342463</v>
      </c>
      <c r="CG702" s="55">
        <v>12109</v>
      </c>
      <c r="CH702" s="55">
        <v>14066</v>
      </c>
      <c r="CI702" s="55">
        <v>16482.5</v>
      </c>
      <c r="CJ702" s="55">
        <v>20617.5</v>
      </c>
      <c r="CK702" s="55">
        <v>23830</v>
      </c>
      <c r="CL702" s="55">
        <v>26515</v>
      </c>
      <c r="CM702" s="55">
        <v>29644.5</v>
      </c>
      <c r="CN702" s="55">
        <v>33489.5</v>
      </c>
      <c r="CO702" s="55">
        <v>37612</v>
      </c>
      <c r="CP702" s="55">
        <v>41723.5</v>
      </c>
      <c r="CQ702" s="55">
        <v>48478.5</v>
      </c>
      <c r="CR702" s="55">
        <v>53359</v>
      </c>
      <c r="CS702" s="55">
        <v>57638.5</v>
      </c>
      <c r="CT702" s="55">
        <v>61736</v>
      </c>
      <c r="CU702" s="55">
        <v>65257</v>
      </c>
      <c r="CV702" s="55">
        <v>69677</v>
      </c>
      <c r="CW702" s="55">
        <v>69901</v>
      </c>
      <c r="CX702" s="55">
        <v>66727</v>
      </c>
      <c r="CY702" s="56">
        <v>67046</v>
      </c>
      <c r="CZ702" s="55">
        <v>68149.622638734261</v>
      </c>
      <c r="DA702" s="55">
        <v>69429.134250326402</v>
      </c>
      <c r="DB702" s="55">
        <v>70999.187882946993</v>
      </c>
      <c r="DC702" s="55">
        <v>72952.699671159746</v>
      </c>
      <c r="DD702" s="55">
        <v>75215.557383384919</v>
      </c>
      <c r="DE702" s="55">
        <v>77664.544858909081</v>
      </c>
      <c r="DF702" s="55">
        <v>79464.233042917534</v>
      </c>
      <c r="DG702" s="55">
        <v>80862.025484806829</v>
      </c>
      <c r="DH702" s="55">
        <v>83977.342151184348</v>
      </c>
      <c r="DI702" s="55">
        <v>86719.457526077502</v>
      </c>
    </row>
    <row r="703" spans="1:113" outlineLevel="1">
      <c r="A703" s="1" t="s">
        <v>946</v>
      </c>
      <c r="B703" s="19" t="s">
        <v>720</v>
      </c>
      <c r="C703" s="55">
        <v>138383</v>
      </c>
      <c r="D703" s="55">
        <v>138327</v>
      </c>
      <c r="E703" s="55">
        <v>139660</v>
      </c>
      <c r="F703" s="55">
        <v>142410</v>
      </c>
      <c r="G703" s="55">
        <v>145289.5</v>
      </c>
      <c r="H703" s="55">
        <v>152139.5</v>
      </c>
      <c r="I703" s="55">
        <v>163396</v>
      </c>
      <c r="J703" s="55">
        <v>174997.5</v>
      </c>
      <c r="K703" s="55">
        <v>185116.5</v>
      </c>
      <c r="L703" s="55">
        <v>196113</v>
      </c>
      <c r="M703" s="55">
        <v>209552.5</v>
      </c>
      <c r="N703" s="55">
        <v>225503.5</v>
      </c>
      <c r="O703" s="55">
        <v>239958</v>
      </c>
      <c r="P703" s="55">
        <v>221787.5</v>
      </c>
      <c r="Q703" s="55">
        <v>201864.5</v>
      </c>
      <c r="R703" s="55">
        <v>222395</v>
      </c>
      <c r="S703" s="55">
        <v>264062.5</v>
      </c>
      <c r="T703" s="55">
        <v>293142.5</v>
      </c>
      <c r="U703" s="55">
        <v>294135</v>
      </c>
      <c r="V703" s="55">
        <v>288192</v>
      </c>
      <c r="W703" s="55">
        <v>283637</v>
      </c>
      <c r="X703" s="55">
        <v>289708</v>
      </c>
      <c r="Y703" s="55">
        <v>300246</v>
      </c>
      <c r="Z703" s="55">
        <v>302199</v>
      </c>
      <c r="AA703" s="55">
        <v>315384.5</v>
      </c>
      <c r="AB703" s="55">
        <v>331677.5</v>
      </c>
      <c r="AC703" s="55">
        <v>335956</v>
      </c>
      <c r="AD703" s="55">
        <v>345381.5</v>
      </c>
      <c r="AE703" s="55">
        <v>360884.5</v>
      </c>
      <c r="AF703" s="55">
        <v>380691.5</v>
      </c>
      <c r="AG703" s="55">
        <v>393664.5</v>
      </c>
      <c r="AH703" s="55">
        <v>415574</v>
      </c>
      <c r="AI703" s="55">
        <v>436772</v>
      </c>
      <c r="AJ703" s="55">
        <v>438949.5</v>
      </c>
      <c r="AK703" s="55">
        <v>449724</v>
      </c>
      <c r="AL703" s="55">
        <v>451878</v>
      </c>
      <c r="AM703" s="55">
        <v>448953</v>
      </c>
      <c r="AN703" s="55">
        <v>450958</v>
      </c>
      <c r="AO703" s="55">
        <v>452051</v>
      </c>
      <c r="AP703" s="55">
        <v>454282</v>
      </c>
      <c r="AQ703" s="55">
        <v>452148</v>
      </c>
      <c r="AR703" s="55">
        <v>461303.5</v>
      </c>
      <c r="AS703" s="55">
        <v>484909.5</v>
      </c>
      <c r="AT703" s="55">
        <v>501136</v>
      </c>
      <c r="AU703" s="55">
        <v>486186</v>
      </c>
      <c r="AV703" s="55">
        <v>465818</v>
      </c>
      <c r="AW703" s="56">
        <v>465597.5</v>
      </c>
      <c r="AX703" s="55">
        <v>471922.01832880476</v>
      </c>
      <c r="AY703" s="55">
        <v>480088.08506731165</v>
      </c>
      <c r="AZ703" s="55">
        <v>488659.38120748918</v>
      </c>
      <c r="BA703" s="55">
        <v>497255.32491073798</v>
      </c>
      <c r="BB703" s="55">
        <v>505017.68113583984</v>
      </c>
      <c r="BC703" s="55">
        <v>513556.2231517242</v>
      </c>
      <c r="BD703" s="55">
        <v>522839.78917062166</v>
      </c>
      <c r="BE703" s="55">
        <v>532308.75457735639</v>
      </c>
      <c r="BF703" s="55">
        <v>541966.74622292654</v>
      </c>
      <c r="BG703" s="55">
        <v>551817.46776786447</v>
      </c>
      <c r="BH703" s="55">
        <v>561864.70114968624</v>
      </c>
      <c r="BI703" s="55">
        <v>572112.30808704207</v>
      </c>
      <c r="BJ703" s="55">
        <v>590486.22457926639</v>
      </c>
      <c r="BK703" s="55">
        <v>617745.84395275987</v>
      </c>
      <c r="BL703" s="55">
        <v>629839.13566400483</v>
      </c>
      <c r="BM703" s="55">
        <v>625716.2270804994</v>
      </c>
      <c r="BN703" s="55">
        <v>629754.90772059537</v>
      </c>
      <c r="BO703" s="55">
        <v>642269.48888666951</v>
      </c>
      <c r="BP703" s="55">
        <v>655036.61103743897</v>
      </c>
      <c r="BQ703" s="55">
        <v>668061.43169881892</v>
      </c>
      <c r="BR703" s="55"/>
      <c r="BS703" s="55">
        <v>72836.899999999994</v>
      </c>
      <c r="BT703" s="55">
        <v>70292.350000000006</v>
      </c>
      <c r="BU703" s="55">
        <v>67342.899999999994</v>
      </c>
      <c r="BV703" s="55">
        <v>68660.5</v>
      </c>
      <c r="BW703" s="55">
        <v>73814.5</v>
      </c>
      <c r="BX703" s="55">
        <v>81857</v>
      </c>
      <c r="BY703" s="55">
        <v>90449.5</v>
      </c>
      <c r="BZ703" s="55">
        <v>96993.5</v>
      </c>
      <c r="CA703" s="55">
        <v>114020</v>
      </c>
      <c r="CB703" s="55">
        <v>133433.5</v>
      </c>
      <c r="CC703" s="55">
        <v>138998.97808219181</v>
      </c>
      <c r="CD703" s="55">
        <v>143861.58356164384</v>
      </c>
      <c r="CE703" s="55">
        <v>157798.5054644809</v>
      </c>
      <c r="CF703" s="55">
        <v>180098.58493150686</v>
      </c>
      <c r="CG703" s="55">
        <v>202887.98082191782</v>
      </c>
      <c r="CH703" s="55">
        <v>232790.15205479451</v>
      </c>
      <c r="CI703" s="55">
        <v>211771.56557377049</v>
      </c>
      <c r="CJ703" s="55">
        <v>243399.98630136988</v>
      </c>
      <c r="CK703" s="55">
        <v>293642.82876712334</v>
      </c>
      <c r="CL703" s="55">
        <v>285895.78082191781</v>
      </c>
      <c r="CM703" s="55">
        <v>295005.79234972678</v>
      </c>
      <c r="CN703" s="55">
        <v>308845.93698630133</v>
      </c>
      <c r="CO703" s="55">
        <v>333834.33287671232</v>
      </c>
      <c r="CP703" s="55">
        <v>353196.71095890412</v>
      </c>
      <c r="CQ703" s="55">
        <v>387213.4453551913</v>
      </c>
      <c r="CR703" s="55">
        <v>426260.11506849318</v>
      </c>
      <c r="CS703" s="55">
        <v>437851.80136986304</v>
      </c>
      <c r="CT703" s="55">
        <v>450403.47945205483</v>
      </c>
      <c r="CU703" s="55">
        <v>451507.4863387979</v>
      </c>
      <c r="CV703" s="55">
        <v>453206.2301369863</v>
      </c>
      <c r="CW703" s="55">
        <v>473203.51095890411</v>
      </c>
      <c r="CX703" s="55">
        <v>493599.56164383556</v>
      </c>
      <c r="CY703" s="56">
        <v>465707.14754098363</v>
      </c>
      <c r="CZ703" s="55">
        <v>476038.61087643559</v>
      </c>
      <c r="DA703" s="55">
        <v>492992.67885515431</v>
      </c>
      <c r="DB703" s="55">
        <v>509322.04204247746</v>
      </c>
      <c r="DC703" s="55">
        <v>527600.14336417126</v>
      </c>
      <c r="DD703" s="55">
        <v>546932.58941270353</v>
      </c>
      <c r="DE703" s="55">
        <v>567030.61807153129</v>
      </c>
      <c r="DF703" s="55">
        <v>604228.06009905494</v>
      </c>
      <c r="DG703" s="55">
        <v>627766.41659470159</v>
      </c>
      <c r="DH703" s="55">
        <v>636063.62808924634</v>
      </c>
      <c r="DI703" s="55">
        <v>661602.54802838119</v>
      </c>
    </row>
    <row r="704" spans="1:113" outlineLevel="1">
      <c r="A704" s="1" t="s">
        <v>2230</v>
      </c>
      <c r="B704" s="19" t="s">
        <v>2231</v>
      </c>
      <c r="C704" s="164">
        <v>5879.5</v>
      </c>
      <c r="D704" s="164">
        <v>5740.5</v>
      </c>
      <c r="E704" s="164">
        <v>5669.5</v>
      </c>
      <c r="F704" s="164">
        <v>5134</v>
      </c>
      <c r="G704" s="164">
        <v>5330</v>
      </c>
      <c r="H704" s="164">
        <v>5533</v>
      </c>
      <c r="I704" s="164">
        <v>6192.5</v>
      </c>
      <c r="J704" s="164">
        <v>6995.5</v>
      </c>
      <c r="K704" s="164">
        <v>7174.5</v>
      </c>
      <c r="L704" s="164">
        <v>8392.5</v>
      </c>
      <c r="M704" s="164">
        <v>7285.5</v>
      </c>
      <c r="N704" s="164">
        <v>7818.5</v>
      </c>
      <c r="O704" s="164">
        <v>9269.5</v>
      </c>
      <c r="P704" s="164">
        <v>8928.5</v>
      </c>
      <c r="Q704" s="164">
        <v>8292.5</v>
      </c>
      <c r="R704" s="164">
        <v>5560.5</v>
      </c>
      <c r="S704" s="164">
        <v>8971.5</v>
      </c>
      <c r="T704" s="164">
        <v>7672</v>
      </c>
      <c r="U704" s="164">
        <v>7410</v>
      </c>
      <c r="V704" s="164">
        <v>8262.0883977901249</v>
      </c>
      <c r="W704" s="164">
        <v>9277</v>
      </c>
      <c r="X704" s="164">
        <v>9383.5</v>
      </c>
      <c r="Y704" s="164">
        <v>9380.5</v>
      </c>
      <c r="Z704" s="164">
        <v>9860</v>
      </c>
      <c r="AA704" s="164">
        <v>10695</v>
      </c>
      <c r="AB704" s="164">
        <v>11422.5</v>
      </c>
      <c r="AC704" s="164">
        <v>12184</v>
      </c>
      <c r="AD704" s="164">
        <v>13683.5</v>
      </c>
      <c r="AE704" s="164">
        <v>15064</v>
      </c>
      <c r="AF704" s="164">
        <v>16086</v>
      </c>
      <c r="AG704" s="164">
        <v>27755</v>
      </c>
      <c r="AH704" s="164">
        <v>40127.5</v>
      </c>
      <c r="AI704" s="164">
        <v>43682</v>
      </c>
      <c r="AJ704" s="164">
        <v>46957.5</v>
      </c>
      <c r="AK704" s="164">
        <v>49394.5</v>
      </c>
      <c r="AL704" s="164">
        <v>51893.5</v>
      </c>
      <c r="AM704" s="164">
        <v>53926.5</v>
      </c>
      <c r="AN704" s="164">
        <v>58625</v>
      </c>
      <c r="AO704" s="164">
        <v>69773</v>
      </c>
      <c r="AP704" s="164">
        <v>85405.5</v>
      </c>
      <c r="AQ704" s="164">
        <v>104153.5</v>
      </c>
      <c r="AR704" s="164">
        <v>125118.5</v>
      </c>
      <c r="AS704" s="164">
        <v>139788.5</v>
      </c>
      <c r="AT704" s="164">
        <v>137889</v>
      </c>
      <c r="AU704" s="164">
        <v>125861.5</v>
      </c>
      <c r="AV704" s="164">
        <v>115894.5</v>
      </c>
      <c r="AW704" s="171">
        <v>111411.5</v>
      </c>
      <c r="AX704" s="55">
        <v>114070.04006339404</v>
      </c>
      <c r="AY704" s="55">
        <v>116903.98680726177</v>
      </c>
      <c r="AZ704" s="55">
        <v>119316.15218767492</v>
      </c>
      <c r="BA704" s="55">
        <v>122044.89329026076</v>
      </c>
      <c r="BB704" s="55">
        <v>123697.99998530392</v>
      </c>
      <c r="BC704" s="55">
        <v>126306.43648493018</v>
      </c>
      <c r="BD704" s="55">
        <v>128333.14813002628</v>
      </c>
      <c r="BE704" s="55">
        <v>131087.2328232759</v>
      </c>
      <c r="BF704" s="55">
        <v>133227.72798783408</v>
      </c>
      <c r="BG704" s="55">
        <v>136115.85377829423</v>
      </c>
      <c r="BH704" s="55">
        <v>138329.21287460235</v>
      </c>
      <c r="BI704" s="55">
        <v>141213.74199524827</v>
      </c>
      <c r="BJ704" s="55">
        <v>143943.84157922975</v>
      </c>
      <c r="BK704" s="55">
        <v>147584.93232024752</v>
      </c>
      <c r="BL704" s="55">
        <v>150546.18003262804</v>
      </c>
      <c r="BM704" s="55">
        <v>153438.05882377396</v>
      </c>
      <c r="BN704" s="55">
        <v>156037.34823297389</v>
      </c>
      <c r="BO704" s="55">
        <v>159034.81975539727</v>
      </c>
      <c r="BP704" s="55">
        <v>161921.19058725744</v>
      </c>
      <c r="BQ704" s="55">
        <v>165477.41666861009</v>
      </c>
      <c r="BR704" s="55"/>
      <c r="BS704" s="55"/>
      <c r="BT704" s="55"/>
      <c r="BU704" s="55"/>
      <c r="BV704" s="55"/>
      <c r="BW704" s="55"/>
      <c r="BX704" s="55"/>
      <c r="BY704" s="55"/>
      <c r="BZ704" s="55"/>
      <c r="CA704" s="55"/>
      <c r="CB704" s="55"/>
      <c r="CC704" s="55">
        <v>5704.7082191780819</v>
      </c>
      <c r="CD704" s="55">
        <v>5232.8054794520549</v>
      </c>
      <c r="CE704" s="55">
        <v>5864.5519125683068</v>
      </c>
      <c r="CF704" s="55">
        <v>7085.7356164383564</v>
      </c>
      <c r="CG704" s="55">
        <v>7834.4506849315067</v>
      </c>
      <c r="CH704" s="55">
        <v>8549.9630136986307</v>
      </c>
      <c r="CI704" s="55">
        <v>8608.7622950819677</v>
      </c>
      <c r="CJ704" s="55">
        <v>7280.0178082191778</v>
      </c>
      <c r="CK704" s="55">
        <v>7539.9232876712322</v>
      </c>
      <c r="CL704" s="55">
        <v>8773.7150684931858</v>
      </c>
      <c r="CM704" s="55">
        <v>9381.9918032786882</v>
      </c>
      <c r="CN704" s="55">
        <v>10280.931506849316</v>
      </c>
      <c r="CO704" s="55">
        <v>11806.379452054794</v>
      </c>
      <c r="CP704" s="55">
        <v>14379.423287671234</v>
      </c>
      <c r="CQ704" s="55">
        <v>21952.382513661203</v>
      </c>
      <c r="CR704" s="55">
        <v>41919.357534246577</v>
      </c>
      <c r="CS704" s="55">
        <v>45306.289041095893</v>
      </c>
      <c r="CT704" s="55">
        <v>52918.35479452055</v>
      </c>
      <c r="CU704" s="55">
        <v>64229.459016393448</v>
      </c>
      <c r="CV704" s="55">
        <v>94856.546575342465</v>
      </c>
      <c r="CW704" s="55">
        <v>132513.78767123286</v>
      </c>
      <c r="CX704" s="55">
        <v>131825.82191780824</v>
      </c>
      <c r="CY704" s="56">
        <v>113640.75136612021</v>
      </c>
      <c r="CZ704" s="55">
        <v>115498.65979180955</v>
      </c>
      <c r="DA704" s="55">
        <v>120691.73674349902</v>
      </c>
      <c r="DB704" s="55">
        <v>125012.93783717031</v>
      </c>
      <c r="DC704" s="55">
        <v>129717.71529821737</v>
      </c>
      <c r="DD704" s="55">
        <v>134683.65989316194</v>
      </c>
      <c r="DE704" s="55">
        <v>139783.33166418824</v>
      </c>
      <c r="DF704" s="55">
        <v>145779.35033634555</v>
      </c>
      <c r="DG704" s="55">
        <v>152000.02073637355</v>
      </c>
      <c r="DH704" s="55">
        <v>157548.40237030515</v>
      </c>
      <c r="DI704" s="55">
        <v>163713.91825566534</v>
      </c>
    </row>
    <row r="705" spans="1:113" outlineLevel="1">
      <c r="A705" s="1" t="s">
        <v>2232</v>
      </c>
      <c r="B705" s="19" t="s">
        <v>2233</v>
      </c>
      <c r="C705" s="55"/>
      <c r="D705" s="55"/>
      <c r="E705" s="55"/>
      <c r="F705" s="55"/>
      <c r="G705" s="55"/>
      <c r="H705" s="55"/>
      <c r="I705" s="55"/>
      <c r="J705" s="55"/>
      <c r="K705" s="55"/>
      <c r="L705" s="55"/>
      <c r="M705" s="55"/>
      <c r="N705" s="55"/>
      <c r="O705" s="55"/>
      <c r="P705" s="55"/>
      <c r="Q705" s="55"/>
      <c r="R705" s="55"/>
      <c r="S705" s="55"/>
      <c r="T705" s="55"/>
      <c r="U705" s="55"/>
      <c r="V705" s="55"/>
      <c r="W705" s="55"/>
      <c r="X705" s="55"/>
      <c r="Y705" s="55"/>
      <c r="Z705" s="55"/>
      <c r="AA705" s="55">
        <v>0</v>
      </c>
      <c r="AB705" s="55">
        <v>0</v>
      </c>
      <c r="AC705" s="55">
        <v>0</v>
      </c>
      <c r="AD705" s="55">
        <v>0</v>
      </c>
      <c r="AE705" s="55">
        <v>0</v>
      </c>
      <c r="AF705" s="55">
        <v>0</v>
      </c>
      <c r="AG705" s="55">
        <v>0</v>
      </c>
      <c r="AH705" s="55">
        <v>0</v>
      </c>
      <c r="AI705" s="55">
        <v>0</v>
      </c>
      <c r="AJ705" s="55">
        <v>0</v>
      </c>
      <c r="AK705" s="55">
        <v>0</v>
      </c>
      <c r="AL705" s="55">
        <v>0</v>
      </c>
      <c r="AM705" s="55">
        <v>0</v>
      </c>
      <c r="AN705" s="55">
        <v>0</v>
      </c>
      <c r="AO705" s="55">
        <v>0</v>
      </c>
      <c r="AP705" s="55">
        <v>0</v>
      </c>
      <c r="AQ705" s="55">
        <v>0</v>
      </c>
      <c r="AR705" s="55">
        <v>0</v>
      </c>
      <c r="AS705" s="55">
        <v>0</v>
      </c>
      <c r="AT705" s="55">
        <v>0</v>
      </c>
      <c r="AU705" s="55">
        <v>0</v>
      </c>
      <c r="AV705" s="55">
        <v>0</v>
      </c>
      <c r="AW705" s="56">
        <v>0</v>
      </c>
      <c r="AX705" s="55">
        <v>0</v>
      </c>
      <c r="AY705" s="55">
        <v>0</v>
      </c>
      <c r="AZ705" s="55">
        <v>0</v>
      </c>
      <c r="BA705" s="55">
        <v>0</v>
      </c>
      <c r="BB705" s="55">
        <v>0</v>
      </c>
      <c r="BC705" s="55">
        <v>0</v>
      </c>
      <c r="BD705" s="55">
        <v>0</v>
      </c>
      <c r="BE705" s="55">
        <v>0</v>
      </c>
      <c r="BF705" s="55">
        <v>0</v>
      </c>
      <c r="BG705" s="55">
        <v>0</v>
      </c>
      <c r="BH705" s="55">
        <v>0</v>
      </c>
      <c r="BI705" s="55">
        <v>0</v>
      </c>
      <c r="BJ705" s="55">
        <v>0</v>
      </c>
      <c r="BK705" s="55">
        <v>0</v>
      </c>
      <c r="BL705" s="55">
        <v>0</v>
      </c>
      <c r="BM705" s="55">
        <v>0</v>
      </c>
      <c r="BN705" s="55">
        <v>0</v>
      </c>
      <c r="BO705" s="55">
        <v>0</v>
      </c>
      <c r="BP705" s="55">
        <v>0</v>
      </c>
      <c r="BQ705" s="55">
        <v>0</v>
      </c>
      <c r="BR705" s="55"/>
      <c r="BS705" s="55"/>
      <c r="BT705" s="55"/>
      <c r="BU705" s="55"/>
      <c r="BV705" s="55"/>
      <c r="BW705" s="55"/>
      <c r="BX705" s="55"/>
      <c r="BY705" s="55"/>
      <c r="BZ705" s="55"/>
      <c r="CA705" s="55"/>
      <c r="CB705" s="55"/>
      <c r="CC705" s="55"/>
      <c r="CD705" s="55"/>
      <c r="CE705" s="55"/>
      <c r="CF705" s="55"/>
      <c r="CG705" s="55">
        <v>0</v>
      </c>
      <c r="CH705" s="55">
        <v>0</v>
      </c>
      <c r="CI705" s="55">
        <v>0</v>
      </c>
      <c r="CJ705" s="55">
        <v>0</v>
      </c>
      <c r="CK705" s="55">
        <v>0</v>
      </c>
      <c r="CL705" s="55">
        <v>0</v>
      </c>
      <c r="CM705" s="55">
        <v>0</v>
      </c>
      <c r="CN705" s="55">
        <v>0</v>
      </c>
      <c r="CO705" s="55">
        <v>0</v>
      </c>
      <c r="CP705" s="55">
        <v>0</v>
      </c>
      <c r="CQ705" s="55">
        <v>0</v>
      </c>
      <c r="CR705" s="55">
        <v>0</v>
      </c>
      <c r="CS705" s="55">
        <v>0</v>
      </c>
      <c r="CT705" s="55">
        <v>0</v>
      </c>
      <c r="CU705" s="55">
        <v>0</v>
      </c>
      <c r="CV705" s="55">
        <v>0</v>
      </c>
      <c r="CW705" s="55">
        <v>0</v>
      </c>
      <c r="CX705" s="55">
        <v>0</v>
      </c>
      <c r="CY705" s="56">
        <v>0</v>
      </c>
      <c r="CZ705" s="55">
        <v>0</v>
      </c>
      <c r="DA705" s="55">
        <v>0</v>
      </c>
      <c r="DB705" s="55">
        <v>0</v>
      </c>
      <c r="DC705" s="55">
        <v>0</v>
      </c>
      <c r="DD705" s="55">
        <v>0</v>
      </c>
      <c r="DE705" s="55">
        <v>0</v>
      </c>
      <c r="DF705" s="55">
        <v>0</v>
      </c>
      <c r="DG705" s="55">
        <v>0</v>
      </c>
      <c r="DH705" s="55">
        <v>0</v>
      </c>
      <c r="DI705" s="55">
        <v>0</v>
      </c>
    </row>
    <row r="706" spans="1:113" outlineLevel="1">
      <c r="A706" s="1" t="s">
        <v>2234</v>
      </c>
      <c r="B706" s="19" t="s">
        <v>2235</v>
      </c>
      <c r="C706" s="55"/>
      <c r="D706" s="55"/>
      <c r="E706" s="55"/>
      <c r="F706" s="55"/>
      <c r="G706" s="55"/>
      <c r="H706" s="55"/>
      <c r="I706" s="55"/>
      <c r="J706" s="55"/>
      <c r="K706" s="55"/>
      <c r="L706" s="164">
        <v>0</v>
      </c>
      <c r="M706" s="164">
        <v>4</v>
      </c>
      <c r="N706" s="164">
        <v>-4</v>
      </c>
      <c r="O706" s="164">
        <v>-11</v>
      </c>
      <c r="P706" s="164">
        <v>-7</v>
      </c>
      <c r="Q706" s="164">
        <v>-8</v>
      </c>
      <c r="R706" s="164">
        <v>-2</v>
      </c>
      <c r="S706" s="164">
        <v>-9</v>
      </c>
      <c r="T706" s="164">
        <v>-2</v>
      </c>
      <c r="U706" s="164">
        <v>-2</v>
      </c>
      <c r="V706" s="164">
        <v>2</v>
      </c>
      <c r="W706" s="164">
        <v>-8</v>
      </c>
      <c r="X706" s="164">
        <v>-2</v>
      </c>
      <c r="Y706" s="164">
        <v>41</v>
      </c>
      <c r="Z706" s="164">
        <v>-9</v>
      </c>
      <c r="AA706" s="164">
        <v>-5</v>
      </c>
      <c r="AB706" s="164">
        <v>-3</v>
      </c>
      <c r="AC706" s="164">
        <v>-9</v>
      </c>
      <c r="AD706" s="164">
        <v>-2</v>
      </c>
      <c r="AE706" s="164">
        <v>-2</v>
      </c>
      <c r="AF706" s="164">
        <v>-2</v>
      </c>
      <c r="AG706" s="164">
        <v>0</v>
      </c>
      <c r="AH706" s="164">
        <v>0</v>
      </c>
      <c r="AI706" s="164">
        <v>0</v>
      </c>
      <c r="AJ706" s="164">
        <v>0</v>
      </c>
      <c r="AK706" s="164">
        <v>0</v>
      </c>
      <c r="AL706" s="164">
        <v>0</v>
      </c>
      <c r="AM706" s="164">
        <v>0</v>
      </c>
      <c r="AN706" s="164">
        <v>0</v>
      </c>
      <c r="AO706" s="164">
        <v>0</v>
      </c>
      <c r="AP706" s="164">
        <v>0</v>
      </c>
      <c r="AQ706" s="164">
        <v>0</v>
      </c>
      <c r="AR706" s="164">
        <v>0</v>
      </c>
      <c r="AS706" s="164">
        <v>0</v>
      </c>
      <c r="AT706" s="164">
        <v>0</v>
      </c>
      <c r="AU706" s="164">
        <v>0</v>
      </c>
      <c r="AV706" s="164">
        <v>0</v>
      </c>
      <c r="AW706" s="171">
        <v>0</v>
      </c>
      <c r="AX706" s="55">
        <v>0</v>
      </c>
      <c r="AY706" s="55">
        <v>0</v>
      </c>
      <c r="AZ706" s="55">
        <v>0</v>
      </c>
      <c r="BA706" s="55">
        <v>0</v>
      </c>
      <c r="BB706" s="55">
        <v>0</v>
      </c>
      <c r="BC706" s="55">
        <v>0</v>
      </c>
      <c r="BD706" s="55">
        <v>0</v>
      </c>
      <c r="BE706" s="55">
        <v>0</v>
      </c>
      <c r="BF706" s="55">
        <v>0</v>
      </c>
      <c r="BG706" s="55">
        <v>0</v>
      </c>
      <c r="BH706" s="55">
        <v>0</v>
      </c>
      <c r="BI706" s="55">
        <v>0</v>
      </c>
      <c r="BJ706" s="55">
        <v>0</v>
      </c>
      <c r="BK706" s="55">
        <v>0</v>
      </c>
      <c r="BL706" s="55">
        <v>0</v>
      </c>
      <c r="BM706" s="55">
        <v>0</v>
      </c>
      <c r="BN706" s="55">
        <v>0</v>
      </c>
      <c r="BO706" s="55">
        <v>0</v>
      </c>
      <c r="BP706" s="55">
        <v>0</v>
      </c>
      <c r="BQ706" s="55">
        <v>0</v>
      </c>
      <c r="BR706" s="55"/>
      <c r="BS706" s="55"/>
      <c r="BT706" s="55"/>
      <c r="BU706" s="55"/>
      <c r="BV706" s="55"/>
      <c r="BW706" s="55"/>
      <c r="BX706" s="55"/>
      <c r="BY706" s="55"/>
      <c r="BZ706" s="55"/>
      <c r="CA706" s="55"/>
      <c r="CB706" s="55"/>
      <c r="CC706" s="55"/>
      <c r="CD706" s="55"/>
      <c r="CE706" s="55"/>
      <c r="CF706" s="55"/>
      <c r="CG706" s="55">
        <v>4</v>
      </c>
      <c r="CH706" s="55">
        <v>-15</v>
      </c>
      <c r="CI706" s="55">
        <v>-15</v>
      </c>
      <c r="CJ706" s="55">
        <v>-11</v>
      </c>
      <c r="CK706" s="55">
        <v>-4</v>
      </c>
      <c r="CL706" s="55">
        <v>-6</v>
      </c>
      <c r="CM706" s="55">
        <v>39</v>
      </c>
      <c r="CN706" s="55">
        <v>-14</v>
      </c>
      <c r="CO706" s="55">
        <v>-12</v>
      </c>
      <c r="CP706" s="55">
        <v>-4</v>
      </c>
      <c r="CQ706" s="55">
        <v>-2</v>
      </c>
      <c r="CR706" s="55">
        <v>0</v>
      </c>
      <c r="CS706" s="55">
        <v>0</v>
      </c>
      <c r="CT706" s="55">
        <v>0</v>
      </c>
      <c r="CU706" s="55">
        <v>0</v>
      </c>
      <c r="CV706" s="55">
        <v>0</v>
      </c>
      <c r="CW706" s="55">
        <v>0</v>
      </c>
      <c r="CX706" s="55">
        <v>0</v>
      </c>
      <c r="CY706" s="56">
        <v>0</v>
      </c>
      <c r="CZ706" s="55">
        <v>0</v>
      </c>
      <c r="DA706" s="55">
        <v>0</v>
      </c>
      <c r="DB706" s="55">
        <v>0</v>
      </c>
      <c r="DC706" s="55">
        <v>0</v>
      </c>
      <c r="DD706" s="55">
        <v>0</v>
      </c>
      <c r="DE706" s="55">
        <v>0</v>
      </c>
      <c r="DF706" s="55">
        <v>0</v>
      </c>
      <c r="DG706" s="55">
        <v>0</v>
      </c>
      <c r="DH706" s="55">
        <v>0</v>
      </c>
      <c r="DI706" s="55">
        <v>0</v>
      </c>
    </row>
    <row r="707" spans="1:113" outlineLevel="1">
      <c r="A707" s="1" t="s">
        <v>2236</v>
      </c>
      <c r="B707" s="19" t="s">
        <v>2237</v>
      </c>
      <c r="C707" s="55"/>
      <c r="D707" s="55"/>
      <c r="E707" s="55"/>
      <c r="F707" s="55"/>
      <c r="G707" s="55"/>
      <c r="H707" s="55"/>
      <c r="I707" s="55"/>
      <c r="J707" s="55"/>
      <c r="K707" s="55"/>
      <c r="L707" s="55"/>
      <c r="M707" s="55"/>
      <c r="N707" s="55"/>
      <c r="O707" s="55"/>
      <c r="P707" s="55"/>
      <c r="Q707" s="55"/>
      <c r="R707" s="55"/>
      <c r="S707" s="55"/>
      <c r="T707" s="55"/>
      <c r="U707" s="55"/>
      <c r="V707" s="55"/>
      <c r="W707" s="55"/>
      <c r="X707" s="55"/>
      <c r="Y707" s="55"/>
      <c r="Z707" s="55"/>
      <c r="AA707" s="55">
        <v>0</v>
      </c>
      <c r="AB707" s="55">
        <v>0</v>
      </c>
      <c r="AC707" s="55">
        <v>0</v>
      </c>
      <c r="AD707" s="55">
        <v>0</v>
      </c>
      <c r="AE707" s="55">
        <v>0</v>
      </c>
      <c r="AF707" s="55">
        <v>0</v>
      </c>
      <c r="AG707" s="55">
        <v>0</v>
      </c>
      <c r="AH707" s="55">
        <v>0</v>
      </c>
      <c r="AI707" s="55">
        <v>0</v>
      </c>
      <c r="AJ707" s="55">
        <v>0</v>
      </c>
      <c r="AK707" s="55">
        <v>0</v>
      </c>
      <c r="AL707" s="55">
        <v>0</v>
      </c>
      <c r="AM707" s="55">
        <v>0</v>
      </c>
      <c r="AN707" s="55">
        <v>0</v>
      </c>
      <c r="AO707" s="55">
        <v>0</v>
      </c>
      <c r="AP707" s="55">
        <v>0</v>
      </c>
      <c r="AQ707" s="55">
        <v>0</v>
      </c>
      <c r="AR707" s="55">
        <v>0</v>
      </c>
      <c r="AS707" s="55">
        <v>0</v>
      </c>
      <c r="AT707" s="55">
        <v>0</v>
      </c>
      <c r="AU707" s="55">
        <v>0</v>
      </c>
      <c r="AV707" s="55">
        <v>0</v>
      </c>
      <c r="AW707" s="56">
        <v>0</v>
      </c>
      <c r="AX707" s="55">
        <v>0</v>
      </c>
      <c r="AY707" s="55">
        <v>0</v>
      </c>
      <c r="AZ707" s="55">
        <v>0</v>
      </c>
      <c r="BA707" s="55">
        <v>0</v>
      </c>
      <c r="BB707" s="55">
        <v>0</v>
      </c>
      <c r="BC707" s="55">
        <v>0</v>
      </c>
      <c r="BD707" s="55">
        <v>0</v>
      </c>
      <c r="BE707" s="55">
        <v>0</v>
      </c>
      <c r="BF707" s="55">
        <v>0</v>
      </c>
      <c r="BG707" s="55">
        <v>0</v>
      </c>
      <c r="BH707" s="55">
        <v>0</v>
      </c>
      <c r="BI707" s="55">
        <v>0</v>
      </c>
      <c r="BJ707" s="55">
        <v>0</v>
      </c>
      <c r="BK707" s="55">
        <v>0</v>
      </c>
      <c r="BL707" s="55">
        <v>0</v>
      </c>
      <c r="BM707" s="55">
        <v>0</v>
      </c>
      <c r="BN707" s="55">
        <v>0</v>
      </c>
      <c r="BO707" s="55">
        <v>0</v>
      </c>
      <c r="BP707" s="55">
        <v>0</v>
      </c>
      <c r="BQ707" s="55">
        <v>0</v>
      </c>
      <c r="BR707" s="55"/>
      <c r="BS707" s="55"/>
      <c r="BT707" s="55"/>
      <c r="BU707" s="55"/>
      <c r="BV707" s="55"/>
      <c r="BW707" s="55"/>
      <c r="BX707" s="55"/>
      <c r="BY707" s="55"/>
      <c r="BZ707" s="55"/>
      <c r="CA707" s="55"/>
      <c r="CB707" s="55"/>
      <c r="CC707" s="55"/>
      <c r="CD707" s="55"/>
      <c r="CE707" s="55"/>
      <c r="CF707" s="55"/>
      <c r="CG707" s="55">
        <v>0</v>
      </c>
      <c r="CH707" s="55">
        <v>0</v>
      </c>
      <c r="CI707" s="55">
        <v>0</v>
      </c>
      <c r="CJ707" s="55">
        <v>0</v>
      </c>
      <c r="CK707" s="55">
        <v>0</v>
      </c>
      <c r="CL707" s="55">
        <v>0</v>
      </c>
      <c r="CM707" s="55">
        <v>0</v>
      </c>
      <c r="CN707" s="55">
        <v>0</v>
      </c>
      <c r="CO707" s="55">
        <v>0</v>
      </c>
      <c r="CP707" s="55">
        <v>0</v>
      </c>
      <c r="CQ707" s="55">
        <v>0</v>
      </c>
      <c r="CR707" s="55">
        <v>0</v>
      </c>
      <c r="CS707" s="55">
        <v>0</v>
      </c>
      <c r="CT707" s="55">
        <v>0</v>
      </c>
      <c r="CU707" s="55">
        <v>0</v>
      </c>
      <c r="CV707" s="55">
        <v>0</v>
      </c>
      <c r="CW707" s="55">
        <v>0</v>
      </c>
      <c r="CX707" s="55">
        <v>0</v>
      </c>
      <c r="CY707" s="56">
        <v>0</v>
      </c>
      <c r="CZ707" s="55">
        <v>0</v>
      </c>
      <c r="DA707" s="55">
        <v>0</v>
      </c>
      <c r="DB707" s="55">
        <v>0</v>
      </c>
      <c r="DC707" s="55">
        <v>0</v>
      </c>
      <c r="DD707" s="55">
        <v>0</v>
      </c>
      <c r="DE707" s="55">
        <v>0</v>
      </c>
      <c r="DF707" s="55">
        <v>0</v>
      </c>
      <c r="DG707" s="55">
        <v>0</v>
      </c>
      <c r="DH707" s="55">
        <v>0</v>
      </c>
      <c r="DI707" s="55">
        <v>0</v>
      </c>
    </row>
    <row r="708" spans="1:113" outlineLevel="1">
      <c r="A708" s="1" t="s">
        <v>2238</v>
      </c>
      <c r="B708" s="19" t="s">
        <v>2239</v>
      </c>
      <c r="C708" s="164">
        <v>-1024</v>
      </c>
      <c r="D708" s="164">
        <v>-1005</v>
      </c>
      <c r="E708" s="164">
        <v>-1011</v>
      </c>
      <c r="F708" s="164">
        <v>-1050</v>
      </c>
      <c r="G708" s="164">
        <v>-1058</v>
      </c>
      <c r="H708" s="164">
        <v>-1078</v>
      </c>
      <c r="I708" s="164">
        <v>-1074</v>
      </c>
      <c r="J708" s="164">
        <v>-1142</v>
      </c>
      <c r="K708" s="164">
        <v>-1132</v>
      </c>
      <c r="L708" s="164">
        <v>-1182</v>
      </c>
      <c r="M708" s="164">
        <v>-1237</v>
      </c>
      <c r="N708" s="164">
        <v>-1340</v>
      </c>
      <c r="O708" s="164">
        <v>-1406</v>
      </c>
      <c r="P708" s="164">
        <v>-1505</v>
      </c>
      <c r="Q708" s="164">
        <v>-1592</v>
      </c>
      <c r="R708" s="164">
        <v>-1574</v>
      </c>
      <c r="S708" s="164">
        <v>-1831</v>
      </c>
      <c r="T708" s="164">
        <v>-1946</v>
      </c>
      <c r="U708" s="164">
        <v>-1899</v>
      </c>
      <c r="V708" s="164">
        <v>-2024</v>
      </c>
      <c r="W708" s="164">
        <v>-1991</v>
      </c>
      <c r="X708" s="164">
        <v>-2079</v>
      </c>
      <c r="Y708" s="164">
        <v>-2057</v>
      </c>
      <c r="Z708" s="164">
        <v>-2108</v>
      </c>
      <c r="AA708" s="164">
        <v>-2142</v>
      </c>
      <c r="AB708" s="164">
        <v>-2230</v>
      </c>
      <c r="AC708" s="164">
        <v>-2260</v>
      </c>
      <c r="AD708" s="164">
        <v>-2660</v>
      </c>
      <c r="AE708" s="164">
        <v>-2661</v>
      </c>
      <c r="AF708" s="164">
        <v>-2826</v>
      </c>
      <c r="AG708" s="164">
        <v>-2831</v>
      </c>
      <c r="AH708" s="164">
        <v>-2826</v>
      </c>
      <c r="AI708" s="164">
        <v>-2826</v>
      </c>
      <c r="AJ708" s="164">
        <v>-2643</v>
      </c>
      <c r="AK708" s="164">
        <v>-2484</v>
      </c>
      <c r="AL708" s="164">
        <v>-2479</v>
      </c>
      <c r="AM708" s="164">
        <v>-2775</v>
      </c>
      <c r="AN708" s="164">
        <v>-2599</v>
      </c>
      <c r="AO708" s="164">
        <v>-2640</v>
      </c>
      <c r="AP708" s="164">
        <v>-2711</v>
      </c>
      <c r="AQ708" s="164">
        <v>-2795</v>
      </c>
      <c r="AR708" s="164">
        <v>-3027</v>
      </c>
      <c r="AS708" s="164">
        <v>-2928</v>
      </c>
      <c r="AT708" s="164">
        <v>-3200</v>
      </c>
      <c r="AU708" s="164">
        <v>-3363</v>
      </c>
      <c r="AV708" s="164">
        <v>-3360</v>
      </c>
      <c r="AW708" s="171">
        <v>-3397</v>
      </c>
      <c r="AX708" s="55">
        <v>-3497.4532856387286</v>
      </c>
      <c r="AY708" s="55">
        <v>-3474.8338866718254</v>
      </c>
      <c r="AZ708" s="55">
        <v>-3571.3724158105215</v>
      </c>
      <c r="BA708" s="55">
        <v>-3555.4687631239026</v>
      </c>
      <c r="BB708" s="55">
        <v>-3657.9293515482173</v>
      </c>
      <c r="BC708" s="55">
        <v>-3641.6104968734999</v>
      </c>
      <c r="BD708" s="55">
        <v>-3717.7901359392977</v>
      </c>
      <c r="BE708" s="55">
        <v>-3703.1988307337224</v>
      </c>
      <c r="BF708" s="55">
        <v>-3808.706456434581</v>
      </c>
      <c r="BG708" s="55">
        <v>-3810.4242936604287</v>
      </c>
      <c r="BH708" s="55">
        <v>-3939.5438006878794</v>
      </c>
      <c r="BI708" s="55">
        <v>-3941.2892118829645</v>
      </c>
      <c r="BJ708" s="55">
        <v>-4074.8108162375725</v>
      </c>
      <c r="BK708" s="55">
        <v>-4086.6247459587325</v>
      </c>
      <c r="BL708" s="55">
        <v>-4213.4928596152167</v>
      </c>
      <c r="BM708" s="55">
        <v>-4249.021965209161</v>
      </c>
      <c r="BN708" s="55">
        <v>-4359.1522965115291</v>
      </c>
      <c r="BO708" s="55">
        <v>-4339.4982383859597</v>
      </c>
      <c r="BP708" s="55">
        <v>-4464.3044619047969</v>
      </c>
      <c r="BQ708" s="55">
        <v>-4444.1419631183071</v>
      </c>
      <c r="BR708" s="55"/>
      <c r="BS708" s="55"/>
      <c r="BT708" s="55"/>
      <c r="BU708" s="55"/>
      <c r="BV708" s="55"/>
      <c r="BW708" s="55"/>
      <c r="BX708" s="55"/>
      <c r="BY708" s="55"/>
      <c r="BZ708" s="55"/>
      <c r="CA708" s="55"/>
      <c r="CB708" s="55"/>
      <c r="CC708" s="55"/>
      <c r="CD708" s="55"/>
      <c r="CE708" s="55"/>
      <c r="CF708" s="55"/>
      <c r="CG708" s="55">
        <v>-2419</v>
      </c>
      <c r="CH708" s="55">
        <v>-2746</v>
      </c>
      <c r="CI708" s="55">
        <v>-3097</v>
      </c>
      <c r="CJ708" s="55">
        <v>-3405</v>
      </c>
      <c r="CK708" s="55">
        <v>-3845</v>
      </c>
      <c r="CL708" s="55">
        <v>-4015</v>
      </c>
      <c r="CM708" s="55">
        <v>-4136</v>
      </c>
      <c r="CN708" s="55">
        <v>-4250</v>
      </c>
      <c r="CO708" s="55">
        <v>-4490</v>
      </c>
      <c r="CP708" s="55">
        <v>-5321</v>
      </c>
      <c r="CQ708" s="55">
        <v>-5657</v>
      </c>
      <c r="CR708" s="55">
        <v>-5657</v>
      </c>
      <c r="CS708" s="55">
        <v>-5652</v>
      </c>
      <c r="CT708" s="55">
        <v>-5254</v>
      </c>
      <c r="CU708" s="55">
        <v>-5239</v>
      </c>
      <c r="CV708" s="55">
        <v>-5506</v>
      </c>
      <c r="CW708" s="55">
        <v>-5955</v>
      </c>
      <c r="CX708" s="55">
        <v>-6563</v>
      </c>
      <c r="CY708" s="56">
        <v>-6757</v>
      </c>
      <c r="CZ708" s="55">
        <v>-6972.2871723105545</v>
      </c>
      <c r="DA708" s="55">
        <v>-7126.8411789344245</v>
      </c>
      <c r="DB708" s="55">
        <v>-7299.5398484217167</v>
      </c>
      <c r="DC708" s="55">
        <v>-7420.9889666730196</v>
      </c>
      <c r="DD708" s="55">
        <v>-7619.1307500950097</v>
      </c>
      <c r="DE708" s="55">
        <v>-7880.8330125708435</v>
      </c>
      <c r="DF708" s="55">
        <v>-8161.435562196305</v>
      </c>
      <c r="DG708" s="55">
        <v>-8462.5148248243786</v>
      </c>
      <c r="DH708" s="55">
        <v>-8698.6505348974897</v>
      </c>
      <c r="DI708" s="55">
        <v>-8908.4464250231031</v>
      </c>
    </row>
    <row r="709" spans="1:113" outlineLevel="1">
      <c r="A709" s="1" t="s">
        <v>2240</v>
      </c>
      <c r="B709" s="19" t="s">
        <v>2241</v>
      </c>
      <c r="C709" s="164">
        <v>-24.844444444444445</v>
      </c>
      <c r="D709" s="164">
        <v>-26</v>
      </c>
      <c r="E709" s="164">
        <v>-37</v>
      </c>
      <c r="F709" s="164">
        <v>-32</v>
      </c>
      <c r="G709" s="164">
        <v>-60</v>
      </c>
      <c r="H709" s="164">
        <v>-49</v>
      </c>
      <c r="I709" s="164">
        <v>-56</v>
      </c>
      <c r="J709" s="164">
        <v>-37</v>
      </c>
      <c r="K709" s="164">
        <v>-37</v>
      </c>
      <c r="L709" s="164">
        <v>-22</v>
      </c>
      <c r="M709" s="164">
        <v>-17</v>
      </c>
      <c r="N709" s="164">
        <v>-56</v>
      </c>
      <c r="O709" s="164">
        <v>-33</v>
      </c>
      <c r="P709" s="164">
        <v>-49</v>
      </c>
      <c r="Q709" s="164">
        <v>-57</v>
      </c>
      <c r="R709" s="164">
        <v>-63</v>
      </c>
      <c r="S709" s="164">
        <v>-62</v>
      </c>
      <c r="T709" s="164">
        <v>-51</v>
      </c>
      <c r="U709" s="164">
        <v>-79</v>
      </c>
      <c r="V709" s="164">
        <v>-81</v>
      </c>
      <c r="W709" s="164">
        <v>-75</v>
      </c>
      <c r="X709" s="164">
        <v>-90</v>
      </c>
      <c r="Y709" s="164">
        <v>-95</v>
      </c>
      <c r="Z709" s="164">
        <v>-94</v>
      </c>
      <c r="AA709" s="164">
        <v>-98</v>
      </c>
      <c r="AB709" s="164">
        <v>-121</v>
      </c>
      <c r="AC709" s="164">
        <v>-123</v>
      </c>
      <c r="AD709" s="164">
        <v>-47</v>
      </c>
      <c r="AE709" s="164">
        <v>-49</v>
      </c>
      <c r="AF709" s="164">
        <v>-50</v>
      </c>
      <c r="AG709" s="164">
        <v>-52</v>
      </c>
      <c r="AH709" s="164">
        <v>-61</v>
      </c>
      <c r="AI709" s="164">
        <v>-61</v>
      </c>
      <c r="AJ709" s="164">
        <v>-54</v>
      </c>
      <c r="AK709" s="164">
        <v>-15</v>
      </c>
      <c r="AL709" s="164">
        <v>-37</v>
      </c>
      <c r="AM709" s="164">
        <v>-37</v>
      </c>
      <c r="AN709" s="164">
        <v>-48</v>
      </c>
      <c r="AO709" s="164">
        <v>-49</v>
      </c>
      <c r="AP709" s="164">
        <v>-45</v>
      </c>
      <c r="AQ709" s="164">
        <v>-55</v>
      </c>
      <c r="AR709" s="164">
        <v>-55</v>
      </c>
      <c r="AS709" s="164">
        <v>-56</v>
      </c>
      <c r="AT709" s="164">
        <v>-63</v>
      </c>
      <c r="AU709" s="164">
        <v>-60</v>
      </c>
      <c r="AV709" s="164">
        <v>-61</v>
      </c>
      <c r="AW709" s="171">
        <v>-69</v>
      </c>
      <c r="AX709" s="55">
        <v>-71.040411159573821</v>
      </c>
      <c r="AY709" s="55">
        <v>-70.580965022183094</v>
      </c>
      <c r="AZ709" s="55">
        <v>-72.541859490999698</v>
      </c>
      <c r="BA709" s="55">
        <v>-72.218823860921191</v>
      </c>
      <c r="BB709" s="55">
        <v>-74.30000743503885</v>
      </c>
      <c r="BC709" s="55">
        <v>-73.968538205555333</v>
      </c>
      <c r="BD709" s="55">
        <v>-75.515902084136457</v>
      </c>
      <c r="BE709" s="55">
        <v>-75.219522908633152</v>
      </c>
      <c r="BF709" s="55">
        <v>-77.362598025901107</v>
      </c>
      <c r="BG709" s="55">
        <v>-77.397490804406701</v>
      </c>
      <c r="BH709" s="55">
        <v>-80.020171400489744</v>
      </c>
      <c r="BI709" s="55">
        <v>-80.055624262562418</v>
      </c>
      <c r="BJ709" s="55">
        <v>-82.767720435794075</v>
      </c>
      <c r="BK709" s="55">
        <v>-83.007685449264798</v>
      </c>
      <c r="BL709" s="55">
        <v>-85.584635653061511</v>
      </c>
      <c r="BM709" s="55">
        <v>-86.306304268305013</v>
      </c>
      <c r="BN709" s="55">
        <v>-88.54327596682235</v>
      </c>
      <c r="BO709" s="55">
        <v>-88.144061951319173</v>
      </c>
      <c r="BP709" s="55">
        <v>-90.679130960091541</v>
      </c>
      <c r="BQ709" s="55">
        <v>-90.269589477528157</v>
      </c>
      <c r="BR709" s="55"/>
      <c r="BS709" s="55"/>
      <c r="BT709" s="55"/>
      <c r="BU709" s="55"/>
      <c r="BV709" s="55"/>
      <c r="BW709" s="55"/>
      <c r="BX709" s="55"/>
      <c r="BY709" s="55"/>
      <c r="BZ709" s="55"/>
      <c r="CA709" s="55"/>
      <c r="CB709" s="55"/>
      <c r="CC709" s="55"/>
      <c r="CD709" s="55"/>
      <c r="CE709" s="55"/>
      <c r="CF709" s="55"/>
      <c r="CG709" s="55">
        <v>-39</v>
      </c>
      <c r="CH709" s="55">
        <v>-89</v>
      </c>
      <c r="CI709" s="55">
        <v>-106</v>
      </c>
      <c r="CJ709" s="55">
        <v>-125</v>
      </c>
      <c r="CK709" s="55">
        <v>-130</v>
      </c>
      <c r="CL709" s="55">
        <v>-156</v>
      </c>
      <c r="CM709" s="55">
        <v>-185</v>
      </c>
      <c r="CN709" s="55">
        <v>-192</v>
      </c>
      <c r="CO709" s="55">
        <v>-244</v>
      </c>
      <c r="CP709" s="55">
        <v>-96</v>
      </c>
      <c r="CQ709" s="55">
        <v>-102</v>
      </c>
      <c r="CR709" s="55">
        <v>-113</v>
      </c>
      <c r="CS709" s="55">
        <v>-122</v>
      </c>
      <c r="CT709" s="55">
        <v>-74</v>
      </c>
      <c r="CU709" s="55">
        <v>-97</v>
      </c>
      <c r="CV709" s="55">
        <v>-100</v>
      </c>
      <c r="CW709" s="55">
        <v>-111</v>
      </c>
      <c r="CX709" s="55">
        <v>-123</v>
      </c>
      <c r="CY709" s="56">
        <v>-130</v>
      </c>
      <c r="CZ709" s="55">
        <v>-141.62137618175692</v>
      </c>
      <c r="DA709" s="55">
        <v>-144.76068335192087</v>
      </c>
      <c r="DB709" s="55">
        <v>-148.2685456405942</v>
      </c>
      <c r="DC709" s="55">
        <v>-150.73542499276959</v>
      </c>
      <c r="DD709" s="55">
        <v>-154.76008883030781</v>
      </c>
      <c r="DE709" s="55">
        <v>-160.07579566305216</v>
      </c>
      <c r="DF709" s="55">
        <v>-165.77540588505889</v>
      </c>
      <c r="DG709" s="55">
        <v>-171.89093992136651</v>
      </c>
      <c r="DH709" s="55">
        <v>-176.68733791814151</v>
      </c>
      <c r="DI709" s="55">
        <v>-180.9487204376197</v>
      </c>
    </row>
    <row r="710" spans="1:113" outlineLevel="1">
      <c r="A710" s="1" t="s">
        <v>2242</v>
      </c>
      <c r="B710" s="19" t="s">
        <v>2243</v>
      </c>
      <c r="C710" s="164">
        <v>300</v>
      </c>
      <c r="D710" s="164">
        <v>-270</v>
      </c>
      <c r="E710" s="164">
        <v>-308</v>
      </c>
      <c r="F710" s="164">
        <v>-301</v>
      </c>
      <c r="G710" s="164">
        <v>-308</v>
      </c>
      <c r="H710" s="164">
        <v>-296</v>
      </c>
      <c r="I710" s="164">
        <v>-305</v>
      </c>
      <c r="J710" s="164">
        <v>-308</v>
      </c>
      <c r="K710" s="164">
        <v>-318</v>
      </c>
      <c r="L710" s="164">
        <v>-310</v>
      </c>
      <c r="M710" s="164">
        <v>-311</v>
      </c>
      <c r="N710" s="164">
        <v>-335</v>
      </c>
      <c r="O710" s="164">
        <v>-353</v>
      </c>
      <c r="P710" s="164">
        <v>-373</v>
      </c>
      <c r="Q710" s="164">
        <v>-394</v>
      </c>
      <c r="R710" s="164">
        <v>-409</v>
      </c>
      <c r="S710" s="164">
        <v>-501</v>
      </c>
      <c r="T710" s="164">
        <v>-482</v>
      </c>
      <c r="U710" s="164">
        <v>-495</v>
      </c>
      <c r="V710" s="164">
        <v>-482</v>
      </c>
      <c r="W710" s="164">
        <v>-511</v>
      </c>
      <c r="X710" s="164">
        <v>-521</v>
      </c>
      <c r="Y710" s="164">
        <v>-535</v>
      </c>
      <c r="Z710" s="164">
        <v>-506</v>
      </c>
      <c r="AA710" s="164">
        <v>-512</v>
      </c>
      <c r="AB710" s="164">
        <v>-524</v>
      </c>
      <c r="AC710" s="164">
        <v>-529</v>
      </c>
      <c r="AD710" s="164">
        <v>-539</v>
      </c>
      <c r="AE710" s="164">
        <v>-547</v>
      </c>
      <c r="AF710" s="164">
        <v>-559</v>
      </c>
      <c r="AG710" s="164">
        <v>-575</v>
      </c>
      <c r="AH710" s="164">
        <v>-568</v>
      </c>
      <c r="AI710" s="164">
        <v>-571</v>
      </c>
      <c r="AJ710" s="164">
        <v>-554</v>
      </c>
      <c r="AK710" s="164">
        <v>-580</v>
      </c>
      <c r="AL710" s="164">
        <v>-549</v>
      </c>
      <c r="AM710" s="164">
        <v>-549</v>
      </c>
      <c r="AN710" s="164">
        <v>-496</v>
      </c>
      <c r="AO710" s="164">
        <v>-560</v>
      </c>
      <c r="AP710" s="164">
        <v>-578</v>
      </c>
      <c r="AQ710" s="164">
        <v>-580</v>
      </c>
      <c r="AR710" s="164">
        <v>-488</v>
      </c>
      <c r="AS710" s="164">
        <v>-490</v>
      </c>
      <c r="AT710" s="164">
        <v>-479</v>
      </c>
      <c r="AU710" s="164">
        <v>-471</v>
      </c>
      <c r="AV710" s="164">
        <v>-501</v>
      </c>
      <c r="AW710" s="171">
        <v>-494</v>
      </c>
      <c r="AX710" s="55">
        <v>-504.24883419371889</v>
      </c>
      <c r="AY710" s="55">
        <v>-506.07534587747</v>
      </c>
      <c r="AZ710" s="55">
        <v>-514.89759995879399</v>
      </c>
      <c r="BA710" s="55">
        <v>-516.06942807883706</v>
      </c>
      <c r="BB710" s="55">
        <v>-524.20083077288029</v>
      </c>
      <c r="BC710" s="55">
        <v>-525.83294858324359</v>
      </c>
      <c r="BD710" s="55">
        <v>-533.07477955159425</v>
      </c>
      <c r="BE710" s="55">
        <v>-534.57373303577231</v>
      </c>
      <c r="BF710" s="55">
        <v>-544.40030045301205</v>
      </c>
      <c r="BG710" s="55">
        <v>-548.04925480294833</v>
      </c>
      <c r="BH710" s="55">
        <v>-560.50998066860916</v>
      </c>
      <c r="BI710" s="55">
        <v>-565.37504613330077</v>
      </c>
      <c r="BJ710" s="55">
        <v>-578.26489277014605</v>
      </c>
      <c r="BK710" s="55">
        <v>-584.23566497400191</v>
      </c>
      <c r="BL710" s="55">
        <v>-597.09634452939872</v>
      </c>
      <c r="BM710" s="55">
        <v>-604.64366159991903</v>
      </c>
      <c r="BN710" s="55">
        <v>-616.34342866446787</v>
      </c>
      <c r="BO710" s="55">
        <v>-620.15615004115307</v>
      </c>
      <c r="BP710" s="55">
        <v>-632.76277502589039</v>
      </c>
      <c r="BQ710" s="55">
        <v>-636.6836145092476</v>
      </c>
      <c r="BR710" s="55"/>
      <c r="BS710" s="55"/>
      <c r="BT710" s="55"/>
      <c r="BU710" s="55"/>
      <c r="BV710" s="55"/>
      <c r="BW710" s="55"/>
      <c r="BX710" s="55"/>
      <c r="BY710" s="55"/>
      <c r="BZ710" s="55"/>
      <c r="CA710" s="55"/>
      <c r="CB710" s="55"/>
      <c r="CC710" s="55"/>
      <c r="CD710" s="55"/>
      <c r="CE710" s="55"/>
      <c r="CF710" s="55"/>
      <c r="CG710" s="55">
        <v>-621</v>
      </c>
      <c r="CH710" s="55">
        <v>-688</v>
      </c>
      <c r="CI710" s="55">
        <v>-767</v>
      </c>
      <c r="CJ710" s="55">
        <v>-910</v>
      </c>
      <c r="CK710" s="55">
        <v>-977</v>
      </c>
      <c r="CL710" s="55">
        <v>-993</v>
      </c>
      <c r="CM710" s="55">
        <v>-1056</v>
      </c>
      <c r="CN710" s="55">
        <v>-1018</v>
      </c>
      <c r="CO710" s="55">
        <v>-1053</v>
      </c>
      <c r="CP710" s="55">
        <v>-1086</v>
      </c>
      <c r="CQ710" s="55">
        <v>-1134</v>
      </c>
      <c r="CR710" s="55">
        <v>-1143</v>
      </c>
      <c r="CS710" s="55">
        <v>-1139</v>
      </c>
      <c r="CT710" s="55">
        <v>-1098</v>
      </c>
      <c r="CU710" s="55">
        <v>-1056</v>
      </c>
      <c r="CV710" s="55">
        <v>-1158</v>
      </c>
      <c r="CW710" s="55">
        <v>-978</v>
      </c>
      <c r="CX710" s="55">
        <v>-950</v>
      </c>
      <c r="CY710" s="56">
        <v>-995</v>
      </c>
      <c r="CZ710" s="55">
        <v>-1010.3241800711889</v>
      </c>
      <c r="DA710" s="55">
        <v>-1030.9670280376311</v>
      </c>
      <c r="DB710" s="55">
        <v>-1050.0337793561239</v>
      </c>
      <c r="DC710" s="55">
        <v>-1067.6485125873664</v>
      </c>
      <c r="DD710" s="55">
        <v>-1092.4495552559604</v>
      </c>
      <c r="DE710" s="55">
        <v>-1125.88502680191</v>
      </c>
      <c r="DF710" s="55">
        <v>-1162.500557744148</v>
      </c>
      <c r="DG710" s="55">
        <v>-1201.7400061293179</v>
      </c>
      <c r="DH710" s="55">
        <v>-1236.4995787056209</v>
      </c>
      <c r="DI710" s="55">
        <v>-1269.446389535138</v>
      </c>
    </row>
    <row r="711" spans="1:113" outlineLevel="1">
      <c r="A711" s="1" t="s">
        <v>2244</v>
      </c>
      <c r="B711" s="19" t="s">
        <v>2245</v>
      </c>
      <c r="C711" s="55">
        <v>-179</v>
      </c>
      <c r="D711" s="55">
        <v>-224</v>
      </c>
      <c r="E711" s="55">
        <v>-179</v>
      </c>
      <c r="F711" s="55">
        <v>-112</v>
      </c>
      <c r="G711" s="55">
        <v>-148</v>
      </c>
      <c r="H711" s="55">
        <v>-182</v>
      </c>
      <c r="I711" s="55">
        <v>-168</v>
      </c>
      <c r="J711" s="55">
        <v>-172</v>
      </c>
      <c r="K711" s="55">
        <v>-180</v>
      </c>
      <c r="L711" s="55">
        <v>-200</v>
      </c>
      <c r="M711" s="55">
        <v>-240</v>
      </c>
      <c r="N711" s="55">
        <v>-239</v>
      </c>
      <c r="O711" s="55">
        <v>-268</v>
      </c>
      <c r="P711" s="55">
        <v>-143</v>
      </c>
      <c r="Q711" s="55">
        <v>-160</v>
      </c>
      <c r="R711" s="55">
        <v>-1350</v>
      </c>
      <c r="S711" s="55">
        <v>-866</v>
      </c>
      <c r="T711" s="55">
        <v>-885</v>
      </c>
      <c r="U711" s="55">
        <v>-289</v>
      </c>
      <c r="V711" s="55">
        <v>-575</v>
      </c>
      <c r="W711" s="55">
        <v>-660</v>
      </c>
      <c r="X711" s="55">
        <v>-344</v>
      </c>
      <c r="Y711" s="55">
        <v>-433</v>
      </c>
      <c r="Z711" s="55">
        <v>-317</v>
      </c>
      <c r="AA711" s="55">
        <v>-206</v>
      </c>
      <c r="AB711" s="55">
        <v>-179</v>
      </c>
      <c r="AC711" s="55">
        <v>-277</v>
      </c>
      <c r="AD711" s="55">
        <v>-176</v>
      </c>
      <c r="AE711" s="55">
        <v>-223</v>
      </c>
      <c r="AF711" s="55">
        <v>-240</v>
      </c>
      <c r="AG711" s="55">
        <v>-352</v>
      </c>
      <c r="AH711" s="55">
        <v>-275</v>
      </c>
      <c r="AI711" s="55">
        <v>-203</v>
      </c>
      <c r="AJ711" s="55">
        <v>-211</v>
      </c>
      <c r="AK711" s="55">
        <v>-152</v>
      </c>
      <c r="AL711" s="55">
        <v>-265</v>
      </c>
      <c r="AM711" s="55">
        <v>-212</v>
      </c>
      <c r="AN711" s="55">
        <v>-203</v>
      </c>
      <c r="AO711" s="55">
        <v>-272</v>
      </c>
      <c r="AP711" s="55">
        <v>-114</v>
      </c>
      <c r="AQ711" s="55">
        <v>-153</v>
      </c>
      <c r="AR711" s="55">
        <v>-86</v>
      </c>
      <c r="AS711" s="55">
        <v>-63</v>
      </c>
      <c r="AT711" s="55">
        <v>-154</v>
      </c>
      <c r="AU711" s="55">
        <v>-159</v>
      </c>
      <c r="AV711" s="55">
        <v>-108</v>
      </c>
      <c r="AW711" s="56">
        <v>-118</v>
      </c>
      <c r="AX711" s="55">
        <v>-648.65331018417021</v>
      </c>
      <c r="AY711" s="55">
        <v>-752.58031729421486</v>
      </c>
      <c r="AZ711" s="55">
        <v>-787.53714574544688</v>
      </c>
      <c r="BA711" s="55">
        <v>-765.43328932013367</v>
      </c>
      <c r="BB711" s="55">
        <v>-789.686034063835</v>
      </c>
      <c r="BC711" s="55">
        <v>-804.50648476493006</v>
      </c>
      <c r="BD711" s="55">
        <v>-826.6300476620595</v>
      </c>
      <c r="BE711" s="55">
        <v>-834.66974613621414</v>
      </c>
      <c r="BF711" s="55">
        <v>-857.6462574819933</v>
      </c>
      <c r="BG711" s="55">
        <v>-862.68990245266752</v>
      </c>
      <c r="BH711" s="55">
        <v>-888.21825101016032</v>
      </c>
      <c r="BI711" s="55">
        <v>-893.52375386574943</v>
      </c>
      <c r="BJ711" s="55">
        <v>-2823.6468313456376</v>
      </c>
      <c r="BK711" s="55">
        <v>-3895.9024665165161</v>
      </c>
      <c r="BL711" s="55">
        <v>-2826.4861490219546</v>
      </c>
      <c r="BM711" s="55">
        <v>-1170.4768961225152</v>
      </c>
      <c r="BN711" s="55">
        <v>-1384.8383682639383</v>
      </c>
      <c r="BO711" s="55">
        <v>-1394.5159089331676</v>
      </c>
      <c r="BP711" s="55">
        <v>-1425.0041620138043</v>
      </c>
      <c r="BQ711" s="55">
        <v>-1434.4314858153616</v>
      </c>
      <c r="BR711" s="55"/>
      <c r="BS711" s="55"/>
      <c r="BT711" s="55"/>
      <c r="BU711" s="55"/>
      <c r="BV711" s="55"/>
      <c r="BW711" s="55"/>
      <c r="BX711" s="55"/>
      <c r="BY711" s="55"/>
      <c r="BZ711" s="55"/>
      <c r="CA711" s="55"/>
      <c r="CB711" s="55"/>
      <c r="CC711" s="55"/>
      <c r="CD711" s="55"/>
      <c r="CE711" s="55"/>
      <c r="CF711" s="55"/>
      <c r="CG711" s="55">
        <v>-440</v>
      </c>
      <c r="CH711" s="55">
        <v>-507</v>
      </c>
      <c r="CI711" s="55">
        <v>-303</v>
      </c>
      <c r="CJ711" s="55">
        <v>-2216</v>
      </c>
      <c r="CK711" s="55">
        <v>-1174</v>
      </c>
      <c r="CL711" s="55">
        <v>-1235</v>
      </c>
      <c r="CM711" s="55">
        <v>-777</v>
      </c>
      <c r="CN711" s="55">
        <v>-523</v>
      </c>
      <c r="CO711" s="55">
        <v>-456</v>
      </c>
      <c r="CP711" s="55">
        <v>-399</v>
      </c>
      <c r="CQ711" s="55">
        <v>-592</v>
      </c>
      <c r="CR711" s="55">
        <v>-627</v>
      </c>
      <c r="CS711" s="55">
        <v>-478</v>
      </c>
      <c r="CT711" s="55">
        <v>-477</v>
      </c>
      <c r="CU711" s="55">
        <v>-475</v>
      </c>
      <c r="CV711" s="55">
        <v>-267</v>
      </c>
      <c r="CW711" s="55">
        <v>-149</v>
      </c>
      <c r="CX711" s="55">
        <v>-313</v>
      </c>
      <c r="CY711" s="56">
        <v>-226</v>
      </c>
      <c r="CZ711" s="55">
        <v>-1401.2336274783852</v>
      </c>
      <c r="DA711" s="55">
        <v>-1552.9704350655807</v>
      </c>
      <c r="DB711" s="55">
        <v>-1594.1925188287651</v>
      </c>
      <c r="DC711" s="55">
        <v>-1661.2997937982736</v>
      </c>
      <c r="DD711" s="55">
        <v>-1720.3361599346608</v>
      </c>
      <c r="DE711" s="55">
        <v>-1781.7420048759097</v>
      </c>
      <c r="DF711" s="55">
        <v>-6719.5492978621533</v>
      </c>
      <c r="DG711" s="55">
        <v>-3996.96304514447</v>
      </c>
      <c r="DH711" s="55">
        <v>-2779.3542771971061</v>
      </c>
      <c r="DI711" s="55">
        <v>-2859.4356478291656</v>
      </c>
    </row>
    <row r="712" spans="1:113" outlineLevel="1">
      <c r="A712" s="1" t="s">
        <v>2246</v>
      </c>
      <c r="B712" s="19" t="s">
        <v>2247</v>
      </c>
      <c r="C712" s="164">
        <v>-24</v>
      </c>
      <c r="D712" s="164">
        <v>-66</v>
      </c>
      <c r="E712" s="164">
        <v>20</v>
      </c>
      <c r="F712" s="164">
        <v>-39</v>
      </c>
      <c r="G712" s="164">
        <v>-6</v>
      </c>
      <c r="H712" s="164">
        <v>32</v>
      </c>
      <c r="I712" s="164">
        <v>42</v>
      </c>
      <c r="J712" s="164">
        <v>26</v>
      </c>
      <c r="K712" s="164">
        <v>4</v>
      </c>
      <c r="L712" s="164">
        <v>12</v>
      </c>
      <c r="M712" s="164">
        <v>30</v>
      </c>
      <c r="N712" s="164">
        <v>44</v>
      </c>
      <c r="O712" s="164">
        <v>29</v>
      </c>
      <c r="P712" s="164">
        <v>-190</v>
      </c>
      <c r="Q712" s="164">
        <v>-437</v>
      </c>
      <c r="R712" s="164">
        <v>-601</v>
      </c>
      <c r="S712" s="164">
        <v>-575</v>
      </c>
      <c r="T712" s="164">
        <v>-498</v>
      </c>
      <c r="U712" s="164">
        <v>-403</v>
      </c>
      <c r="V712" s="164">
        <v>-147</v>
      </c>
      <c r="W712" s="164">
        <v>102</v>
      </c>
      <c r="X712" s="164">
        <v>-201</v>
      </c>
      <c r="Y712" s="164">
        <v>-111</v>
      </c>
      <c r="Z712" s="164">
        <v>-299</v>
      </c>
      <c r="AA712" s="164">
        <v>-260</v>
      </c>
      <c r="AB712" s="164">
        <v>-278</v>
      </c>
      <c r="AC712" s="164">
        <v>-219</v>
      </c>
      <c r="AD712" s="164">
        <v>-264</v>
      </c>
      <c r="AE712" s="164">
        <v>-325</v>
      </c>
      <c r="AF712" s="164">
        <v>-324</v>
      </c>
      <c r="AG712" s="164">
        <v>-340</v>
      </c>
      <c r="AH712" s="164">
        <v>-324</v>
      </c>
      <c r="AI712" s="164">
        <v>-293</v>
      </c>
      <c r="AJ712" s="164">
        <v>-385</v>
      </c>
      <c r="AK712" s="164">
        <v>-331</v>
      </c>
      <c r="AL712" s="164">
        <v>-312</v>
      </c>
      <c r="AM712" s="164">
        <v>-412</v>
      </c>
      <c r="AN712" s="164">
        <v>-446</v>
      </c>
      <c r="AO712" s="164">
        <v>-1597</v>
      </c>
      <c r="AP712" s="164">
        <v>-768</v>
      </c>
      <c r="AQ712" s="164">
        <v>481</v>
      </c>
      <c r="AR712" s="164">
        <v>161</v>
      </c>
      <c r="AS712" s="164">
        <v>345</v>
      </c>
      <c r="AT712" s="164">
        <v>-357</v>
      </c>
      <c r="AU712" s="164">
        <v>-438</v>
      </c>
      <c r="AV712" s="164">
        <v>-307</v>
      </c>
      <c r="AW712" s="171">
        <v>-269</v>
      </c>
      <c r="AX712" s="55">
        <v>111.13077818617421</v>
      </c>
      <c r="AY712" s="55">
        <v>97.555746224172253</v>
      </c>
      <c r="AZ712" s="55">
        <v>107.25705423139698</v>
      </c>
      <c r="BA712" s="55">
        <v>89.155838655357911</v>
      </c>
      <c r="BB712" s="55">
        <v>92.07271717520598</v>
      </c>
      <c r="BC712" s="55">
        <v>107.73083530921213</v>
      </c>
      <c r="BD712" s="55">
        <v>109.90481006700338</v>
      </c>
      <c r="BE712" s="55">
        <v>112.12173209543926</v>
      </c>
      <c r="BF712" s="55">
        <v>114.38252079617723</v>
      </c>
      <c r="BG712" s="55">
        <v>116.68811329037089</v>
      </c>
      <c r="BH712" s="55">
        <v>119.03946486617315</v>
      </c>
      <c r="BI712" s="55">
        <v>121.43754943130989</v>
      </c>
      <c r="BJ712" s="55">
        <v>970.65705714587784</v>
      </c>
      <c r="BK712" s="55">
        <v>1101.7936398370457</v>
      </c>
      <c r="BL712" s="55">
        <v>-42.397014967904397</v>
      </c>
      <c r="BM712" s="55">
        <v>-741.97992140768383</v>
      </c>
      <c r="BN712" s="55">
        <v>160.5854467072777</v>
      </c>
      <c r="BO712" s="55">
        <v>163.85670825909438</v>
      </c>
      <c r="BP712" s="55">
        <v>167.19540517990208</v>
      </c>
      <c r="BQ712" s="55">
        <v>170.60294089097079</v>
      </c>
      <c r="BR712" s="55"/>
      <c r="BS712" s="55"/>
      <c r="BT712" s="55"/>
      <c r="BU712" s="55"/>
      <c r="BV712" s="55"/>
      <c r="BW712" s="55"/>
      <c r="BX712" s="55"/>
      <c r="BY712" s="55"/>
      <c r="BZ712" s="55"/>
      <c r="CA712" s="55"/>
      <c r="CB712" s="55"/>
      <c r="CC712" s="55"/>
      <c r="CD712" s="55"/>
      <c r="CE712" s="55"/>
      <c r="CF712" s="55"/>
      <c r="CG712" s="55">
        <v>42</v>
      </c>
      <c r="CH712" s="55">
        <v>73</v>
      </c>
      <c r="CI712" s="55">
        <v>-627</v>
      </c>
      <c r="CJ712" s="55">
        <v>-1176</v>
      </c>
      <c r="CK712" s="55">
        <v>-901</v>
      </c>
      <c r="CL712" s="55">
        <v>-45</v>
      </c>
      <c r="CM712" s="55">
        <v>-312</v>
      </c>
      <c r="CN712" s="55">
        <v>-559</v>
      </c>
      <c r="CO712" s="55">
        <v>-497</v>
      </c>
      <c r="CP712" s="55">
        <v>-589</v>
      </c>
      <c r="CQ712" s="55">
        <v>-664</v>
      </c>
      <c r="CR712" s="55">
        <v>-664</v>
      </c>
      <c r="CS712" s="55">
        <v>-617</v>
      </c>
      <c r="CT712" s="55">
        <v>-724</v>
      </c>
      <c r="CU712" s="55">
        <v>-2043</v>
      </c>
      <c r="CV712" s="55">
        <v>-287</v>
      </c>
      <c r="CW712" s="55">
        <v>506</v>
      </c>
      <c r="CX712" s="55">
        <v>-795</v>
      </c>
      <c r="CY712" s="56">
        <v>-576</v>
      </c>
      <c r="CZ712" s="55">
        <v>208.68652441034646</v>
      </c>
      <c r="DA712" s="55">
        <v>196.41289288675489</v>
      </c>
      <c r="DB712" s="55">
        <v>199.80355248441811</v>
      </c>
      <c r="DC712" s="55">
        <v>222.02654216244264</v>
      </c>
      <c r="DD712" s="55">
        <v>231.07063408654813</v>
      </c>
      <c r="DE712" s="55">
        <v>240.47701429748304</v>
      </c>
      <c r="DF712" s="55">
        <v>2072.4506969829235</v>
      </c>
      <c r="DG712" s="55">
        <v>-784.37693637558823</v>
      </c>
      <c r="DH712" s="55">
        <v>324.44215496637207</v>
      </c>
      <c r="DI712" s="55">
        <v>337.79834607087287</v>
      </c>
    </row>
    <row r="713" spans="1:113" outlineLevel="1">
      <c r="A713" s="1" t="s">
        <v>2248</v>
      </c>
      <c r="B713" s="19" t="s">
        <v>2249</v>
      </c>
      <c r="C713" s="164">
        <v>-317</v>
      </c>
      <c r="D713" s="164">
        <v>-307</v>
      </c>
      <c r="E713" s="164">
        <v>-195</v>
      </c>
      <c r="F713" s="164">
        <v>-219</v>
      </c>
      <c r="G713" s="164">
        <v>-236</v>
      </c>
      <c r="H713" s="164">
        <v>-158</v>
      </c>
      <c r="I713" s="164">
        <v>-196</v>
      </c>
      <c r="J713" s="164">
        <v>-160</v>
      </c>
      <c r="K713" s="164">
        <v>-231</v>
      </c>
      <c r="L713" s="164">
        <v>-235</v>
      </c>
      <c r="M713" s="164">
        <v>-262</v>
      </c>
      <c r="N713" s="164">
        <v>-259</v>
      </c>
      <c r="O713" s="164">
        <v>-260</v>
      </c>
      <c r="P713" s="164">
        <v>-241</v>
      </c>
      <c r="Q713" s="164">
        <v>-262</v>
      </c>
      <c r="R713" s="164">
        <v>-271</v>
      </c>
      <c r="S713" s="164">
        <v>-872</v>
      </c>
      <c r="T713" s="164">
        <v>-1159</v>
      </c>
      <c r="U713" s="164">
        <v>-914</v>
      </c>
      <c r="V713" s="164">
        <v>-828</v>
      </c>
      <c r="W713" s="164">
        <v>-1147</v>
      </c>
      <c r="X713" s="164">
        <v>-843</v>
      </c>
      <c r="Y713" s="164">
        <v>-1034</v>
      </c>
      <c r="Z713" s="164">
        <v>-1010</v>
      </c>
      <c r="AA713" s="164">
        <v>-879</v>
      </c>
      <c r="AB713" s="164">
        <v>-848</v>
      </c>
      <c r="AC713" s="164">
        <v>-965</v>
      </c>
      <c r="AD713" s="164">
        <v>-612</v>
      </c>
      <c r="AE713" s="164">
        <v>-867</v>
      </c>
      <c r="AF713" s="164">
        <v>-647</v>
      </c>
      <c r="AG713" s="164">
        <v>-770</v>
      </c>
      <c r="AH713" s="164">
        <v>-650</v>
      </c>
      <c r="AI713" s="164">
        <v>-698</v>
      </c>
      <c r="AJ713" s="164">
        <v>-668</v>
      </c>
      <c r="AK713" s="164">
        <v>-751</v>
      </c>
      <c r="AL713" s="164">
        <v>-682</v>
      </c>
      <c r="AM713" s="164">
        <v>-719</v>
      </c>
      <c r="AN713" s="164">
        <v>-569</v>
      </c>
      <c r="AO713" s="164">
        <v>-638</v>
      </c>
      <c r="AP713" s="164">
        <v>-501</v>
      </c>
      <c r="AQ713" s="164">
        <v>-357</v>
      </c>
      <c r="AR713" s="164">
        <v>-393</v>
      </c>
      <c r="AS713" s="164">
        <v>-292</v>
      </c>
      <c r="AT713" s="164">
        <v>-428</v>
      </c>
      <c r="AU713" s="164">
        <v>-256</v>
      </c>
      <c r="AV713" s="164">
        <v>-376</v>
      </c>
      <c r="AW713" s="171">
        <v>-388</v>
      </c>
      <c r="AX713" s="55">
        <v>-373.72618173545226</v>
      </c>
      <c r="AY713" s="55">
        <v>-509.36011540581922</v>
      </c>
      <c r="AZ713" s="55">
        <v>-609.25958406565371</v>
      </c>
      <c r="BA713" s="55">
        <v>-607.4868993605013</v>
      </c>
      <c r="BB713" s="55">
        <v>-626.03442945107872</v>
      </c>
      <c r="BC713" s="55">
        <v>-625.15594279767799</v>
      </c>
      <c r="BD713" s="55">
        <v>-644.19823320199021</v>
      </c>
      <c r="BE713" s="55">
        <v>-647.70056053503731</v>
      </c>
      <c r="BF713" s="55">
        <v>-667.4686740768027</v>
      </c>
      <c r="BG713" s="55">
        <v>-667.47365190517974</v>
      </c>
      <c r="BH713" s="55">
        <v>-689.82057503409987</v>
      </c>
      <c r="BI713" s="55">
        <v>-689.88977217971751</v>
      </c>
      <c r="BJ713" s="55">
        <v>-713.05261003223291</v>
      </c>
      <c r="BK713" s="55">
        <v>-1635.1803850110562</v>
      </c>
      <c r="BL713" s="55">
        <v>-3189.4478133003886</v>
      </c>
      <c r="BM713" s="55">
        <v>-3219.7231144789052</v>
      </c>
      <c r="BN713" s="55">
        <v>-1122.1672707294417</v>
      </c>
      <c r="BO713" s="55">
        <v>-1124.2180507218063</v>
      </c>
      <c r="BP713" s="55">
        <v>-1163.9453266904529</v>
      </c>
      <c r="BQ713" s="55">
        <v>-1166.1291051534888</v>
      </c>
      <c r="BR713" s="55"/>
      <c r="BS713" s="55"/>
      <c r="BT713" s="55"/>
      <c r="BU713" s="55"/>
      <c r="BV713" s="55"/>
      <c r="BW713" s="55"/>
      <c r="BX713" s="55"/>
      <c r="BY713" s="55"/>
      <c r="BZ713" s="55"/>
      <c r="CA713" s="55"/>
      <c r="CB713" s="55"/>
      <c r="CC713" s="55"/>
      <c r="CD713" s="55"/>
      <c r="CE713" s="55"/>
      <c r="CF713" s="55"/>
      <c r="CG713" s="55">
        <v>-497</v>
      </c>
      <c r="CH713" s="55">
        <v>-519</v>
      </c>
      <c r="CI713" s="55">
        <v>-503</v>
      </c>
      <c r="CJ713" s="55">
        <v>-1143</v>
      </c>
      <c r="CK713" s="55">
        <v>-2073</v>
      </c>
      <c r="CL713" s="55">
        <v>-1975</v>
      </c>
      <c r="CM713" s="55">
        <v>-1877</v>
      </c>
      <c r="CN713" s="55">
        <v>-1889</v>
      </c>
      <c r="CO713" s="55">
        <v>-1813</v>
      </c>
      <c r="CP713" s="55">
        <v>-1479</v>
      </c>
      <c r="CQ713" s="55">
        <v>-1417</v>
      </c>
      <c r="CR713" s="55">
        <v>-1420</v>
      </c>
      <c r="CS713" s="55">
        <v>-1348</v>
      </c>
      <c r="CT713" s="55">
        <v>-1401</v>
      </c>
      <c r="CU713" s="55">
        <v>-1207</v>
      </c>
      <c r="CV713" s="55">
        <v>-858</v>
      </c>
      <c r="CW713" s="55">
        <v>-685</v>
      </c>
      <c r="CX713" s="55">
        <v>-684</v>
      </c>
      <c r="CY713" s="56">
        <v>-764</v>
      </c>
      <c r="CZ713" s="55">
        <v>-883.08629714127142</v>
      </c>
      <c r="DA713" s="55">
        <v>-1216.746483426155</v>
      </c>
      <c r="DB713" s="55">
        <v>-1251.1903722487568</v>
      </c>
      <c r="DC713" s="55">
        <v>-1291.8987937370275</v>
      </c>
      <c r="DD713" s="55">
        <v>-1334.9423259819823</v>
      </c>
      <c r="DE713" s="55">
        <v>-1379.7103472138174</v>
      </c>
      <c r="DF713" s="55">
        <v>-2348.2329950432891</v>
      </c>
      <c r="DG713" s="55">
        <v>-6409.1709277792943</v>
      </c>
      <c r="DH713" s="55">
        <v>-2246.3853214512483</v>
      </c>
      <c r="DI713" s="55">
        <v>-2330.074431843942</v>
      </c>
    </row>
    <row r="714" spans="1:113" hidden="1" outlineLevel="2">
      <c r="A714" s="1" t="s">
        <v>2420</v>
      </c>
      <c r="B714" s="19" t="s">
        <v>801</v>
      </c>
      <c r="C714" s="164"/>
      <c r="D714" s="164"/>
      <c r="E714" s="164"/>
      <c r="F714" s="164"/>
      <c r="G714" s="164"/>
      <c r="H714" s="164"/>
      <c r="I714" s="164"/>
      <c r="J714" s="164"/>
      <c r="K714" s="164"/>
      <c r="L714" s="164"/>
      <c r="M714" s="164"/>
      <c r="N714" s="164"/>
      <c r="O714" s="164"/>
      <c r="P714" s="164"/>
      <c r="Q714" s="164"/>
      <c r="R714" s="164"/>
      <c r="S714" s="164"/>
      <c r="T714" s="164"/>
      <c r="U714" s="164"/>
      <c r="V714" s="164"/>
      <c r="W714" s="164"/>
      <c r="X714" s="164"/>
      <c r="Y714" s="164"/>
      <c r="Z714" s="164"/>
      <c r="AA714" s="55"/>
      <c r="AB714" s="55"/>
      <c r="AC714" s="55"/>
      <c r="AD714" s="55"/>
      <c r="AE714" s="55"/>
      <c r="AF714" s="55"/>
      <c r="AG714" s="55"/>
      <c r="AH714" s="55"/>
      <c r="AI714" s="55"/>
      <c r="AJ714" s="55"/>
      <c r="AK714" s="55"/>
      <c r="AL714" s="55"/>
      <c r="AM714" s="55"/>
      <c r="AN714" s="55"/>
      <c r="AO714" s="55"/>
      <c r="AP714" s="55"/>
      <c r="AQ714" s="55"/>
      <c r="AR714" s="55"/>
      <c r="AS714" s="55"/>
      <c r="AT714" s="55"/>
      <c r="AU714" s="55"/>
      <c r="AV714" s="55"/>
      <c r="AW714" s="56"/>
      <c r="AX714" s="55"/>
      <c r="AY714" s="55"/>
      <c r="AZ714" s="55"/>
      <c r="BA714" s="55"/>
      <c r="BB714" s="55"/>
      <c r="BC714" s="55"/>
      <c r="BD714" s="55"/>
      <c r="BE714" s="55"/>
      <c r="BF714" s="55"/>
      <c r="BG714" s="55"/>
      <c r="BH714" s="55"/>
      <c r="BI714" s="55"/>
      <c r="BJ714" s="55"/>
      <c r="BK714" s="55"/>
      <c r="BL714" s="55"/>
      <c r="BM714" s="55"/>
      <c r="BN714" s="55"/>
      <c r="BO714" s="55"/>
      <c r="BP714" s="55"/>
      <c r="BQ714" s="55"/>
      <c r="BR714" s="55"/>
      <c r="BS714" s="55"/>
      <c r="BT714" s="55"/>
      <c r="BU714" s="55"/>
      <c r="BV714" s="55"/>
      <c r="BW714" s="55"/>
      <c r="BX714" s="55"/>
      <c r="BY714" s="55"/>
      <c r="BZ714" s="55"/>
      <c r="CA714" s="55"/>
      <c r="CB714" s="55"/>
      <c r="CC714" s="55"/>
      <c r="CD714" s="55"/>
      <c r="CE714" s="55"/>
      <c r="CF714" s="55"/>
      <c r="CG714" s="55"/>
      <c r="CH714" s="55"/>
      <c r="CI714" s="55"/>
      <c r="CJ714" s="55"/>
      <c r="CK714" s="55"/>
      <c r="CL714" s="55"/>
      <c r="CM714" s="55"/>
      <c r="CN714" s="55"/>
      <c r="CO714" s="55"/>
      <c r="CP714" s="55"/>
      <c r="CQ714" s="55"/>
      <c r="CR714" s="55"/>
      <c r="CS714" s="55"/>
      <c r="CT714" s="55"/>
      <c r="CU714" s="55"/>
      <c r="CV714" s="55"/>
      <c r="CW714" s="55"/>
      <c r="CX714" s="55"/>
      <c r="CY714" s="56"/>
      <c r="CZ714" s="55"/>
      <c r="DA714" s="55"/>
      <c r="DB714" s="55"/>
    </row>
    <row r="715" spans="1:113" hidden="1" outlineLevel="2">
      <c r="A715" s="1" t="s">
        <v>2421</v>
      </c>
      <c r="B715" s="19" t="s">
        <v>801</v>
      </c>
      <c r="C715" s="164"/>
      <c r="D715" s="164"/>
      <c r="E715" s="164"/>
      <c r="F715" s="164"/>
      <c r="G715" s="164"/>
      <c r="H715" s="164"/>
      <c r="I715" s="164"/>
      <c r="J715" s="164"/>
      <c r="K715" s="164"/>
      <c r="L715" s="164"/>
      <c r="M715" s="164"/>
      <c r="N715" s="164"/>
      <c r="O715" s="164"/>
      <c r="P715" s="164"/>
      <c r="Q715" s="164"/>
      <c r="R715" s="164"/>
      <c r="S715" s="164"/>
      <c r="T715" s="164"/>
      <c r="U715" s="164"/>
      <c r="V715" s="164"/>
      <c r="W715" s="164"/>
      <c r="X715" s="164"/>
      <c r="Y715" s="164"/>
      <c r="Z715" s="164"/>
      <c r="AA715" s="55"/>
      <c r="AB715" s="55"/>
      <c r="AC715" s="55"/>
      <c r="AD715" s="55"/>
      <c r="AE715" s="55"/>
      <c r="AF715" s="55"/>
      <c r="AG715" s="55"/>
      <c r="AH715" s="55"/>
      <c r="AI715" s="55"/>
      <c r="AJ715" s="55"/>
      <c r="AK715" s="55"/>
      <c r="AL715" s="55"/>
      <c r="AM715" s="55"/>
      <c r="AN715" s="55"/>
      <c r="AO715" s="55"/>
      <c r="AP715" s="55"/>
      <c r="AQ715" s="55"/>
      <c r="AR715" s="55"/>
      <c r="AS715" s="55"/>
      <c r="AT715" s="55"/>
      <c r="AU715" s="55"/>
      <c r="AV715" s="55"/>
      <c r="AW715" s="56"/>
      <c r="AX715" s="55"/>
      <c r="AY715" s="55"/>
      <c r="AZ715" s="55"/>
      <c r="BA715" s="55"/>
      <c r="BB715" s="55"/>
      <c r="BC715" s="55"/>
      <c r="BD715" s="55"/>
      <c r="BE715" s="55"/>
      <c r="BF715" s="55"/>
      <c r="BG715" s="55"/>
      <c r="BH715" s="55"/>
      <c r="BI715" s="55"/>
      <c r="BJ715" s="55"/>
      <c r="BK715" s="55"/>
      <c r="BL715" s="55"/>
      <c r="BM715" s="55"/>
      <c r="BN715" s="55"/>
      <c r="BO715" s="55"/>
      <c r="BP715" s="55"/>
      <c r="BQ715" s="55"/>
      <c r="BR715" s="55"/>
      <c r="BS715" s="55"/>
      <c r="BT715" s="55"/>
      <c r="BU715" s="55"/>
      <c r="BV715" s="55"/>
      <c r="BW715" s="55"/>
      <c r="BX715" s="55"/>
      <c r="BY715" s="55"/>
      <c r="BZ715" s="55"/>
      <c r="CA715" s="55"/>
      <c r="CB715" s="55"/>
      <c r="CC715" s="55"/>
      <c r="CD715" s="55"/>
      <c r="CE715" s="55"/>
      <c r="CF715" s="55"/>
      <c r="CG715" s="55"/>
      <c r="CH715" s="55"/>
      <c r="CI715" s="55"/>
      <c r="CJ715" s="55"/>
      <c r="CK715" s="55"/>
      <c r="CL715" s="55"/>
      <c r="CM715" s="55"/>
      <c r="CN715" s="55"/>
      <c r="CO715" s="55"/>
      <c r="CP715" s="55"/>
      <c r="CQ715" s="55"/>
      <c r="CR715" s="55"/>
      <c r="CS715" s="55"/>
      <c r="CT715" s="55"/>
      <c r="CU715" s="55"/>
      <c r="CV715" s="55"/>
      <c r="CW715" s="55"/>
      <c r="CX715" s="55"/>
      <c r="CY715" s="56"/>
      <c r="CZ715" s="55"/>
      <c r="DA715" s="55"/>
      <c r="DB715" s="55"/>
    </row>
    <row r="716" spans="1:113" hidden="1" outlineLevel="2">
      <c r="A716" s="1" t="s">
        <v>2422</v>
      </c>
      <c r="B716" s="19" t="s">
        <v>801</v>
      </c>
      <c r="C716" s="164"/>
      <c r="D716" s="164"/>
      <c r="E716" s="164"/>
      <c r="F716" s="164"/>
      <c r="G716" s="164"/>
      <c r="H716" s="164"/>
      <c r="I716" s="164"/>
      <c r="J716" s="164"/>
      <c r="K716" s="164"/>
      <c r="L716" s="164"/>
      <c r="M716" s="164"/>
      <c r="N716" s="164"/>
      <c r="O716" s="164"/>
      <c r="P716" s="164"/>
      <c r="Q716" s="164"/>
      <c r="R716" s="164"/>
      <c r="S716" s="164"/>
      <c r="T716" s="164"/>
      <c r="U716" s="164"/>
      <c r="V716" s="164"/>
      <c r="W716" s="164"/>
      <c r="X716" s="164"/>
      <c r="Y716" s="164"/>
      <c r="Z716" s="164"/>
      <c r="AA716" s="55"/>
      <c r="AB716" s="55"/>
      <c r="AC716" s="55"/>
      <c r="AD716" s="55"/>
      <c r="AE716" s="55"/>
      <c r="AF716" s="55"/>
      <c r="AG716" s="55"/>
      <c r="AH716" s="55"/>
      <c r="AI716" s="55"/>
      <c r="AJ716" s="55"/>
      <c r="AK716" s="55"/>
      <c r="AL716" s="55"/>
      <c r="AM716" s="55"/>
      <c r="AN716" s="55"/>
      <c r="AO716" s="55"/>
      <c r="AP716" s="55"/>
      <c r="AQ716" s="55"/>
      <c r="AR716" s="55"/>
      <c r="AS716" s="55"/>
      <c r="AT716" s="55"/>
      <c r="AU716" s="55"/>
      <c r="AV716" s="55"/>
      <c r="AW716" s="56"/>
      <c r="AX716" s="55"/>
      <c r="AY716" s="55"/>
      <c r="AZ716" s="55"/>
      <c r="BA716" s="55"/>
      <c r="BB716" s="55"/>
      <c r="BC716" s="55"/>
      <c r="BD716" s="55"/>
      <c r="BE716" s="55"/>
      <c r="BF716" s="55"/>
      <c r="BG716" s="55"/>
      <c r="BH716" s="55"/>
      <c r="BI716" s="55"/>
      <c r="BJ716" s="55"/>
      <c r="BK716" s="55"/>
      <c r="BL716" s="55"/>
      <c r="BM716" s="55"/>
      <c r="BN716" s="55"/>
      <c r="BO716" s="55"/>
      <c r="BP716" s="55"/>
      <c r="BQ716" s="55"/>
      <c r="BR716" s="55"/>
      <c r="BS716" s="55"/>
      <c r="BT716" s="55"/>
      <c r="BU716" s="55"/>
      <c r="BV716" s="55"/>
      <c r="BW716" s="55"/>
      <c r="BX716" s="55"/>
      <c r="BY716" s="55"/>
      <c r="BZ716" s="55"/>
      <c r="CA716" s="55"/>
      <c r="CB716" s="55"/>
      <c r="CC716" s="55"/>
      <c r="CD716" s="55"/>
      <c r="CE716" s="55"/>
      <c r="CF716" s="55"/>
      <c r="CG716" s="55"/>
      <c r="CH716" s="55"/>
      <c r="CI716" s="55"/>
      <c r="CJ716" s="55"/>
      <c r="CK716" s="55"/>
      <c r="CL716" s="55"/>
      <c r="CM716" s="55"/>
      <c r="CN716" s="55"/>
      <c r="CO716" s="55"/>
      <c r="CP716" s="55"/>
      <c r="CQ716" s="55"/>
      <c r="CR716" s="55"/>
      <c r="CS716" s="55"/>
      <c r="CT716" s="55"/>
      <c r="CU716" s="55"/>
      <c r="CV716" s="55"/>
      <c r="CW716" s="55"/>
      <c r="CX716" s="55"/>
      <c r="CY716" s="56"/>
      <c r="CZ716" s="55"/>
      <c r="DA716" s="55"/>
      <c r="DB716" s="55"/>
    </row>
    <row r="717" spans="1:113" hidden="1" outlineLevel="2">
      <c r="A717" s="1" t="s">
        <v>2423</v>
      </c>
      <c r="B717" s="19" t="s">
        <v>801</v>
      </c>
      <c r="C717" s="164"/>
      <c r="D717" s="164"/>
      <c r="E717" s="164"/>
      <c r="F717" s="164"/>
      <c r="G717" s="164"/>
      <c r="H717" s="164"/>
      <c r="I717" s="164"/>
      <c r="J717" s="164"/>
      <c r="K717" s="164"/>
      <c r="L717" s="164"/>
      <c r="M717" s="164"/>
      <c r="N717" s="164"/>
      <c r="O717" s="164"/>
      <c r="P717" s="164"/>
      <c r="Q717" s="164"/>
      <c r="R717" s="164"/>
      <c r="S717" s="164"/>
      <c r="T717" s="164"/>
      <c r="U717" s="164"/>
      <c r="V717" s="164"/>
      <c r="W717" s="164"/>
      <c r="X717" s="164"/>
      <c r="Y717" s="164"/>
      <c r="Z717" s="164"/>
      <c r="AA717" s="55"/>
      <c r="AB717" s="55"/>
      <c r="AC717" s="55"/>
      <c r="AD717" s="55"/>
      <c r="AE717" s="55"/>
      <c r="AF717" s="55"/>
      <c r="AG717" s="55"/>
      <c r="AH717" s="55"/>
      <c r="AI717" s="55"/>
      <c r="AJ717" s="55"/>
      <c r="AK717" s="55"/>
      <c r="AL717" s="55"/>
      <c r="AM717" s="55"/>
      <c r="AN717" s="55"/>
      <c r="AO717" s="55"/>
      <c r="AP717" s="55"/>
      <c r="AQ717" s="55"/>
      <c r="AR717" s="55"/>
      <c r="AS717" s="55"/>
      <c r="AT717" s="55"/>
      <c r="AU717" s="55"/>
      <c r="AV717" s="55"/>
      <c r="AW717" s="56"/>
      <c r="AX717" s="55"/>
      <c r="AY717" s="55"/>
      <c r="AZ717" s="55"/>
      <c r="BA717" s="55"/>
      <c r="BB717" s="55"/>
      <c r="BC717" s="55"/>
      <c r="BD717" s="55"/>
      <c r="BE717" s="55"/>
      <c r="BF717" s="55"/>
      <c r="BG717" s="55"/>
      <c r="BH717" s="55"/>
      <c r="BI717" s="55"/>
      <c r="BJ717" s="55"/>
      <c r="BK717" s="55"/>
      <c r="BL717" s="55"/>
      <c r="BM717" s="55"/>
      <c r="BN717" s="55"/>
      <c r="BO717" s="55"/>
      <c r="BP717" s="55"/>
      <c r="BQ717" s="55"/>
      <c r="BR717" s="55"/>
      <c r="BS717" s="55"/>
      <c r="BT717" s="55"/>
      <c r="BU717" s="55"/>
      <c r="BV717" s="55"/>
      <c r="BW717" s="55"/>
      <c r="BX717" s="55"/>
      <c r="BY717" s="55"/>
      <c r="BZ717" s="55"/>
      <c r="CA717" s="55"/>
      <c r="CB717" s="55"/>
      <c r="CC717" s="55"/>
      <c r="CD717" s="55"/>
      <c r="CE717" s="55"/>
      <c r="CF717" s="55"/>
      <c r="CG717" s="55"/>
      <c r="CH717" s="55"/>
      <c r="CI717" s="55"/>
      <c r="CJ717" s="55"/>
      <c r="CK717" s="55"/>
      <c r="CL717" s="55"/>
      <c r="CM717" s="55"/>
      <c r="CN717" s="55"/>
      <c r="CO717" s="55"/>
      <c r="CP717" s="55"/>
      <c r="CQ717" s="55"/>
      <c r="CR717" s="55"/>
      <c r="CS717" s="55"/>
      <c r="CT717" s="55"/>
      <c r="CU717" s="55"/>
      <c r="CV717" s="55"/>
      <c r="CW717" s="55"/>
      <c r="CX717" s="55"/>
      <c r="CY717" s="56"/>
      <c r="CZ717" s="55"/>
      <c r="DA717" s="55"/>
      <c r="DB717" s="55"/>
    </row>
    <row r="718" spans="1:113" hidden="1" outlineLevel="2">
      <c r="A718" s="1" t="s">
        <v>2424</v>
      </c>
      <c r="B718" s="19" t="s">
        <v>801</v>
      </c>
      <c r="C718" s="164"/>
      <c r="D718" s="164"/>
      <c r="E718" s="164"/>
      <c r="F718" s="164"/>
      <c r="G718" s="164"/>
      <c r="H718" s="164"/>
      <c r="I718" s="164"/>
      <c r="J718" s="164"/>
      <c r="K718" s="164"/>
      <c r="L718" s="164"/>
      <c r="M718" s="164"/>
      <c r="N718" s="164"/>
      <c r="O718" s="164"/>
      <c r="P718" s="164"/>
      <c r="Q718" s="164"/>
      <c r="R718" s="164"/>
      <c r="S718" s="164"/>
      <c r="T718" s="164"/>
      <c r="U718" s="164"/>
      <c r="V718" s="164"/>
      <c r="W718" s="164"/>
      <c r="X718" s="164"/>
      <c r="Y718" s="164"/>
      <c r="Z718" s="164"/>
      <c r="AA718" s="55"/>
      <c r="AB718" s="55"/>
      <c r="AC718" s="55"/>
      <c r="AD718" s="55"/>
      <c r="AE718" s="55"/>
      <c r="AF718" s="55"/>
      <c r="AG718" s="55"/>
      <c r="AH718" s="55"/>
      <c r="AI718" s="55"/>
      <c r="AJ718" s="55"/>
      <c r="AK718" s="55"/>
      <c r="AL718" s="55"/>
      <c r="AM718" s="55"/>
      <c r="AN718" s="55"/>
      <c r="AO718" s="55"/>
      <c r="AP718" s="55"/>
      <c r="AQ718" s="55"/>
      <c r="AR718" s="55"/>
      <c r="AS718" s="55"/>
      <c r="AT718" s="55"/>
      <c r="AU718" s="55"/>
      <c r="AV718" s="55"/>
      <c r="AW718" s="56"/>
      <c r="AX718" s="55"/>
      <c r="AY718" s="55"/>
      <c r="AZ718" s="55"/>
      <c r="BA718" s="55"/>
      <c r="BB718" s="55"/>
      <c r="BC718" s="55"/>
      <c r="BD718" s="55"/>
      <c r="BE718" s="55"/>
      <c r="BF718" s="55"/>
      <c r="BG718" s="55"/>
      <c r="BH718" s="55"/>
      <c r="BI718" s="55"/>
      <c r="BJ718" s="55"/>
      <c r="BK718" s="55"/>
      <c r="BL718" s="55"/>
      <c r="BM718" s="55"/>
      <c r="BN718" s="55"/>
      <c r="BO718" s="55"/>
      <c r="BP718" s="55"/>
      <c r="BQ718" s="55"/>
      <c r="BR718" s="55"/>
      <c r="BS718" s="55"/>
      <c r="BT718" s="55"/>
      <c r="BU718" s="55"/>
      <c r="BV718" s="55"/>
      <c r="BW718" s="55"/>
      <c r="BX718" s="55"/>
      <c r="BY718" s="55"/>
      <c r="BZ718" s="55"/>
      <c r="CA718" s="55"/>
      <c r="CB718" s="55"/>
      <c r="CC718" s="55"/>
      <c r="CD718" s="55"/>
      <c r="CE718" s="55"/>
      <c r="CF718" s="55"/>
      <c r="CG718" s="55"/>
      <c r="CH718" s="55"/>
      <c r="CI718" s="55"/>
      <c r="CJ718" s="55"/>
      <c r="CK718" s="55"/>
      <c r="CL718" s="55"/>
      <c r="CM718" s="55"/>
      <c r="CN718" s="55"/>
      <c r="CO718" s="55"/>
      <c r="CP718" s="55"/>
      <c r="CQ718" s="55"/>
      <c r="CR718" s="55"/>
      <c r="CS718" s="55"/>
      <c r="CT718" s="55"/>
      <c r="CU718" s="55"/>
      <c r="CV718" s="55"/>
      <c r="CW718" s="55"/>
      <c r="CX718" s="55"/>
      <c r="CY718" s="56"/>
      <c r="CZ718" s="55"/>
      <c r="DA718" s="55"/>
      <c r="DB718" s="55"/>
    </row>
    <row r="719" spans="1:113" hidden="1" outlineLevel="2">
      <c r="A719" s="1" t="s">
        <v>2425</v>
      </c>
      <c r="B719" s="19" t="s">
        <v>801</v>
      </c>
      <c r="C719" s="164"/>
      <c r="D719" s="164"/>
      <c r="E719" s="164"/>
      <c r="F719" s="164"/>
      <c r="G719" s="164"/>
      <c r="H719" s="164"/>
      <c r="I719" s="164"/>
      <c r="J719" s="164"/>
      <c r="K719" s="164"/>
      <c r="L719" s="164"/>
      <c r="M719" s="164"/>
      <c r="N719" s="164"/>
      <c r="O719" s="164"/>
      <c r="P719" s="164"/>
      <c r="Q719" s="164"/>
      <c r="R719" s="164"/>
      <c r="S719" s="164"/>
      <c r="T719" s="164"/>
      <c r="U719" s="164"/>
      <c r="V719" s="164"/>
      <c r="W719" s="164"/>
      <c r="X719" s="164"/>
      <c r="Y719" s="164"/>
      <c r="Z719" s="164"/>
      <c r="AA719" s="55"/>
      <c r="AB719" s="55"/>
      <c r="AC719" s="55"/>
      <c r="AD719" s="55"/>
      <c r="AE719" s="55"/>
      <c r="AF719" s="55"/>
      <c r="AG719" s="55"/>
      <c r="AH719" s="55"/>
      <c r="AI719" s="55"/>
      <c r="AJ719" s="55"/>
      <c r="AK719" s="55"/>
      <c r="AL719" s="55"/>
      <c r="AM719" s="55"/>
      <c r="AN719" s="55"/>
      <c r="AO719" s="55"/>
      <c r="AP719" s="55"/>
      <c r="AQ719" s="55"/>
      <c r="AR719" s="55"/>
      <c r="AS719" s="55"/>
      <c r="AT719" s="55"/>
      <c r="AU719" s="55"/>
      <c r="AV719" s="55"/>
      <c r="AW719" s="56"/>
      <c r="AX719" s="55"/>
      <c r="AY719" s="55"/>
      <c r="AZ719" s="55"/>
      <c r="BA719" s="55"/>
      <c r="BB719" s="55"/>
      <c r="BC719" s="55"/>
      <c r="BD719" s="55"/>
      <c r="BE719" s="55"/>
      <c r="BF719" s="55"/>
      <c r="BG719" s="55"/>
      <c r="BH719" s="55"/>
      <c r="BI719" s="55"/>
      <c r="BJ719" s="55"/>
      <c r="BK719" s="55"/>
      <c r="BL719" s="55"/>
      <c r="BM719" s="55"/>
      <c r="BN719" s="55"/>
      <c r="BO719" s="55"/>
      <c r="BP719" s="55"/>
      <c r="BQ719" s="55"/>
      <c r="BR719" s="55"/>
      <c r="BS719" s="55"/>
      <c r="BT719" s="55"/>
      <c r="BU719" s="55"/>
      <c r="BV719" s="55"/>
      <c r="BW719" s="55"/>
      <c r="BX719" s="55"/>
      <c r="BY719" s="55"/>
      <c r="BZ719" s="55"/>
      <c r="CA719" s="55"/>
      <c r="CB719" s="55"/>
      <c r="CC719" s="55"/>
      <c r="CD719" s="55"/>
      <c r="CE719" s="55"/>
      <c r="CF719" s="55"/>
      <c r="CG719" s="55"/>
      <c r="CH719" s="55"/>
      <c r="CI719" s="55"/>
      <c r="CJ719" s="55"/>
      <c r="CK719" s="55"/>
      <c r="CL719" s="55"/>
      <c r="CM719" s="55"/>
      <c r="CN719" s="55"/>
      <c r="CO719" s="55"/>
      <c r="CP719" s="55"/>
      <c r="CQ719" s="55"/>
      <c r="CR719" s="55"/>
      <c r="CS719" s="55"/>
      <c r="CT719" s="55"/>
      <c r="CU719" s="55"/>
      <c r="CV719" s="55"/>
      <c r="CW719" s="55"/>
      <c r="CX719" s="55"/>
      <c r="CY719" s="56"/>
      <c r="CZ719" s="55"/>
      <c r="DA719" s="55"/>
      <c r="DB719" s="55"/>
    </row>
    <row r="720" spans="1:113" hidden="1" outlineLevel="2">
      <c r="A720" s="1" t="s">
        <v>2426</v>
      </c>
      <c r="B720" s="19" t="s">
        <v>801</v>
      </c>
      <c r="C720" s="164"/>
      <c r="D720" s="164"/>
      <c r="E720" s="164"/>
      <c r="F720" s="164"/>
      <c r="G720" s="164"/>
      <c r="H720" s="164"/>
      <c r="I720" s="164"/>
      <c r="J720" s="164"/>
      <c r="K720" s="164"/>
      <c r="L720" s="164"/>
      <c r="M720" s="164"/>
      <c r="N720" s="164"/>
      <c r="O720" s="164"/>
      <c r="P720" s="164"/>
      <c r="Q720" s="164"/>
      <c r="R720" s="164"/>
      <c r="S720" s="164"/>
      <c r="T720" s="164"/>
      <c r="U720" s="164"/>
      <c r="V720" s="164"/>
      <c r="W720" s="164"/>
      <c r="X720" s="164"/>
      <c r="Y720" s="164"/>
      <c r="Z720" s="164"/>
      <c r="AA720" s="55"/>
      <c r="AB720" s="55"/>
      <c r="AC720" s="55"/>
      <c r="AD720" s="55"/>
      <c r="AE720" s="55"/>
      <c r="AF720" s="55"/>
      <c r="AG720" s="55"/>
      <c r="AH720" s="55"/>
      <c r="AI720" s="55"/>
      <c r="AJ720" s="55"/>
      <c r="AK720" s="55"/>
      <c r="AL720" s="55"/>
      <c r="AM720" s="55"/>
      <c r="AN720" s="55"/>
      <c r="AO720" s="55"/>
      <c r="AP720" s="55"/>
      <c r="AQ720" s="55"/>
      <c r="AR720" s="55"/>
      <c r="AS720" s="55"/>
      <c r="AT720" s="55"/>
      <c r="AU720" s="55"/>
      <c r="AV720" s="55"/>
      <c r="AW720" s="56"/>
      <c r="AX720" s="55"/>
      <c r="AY720" s="55"/>
      <c r="AZ720" s="55"/>
      <c r="BA720" s="55"/>
      <c r="BB720" s="55"/>
      <c r="BC720" s="55"/>
      <c r="BD720" s="55"/>
      <c r="BE720" s="55"/>
      <c r="BF720" s="55"/>
      <c r="BG720" s="55"/>
      <c r="BH720" s="55"/>
      <c r="BI720" s="55"/>
      <c r="BJ720" s="55"/>
      <c r="BK720" s="55"/>
      <c r="BL720" s="55"/>
      <c r="BM720" s="55"/>
      <c r="BN720" s="55"/>
      <c r="BO720" s="55"/>
      <c r="BP720" s="55"/>
      <c r="BQ720" s="55"/>
      <c r="BR720" s="55"/>
      <c r="BS720" s="55"/>
      <c r="BT720" s="55"/>
      <c r="BU720" s="55"/>
      <c r="BV720" s="55"/>
      <c r="BW720" s="55"/>
      <c r="BX720" s="55"/>
      <c r="BY720" s="55"/>
      <c r="BZ720" s="55"/>
      <c r="CA720" s="55"/>
      <c r="CB720" s="55"/>
      <c r="CC720" s="55"/>
      <c r="CD720" s="55"/>
      <c r="CE720" s="55"/>
      <c r="CF720" s="55"/>
      <c r="CG720" s="55"/>
      <c r="CH720" s="55"/>
      <c r="CI720" s="55"/>
      <c r="CJ720" s="55"/>
      <c r="CK720" s="55"/>
      <c r="CL720" s="55"/>
      <c r="CM720" s="55"/>
      <c r="CN720" s="55"/>
      <c r="CO720" s="55"/>
      <c r="CP720" s="55"/>
      <c r="CQ720" s="55"/>
      <c r="CR720" s="55"/>
      <c r="CS720" s="55"/>
      <c r="CT720" s="55"/>
      <c r="CU720" s="55"/>
      <c r="CV720" s="55"/>
      <c r="CW720" s="55"/>
      <c r="CX720" s="55"/>
      <c r="CY720" s="56"/>
      <c r="CZ720" s="55"/>
      <c r="DA720" s="55"/>
      <c r="DB720" s="55"/>
    </row>
    <row r="721" spans="1:113" hidden="1" outlineLevel="2">
      <c r="A721" s="1" t="s">
        <v>2427</v>
      </c>
      <c r="B721" s="19" t="s">
        <v>801</v>
      </c>
      <c r="C721" s="55"/>
      <c r="D721" s="55"/>
      <c r="E721" s="55"/>
      <c r="F721" s="55"/>
      <c r="G721" s="55"/>
      <c r="H721" s="55"/>
      <c r="I721" s="55"/>
      <c r="J721" s="55"/>
      <c r="K721" s="55"/>
      <c r="L721" s="55"/>
      <c r="M721" s="55"/>
      <c r="N721" s="55"/>
      <c r="O721" s="55"/>
      <c r="P721" s="55"/>
      <c r="Q721" s="55"/>
      <c r="R721" s="55"/>
      <c r="S721" s="55"/>
      <c r="T721" s="55"/>
      <c r="U721" s="55"/>
      <c r="V721" s="55"/>
      <c r="W721" s="55"/>
      <c r="X721" s="55"/>
      <c r="Y721" s="55"/>
      <c r="Z721" s="55"/>
      <c r="AA721" s="55"/>
      <c r="AB721" s="55"/>
      <c r="AC721" s="55"/>
      <c r="AD721" s="55"/>
      <c r="AE721" s="55"/>
      <c r="AF721" s="55"/>
      <c r="AG721" s="55"/>
      <c r="AH721" s="55"/>
      <c r="AI721" s="55"/>
      <c r="AJ721" s="55"/>
      <c r="AK721" s="55"/>
      <c r="AL721" s="55"/>
      <c r="AM721" s="55"/>
      <c r="AN721" s="55"/>
      <c r="AO721" s="55"/>
      <c r="AP721" s="55"/>
      <c r="AQ721" s="55"/>
      <c r="AR721" s="55"/>
      <c r="AS721" s="55"/>
      <c r="AT721" s="55"/>
      <c r="AU721" s="55"/>
      <c r="AV721" s="55"/>
      <c r="AW721" s="56"/>
      <c r="AX721" s="55"/>
      <c r="AY721" s="55"/>
      <c r="AZ721" s="55"/>
      <c r="BA721" s="55"/>
      <c r="BB721" s="55"/>
      <c r="BC721" s="55"/>
      <c r="BD721" s="55"/>
      <c r="BE721" s="55"/>
      <c r="BF721" s="55"/>
      <c r="BG721" s="55"/>
      <c r="BH721" s="55"/>
      <c r="BI721" s="55"/>
      <c r="BJ721" s="55"/>
      <c r="BK721" s="55"/>
      <c r="BL721" s="55"/>
      <c r="BM721" s="55"/>
      <c r="BN721" s="55"/>
      <c r="BO721" s="55"/>
      <c r="BP721" s="55"/>
      <c r="BQ721" s="55"/>
      <c r="BR721" s="55"/>
      <c r="BS721" s="55"/>
      <c r="BT721" s="55"/>
      <c r="BU721" s="55"/>
      <c r="BV721" s="55"/>
      <c r="BW721" s="55"/>
      <c r="BX721" s="55"/>
      <c r="BY721" s="55"/>
      <c r="BZ721" s="55"/>
      <c r="CA721" s="55"/>
      <c r="CB721" s="55"/>
      <c r="CC721" s="55"/>
      <c r="CD721" s="55"/>
      <c r="CE721" s="55"/>
      <c r="CF721" s="55"/>
      <c r="CG721" s="55"/>
      <c r="CH721" s="55"/>
      <c r="CI721" s="55"/>
      <c r="CJ721" s="55"/>
      <c r="CK721" s="55"/>
      <c r="CL721" s="55"/>
      <c r="CM721" s="55"/>
      <c r="CN721" s="55"/>
      <c r="CO721" s="55"/>
      <c r="CP721" s="55"/>
      <c r="CQ721" s="55"/>
      <c r="CR721" s="55"/>
      <c r="CS721" s="55"/>
      <c r="CT721" s="55"/>
      <c r="CU721" s="55"/>
      <c r="CV721" s="55"/>
      <c r="CW721" s="55"/>
      <c r="CX721" s="55"/>
      <c r="CY721" s="56"/>
      <c r="CZ721" s="55"/>
      <c r="DA721" s="55"/>
      <c r="DB721" s="55"/>
    </row>
    <row r="722" spans="1:113" hidden="1" outlineLevel="2">
      <c r="A722" s="1" t="s">
        <v>2428</v>
      </c>
      <c r="B722" s="19" t="s">
        <v>801</v>
      </c>
      <c r="C722" s="55"/>
      <c r="D722" s="55"/>
      <c r="E722" s="55"/>
      <c r="F722" s="55"/>
      <c r="G722" s="55"/>
      <c r="H722" s="55"/>
      <c r="I722" s="55"/>
      <c r="J722" s="55"/>
      <c r="K722" s="55"/>
      <c r="L722" s="55"/>
      <c r="M722" s="55"/>
      <c r="N722" s="55"/>
      <c r="O722" s="55"/>
      <c r="P722" s="55"/>
      <c r="Q722" s="55"/>
      <c r="R722" s="55"/>
      <c r="S722" s="55"/>
      <c r="T722" s="55"/>
      <c r="U722" s="55"/>
      <c r="V722" s="55"/>
      <c r="W722" s="55"/>
      <c r="X722" s="55"/>
      <c r="Y722" s="55"/>
      <c r="Z722" s="55"/>
      <c r="AA722" s="55"/>
      <c r="AB722" s="55"/>
      <c r="AC722" s="55"/>
      <c r="AD722" s="55"/>
      <c r="AE722" s="55"/>
      <c r="AF722" s="55"/>
      <c r="AG722" s="55"/>
      <c r="AH722" s="55"/>
      <c r="AI722" s="55"/>
      <c r="AJ722" s="55"/>
      <c r="AK722" s="55"/>
      <c r="AL722" s="55"/>
      <c r="AM722" s="55"/>
      <c r="AN722" s="55"/>
      <c r="AO722" s="55"/>
      <c r="AP722" s="55"/>
      <c r="AQ722" s="55"/>
      <c r="AR722" s="55"/>
      <c r="AS722" s="55"/>
      <c r="AT722" s="55"/>
      <c r="AU722" s="55"/>
      <c r="AV722" s="55"/>
      <c r="AW722" s="56"/>
      <c r="AX722" s="55"/>
      <c r="AY722" s="55"/>
      <c r="AZ722" s="55"/>
      <c r="BA722" s="55"/>
      <c r="BB722" s="55"/>
      <c r="BC722" s="55"/>
      <c r="BD722" s="55"/>
      <c r="BE722" s="55"/>
      <c r="BF722" s="55"/>
      <c r="BG722" s="55"/>
      <c r="BH722" s="55"/>
      <c r="BI722" s="55"/>
      <c r="BJ722" s="55"/>
      <c r="BK722" s="55"/>
      <c r="BL722" s="55"/>
      <c r="BM722" s="55"/>
      <c r="BN722" s="55"/>
      <c r="BO722" s="55"/>
      <c r="BP722" s="55"/>
      <c r="BQ722" s="55"/>
      <c r="BR722" s="55"/>
      <c r="BS722" s="55"/>
      <c r="BT722" s="55"/>
      <c r="BU722" s="55"/>
      <c r="BV722" s="55"/>
      <c r="BW722" s="55"/>
      <c r="BX722" s="55"/>
      <c r="BY722" s="55"/>
      <c r="BZ722" s="55"/>
      <c r="CA722" s="55"/>
      <c r="CB722" s="55"/>
      <c r="CC722" s="55"/>
      <c r="CD722" s="55"/>
      <c r="CE722" s="55"/>
      <c r="CF722" s="55"/>
      <c r="CG722" s="55"/>
      <c r="CH722" s="55"/>
      <c r="CI722" s="55"/>
      <c r="CJ722" s="55"/>
      <c r="CK722" s="55"/>
      <c r="CL722" s="55"/>
      <c r="CM722" s="55"/>
      <c r="CN722" s="55"/>
      <c r="CO722" s="55"/>
      <c r="CP722" s="55"/>
      <c r="CQ722" s="55"/>
      <c r="CR722" s="55"/>
      <c r="CS722" s="55"/>
      <c r="CT722" s="55"/>
      <c r="CU722" s="55"/>
      <c r="CV722" s="55"/>
      <c r="CW722" s="55"/>
      <c r="CX722" s="55"/>
      <c r="CY722" s="56"/>
      <c r="CZ722" s="55"/>
      <c r="DA722" s="55"/>
      <c r="DB722" s="55"/>
    </row>
    <row r="723" spans="1:113" hidden="1" outlineLevel="2">
      <c r="A723" s="1" t="s">
        <v>2429</v>
      </c>
      <c r="B723" s="19" t="s">
        <v>801</v>
      </c>
      <c r="C723" s="55"/>
      <c r="D723" s="55"/>
      <c r="E723" s="55"/>
      <c r="F723" s="55"/>
      <c r="G723" s="55"/>
      <c r="H723" s="55"/>
      <c r="I723" s="55"/>
      <c r="J723" s="55"/>
      <c r="K723" s="55"/>
      <c r="L723" s="55"/>
      <c r="M723" s="55"/>
      <c r="N723" s="55"/>
      <c r="O723" s="55"/>
      <c r="P723" s="55"/>
      <c r="Q723" s="55"/>
      <c r="R723" s="55"/>
      <c r="S723" s="55"/>
      <c r="T723" s="55"/>
      <c r="U723" s="55"/>
      <c r="V723" s="55"/>
      <c r="W723" s="55"/>
      <c r="X723" s="55"/>
      <c r="Y723" s="55"/>
      <c r="Z723" s="55"/>
      <c r="AA723" s="55"/>
      <c r="AB723" s="55"/>
      <c r="AC723" s="55"/>
      <c r="AD723" s="55"/>
      <c r="AE723" s="55"/>
      <c r="AF723" s="55"/>
      <c r="AG723" s="55"/>
      <c r="AH723" s="55"/>
      <c r="AI723" s="55"/>
      <c r="AJ723" s="55"/>
      <c r="AK723" s="55"/>
      <c r="AL723" s="55"/>
      <c r="AM723" s="55"/>
      <c r="AN723" s="55"/>
      <c r="AO723" s="55"/>
      <c r="AP723" s="55"/>
      <c r="AQ723" s="55"/>
      <c r="AR723" s="55"/>
      <c r="AS723" s="55"/>
      <c r="AT723" s="55"/>
      <c r="AU723" s="55"/>
      <c r="AV723" s="55"/>
      <c r="AW723" s="56"/>
      <c r="AX723" s="55"/>
      <c r="AY723" s="55"/>
      <c r="AZ723" s="55"/>
      <c r="BA723" s="55"/>
      <c r="BB723" s="55"/>
      <c r="BC723" s="55"/>
      <c r="BD723" s="55"/>
      <c r="BE723" s="55"/>
      <c r="BF723" s="55"/>
      <c r="BG723" s="55"/>
      <c r="BH723" s="55"/>
      <c r="BI723" s="55"/>
      <c r="BJ723" s="55"/>
      <c r="BK723" s="55"/>
      <c r="BL723" s="55"/>
      <c r="BM723" s="55"/>
      <c r="BN723" s="55"/>
      <c r="BO723" s="55"/>
      <c r="BP723" s="55"/>
      <c r="BQ723" s="55"/>
      <c r="BR723" s="55"/>
      <c r="BS723" s="55"/>
      <c r="BT723" s="55"/>
      <c r="BU723" s="55"/>
      <c r="BV723" s="55"/>
      <c r="BW723" s="55"/>
      <c r="BX723" s="55"/>
      <c r="BY723" s="55"/>
      <c r="BZ723" s="55"/>
      <c r="CA723" s="55"/>
      <c r="CB723" s="55"/>
      <c r="CC723" s="55"/>
      <c r="CD723" s="55"/>
      <c r="CE723" s="55"/>
      <c r="CF723" s="55"/>
      <c r="CG723" s="55"/>
      <c r="CH723" s="55"/>
      <c r="CI723" s="55"/>
      <c r="CJ723" s="55"/>
      <c r="CK723" s="55"/>
      <c r="CL723" s="55"/>
      <c r="CM723" s="55"/>
      <c r="CN723" s="55"/>
      <c r="CO723" s="55"/>
      <c r="CP723" s="55"/>
      <c r="CQ723" s="55"/>
      <c r="CR723" s="55"/>
      <c r="CS723" s="55"/>
      <c r="CT723" s="55"/>
      <c r="CU723" s="55"/>
      <c r="CV723" s="55"/>
      <c r="CW723" s="55"/>
      <c r="CX723" s="55"/>
      <c r="CY723" s="56"/>
      <c r="CZ723" s="55"/>
      <c r="DA723" s="55"/>
      <c r="DB723" s="55"/>
    </row>
    <row r="724" spans="1:113" outlineLevel="1" collapsed="1">
      <c r="C724" s="55"/>
      <c r="D724" s="55"/>
      <c r="E724" s="55"/>
      <c r="F724" s="55"/>
      <c r="G724" s="55"/>
      <c r="H724" s="55"/>
      <c r="I724" s="55"/>
      <c r="J724" s="55"/>
      <c r="K724" s="55"/>
      <c r="L724" s="55"/>
      <c r="M724" s="55"/>
      <c r="N724" s="55"/>
      <c r="O724" s="55"/>
      <c r="P724" s="55"/>
      <c r="Q724" s="55"/>
      <c r="R724" s="55"/>
      <c r="S724" s="55"/>
      <c r="T724" s="55"/>
      <c r="U724" s="55"/>
      <c r="V724" s="55"/>
      <c r="W724" s="55"/>
      <c r="X724" s="55"/>
      <c r="Y724" s="55"/>
      <c r="Z724" s="55"/>
      <c r="AA724" s="55"/>
      <c r="AB724" s="55"/>
      <c r="AC724" s="55"/>
      <c r="AD724" s="55"/>
      <c r="AE724" s="55"/>
      <c r="AF724" s="55"/>
      <c r="AG724" s="55"/>
      <c r="AH724" s="55"/>
      <c r="AI724" s="55"/>
      <c r="AJ724" s="55"/>
      <c r="AK724" s="55"/>
      <c r="AL724" s="55"/>
      <c r="AM724" s="55"/>
      <c r="AN724" s="55"/>
      <c r="AO724" s="55"/>
      <c r="AP724" s="55"/>
      <c r="AQ724" s="55"/>
      <c r="AR724" s="55"/>
      <c r="AS724" s="55"/>
      <c r="AT724" s="55"/>
      <c r="AU724" s="55"/>
      <c r="AV724" s="55"/>
      <c r="AW724" s="56"/>
      <c r="AX724" s="55"/>
      <c r="AY724" s="55"/>
      <c r="AZ724" s="55"/>
      <c r="BA724" s="55"/>
      <c r="BB724" s="55"/>
      <c r="BC724" s="55"/>
      <c r="BD724" s="55"/>
      <c r="BE724" s="55"/>
      <c r="BF724" s="55"/>
      <c r="BG724" s="55"/>
      <c r="BH724" s="55"/>
      <c r="BI724" s="55"/>
      <c r="BJ724" s="55"/>
      <c r="BK724" s="55"/>
      <c r="BL724" s="55"/>
      <c r="BM724" s="55"/>
      <c r="BN724" s="55"/>
      <c r="BO724" s="55"/>
      <c r="BP724" s="55"/>
      <c r="BQ724" s="55"/>
      <c r="BR724" s="55"/>
      <c r="BS724" s="55"/>
      <c r="BT724" s="55"/>
      <c r="BU724" s="55"/>
      <c r="BV724" s="55"/>
      <c r="BW724" s="55"/>
      <c r="BX724" s="55"/>
      <c r="BY724" s="55"/>
      <c r="BZ724" s="55"/>
      <c r="CA724" s="55"/>
      <c r="CB724" s="55"/>
      <c r="CC724" s="55"/>
      <c r="CD724" s="55"/>
      <c r="CE724" s="55"/>
      <c r="CF724" s="55"/>
      <c r="CG724" s="55"/>
      <c r="CH724" s="55"/>
      <c r="CI724" s="55"/>
      <c r="CJ724" s="55"/>
      <c r="CK724" s="55"/>
      <c r="CL724" s="55"/>
      <c r="CM724" s="55"/>
      <c r="CN724" s="55"/>
      <c r="CO724" s="55"/>
      <c r="CP724" s="55"/>
      <c r="CQ724" s="55"/>
      <c r="CR724" s="55"/>
      <c r="CS724" s="55"/>
      <c r="CT724" s="55"/>
      <c r="CU724" s="55"/>
      <c r="CV724" s="55"/>
      <c r="CW724" s="55"/>
      <c r="CX724" s="55"/>
      <c r="CY724" s="56"/>
      <c r="CZ724" s="55"/>
      <c r="DA724" s="55"/>
      <c r="DB724" s="55"/>
    </row>
    <row r="725" spans="1:113" s="5" customFormat="1" ht="12.95" customHeight="1" outlineLevel="1">
      <c r="A725" s="1"/>
      <c r="B725" s="6" t="s">
        <v>377</v>
      </c>
      <c r="C725" s="568" t="e">
        <v>#VALUE!</v>
      </c>
      <c r="D725" s="568" t="s">
        <v>797</v>
      </c>
      <c r="E725" s="568" t="s">
        <v>797</v>
      </c>
      <c r="F725" s="568" t="s">
        <v>797</v>
      </c>
      <c r="G725" s="568" t="s">
        <v>797</v>
      </c>
      <c r="H725" s="568" t="s">
        <v>797</v>
      </c>
      <c r="I725" s="568" t="s">
        <v>797</v>
      </c>
      <c r="J725" s="568" t="s">
        <v>797</v>
      </c>
      <c r="K725" s="568" t="s">
        <v>797</v>
      </c>
      <c r="L725" s="568" t="s">
        <v>797</v>
      </c>
      <c r="M725" s="97" t="s">
        <v>797</v>
      </c>
      <c r="N725" s="97" t="s">
        <v>797</v>
      </c>
      <c r="O725" s="97" t="s">
        <v>797</v>
      </c>
      <c r="P725" s="97" t="s">
        <v>797</v>
      </c>
      <c r="Q725" s="97" t="s">
        <v>797</v>
      </c>
      <c r="R725" s="97" t="s">
        <v>797</v>
      </c>
      <c r="S725" s="97" t="s">
        <v>797</v>
      </c>
      <c r="T725" s="100" t="s">
        <v>797</v>
      </c>
      <c r="U725" s="97" t="s">
        <v>797</v>
      </c>
      <c r="V725" s="97" t="s">
        <v>797</v>
      </c>
      <c r="W725" s="97" t="s">
        <v>797</v>
      </c>
      <c r="X725" s="97" t="s">
        <v>797</v>
      </c>
      <c r="Y725" s="100" t="s">
        <v>797</v>
      </c>
      <c r="Z725" s="100" t="s">
        <v>797</v>
      </c>
      <c r="AA725" s="100" t="s">
        <v>797</v>
      </c>
      <c r="AB725" s="100" t="s">
        <v>797</v>
      </c>
      <c r="AC725" s="100" t="s">
        <v>797</v>
      </c>
      <c r="AD725" s="100" t="s">
        <v>797</v>
      </c>
      <c r="AE725" s="100" t="s">
        <v>797</v>
      </c>
      <c r="AF725" s="100" t="s">
        <v>797</v>
      </c>
      <c r="AG725" s="100" t="s">
        <v>797</v>
      </c>
      <c r="AH725" s="100" t="s">
        <v>797</v>
      </c>
      <c r="AI725" s="100" t="s">
        <v>797</v>
      </c>
      <c r="AJ725" s="100" t="s">
        <v>797</v>
      </c>
      <c r="AK725" s="100" t="s">
        <v>797</v>
      </c>
      <c r="AL725" s="100" t="s">
        <v>797</v>
      </c>
      <c r="AM725" s="100" t="s">
        <v>797</v>
      </c>
      <c r="AN725" s="100" t="s">
        <v>797</v>
      </c>
      <c r="AO725" s="100" t="s">
        <v>797</v>
      </c>
      <c r="AP725" s="100" t="s">
        <v>797</v>
      </c>
      <c r="AQ725" s="100" t="s">
        <v>797</v>
      </c>
      <c r="AR725" s="100" t="s">
        <v>797</v>
      </c>
      <c r="AS725" s="100" t="s">
        <v>797</v>
      </c>
      <c r="AT725" s="100" t="s">
        <v>797</v>
      </c>
      <c r="AU725" s="100" t="s">
        <v>797</v>
      </c>
      <c r="AV725" s="100" t="s">
        <v>797</v>
      </c>
      <c r="AW725" s="98" t="s">
        <v>797</v>
      </c>
      <c r="AX725" s="97" t="s">
        <v>797</v>
      </c>
      <c r="AY725" s="97" t="s">
        <v>797</v>
      </c>
      <c r="AZ725" s="97" t="s">
        <v>797</v>
      </c>
      <c r="BA725" s="97" t="s">
        <v>797</v>
      </c>
      <c r="BB725" s="97" t="s">
        <v>797</v>
      </c>
      <c r="BC725" s="97" t="s">
        <v>797</v>
      </c>
      <c r="BD725" s="97" t="s">
        <v>797</v>
      </c>
      <c r="BE725" s="97" t="s">
        <v>797</v>
      </c>
      <c r="BF725" s="97" t="s">
        <v>797</v>
      </c>
      <c r="BG725" s="97" t="s">
        <v>797</v>
      </c>
      <c r="BH725" s="97" t="s">
        <v>797</v>
      </c>
      <c r="BI725" s="97" t="s">
        <v>797</v>
      </c>
      <c r="BJ725" s="97" t="s">
        <v>797</v>
      </c>
      <c r="BK725" s="97" t="s">
        <v>797</v>
      </c>
      <c r="BL725" s="568" t="s">
        <v>797</v>
      </c>
      <c r="BM725" s="568" t="s">
        <v>797</v>
      </c>
      <c r="BN725" s="568" t="s">
        <v>797</v>
      </c>
      <c r="BO725" s="568" t="s">
        <v>797</v>
      </c>
      <c r="BP725" s="568" t="s">
        <v>797</v>
      </c>
      <c r="BQ725" s="568" t="s">
        <v>797</v>
      </c>
      <c r="BR725" s="99"/>
      <c r="BS725" s="568" t="e">
        <v>#DIV/0!</v>
      </c>
      <c r="BT725" s="568" t="s">
        <v>797</v>
      </c>
      <c r="BU725" s="568" t="s">
        <v>797</v>
      </c>
      <c r="BV725" s="568" t="s">
        <v>797</v>
      </c>
      <c r="BW725" s="568" t="s">
        <v>797</v>
      </c>
      <c r="BX725" s="568" t="s">
        <v>797</v>
      </c>
      <c r="BY725" s="568" t="s">
        <v>797</v>
      </c>
      <c r="BZ725" s="568" t="s">
        <v>797</v>
      </c>
      <c r="CA725" s="568" t="s">
        <v>797</v>
      </c>
      <c r="CB725" s="568" t="s">
        <v>797</v>
      </c>
      <c r="CC725" s="97" t="s">
        <v>797</v>
      </c>
      <c r="CD725" s="97" t="s">
        <v>797</v>
      </c>
      <c r="CE725" s="97" t="s">
        <v>797</v>
      </c>
      <c r="CF725" s="97" t="s">
        <v>797</v>
      </c>
      <c r="CG725" s="97" t="s">
        <v>797</v>
      </c>
      <c r="CH725" s="97" t="s">
        <v>797</v>
      </c>
      <c r="CI725" s="97" t="s">
        <v>797</v>
      </c>
      <c r="CJ725" s="97" t="s">
        <v>797</v>
      </c>
      <c r="CK725" s="97" t="s">
        <v>797</v>
      </c>
      <c r="CL725" s="97" t="s">
        <v>797</v>
      </c>
      <c r="CM725" s="100" t="s">
        <v>797</v>
      </c>
      <c r="CN725" s="100" t="s">
        <v>797</v>
      </c>
      <c r="CO725" s="100" t="s">
        <v>797</v>
      </c>
      <c r="CP725" s="100" t="s">
        <v>797</v>
      </c>
      <c r="CQ725" s="100" t="s">
        <v>797</v>
      </c>
      <c r="CR725" s="100" t="s">
        <v>797</v>
      </c>
      <c r="CS725" s="100" t="s">
        <v>797</v>
      </c>
      <c r="CT725" s="100" t="s">
        <v>797</v>
      </c>
      <c r="CU725" s="100" t="s">
        <v>797</v>
      </c>
      <c r="CV725" s="100" t="s">
        <v>797</v>
      </c>
      <c r="CW725" s="100" t="s">
        <v>797</v>
      </c>
      <c r="CX725" s="100" t="s">
        <v>797</v>
      </c>
      <c r="CY725" s="98" t="s">
        <v>797</v>
      </c>
      <c r="CZ725" s="97" t="s">
        <v>797</v>
      </c>
      <c r="DA725" s="97" t="s">
        <v>797</v>
      </c>
      <c r="DB725" s="97" t="s">
        <v>797</v>
      </c>
      <c r="DC725" s="97" t="s">
        <v>797</v>
      </c>
      <c r="DD725" s="97" t="s">
        <v>797</v>
      </c>
      <c r="DE725" s="97" t="s">
        <v>797</v>
      </c>
      <c r="DF725" s="97" t="s">
        <v>797</v>
      </c>
      <c r="DG725" s="568" t="s">
        <v>797</v>
      </c>
      <c r="DH725" s="568" t="s">
        <v>797</v>
      </c>
      <c r="DI725" s="568" t="s">
        <v>797</v>
      </c>
    </row>
    <row r="726" spans="1:113" outlineLevel="1">
      <c r="AW726" s="22"/>
      <c r="CY726" s="22"/>
    </row>
    <row r="727" spans="1:113" s="24" customFormat="1" outlineLevel="1">
      <c r="A727" s="1"/>
      <c r="B727" s="24" t="s">
        <v>378</v>
      </c>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23"/>
      <c r="AX727" s="13"/>
      <c r="AY727" s="13"/>
      <c r="AZ727" s="13"/>
      <c r="BA727" s="13"/>
      <c r="BB727" s="13"/>
      <c r="BC727" s="13"/>
      <c r="BD727" s="13"/>
      <c r="BE727" s="13"/>
      <c r="BF727" s="13"/>
      <c r="BG727" s="13"/>
      <c r="BH727" s="13"/>
      <c r="BI727" s="13"/>
      <c r="BJ727" s="13"/>
      <c r="BK727" s="13"/>
      <c r="BL727" s="13"/>
      <c r="BM727" s="13"/>
      <c r="BN727" s="13"/>
      <c r="BO727" s="13"/>
      <c r="BP727" s="13"/>
      <c r="BQ727" s="13"/>
      <c r="BR727" s="13"/>
      <c r="BS727" s="13"/>
      <c r="BT727" s="13"/>
      <c r="BU727" s="13"/>
      <c r="BV727" s="13"/>
      <c r="BW727" s="13"/>
      <c r="BX727" s="13"/>
      <c r="BY727" s="13"/>
      <c r="BZ727" s="13"/>
      <c r="CA727" s="13"/>
      <c r="CB727" s="13"/>
      <c r="CC727" s="13"/>
      <c r="CD727" s="13"/>
      <c r="CE727" s="13"/>
      <c r="CF727" s="13"/>
      <c r="CG727" s="13"/>
      <c r="CH727" s="13"/>
      <c r="CI727" s="13"/>
      <c r="CJ727" s="13"/>
      <c r="CK727" s="13"/>
      <c r="CL727" s="13"/>
      <c r="CM727" s="13"/>
      <c r="CN727" s="13"/>
      <c r="CO727" s="13"/>
      <c r="CP727" s="13"/>
      <c r="CQ727" s="13"/>
      <c r="CR727" s="13"/>
      <c r="CS727" s="13"/>
      <c r="CT727" s="13"/>
      <c r="CU727" s="13"/>
      <c r="CV727" s="13"/>
      <c r="CW727" s="13"/>
      <c r="CX727" s="13"/>
      <c r="CY727" s="23"/>
      <c r="CZ727" s="13"/>
      <c r="DA727" s="13"/>
      <c r="DB727" s="13"/>
    </row>
    <row r="728" spans="1:113" outlineLevel="1">
      <c r="A728" s="1" t="s">
        <v>947</v>
      </c>
      <c r="B728" s="19" t="s">
        <v>200</v>
      </c>
      <c r="C728" s="69">
        <v>0.9965796974522293</v>
      </c>
      <c r="D728" s="69">
        <v>0.94598573717948731</v>
      </c>
      <c r="E728" s="69">
        <v>1.1382732641660016</v>
      </c>
      <c r="F728" s="69">
        <v>0.47785251396648049</v>
      </c>
      <c r="G728" s="69">
        <v>1.0866044657097289</v>
      </c>
      <c r="H728" s="69">
        <v>0.95266380270485285</v>
      </c>
      <c r="I728" s="69">
        <v>1.0041101195219124</v>
      </c>
      <c r="J728" s="69">
        <v>1.2980905928853754</v>
      </c>
      <c r="K728" s="69">
        <v>1.264149882168107</v>
      </c>
      <c r="L728" s="69">
        <v>1.5520729117876659</v>
      </c>
      <c r="M728" s="69">
        <v>1.4930610116731518</v>
      </c>
      <c r="N728" s="69">
        <v>1.6754827102803738</v>
      </c>
      <c r="O728" s="69">
        <v>1.7322808971384378</v>
      </c>
      <c r="P728" s="69">
        <v>1.7866245022970906</v>
      </c>
      <c r="Q728" s="69">
        <v>1.8074724791508721</v>
      </c>
      <c r="R728" s="69">
        <v>1.8654243004418263</v>
      </c>
      <c r="S728" s="69">
        <v>1.4097373913043478</v>
      </c>
      <c r="T728" s="69">
        <v>1.8873237032173342</v>
      </c>
      <c r="U728" s="69">
        <v>1.762361403508772</v>
      </c>
      <c r="V728" s="69">
        <v>1.9493130659767144</v>
      </c>
      <c r="W728" s="69">
        <v>2.1302780141843973</v>
      </c>
      <c r="X728" s="69">
        <v>2.2919043478260872</v>
      </c>
      <c r="Y728" s="69">
        <v>2.1638675931775113</v>
      </c>
      <c r="Z728" s="69">
        <v>2.2503136591478698</v>
      </c>
      <c r="AA728" s="69">
        <v>2.4567734744707348</v>
      </c>
      <c r="AB728" s="69">
        <v>2.5863308887507768</v>
      </c>
      <c r="AC728" s="69">
        <v>2.7126574969021067</v>
      </c>
      <c r="AD728" s="69">
        <v>2.7712418777022854</v>
      </c>
      <c r="AE728" s="69">
        <v>2.7593711467324291</v>
      </c>
      <c r="AF728" s="69">
        <v>2.7359952324195471</v>
      </c>
      <c r="AG728" s="69">
        <v>2.6811000585137506</v>
      </c>
      <c r="AH728" s="69">
        <v>2.8525641025641026</v>
      </c>
      <c r="AI728" s="69">
        <v>2.9193735498839906</v>
      </c>
      <c r="AJ728" s="69">
        <v>2.8195402298850576</v>
      </c>
      <c r="AK728" s="69">
        <v>2.5216647662485747</v>
      </c>
      <c r="AL728" s="69">
        <v>2.6086216676120251</v>
      </c>
      <c r="AM728" s="69">
        <v>2.2453363482193329</v>
      </c>
      <c r="AN728" s="69">
        <v>3.481062747314867</v>
      </c>
      <c r="AO728" s="69">
        <v>1.9412097230073488</v>
      </c>
      <c r="AP728" s="69">
        <v>2.7508474576271187</v>
      </c>
      <c r="AQ728" s="69">
        <v>2.9977426636568847</v>
      </c>
      <c r="AR728" s="69">
        <v>3.3735632183908044</v>
      </c>
      <c r="AS728" s="69">
        <v>2.876173708920188</v>
      </c>
      <c r="AT728" s="69">
        <v>3.0513274336283187</v>
      </c>
      <c r="AU728" s="69">
        <v>2.8640949554896142</v>
      </c>
      <c r="AV728" s="69">
        <v>2.8428912783751494</v>
      </c>
      <c r="AW728" s="70">
        <v>2.770472205618649</v>
      </c>
      <c r="AX728" s="69">
        <v>2.9498620740830357</v>
      </c>
      <c r="AY728" s="69">
        <v>2.8748895702524071</v>
      </c>
      <c r="AZ728" s="69">
        <v>2.9637579395414964</v>
      </c>
      <c r="BA728" s="69">
        <v>2.9133949622538831</v>
      </c>
      <c r="BB728" s="69">
        <v>2.9792949979021137</v>
      </c>
      <c r="BC728" s="69">
        <v>2.93975784297775</v>
      </c>
      <c r="BD728" s="69">
        <v>3.0384864743805635</v>
      </c>
      <c r="BE728" s="69">
        <v>3.0358739688409901</v>
      </c>
      <c r="BF728" s="69">
        <v>3.1229476323477683</v>
      </c>
      <c r="BG728" s="69">
        <v>3.0787400951791035</v>
      </c>
      <c r="BH728" s="69">
        <v>3.1972199725686195</v>
      </c>
      <c r="BI728" s="69">
        <v>3.1819985881866004</v>
      </c>
      <c r="BJ728" s="69">
        <v>2.8647317975653399</v>
      </c>
      <c r="BK728" s="69">
        <v>2.454092137481326</v>
      </c>
      <c r="BL728" s="69">
        <v>2.5541226506393491</v>
      </c>
      <c r="BM728" s="69">
        <v>2.959649920643264</v>
      </c>
      <c r="BN728" s="69">
        <v>3.4013869366113436</v>
      </c>
      <c r="BO728" s="69">
        <v>3.404714298645505</v>
      </c>
      <c r="BP728" s="69">
        <v>3.5646445517253009</v>
      </c>
      <c r="BQ728" s="69">
        <v>3.5688512854607697</v>
      </c>
      <c r="BR728" s="69"/>
      <c r="BS728" s="69">
        <v>0.51278771907703946</v>
      </c>
      <c r="BT728" s="69">
        <v>0.5143081592155947</v>
      </c>
      <c r="BU728" s="69">
        <v>0.76499063944964474</v>
      </c>
      <c r="BV728" s="69">
        <v>1.0581080086580088</v>
      </c>
      <c r="BW728" s="69">
        <v>1.1485628482972137</v>
      </c>
      <c r="BX728" s="69">
        <v>1.169224427480916</v>
      </c>
      <c r="BY728" s="69">
        <v>1.1657139784946238</v>
      </c>
      <c r="BZ728" s="69">
        <v>1.5256970873786408</v>
      </c>
      <c r="CA728" s="69">
        <v>2.8968932038834954</v>
      </c>
      <c r="CB728" s="69">
        <v>1.8857931746031746</v>
      </c>
      <c r="CC728" s="69">
        <v>2.0846091687845063</v>
      </c>
      <c r="CD728" s="69">
        <v>1.5646946707203258</v>
      </c>
      <c r="CE728" s="69">
        <v>1.9567414749811827</v>
      </c>
      <c r="CF728" s="69">
        <v>2.5620671139925344</v>
      </c>
      <c r="CG728" s="69">
        <v>3.0615744349181604</v>
      </c>
      <c r="CH728" s="69">
        <v>3.425135764158262</v>
      </c>
      <c r="CI728" s="69">
        <v>3.6123381568926125</v>
      </c>
      <c r="CJ728" s="69">
        <v>3.2357836338418862</v>
      </c>
      <c r="CK728" s="69">
        <v>3.6688438928804703</v>
      </c>
      <c r="CL728" s="69">
        <v>4.1033591731266146</v>
      </c>
      <c r="CM728" s="69">
        <v>4.4806102987921168</v>
      </c>
      <c r="CN728" s="69">
        <v>4.7332916926920676</v>
      </c>
      <c r="CO728" s="69">
        <v>5.3296089385474863</v>
      </c>
      <c r="CP728" s="69">
        <v>5.5282208588957058</v>
      </c>
      <c r="CQ728" s="69">
        <v>5.4181925575900767</v>
      </c>
      <c r="CR728" s="69">
        <v>5.7719826954566011</v>
      </c>
      <c r="CS728" s="69">
        <v>5.3400114481969094</v>
      </c>
      <c r="CT728" s="69">
        <v>4.8533408833522085</v>
      </c>
      <c r="CU728" s="69">
        <v>5.4222724703222163</v>
      </c>
      <c r="CV728" s="69">
        <v>5.7487295313382267</v>
      </c>
      <c r="CW728" s="69">
        <v>6.2549361207897789</v>
      </c>
      <c r="CX728" s="69">
        <v>5.9159763313609464</v>
      </c>
      <c r="CY728" s="70">
        <v>5.6150627615062758</v>
      </c>
      <c r="CZ728" s="69">
        <v>5.8248510492976209</v>
      </c>
      <c r="DA728" s="69">
        <v>5.8771529017953794</v>
      </c>
      <c r="DB728" s="69">
        <v>5.9190528408798642</v>
      </c>
      <c r="DC728" s="69">
        <v>6.0743604432215541</v>
      </c>
      <c r="DD728" s="69">
        <v>6.2016877275268723</v>
      </c>
      <c r="DE728" s="69">
        <v>6.379218560755219</v>
      </c>
      <c r="DF728" s="69">
        <v>5.3188239350466668</v>
      </c>
      <c r="DG728" s="69">
        <v>5.5137725712826136</v>
      </c>
      <c r="DH728" s="69">
        <v>6.8061012352568486</v>
      </c>
      <c r="DI728" s="69">
        <v>7.1334958371860697</v>
      </c>
    </row>
    <row r="729" spans="1:113" outlineLevel="1">
      <c r="A729" s="1" t="s">
        <v>948</v>
      </c>
      <c r="B729" s="19" t="s">
        <v>201</v>
      </c>
      <c r="C729" s="69">
        <v>0.99907411624203835</v>
      </c>
      <c r="D729" s="69">
        <v>0.95546950320512836</v>
      </c>
      <c r="E729" s="69">
        <v>1.1477191859537113</v>
      </c>
      <c r="F729" s="69">
        <v>0.48896536312849165</v>
      </c>
      <c r="G729" s="69">
        <v>1.0977084529505581</v>
      </c>
      <c r="H729" s="69">
        <v>0.97349044515103345</v>
      </c>
      <c r="I729" s="69">
        <v>1.0376782165605096</v>
      </c>
      <c r="J729" s="69">
        <v>1.2673490608564988</v>
      </c>
      <c r="K729" s="69">
        <v>1.244559668924003</v>
      </c>
      <c r="L729" s="69">
        <v>1.5258492123030758</v>
      </c>
      <c r="M729" s="69">
        <v>1.4674790178571431</v>
      </c>
      <c r="N729" s="69">
        <v>1.6403204126750184</v>
      </c>
      <c r="O729" s="69">
        <v>1.708069520295203</v>
      </c>
      <c r="P729" s="69">
        <v>1.7595665223665224</v>
      </c>
      <c r="Q729" s="69">
        <v>1.7393387613082811</v>
      </c>
      <c r="R729" s="69">
        <v>1.7200577547047373</v>
      </c>
      <c r="S729" s="69">
        <v>1.3458162028447744</v>
      </c>
      <c r="T729" s="69">
        <v>1.823330945027795</v>
      </c>
      <c r="U729" s="69">
        <v>1.6979371016235718</v>
      </c>
      <c r="V729" s="69">
        <v>1.8771659676452968</v>
      </c>
      <c r="W729" s="69">
        <v>2.0445216507177033</v>
      </c>
      <c r="X729" s="69">
        <v>2.2057277511961724</v>
      </c>
      <c r="Y729" s="69">
        <v>2.0864786010669829</v>
      </c>
      <c r="Z729" s="69">
        <v>2.1823490822972174</v>
      </c>
      <c r="AA729" s="69">
        <v>2.3852796460176995</v>
      </c>
      <c r="AB729" s="69">
        <v>2.5218530805687207</v>
      </c>
      <c r="AC729" s="69">
        <v>2.6506944872554832</v>
      </c>
      <c r="AD729" s="69">
        <v>2.7021330199764981</v>
      </c>
      <c r="AE729" s="69">
        <v>2.6860803727431568</v>
      </c>
      <c r="AF729" s="69">
        <v>2.6689458689458689</v>
      </c>
      <c r="AG729" s="69">
        <v>2.6152987158012282</v>
      </c>
      <c r="AH729" s="69">
        <v>2.7664637520752628</v>
      </c>
      <c r="AI729" s="69">
        <v>2.8326912493120529</v>
      </c>
      <c r="AJ729" s="69">
        <v>2.7303309820944115</v>
      </c>
      <c r="AK729" s="69">
        <v>2.444563470808784</v>
      </c>
      <c r="AL729" s="69">
        <v>2.5097419694576093</v>
      </c>
      <c r="AM729" s="69">
        <v>2.1714886901630721</v>
      </c>
      <c r="AN729" s="69">
        <v>3.3379237288135593</v>
      </c>
      <c r="AO729" s="69">
        <v>1.8782791185729275</v>
      </c>
      <c r="AP729" s="69">
        <v>2.5891191709844561</v>
      </c>
      <c r="AQ729" s="69">
        <v>2.8472803347280333</v>
      </c>
      <c r="AR729" s="69">
        <v>3.2367853290183386</v>
      </c>
      <c r="AS729" s="69">
        <v>2.7684674751929439</v>
      </c>
      <c r="AT729" s="69">
        <v>2.962451684152402</v>
      </c>
      <c r="AU729" s="69">
        <v>2.8408323959505064</v>
      </c>
      <c r="AV729" s="69">
        <v>2.8215883668903805</v>
      </c>
      <c r="AW729" s="70">
        <v>2.7713156408808581</v>
      </c>
      <c r="AX729" s="69">
        <v>2.9409591731879847</v>
      </c>
      <c r="AY729" s="69">
        <v>2.8703853071927892</v>
      </c>
      <c r="AZ729" s="69">
        <v>2.9544586718071826</v>
      </c>
      <c r="BA729" s="69">
        <v>2.9068825786382511</v>
      </c>
      <c r="BB729" s="69">
        <v>2.9691359719976473</v>
      </c>
      <c r="BC729" s="69">
        <v>2.9317866438279911</v>
      </c>
      <c r="BD729" s="69">
        <v>3.0250520308053526</v>
      </c>
      <c r="BE729" s="69">
        <v>3.0225840907897084</v>
      </c>
      <c r="BF729" s="69">
        <v>3.1048394488059929</v>
      </c>
      <c r="BG729" s="69">
        <v>3.0630781785162267</v>
      </c>
      <c r="BH729" s="69">
        <v>3.1750018571569152</v>
      </c>
      <c r="BI729" s="69">
        <v>3.160622762819751</v>
      </c>
      <c r="BJ729" s="69">
        <v>2.8609122372921574</v>
      </c>
      <c r="BK729" s="69">
        <v>2.4729957204538993</v>
      </c>
      <c r="BL729" s="69">
        <v>2.56749094829883</v>
      </c>
      <c r="BM729" s="69">
        <v>2.9505779741128051</v>
      </c>
      <c r="BN729" s="69">
        <v>3.3678710445332438</v>
      </c>
      <c r="BO729" s="69">
        <v>3.3710142837670958</v>
      </c>
      <c r="BP729" s="69">
        <v>3.5220946414195509</v>
      </c>
      <c r="BQ729" s="69">
        <v>3.5260685914700534</v>
      </c>
      <c r="BR729" s="69"/>
      <c r="BS729" s="69">
        <v>0.51278771907703946</v>
      </c>
      <c r="BT729" s="69">
        <v>0.5143081592155947</v>
      </c>
      <c r="BU729" s="69">
        <v>0.76499063944964474</v>
      </c>
      <c r="BV729" s="69">
        <v>1.0581080086580088</v>
      </c>
      <c r="BW729" s="69">
        <v>1.1485628482972137</v>
      </c>
      <c r="BX729" s="69">
        <v>1.169224427480916</v>
      </c>
      <c r="BY729" s="69">
        <v>1.1657139784946238</v>
      </c>
      <c r="BZ729" s="69">
        <v>1.5256970873786408</v>
      </c>
      <c r="CA729" s="69">
        <v>2.8968932038834954</v>
      </c>
      <c r="CB729" s="69">
        <v>1.8877697147385106</v>
      </c>
      <c r="CC729" s="69">
        <v>2.103538469897468</v>
      </c>
      <c r="CD729" s="69">
        <v>1.5869114307508374</v>
      </c>
      <c r="CE729" s="69">
        <v>2.0111263403034383</v>
      </c>
      <c r="CF729" s="69">
        <v>2.511941388040301</v>
      </c>
      <c r="CG729" s="69">
        <v>3.0104633781763828</v>
      </c>
      <c r="CH729" s="69">
        <v>3.3789785344189491</v>
      </c>
      <c r="CI729" s="69">
        <v>3.4720279720279721</v>
      </c>
      <c r="CJ729" s="69">
        <v>3.0910828025477706</v>
      </c>
      <c r="CK729" s="69">
        <v>3.5322384428223845</v>
      </c>
      <c r="CL729" s="69">
        <v>3.9419509275882705</v>
      </c>
      <c r="CM729" s="69">
        <v>4.3214072748956474</v>
      </c>
      <c r="CN729" s="69">
        <v>4.6009473060982833</v>
      </c>
      <c r="CO729" s="69">
        <v>5.2114014251781473</v>
      </c>
      <c r="CP729" s="69">
        <v>5.3885647607934652</v>
      </c>
      <c r="CQ729" s="69">
        <v>5.2866817155756207</v>
      </c>
      <c r="CR729" s="69">
        <v>5.5839295542102363</v>
      </c>
      <c r="CS729" s="69">
        <v>5.1640582838640041</v>
      </c>
      <c r="CT729" s="69">
        <v>4.6859852476290831</v>
      </c>
      <c r="CU729" s="69">
        <v>5.2147757255936673</v>
      </c>
      <c r="CV729" s="69">
        <v>5.3986556359875904</v>
      </c>
      <c r="CW729" s="69">
        <v>6.0136388434260777</v>
      </c>
      <c r="CX729" s="69">
        <v>5.7866666666666671</v>
      </c>
      <c r="CY729" s="70">
        <v>5.5790358744394615</v>
      </c>
      <c r="CZ729" s="69">
        <v>5.8114402369037892</v>
      </c>
      <c r="DA729" s="69">
        <v>5.8613412504454336</v>
      </c>
      <c r="DB729" s="69">
        <v>5.9009226158256389</v>
      </c>
      <c r="DC729" s="69">
        <v>6.0476361215950618</v>
      </c>
      <c r="DD729" s="69">
        <v>6.1679176273222192</v>
      </c>
      <c r="DE729" s="69">
        <v>6.3356246199766657</v>
      </c>
      <c r="DF729" s="69">
        <v>5.3339079577460566</v>
      </c>
      <c r="DG729" s="69">
        <v>5.5180689224116346</v>
      </c>
      <c r="DH729" s="69">
        <v>6.7388853283003396</v>
      </c>
      <c r="DI729" s="69">
        <v>7.0481632328896042</v>
      </c>
    </row>
    <row r="730" spans="1:113" outlineLevel="1">
      <c r="A730" s="1" t="s">
        <v>949</v>
      </c>
      <c r="B730" s="19" t="s">
        <v>202</v>
      </c>
      <c r="C730" s="69">
        <v>0.90947300955414012</v>
      </c>
      <c r="D730" s="69">
        <v>0.93642227564102576</v>
      </c>
      <c r="E730" s="69">
        <v>1.0255572226656027</v>
      </c>
      <c r="F730" s="69">
        <v>0.9430046288906625</v>
      </c>
      <c r="G730" s="69">
        <v>1.0715347687400318</v>
      </c>
      <c r="H730" s="69">
        <v>0.9502900556881464</v>
      </c>
      <c r="I730" s="69">
        <v>1.1039663745019921</v>
      </c>
      <c r="J730" s="69">
        <v>1.3146017391304348</v>
      </c>
      <c r="K730" s="69">
        <v>1.3196224666142971</v>
      </c>
      <c r="L730" s="69">
        <v>1.6002112412177987</v>
      </c>
      <c r="M730" s="69">
        <v>1.5418235019455253</v>
      </c>
      <c r="N730" s="69">
        <v>1.7568168224299066</v>
      </c>
      <c r="O730" s="69">
        <v>1.6953583913379737</v>
      </c>
      <c r="P730" s="69">
        <v>1.7972863705972437</v>
      </c>
      <c r="Q730" s="69">
        <v>1.7531804397270661</v>
      </c>
      <c r="R730" s="69">
        <v>1.3769131075110457</v>
      </c>
      <c r="S730" s="69">
        <v>1.5773890301003344</v>
      </c>
      <c r="T730" s="69">
        <v>1.9062622455679579</v>
      </c>
      <c r="U730" s="69">
        <v>2.0260370370370371</v>
      </c>
      <c r="V730" s="69">
        <v>2.1313776196636485</v>
      </c>
      <c r="W730" s="69">
        <v>2.2315976789168279</v>
      </c>
      <c r="X730" s="69">
        <v>2.2613795396419438</v>
      </c>
      <c r="Y730" s="69">
        <v>2.2084769425142134</v>
      </c>
      <c r="Z730" s="69">
        <v>2.3244724310776941</v>
      </c>
      <c r="AA730" s="69">
        <v>2.4710174346201743</v>
      </c>
      <c r="AB730" s="69">
        <v>2.6240379117464263</v>
      </c>
      <c r="AC730" s="69">
        <v>2.7052627013630732</v>
      </c>
      <c r="AD730" s="69">
        <v>2.8253029030265595</v>
      </c>
      <c r="AE730" s="69">
        <v>2.7507864364981507</v>
      </c>
      <c r="AF730" s="69">
        <v>2.8462455303933254</v>
      </c>
      <c r="AG730" s="69">
        <v>2.702750146284377</v>
      </c>
      <c r="AH730" s="69">
        <v>2.8135198135198136</v>
      </c>
      <c r="AI730" s="69">
        <v>2.7998839907192576</v>
      </c>
      <c r="AJ730" s="69">
        <v>2.642528735632184</v>
      </c>
      <c r="AK730" s="69">
        <v>2.4612314709236034</v>
      </c>
      <c r="AL730" s="69">
        <v>2.5596104120084822</v>
      </c>
      <c r="AM730" s="69">
        <v>2.0963294763307232</v>
      </c>
      <c r="AN730" s="69">
        <v>2.4460146975692481</v>
      </c>
      <c r="AO730" s="69">
        <v>1.6382136800452234</v>
      </c>
      <c r="AP730" s="69">
        <v>2.1853107344632767</v>
      </c>
      <c r="AQ730" s="69">
        <v>2.7003386004514671</v>
      </c>
      <c r="AR730" s="69">
        <v>2.7275862068965515</v>
      </c>
      <c r="AS730" s="69">
        <v>2.845657276995305</v>
      </c>
      <c r="AT730" s="69">
        <v>3.056047197640118</v>
      </c>
      <c r="AU730" s="69">
        <v>2.9032640949554898</v>
      </c>
      <c r="AV730" s="69">
        <v>2.9982078853046596</v>
      </c>
      <c r="AW730" s="70">
        <v>2.8792588164973103</v>
      </c>
      <c r="AX730" s="69">
        <v>2.9498620740830357</v>
      </c>
      <c r="AY730" s="69">
        <v>2.8748895702524071</v>
      </c>
      <c r="AZ730" s="69">
        <v>2.9637579395414964</v>
      </c>
      <c r="BA730" s="69">
        <v>2.9133949622538831</v>
      </c>
      <c r="BB730" s="69">
        <v>2.9792949979021137</v>
      </c>
      <c r="BC730" s="69">
        <v>2.93975784297775</v>
      </c>
      <c r="BD730" s="69">
        <v>3.0384864743805635</v>
      </c>
      <c r="BE730" s="69">
        <v>3.0358739688409901</v>
      </c>
      <c r="BF730" s="69">
        <v>3.1229476323477683</v>
      </c>
      <c r="BG730" s="69">
        <v>3.0787400951791035</v>
      </c>
      <c r="BH730" s="69">
        <v>3.1972199725686195</v>
      </c>
      <c r="BI730" s="69">
        <v>3.1819985881866004</v>
      </c>
      <c r="BJ730" s="69">
        <v>2.8647317975653399</v>
      </c>
      <c r="BK730" s="69">
        <v>2.454092137481326</v>
      </c>
      <c r="BL730" s="69">
        <v>2.5541226506393491</v>
      </c>
      <c r="BM730" s="69">
        <v>2.959649920643264</v>
      </c>
      <c r="BN730" s="69">
        <v>3.4013869366113436</v>
      </c>
      <c r="BO730" s="69">
        <v>3.404714298645505</v>
      </c>
      <c r="BP730" s="69">
        <v>3.5646445517253009</v>
      </c>
      <c r="BQ730" s="69">
        <v>3.5688512854607697</v>
      </c>
      <c r="BR730" s="69"/>
      <c r="BS730" s="69">
        <v>0.51278771907703946</v>
      </c>
      <c r="BT730" s="69">
        <v>0.67219960312828297</v>
      </c>
      <c r="BU730" s="69">
        <v>0.76499063944964474</v>
      </c>
      <c r="BV730" s="69">
        <v>1.0882474025974027</v>
      </c>
      <c r="BW730" s="69">
        <v>1.1485628482972137</v>
      </c>
      <c r="BX730" s="69">
        <v>1.3546950926935661</v>
      </c>
      <c r="BY730" s="69">
        <v>1.3870926881720431</v>
      </c>
      <c r="BZ730" s="69">
        <v>1.5761244875943905</v>
      </c>
      <c r="CA730" s="69">
        <v>1.8003654800431499</v>
      </c>
      <c r="CB730" s="69">
        <v>1.7784395238095239</v>
      </c>
      <c r="CC730" s="69">
        <v>1.96212545570064</v>
      </c>
      <c r="CD730" s="69">
        <v>2.014584061338188</v>
      </c>
      <c r="CE730" s="69">
        <v>2.0541430133958674</v>
      </c>
      <c r="CF730" s="69">
        <v>2.6341717865184791</v>
      </c>
      <c r="CG730" s="69">
        <v>3.1590023382696804</v>
      </c>
      <c r="CH730" s="69">
        <v>3.469356089992242</v>
      </c>
      <c r="CI730" s="69">
        <v>3.5681645087585681</v>
      </c>
      <c r="CJ730" s="69">
        <v>2.9479889042995837</v>
      </c>
      <c r="CK730" s="69">
        <v>3.9542782495101241</v>
      </c>
      <c r="CL730" s="69">
        <v>4.3882428940568472</v>
      </c>
      <c r="CM730" s="69">
        <v>4.4952320406865862</v>
      </c>
      <c r="CN730" s="69">
        <v>4.8219862585883826</v>
      </c>
      <c r="CO730" s="69">
        <v>5.3600248292985722</v>
      </c>
      <c r="CP730" s="69">
        <v>5.5736196319018401</v>
      </c>
      <c r="CQ730" s="69">
        <v>5.5493207324276437</v>
      </c>
      <c r="CR730" s="69">
        <v>5.6132647990162656</v>
      </c>
      <c r="CS730" s="69">
        <v>5.1030337721808818</v>
      </c>
      <c r="CT730" s="69">
        <v>4.6551528878822195</v>
      </c>
      <c r="CU730" s="69">
        <v>4.0842283776144717</v>
      </c>
      <c r="CV730" s="69">
        <v>4.8859401468097117</v>
      </c>
      <c r="CW730" s="69">
        <v>5.5720092915214865</v>
      </c>
      <c r="CX730" s="69">
        <v>5.9597633136094679</v>
      </c>
      <c r="CY730" s="70">
        <v>5.8792588164973099</v>
      </c>
      <c r="CZ730" s="69">
        <v>5.82485104929762</v>
      </c>
      <c r="DA730" s="69">
        <v>5.8771529017953812</v>
      </c>
      <c r="DB730" s="69">
        <v>5.9190528408798642</v>
      </c>
      <c r="DC730" s="69">
        <v>6.0743604432215532</v>
      </c>
      <c r="DD730" s="69">
        <v>6.2016877275268723</v>
      </c>
      <c r="DE730" s="69">
        <v>6.379218560755219</v>
      </c>
      <c r="DF730" s="69">
        <v>5.3188239350466668</v>
      </c>
      <c r="DG730" s="69">
        <v>5.5137725712826144</v>
      </c>
      <c r="DH730" s="69">
        <v>6.8061012352568495</v>
      </c>
      <c r="DI730" s="69">
        <v>7.1334958371860688</v>
      </c>
    </row>
    <row r="731" spans="1:113" s="109" customFormat="1" outlineLevel="1">
      <c r="A731" s="1" t="s">
        <v>950</v>
      </c>
      <c r="B731" s="109" t="s">
        <v>203</v>
      </c>
      <c r="C731" s="232" t="e">
        <v>#VALUE!</v>
      </c>
      <c r="D731" s="232">
        <v>2.963173816460718E-2</v>
      </c>
      <c r="E731" s="232">
        <v>9.5186700854120287E-2</v>
      </c>
      <c r="F731" s="232">
        <v>-8.0495356037151744E-2</v>
      </c>
      <c r="G731" s="232">
        <v>0.1362985248551436</v>
      </c>
      <c r="H731" s="232">
        <v>-0.11315051698644507</v>
      </c>
      <c r="I731" s="232">
        <v>0.16171517095647392</v>
      </c>
      <c r="J731" s="232">
        <v>0.19079871406723048</v>
      </c>
      <c r="K731" s="232">
        <v>3.8192003969075294E-3</v>
      </c>
      <c r="L731" s="232">
        <v>0.21262806727093486</v>
      </c>
      <c r="M731" s="42">
        <v>-3.6487519752604003E-2</v>
      </c>
      <c r="N731" s="42">
        <v>0.13944094133543516</v>
      </c>
      <c r="O731" s="42">
        <v>-3.4982833900080612E-2</v>
      </c>
      <c r="P731" s="42">
        <v>6.0121788867797177E-2</v>
      </c>
      <c r="Q731" s="42">
        <v>-2.4540291181043727E-2</v>
      </c>
      <c r="R731" s="42">
        <v>-0.21461985525836547</v>
      </c>
      <c r="S731" s="42">
        <v>0.14559809293389314</v>
      </c>
      <c r="T731" s="45">
        <v>0.20849214061461074</v>
      </c>
      <c r="U731" s="42">
        <v>6.2832273863449029E-2</v>
      </c>
      <c r="V731" s="42">
        <v>5.1993414089145151E-2</v>
      </c>
      <c r="W731" s="42">
        <v>4.7021259080779476E-2</v>
      </c>
      <c r="X731" s="42">
        <v>1.3345533115795005E-2</v>
      </c>
      <c r="Y731" s="45">
        <v>-2.3393948782302498E-2</v>
      </c>
      <c r="Z731" s="45">
        <v>5.2522843381569206E-2</v>
      </c>
      <c r="AA731" s="45">
        <v>6.3044414544653371E-2</v>
      </c>
      <c r="AB731" s="45">
        <v>6.1926101767781683E-2</v>
      </c>
      <c r="AC731" s="45">
        <v>3.0954121986213057E-2</v>
      </c>
      <c r="AD731" s="45">
        <v>4.4372844679003931E-2</v>
      </c>
      <c r="AE731" s="45">
        <v>-2.637468232117135E-2</v>
      </c>
      <c r="AF731" s="45">
        <v>3.4702473673927869E-2</v>
      </c>
      <c r="AG731" s="45">
        <v>-5.0415673060053456E-2</v>
      </c>
      <c r="AH731" s="45">
        <v>4.0984057437835286E-2</v>
      </c>
      <c r="AI731" s="45">
        <v>-4.846535195889401E-3</v>
      </c>
      <c r="AJ731" s="45">
        <v>-5.6200633886495766E-2</v>
      </c>
      <c r="AK731" s="45">
        <v>-6.8607490342090127E-2</v>
      </c>
      <c r="AL731" s="45">
        <v>3.9971429850099049E-2</v>
      </c>
      <c r="AM731" s="45">
        <v>-0.18099666007930881</v>
      </c>
      <c r="AN731" s="45">
        <v>0.16680833103133708</v>
      </c>
      <c r="AO731" s="45">
        <v>-0.33025190663277093</v>
      </c>
      <c r="AP731" s="45">
        <v>0.33395952010542995</v>
      </c>
      <c r="AQ731" s="45">
        <v>0.23567717755922879</v>
      </c>
      <c r="AR731" s="45">
        <v>1.0090440673080403E-2</v>
      </c>
      <c r="AS731" s="45">
        <v>4.3287750099416655E-2</v>
      </c>
      <c r="AT731" s="45">
        <v>7.3933682156890335E-2</v>
      </c>
      <c r="AU731" s="45">
        <v>-4.9993698658386987E-2</v>
      </c>
      <c r="AV731" s="45">
        <v>3.2702429832042412E-2</v>
      </c>
      <c r="AW731" s="43">
        <v>-3.9673389357143374E-2</v>
      </c>
      <c r="AX731" s="42">
        <v>2.4521330691492427E-2</v>
      </c>
      <c r="AY731" s="42">
        <v>-2.5415596372902916E-2</v>
      </c>
      <c r="AZ731" s="42">
        <v>3.0911924481776376E-2</v>
      </c>
      <c r="BA731" s="42">
        <v>-1.6992945549191729E-2</v>
      </c>
      <c r="BB731" s="42">
        <v>2.2619671037410027E-2</v>
      </c>
      <c r="BC731" s="42">
        <v>-1.3270641192699606E-2</v>
      </c>
      <c r="BD731" s="42">
        <v>3.3583933329287108E-2</v>
      </c>
      <c r="BE731" s="42">
        <v>-8.5980489352222023E-4</v>
      </c>
      <c r="BF731" s="42">
        <v>2.868158046100322E-2</v>
      </c>
      <c r="BG731" s="42">
        <v>-1.4155708763976427E-2</v>
      </c>
      <c r="BH731" s="42">
        <v>3.8483234611144779E-2</v>
      </c>
      <c r="BI731" s="42">
        <v>-4.7608186213694559E-3</v>
      </c>
      <c r="BJ731" s="42">
        <v>-9.9706766621184717E-2</v>
      </c>
      <c r="BK731" s="42">
        <v>-0.14334314312879326</v>
      </c>
      <c r="BL731" s="232">
        <v>4.0760699906192688E-2</v>
      </c>
      <c r="BM731" s="232">
        <v>0.15877360858234568</v>
      </c>
      <c r="BN731" s="232">
        <v>0.14925313054324696</v>
      </c>
      <c r="BO731" s="232">
        <v>9.7823684754794193E-4</v>
      </c>
      <c r="BP731" s="232">
        <v>4.6973178672707006E-2</v>
      </c>
      <c r="BQ731" s="232">
        <v>1.180127127523134E-3</v>
      </c>
      <c r="BR731" s="42"/>
      <c r="BS731" s="232" t="e">
        <v>#DIV/0!</v>
      </c>
      <c r="BT731" s="232">
        <v>0.310873053547708</v>
      </c>
      <c r="BU731" s="232">
        <v>0.1380408972119751</v>
      </c>
      <c r="BV731" s="232">
        <v>0.42256303081083146</v>
      </c>
      <c r="BW731" s="232">
        <v>5.5424387465434322E-2</v>
      </c>
      <c r="BX731" s="232">
        <v>0.1794697126952618</v>
      </c>
      <c r="BY731" s="232">
        <v>2.3915046015306807E-2</v>
      </c>
      <c r="BZ731" s="232">
        <v>0.1362791405608661</v>
      </c>
      <c r="CA731" s="232">
        <v>0.14227365554799176</v>
      </c>
      <c r="CB731" s="232">
        <v>-1.2178613996253973E-2</v>
      </c>
      <c r="CC731" s="42">
        <v>0.10328489073255076</v>
      </c>
      <c r="CD731" s="42">
        <v>2.6735602193599828E-2</v>
      </c>
      <c r="CE731" s="42">
        <v>1.9636287617307069E-2</v>
      </c>
      <c r="CF731" s="42">
        <v>0.28237019980596179</v>
      </c>
      <c r="CG731" s="42">
        <v>0.19923930338835527</v>
      </c>
      <c r="CH731" s="42">
        <v>9.8244229819897999E-2</v>
      </c>
      <c r="CI731" s="42">
        <v>2.8480333584479878E-2</v>
      </c>
      <c r="CJ731" s="42">
        <v>-0.17380801892308351</v>
      </c>
      <c r="CK731" s="42">
        <v>0.34134773836593735</v>
      </c>
      <c r="CL731" s="42">
        <v>0.10974560138768297</v>
      </c>
      <c r="CM731" s="45">
        <v>2.4380862502993761E-2</v>
      </c>
      <c r="CN731" s="45">
        <v>7.2689065868975389E-2</v>
      </c>
      <c r="CO731" s="45">
        <v>0.11158027871852516</v>
      </c>
      <c r="CP731" s="45">
        <v>3.9849592008554202E-2</v>
      </c>
      <c r="CQ731" s="45">
        <v>-4.3596264329047729E-3</v>
      </c>
      <c r="CR731" s="45">
        <v>1.1522863729061861E-2</v>
      </c>
      <c r="CS731" s="45">
        <v>-9.0897373472351162E-2</v>
      </c>
      <c r="CT731" s="45">
        <v>-8.7767572054937015E-2</v>
      </c>
      <c r="CU731" s="45">
        <v>-0.12264355736927901</v>
      </c>
      <c r="CV731" s="45">
        <v>0.19629454944032942</v>
      </c>
      <c r="CW731" s="45">
        <v>0.14041701783018068</v>
      </c>
      <c r="CX731" s="45">
        <v>6.9589622306983179E-2</v>
      </c>
      <c r="CY731" s="43">
        <v>-1.3508002394712726E-2</v>
      </c>
      <c r="CZ731" s="42">
        <v>-9.2541881379708535E-3</v>
      </c>
      <c r="DA731" s="42">
        <v>8.9790884015941153E-3</v>
      </c>
      <c r="DB731" s="42">
        <v>7.1292919862069315E-3</v>
      </c>
      <c r="DC731" s="42">
        <v>2.6238590280704965E-2</v>
      </c>
      <c r="DD731" s="42">
        <v>2.0961430507042911E-2</v>
      </c>
      <c r="DE731" s="42">
        <v>2.8626212900136228E-2</v>
      </c>
      <c r="DF731" s="42">
        <v>-0.16622641403636351</v>
      </c>
      <c r="DG731" s="232">
        <v>3.6652583092927182E-2</v>
      </c>
      <c r="DH731" s="232">
        <v>0.23438193129420526</v>
      </c>
      <c r="DI731" s="232">
        <v>4.8103104936678687E-2</v>
      </c>
    </row>
    <row r="732" spans="1:113" outlineLevel="1">
      <c r="A732" s="1" t="s">
        <v>109</v>
      </c>
      <c r="B732" s="19" t="s">
        <v>204</v>
      </c>
      <c r="C732" s="69">
        <v>0.91196742834394917</v>
      </c>
      <c r="D732" s="69">
        <v>0.94590604166666681</v>
      </c>
      <c r="E732" s="69">
        <v>1.0350031444533123</v>
      </c>
      <c r="F732" s="69">
        <v>0.95411747805267366</v>
      </c>
      <c r="G732" s="69">
        <v>1.0826387559808612</v>
      </c>
      <c r="H732" s="69">
        <v>0.97111858505564397</v>
      </c>
      <c r="I732" s="69">
        <v>1.1374549681528663</v>
      </c>
      <c r="J732" s="69">
        <v>1.2830414725770096</v>
      </c>
      <c r="K732" s="69">
        <v>1.297694808126411</v>
      </c>
      <c r="L732" s="69">
        <v>1.5721096774193548</v>
      </c>
      <c r="M732" s="69">
        <v>1.5141008928571429</v>
      </c>
      <c r="N732" s="69">
        <v>1.7172791451731761</v>
      </c>
      <c r="O732" s="69">
        <v>1.6728364575645756</v>
      </c>
      <c r="P732" s="69">
        <v>1.7696129870129871</v>
      </c>
      <c r="Q732" s="69">
        <v>1.6895049408489908</v>
      </c>
      <c r="R732" s="69">
        <v>1.2895592472420507</v>
      </c>
      <c r="S732" s="69">
        <v>1.5008188002473717</v>
      </c>
      <c r="T732" s="69">
        <v>1.8411465101914761</v>
      </c>
      <c r="U732" s="69">
        <v>1.9419520144317499</v>
      </c>
      <c r="V732" s="69">
        <v>2.045812941881366</v>
      </c>
      <c r="W732" s="69">
        <v>2.1385089712918659</v>
      </c>
      <c r="X732" s="69">
        <v>2.1771746411483255</v>
      </c>
      <c r="Y732" s="69">
        <v>2.128337877889745</v>
      </c>
      <c r="Z732" s="69">
        <v>2.2524245115452932</v>
      </c>
      <c r="AA732" s="69">
        <v>2.3987756932153395</v>
      </c>
      <c r="AB732" s="69">
        <v>2.5577953791469197</v>
      </c>
      <c r="AC732" s="69">
        <v>2.6436196799051572</v>
      </c>
      <c r="AD732" s="69">
        <v>2.7535576968272619</v>
      </c>
      <c r="AE732" s="69">
        <v>2.6779266161910309</v>
      </c>
      <c r="AF732" s="69">
        <v>2.7743589743589743</v>
      </c>
      <c r="AG732" s="69">
        <v>2.635957565605807</v>
      </c>
      <c r="AH732" s="69">
        <v>2.7293857221914775</v>
      </c>
      <c r="AI732" s="69">
        <v>2.7193175564116676</v>
      </c>
      <c r="AJ732" s="69">
        <v>2.5632121540965818</v>
      </c>
      <c r="AK732" s="69">
        <v>2.3877878950187466</v>
      </c>
      <c r="AL732" s="69">
        <v>2.4642407353190912</v>
      </c>
      <c r="AM732" s="69">
        <v>2.0328284290526297</v>
      </c>
      <c r="AN732" s="69">
        <v>2.3681144067796609</v>
      </c>
      <c r="AO732" s="69">
        <v>1.5970619097586569</v>
      </c>
      <c r="AP732" s="69">
        <v>2.0704663212435235</v>
      </c>
      <c r="AQ732" s="69">
        <v>2.5716527196652721</v>
      </c>
      <c r="AR732" s="69">
        <v>2.6305285868392665</v>
      </c>
      <c r="AS732" s="69">
        <v>2.7398015435501653</v>
      </c>
      <c r="AT732" s="69">
        <v>2.9668691330756487</v>
      </c>
      <c r="AU732" s="69">
        <v>2.877952755905512</v>
      </c>
      <c r="AV732" s="69">
        <v>2.9670022371364655</v>
      </c>
      <c r="AW732" s="70">
        <v>2.8740824392998308</v>
      </c>
      <c r="AX732" s="69">
        <v>2.9409591731879847</v>
      </c>
      <c r="AY732" s="69">
        <v>2.8703853071927892</v>
      </c>
      <c r="AZ732" s="69">
        <v>2.9544586718071826</v>
      </c>
      <c r="BA732" s="69">
        <v>2.9068825786382511</v>
      </c>
      <c r="BB732" s="69">
        <v>2.9691359719976473</v>
      </c>
      <c r="BC732" s="69">
        <v>2.9317866438279911</v>
      </c>
      <c r="BD732" s="69">
        <v>3.0250520308053526</v>
      </c>
      <c r="BE732" s="69">
        <v>3.0225840907897084</v>
      </c>
      <c r="BF732" s="69">
        <v>3.1048394488059929</v>
      </c>
      <c r="BG732" s="69">
        <v>3.0630781785162267</v>
      </c>
      <c r="BH732" s="69">
        <v>3.1750018571569152</v>
      </c>
      <c r="BI732" s="69">
        <v>3.160622762819751</v>
      </c>
      <c r="BJ732" s="69">
        <v>2.8609122372921574</v>
      </c>
      <c r="BK732" s="69">
        <v>2.4729957204538993</v>
      </c>
      <c r="BL732" s="69">
        <v>2.56749094829883</v>
      </c>
      <c r="BM732" s="69">
        <v>2.9505779741128051</v>
      </c>
      <c r="BN732" s="69">
        <v>3.3678710445332438</v>
      </c>
      <c r="BO732" s="69">
        <v>3.3710142837670958</v>
      </c>
      <c r="BP732" s="69">
        <v>3.5220946414195509</v>
      </c>
      <c r="BQ732" s="69">
        <v>3.5260685914700534</v>
      </c>
      <c r="BR732" s="69"/>
      <c r="BS732" s="69">
        <v>0.51278771907703946</v>
      </c>
      <c r="BT732" s="69">
        <v>0.67219960312828297</v>
      </c>
      <c r="BU732" s="69">
        <v>0.76499063944964474</v>
      </c>
      <c r="BV732" s="69">
        <v>1.0882474025974027</v>
      </c>
      <c r="BW732" s="69">
        <v>1.1485628482972137</v>
      </c>
      <c r="BX732" s="69">
        <v>1.3546950926935661</v>
      </c>
      <c r="BY732" s="69">
        <v>1.3870926881720431</v>
      </c>
      <c r="BZ732" s="69">
        <v>1.5761244875943905</v>
      </c>
      <c r="CA732" s="69">
        <v>1.8003654800431499</v>
      </c>
      <c r="CB732" s="69">
        <v>1.7805861965134711</v>
      </c>
      <c r="CC732" s="69">
        <v>1.9810547568136014</v>
      </c>
      <c r="CD732" s="69">
        <v>2.0368008213686997</v>
      </c>
      <c r="CE732" s="69">
        <v>2.1084503910794239</v>
      </c>
      <c r="CF732" s="69">
        <v>2.5807412117079722</v>
      </c>
      <c r="CG732" s="69">
        <v>3.1038863976083708</v>
      </c>
      <c r="CH732" s="69">
        <v>3.4211695040710586</v>
      </c>
      <c r="CI732" s="69">
        <v>3.4314685314685316</v>
      </c>
      <c r="CJ732" s="69">
        <v>2.8267515923566879</v>
      </c>
      <c r="CK732" s="69">
        <v>3.7980535279805352</v>
      </c>
      <c r="CL732" s="69">
        <v>4.2058647516457208</v>
      </c>
      <c r="CM732" s="69">
        <v>4.3351222420989863</v>
      </c>
      <c r="CN732" s="69">
        <v>4.6850207223208997</v>
      </c>
      <c r="CO732" s="69">
        <v>5.2404988123515439</v>
      </c>
      <c r="CP732" s="69">
        <v>5.4317386231038505</v>
      </c>
      <c r="CQ732" s="69">
        <v>5.4119638826185099</v>
      </c>
      <c r="CR732" s="69">
        <v>5.4336818932305997</v>
      </c>
      <c r="CS732" s="69">
        <v>4.9406368051807883</v>
      </c>
      <c r="CT732" s="69">
        <v>4.5015806111696524</v>
      </c>
      <c r="CU732" s="69">
        <v>3.9656992084432718</v>
      </c>
      <c r="CV732" s="69">
        <v>4.6085832471561528</v>
      </c>
      <c r="CW732" s="69">
        <v>5.3720676486633936</v>
      </c>
      <c r="CX732" s="69">
        <v>5.8277777777777775</v>
      </c>
      <c r="CY732" s="70">
        <v>5.8267937219730941</v>
      </c>
      <c r="CZ732" s="69">
        <v>5.8114402369037883</v>
      </c>
      <c r="DA732" s="69">
        <v>5.8613412504454354</v>
      </c>
      <c r="DB732" s="69">
        <v>5.9009226158256389</v>
      </c>
      <c r="DC732" s="69">
        <v>6.0476361215950609</v>
      </c>
      <c r="DD732" s="69">
        <v>6.1679176273222192</v>
      </c>
      <c r="DE732" s="69">
        <v>6.3356246199766657</v>
      </c>
      <c r="DF732" s="69">
        <v>5.3339079577460566</v>
      </c>
      <c r="DG732" s="69">
        <v>5.5180689224116355</v>
      </c>
      <c r="DH732" s="69">
        <v>6.7388853283003405</v>
      </c>
      <c r="DI732" s="69">
        <v>7.0481632328896024</v>
      </c>
    </row>
    <row r="733" spans="1:113" s="109" customFormat="1" outlineLevel="1">
      <c r="A733" s="1" t="s">
        <v>108</v>
      </c>
      <c r="B733" s="109" t="s">
        <v>129</v>
      </c>
      <c r="C733" s="232" t="e">
        <v>#VALUE!</v>
      </c>
      <c r="D733" s="232">
        <v>3.7214720907683185E-2</v>
      </c>
      <c r="E733" s="232">
        <v>9.4192339262003433E-2</v>
      </c>
      <c r="F733" s="232">
        <v>-7.815016488994575E-2</v>
      </c>
      <c r="G733" s="232">
        <v>0.1347017331560636</v>
      </c>
      <c r="H733" s="232">
        <v>-0.10300773947832764</v>
      </c>
      <c r="I733" s="232">
        <v>0.17128328677562221</v>
      </c>
      <c r="J733" s="232">
        <v>0.1279932028083397</v>
      </c>
      <c r="K733" s="232">
        <v>1.1420780904275896E-2</v>
      </c>
      <c r="L733" s="232">
        <v>0.21146333296126785</v>
      </c>
      <c r="M733" s="42">
        <v>-3.6898688046647199E-2</v>
      </c>
      <c r="N733" s="42">
        <v>0.13419069579480358</v>
      </c>
      <c r="O733" s="42">
        <v>-2.5879710781743004E-2</v>
      </c>
      <c r="P733" s="42">
        <v>5.7851757720121189E-2</v>
      </c>
      <c r="Q733" s="42">
        <v>-4.5268681204252648E-2</v>
      </c>
      <c r="R733" s="42">
        <v>-0.23672360106029877</v>
      </c>
      <c r="S733" s="42">
        <v>0.16382306858497331</v>
      </c>
      <c r="T733" s="45">
        <v>0.22676135845846956</v>
      </c>
      <c r="U733" s="42">
        <v>5.4751484296483355E-2</v>
      </c>
      <c r="V733" s="42">
        <v>5.3482746575490347E-2</v>
      </c>
      <c r="W733" s="42">
        <v>4.5310119763567025E-2</v>
      </c>
      <c r="X733" s="42">
        <v>1.8080667593880495E-2</v>
      </c>
      <c r="Y733" s="45">
        <v>-2.2431256701034408E-2</v>
      </c>
      <c r="Z733" s="45">
        <v>5.8302130946699338E-2</v>
      </c>
      <c r="AA733" s="45">
        <v>6.4974955173809912E-2</v>
      </c>
      <c r="AB733" s="45">
        <v>6.6292019875534347E-2</v>
      </c>
      <c r="AC733" s="45">
        <v>3.3554013529753846E-2</v>
      </c>
      <c r="AD733" s="45">
        <v>4.1586169810193363E-2</v>
      </c>
      <c r="AE733" s="45">
        <v>-2.7466677282039775E-2</v>
      </c>
      <c r="AF733" s="45">
        <v>3.601008242156567E-2</v>
      </c>
      <c r="AG733" s="45">
        <v>-4.9885905188295054E-2</v>
      </c>
      <c r="AH733" s="45">
        <v>3.544372557613551E-2</v>
      </c>
      <c r="AI733" s="45">
        <v>-3.6888028313293297E-3</v>
      </c>
      <c r="AJ733" s="45">
        <v>-5.7406095123762602E-2</v>
      </c>
      <c r="AK733" s="45">
        <v>-6.8439227239722733E-2</v>
      </c>
      <c r="AL733" s="45">
        <v>3.2018271162122858E-2</v>
      </c>
      <c r="AM733" s="45">
        <v>-0.17506905883146129</v>
      </c>
      <c r="AN733" s="45">
        <v>0.16493569891842097</v>
      </c>
      <c r="AO733" s="45">
        <v>-0.32559765474740676</v>
      </c>
      <c r="AP733" s="45">
        <v>0.29642207893894734</v>
      </c>
      <c r="AQ733" s="45">
        <v>0.24206450174023386</v>
      </c>
      <c r="AR733" s="45">
        <v>2.2894174910855769E-2</v>
      </c>
      <c r="AS733" s="45">
        <v>4.1540303822433122E-2</v>
      </c>
      <c r="AT733" s="45">
        <v>8.2877385794613012E-2</v>
      </c>
      <c r="AU733" s="45">
        <v>-2.9969767179437445E-2</v>
      </c>
      <c r="AV733" s="45">
        <v>3.0941953806651323E-2</v>
      </c>
      <c r="AW733" s="43">
        <v>-3.1317737706296533E-2</v>
      </c>
      <c r="AX733" s="42">
        <v>2.3268898961870566E-2</v>
      </c>
      <c r="AY733" s="42">
        <v>-2.3996887355186902E-2</v>
      </c>
      <c r="AZ733" s="42">
        <v>2.928992299525679E-2</v>
      </c>
      <c r="BA733" s="42">
        <v>-1.6103150679657396E-2</v>
      </c>
      <c r="BB733" s="42">
        <v>2.1415861038514672E-2</v>
      </c>
      <c r="BC733" s="42">
        <v>-1.2579190889842384E-2</v>
      </c>
      <c r="BD733" s="42">
        <v>3.1811792025761454E-2</v>
      </c>
      <c r="BE733" s="42">
        <v>-8.1583390649553333E-4</v>
      </c>
      <c r="BF733" s="42">
        <v>2.7213587958373031E-2</v>
      </c>
      <c r="BG733" s="42">
        <v>-1.3450379956305381E-2</v>
      </c>
      <c r="BH733" s="42">
        <v>3.653960888941632E-2</v>
      </c>
      <c r="BI733" s="42">
        <v>-4.5288459610666187E-3</v>
      </c>
      <c r="BJ733" s="42">
        <v>-9.4826414924698788E-2</v>
      </c>
      <c r="BK733" s="42">
        <v>-0.13559189680191641</v>
      </c>
      <c r="BL733" s="232">
        <v>3.8210833550325285E-2</v>
      </c>
      <c r="BM733" s="232">
        <v>0.14920676782436226</v>
      </c>
      <c r="BN733" s="232">
        <v>0.14142756913445487</v>
      </c>
      <c r="BO733" s="232">
        <v>9.3330154043580471E-4</v>
      </c>
      <c r="BP733" s="232">
        <v>4.4817477748454904E-2</v>
      </c>
      <c r="BQ733" s="232">
        <v>1.1282916716004454E-3</v>
      </c>
      <c r="BR733" s="42"/>
      <c r="BS733" s="232" t="e">
        <v>#DIV/0!</v>
      </c>
      <c r="BT733" s="232">
        <v>0.310873053547708</v>
      </c>
      <c r="BU733" s="232">
        <v>0.1380408972119751</v>
      </c>
      <c r="BV733" s="232">
        <v>0.42256303081083146</v>
      </c>
      <c r="BW733" s="232">
        <v>5.5424387465434322E-2</v>
      </c>
      <c r="BX733" s="232">
        <v>0.1794697126952618</v>
      </c>
      <c r="BY733" s="232">
        <v>2.3915046015306807E-2</v>
      </c>
      <c r="BZ733" s="232">
        <v>0.1362791405608661</v>
      </c>
      <c r="CA733" s="232">
        <v>0.14227365554799176</v>
      </c>
      <c r="CB733" s="232">
        <v>-1.098626015046944E-2</v>
      </c>
      <c r="CC733" s="42">
        <v>0.11258570952232683</v>
      </c>
      <c r="CD733" s="42">
        <v>2.8139587945949618E-2</v>
      </c>
      <c r="CE733" s="42">
        <v>3.5177504328860687E-2</v>
      </c>
      <c r="CF733" s="42">
        <v>0.22399901967186353</v>
      </c>
      <c r="CG733" s="42">
        <v>0.20271121471888054</v>
      </c>
      <c r="CH733" s="42">
        <v>0.1022212368040154</v>
      </c>
      <c r="CI733" s="42">
        <v>3.0103820887030786E-3</v>
      </c>
      <c r="CJ733" s="42">
        <v>-0.17622686426124645</v>
      </c>
      <c r="CK733" s="42">
        <v>0.34361064419320408</v>
      </c>
      <c r="CL733" s="42">
        <v>0.10737374306623404</v>
      </c>
      <c r="CM733" s="45">
        <v>3.0732678791606016E-2</v>
      </c>
      <c r="CN733" s="45">
        <v>8.0712482989291345E-2</v>
      </c>
      <c r="CO733" s="45">
        <v>0.11856470290177668</v>
      </c>
      <c r="CP733" s="45">
        <v>3.6492673235907658E-2</v>
      </c>
      <c r="CQ733" s="45">
        <v>-3.6405913202871565E-3</v>
      </c>
      <c r="CR733" s="45">
        <v>4.0129629619001239E-3</v>
      </c>
      <c r="CS733" s="45">
        <v>-9.07386736540573E-2</v>
      </c>
      <c r="CT733" s="45">
        <v>-8.8866316494007114E-2</v>
      </c>
      <c r="CU733" s="45">
        <v>-0.11904294269366456</v>
      </c>
      <c r="CV733" s="45">
        <v>0.16211114482513755</v>
      </c>
      <c r="CW733" s="45">
        <v>0.16566575031022146</v>
      </c>
      <c r="CX733" s="45">
        <v>8.4829558918113612E-2</v>
      </c>
      <c r="CY733" s="43">
        <v>-1.6885609613248587E-4</v>
      </c>
      <c r="CZ733" s="42">
        <v>-2.6349800253623323E-3</v>
      </c>
      <c r="DA733" s="42">
        <v>8.5866861754451129E-3</v>
      </c>
      <c r="DB733" s="42">
        <v>6.7529535798986906E-3</v>
      </c>
      <c r="DC733" s="42">
        <v>2.4862807957513722E-2</v>
      </c>
      <c r="DD733" s="42">
        <v>1.9889011724375072E-2</v>
      </c>
      <c r="DE733" s="42">
        <v>2.7190212773197553E-2</v>
      </c>
      <c r="DF733" s="42">
        <v>-0.1581085879160401</v>
      </c>
      <c r="DG733" s="232">
        <v>3.4526460922171598E-2</v>
      </c>
      <c r="DH733" s="232">
        <v>0.22123978932745114</v>
      </c>
      <c r="DI733" s="232">
        <v>4.5894519571423986E-2</v>
      </c>
    </row>
    <row r="734" spans="1:113" outlineLevel="1">
      <c r="A734" s="1" t="s">
        <v>951</v>
      </c>
      <c r="B734" s="19" t="s">
        <v>55</v>
      </c>
      <c r="C734" s="69">
        <v>1.4713111464968154</v>
      </c>
      <c r="D734" s="69">
        <v>1.5556564102564103</v>
      </c>
      <c r="E734" s="69">
        <v>1.5200790103750998</v>
      </c>
      <c r="F734" s="69">
        <v>1.4089505187549882</v>
      </c>
      <c r="G734" s="69">
        <v>1.6441832535885166</v>
      </c>
      <c r="H734" s="69">
        <v>1.58882800318218</v>
      </c>
      <c r="I734" s="69">
        <v>1.770467250996016</v>
      </c>
      <c r="J734" s="69">
        <v>2.0332297233201579</v>
      </c>
      <c r="K734" s="69">
        <v>2.0681117046347213</v>
      </c>
      <c r="L734" s="69">
        <v>2.3626602654176425</v>
      </c>
      <c r="M734" s="69">
        <v>2.3560796887159534</v>
      </c>
      <c r="N734" s="69">
        <v>2.6437459501557634</v>
      </c>
      <c r="O734" s="69">
        <v>2.5822677494199535</v>
      </c>
      <c r="P734" s="69">
        <v>2.7705626339969376</v>
      </c>
      <c r="Q734" s="69">
        <v>2.7764345716451859</v>
      </c>
      <c r="R734" s="69">
        <v>3.2760278350515466</v>
      </c>
      <c r="S734" s="69">
        <v>3.1740713043478261</v>
      </c>
      <c r="T734" s="69">
        <v>3.5421604727511489</v>
      </c>
      <c r="U734" s="69">
        <v>3.2532920077972709</v>
      </c>
      <c r="V734" s="69">
        <v>3.4296329883570507</v>
      </c>
      <c r="W734" s="69">
        <v>3.4865507414571248</v>
      </c>
      <c r="X734" s="69">
        <v>3.4995420716112533</v>
      </c>
      <c r="Y734" s="69">
        <v>3.4248670878079599</v>
      </c>
      <c r="Z734" s="69">
        <v>3.6281711779448624</v>
      </c>
      <c r="AA734" s="69">
        <v>3.7090033623910337</v>
      </c>
      <c r="AB734" s="69">
        <v>3.9542922311995028</v>
      </c>
      <c r="AC734" s="69">
        <v>4.0085954151177203</v>
      </c>
      <c r="AD734" s="69">
        <v>4.1854291537986414</v>
      </c>
      <c r="AE734" s="69">
        <v>4.1525469790382248</v>
      </c>
      <c r="AF734" s="69">
        <v>4.2967818831942788</v>
      </c>
      <c r="AG734" s="69">
        <v>4.1562317144528969</v>
      </c>
      <c r="AH734" s="69">
        <v>4.2896270396270397</v>
      </c>
      <c r="AI734" s="69">
        <v>4.2099767981438516</v>
      </c>
      <c r="AJ734" s="69">
        <v>4.1339080459770114</v>
      </c>
      <c r="AK734" s="69">
        <v>3.8392246294184722</v>
      </c>
      <c r="AL734" s="69">
        <v>3.9113535047180119</v>
      </c>
      <c r="AM734" s="69">
        <v>3.3122011142917738</v>
      </c>
      <c r="AN734" s="69">
        <v>3.8270209157716222</v>
      </c>
      <c r="AO734" s="69">
        <v>3.3889202939513852</v>
      </c>
      <c r="AP734" s="69">
        <v>3.5988700564971752</v>
      </c>
      <c r="AQ734" s="69">
        <v>3.6269751693002257</v>
      </c>
      <c r="AR734" s="69">
        <v>3.802873563218391</v>
      </c>
      <c r="AS734" s="69">
        <v>3.89906103286385</v>
      </c>
      <c r="AT734" s="69">
        <v>4.6312684365781713</v>
      </c>
      <c r="AU734" s="69">
        <v>4.4077151335311573</v>
      </c>
      <c r="AV734" s="69">
        <v>4.5627240143369177</v>
      </c>
      <c r="AW734" s="70">
        <v>4.374178123132098</v>
      </c>
      <c r="AX734" s="69">
        <v>4.5661140746098328</v>
      </c>
      <c r="AY734" s="69">
        <v>4.5291903561715774</v>
      </c>
      <c r="AZ734" s="69">
        <v>4.6725212305244588</v>
      </c>
      <c r="BA734" s="69">
        <v>4.597654762925413</v>
      </c>
      <c r="BB734" s="69">
        <v>4.7052746483550703</v>
      </c>
      <c r="BC734" s="69">
        <v>4.6478836303604254</v>
      </c>
      <c r="BD734" s="69">
        <v>4.8019077562063233</v>
      </c>
      <c r="BE734" s="69">
        <v>4.801641645152289</v>
      </c>
      <c r="BF734" s="69">
        <v>4.939355459559037</v>
      </c>
      <c r="BG734" s="69">
        <v>4.8773893812205564</v>
      </c>
      <c r="BH734" s="69">
        <v>5.0617688661015281</v>
      </c>
      <c r="BI734" s="69">
        <v>5.0416114699746899</v>
      </c>
      <c r="BJ734" s="69">
        <v>5.2335128080189373</v>
      </c>
      <c r="BK734" s="69">
        <v>5.207210517659612</v>
      </c>
      <c r="BL734" s="69">
        <v>5.395995744458463</v>
      </c>
      <c r="BM734" s="69">
        <v>5.4057595808261967</v>
      </c>
      <c r="BN734" s="69">
        <v>5.6285235930912165</v>
      </c>
      <c r="BO734" s="69">
        <v>5.637154161271293</v>
      </c>
      <c r="BP734" s="69">
        <v>5.8835580615868768</v>
      </c>
      <c r="BQ734" s="69">
        <v>5.8932220791807586</v>
      </c>
      <c r="BR734" s="69"/>
      <c r="BS734" s="69">
        <v>1.8861157483293405</v>
      </c>
      <c r="BT734" s="69">
        <v>1.6404456635928564</v>
      </c>
      <c r="BU734" s="69">
        <v>1.5423198376000902</v>
      </c>
      <c r="BV734" s="69">
        <v>1.8352738095238097</v>
      </c>
      <c r="BW734" s="69">
        <v>1.9389054695562438</v>
      </c>
      <c r="BX734" s="69">
        <v>2.1226087241003273</v>
      </c>
      <c r="BY734" s="69">
        <v>2.3431920430107529</v>
      </c>
      <c r="BZ734" s="69">
        <v>2.6329540453074434</v>
      </c>
      <c r="CA734" s="69">
        <v>2.931226752966559</v>
      </c>
      <c r="CB734" s="69">
        <v>2.8843399999999999</v>
      </c>
      <c r="CC734" s="69">
        <v>3.0756137564630626</v>
      </c>
      <c r="CD734" s="69">
        <v>3.0532175927646112</v>
      </c>
      <c r="CE734" s="69">
        <v>3.3591652516674126</v>
      </c>
      <c r="CF734" s="69">
        <v>4.1013451231333535</v>
      </c>
      <c r="CG734" s="69">
        <v>4.744349181605612</v>
      </c>
      <c r="CH734" s="69">
        <v>5.2521334367726924</v>
      </c>
      <c r="CI734" s="69">
        <v>5.5750190403655751</v>
      </c>
      <c r="CJ734" s="69">
        <v>6.4105409153952841</v>
      </c>
      <c r="CK734" s="69">
        <v>6.8308295231874592</v>
      </c>
      <c r="CL734" s="69">
        <v>6.9560723514211888</v>
      </c>
      <c r="CM734" s="69">
        <v>6.9637635092180545</v>
      </c>
      <c r="CN734" s="69">
        <v>7.3772642098688319</v>
      </c>
      <c r="CO734" s="69">
        <v>8.0086902545003102</v>
      </c>
      <c r="CP734" s="69">
        <v>8.3343558282208594</v>
      </c>
      <c r="CQ734" s="69">
        <v>8.4542232722976962</v>
      </c>
      <c r="CR734" s="69">
        <v>8.4992561467445658</v>
      </c>
      <c r="CS734" s="69">
        <v>7.9719519175729818</v>
      </c>
      <c r="CT734" s="69">
        <v>7.2225368063420161</v>
      </c>
      <c r="CU734" s="69">
        <v>7.2159412097230078</v>
      </c>
      <c r="CV734" s="69">
        <v>7.2258610954263132</v>
      </c>
      <c r="CW734" s="69">
        <v>7.7009291521486647</v>
      </c>
      <c r="CX734" s="69">
        <v>9.0396449704142015</v>
      </c>
      <c r="CY734" s="70">
        <v>8.9396294082486545</v>
      </c>
      <c r="CZ734" s="69">
        <v>9.0953947992487727</v>
      </c>
      <c r="DA734" s="69">
        <v>9.2701759934498735</v>
      </c>
      <c r="DB734" s="69">
        <v>9.3531582787154957</v>
      </c>
      <c r="DC734" s="69">
        <v>9.6035494013586096</v>
      </c>
      <c r="DD734" s="69">
        <v>9.8167448407795934</v>
      </c>
      <c r="DE734" s="69">
        <v>10.103380336076219</v>
      </c>
      <c r="DF734" s="69">
        <v>10.440723325678549</v>
      </c>
      <c r="DG734" s="69">
        <v>10.80175532528466</v>
      </c>
      <c r="DH734" s="69">
        <v>11.26567775436251</v>
      </c>
      <c r="DI734" s="69">
        <v>11.776780140767634</v>
      </c>
    </row>
    <row r="735" spans="1:113" outlineLevel="1">
      <c r="A735" s="1" t="s">
        <v>981</v>
      </c>
      <c r="B735" s="19" t="s">
        <v>391</v>
      </c>
      <c r="C735" s="69">
        <v>0.74595</v>
      </c>
      <c r="D735" s="69">
        <v>0.67632800000000004</v>
      </c>
      <c r="E735" s="69">
        <v>0.81557199999999996</v>
      </c>
      <c r="F735" s="69">
        <v>0.68627399999999994</v>
      </c>
      <c r="G735" s="69">
        <v>0.84540999999999999</v>
      </c>
      <c r="H735" s="69">
        <v>0.78573400000000004</v>
      </c>
      <c r="I735" s="69">
        <v>1.034384</v>
      </c>
      <c r="J735" s="69">
        <v>0.84540999999999999</v>
      </c>
      <c r="K735" s="69">
        <v>1.1139520000000001</v>
      </c>
      <c r="L735" s="69">
        <v>0.93492399999999998</v>
      </c>
      <c r="M735" s="69">
        <v>1.29298</v>
      </c>
      <c r="N735" s="69">
        <v>1.064222</v>
      </c>
      <c r="O735" s="69">
        <v>1.481954</v>
      </c>
      <c r="P735" s="69">
        <v>1.1238979999999998</v>
      </c>
      <c r="Q735" s="69">
        <v>1.521738</v>
      </c>
      <c r="R735" s="69">
        <v>1.1238979999999998</v>
      </c>
      <c r="S735" s="69">
        <v>1.1437899999999999</v>
      </c>
      <c r="T735" s="69">
        <v>1.1935199999999999</v>
      </c>
      <c r="U735" s="69">
        <v>1.69082</v>
      </c>
      <c r="V735" s="69">
        <v>1.312872</v>
      </c>
      <c r="W735" s="69">
        <v>1.869848</v>
      </c>
      <c r="X735" s="69">
        <v>1.3626020000000001</v>
      </c>
      <c r="Y735" s="69">
        <v>1.959362</v>
      </c>
      <c r="Z735" s="69">
        <v>1.6311439999999999</v>
      </c>
      <c r="AA735" s="69">
        <v>1.9892000000000001</v>
      </c>
      <c r="AB735" s="69">
        <v>1.8201180000000001</v>
      </c>
      <c r="AC735" s="69">
        <v>2.168228</v>
      </c>
      <c r="AD735" s="69">
        <v>1.9693080000000001</v>
      </c>
      <c r="AE735" s="69">
        <v>2.2080120000000001</v>
      </c>
      <c r="AF735" s="69">
        <v>1.98</v>
      </c>
      <c r="AG735" s="69">
        <v>2.2200000000000002</v>
      </c>
      <c r="AH735" s="69">
        <v>1.99</v>
      </c>
      <c r="AI735" s="69">
        <v>2.2999999999999998</v>
      </c>
      <c r="AJ735" s="69">
        <v>2</v>
      </c>
      <c r="AK735" s="69">
        <v>2.31</v>
      </c>
      <c r="AL735" s="69">
        <v>2</v>
      </c>
      <c r="AM735" s="69">
        <v>2.31</v>
      </c>
      <c r="AN735" s="69">
        <v>2</v>
      </c>
      <c r="AO735" s="69">
        <v>0.98</v>
      </c>
      <c r="AP735" s="69">
        <v>1.5</v>
      </c>
      <c r="AQ735" s="69">
        <v>2</v>
      </c>
      <c r="AR735" s="69">
        <v>1.75</v>
      </c>
      <c r="AS735" s="69">
        <v>2.1</v>
      </c>
      <c r="AT735" s="69">
        <v>2.1</v>
      </c>
      <c r="AU735" s="69">
        <v>2.4</v>
      </c>
      <c r="AV735" s="69">
        <v>2.15</v>
      </c>
      <c r="AW735" s="70">
        <v>2.5</v>
      </c>
      <c r="AX735" s="69">
        <v>2.15</v>
      </c>
      <c r="AY735" s="69">
        <v>2.5</v>
      </c>
      <c r="AZ735" s="69">
        <v>2.15</v>
      </c>
      <c r="BA735" s="69">
        <v>2.5</v>
      </c>
      <c r="BB735" s="69">
        <v>2.15</v>
      </c>
      <c r="BC735" s="69">
        <v>2.5</v>
      </c>
      <c r="BD735" s="69">
        <v>2.15</v>
      </c>
      <c r="BE735" s="69">
        <v>2.5</v>
      </c>
      <c r="BF735" s="69">
        <v>2.15</v>
      </c>
      <c r="BG735" s="69">
        <v>2.5</v>
      </c>
      <c r="BH735" s="69">
        <v>2.2400000000000002</v>
      </c>
      <c r="BI735" s="69">
        <v>2.54</v>
      </c>
      <c r="BJ735" s="69">
        <v>2.13</v>
      </c>
      <c r="BK735" s="69">
        <v>2.16</v>
      </c>
      <c r="BL735" s="69">
        <v>2.02</v>
      </c>
      <c r="BM735" s="69">
        <v>2.27</v>
      </c>
      <c r="BN735" s="69">
        <v>2.5499999999999998</v>
      </c>
      <c r="BO735" s="69">
        <v>2.9</v>
      </c>
      <c r="BP735" s="69">
        <v>2.68</v>
      </c>
      <c r="BQ735" s="69">
        <v>3.05</v>
      </c>
      <c r="BR735" s="69"/>
      <c r="BS735" s="69">
        <v>0.39784000000000003</v>
      </c>
      <c r="BT735" s="69">
        <v>0.41773200000000005</v>
      </c>
      <c r="BU735" s="69">
        <v>0.59675999999999996</v>
      </c>
      <c r="BV735" s="69">
        <v>0.81557200000000007</v>
      </c>
      <c r="BW735" s="69">
        <v>0.89514000000000005</v>
      </c>
      <c r="BX735" s="69">
        <v>1.0144919999999999</v>
      </c>
      <c r="BY735" s="69">
        <v>1.034384</v>
      </c>
      <c r="BZ735" s="69">
        <v>1.1437899999999999</v>
      </c>
      <c r="CA735" s="69">
        <v>1.2929799999999998</v>
      </c>
      <c r="CB735" s="69">
        <v>1.3526559999999999</v>
      </c>
      <c r="CC735" s="69">
        <v>1.4919</v>
      </c>
      <c r="CD735" s="69">
        <v>1.5316839999999998</v>
      </c>
      <c r="CE735" s="69">
        <v>1.8201179999999999</v>
      </c>
      <c r="CF735" s="69">
        <v>1.959362</v>
      </c>
      <c r="CG735" s="69">
        <v>2.2279040000000001</v>
      </c>
      <c r="CH735" s="69">
        <v>2.546176</v>
      </c>
      <c r="CI735" s="69">
        <v>2.6456359999999997</v>
      </c>
      <c r="CJ735" s="69">
        <v>2.2676879999999997</v>
      </c>
      <c r="CK735" s="69">
        <v>2.8843399999999999</v>
      </c>
      <c r="CL735" s="69">
        <v>3.1827199999999998</v>
      </c>
      <c r="CM735" s="69">
        <v>3.3219640000000004</v>
      </c>
      <c r="CN735" s="69">
        <v>3.6203440000000002</v>
      </c>
      <c r="CO735" s="69">
        <v>3.9883459999999999</v>
      </c>
      <c r="CP735" s="69">
        <v>4.1773199999999999</v>
      </c>
      <c r="CQ735" s="69">
        <v>4.2</v>
      </c>
      <c r="CR735" s="69">
        <v>4.29</v>
      </c>
      <c r="CS735" s="69">
        <v>4.3100000000000005</v>
      </c>
      <c r="CT735" s="69">
        <v>4.3100000000000005</v>
      </c>
      <c r="CU735" s="69">
        <v>2.98</v>
      </c>
      <c r="CV735" s="69">
        <v>3.5</v>
      </c>
      <c r="CW735" s="69">
        <v>3.85</v>
      </c>
      <c r="CX735" s="69">
        <v>4.5</v>
      </c>
      <c r="CY735" s="70">
        <v>4.6500000000000004</v>
      </c>
      <c r="CZ735" s="69">
        <v>4.6500000000000004</v>
      </c>
      <c r="DA735" s="69">
        <v>4.6500000000000004</v>
      </c>
      <c r="DB735" s="69">
        <v>4.6500000000000004</v>
      </c>
      <c r="DC735" s="69">
        <v>4.6500000000000004</v>
      </c>
      <c r="DD735" s="69">
        <v>4.6500000000000004</v>
      </c>
      <c r="DE735" s="69">
        <v>4.78</v>
      </c>
      <c r="DF735" s="69">
        <v>4.29</v>
      </c>
      <c r="DG735" s="69">
        <v>4.29</v>
      </c>
      <c r="DH735" s="69">
        <v>5.4499999999999993</v>
      </c>
      <c r="DI735" s="69">
        <v>5.73</v>
      </c>
    </row>
    <row r="736" spans="1:113" outlineLevel="1">
      <c r="A736" s="1" t="s">
        <v>2502</v>
      </c>
      <c r="B736" s="19" t="s">
        <v>2503</v>
      </c>
      <c r="C736" s="490">
        <v>0</v>
      </c>
      <c r="D736" s="490">
        <v>0</v>
      </c>
      <c r="E736" s="490">
        <v>0</v>
      </c>
      <c r="F736" s="490">
        <v>0</v>
      </c>
      <c r="G736" s="490">
        <v>0</v>
      </c>
      <c r="H736" s="490">
        <v>0</v>
      </c>
      <c r="I736" s="490">
        <v>0</v>
      </c>
      <c r="J736" s="490">
        <v>0</v>
      </c>
      <c r="K736" s="490">
        <v>0</v>
      </c>
      <c r="L736" s="490">
        <v>0</v>
      </c>
      <c r="M736" s="522">
        <v>0</v>
      </c>
      <c r="N736" s="522">
        <v>0</v>
      </c>
      <c r="O736" s="522">
        <v>0</v>
      </c>
      <c r="P736" s="522">
        <v>0</v>
      </c>
      <c r="Q736" s="522">
        <v>0</v>
      </c>
      <c r="R736" s="522">
        <v>0</v>
      </c>
      <c r="S736" s="522">
        <v>0</v>
      </c>
      <c r="T736" s="522">
        <v>0</v>
      </c>
      <c r="U736" s="522">
        <v>0</v>
      </c>
      <c r="V736" s="522">
        <v>0</v>
      </c>
      <c r="W736" s="522">
        <v>0</v>
      </c>
      <c r="X736" s="522">
        <v>0</v>
      </c>
      <c r="Y736" s="522">
        <v>0</v>
      </c>
      <c r="Z736" s="522">
        <v>0</v>
      </c>
      <c r="AA736" s="522">
        <v>0</v>
      </c>
      <c r="AB736" s="522">
        <v>0</v>
      </c>
      <c r="AC736" s="522">
        <v>0</v>
      </c>
      <c r="AD736" s="522">
        <v>0</v>
      </c>
      <c r="AE736" s="522">
        <v>0</v>
      </c>
      <c r="AF736" s="522">
        <v>0</v>
      </c>
      <c r="AG736" s="522">
        <v>0</v>
      </c>
      <c r="AH736" s="522">
        <v>0</v>
      </c>
      <c r="AI736" s="522">
        <v>0</v>
      </c>
      <c r="AJ736" s="522">
        <v>0</v>
      </c>
      <c r="AK736" s="522">
        <v>0</v>
      </c>
      <c r="AL736" s="522">
        <v>0</v>
      </c>
      <c r="AM736" s="522">
        <v>0</v>
      </c>
      <c r="AN736" s="522">
        <v>0</v>
      </c>
      <c r="AO736" s="522">
        <v>0</v>
      </c>
      <c r="AP736" s="522">
        <v>0</v>
      </c>
      <c r="AQ736" s="522">
        <v>0</v>
      </c>
      <c r="AR736" s="522">
        <v>0</v>
      </c>
      <c r="AS736" s="522">
        <v>0</v>
      </c>
      <c r="AT736" s="522">
        <v>0</v>
      </c>
      <c r="AU736" s="522">
        <v>0</v>
      </c>
      <c r="AV736" s="522">
        <v>0</v>
      </c>
      <c r="AW736" s="523">
        <v>0</v>
      </c>
      <c r="AX736" s="524">
        <v>0</v>
      </c>
      <c r="AY736" s="524">
        <v>0</v>
      </c>
      <c r="AZ736" s="524">
        <v>0</v>
      </c>
      <c r="BA736" s="524">
        <v>0</v>
      </c>
      <c r="BB736" s="524">
        <v>0</v>
      </c>
      <c r="BC736" s="524">
        <v>0</v>
      </c>
      <c r="BD736" s="524">
        <v>0</v>
      </c>
      <c r="BE736" s="524">
        <v>0</v>
      </c>
      <c r="BF736" s="524">
        <v>0</v>
      </c>
      <c r="BG736" s="524">
        <v>0</v>
      </c>
      <c r="BH736" s="524">
        <v>0</v>
      </c>
      <c r="BI736" s="524">
        <v>0</v>
      </c>
      <c r="BJ736" s="524">
        <v>0</v>
      </c>
      <c r="BK736" s="524">
        <v>0</v>
      </c>
      <c r="BL736" s="524">
        <v>0</v>
      </c>
      <c r="BM736" s="524">
        <v>0</v>
      </c>
      <c r="BN736" s="524">
        <v>0</v>
      </c>
      <c r="BO736" s="524">
        <v>0</v>
      </c>
      <c r="BP736" s="524">
        <v>0</v>
      </c>
      <c r="BQ736" s="524">
        <v>0</v>
      </c>
      <c r="BR736" s="55"/>
      <c r="BS736" s="490">
        <v>0</v>
      </c>
      <c r="BT736" s="490">
        <v>0</v>
      </c>
      <c r="BU736" s="490">
        <v>0</v>
      </c>
      <c r="BV736" s="490">
        <v>0</v>
      </c>
      <c r="BW736" s="490">
        <v>0</v>
      </c>
      <c r="BX736" s="490">
        <v>0</v>
      </c>
      <c r="BY736" s="490">
        <v>0</v>
      </c>
      <c r="BZ736" s="490">
        <v>0</v>
      </c>
      <c r="CA736" s="490">
        <v>0</v>
      </c>
      <c r="CB736" s="490">
        <v>0</v>
      </c>
      <c r="CC736" s="17">
        <v>0</v>
      </c>
      <c r="CD736" s="17">
        <v>0</v>
      </c>
      <c r="CE736" s="17">
        <v>0</v>
      </c>
      <c r="CF736" s="17">
        <v>0</v>
      </c>
      <c r="CG736" s="17">
        <v>0</v>
      </c>
      <c r="CH736" s="17">
        <v>0</v>
      </c>
      <c r="CI736" s="17">
        <v>0</v>
      </c>
      <c r="CJ736" s="17">
        <v>0</v>
      </c>
      <c r="CK736" s="17">
        <v>0</v>
      </c>
      <c r="CL736" s="17">
        <v>0</v>
      </c>
      <c r="CM736" s="17">
        <v>0</v>
      </c>
      <c r="CN736" s="17">
        <v>0</v>
      </c>
      <c r="CO736" s="69">
        <v>0</v>
      </c>
      <c r="CP736" s="69">
        <v>0</v>
      </c>
      <c r="CQ736" s="69">
        <v>0</v>
      </c>
      <c r="CR736" s="69">
        <v>0</v>
      </c>
      <c r="CS736" s="69">
        <v>0</v>
      </c>
      <c r="CT736" s="69">
        <v>0</v>
      </c>
      <c r="CU736" s="69">
        <v>0</v>
      </c>
      <c r="CV736" s="69">
        <v>0</v>
      </c>
      <c r="CW736" s="69">
        <v>0</v>
      </c>
      <c r="CX736" s="69">
        <v>0</v>
      </c>
      <c r="CY736" s="70">
        <v>0</v>
      </c>
      <c r="CZ736" s="69">
        <v>0</v>
      </c>
      <c r="DA736" s="69">
        <v>0</v>
      </c>
      <c r="DB736" s="69">
        <v>0</v>
      </c>
      <c r="DC736" s="69">
        <v>0</v>
      </c>
      <c r="DD736" s="69">
        <v>0</v>
      </c>
      <c r="DE736" s="69">
        <v>0</v>
      </c>
      <c r="DF736" s="69">
        <v>0</v>
      </c>
      <c r="DG736" s="69">
        <v>0</v>
      </c>
      <c r="DH736" s="69">
        <v>0</v>
      </c>
      <c r="DI736" s="69">
        <v>0</v>
      </c>
    </row>
    <row r="737" spans="1:113" outlineLevel="1">
      <c r="A737" s="1" t="s">
        <v>952</v>
      </c>
      <c r="B737" s="19" t="s">
        <v>392</v>
      </c>
      <c r="C737" s="69">
        <v>1.1302272727272726</v>
      </c>
      <c r="D737" s="69">
        <v>0.96618285714285723</v>
      </c>
      <c r="E737" s="69">
        <v>1.1651028571428572</v>
      </c>
      <c r="F737" s="69">
        <v>0.98039142857142847</v>
      </c>
      <c r="G737" s="69">
        <v>1.2077285714285715</v>
      </c>
      <c r="H737" s="69">
        <v>1.122477142857143</v>
      </c>
      <c r="I737" s="69">
        <v>1.4776914285714287</v>
      </c>
      <c r="J737" s="69">
        <v>1.2077285714285715</v>
      </c>
      <c r="K737" s="69">
        <v>1.5913600000000001</v>
      </c>
      <c r="L737" s="69">
        <v>1.3356057142857143</v>
      </c>
      <c r="M737" s="69">
        <v>1.8471142857142857</v>
      </c>
      <c r="N737" s="69">
        <v>1.5203171428571429</v>
      </c>
      <c r="O737" s="69">
        <v>2.1170771428571431</v>
      </c>
      <c r="P737" s="69">
        <v>1.6055685714285712</v>
      </c>
      <c r="Q737" s="69">
        <v>2.1739114285714285</v>
      </c>
      <c r="R737" s="69">
        <v>1.6055685714285712</v>
      </c>
      <c r="S737" s="69">
        <v>1.6339857142857142</v>
      </c>
      <c r="T737" s="69">
        <v>1.7050285714285713</v>
      </c>
      <c r="U737" s="69">
        <v>2.415457142857143</v>
      </c>
      <c r="V737" s="69">
        <v>1.8755314285714286</v>
      </c>
      <c r="W737" s="69">
        <v>2.6712114285714286</v>
      </c>
      <c r="X737" s="69">
        <v>1.9465742857142858</v>
      </c>
      <c r="Y737" s="69">
        <v>2.7990885714285714</v>
      </c>
      <c r="Z737" s="69">
        <v>2.3302057142857144</v>
      </c>
      <c r="AA737" s="69">
        <v>2.8417142857142861</v>
      </c>
      <c r="AB737" s="69">
        <v>2.6001685714285716</v>
      </c>
      <c r="AC737" s="69">
        <v>3.0974685714285717</v>
      </c>
      <c r="AD737" s="69">
        <v>2.8132971428571429</v>
      </c>
      <c r="AE737" s="69">
        <v>3.1543028571428575</v>
      </c>
      <c r="AF737" s="69">
        <v>2.8285714285714287</v>
      </c>
      <c r="AG737" s="69">
        <v>3.1714285714285717</v>
      </c>
      <c r="AH737" s="69">
        <v>2.842857142857143</v>
      </c>
      <c r="AI737" s="69">
        <v>3.2857142857142856</v>
      </c>
      <c r="AJ737" s="69">
        <v>2.8571428571428572</v>
      </c>
      <c r="AK737" s="69">
        <v>3.3000000000000003</v>
      </c>
      <c r="AL737" s="69">
        <v>2.8571428571428572</v>
      </c>
      <c r="AM737" s="69">
        <v>3.3000000000000003</v>
      </c>
      <c r="AN737" s="69">
        <v>2.8571428571428572</v>
      </c>
      <c r="AO737" s="69">
        <v>1.4</v>
      </c>
      <c r="AP737" s="69">
        <v>2.1428571428571428</v>
      </c>
      <c r="AQ737" s="69">
        <v>2.8571428571428572</v>
      </c>
      <c r="AR737" s="69">
        <v>2.5</v>
      </c>
      <c r="AS737" s="69">
        <v>3</v>
      </c>
      <c r="AT737" s="69">
        <v>3</v>
      </c>
      <c r="AU737" s="69">
        <v>3.4285714285714284</v>
      </c>
      <c r="AV737" s="69">
        <v>3.0714285714285712</v>
      </c>
      <c r="AW737" s="70">
        <v>3.5714285714285716</v>
      </c>
      <c r="AX737" s="69">
        <v>3.0714285714285712</v>
      </c>
      <c r="AY737" s="69">
        <v>3.5714285714285716</v>
      </c>
      <c r="AZ737" s="69">
        <v>3.0714285714285712</v>
      </c>
      <c r="BA737" s="69">
        <v>3.5714285714285716</v>
      </c>
      <c r="BB737" s="69">
        <v>3.0714285714285712</v>
      </c>
      <c r="BC737" s="69">
        <v>3.5714285714285716</v>
      </c>
      <c r="BD737" s="69">
        <v>3.0714285714285712</v>
      </c>
      <c r="BE737" s="69">
        <v>3.5714285714285716</v>
      </c>
      <c r="BF737" s="69">
        <v>3.0714285714285712</v>
      </c>
      <c r="BG737" s="69">
        <v>3.5714285714285716</v>
      </c>
      <c r="BH737" s="69">
        <v>3.2</v>
      </c>
      <c r="BI737" s="69">
        <v>3.6285714285714286</v>
      </c>
      <c r="BJ737" s="69">
        <v>3.0428571428571427</v>
      </c>
      <c r="BK737" s="69">
        <v>3.0857142857142859</v>
      </c>
      <c r="BL737" s="69">
        <v>2.8857142857142857</v>
      </c>
      <c r="BM737" s="69">
        <v>3.2428571428571429</v>
      </c>
      <c r="BN737" s="69">
        <v>3.6428571428571428</v>
      </c>
      <c r="BO737" s="69">
        <v>4.1428571428571432</v>
      </c>
      <c r="BP737" s="69">
        <v>3.8285714285714287</v>
      </c>
      <c r="BQ737" s="69">
        <v>4.3571428571428568</v>
      </c>
      <c r="BR737" s="69"/>
      <c r="BS737" s="69">
        <v>0.59379104477611944</v>
      </c>
      <c r="BT737" s="69">
        <v>0.62348059701492553</v>
      </c>
      <c r="BU737" s="69">
        <v>0.89068656716417904</v>
      </c>
      <c r="BV737" s="69">
        <v>1.217271641791045</v>
      </c>
      <c r="BW737" s="69">
        <v>1.3986562500000002</v>
      </c>
      <c r="BX737" s="69">
        <v>1.5851437499999999</v>
      </c>
      <c r="BY737" s="69">
        <v>1.616225</v>
      </c>
      <c r="BZ737" s="69">
        <v>1.7871718749999999</v>
      </c>
      <c r="CA737" s="69">
        <v>2.0202812499999996</v>
      </c>
      <c r="CB737" s="69">
        <v>2.0494787878787877</v>
      </c>
      <c r="CC737" s="69">
        <v>2.1312857142857142</v>
      </c>
      <c r="CD737" s="69">
        <v>2.1881199999999996</v>
      </c>
      <c r="CE737" s="69">
        <v>2.6001685714285712</v>
      </c>
      <c r="CF737" s="69">
        <v>2.7990885714285714</v>
      </c>
      <c r="CG737" s="69">
        <v>3.1827200000000002</v>
      </c>
      <c r="CH737" s="69">
        <v>3.6373942857142856</v>
      </c>
      <c r="CI737" s="69">
        <v>3.7794799999999995</v>
      </c>
      <c r="CJ737" s="69">
        <v>3.2395542857142852</v>
      </c>
      <c r="CK737" s="69">
        <v>4.1204857142857145</v>
      </c>
      <c r="CL737" s="69">
        <v>4.5467428571428572</v>
      </c>
      <c r="CM737" s="69">
        <v>4.7456628571428574</v>
      </c>
      <c r="CN737" s="69">
        <v>5.1719200000000001</v>
      </c>
      <c r="CO737" s="69">
        <v>5.6976371428571433</v>
      </c>
      <c r="CP737" s="69">
        <v>5.9676</v>
      </c>
      <c r="CQ737" s="69">
        <v>6</v>
      </c>
      <c r="CR737" s="69">
        <v>6.128571428571429</v>
      </c>
      <c r="CS737" s="69">
        <v>6.1571428571428584</v>
      </c>
      <c r="CT737" s="69">
        <v>6.1571428571428584</v>
      </c>
      <c r="CU737" s="69">
        <v>4.2571428571428571</v>
      </c>
      <c r="CV737" s="69">
        <v>5</v>
      </c>
      <c r="CW737" s="69">
        <v>5.5</v>
      </c>
      <c r="CX737" s="69">
        <v>6.4285714285714288</v>
      </c>
      <c r="CY737" s="70">
        <v>6.6428571428571432</v>
      </c>
      <c r="CZ737" s="69">
        <v>6.6428571428571432</v>
      </c>
      <c r="DA737" s="69">
        <v>6.6428571428571432</v>
      </c>
      <c r="DB737" s="69">
        <v>6.6428571428571432</v>
      </c>
      <c r="DC737" s="69">
        <v>6.6428571428571432</v>
      </c>
      <c r="DD737" s="69">
        <v>6.6428571428571432</v>
      </c>
      <c r="DE737" s="69">
        <v>6.8285714285714292</v>
      </c>
      <c r="DF737" s="69">
        <v>6.128571428571429</v>
      </c>
      <c r="DG737" s="69">
        <v>6.128571428571429</v>
      </c>
      <c r="DH737" s="69">
        <v>7.7857142857142847</v>
      </c>
      <c r="DI737" s="69">
        <v>8.1857142857142868</v>
      </c>
    </row>
    <row r="738" spans="1:113" outlineLevel="1">
      <c r="A738" s="1" t="s">
        <v>953</v>
      </c>
      <c r="B738" s="19" t="s">
        <v>393</v>
      </c>
      <c r="C738" s="69" t="e">
        <v>#VALUE!</v>
      </c>
      <c r="D738" s="69">
        <v>0.584168108974359</v>
      </c>
      <c r="E738" s="69">
        <v>0.83108236233040711</v>
      </c>
      <c r="F738" s="69">
        <v>1.6605771747805269</v>
      </c>
      <c r="G738" s="69">
        <v>0.99539314194577344</v>
      </c>
      <c r="H738" s="69">
        <v>0.65515417661097852</v>
      </c>
      <c r="I738" s="69">
        <v>0.56664462151394424</v>
      </c>
      <c r="J738" s="69">
        <v>0.61956110671936759</v>
      </c>
      <c r="K738" s="69">
        <v>1.0641360565593088</v>
      </c>
      <c r="L738" s="69">
        <v>0.73837985948477758</v>
      </c>
      <c r="M738" s="69">
        <v>1.5077671595330739</v>
      </c>
      <c r="N738" s="69">
        <v>0.83657943925233647</v>
      </c>
      <c r="O738" s="69">
        <v>1.093060015467904</v>
      </c>
      <c r="P738" s="69">
        <v>0.4843534456355284</v>
      </c>
      <c r="Q738" s="69">
        <v>1.2283573919636088</v>
      </c>
      <c r="R738" s="69">
        <v>-2.195736966126657</v>
      </c>
      <c r="S738" s="69">
        <v>0.31867117056856187</v>
      </c>
      <c r="T738" s="69">
        <v>0.75362337491792508</v>
      </c>
      <c r="U738" s="69">
        <v>1.2020506822612087</v>
      </c>
      <c r="V738" s="69">
        <v>1.3124087968952136</v>
      </c>
      <c r="W738" s="69">
        <v>1.5505756286266925</v>
      </c>
      <c r="X738" s="69">
        <v>0.84706342710997451</v>
      </c>
      <c r="Y738" s="69">
        <v>1.6373516108654456</v>
      </c>
      <c r="Z738" s="69">
        <v>1.0656428571428571</v>
      </c>
      <c r="AA738" s="69">
        <v>0</v>
      </c>
      <c r="AB738" s="69">
        <v>1.9929088875077687</v>
      </c>
      <c r="AC738" s="69">
        <v>1.3822105328376704</v>
      </c>
      <c r="AD738" s="69">
        <v>2.171041630636195</v>
      </c>
      <c r="AE738" s="69">
        <v>1.6182178791615291</v>
      </c>
      <c r="AF738" s="69">
        <v>-1.231227651966627</v>
      </c>
      <c r="AG738" s="69">
        <v>1.6553540081919251</v>
      </c>
      <c r="AH738" s="69">
        <v>1.8776223776223777</v>
      </c>
      <c r="AI738" s="69">
        <v>1.665893271461717</v>
      </c>
      <c r="AJ738" s="69">
        <v>1.3833333333333333</v>
      </c>
      <c r="AK738" s="69">
        <v>1.6944127708095782</v>
      </c>
      <c r="AL738" s="69">
        <v>1.8814520703346569</v>
      </c>
      <c r="AM738" s="69">
        <v>2.0016958733747878</v>
      </c>
      <c r="AN738" s="69">
        <v>2.3114754098360657</v>
      </c>
      <c r="AO738" s="69">
        <v>2.0011305822498588</v>
      </c>
      <c r="AP738" s="69">
        <v>0.83107344632768365</v>
      </c>
      <c r="AQ738" s="69">
        <v>1.5016930022573363</v>
      </c>
      <c r="AR738" s="69">
        <v>5.4879310344827585</v>
      </c>
      <c r="AS738" s="69">
        <v>2.028755868544601</v>
      </c>
      <c r="AT738" s="69">
        <v>2.8920353982300884</v>
      </c>
      <c r="AU738" s="69">
        <v>2.8178041543026708</v>
      </c>
      <c r="AV738" s="69">
        <v>2.4952210274790918</v>
      </c>
      <c r="AW738" s="70">
        <v>2.2283323371189478</v>
      </c>
      <c r="AX738" s="69">
        <v>2.7164367130583718</v>
      </c>
      <c r="AY738" s="69">
        <v>2.3664986944652258</v>
      </c>
      <c r="AZ738" s="69">
        <v>2.4994700971309025</v>
      </c>
      <c r="BA738" s="69">
        <v>2.1495442835325766</v>
      </c>
      <c r="BB738" s="69">
        <v>2.4994700971309025</v>
      </c>
      <c r="BC738" s="69">
        <v>2.1495442835325766</v>
      </c>
      <c r="BD738" s="69">
        <v>2.4994700971309025</v>
      </c>
      <c r="BE738" s="69">
        <v>2.1495442835325766</v>
      </c>
      <c r="BF738" s="69">
        <v>2.4994700971309025</v>
      </c>
      <c r="BG738" s="69">
        <v>2.1495442835325766</v>
      </c>
      <c r="BH738" s="69">
        <v>2.4994700971309025</v>
      </c>
      <c r="BI738" s="69">
        <v>2.2395252070292893</v>
      </c>
      <c r="BJ738" s="69">
        <v>2.5394616186849976</v>
      </c>
      <c r="BK738" s="69">
        <v>2.1295485227555293</v>
      </c>
      <c r="BL738" s="69">
        <v>2.1595421639211003</v>
      </c>
      <c r="BM738" s="69">
        <v>2.0195718384817694</v>
      </c>
      <c r="BN738" s="69">
        <v>2.2695188481948598</v>
      </c>
      <c r="BO738" s="69">
        <v>2.5494594990735209</v>
      </c>
      <c r="BP738" s="69">
        <v>2.8993853126718472</v>
      </c>
      <c r="BQ738" s="69">
        <v>2.6794319441243277</v>
      </c>
      <c r="BR738" s="69"/>
      <c r="BS738" s="69">
        <v>0</v>
      </c>
      <c r="BT738" s="69">
        <v>0.35490745885374109</v>
      </c>
      <c r="BU738" s="69">
        <v>0.54211140182699891</v>
      </c>
      <c r="BV738" s="69">
        <v>0.52421017316017315</v>
      </c>
      <c r="BW738" s="69">
        <v>0.80471248710010324</v>
      </c>
      <c r="BX738" s="69">
        <v>1.0683544165757908</v>
      </c>
      <c r="BY738" s="69">
        <v>1.064115053763441</v>
      </c>
      <c r="BZ738" s="69">
        <v>-0.57615987055016182</v>
      </c>
      <c r="CA738" s="69">
        <v>-8.1874785329018334</v>
      </c>
      <c r="CB738" s="69">
        <v>1.4240146031746033</v>
      </c>
      <c r="CC738" s="69">
        <v>1.4157208395407943</v>
      </c>
      <c r="CD738" s="69">
        <v>2.6556962793615266</v>
      </c>
      <c r="CE738" s="69">
        <v>1.2218745835273026</v>
      </c>
      <c r="CF738" s="69">
        <v>1.6850548470737072</v>
      </c>
      <c r="CG738" s="69">
        <v>2.2595479345284488</v>
      </c>
      <c r="CH738" s="69">
        <v>1.9402637703646237</v>
      </c>
      <c r="CI738" s="69">
        <v>1.7250571210967252</v>
      </c>
      <c r="CJ738" s="69">
        <v>-1.7468793342579749</v>
      </c>
      <c r="CK738" s="69">
        <v>1.968647942521228</v>
      </c>
      <c r="CL738" s="69">
        <v>2.8798449612403099</v>
      </c>
      <c r="CM738" s="69">
        <v>2.5034965034965033</v>
      </c>
      <c r="CN738" s="69">
        <v>1.0680824484697065</v>
      </c>
      <c r="CO738" s="69">
        <v>3.3935443823711982</v>
      </c>
      <c r="CP738" s="69">
        <v>3.787116564417178</v>
      </c>
      <c r="CQ738" s="69">
        <v>0.45067926757235677</v>
      </c>
      <c r="CR738" s="69">
        <v>3.54295553445936</v>
      </c>
      <c r="CS738" s="69">
        <v>3.0789925586720091</v>
      </c>
      <c r="CT738" s="69">
        <v>3.8833522083805208</v>
      </c>
      <c r="CU738" s="69">
        <v>4.3126059920859241</v>
      </c>
      <c r="CV738" s="69">
        <v>2.3331451157538114</v>
      </c>
      <c r="CW738" s="69">
        <v>7.5528455284552845</v>
      </c>
      <c r="CX738" s="69">
        <v>5.7100591715976332</v>
      </c>
      <c r="CY738" s="70">
        <v>4.7250448296473397</v>
      </c>
      <c r="CZ738" s="69">
        <v>5.0832523742869533</v>
      </c>
      <c r="DA738" s="69">
        <v>4.6490143806634796</v>
      </c>
      <c r="DB738" s="69">
        <v>4.6490143806634796</v>
      </c>
      <c r="DC738" s="69">
        <v>4.6490143806634796</v>
      </c>
      <c r="DD738" s="69">
        <v>4.6490143806634796</v>
      </c>
      <c r="DE738" s="69">
        <v>4.7389953041601913</v>
      </c>
      <c r="DF738" s="69">
        <v>4.6690101414405261</v>
      </c>
      <c r="DG738" s="69">
        <v>4.1791140024028701</v>
      </c>
      <c r="DH738" s="69">
        <v>4.8189783472683807</v>
      </c>
      <c r="DI738" s="69">
        <v>5.5788172567961754</v>
      </c>
    </row>
    <row r="739" spans="1:113" outlineLevel="1">
      <c r="A739" s="1" t="s">
        <v>959</v>
      </c>
      <c r="B739" s="19" t="s">
        <v>489</v>
      </c>
      <c r="C739" s="69" t="e">
        <v>#VALUE!</v>
      </c>
      <c r="D739" s="69">
        <v>0.80867036858974373</v>
      </c>
      <c r="E739" s="69">
        <v>1.0813596009577016</v>
      </c>
      <c r="F739" s="69">
        <v>2.161846049481245</v>
      </c>
      <c r="G739" s="69">
        <v>1.2940110845295054</v>
      </c>
      <c r="H739" s="69">
        <v>0.90083699284009555</v>
      </c>
      <c r="I739" s="69">
        <v>0.84933292430278884</v>
      </c>
      <c r="J739" s="69">
        <v>0.8894004110671937</v>
      </c>
      <c r="K739" s="69">
        <v>1.4166604241948155</v>
      </c>
      <c r="L739" s="69">
        <v>1.020687868852459</v>
      </c>
      <c r="M739" s="69">
        <v>1.8397501545302946</v>
      </c>
      <c r="N739" s="69">
        <v>1.1114555407209612</v>
      </c>
      <c r="O739" s="69">
        <v>1.4765925444702241</v>
      </c>
      <c r="P739" s="69">
        <v>0.77535717348501421</v>
      </c>
      <c r="Q739" s="69">
        <v>1.6217807776454025</v>
      </c>
      <c r="R739" s="69">
        <v>-1.8827298800757417</v>
      </c>
      <c r="S739" s="69">
        <v>0.61753587768752982</v>
      </c>
      <c r="T739" s="69">
        <v>1.0626108245005159</v>
      </c>
      <c r="U739" s="69">
        <v>1.63960820941242</v>
      </c>
      <c r="V739" s="69">
        <v>1.6507124930696733</v>
      </c>
      <c r="W739" s="69">
        <v>2.0337220226581931</v>
      </c>
      <c r="X739" s="69">
        <v>1.2012602192181221</v>
      </c>
      <c r="Y739" s="69">
        <v>2.1441748542550312</v>
      </c>
      <c r="Z739" s="69">
        <v>1.4885348120300752</v>
      </c>
      <c r="AA739" s="69">
        <v>0</v>
      </c>
      <c r="AB739" s="69">
        <v>2.5053711728669095</v>
      </c>
      <c r="AC739" s="69">
        <v>1.8496672508408567</v>
      </c>
      <c r="AD739" s="69">
        <v>2.7293094785140739</v>
      </c>
      <c r="AE739" s="69">
        <v>2.1243653866478778</v>
      </c>
      <c r="AF739" s="69">
        <v>-0.67755831772518316</v>
      </c>
      <c r="AG739" s="69">
        <v>2.1640725570509072</v>
      </c>
      <c r="AH739" s="69">
        <v>2.4482517482517481</v>
      </c>
      <c r="AI739" s="69">
        <v>2.1773450447464371</v>
      </c>
      <c r="AJ739" s="69">
        <v>1.9713628899835798</v>
      </c>
      <c r="AK739" s="69">
        <v>2.2082586740511485</v>
      </c>
      <c r="AL739" s="69">
        <v>2.4743537800826516</v>
      </c>
      <c r="AM739" s="69">
        <v>2.5164176693854481</v>
      </c>
      <c r="AN739" s="69">
        <v>2.9058548009367682</v>
      </c>
      <c r="AO739" s="69">
        <v>2.515707017685537</v>
      </c>
      <c r="AP739" s="69">
        <v>1.0831315577078289</v>
      </c>
      <c r="AQ739" s="69">
        <v>1.8878426314092227</v>
      </c>
      <c r="AR739" s="69">
        <v>6.0122660098522172</v>
      </c>
      <c r="AS739" s="69">
        <v>2.479510395707579</v>
      </c>
      <c r="AT739" s="69">
        <v>3.4337800252844501</v>
      </c>
      <c r="AU739" s="69">
        <v>3.358948707079271</v>
      </c>
      <c r="AV739" s="69">
        <v>3.1131933777095067</v>
      </c>
      <c r="AW739" s="70">
        <v>2.7816582700025614</v>
      </c>
      <c r="AX739" s="69">
        <v>3.3596883200709278</v>
      </c>
      <c r="AY739" s="69">
        <v>2.9196767364972356</v>
      </c>
      <c r="AZ739" s="69">
        <v>3.142190979250278</v>
      </c>
      <c r="BA739" s="69">
        <v>2.7022842421552391</v>
      </c>
      <c r="BB739" s="69">
        <v>3.142190979250278</v>
      </c>
      <c r="BC739" s="69">
        <v>2.7022842421552391</v>
      </c>
      <c r="BD739" s="69">
        <v>3.142190979250278</v>
      </c>
      <c r="BE739" s="69">
        <v>2.7022842421552391</v>
      </c>
      <c r="BF739" s="69">
        <v>3.142190979250278</v>
      </c>
      <c r="BG739" s="69">
        <v>2.7022842421552391</v>
      </c>
      <c r="BH739" s="69">
        <v>3.142190979250278</v>
      </c>
      <c r="BI739" s="69">
        <v>2.8154031174082488</v>
      </c>
      <c r="BJ739" s="69">
        <v>3.1924660349182825</v>
      </c>
      <c r="BK739" s="69">
        <v>2.6771467143212364</v>
      </c>
      <c r="BL739" s="69">
        <v>2.7148530060722407</v>
      </c>
      <c r="BM739" s="69">
        <v>2.5388903112342245</v>
      </c>
      <c r="BN739" s="69">
        <v>2.8531094091592522</v>
      </c>
      <c r="BO739" s="69">
        <v>3.2050347988352832</v>
      </c>
      <c r="BP739" s="69">
        <v>3.6449415359303221</v>
      </c>
      <c r="BQ739" s="69">
        <v>3.3684287297562978</v>
      </c>
      <c r="BR739" s="69"/>
      <c r="BS739" s="69">
        <v>0</v>
      </c>
      <c r="BT739" s="69">
        <v>0.50108734996663706</v>
      </c>
      <c r="BU739" s="69">
        <v>0.75067540011681755</v>
      </c>
      <c r="BV739" s="69">
        <v>0.73760382987659112</v>
      </c>
      <c r="BW739" s="69">
        <v>1.1551126844685242</v>
      </c>
      <c r="BX739" s="69">
        <v>1.4373434242093786</v>
      </c>
      <c r="BY739" s="69">
        <v>1.4767938440860215</v>
      </c>
      <c r="BZ739" s="69">
        <v>-9.2861521035598721E-2</v>
      </c>
      <c r="CA739" s="69">
        <v>-7.6112381930960087</v>
      </c>
      <c r="CB739" s="69">
        <v>1.9187360105820108</v>
      </c>
      <c r="CC739" s="69">
        <v>1.8905440649373415</v>
      </c>
      <c r="CD739" s="69">
        <v>3.4554996404599483</v>
      </c>
      <c r="CE739" s="69">
        <v>1.750218538245006</v>
      </c>
      <c r="CF739" s="69">
        <v>2.3076630194064296</v>
      </c>
      <c r="CG739" s="69">
        <v>2.8772519763946107</v>
      </c>
      <c r="CH739" s="69">
        <v>2.6023717167239275</v>
      </c>
      <c r="CI739" s="69">
        <v>2.4134479382004135</v>
      </c>
      <c r="CJ739" s="69">
        <v>-1.1389736477115118</v>
      </c>
      <c r="CK739" s="69">
        <v>2.719921619856303</v>
      </c>
      <c r="CL739" s="69">
        <v>3.7062569213732002</v>
      </c>
      <c r="CM739" s="69">
        <v>3.3703932431205157</v>
      </c>
      <c r="CN739" s="69">
        <v>1.4919425359150531</v>
      </c>
      <c r="CO739" s="69">
        <v>4.3790192427063941</v>
      </c>
      <c r="CP739" s="69">
        <v>4.8510254163014892</v>
      </c>
      <c r="CQ739" s="69">
        <v>1.5129693696734452</v>
      </c>
      <c r="CR739" s="69">
        <v>4.6248783757831049</v>
      </c>
      <c r="CS739" s="69">
        <v>4.1805707743887481</v>
      </c>
      <c r="CT739" s="69">
        <v>4.9908429056786927</v>
      </c>
      <c r="CU739" s="69">
        <v>5.4215618186223047</v>
      </c>
      <c r="CV739" s="69">
        <v>2.9714285714285711</v>
      </c>
      <c r="CW739" s="69">
        <v>8.5287041645926678</v>
      </c>
      <c r="CX739" s="69">
        <v>6.7929501267962813</v>
      </c>
      <c r="CY739" s="70">
        <v>5.8967124925283922</v>
      </c>
      <c r="CZ739" s="69">
        <v>6.2797628658479221</v>
      </c>
      <c r="DA739" s="69">
        <v>5.8444752214055171</v>
      </c>
      <c r="DB739" s="69">
        <v>5.8444752214055171</v>
      </c>
      <c r="DC739" s="69">
        <v>5.8444752214055171</v>
      </c>
      <c r="DD739" s="69">
        <v>5.8444752214055171</v>
      </c>
      <c r="DE739" s="69">
        <v>5.9575940966585268</v>
      </c>
      <c r="DF739" s="69">
        <v>5.8696127492395185</v>
      </c>
      <c r="DG739" s="69">
        <v>5.2537433173064647</v>
      </c>
      <c r="DH739" s="69">
        <v>6.0581442079945367</v>
      </c>
      <c r="DI739" s="69">
        <v>7.0133702656866195</v>
      </c>
    </row>
    <row r="740" spans="1:113" outlineLevel="1">
      <c r="A740" s="1" t="s">
        <v>960</v>
      </c>
      <c r="B740" s="19" t="s">
        <v>490</v>
      </c>
      <c r="C740" s="69">
        <v>0.69030783152866237</v>
      </c>
      <c r="D740" s="69">
        <v>0.71603071057692314</v>
      </c>
      <c r="E740" s="69">
        <v>0.8016348996009578</v>
      </c>
      <c r="F740" s="69">
        <v>0.71476099505187551</v>
      </c>
      <c r="G740" s="69">
        <v>0.8386556031897926</v>
      </c>
      <c r="H740" s="69">
        <v>0.7010925113762928</v>
      </c>
      <c r="I740" s="69">
        <v>0.83558921657370511</v>
      </c>
      <c r="J740" s="69">
        <v>1.0304936594466403</v>
      </c>
      <c r="K740" s="69">
        <v>1.0234160543597801</v>
      </c>
      <c r="L740" s="69">
        <v>1.2854999247462919</v>
      </c>
      <c r="M740" s="69">
        <v>1.2067741092607003</v>
      </c>
      <c r="N740" s="69">
        <v>1.3934175585669784</v>
      </c>
      <c r="O740" s="69">
        <v>1.3179073067285383</v>
      </c>
      <c r="P740" s="69">
        <v>1.4953605378254211</v>
      </c>
      <c r="Q740" s="69">
        <v>1.443261873237301</v>
      </c>
      <c r="R740" s="69">
        <v>0.92124905564064807</v>
      </c>
      <c r="S740" s="69">
        <v>1.0777780986220735</v>
      </c>
      <c r="T740" s="69">
        <v>1.4012122022061719</v>
      </c>
      <c r="U740" s="69">
        <v>1.5373746113320337</v>
      </c>
      <c r="V740" s="69">
        <v>1.6537227066752913</v>
      </c>
      <c r="W740" s="69">
        <v>1.6095397104912961</v>
      </c>
      <c r="X740" s="69">
        <v>1.5933795340281329</v>
      </c>
      <c r="Y740" s="69">
        <v>1.5566802520151612</v>
      </c>
      <c r="Z740" s="69">
        <v>1.6887905049899747</v>
      </c>
      <c r="AA740" s="69">
        <v>1.7983176809215444</v>
      </c>
      <c r="AB740" s="69">
        <v>1.9009967826600374</v>
      </c>
      <c r="AC740" s="69">
        <v>1.9768738001858739</v>
      </c>
      <c r="AD740" s="69">
        <v>2.0445063947621986</v>
      </c>
      <c r="AE740" s="69">
        <v>1.9368359656226883</v>
      </c>
      <c r="AF740" s="69">
        <v>1.9102216924910607</v>
      </c>
      <c r="AG740" s="69">
        <v>1.7790122878876535</v>
      </c>
      <c r="AH740" s="69">
        <v>1.796081585081585</v>
      </c>
      <c r="AI740" s="69">
        <v>1.7351133410672854</v>
      </c>
      <c r="AJ740" s="69">
        <v>1.5784418390804598</v>
      </c>
      <c r="AK740" s="69">
        <v>1.363072748004561</v>
      </c>
      <c r="AL740" s="69">
        <v>1.4991425730975347</v>
      </c>
      <c r="AM740" s="69">
        <v>1.0213716470486429</v>
      </c>
      <c r="AN740" s="69">
        <v>1.3796230638778972</v>
      </c>
      <c r="AO740" s="69">
        <v>0.55806579988694172</v>
      </c>
      <c r="AP740" s="69">
        <v>1.1089337853107344</v>
      </c>
      <c r="AQ740" s="69">
        <v>1.632135440180587</v>
      </c>
      <c r="AR740" s="69">
        <v>1.5884520689655175</v>
      </c>
      <c r="AS740" s="69">
        <v>1.6184586854460092</v>
      </c>
      <c r="AT740" s="69">
        <v>1.8062560471976401</v>
      </c>
      <c r="AU740" s="69">
        <v>1.6812078338278931</v>
      </c>
      <c r="AV740" s="69">
        <v>1.7795498207885303</v>
      </c>
      <c r="AW740" s="70">
        <v>1.6495968918111177</v>
      </c>
      <c r="AX740" s="69">
        <v>1.6957427719469693</v>
      </c>
      <c r="AY740" s="69">
        <v>1.59872130452242</v>
      </c>
      <c r="AZ740" s="69">
        <v>1.6613641837832678</v>
      </c>
      <c r="BA740" s="69">
        <v>1.5908374895198769</v>
      </c>
      <c r="BB740" s="69">
        <v>1.6359246945066466</v>
      </c>
      <c r="BC740" s="69">
        <v>1.5721264308984957</v>
      </c>
      <c r="BD740" s="69">
        <v>1.6461093392724986</v>
      </c>
      <c r="BE740" s="69">
        <v>1.6182570239141585</v>
      </c>
      <c r="BF740" s="69">
        <v>1.6795871175456636</v>
      </c>
      <c r="BG740" s="69">
        <v>1.6091223725319705</v>
      </c>
      <c r="BH740" s="69">
        <v>1.7008213176253388</v>
      </c>
      <c r="BI740" s="69">
        <v>1.6582849774277686</v>
      </c>
      <c r="BJ740" s="69">
        <v>1.2713394408911916</v>
      </c>
      <c r="BK740" s="69">
        <v>0.78647826507013852</v>
      </c>
      <c r="BL740" s="69">
        <v>0.89689125726982588</v>
      </c>
      <c r="BM740" s="69">
        <v>1.3138003882181315</v>
      </c>
      <c r="BN740" s="69">
        <v>1.7228358324682638</v>
      </c>
      <c r="BO740" s="69">
        <v>1.6928017930147075</v>
      </c>
      <c r="BP740" s="69">
        <v>1.8186973408034979</v>
      </c>
      <c r="BQ740" s="69">
        <v>1.7881823135173842</v>
      </c>
      <c r="BR740" s="69"/>
      <c r="BS740" s="69">
        <v>0.33010311249527163</v>
      </c>
      <c r="BT740" s="69">
        <v>0.51489375071787091</v>
      </c>
      <c r="BU740" s="69">
        <v>0.61482364993797223</v>
      </c>
      <c r="BV740" s="69">
        <v>0.93672590519480514</v>
      </c>
      <c r="BW740" s="69">
        <v>0.98998932590299282</v>
      </c>
      <c r="BX740" s="69">
        <v>1.1671245958560523</v>
      </c>
      <c r="BY740" s="69">
        <v>1.1851118868817203</v>
      </c>
      <c r="BZ740" s="69">
        <v>1.3624925618122976</v>
      </c>
      <c r="CA740" s="69">
        <v>1.5246584975188779</v>
      </c>
      <c r="CB740" s="69">
        <v>1.5599701082539681</v>
      </c>
      <c r="CC740" s="69">
        <v>1.7377591537945845</v>
      </c>
      <c r="CD740" s="69">
        <v>1.7816127680125191</v>
      </c>
      <c r="CE740" s="69">
        <v>1.7859783648444398</v>
      </c>
      <c r="CF740" s="69">
        <v>2.3370394034892281</v>
      </c>
      <c r="CG740" s="69">
        <v>2.8216087295401402</v>
      </c>
      <c r="CH740" s="69">
        <v>3.0886780449961209</v>
      </c>
      <c r="CI740" s="69">
        <v>3.2551393754760087</v>
      </c>
      <c r="CJ740" s="69">
        <v>2.4272027739251039</v>
      </c>
      <c r="CK740" s="69">
        <v>3.4603954278249507</v>
      </c>
      <c r="CL740" s="69">
        <v>3.761595490956072</v>
      </c>
      <c r="CM740" s="69">
        <v>3.8357303877940243</v>
      </c>
      <c r="CN740" s="69">
        <v>4.1435219237976266</v>
      </c>
      <c r="CO740" s="69">
        <v>4.6263175046554936</v>
      </c>
      <c r="CP740" s="69">
        <v>4.7592665030674848</v>
      </c>
      <c r="CQ740" s="69">
        <v>4.6168529238038989</v>
      </c>
      <c r="CR740" s="69">
        <v>4.5460383379100744</v>
      </c>
      <c r="CS740" s="69">
        <v>4.0004748712077847</v>
      </c>
      <c r="CT740" s="69">
        <v>3.5783689694224239</v>
      </c>
      <c r="CU740" s="69">
        <v>3.0040804974561897</v>
      </c>
      <c r="CV740" s="69">
        <v>3.8171338226990401</v>
      </c>
      <c r="CW740" s="69">
        <v>4.3576385598141698</v>
      </c>
      <c r="CX740" s="69">
        <v>4.7413226035502953</v>
      </c>
      <c r="CY740" s="70">
        <v>4.6495968918111181</v>
      </c>
      <c r="CZ740" s="69">
        <v>4.5497069405681509</v>
      </c>
      <c r="DA740" s="69">
        <v>4.5545954290613757</v>
      </c>
      <c r="DB740" s="69">
        <v>4.5514214288006096</v>
      </c>
      <c r="DC740" s="69">
        <v>4.6567434982947216</v>
      </c>
      <c r="DD740" s="69">
        <v>4.7320700048797386</v>
      </c>
      <c r="DE740" s="69">
        <v>4.855504949996388</v>
      </c>
      <c r="DF740" s="69">
        <v>3.6512100626354789</v>
      </c>
      <c r="DG740" s="69">
        <v>3.8679230388574815</v>
      </c>
      <c r="DH740" s="69">
        <v>5.0941887296260528</v>
      </c>
      <c r="DI740" s="69">
        <v>5.3528268652426831</v>
      </c>
    </row>
    <row r="741" spans="1:113" outlineLevel="1">
      <c r="A741" s="1" t="s">
        <v>961</v>
      </c>
      <c r="B741" s="19" t="s">
        <v>401</v>
      </c>
      <c r="C741" s="69">
        <v>1.0745851042559351</v>
      </c>
      <c r="D741" s="69">
        <v>1.0058855677197802</v>
      </c>
      <c r="E741" s="69">
        <v>1.1511657567438149</v>
      </c>
      <c r="F741" s="69">
        <v>1.0088784236233042</v>
      </c>
      <c r="G741" s="69">
        <v>1.200974174618364</v>
      </c>
      <c r="H741" s="69">
        <v>1.0378356542334357</v>
      </c>
      <c r="I741" s="69">
        <v>1.2788966451451338</v>
      </c>
      <c r="J741" s="69">
        <v>1.3928122308752118</v>
      </c>
      <c r="K741" s="69">
        <v>1.5008240543597802</v>
      </c>
      <c r="L741" s="69">
        <v>1.6861816390320061</v>
      </c>
      <c r="M741" s="69">
        <v>1.7609083949749862</v>
      </c>
      <c r="N741" s="69">
        <v>1.8495127014241213</v>
      </c>
      <c r="O741" s="69">
        <v>1.9530304495856812</v>
      </c>
      <c r="P741" s="69">
        <v>1.9770311092539925</v>
      </c>
      <c r="Q741" s="69">
        <v>2.0954353018087297</v>
      </c>
      <c r="R741" s="69">
        <v>1.4029196270692195</v>
      </c>
      <c r="S741" s="69">
        <v>1.5679738129077878</v>
      </c>
      <c r="T741" s="69">
        <v>1.9127207736347434</v>
      </c>
      <c r="U741" s="69">
        <v>2.2620117541891767</v>
      </c>
      <c r="V741" s="69">
        <v>2.2163821352467199</v>
      </c>
      <c r="W741" s="69">
        <v>2.4109031390627247</v>
      </c>
      <c r="X741" s="69">
        <v>2.1773518197424186</v>
      </c>
      <c r="Y741" s="69">
        <v>2.3964068234437326</v>
      </c>
      <c r="Z741" s="69">
        <v>2.3878522192756888</v>
      </c>
      <c r="AA741" s="69">
        <v>2.6508319666358302</v>
      </c>
      <c r="AB741" s="69">
        <v>2.6810473540886086</v>
      </c>
      <c r="AC741" s="69">
        <v>2.9061143716144455</v>
      </c>
      <c r="AD741" s="69">
        <v>2.8884955376193417</v>
      </c>
      <c r="AE741" s="69">
        <v>2.8831268227655453</v>
      </c>
      <c r="AF741" s="69">
        <v>2.7587931210624892</v>
      </c>
      <c r="AG741" s="69">
        <v>2.730440859316225</v>
      </c>
      <c r="AH741" s="69">
        <v>2.6489387279387278</v>
      </c>
      <c r="AI741" s="69">
        <v>2.720827626781571</v>
      </c>
      <c r="AJ741" s="69">
        <v>2.4355846962233167</v>
      </c>
      <c r="AK741" s="69">
        <v>2.353072748004561</v>
      </c>
      <c r="AL741" s="69">
        <v>2.3562854302403919</v>
      </c>
      <c r="AM741" s="69">
        <v>2.0113716470486427</v>
      </c>
      <c r="AN741" s="69">
        <v>2.2367659210207544</v>
      </c>
      <c r="AO741" s="69">
        <v>0.97806579988694176</v>
      </c>
      <c r="AP741" s="69">
        <v>1.7517909281678772</v>
      </c>
      <c r="AQ741" s="69">
        <v>2.4892782973234442</v>
      </c>
      <c r="AR741" s="69">
        <v>2.3384520689655175</v>
      </c>
      <c r="AS741" s="69">
        <v>2.5184586854460091</v>
      </c>
      <c r="AT741" s="69">
        <v>2.7062560471976402</v>
      </c>
      <c r="AU741" s="69">
        <v>2.709779262399322</v>
      </c>
      <c r="AV741" s="69">
        <v>2.7009783922171016</v>
      </c>
      <c r="AW741" s="70">
        <v>2.7210254632396893</v>
      </c>
      <c r="AX741" s="69">
        <v>2.6171713433755408</v>
      </c>
      <c r="AY741" s="69">
        <v>2.6701498759509912</v>
      </c>
      <c r="AZ741" s="69">
        <v>2.5827927552118393</v>
      </c>
      <c r="BA741" s="69">
        <v>2.6622660609484483</v>
      </c>
      <c r="BB741" s="69">
        <v>2.5573532659352178</v>
      </c>
      <c r="BC741" s="69">
        <v>2.6435550023270671</v>
      </c>
      <c r="BD741" s="69">
        <v>2.5675379107010698</v>
      </c>
      <c r="BE741" s="69">
        <v>2.6896855953427297</v>
      </c>
      <c r="BF741" s="69">
        <v>2.6010156889742353</v>
      </c>
      <c r="BG741" s="69">
        <v>2.6805509439605419</v>
      </c>
      <c r="BH741" s="69">
        <v>2.6608213176253388</v>
      </c>
      <c r="BI741" s="69">
        <v>2.7468564059991971</v>
      </c>
      <c r="BJ741" s="69">
        <v>2.1841965837483341</v>
      </c>
      <c r="BK741" s="69">
        <v>1.7121925507844242</v>
      </c>
      <c r="BL741" s="69">
        <v>1.7626055429841117</v>
      </c>
      <c r="BM741" s="69">
        <v>2.2866575310752744</v>
      </c>
      <c r="BN741" s="69">
        <v>2.8156929753254065</v>
      </c>
      <c r="BO741" s="69">
        <v>2.9356589358718503</v>
      </c>
      <c r="BP741" s="69">
        <v>2.9672687693749267</v>
      </c>
      <c r="BQ741" s="69">
        <v>3.0953251706602414</v>
      </c>
      <c r="BR741" s="69"/>
      <c r="BS741" s="69">
        <v>0.52605415727139104</v>
      </c>
      <c r="BT741" s="69">
        <v>0.72064234773279634</v>
      </c>
      <c r="BU741" s="69">
        <v>0.90875021710215131</v>
      </c>
      <c r="BV741" s="69">
        <v>1.3384255469858499</v>
      </c>
      <c r="BW741" s="69">
        <v>1.4935055759029927</v>
      </c>
      <c r="BX741" s="69">
        <v>1.7377763458560522</v>
      </c>
      <c r="BY741" s="69">
        <v>1.7669528868817204</v>
      </c>
      <c r="BZ741" s="69">
        <v>2.0058744368122974</v>
      </c>
      <c r="CA741" s="69">
        <v>2.2519597475188777</v>
      </c>
      <c r="CB741" s="69">
        <v>2.2567928961327564</v>
      </c>
      <c r="CC741" s="69">
        <v>2.3771448680802987</v>
      </c>
      <c r="CD741" s="69">
        <v>2.4380487680125191</v>
      </c>
      <c r="CE741" s="69">
        <v>2.5660289362730113</v>
      </c>
      <c r="CF741" s="69">
        <v>3.1767659749177994</v>
      </c>
      <c r="CG741" s="69">
        <v>3.7764247295401403</v>
      </c>
      <c r="CH741" s="69">
        <v>4.1798963307104069</v>
      </c>
      <c r="CI741" s="69">
        <v>4.388983375476009</v>
      </c>
      <c r="CJ741" s="69">
        <v>3.3990690596393893</v>
      </c>
      <c r="CK741" s="69">
        <v>4.6965411421106653</v>
      </c>
      <c r="CL741" s="69">
        <v>5.1256183480989295</v>
      </c>
      <c r="CM741" s="69">
        <v>5.2594292449368822</v>
      </c>
      <c r="CN741" s="69">
        <v>5.6950979237976274</v>
      </c>
      <c r="CO741" s="69">
        <v>6.3356086475126361</v>
      </c>
      <c r="CP741" s="69">
        <v>6.5495465030674849</v>
      </c>
      <c r="CQ741" s="69">
        <v>6.4168529238038996</v>
      </c>
      <c r="CR741" s="69">
        <v>6.3846097664815034</v>
      </c>
      <c r="CS741" s="69">
        <v>5.8476177283506416</v>
      </c>
      <c r="CT741" s="69">
        <v>5.4255118265652813</v>
      </c>
      <c r="CU741" s="69">
        <v>4.2812233545990468</v>
      </c>
      <c r="CV741" s="69">
        <v>5.3171338226990397</v>
      </c>
      <c r="CW741" s="69">
        <v>6.0076385598141702</v>
      </c>
      <c r="CX741" s="69">
        <v>6.6698940321217242</v>
      </c>
      <c r="CY741" s="70">
        <v>6.642454034668261</v>
      </c>
      <c r="CZ741" s="69">
        <v>6.5425640834252938</v>
      </c>
      <c r="DA741" s="69">
        <v>6.5474525719185186</v>
      </c>
      <c r="DB741" s="69">
        <v>6.5442785716577525</v>
      </c>
      <c r="DC741" s="69">
        <v>6.6496006411518644</v>
      </c>
      <c r="DD741" s="69">
        <v>6.7249271477368815</v>
      </c>
      <c r="DE741" s="69">
        <v>6.904076378567817</v>
      </c>
      <c r="DF741" s="69">
        <v>5.4897814912069069</v>
      </c>
      <c r="DG741" s="69">
        <v>5.70649446742891</v>
      </c>
      <c r="DH741" s="69">
        <v>7.4299030153403383</v>
      </c>
      <c r="DI741" s="69">
        <v>7.8085411509569695</v>
      </c>
    </row>
    <row r="742" spans="1:113" outlineLevel="1">
      <c r="A742" s="1" t="s">
        <v>962</v>
      </c>
      <c r="B742" s="19" t="s">
        <v>402</v>
      </c>
      <c r="C742" s="69">
        <v>14.156084258615582</v>
      </c>
      <c r="D742" s="69">
        <v>14.322005201054548</v>
      </c>
      <c r="E742" s="69">
        <v>14.561127568546375</v>
      </c>
      <c r="F742" s="69">
        <v>15.16676472797881</v>
      </c>
      <c r="G742" s="69">
        <v>15.342107634700055</v>
      </c>
      <c r="H742" s="69">
        <v>15.385211842941368</v>
      </c>
      <c r="I742" s="69">
        <v>15.851361478676202</v>
      </c>
      <c r="J742" s="69">
        <v>13.896866954731124</v>
      </c>
      <c r="K742" s="69">
        <v>14.44500241780646</v>
      </c>
      <c r="L742" s="69">
        <v>14.19310398197929</v>
      </c>
      <c r="M742" s="69">
        <v>15.424807763363232</v>
      </c>
      <c r="N742" s="69">
        <v>16.22177848573077</v>
      </c>
      <c r="O742" s="69">
        <v>17.583523072802986</v>
      </c>
      <c r="P742" s="69">
        <v>18.281211580870576</v>
      </c>
      <c r="Q742" s="69">
        <v>18.510034285251017</v>
      </c>
      <c r="R742" s="69">
        <v>19.286945251172053</v>
      </c>
      <c r="S742" s="69">
        <v>19.634626554242963</v>
      </c>
      <c r="T742" s="69">
        <v>20.824257708614439</v>
      </c>
      <c r="U742" s="69">
        <v>21.904176505008913</v>
      </c>
      <c r="V742" s="69">
        <v>21.759223755730616</v>
      </c>
      <c r="W742" s="69">
        <v>22.857513598590746</v>
      </c>
      <c r="X742" s="69">
        <v>23.529028917893008</v>
      </c>
      <c r="Y742" s="69">
        <v>25.051238548553677</v>
      </c>
      <c r="Z742" s="69">
        <v>25.883271251301206</v>
      </c>
      <c r="AA742" s="69">
        <v>27.185527667493798</v>
      </c>
      <c r="AB742" s="69">
        <v>28.111640942928041</v>
      </c>
      <c r="AC742" s="69">
        <v>29.37291252313387</v>
      </c>
      <c r="AD742" s="69">
        <v>30.387912375507227</v>
      </c>
      <c r="AE742" s="69">
        <v>31.458196068796067</v>
      </c>
      <c r="AF742" s="69">
        <v>34.607728337236537</v>
      </c>
      <c r="AG742" s="69">
        <v>34.993586005830906</v>
      </c>
      <c r="AH742" s="69">
        <v>35.522344747533374</v>
      </c>
      <c r="AI742" s="69">
        <v>36.482080924855488</v>
      </c>
      <c r="AJ742" s="69">
        <v>37.38562464346834</v>
      </c>
      <c r="AK742" s="69">
        <v>38.242045454545455</v>
      </c>
      <c r="AL742" s="69">
        <v>38.427003651771962</v>
      </c>
      <c r="AM742" s="69">
        <v>39.313324397521761</v>
      </c>
      <c r="AN742" s="69">
        <v>40.165186529192063</v>
      </c>
      <c r="AO742" s="69">
        <v>40.634614534111172</v>
      </c>
      <c r="AP742" s="69">
        <v>42.227130147904418</v>
      </c>
      <c r="AQ742" s="69">
        <v>44.367938267796845</v>
      </c>
      <c r="AR742" s="69">
        <v>43.751973385677751</v>
      </c>
      <c r="AS742" s="69">
        <v>42.804205737099302</v>
      </c>
      <c r="AT742" s="69">
        <v>42.962207574319407</v>
      </c>
      <c r="AU742" s="69">
        <v>43.318698123096262</v>
      </c>
      <c r="AV742" s="69">
        <v>43.529223557058117</v>
      </c>
      <c r="AW742" s="70">
        <v>43.708097560961605</v>
      </c>
      <c r="AX742" s="69">
        <v>44.064796437545048</v>
      </c>
      <c r="AY742" s="69">
        <v>44.553592166988089</v>
      </c>
      <c r="AZ742" s="69">
        <v>44.864581848833005</v>
      </c>
      <c r="BA742" s="69">
        <v>45.459011684888765</v>
      </c>
      <c r="BB742" s="69">
        <v>45.777064092706539</v>
      </c>
      <c r="BC742" s="69">
        <v>46.495446611498679</v>
      </c>
      <c r="BD742" s="69">
        <v>46.962607914639776</v>
      </c>
      <c r="BE742" s="69">
        <v>47.777574969770484</v>
      </c>
      <c r="BF742" s="69">
        <v>48.329525878438069</v>
      </c>
      <c r="BG742" s="69">
        <v>49.187550779262374</v>
      </c>
      <c r="BH742" s="69">
        <v>49.813924929430748</v>
      </c>
      <c r="BI742" s="69">
        <v>50.685262339819026</v>
      </c>
      <c r="BJ742" s="69">
        <v>50.939109446099593</v>
      </c>
      <c r="BK742" s="69">
        <v>51.263721866046467</v>
      </c>
      <c r="BL742" s="69">
        <v>51.658386006228803</v>
      </c>
      <c r="BM742" s="69">
        <v>52.598663390663795</v>
      </c>
      <c r="BN742" s="69">
        <v>53.730771442002094</v>
      </c>
      <c r="BO742" s="69">
        <v>54.58620756079555</v>
      </c>
      <c r="BP742" s="69">
        <v>55.251607838855577</v>
      </c>
      <c r="BQ742" s="69">
        <v>56.141215742504222</v>
      </c>
      <c r="BR742" s="69"/>
      <c r="BS742" s="69">
        <v>6.444203953127337</v>
      </c>
      <c r="BT742" s="69">
        <v>6.3270154262134088</v>
      </c>
      <c r="BU742" s="69">
        <v>6.5560799722509397</v>
      </c>
      <c r="BV742" s="69">
        <v>6.8827852681840334</v>
      </c>
      <c r="BW742" s="69">
        <v>7.2204661347017973</v>
      </c>
      <c r="BX742" s="69">
        <v>7.3201443163678377</v>
      </c>
      <c r="BY742" s="69">
        <v>7.2353496284801109</v>
      </c>
      <c r="BZ742" s="69">
        <v>7.3131664307824957</v>
      </c>
      <c r="CA742" s="69">
        <v>13.789576197602191</v>
      </c>
      <c r="CB742" s="69">
        <v>14.156084258615582</v>
      </c>
      <c r="CC742" s="69">
        <v>14.561127568546375</v>
      </c>
      <c r="CD742" s="69">
        <v>15.342107634700055</v>
      </c>
      <c r="CE742" s="69">
        <v>15.851361478676202</v>
      </c>
      <c r="CF742" s="69">
        <v>14.44500241780646</v>
      </c>
      <c r="CG742" s="69">
        <v>15.424807763363232</v>
      </c>
      <c r="CH742" s="69">
        <v>17.583523072802986</v>
      </c>
      <c r="CI742" s="69">
        <v>18.510034285251017</v>
      </c>
      <c r="CJ742" s="69">
        <v>19.634626554242963</v>
      </c>
      <c r="CK742" s="69">
        <v>21.904176505008913</v>
      </c>
      <c r="CL742" s="69">
        <v>22.857513598590746</v>
      </c>
      <c r="CM742" s="69">
        <v>25.051238548553677</v>
      </c>
      <c r="CN742" s="69">
        <v>27.185527667493798</v>
      </c>
      <c r="CO742" s="69">
        <v>29.37291252313387</v>
      </c>
      <c r="CP742" s="69">
        <v>31.458196068796067</v>
      </c>
      <c r="CQ742" s="69">
        <v>34.993586005830906</v>
      </c>
      <c r="CR742" s="69">
        <v>36.630295995356938</v>
      </c>
      <c r="CS742" s="69">
        <v>38.905202312138726</v>
      </c>
      <c r="CT742" s="69">
        <v>39.313324397521761</v>
      </c>
      <c r="CU742" s="69">
        <v>40.634614534111172</v>
      </c>
      <c r="CV742" s="69">
        <v>44.367938267796845</v>
      </c>
      <c r="CW742" s="69">
        <v>42.804205737099302</v>
      </c>
      <c r="CX742" s="69">
        <v>43.318698123096262</v>
      </c>
      <c r="CY742" s="70">
        <v>43.708097560961605</v>
      </c>
      <c r="CZ742" s="69">
        <v>44.553592166988082</v>
      </c>
      <c r="DA742" s="69">
        <v>45.459011684888758</v>
      </c>
      <c r="DB742" s="69">
        <v>46.495446611498679</v>
      </c>
      <c r="DC742" s="69">
        <v>47.777574969770484</v>
      </c>
      <c r="DD742" s="69">
        <v>49.187550779262374</v>
      </c>
      <c r="DE742" s="69">
        <v>50.685262339819026</v>
      </c>
      <c r="DF742" s="69">
        <v>51.263721866046467</v>
      </c>
      <c r="DG742" s="69">
        <v>52.598663390663809</v>
      </c>
      <c r="DH742" s="69">
        <v>54.586207560795557</v>
      </c>
      <c r="DI742" s="69">
        <v>56.141215742504237</v>
      </c>
    </row>
    <row r="743" spans="1:113" outlineLevel="1">
      <c r="A743" s="1" t="s">
        <v>963</v>
      </c>
      <c r="B743" s="19" t="s">
        <v>492</v>
      </c>
      <c r="C743" s="69">
        <v>9.5860979476336183</v>
      </c>
      <c r="D743" s="69">
        <v>9.912180559372711</v>
      </c>
      <c r="E743" s="69">
        <v>10.281618288601246</v>
      </c>
      <c r="F743" s="69">
        <v>11.071992141606209</v>
      </c>
      <c r="G743" s="69">
        <v>11.352064748269555</v>
      </c>
      <c r="H743" s="69">
        <v>11.546598727670151</v>
      </c>
      <c r="I743" s="69">
        <v>12.149169582068033</v>
      </c>
      <c r="J743" s="69">
        <v>8.0606356784450881</v>
      </c>
      <c r="K743" s="69">
        <v>8.6387236143921609</v>
      </c>
      <c r="L743" s="69">
        <v>8.3639588181818354</v>
      </c>
      <c r="M743" s="69">
        <v>9.5482475077192177</v>
      </c>
      <c r="N743" s="69">
        <v>10.378391644316629</v>
      </c>
      <c r="O743" s="69">
        <v>11.818960078727009</v>
      </c>
      <c r="P743" s="69">
        <v>12.312684714071546</v>
      </c>
      <c r="Q743" s="69">
        <v>12.581273303690674</v>
      </c>
      <c r="R743" s="69">
        <v>13.936033138478766</v>
      </c>
      <c r="S743" s="69">
        <v>14.021178306136681</v>
      </c>
      <c r="T743" s="69">
        <v>15.299084205189454</v>
      </c>
      <c r="U743" s="69">
        <v>16.464737810350019</v>
      </c>
      <c r="V743" s="69">
        <v>16.376888469165841</v>
      </c>
      <c r="W743" s="69">
        <v>17.55727607905153</v>
      </c>
      <c r="X743" s="69">
        <v>18.153732694296085</v>
      </c>
      <c r="Y743" s="69">
        <v>19.690790740834885</v>
      </c>
      <c r="Z743" s="69">
        <v>20.607971680418483</v>
      </c>
      <c r="AA743" s="69">
        <v>21.941048759305211</v>
      </c>
      <c r="AB743" s="69">
        <v>23.18059677419355</v>
      </c>
      <c r="AC743" s="69">
        <v>24.502379025293031</v>
      </c>
      <c r="AD743" s="69">
        <v>25.540421992931766</v>
      </c>
      <c r="AE743" s="69">
        <v>26.643427886977886</v>
      </c>
      <c r="AF743" s="69">
        <v>30.020491803278688</v>
      </c>
      <c r="AG743" s="69">
        <v>30.237900874635567</v>
      </c>
      <c r="AH743" s="69">
        <v>30.819500870574579</v>
      </c>
      <c r="AI743" s="69">
        <v>31.805780346820811</v>
      </c>
      <c r="AJ743" s="69">
        <v>33.253280091272103</v>
      </c>
      <c r="AK743" s="69">
        <v>34.110795454545453</v>
      </c>
      <c r="AL743" s="69">
        <v>34.823536451556549</v>
      </c>
      <c r="AM743" s="69">
        <v>35.781034006716467</v>
      </c>
      <c r="AN743" s="69">
        <v>36.600132210245604</v>
      </c>
      <c r="AO743" s="69">
        <v>37.474025259114271</v>
      </c>
      <c r="AP743" s="69">
        <v>39.101031719014635</v>
      </c>
      <c r="AQ743" s="69">
        <v>41.259313522876695</v>
      </c>
      <c r="AR743" s="69">
        <v>40.535830039477752</v>
      </c>
      <c r="AS743" s="69">
        <v>39.577713769218327</v>
      </c>
      <c r="AT743" s="69">
        <v>39.708858899063173</v>
      </c>
      <c r="AU743" s="69">
        <v>40.045520141725248</v>
      </c>
      <c r="AV743" s="69">
        <v>40.257091050606554</v>
      </c>
      <c r="AW743" s="70">
        <v>40.436105418383697</v>
      </c>
      <c r="AX743" s="69">
        <v>40.78739615327946</v>
      </c>
      <c r="AY743" s="69">
        <v>41.270992643846938</v>
      </c>
      <c r="AZ743" s="69">
        <v>41.581982325691854</v>
      </c>
      <c r="BA743" s="69">
        <v>42.176412161747614</v>
      </c>
      <c r="BB743" s="69">
        <v>42.494464569565388</v>
      </c>
      <c r="BC743" s="69">
        <v>43.212847088357528</v>
      </c>
      <c r="BD743" s="69">
        <v>43.680008391498625</v>
      </c>
      <c r="BE743" s="69">
        <v>44.494975446629333</v>
      </c>
      <c r="BF743" s="69">
        <v>45.046926355296918</v>
      </c>
      <c r="BG743" s="69">
        <v>45.904951256121223</v>
      </c>
      <c r="BH743" s="69">
        <v>46.531325406289596</v>
      </c>
      <c r="BI743" s="69">
        <v>47.402662816677875</v>
      </c>
      <c r="BJ743" s="69">
        <v>47.656509922958442</v>
      </c>
      <c r="BK743" s="69">
        <v>47.981122342905316</v>
      </c>
      <c r="BL743" s="69">
        <v>48.375786483087651</v>
      </c>
      <c r="BM743" s="69">
        <v>49.316063867522644</v>
      </c>
      <c r="BN743" s="69">
        <v>50.448171918860943</v>
      </c>
      <c r="BO743" s="69">
        <v>51.303608037654399</v>
      </c>
      <c r="BP743" s="69">
        <v>51.969008315714426</v>
      </c>
      <c r="BQ743" s="69">
        <v>52.858616219363071</v>
      </c>
      <c r="BR743" s="69"/>
      <c r="BS743" s="69">
        <v>6.444203953127337</v>
      </c>
      <c r="BT743" s="69">
        <v>6.3270154262134088</v>
      </c>
      <c r="BU743" s="69">
        <v>6.5560799722509397</v>
      </c>
      <c r="BV743" s="69">
        <v>6.8827852681840334</v>
      </c>
      <c r="BW743" s="69">
        <v>7.2204661347017973</v>
      </c>
      <c r="BX743" s="69">
        <v>7.3201443163678377</v>
      </c>
      <c r="BY743" s="69">
        <v>7.2353496284801109</v>
      </c>
      <c r="BZ743" s="69">
        <v>6.7800165098449749</v>
      </c>
      <c r="CA743" s="69">
        <v>9.1291224746831823</v>
      </c>
      <c r="CB743" s="69">
        <v>9.5860979476336183</v>
      </c>
      <c r="CC743" s="69">
        <v>10.281618288601246</v>
      </c>
      <c r="CD743" s="69">
        <v>11.352064748269555</v>
      </c>
      <c r="CE743" s="69">
        <v>12.149169582068033</v>
      </c>
      <c r="CF743" s="69">
        <v>8.6387236143921609</v>
      </c>
      <c r="CG743" s="69">
        <v>9.5482475077192177</v>
      </c>
      <c r="CH743" s="69">
        <v>11.818960078727009</v>
      </c>
      <c r="CI743" s="69">
        <v>12.581273303690674</v>
      </c>
      <c r="CJ743" s="69">
        <v>14.021178306136681</v>
      </c>
      <c r="CK743" s="69">
        <v>16.464737810350019</v>
      </c>
      <c r="CL743" s="69">
        <v>17.55727607905153</v>
      </c>
      <c r="CM743" s="69">
        <v>19.690790740834885</v>
      </c>
      <c r="CN743" s="69">
        <v>21.941048759305211</v>
      </c>
      <c r="CO743" s="69">
        <v>24.502379025293031</v>
      </c>
      <c r="CP743" s="69">
        <v>26.643427886977886</v>
      </c>
      <c r="CQ743" s="69">
        <v>30.237900874635567</v>
      </c>
      <c r="CR743" s="69">
        <v>31.934997098084736</v>
      </c>
      <c r="CS743" s="69">
        <v>34.702312138728324</v>
      </c>
      <c r="CT743" s="69">
        <v>35.781034006716467</v>
      </c>
      <c r="CU743" s="69">
        <v>37.474025259114271</v>
      </c>
      <c r="CV743" s="69">
        <v>41.259313522876695</v>
      </c>
      <c r="CW743" s="69">
        <v>39.577713769218327</v>
      </c>
      <c r="CX743" s="69">
        <v>40.045520141725248</v>
      </c>
      <c r="CY743" s="70">
        <v>40.436105418383697</v>
      </c>
      <c r="CZ743" s="69">
        <v>41.270992643846931</v>
      </c>
      <c r="DA743" s="69">
        <v>42.176412161747606</v>
      </c>
      <c r="DB743" s="69">
        <v>43.212847088357528</v>
      </c>
      <c r="DC743" s="69">
        <v>44.494975446629333</v>
      </c>
      <c r="DD743" s="69">
        <v>45.904951256121223</v>
      </c>
      <c r="DE743" s="69">
        <v>47.402662816677875</v>
      </c>
      <c r="DF743" s="69">
        <v>47.981122342905316</v>
      </c>
      <c r="DG743" s="69">
        <v>49.316063867522658</v>
      </c>
      <c r="DH743" s="69">
        <v>51.303608037654406</v>
      </c>
      <c r="DI743" s="69">
        <v>52.858616219363086</v>
      </c>
    </row>
    <row r="744" spans="1:113" outlineLevel="1">
      <c r="A744" s="1" t="s">
        <v>2430</v>
      </c>
      <c r="B744" s="19" t="s">
        <v>2431</v>
      </c>
      <c r="C744" s="69" t="e">
        <v>#VALUE!</v>
      </c>
      <c r="D744" s="69">
        <v>9.6343950913354934</v>
      </c>
      <c r="E744" s="69">
        <v>10.089877824515497</v>
      </c>
      <c r="F744" s="69">
        <v>10.647714877816233</v>
      </c>
      <c r="G744" s="69" t="e">
        <v>#DIV/0!</v>
      </c>
      <c r="H744" s="69">
        <v>11.447323788064953</v>
      </c>
      <c r="I744" s="69">
        <v>12.682425913196274</v>
      </c>
      <c r="J744" s="69">
        <v>8.2796630448710093</v>
      </c>
      <c r="K744" s="69">
        <v>8.7143825890025948</v>
      </c>
      <c r="L744" s="69">
        <v>7.3965973023670681</v>
      </c>
      <c r="M744" s="69">
        <v>9.1358957645308774</v>
      </c>
      <c r="N744" s="69">
        <v>9.7634457083734016</v>
      </c>
      <c r="O744" s="69">
        <v>10.91336162721946</v>
      </c>
      <c r="P744" s="69">
        <v>10.9561502637362</v>
      </c>
      <c r="Q744" s="69">
        <v>11.344775265684522</v>
      </c>
      <c r="R744" s="69">
        <v>13.874374026421336</v>
      </c>
      <c r="S744" s="69">
        <v>14.149735460208959</v>
      </c>
      <c r="T744" s="69">
        <v>14.800430804490951</v>
      </c>
      <c r="U744" s="69">
        <v>15.995233125972437</v>
      </c>
      <c r="V744" s="69">
        <v>15.647472452234938</v>
      </c>
      <c r="W744" s="69">
        <v>18.656275375885194</v>
      </c>
      <c r="X744" s="69">
        <v>19.179692242322822</v>
      </c>
      <c r="Y744" s="69">
        <v>20.510312260139948</v>
      </c>
      <c r="Z744" s="69">
        <v>20.78052544742631</v>
      </c>
      <c r="AA744" s="69">
        <v>21.993485339970029</v>
      </c>
      <c r="AB744" s="69">
        <v>23.481190814556179</v>
      </c>
      <c r="AC744" s="69">
        <v>23.706582931680558</v>
      </c>
      <c r="AD744" s="69">
        <v>25.195923787146501</v>
      </c>
      <c r="AE744" s="69">
        <v>26.553901472509231</v>
      </c>
      <c r="AF744" s="69">
        <v>29.320936746037212</v>
      </c>
      <c r="AG744" s="69">
        <v>29.435289092445352</v>
      </c>
      <c r="AH744" s="69">
        <v>30.927846602680649</v>
      </c>
      <c r="AI744" s="69">
        <v>32.39950137552507</v>
      </c>
      <c r="AJ744" s="69">
        <v>33.383950615971727</v>
      </c>
      <c r="AK744" s="69">
        <v>34.632498988124496</v>
      </c>
      <c r="AL744" s="69">
        <v>34.43960426344308</v>
      </c>
      <c r="AM744" s="69">
        <v>35.526556334448109</v>
      </c>
      <c r="AN744" s="69">
        <v>34.91004004763596</v>
      </c>
      <c r="AO744" s="69">
        <v>36.063735082797486</v>
      </c>
      <c r="AP744" s="69">
        <v>36.314128206491368</v>
      </c>
      <c r="AQ744" s="69">
        <v>37.422964268345787</v>
      </c>
      <c r="AR744" s="69">
        <v>38.579337450852385</v>
      </c>
      <c r="AS744" s="69">
        <v>37.88007241146633</v>
      </c>
      <c r="AT744" s="69">
        <v>38.008401781329873</v>
      </c>
      <c r="AU744" s="69">
        <v>38.23611711556147</v>
      </c>
      <c r="AV744" s="69">
        <v>37.924981178540953</v>
      </c>
      <c r="AW744" s="70">
        <v>37.970057712567638</v>
      </c>
      <c r="AX744" s="69">
        <v>38.385794146228044</v>
      </c>
      <c r="AY744" s="69">
        <v>38.932345595020713</v>
      </c>
      <c r="AZ744" s="69">
        <v>39.475049897002265</v>
      </c>
      <c r="BA744" s="69">
        <v>40.011720785933548</v>
      </c>
      <c r="BB744" s="69">
        <v>40.477928787454928</v>
      </c>
      <c r="BC744" s="69">
        <v>41.122082447979118</v>
      </c>
      <c r="BD744" s="69">
        <v>41.703772484458561</v>
      </c>
      <c r="BE744" s="69">
        <v>42.386112466312227</v>
      </c>
      <c r="BF744" s="69">
        <v>43.006754267221751</v>
      </c>
      <c r="BG744" s="69">
        <v>43.716567763341452</v>
      </c>
      <c r="BH744" s="69">
        <v>44.375661637106163</v>
      </c>
      <c r="BI744" s="69">
        <v>45.108150585987211</v>
      </c>
      <c r="BJ744" s="69">
        <v>46.541952035965124</v>
      </c>
      <c r="BK744" s="69">
        <v>48.095601349153668</v>
      </c>
      <c r="BL744" s="69">
        <v>47.990081227053352</v>
      </c>
      <c r="BM744" s="69">
        <v>47.966024629041748</v>
      </c>
      <c r="BN744" s="69">
        <v>48.857108557004594</v>
      </c>
      <c r="BO744" s="69">
        <v>49.714518568072279</v>
      </c>
      <c r="BP744" s="69">
        <v>50.542434148392147</v>
      </c>
      <c r="BQ744" s="69">
        <v>51.434625661883381</v>
      </c>
      <c r="BR744" s="69"/>
      <c r="BS744" s="69" t="e">
        <v>#DIV/0!</v>
      </c>
      <c r="BT744" s="69">
        <v>62.666620691241938</v>
      </c>
      <c r="BU744" s="69">
        <v>-20.244702988187861</v>
      </c>
      <c r="BV744" s="69">
        <v>-11.671006232210262</v>
      </c>
      <c r="BW744" s="69">
        <v>-9.6226644257653415</v>
      </c>
      <c r="BX744" s="69">
        <v>-47.046750575685266</v>
      </c>
      <c r="BY744" s="69">
        <v>40.459992162298178</v>
      </c>
      <c r="BZ744" s="69">
        <v>5.2223043236536801</v>
      </c>
      <c r="CA744" s="69">
        <v>7.5770593097162386</v>
      </c>
      <c r="CB744" s="69">
        <v>9.8847192996740212</v>
      </c>
      <c r="CC744" s="69">
        <v>10.089877824515497</v>
      </c>
      <c r="CD744" s="69" t="e">
        <v>#DIV/0!</v>
      </c>
      <c r="CE744" s="69">
        <v>12.682425913196274</v>
      </c>
      <c r="CF744" s="69">
        <v>8.7143825890025948</v>
      </c>
      <c r="CG744" s="69">
        <v>9.1358957645308774</v>
      </c>
      <c r="CH744" s="69">
        <v>10.91336162721946</v>
      </c>
      <c r="CI744" s="69">
        <v>11.344775265684522</v>
      </c>
      <c r="CJ744" s="69">
        <v>14.149735460208959</v>
      </c>
      <c r="CK744" s="69">
        <v>15.995233125972437</v>
      </c>
      <c r="CL744" s="69">
        <v>18.656275375885194</v>
      </c>
      <c r="CM744" s="69">
        <v>20.510312260139948</v>
      </c>
      <c r="CN744" s="69">
        <v>21.993485339970029</v>
      </c>
      <c r="CO744" s="69">
        <v>23.706582931680558</v>
      </c>
      <c r="CP744" s="69">
        <v>26.553901472509231</v>
      </c>
      <c r="CQ744" s="69">
        <v>29.435289092445352</v>
      </c>
      <c r="CR744" s="69">
        <v>32.39950137552507</v>
      </c>
      <c r="CS744" s="69">
        <v>34.632498988124496</v>
      </c>
      <c r="CT744" s="69">
        <v>35.526556334448109</v>
      </c>
      <c r="CU744" s="69">
        <v>36.063735082797486</v>
      </c>
      <c r="CV744" s="69">
        <v>37.422964268345787</v>
      </c>
      <c r="CW744" s="69">
        <v>37.88007241146633</v>
      </c>
      <c r="CX744" s="69">
        <v>38.23611711556147</v>
      </c>
      <c r="CY744" s="70">
        <v>37.970057712567638</v>
      </c>
      <c r="CZ744" s="69">
        <v>38.932345595020713</v>
      </c>
      <c r="DA744" s="69">
        <v>40.011720785933548</v>
      </c>
      <c r="DB744" s="69">
        <v>41.122082447979118</v>
      </c>
      <c r="DC744" s="69">
        <v>42.386112466312227</v>
      </c>
      <c r="DD744" s="69">
        <v>43.716567763341452</v>
      </c>
      <c r="DE744" s="69">
        <v>45.108150585987211</v>
      </c>
      <c r="DF744" s="69">
        <v>48.095601349153668</v>
      </c>
      <c r="DG744" s="69">
        <v>47.966024629041748</v>
      </c>
      <c r="DH744" s="69">
        <v>48.857108557004594</v>
      </c>
      <c r="DI744" s="69">
        <v>50.542434148392147</v>
      </c>
    </row>
    <row r="745" spans="1:113" hidden="1" outlineLevel="2">
      <c r="A745" s="1" t="s">
        <v>964</v>
      </c>
      <c r="B745" s="19" t="s">
        <v>801</v>
      </c>
      <c r="C745" s="69"/>
      <c r="D745" s="69"/>
      <c r="E745" s="69"/>
      <c r="F745" s="69"/>
      <c r="G745" s="69"/>
      <c r="H745" s="69"/>
      <c r="I745" s="69"/>
      <c r="J745" s="69"/>
      <c r="K745" s="69"/>
      <c r="L745" s="69"/>
      <c r="M745" s="69"/>
      <c r="N745" s="69"/>
      <c r="O745" s="69"/>
      <c r="P745" s="69"/>
      <c r="Q745" s="69"/>
      <c r="R745" s="69"/>
      <c r="S745" s="69"/>
      <c r="T745" s="69"/>
      <c r="U745" s="69"/>
      <c r="V745" s="69"/>
      <c r="W745" s="69"/>
      <c r="X745" s="69"/>
      <c r="Y745" s="69"/>
      <c r="Z745" s="69"/>
      <c r="AA745" s="69"/>
      <c r="AB745" s="69"/>
      <c r="AC745" s="69"/>
      <c r="AD745" s="69"/>
      <c r="AE745" s="69"/>
      <c r="AF745" s="69"/>
      <c r="AG745" s="69"/>
      <c r="AH745" s="69"/>
      <c r="AI745" s="69"/>
      <c r="AJ745" s="69"/>
      <c r="AK745" s="69"/>
      <c r="AL745" s="69"/>
      <c r="AM745" s="69"/>
      <c r="AN745" s="69"/>
      <c r="AO745" s="69"/>
      <c r="AP745" s="69"/>
      <c r="AQ745" s="69"/>
      <c r="AR745" s="69"/>
      <c r="AS745" s="69"/>
      <c r="AT745" s="69"/>
      <c r="AU745" s="69"/>
      <c r="AV745" s="69"/>
      <c r="AW745" s="70"/>
      <c r="AX745" s="69"/>
      <c r="AY745" s="69"/>
      <c r="AZ745" s="69"/>
      <c r="BA745" s="69"/>
      <c r="BB745" s="69"/>
      <c r="BC745" s="69"/>
      <c r="BD745" s="69"/>
      <c r="BE745" s="69"/>
      <c r="BF745" s="69"/>
      <c r="BG745" s="69"/>
      <c r="BH745" s="69"/>
      <c r="BI745" s="69"/>
      <c r="BJ745" s="69"/>
      <c r="BK745" s="69"/>
      <c r="BL745" s="69"/>
      <c r="BM745" s="69"/>
      <c r="BN745" s="69"/>
      <c r="BO745" s="69"/>
      <c r="BP745" s="69"/>
      <c r="BQ745" s="69"/>
      <c r="BR745" s="69"/>
      <c r="BS745" s="69"/>
      <c r="BT745" s="69"/>
      <c r="BU745" s="69"/>
      <c r="BV745" s="69"/>
      <c r="BW745" s="69"/>
      <c r="BX745" s="69"/>
      <c r="BY745" s="69"/>
      <c r="BZ745" s="69"/>
      <c r="CA745" s="69"/>
      <c r="CB745" s="69"/>
      <c r="CC745" s="69"/>
      <c r="CD745" s="69"/>
      <c r="CE745" s="69"/>
      <c r="CF745" s="69"/>
      <c r="CG745" s="69"/>
      <c r="CH745" s="69"/>
      <c r="CI745" s="69"/>
      <c r="CJ745" s="69"/>
      <c r="CK745" s="69"/>
      <c r="CL745" s="69"/>
      <c r="CM745" s="69"/>
      <c r="CN745" s="69"/>
      <c r="CO745" s="69"/>
      <c r="CP745" s="69"/>
      <c r="CQ745" s="69"/>
      <c r="CR745" s="69"/>
      <c r="CS745" s="69"/>
      <c r="CT745" s="69"/>
      <c r="CU745" s="69"/>
      <c r="CV745" s="69"/>
      <c r="CW745" s="69"/>
      <c r="CX745" s="69"/>
      <c r="CY745" s="70"/>
      <c r="CZ745" s="69"/>
      <c r="DA745" s="69"/>
      <c r="DB745" s="69"/>
    </row>
    <row r="746" spans="1:113" hidden="1" outlineLevel="2">
      <c r="A746" s="1" t="s">
        <v>34</v>
      </c>
      <c r="B746" s="19" t="s">
        <v>801</v>
      </c>
      <c r="C746" s="69"/>
      <c r="D746" s="69"/>
      <c r="E746" s="69"/>
      <c r="F746" s="69"/>
      <c r="G746" s="69"/>
      <c r="H746" s="69"/>
      <c r="I746" s="69"/>
      <c r="J746" s="69"/>
      <c r="K746" s="69"/>
      <c r="L746" s="69"/>
      <c r="M746" s="69"/>
      <c r="N746" s="69"/>
      <c r="O746" s="69"/>
      <c r="P746" s="69"/>
      <c r="Q746" s="69"/>
      <c r="R746" s="69"/>
      <c r="S746" s="69"/>
      <c r="T746" s="69"/>
      <c r="U746" s="69"/>
      <c r="V746" s="69"/>
      <c r="W746" s="69"/>
      <c r="X746" s="69"/>
      <c r="Y746" s="69"/>
      <c r="Z746" s="69"/>
      <c r="AA746" s="69"/>
      <c r="AB746" s="69"/>
      <c r="AC746" s="69"/>
      <c r="AD746" s="69"/>
      <c r="AE746" s="69"/>
      <c r="AF746" s="69"/>
      <c r="AG746" s="69"/>
      <c r="AH746" s="69"/>
      <c r="AI746" s="69"/>
      <c r="AJ746" s="69"/>
      <c r="AK746" s="69"/>
      <c r="AL746" s="69"/>
      <c r="AM746" s="69"/>
      <c r="AN746" s="69"/>
      <c r="AO746" s="69"/>
      <c r="AP746" s="69"/>
      <c r="AQ746" s="69"/>
      <c r="AR746" s="69"/>
      <c r="AS746" s="69"/>
      <c r="AT746" s="69"/>
      <c r="AU746" s="69"/>
      <c r="AV746" s="69"/>
      <c r="AW746" s="70"/>
      <c r="AX746" s="69"/>
      <c r="AY746" s="69"/>
      <c r="AZ746" s="69"/>
      <c r="BA746" s="69"/>
      <c r="BB746" s="69"/>
      <c r="BC746" s="69"/>
      <c r="BD746" s="69"/>
      <c r="BE746" s="69"/>
      <c r="BF746" s="69"/>
      <c r="BG746" s="69"/>
      <c r="BH746" s="69"/>
      <c r="BI746" s="69"/>
      <c r="BJ746" s="69"/>
      <c r="BK746" s="69"/>
      <c r="BL746" s="69"/>
      <c r="BM746" s="69"/>
      <c r="BN746" s="69"/>
      <c r="BO746" s="69"/>
      <c r="BP746" s="69"/>
      <c r="BQ746" s="69"/>
      <c r="BR746" s="69"/>
      <c r="BS746" s="69"/>
      <c r="BT746" s="69"/>
      <c r="BU746" s="69"/>
      <c r="BV746" s="69"/>
      <c r="BW746" s="69"/>
      <c r="BX746" s="69"/>
      <c r="BY746" s="69"/>
      <c r="BZ746" s="69"/>
      <c r="CA746" s="69"/>
      <c r="CB746" s="69"/>
      <c r="CC746" s="69"/>
      <c r="CD746" s="69"/>
      <c r="CE746" s="69"/>
      <c r="CF746" s="69"/>
      <c r="CG746" s="69"/>
      <c r="CH746" s="69"/>
      <c r="CI746" s="69"/>
      <c r="CJ746" s="69"/>
      <c r="CK746" s="69"/>
      <c r="CL746" s="69"/>
      <c r="CM746" s="69"/>
      <c r="CN746" s="69"/>
      <c r="CO746" s="69"/>
      <c r="CP746" s="69"/>
      <c r="CQ746" s="69"/>
      <c r="CR746" s="69"/>
      <c r="CS746" s="69"/>
      <c r="CT746" s="69"/>
      <c r="CU746" s="69"/>
      <c r="CV746" s="69"/>
      <c r="CW746" s="69"/>
      <c r="CX746" s="69"/>
      <c r="CY746" s="70"/>
      <c r="CZ746" s="69"/>
      <c r="DA746" s="69"/>
      <c r="DB746" s="69"/>
    </row>
    <row r="747" spans="1:113" hidden="1" outlineLevel="2">
      <c r="A747" s="1" t="s">
        <v>35</v>
      </c>
      <c r="B747" s="19" t="s">
        <v>801</v>
      </c>
      <c r="C747" s="69"/>
      <c r="D747" s="69"/>
      <c r="E747" s="69"/>
      <c r="F747" s="69"/>
      <c r="G747" s="69"/>
      <c r="H747" s="69"/>
      <c r="I747" s="69"/>
      <c r="J747" s="69"/>
      <c r="K747" s="69"/>
      <c r="L747" s="69"/>
      <c r="M747" s="69"/>
      <c r="N747" s="69"/>
      <c r="O747" s="69"/>
      <c r="P747" s="69"/>
      <c r="Q747" s="69"/>
      <c r="R747" s="69"/>
      <c r="S747" s="69"/>
      <c r="T747" s="69"/>
      <c r="U747" s="69"/>
      <c r="V747" s="69"/>
      <c r="W747" s="69"/>
      <c r="X747" s="69"/>
      <c r="Y747" s="69"/>
      <c r="Z747" s="69"/>
      <c r="AA747" s="69"/>
      <c r="AB747" s="69"/>
      <c r="AC747" s="69"/>
      <c r="AD747" s="69"/>
      <c r="AE747" s="69"/>
      <c r="AF747" s="69"/>
      <c r="AG747" s="69"/>
      <c r="AH747" s="69"/>
      <c r="AI747" s="69"/>
      <c r="AJ747" s="69"/>
      <c r="AK747" s="69"/>
      <c r="AL747" s="69"/>
      <c r="AM747" s="69"/>
      <c r="AN747" s="69"/>
      <c r="AO747" s="69"/>
      <c r="AP747" s="69"/>
      <c r="AQ747" s="69"/>
      <c r="AR747" s="69"/>
      <c r="AS747" s="69"/>
      <c r="AT747" s="69"/>
      <c r="AU747" s="69"/>
      <c r="AV747" s="69"/>
      <c r="AW747" s="70"/>
      <c r="AX747" s="69"/>
      <c r="AY747" s="69"/>
      <c r="AZ747" s="69"/>
      <c r="BA747" s="69"/>
      <c r="BB747" s="69"/>
      <c r="BC747" s="69"/>
      <c r="BD747" s="69"/>
      <c r="BE747" s="69"/>
      <c r="BF747" s="69"/>
      <c r="BG747" s="69"/>
      <c r="BH747" s="69"/>
      <c r="BI747" s="69"/>
      <c r="BJ747" s="69"/>
      <c r="BK747" s="69"/>
      <c r="BL747" s="69"/>
      <c r="BM747" s="69"/>
      <c r="BN747" s="69"/>
      <c r="BO747" s="69"/>
      <c r="BP747" s="69"/>
      <c r="BQ747" s="69"/>
      <c r="BR747" s="69"/>
      <c r="BS747" s="69"/>
      <c r="BT747" s="69"/>
      <c r="BU747" s="69"/>
      <c r="BV747" s="69"/>
      <c r="BW747" s="69"/>
      <c r="BX747" s="69"/>
      <c r="BY747" s="69"/>
      <c r="BZ747" s="69"/>
      <c r="CA747" s="69"/>
      <c r="CB747" s="69"/>
      <c r="CC747" s="69"/>
      <c r="CD747" s="69"/>
      <c r="CE747" s="69"/>
      <c r="CF747" s="69"/>
      <c r="CG747" s="69"/>
      <c r="CH747" s="69"/>
      <c r="CI747" s="69"/>
      <c r="CJ747" s="69"/>
      <c r="CK747" s="69"/>
      <c r="CL747" s="69"/>
      <c r="CM747" s="69"/>
      <c r="CN747" s="69"/>
      <c r="CO747" s="69"/>
      <c r="CP747" s="69"/>
      <c r="CQ747" s="69"/>
      <c r="CR747" s="69"/>
      <c r="CS747" s="69"/>
      <c r="CT747" s="69"/>
      <c r="CU747" s="69"/>
      <c r="CV747" s="69"/>
      <c r="CW747" s="69"/>
      <c r="CX747" s="69"/>
      <c r="CY747" s="70"/>
      <c r="CZ747" s="69"/>
      <c r="DA747" s="69"/>
      <c r="DB747" s="69"/>
    </row>
    <row r="748" spans="1:113" hidden="1" outlineLevel="2">
      <c r="A748" s="1" t="s">
        <v>36</v>
      </c>
      <c r="B748" s="19" t="s">
        <v>801</v>
      </c>
      <c r="C748" s="69"/>
      <c r="D748" s="69"/>
      <c r="E748" s="69"/>
      <c r="F748" s="69"/>
      <c r="G748" s="69"/>
      <c r="H748" s="69"/>
      <c r="I748" s="69"/>
      <c r="J748" s="69"/>
      <c r="K748" s="69"/>
      <c r="L748" s="69"/>
      <c r="M748" s="69"/>
      <c r="N748" s="69"/>
      <c r="O748" s="69"/>
      <c r="P748" s="69"/>
      <c r="Q748" s="69"/>
      <c r="R748" s="69"/>
      <c r="S748" s="69"/>
      <c r="T748" s="69"/>
      <c r="U748" s="69"/>
      <c r="V748" s="69"/>
      <c r="W748" s="69"/>
      <c r="X748" s="69"/>
      <c r="Y748" s="69"/>
      <c r="Z748" s="69"/>
      <c r="AA748" s="69"/>
      <c r="AB748" s="69"/>
      <c r="AC748" s="69"/>
      <c r="AD748" s="69"/>
      <c r="AE748" s="69"/>
      <c r="AF748" s="69"/>
      <c r="AG748" s="69"/>
      <c r="AH748" s="69"/>
      <c r="AI748" s="69"/>
      <c r="AJ748" s="69"/>
      <c r="AK748" s="69"/>
      <c r="AL748" s="69"/>
      <c r="AM748" s="69"/>
      <c r="AN748" s="69"/>
      <c r="AO748" s="69"/>
      <c r="AP748" s="69"/>
      <c r="AQ748" s="69"/>
      <c r="AR748" s="69"/>
      <c r="AS748" s="69"/>
      <c r="AT748" s="69"/>
      <c r="AU748" s="69"/>
      <c r="AV748" s="69"/>
      <c r="AW748" s="70"/>
      <c r="AX748" s="69"/>
      <c r="AY748" s="69"/>
      <c r="AZ748" s="69"/>
      <c r="BA748" s="69"/>
      <c r="BB748" s="69"/>
      <c r="BC748" s="69"/>
      <c r="BD748" s="69"/>
      <c r="BE748" s="69"/>
      <c r="BF748" s="69"/>
      <c r="BG748" s="69"/>
      <c r="BH748" s="69"/>
      <c r="BI748" s="69"/>
      <c r="BJ748" s="69"/>
      <c r="BK748" s="69"/>
      <c r="BL748" s="69"/>
      <c r="BM748" s="69"/>
      <c r="BN748" s="69"/>
      <c r="BO748" s="69"/>
      <c r="BP748" s="69"/>
      <c r="BQ748" s="69"/>
      <c r="BR748" s="69"/>
      <c r="BS748" s="69"/>
      <c r="BT748" s="69"/>
      <c r="BU748" s="69"/>
      <c r="BV748" s="69"/>
      <c r="BW748" s="69"/>
      <c r="BX748" s="69"/>
      <c r="BY748" s="69"/>
      <c r="BZ748" s="69"/>
      <c r="CA748" s="69"/>
      <c r="CB748" s="69"/>
      <c r="CC748" s="69"/>
      <c r="CD748" s="69"/>
      <c r="CE748" s="69"/>
      <c r="CF748" s="69"/>
      <c r="CG748" s="69"/>
      <c r="CH748" s="69"/>
      <c r="CI748" s="69"/>
      <c r="CJ748" s="69"/>
      <c r="CK748" s="69"/>
      <c r="CL748" s="69"/>
      <c r="CM748" s="69"/>
      <c r="CN748" s="69"/>
      <c r="CO748" s="69"/>
      <c r="CP748" s="69"/>
      <c r="CQ748" s="69"/>
      <c r="CR748" s="69"/>
      <c r="CS748" s="69"/>
      <c r="CT748" s="69"/>
      <c r="CU748" s="69"/>
      <c r="CV748" s="69"/>
      <c r="CW748" s="69"/>
      <c r="CX748" s="69"/>
      <c r="CY748" s="70"/>
      <c r="CZ748" s="69"/>
      <c r="DA748" s="69"/>
      <c r="DB748" s="69"/>
    </row>
    <row r="749" spans="1:113" hidden="1" outlineLevel="2">
      <c r="A749" s="1" t="s">
        <v>37</v>
      </c>
      <c r="B749" s="19" t="s">
        <v>801</v>
      </c>
      <c r="C749" s="69"/>
      <c r="D749" s="69"/>
      <c r="E749" s="69"/>
      <c r="F749" s="69"/>
      <c r="G749" s="69"/>
      <c r="H749" s="69"/>
      <c r="I749" s="69"/>
      <c r="J749" s="69"/>
      <c r="K749" s="69"/>
      <c r="L749" s="69"/>
      <c r="M749" s="69"/>
      <c r="N749" s="69"/>
      <c r="O749" s="69"/>
      <c r="P749" s="69"/>
      <c r="Q749" s="69"/>
      <c r="R749" s="69"/>
      <c r="S749" s="69"/>
      <c r="T749" s="69"/>
      <c r="U749" s="69"/>
      <c r="V749" s="69"/>
      <c r="W749" s="69"/>
      <c r="X749" s="69"/>
      <c r="Y749" s="69"/>
      <c r="Z749" s="69"/>
      <c r="AA749" s="69"/>
      <c r="AB749" s="69"/>
      <c r="AC749" s="69"/>
      <c r="AD749" s="69"/>
      <c r="AE749" s="69"/>
      <c r="AF749" s="69"/>
      <c r="AG749" s="69"/>
      <c r="AH749" s="69"/>
      <c r="AI749" s="69"/>
      <c r="AJ749" s="69"/>
      <c r="AK749" s="69"/>
      <c r="AL749" s="69"/>
      <c r="AM749" s="69"/>
      <c r="AN749" s="69"/>
      <c r="AO749" s="69"/>
      <c r="AP749" s="69"/>
      <c r="AQ749" s="69"/>
      <c r="AR749" s="69"/>
      <c r="AS749" s="69"/>
      <c r="AT749" s="69"/>
      <c r="AU749" s="69"/>
      <c r="AV749" s="69"/>
      <c r="AW749" s="70"/>
      <c r="AX749" s="69"/>
      <c r="AY749" s="69"/>
      <c r="AZ749" s="69"/>
      <c r="BA749" s="69"/>
      <c r="BB749" s="69"/>
      <c r="BC749" s="69"/>
      <c r="BD749" s="69"/>
      <c r="BE749" s="69"/>
      <c r="BF749" s="69"/>
      <c r="BG749" s="69"/>
      <c r="BH749" s="69"/>
      <c r="BI749" s="69"/>
      <c r="BJ749" s="69"/>
      <c r="BK749" s="69"/>
      <c r="BL749" s="69"/>
      <c r="BM749" s="69"/>
      <c r="BN749" s="69"/>
      <c r="BO749" s="69"/>
      <c r="BP749" s="69"/>
      <c r="BQ749" s="69"/>
      <c r="BR749" s="69"/>
      <c r="BS749" s="69"/>
      <c r="BT749" s="69"/>
      <c r="BU749" s="69"/>
      <c r="BV749" s="69"/>
      <c r="BW749" s="69"/>
      <c r="BX749" s="69"/>
      <c r="BY749" s="69"/>
      <c r="BZ749" s="69"/>
      <c r="CA749" s="69"/>
      <c r="CB749" s="69"/>
      <c r="CC749" s="69"/>
      <c r="CD749" s="69"/>
      <c r="CE749" s="69"/>
      <c r="CF749" s="69"/>
      <c r="CG749" s="69"/>
      <c r="CH749" s="69"/>
      <c r="CI749" s="69"/>
      <c r="CJ749" s="69"/>
      <c r="CK749" s="69"/>
      <c r="CL749" s="69"/>
      <c r="CM749" s="69"/>
      <c r="CN749" s="69"/>
      <c r="CO749" s="69"/>
      <c r="CP749" s="69"/>
      <c r="CQ749" s="69"/>
      <c r="CR749" s="69"/>
      <c r="CS749" s="69"/>
      <c r="CT749" s="69"/>
      <c r="CU749" s="69"/>
      <c r="CV749" s="69"/>
      <c r="CW749" s="69"/>
      <c r="CX749" s="69"/>
      <c r="CY749" s="70"/>
      <c r="CZ749" s="69"/>
      <c r="DA749" s="69"/>
      <c r="DB749" s="69"/>
    </row>
    <row r="750" spans="1:113" hidden="1" outlineLevel="2">
      <c r="A750" s="1" t="s">
        <v>12</v>
      </c>
      <c r="B750" s="19" t="s">
        <v>801</v>
      </c>
      <c r="C750" s="69"/>
      <c r="D750" s="69"/>
      <c r="E750" s="69"/>
      <c r="F750" s="69"/>
      <c r="G750" s="69"/>
      <c r="H750" s="69"/>
      <c r="I750" s="69"/>
      <c r="J750" s="69"/>
      <c r="K750" s="69"/>
      <c r="L750" s="69"/>
      <c r="M750" s="69"/>
      <c r="N750" s="69"/>
      <c r="O750" s="69"/>
      <c r="P750" s="69"/>
      <c r="Q750" s="69"/>
      <c r="R750" s="69"/>
      <c r="S750" s="69"/>
      <c r="T750" s="69"/>
      <c r="U750" s="69"/>
      <c r="V750" s="69"/>
      <c r="W750" s="69"/>
      <c r="X750" s="69"/>
      <c r="Y750" s="69"/>
      <c r="Z750" s="69"/>
      <c r="AA750" s="69"/>
      <c r="AB750" s="69"/>
      <c r="AC750" s="69"/>
      <c r="AD750" s="69"/>
      <c r="AE750" s="69"/>
      <c r="AF750" s="69"/>
      <c r="AG750" s="69"/>
      <c r="AH750" s="69"/>
      <c r="AI750" s="69"/>
      <c r="AJ750" s="69"/>
      <c r="AK750" s="69"/>
      <c r="AL750" s="69"/>
      <c r="AM750" s="69"/>
      <c r="AN750" s="69"/>
      <c r="AO750" s="69"/>
      <c r="AP750" s="69"/>
      <c r="AQ750" s="69"/>
      <c r="AR750" s="69"/>
      <c r="AS750" s="69"/>
      <c r="AT750" s="69"/>
      <c r="AU750" s="69"/>
      <c r="AV750" s="69"/>
      <c r="AW750" s="70"/>
      <c r="AX750" s="69"/>
      <c r="AY750" s="69"/>
      <c r="AZ750" s="69"/>
      <c r="BA750" s="69"/>
      <c r="BB750" s="69"/>
      <c r="BC750" s="69"/>
      <c r="BD750" s="69"/>
      <c r="BE750" s="69"/>
      <c r="BF750" s="69"/>
      <c r="BG750" s="69"/>
      <c r="BH750" s="69"/>
      <c r="BI750" s="69"/>
      <c r="BJ750" s="69"/>
      <c r="BK750" s="69"/>
      <c r="BL750" s="69"/>
      <c r="BM750" s="69"/>
      <c r="BN750" s="69"/>
      <c r="BO750" s="69"/>
      <c r="BP750" s="69"/>
      <c r="BQ750" s="69"/>
      <c r="BR750" s="69"/>
      <c r="BS750" s="69"/>
      <c r="BT750" s="69"/>
      <c r="BU750" s="69"/>
      <c r="BV750" s="69"/>
      <c r="BW750" s="69"/>
      <c r="BX750" s="69"/>
      <c r="BY750" s="69"/>
      <c r="BZ750" s="69"/>
      <c r="CA750" s="69"/>
      <c r="CB750" s="69"/>
      <c r="CC750" s="69"/>
      <c r="CD750" s="69"/>
      <c r="CE750" s="69"/>
      <c r="CF750" s="69"/>
      <c r="CG750" s="69"/>
      <c r="CH750" s="69"/>
      <c r="CI750" s="69"/>
      <c r="CJ750" s="69"/>
      <c r="CK750" s="69"/>
      <c r="CL750" s="69"/>
      <c r="CM750" s="69"/>
      <c r="CN750" s="69"/>
      <c r="CO750" s="69"/>
      <c r="CP750" s="69"/>
      <c r="CQ750" s="69"/>
      <c r="CR750" s="69"/>
      <c r="CS750" s="69"/>
      <c r="CT750" s="69"/>
      <c r="CU750" s="69"/>
      <c r="CV750" s="69"/>
      <c r="CW750" s="69"/>
      <c r="CX750" s="69"/>
      <c r="CY750" s="70"/>
      <c r="CZ750" s="69"/>
      <c r="DA750" s="69"/>
      <c r="DB750" s="69"/>
    </row>
    <row r="751" spans="1:113" hidden="1" outlineLevel="2">
      <c r="A751" s="1" t="s">
        <v>13</v>
      </c>
      <c r="B751" s="19" t="s">
        <v>801</v>
      </c>
      <c r="C751" s="69"/>
      <c r="D751" s="69"/>
      <c r="E751" s="69"/>
      <c r="F751" s="69"/>
      <c r="G751" s="69"/>
      <c r="H751" s="69"/>
      <c r="I751" s="69"/>
      <c r="J751" s="69"/>
      <c r="K751" s="69"/>
      <c r="L751" s="69"/>
      <c r="M751" s="69"/>
      <c r="N751" s="69"/>
      <c r="O751" s="69"/>
      <c r="P751" s="69"/>
      <c r="Q751" s="69"/>
      <c r="R751" s="69"/>
      <c r="S751" s="69"/>
      <c r="T751" s="69"/>
      <c r="U751" s="69"/>
      <c r="V751" s="69"/>
      <c r="W751" s="69"/>
      <c r="X751" s="69"/>
      <c r="Y751" s="69"/>
      <c r="Z751" s="69"/>
      <c r="AA751" s="69"/>
      <c r="AB751" s="69"/>
      <c r="AC751" s="69"/>
      <c r="AD751" s="69"/>
      <c r="AE751" s="69"/>
      <c r="AF751" s="69"/>
      <c r="AG751" s="69"/>
      <c r="AH751" s="69"/>
      <c r="AI751" s="69"/>
      <c r="AJ751" s="69"/>
      <c r="AK751" s="69"/>
      <c r="AL751" s="69"/>
      <c r="AM751" s="69"/>
      <c r="AN751" s="69"/>
      <c r="AO751" s="69"/>
      <c r="AP751" s="69"/>
      <c r="AQ751" s="69"/>
      <c r="AR751" s="69"/>
      <c r="AS751" s="69"/>
      <c r="AT751" s="69"/>
      <c r="AU751" s="69"/>
      <c r="AV751" s="69"/>
      <c r="AW751" s="70"/>
      <c r="AX751" s="69"/>
      <c r="AY751" s="69"/>
      <c r="AZ751" s="69"/>
      <c r="BA751" s="69"/>
      <c r="BB751" s="69"/>
      <c r="BC751" s="69"/>
      <c r="BD751" s="69"/>
      <c r="BE751" s="69"/>
      <c r="BF751" s="69"/>
      <c r="BG751" s="69"/>
      <c r="BH751" s="69"/>
      <c r="BI751" s="69"/>
      <c r="BJ751" s="69"/>
      <c r="BK751" s="69"/>
      <c r="BL751" s="69"/>
      <c r="BM751" s="69"/>
      <c r="BN751" s="69"/>
      <c r="BO751" s="69"/>
      <c r="BP751" s="69"/>
      <c r="BQ751" s="69"/>
      <c r="BR751" s="69"/>
      <c r="BS751" s="69"/>
      <c r="BT751" s="69"/>
      <c r="BU751" s="69"/>
      <c r="BV751" s="69"/>
      <c r="BW751" s="69"/>
      <c r="BX751" s="69"/>
      <c r="BY751" s="69"/>
      <c r="BZ751" s="69"/>
      <c r="CA751" s="69"/>
      <c r="CB751" s="69"/>
      <c r="CC751" s="69"/>
      <c r="CD751" s="69"/>
      <c r="CE751" s="69"/>
      <c r="CF751" s="69"/>
      <c r="CG751" s="69"/>
      <c r="CH751" s="69"/>
      <c r="CI751" s="69"/>
      <c r="CJ751" s="69"/>
      <c r="CK751" s="69"/>
      <c r="CL751" s="69"/>
      <c r="CM751" s="69"/>
      <c r="CN751" s="69"/>
      <c r="CO751" s="69"/>
      <c r="CP751" s="69"/>
      <c r="CQ751" s="69"/>
      <c r="CR751" s="69"/>
      <c r="CS751" s="69"/>
      <c r="CT751" s="69"/>
      <c r="CU751" s="69"/>
      <c r="CV751" s="69"/>
      <c r="CW751" s="69"/>
      <c r="CX751" s="69"/>
      <c r="CY751" s="70"/>
      <c r="CZ751" s="69"/>
      <c r="DA751" s="69"/>
      <c r="DB751" s="69"/>
    </row>
    <row r="752" spans="1:113" hidden="1" outlineLevel="2">
      <c r="A752" s="1" t="s">
        <v>14</v>
      </c>
      <c r="B752" s="19" t="s">
        <v>801</v>
      </c>
      <c r="C752" s="69"/>
      <c r="D752" s="69"/>
      <c r="E752" s="69"/>
      <c r="F752" s="69"/>
      <c r="G752" s="69"/>
      <c r="H752" s="69"/>
      <c r="I752" s="69"/>
      <c r="J752" s="69"/>
      <c r="K752" s="69"/>
      <c r="L752" s="69"/>
      <c r="M752" s="69"/>
      <c r="N752" s="69"/>
      <c r="O752" s="69"/>
      <c r="P752" s="69"/>
      <c r="Q752" s="69"/>
      <c r="R752" s="69"/>
      <c r="S752" s="69"/>
      <c r="T752" s="69"/>
      <c r="U752" s="69"/>
      <c r="V752" s="69"/>
      <c r="W752" s="69"/>
      <c r="X752" s="69"/>
      <c r="Y752" s="69"/>
      <c r="Z752" s="69"/>
      <c r="AA752" s="69"/>
      <c r="AB752" s="69"/>
      <c r="AC752" s="69"/>
      <c r="AD752" s="69"/>
      <c r="AE752" s="69"/>
      <c r="AF752" s="69"/>
      <c r="AG752" s="69"/>
      <c r="AH752" s="69"/>
      <c r="AI752" s="69"/>
      <c r="AJ752" s="69"/>
      <c r="AK752" s="69"/>
      <c r="AL752" s="69"/>
      <c r="AM752" s="69"/>
      <c r="AN752" s="69"/>
      <c r="AO752" s="69"/>
      <c r="AP752" s="69"/>
      <c r="AQ752" s="69"/>
      <c r="AR752" s="69"/>
      <c r="AS752" s="69"/>
      <c r="AT752" s="69"/>
      <c r="AU752" s="69"/>
      <c r="AV752" s="69"/>
      <c r="AW752" s="70"/>
      <c r="AX752" s="69"/>
      <c r="AY752" s="69"/>
      <c r="AZ752" s="69"/>
      <c r="BA752" s="69"/>
      <c r="BB752" s="69"/>
      <c r="BC752" s="69"/>
      <c r="BD752" s="69"/>
      <c r="BE752" s="69"/>
      <c r="BF752" s="69"/>
      <c r="BG752" s="69"/>
      <c r="BH752" s="69"/>
      <c r="BI752" s="69"/>
      <c r="BJ752" s="69"/>
      <c r="BK752" s="69"/>
      <c r="BL752" s="69"/>
      <c r="BM752" s="69"/>
      <c r="BN752" s="69"/>
      <c r="BO752" s="69"/>
      <c r="BP752" s="69"/>
      <c r="BQ752" s="69"/>
      <c r="BR752" s="69"/>
      <c r="BS752" s="69"/>
      <c r="BT752" s="69"/>
      <c r="BU752" s="69"/>
      <c r="BV752" s="69"/>
      <c r="BW752" s="69"/>
      <c r="BX752" s="69"/>
      <c r="BY752" s="69"/>
      <c r="BZ752" s="69"/>
      <c r="CA752" s="69"/>
      <c r="CB752" s="69"/>
      <c r="CC752" s="69"/>
      <c r="CD752" s="69"/>
      <c r="CE752" s="69"/>
      <c r="CF752" s="69"/>
      <c r="CG752" s="69"/>
      <c r="CH752" s="69"/>
      <c r="CI752" s="69"/>
      <c r="CJ752" s="69"/>
      <c r="CK752" s="69"/>
      <c r="CL752" s="69"/>
      <c r="CM752" s="69"/>
      <c r="CN752" s="69"/>
      <c r="CO752" s="69"/>
      <c r="CP752" s="69"/>
      <c r="CQ752" s="69"/>
      <c r="CR752" s="69"/>
      <c r="CS752" s="69"/>
      <c r="CT752" s="69"/>
      <c r="CU752" s="69"/>
      <c r="CV752" s="69"/>
      <c r="CW752" s="69"/>
      <c r="CX752" s="69"/>
      <c r="CY752" s="70"/>
      <c r="CZ752" s="69"/>
      <c r="DA752" s="69"/>
      <c r="DB752" s="69"/>
    </row>
    <row r="753" spans="1:113" hidden="1" outlineLevel="2">
      <c r="A753" s="1" t="s">
        <v>15</v>
      </c>
      <c r="B753" s="19" t="s">
        <v>801</v>
      </c>
      <c r="C753" s="69"/>
      <c r="D753" s="69"/>
      <c r="E753" s="69"/>
      <c r="F753" s="69"/>
      <c r="G753" s="69"/>
      <c r="H753" s="69"/>
      <c r="I753" s="69"/>
      <c r="J753" s="69"/>
      <c r="K753" s="69"/>
      <c r="L753" s="69"/>
      <c r="M753" s="69"/>
      <c r="N753" s="69"/>
      <c r="O753" s="69"/>
      <c r="P753" s="69"/>
      <c r="Q753" s="69"/>
      <c r="R753" s="69"/>
      <c r="S753" s="69"/>
      <c r="T753" s="69"/>
      <c r="U753" s="69"/>
      <c r="V753" s="69"/>
      <c r="W753" s="69"/>
      <c r="X753" s="69"/>
      <c r="Y753" s="69"/>
      <c r="Z753" s="69"/>
      <c r="AA753" s="69"/>
      <c r="AB753" s="69"/>
      <c r="AC753" s="69"/>
      <c r="AD753" s="69"/>
      <c r="AE753" s="69"/>
      <c r="AF753" s="69"/>
      <c r="AG753" s="69"/>
      <c r="AH753" s="69"/>
      <c r="AI753" s="69"/>
      <c r="AJ753" s="69"/>
      <c r="AK753" s="69"/>
      <c r="AL753" s="69"/>
      <c r="AM753" s="69"/>
      <c r="AN753" s="69"/>
      <c r="AO753" s="69"/>
      <c r="AP753" s="69"/>
      <c r="AQ753" s="69"/>
      <c r="AR753" s="69"/>
      <c r="AS753" s="69"/>
      <c r="AT753" s="69"/>
      <c r="AU753" s="69"/>
      <c r="AV753" s="69"/>
      <c r="AW753" s="70"/>
      <c r="AX753" s="69"/>
      <c r="AY753" s="69"/>
      <c r="AZ753" s="69"/>
      <c r="BA753" s="69"/>
      <c r="BB753" s="69"/>
      <c r="BC753" s="69"/>
      <c r="BD753" s="69"/>
      <c r="BE753" s="69"/>
      <c r="BF753" s="69"/>
      <c r="BG753" s="69"/>
      <c r="BH753" s="69"/>
      <c r="BI753" s="69"/>
      <c r="BJ753" s="69"/>
      <c r="BK753" s="69"/>
      <c r="BL753" s="69"/>
      <c r="BM753" s="69"/>
      <c r="BN753" s="69"/>
      <c r="BO753" s="69"/>
      <c r="BP753" s="69"/>
      <c r="BQ753" s="69"/>
      <c r="BR753" s="69"/>
      <c r="BS753" s="69"/>
      <c r="BT753" s="69"/>
      <c r="BU753" s="69"/>
      <c r="BV753" s="69"/>
      <c r="BW753" s="69"/>
      <c r="BX753" s="69"/>
      <c r="BY753" s="69"/>
      <c r="BZ753" s="69"/>
      <c r="CA753" s="69"/>
      <c r="CB753" s="69"/>
      <c r="CC753" s="69"/>
      <c r="CD753" s="69"/>
      <c r="CE753" s="69"/>
      <c r="CF753" s="69"/>
      <c r="CG753" s="69"/>
      <c r="CH753" s="69"/>
      <c r="CI753" s="69"/>
      <c r="CJ753" s="69"/>
      <c r="CK753" s="69"/>
      <c r="CL753" s="69"/>
      <c r="CM753" s="69"/>
      <c r="CN753" s="69"/>
      <c r="CO753" s="69"/>
      <c r="CP753" s="69"/>
      <c r="CQ753" s="69"/>
      <c r="CR753" s="69"/>
      <c r="CS753" s="69"/>
      <c r="CT753" s="69"/>
      <c r="CU753" s="69"/>
      <c r="CV753" s="69"/>
      <c r="CW753" s="69"/>
      <c r="CX753" s="69"/>
      <c r="CY753" s="70"/>
      <c r="CZ753" s="69"/>
      <c r="DA753" s="69"/>
      <c r="DB753" s="69"/>
    </row>
    <row r="754" spans="1:113" hidden="1" outlineLevel="2">
      <c r="A754" s="1" t="s">
        <v>16</v>
      </c>
      <c r="B754" s="19" t="s">
        <v>801</v>
      </c>
      <c r="C754" s="69"/>
      <c r="D754" s="69"/>
      <c r="E754" s="69"/>
      <c r="F754" s="69"/>
      <c r="G754" s="69"/>
      <c r="H754" s="69"/>
      <c r="I754" s="69"/>
      <c r="J754" s="69"/>
      <c r="K754" s="69"/>
      <c r="L754" s="69"/>
      <c r="M754" s="69"/>
      <c r="N754" s="69"/>
      <c r="O754" s="69"/>
      <c r="P754" s="69"/>
      <c r="Q754" s="69"/>
      <c r="R754" s="69"/>
      <c r="S754" s="69"/>
      <c r="T754" s="69"/>
      <c r="U754" s="69"/>
      <c r="V754" s="69"/>
      <c r="W754" s="69"/>
      <c r="X754" s="69"/>
      <c r="Y754" s="69"/>
      <c r="Z754" s="69"/>
      <c r="AA754" s="69"/>
      <c r="AB754" s="69"/>
      <c r="AC754" s="69"/>
      <c r="AD754" s="69"/>
      <c r="AE754" s="69"/>
      <c r="AF754" s="69"/>
      <c r="AG754" s="69"/>
      <c r="AH754" s="69"/>
      <c r="AI754" s="69"/>
      <c r="AJ754" s="69"/>
      <c r="AK754" s="69"/>
      <c r="AL754" s="69"/>
      <c r="AM754" s="69"/>
      <c r="AN754" s="69"/>
      <c r="AO754" s="69"/>
      <c r="AP754" s="69"/>
      <c r="AQ754" s="69"/>
      <c r="AR754" s="69"/>
      <c r="AS754" s="69"/>
      <c r="AT754" s="69"/>
      <c r="AU754" s="69"/>
      <c r="AV754" s="69"/>
      <c r="AW754" s="70"/>
      <c r="AX754" s="69"/>
      <c r="AY754" s="69"/>
      <c r="AZ754" s="69"/>
      <c r="BA754" s="69"/>
      <c r="BB754" s="69"/>
      <c r="BC754" s="69"/>
      <c r="BD754" s="69"/>
      <c r="BE754" s="69"/>
      <c r="BF754" s="69"/>
      <c r="BG754" s="69"/>
      <c r="BH754" s="69"/>
      <c r="BI754" s="69"/>
      <c r="BJ754" s="69"/>
      <c r="BK754" s="69"/>
      <c r="BL754" s="69"/>
      <c r="BM754" s="69"/>
      <c r="BN754" s="69"/>
      <c r="BO754" s="69"/>
      <c r="BP754" s="69"/>
      <c r="BQ754" s="69"/>
      <c r="BR754" s="69"/>
      <c r="BS754" s="69"/>
      <c r="BT754" s="69"/>
      <c r="BU754" s="69"/>
      <c r="BV754" s="69"/>
      <c r="BW754" s="69"/>
      <c r="BX754" s="69"/>
      <c r="BY754" s="69"/>
      <c r="BZ754" s="69"/>
      <c r="CA754" s="69"/>
      <c r="CB754" s="69"/>
      <c r="CC754" s="69"/>
      <c r="CD754" s="69"/>
      <c r="CE754" s="69"/>
      <c r="CF754" s="69"/>
      <c r="CG754" s="69"/>
      <c r="CH754" s="69"/>
      <c r="CI754" s="69"/>
      <c r="CJ754" s="69"/>
      <c r="CK754" s="69"/>
      <c r="CL754" s="69"/>
      <c r="CM754" s="69"/>
      <c r="CN754" s="69"/>
      <c r="CO754" s="69"/>
      <c r="CP754" s="69"/>
      <c r="CQ754" s="69"/>
      <c r="CR754" s="69"/>
      <c r="CS754" s="69"/>
      <c r="CT754" s="69"/>
      <c r="CU754" s="69"/>
      <c r="CV754" s="69"/>
      <c r="CW754" s="69"/>
      <c r="CX754" s="69"/>
      <c r="CY754" s="70"/>
      <c r="CZ754" s="69"/>
      <c r="DA754" s="69"/>
      <c r="DB754" s="69"/>
    </row>
    <row r="755" spans="1:113" outlineLevel="1" collapsed="1">
      <c r="Z755" s="145"/>
      <c r="AA755" s="145"/>
      <c r="AB755" s="145"/>
      <c r="AC755" s="145"/>
      <c r="AD755" s="145"/>
      <c r="AE755" s="145"/>
      <c r="AF755" s="145"/>
      <c r="AG755" s="640"/>
      <c r="AH755" s="635"/>
      <c r="AI755" s="635"/>
      <c r="AJ755" s="635"/>
      <c r="AK755" s="635"/>
      <c r="AL755" s="635"/>
      <c r="AM755" s="635"/>
      <c r="AN755" s="635"/>
      <c r="AO755" s="635"/>
      <c r="AP755" s="635"/>
      <c r="AQ755" s="635"/>
      <c r="AR755" s="635"/>
      <c r="AS755" s="635"/>
      <c r="AT755" s="635"/>
      <c r="AU755" s="635"/>
      <c r="AV755" s="635"/>
      <c r="AW755" s="634"/>
      <c r="AX755" s="145"/>
      <c r="AY755" s="145"/>
      <c r="AZ755" s="145"/>
      <c r="BA755" s="145"/>
      <c r="BB755" s="145"/>
      <c r="BC755" s="145"/>
      <c r="BD755" s="145"/>
      <c r="BE755" s="145"/>
      <c r="BF755" s="145"/>
      <c r="BG755" s="145"/>
      <c r="BH755" s="145"/>
      <c r="BI755" s="145"/>
      <c r="BJ755" s="145"/>
      <c r="BK755" s="145"/>
      <c r="BL755" s="145"/>
      <c r="BM755" s="145"/>
      <c r="BN755" s="145"/>
      <c r="BO755" s="145"/>
      <c r="BP755" s="145"/>
      <c r="BQ755" s="145"/>
      <c r="CR755" s="145"/>
      <c r="CS755" s="145"/>
      <c r="CT755" s="145"/>
      <c r="CU755" s="145"/>
      <c r="CV755" s="145"/>
      <c r="CW755" s="145"/>
      <c r="CX755" s="145"/>
      <c r="CY755" s="646"/>
      <c r="CZ755" s="145"/>
      <c r="DA755" s="145"/>
      <c r="DB755" s="145"/>
    </row>
    <row r="756" spans="1:113" s="24" customFormat="1" outlineLevel="1">
      <c r="A756" s="1"/>
      <c r="B756" s="24" t="s">
        <v>345</v>
      </c>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635"/>
      <c r="AI756" s="600"/>
      <c r="AJ756" s="13"/>
      <c r="AK756" s="13"/>
      <c r="AL756" s="13"/>
      <c r="AM756" s="13"/>
      <c r="AN756" s="13"/>
      <c r="AO756" s="13"/>
      <c r="AP756" s="13"/>
      <c r="AQ756" s="13"/>
      <c r="AR756" s="13"/>
      <c r="AS756" s="13"/>
      <c r="AT756" s="13"/>
      <c r="AU756" s="13"/>
      <c r="AV756" s="13"/>
      <c r="AW756" s="23"/>
      <c r="AX756" s="13"/>
      <c r="AY756" s="13"/>
      <c r="AZ756" s="13"/>
      <c r="BA756" s="13"/>
      <c r="BB756" s="13"/>
      <c r="BC756" s="13"/>
      <c r="BD756" s="13"/>
      <c r="BE756" s="13"/>
      <c r="BF756" s="13"/>
      <c r="BG756" s="13"/>
      <c r="BH756" s="13"/>
      <c r="BI756" s="13"/>
      <c r="BJ756" s="13"/>
      <c r="BK756" s="13"/>
      <c r="BL756" s="13"/>
      <c r="BM756" s="13"/>
      <c r="BN756" s="13"/>
      <c r="BO756" s="13"/>
      <c r="BP756" s="13"/>
      <c r="BQ756" s="13"/>
      <c r="BR756" s="13"/>
      <c r="BS756" s="13"/>
      <c r="BT756" s="13"/>
      <c r="BU756" s="13"/>
      <c r="BV756" s="13"/>
      <c r="BW756" s="13"/>
      <c r="BX756" s="13"/>
      <c r="BY756" s="13"/>
      <c r="BZ756" s="13"/>
      <c r="CA756" s="13"/>
      <c r="CB756" s="13"/>
      <c r="CC756" s="13"/>
      <c r="CD756" s="13"/>
      <c r="CE756" s="13"/>
      <c r="CF756" s="13"/>
      <c r="CG756" s="13"/>
      <c r="CH756" s="13"/>
      <c r="CI756" s="13"/>
      <c r="CJ756" s="13"/>
      <c r="CK756" s="13"/>
      <c r="CL756" s="13"/>
      <c r="CM756" s="13"/>
      <c r="CN756" s="13"/>
      <c r="CO756" s="13"/>
      <c r="CP756" s="13"/>
      <c r="CQ756" s="13"/>
      <c r="CR756" s="13"/>
      <c r="CS756" s="13"/>
      <c r="CT756" s="13"/>
      <c r="CU756" s="13"/>
      <c r="CV756" s="13"/>
      <c r="CW756" s="13"/>
      <c r="CX756" s="13"/>
      <c r="CY756" s="23"/>
      <c r="CZ756" s="13"/>
      <c r="DA756" s="13"/>
      <c r="DB756" s="13"/>
    </row>
    <row r="757" spans="1:113" outlineLevel="1">
      <c r="A757" s="1" t="s">
        <v>965</v>
      </c>
      <c r="B757" s="19" t="s">
        <v>346</v>
      </c>
      <c r="C757" s="110">
        <v>17.041080651569327</v>
      </c>
      <c r="D757" s="110">
        <v>15.865475989890477</v>
      </c>
      <c r="E757" s="110">
        <v>14.386781729428174</v>
      </c>
      <c r="F757" s="110">
        <v>28.223720930232556</v>
      </c>
      <c r="G757" s="110">
        <v>13.523978102189782</v>
      </c>
      <c r="H757" s="110">
        <v>15.373193521594684</v>
      </c>
      <c r="I757" s="110">
        <v>16.135714285714286</v>
      </c>
      <c r="J757" s="110">
        <v>12.301377952755907</v>
      </c>
      <c r="K757" s="110">
        <v>14.929032756489494</v>
      </c>
      <c r="L757" s="110">
        <v>13.697536268134067</v>
      </c>
      <c r="M757" s="110">
        <v>14.791822187662001</v>
      </c>
      <c r="N757" s="110">
        <v>14.686158113730928</v>
      </c>
      <c r="O757" s="110">
        <v>15.861067939609235</v>
      </c>
      <c r="P757" s="110">
        <v>16.450255754475702</v>
      </c>
      <c r="Q757" s="110">
        <v>11.052196495619524</v>
      </c>
      <c r="R757" s="110">
        <v>7.7043973301923829</v>
      </c>
      <c r="S757" s="110">
        <v>13.757668711656441</v>
      </c>
      <c r="T757" s="110">
        <v>14.452690311418687</v>
      </c>
      <c r="U757" s="110">
        <v>13.725148514851485</v>
      </c>
      <c r="V757" s="110">
        <v>12.952214521452143</v>
      </c>
      <c r="W757" s="110">
        <v>12.2091059602649</v>
      </c>
      <c r="X757" s="110">
        <v>10.679811320754716</v>
      </c>
      <c r="Y757" s="110">
        <v>12.203440766550523</v>
      </c>
      <c r="Z757" s="110">
        <v>13.741246192190529</v>
      </c>
      <c r="AA757" s="110">
        <v>14.003413158558105</v>
      </c>
      <c r="AB757" s="110">
        <v>14.959392925430212</v>
      </c>
      <c r="AC757" s="110">
        <v>14.82738755111313</v>
      </c>
      <c r="AD757" s="110">
        <v>15.369912436266905</v>
      </c>
      <c r="AE757" s="110">
        <v>15.342317777777778</v>
      </c>
      <c r="AF757" s="110">
        <v>15.630509692877368</v>
      </c>
      <c r="AG757" s="110">
        <v>13.869307071147972</v>
      </c>
      <c r="AH757" s="110">
        <v>14.444898876404494</v>
      </c>
      <c r="AI757" s="110">
        <v>14.165710311941188</v>
      </c>
      <c r="AJ757" s="110">
        <v>14.247003668976763</v>
      </c>
      <c r="AK757" s="110">
        <v>14.448788152837441</v>
      </c>
      <c r="AL757" s="110">
        <v>13.875143509458578</v>
      </c>
      <c r="AM757" s="110">
        <v>18.4337638469285</v>
      </c>
      <c r="AN757" s="110">
        <v>11.476380318285159</v>
      </c>
      <c r="AO757" s="110">
        <v>17.880602795573676</v>
      </c>
      <c r="AP757" s="110">
        <v>14.92449168207024</v>
      </c>
      <c r="AQ757" s="110">
        <v>16.657533885542172</v>
      </c>
      <c r="AR757" s="110">
        <v>14.969335604770018</v>
      </c>
      <c r="AS757" s="110">
        <v>15.711846561926135</v>
      </c>
      <c r="AT757" s="110">
        <v>16.812354988399072</v>
      </c>
      <c r="AU757" s="110">
        <v>17.504657065893078</v>
      </c>
      <c r="AV757" s="110">
        <v>19.663080479092244</v>
      </c>
      <c r="AW757" s="111">
        <v>22.98886084142395</v>
      </c>
      <c r="AX757" s="110">
        <v>22.531156206271511</v>
      </c>
      <c r="AY757" s="110">
        <v>24.12559102014848</v>
      </c>
      <c r="AZ757" s="110">
        <v>24.421387690038884</v>
      </c>
      <c r="BA757" s="110">
        <v>25.92552999802227</v>
      </c>
      <c r="BB757" s="110">
        <v>26.456198524920314</v>
      </c>
      <c r="BC757" s="110">
        <v>27.979717833593192</v>
      </c>
      <c r="BD757" s="110">
        <v>28.249549118023442</v>
      </c>
      <c r="BE757" s="110">
        <v>29.505231710908657</v>
      </c>
      <c r="BF757" s="110">
        <v>29.931742890132963</v>
      </c>
      <c r="BG757" s="110">
        <v>31.683826031381223</v>
      </c>
      <c r="BH757" s="110">
        <v>31.838461257509813</v>
      </c>
      <c r="BI757" s="110">
        <v>33.384013305893454</v>
      </c>
      <c r="BJ757" s="110">
        <v>38.696216008388284</v>
      </c>
      <c r="BK757" s="110">
        <v>47.138476606480133</v>
      </c>
      <c r="BL757" s="110">
        <v>47.264884234923187</v>
      </c>
      <c r="BM757" s="110">
        <v>42.565127923565306</v>
      </c>
      <c r="BN757" s="110">
        <v>38.650239319792263</v>
      </c>
      <c r="BO757" s="110">
        <v>40.294102982899624</v>
      </c>
      <c r="BP757" s="110">
        <v>40.162420219868466</v>
      </c>
      <c r="BQ757" s="110">
        <v>41.862156332758104</v>
      </c>
      <c r="BR757" s="110"/>
      <c r="BS757" s="110">
        <v>13.887493274639278</v>
      </c>
      <c r="BT757" s="110">
        <v>16.803309932279912</v>
      </c>
      <c r="BU757" s="110">
        <v>10.102139296187683</v>
      </c>
      <c r="BV757" s="110">
        <v>8.7700101729399798</v>
      </c>
      <c r="BW757" s="110">
        <v>9.0578552278820386</v>
      </c>
      <c r="BX757" s="110">
        <v>13.61038961038961</v>
      </c>
      <c r="BY757" s="110">
        <v>16.074495412844037</v>
      </c>
      <c r="BZ757" s="110">
        <v>15.678164556962026</v>
      </c>
      <c r="CA757" s="110">
        <v>9.5068999999999999</v>
      </c>
      <c r="CB757" s="110">
        <v>18.011301799916282</v>
      </c>
      <c r="CC757" s="110">
        <v>15.711423748124997</v>
      </c>
      <c r="CD757" s="110">
        <v>18.783492108699885</v>
      </c>
      <c r="CE757" s="110">
        <v>16.560219331126316</v>
      </c>
      <c r="CF757" s="110">
        <v>14.732272153940926</v>
      </c>
      <c r="CG757" s="110">
        <v>14.427278166496945</v>
      </c>
      <c r="CH757" s="110">
        <v>16.043641415628539</v>
      </c>
      <c r="CI757" s="110">
        <v>11.060172183428209</v>
      </c>
      <c r="CJ757" s="110">
        <v>11.987637119588513</v>
      </c>
      <c r="CK757" s="110">
        <v>13.185991394694677</v>
      </c>
      <c r="CL757" s="110">
        <v>12.676828375314864</v>
      </c>
      <c r="CM757" s="110">
        <v>11.78706838535755</v>
      </c>
      <c r="CN757" s="110">
        <v>14.536697179730801</v>
      </c>
      <c r="CO757" s="110">
        <v>15.093649257861633</v>
      </c>
      <c r="CP757" s="110">
        <v>15.316012178448563</v>
      </c>
      <c r="CQ757" s="110">
        <v>13.725979505069226</v>
      </c>
      <c r="CR757" s="110">
        <v>14.329564789774045</v>
      </c>
      <c r="CS757" s="110">
        <v>13.646038160574552</v>
      </c>
      <c r="CT757" s="110">
        <v>17.056292147940731</v>
      </c>
      <c r="CU757" s="110">
        <v>12.802750208507089</v>
      </c>
      <c r="CV757" s="110">
        <v>17.372534132207054</v>
      </c>
      <c r="CW757" s="110">
        <v>14.44938817194318</v>
      </c>
      <c r="CX757" s="110">
        <v>16.949019803960791</v>
      </c>
      <c r="CY757" s="111">
        <v>22.685409836065574</v>
      </c>
      <c r="CZ757" s="110">
        <v>23.81465531495898</v>
      </c>
      <c r="DA757" s="110">
        <v>25.703366834960633</v>
      </c>
      <c r="DB757" s="110">
        <v>27.792823330627016</v>
      </c>
      <c r="DC757" s="110">
        <v>29.492541884216337</v>
      </c>
      <c r="DD757" s="110">
        <v>31.457973976510608</v>
      </c>
      <c r="DE757" s="110">
        <v>33.304356072973178</v>
      </c>
      <c r="DF757" s="110">
        <v>43.499151776978429</v>
      </c>
      <c r="DG757" s="110">
        <v>45.695710460486211</v>
      </c>
      <c r="DH757" s="110">
        <v>40.313801935917155</v>
      </c>
      <c r="DI757" s="110">
        <v>41.886843099149203</v>
      </c>
    </row>
    <row r="758" spans="1:113" outlineLevel="1">
      <c r="A758" s="1" t="s">
        <v>966</v>
      </c>
      <c r="B758" s="19" t="s">
        <v>648</v>
      </c>
      <c r="C758" s="110">
        <v>16.998533666230728</v>
      </c>
      <c r="D758" s="110">
        <v>15.70799899908249</v>
      </c>
      <c r="E758" s="110">
        <v>14.268376097932082</v>
      </c>
      <c r="F758" s="110">
        <v>27.582272727272727</v>
      </c>
      <c r="G758" s="110">
        <v>13.387174855491333</v>
      </c>
      <c r="H758" s="110">
        <v>15.044302769430683</v>
      </c>
      <c r="I758" s="110">
        <v>15.613736263736264</v>
      </c>
      <c r="J758" s="110">
        <v>12.599767099056605</v>
      </c>
      <c r="K758" s="110">
        <v>15.164025856885148</v>
      </c>
      <c r="L758" s="110">
        <v>13.93294621026895</v>
      </c>
      <c r="M758" s="110">
        <v>15.04968229954614</v>
      </c>
      <c r="N758" s="110">
        <v>15.000974084003573</v>
      </c>
      <c r="O758" s="110">
        <v>16.085893854748605</v>
      </c>
      <c r="P758" s="110">
        <v>16.703221859706364</v>
      </c>
      <c r="Q758" s="110">
        <v>11.485135296458417</v>
      </c>
      <c r="R758" s="110">
        <v>8.3555159474671665</v>
      </c>
      <c r="S758" s="110">
        <v>14.411106032906762</v>
      </c>
      <c r="T758" s="110">
        <v>14.959930929919139</v>
      </c>
      <c r="U758" s="110">
        <v>14.245917576611484</v>
      </c>
      <c r="V758" s="110">
        <v>13.450020634920634</v>
      </c>
      <c r="W758" s="110">
        <v>12.721210357870236</v>
      </c>
      <c r="X758" s="110">
        <v>11.097065803667745</v>
      </c>
      <c r="Y758" s="110">
        <v>12.656075162475277</v>
      </c>
      <c r="Z758" s="110">
        <v>14.169187803561792</v>
      </c>
      <c r="AA758" s="110">
        <v>14.423136531365314</v>
      </c>
      <c r="AB758" s="110">
        <v>15.341869158878502</v>
      </c>
      <c r="AC758" s="110">
        <v>15.173994661921707</v>
      </c>
      <c r="AD758" s="110">
        <v>15.763008217993082</v>
      </c>
      <c r="AE758" s="110">
        <v>15.760939035776236</v>
      </c>
      <c r="AF758" s="110">
        <v>16.02317997438087</v>
      </c>
      <c r="AG758" s="110">
        <v>14.218261101622547</v>
      </c>
      <c r="AH758" s="110">
        <v>14.894465893178635</v>
      </c>
      <c r="AI758" s="110">
        <v>14.599190790751893</v>
      </c>
      <c r="AJ758" s="110">
        <v>14.712501987281399</v>
      </c>
      <c r="AK758" s="110">
        <v>14.904501533742334</v>
      </c>
      <c r="AL758" s="110">
        <v>14.421801300881242</v>
      </c>
      <c r="AM758" s="110">
        <v>19.060656492248061</v>
      </c>
      <c r="AN758" s="110">
        <v>11.968517930815615</v>
      </c>
      <c r="AO758" s="110">
        <v>18.479681564245812</v>
      </c>
      <c r="AP758" s="110">
        <v>15.856744046427856</v>
      </c>
      <c r="AQ758" s="110">
        <v>17.537788390889055</v>
      </c>
      <c r="AR758" s="110">
        <v>15.601899683386103</v>
      </c>
      <c r="AS758" s="110">
        <v>16.32311031461569</v>
      </c>
      <c r="AT758" s="110">
        <v>17.316738117427771</v>
      </c>
      <c r="AU758" s="110">
        <v>17.647996436349235</v>
      </c>
      <c r="AV758" s="110">
        <v>19.811536174430127</v>
      </c>
      <c r="AW758" s="111">
        <v>22.981864303178483</v>
      </c>
      <c r="AX758" s="110">
        <v>22.599362746703662</v>
      </c>
      <c r="AY758" s="110">
        <v>24.163449355108316</v>
      </c>
      <c r="AZ758" s="110">
        <v>24.498254909316735</v>
      </c>
      <c r="BA758" s="110">
        <v>25.983611806357573</v>
      </c>
      <c r="BB758" s="110">
        <v>26.546719541365224</v>
      </c>
      <c r="BC758" s="110">
        <v>28.055791549078307</v>
      </c>
      <c r="BD758" s="110">
        <v>28.375007116691386</v>
      </c>
      <c r="BE758" s="110">
        <v>29.634962073914153</v>
      </c>
      <c r="BF758" s="110">
        <v>30.106312140143036</v>
      </c>
      <c r="BG758" s="110">
        <v>31.845829550045888</v>
      </c>
      <c r="BH758" s="110">
        <v>32.061261318289574</v>
      </c>
      <c r="BI758" s="110">
        <v>33.609795024251611</v>
      </c>
      <c r="BJ758" s="110">
        <v>38.747878735913275</v>
      </c>
      <c r="BK758" s="110">
        <v>46.778150021051289</v>
      </c>
      <c r="BL758" s="110">
        <v>47.018787538180398</v>
      </c>
      <c r="BM758" s="110">
        <v>42.696000101142936</v>
      </c>
      <c r="BN758" s="110">
        <v>39.034873182759668</v>
      </c>
      <c r="BO758" s="110">
        <v>40.696922952122179</v>
      </c>
      <c r="BP758" s="110">
        <v>40.647616545350644</v>
      </c>
      <c r="BQ758" s="110">
        <v>42.370080605277494</v>
      </c>
      <c r="BR758" s="110"/>
      <c r="BS758" s="110">
        <v>13.887493274639278</v>
      </c>
      <c r="BT758" s="110">
        <v>16.803309932279912</v>
      </c>
      <c r="BU758" s="110">
        <v>10.102139296187683</v>
      </c>
      <c r="BV758" s="110">
        <v>8.7700101729399798</v>
      </c>
      <c r="BW758" s="110">
        <v>9.0578552278820386</v>
      </c>
      <c r="BX758" s="110">
        <v>13.61038961038961</v>
      </c>
      <c r="BY758" s="110">
        <v>16.074495412844037</v>
      </c>
      <c r="BZ758" s="110">
        <v>15.678164556962026</v>
      </c>
      <c r="CA758" s="110">
        <v>9.5068999999999999</v>
      </c>
      <c r="CB758" s="110">
        <v>17.992443535256541</v>
      </c>
      <c r="CC758" s="110">
        <v>15.57003994397898</v>
      </c>
      <c r="CD758" s="110">
        <v>18.520523219178088</v>
      </c>
      <c r="CE758" s="110">
        <v>16.112397988438104</v>
      </c>
      <c r="CF758" s="110">
        <v>15.026254266803152</v>
      </c>
      <c r="CG758" s="110">
        <v>14.672221665342601</v>
      </c>
      <c r="CH758" s="110">
        <v>16.262799375684555</v>
      </c>
      <c r="CI758" s="110">
        <v>11.50713137160121</v>
      </c>
      <c r="CJ758" s="110">
        <v>12.548806511436226</v>
      </c>
      <c r="CK758" s="110">
        <v>13.695945158601688</v>
      </c>
      <c r="CL758" s="110">
        <v>13.195897400941249</v>
      </c>
      <c r="CM758" s="110">
        <v>12.22131047605906</v>
      </c>
      <c r="CN758" s="110">
        <v>14.954839389010425</v>
      </c>
      <c r="CO758" s="110">
        <v>15.436010669097538</v>
      </c>
      <c r="CP758" s="110">
        <v>15.712959156777828</v>
      </c>
      <c r="CQ758" s="110">
        <v>14.067425277540565</v>
      </c>
      <c r="CR758" s="110">
        <v>14.812149615612064</v>
      </c>
      <c r="CS758" s="110">
        <v>14.110994879297733</v>
      </c>
      <c r="CT758" s="110">
        <v>17.665441870924219</v>
      </c>
      <c r="CU758" s="110">
        <v>13.312173649058895</v>
      </c>
      <c r="CV758" s="110">
        <v>18.499049899434922</v>
      </c>
      <c r="CW758" s="110">
        <v>15.029169917445341</v>
      </c>
      <c r="CX758" s="110">
        <v>17.327764976958523</v>
      </c>
      <c r="CY758" s="111">
        <v>22.831901939113838</v>
      </c>
      <c r="CZ758" s="110">
        <v>23.869611377764993</v>
      </c>
      <c r="DA758" s="110">
        <v>25.772704663547781</v>
      </c>
      <c r="DB758" s="110">
        <v>27.878215086235741</v>
      </c>
      <c r="DC758" s="110">
        <v>29.622868537316741</v>
      </c>
      <c r="DD758" s="110">
        <v>31.630210215320975</v>
      </c>
      <c r="DE758" s="110">
        <v>33.533515502926655</v>
      </c>
      <c r="DF758" s="110">
        <v>43.376138369546965</v>
      </c>
      <c r="DG758" s="110">
        <v>45.660131923866103</v>
      </c>
      <c r="DH758" s="110">
        <v>40.715905344415305</v>
      </c>
      <c r="DI758" s="110">
        <v>42.393970032692486</v>
      </c>
    </row>
    <row r="759" spans="1:113" outlineLevel="1">
      <c r="A759" s="1" t="s">
        <v>967</v>
      </c>
      <c r="B759" s="19" t="s">
        <v>649</v>
      </c>
      <c r="C759" s="110">
        <v>18.673225946887243</v>
      </c>
      <c r="D759" s="110">
        <v>16.027506382978721</v>
      </c>
      <c r="E759" s="110">
        <v>15.96799148606811</v>
      </c>
      <c r="F759" s="110">
        <v>14.301919191919191</v>
      </c>
      <c r="G759" s="110">
        <v>13.714174685418211</v>
      </c>
      <c r="H759" s="110">
        <v>15.411594504579517</v>
      </c>
      <c r="I759" s="110">
        <v>14.676202440775306</v>
      </c>
      <c r="J759" s="110">
        <v>12.146875000000001</v>
      </c>
      <c r="K759" s="110">
        <v>14.301465364120782</v>
      </c>
      <c r="L759" s="110">
        <v>13.285480349344979</v>
      </c>
      <c r="M759" s="110">
        <v>14.324008534136546</v>
      </c>
      <c r="N759" s="110">
        <v>14.006243386243385</v>
      </c>
      <c r="O759" s="110">
        <v>16.206499546279492</v>
      </c>
      <c r="P759" s="110">
        <v>16.352669491525422</v>
      </c>
      <c r="Q759" s="110">
        <v>11.39445806451613</v>
      </c>
      <c r="R759" s="110">
        <v>10.437819148936169</v>
      </c>
      <c r="S759" s="110">
        <v>12.295444959932519</v>
      </c>
      <c r="T759" s="110">
        <v>14.309104145255226</v>
      </c>
      <c r="U759" s="110">
        <v>11.938909090909091</v>
      </c>
      <c r="V759" s="110">
        <v>11.84582251735587</v>
      </c>
      <c r="W759" s="110">
        <v>11.65478448275862</v>
      </c>
      <c r="X759" s="110">
        <v>10.823970753655793</v>
      </c>
      <c r="Y759" s="110">
        <v>11.956941678520629</v>
      </c>
      <c r="Z759" s="110">
        <v>13.302852546916892</v>
      </c>
      <c r="AA759" s="110">
        <v>13.922691729323311</v>
      </c>
      <c r="AB759" s="110">
        <v>14.744428739693758</v>
      </c>
      <c r="AC759" s="110">
        <v>14.86791799544419</v>
      </c>
      <c r="AD759" s="110">
        <v>15.075815394651013</v>
      </c>
      <c r="AE759" s="110">
        <v>15.390198395006687</v>
      </c>
      <c r="AF759" s="110">
        <v>15.025056532663317</v>
      </c>
      <c r="AG759" s="110">
        <v>13.75820848668543</v>
      </c>
      <c r="AH759" s="110">
        <v>14.645356255178127</v>
      </c>
      <c r="AI759" s="110">
        <v>14.770254816656307</v>
      </c>
      <c r="AJ759" s="110">
        <v>15.201348412353196</v>
      </c>
      <c r="AK759" s="110">
        <v>14.803564975677553</v>
      </c>
      <c r="AL759" s="110">
        <v>14.140823865300035</v>
      </c>
      <c r="AM759" s="110">
        <v>19.744033782536096</v>
      </c>
      <c r="AN759" s="110">
        <v>16.332690085509594</v>
      </c>
      <c r="AO759" s="110">
        <v>21.187712215320911</v>
      </c>
      <c r="AP759" s="110">
        <v>18.786801964839711</v>
      </c>
      <c r="AQ759" s="110">
        <v>18.49212539184953</v>
      </c>
      <c r="AR759" s="110">
        <v>18.514538558786349</v>
      </c>
      <c r="AS759" s="110">
        <v>15.880338214064755</v>
      </c>
      <c r="AT759" s="110">
        <v>16.786389961389961</v>
      </c>
      <c r="AU759" s="110">
        <v>17.268494480784952</v>
      </c>
      <c r="AV759" s="110">
        <v>18.644471010161386</v>
      </c>
      <c r="AW759" s="111">
        <v>22.12027610545983</v>
      </c>
      <c r="AX759" s="110">
        <v>22.531156206271511</v>
      </c>
      <c r="AY759" s="110">
        <v>24.12559102014848</v>
      </c>
      <c r="AZ759" s="110">
        <v>24.421387690038884</v>
      </c>
      <c r="BA759" s="110">
        <v>25.92552999802227</v>
      </c>
      <c r="BB759" s="110">
        <v>26.456198524920314</v>
      </c>
      <c r="BC759" s="110">
        <v>27.979717833593192</v>
      </c>
      <c r="BD759" s="110">
        <v>28.249549118023442</v>
      </c>
      <c r="BE759" s="110">
        <v>29.505231710908657</v>
      </c>
      <c r="BF759" s="110">
        <v>29.931742890132963</v>
      </c>
      <c r="BG759" s="110">
        <v>31.683826031381223</v>
      </c>
      <c r="BH759" s="110">
        <v>31.838461257509813</v>
      </c>
      <c r="BI759" s="110">
        <v>33.384013305893454</v>
      </c>
      <c r="BJ759" s="110">
        <v>38.696216008388284</v>
      </c>
      <c r="BK759" s="110">
        <v>47.138476606480133</v>
      </c>
      <c r="BL759" s="110">
        <v>47.264884234923187</v>
      </c>
      <c r="BM759" s="110">
        <v>42.565127923565306</v>
      </c>
      <c r="BN759" s="110">
        <v>38.650239319792263</v>
      </c>
      <c r="BO759" s="110">
        <v>40.294102982899624</v>
      </c>
      <c r="BP759" s="110">
        <v>40.162420219868466</v>
      </c>
      <c r="BQ759" s="110">
        <v>41.862156332758104</v>
      </c>
      <c r="BR759" s="110"/>
      <c r="BS759" s="110">
        <v>13.887493274639278</v>
      </c>
      <c r="BT759" s="110">
        <v>12.856418480138169</v>
      </c>
      <c r="BU759" s="110">
        <v>10.102139296187683</v>
      </c>
      <c r="BV759" s="110">
        <v>8.5271216617210683</v>
      </c>
      <c r="BW759" s="110">
        <v>9.0578552278820386</v>
      </c>
      <c r="BX759" s="110">
        <v>11.746997598078462</v>
      </c>
      <c r="BY759" s="110">
        <v>13.509020817270624</v>
      </c>
      <c r="BZ759" s="110">
        <v>15.176548672566373</v>
      </c>
      <c r="CA759" s="110">
        <v>15.297157330154949</v>
      </c>
      <c r="CB759" s="110">
        <v>19.098535286284953</v>
      </c>
      <c r="CC759" s="110">
        <v>16.692193613228866</v>
      </c>
      <c r="CD759" s="110">
        <v>14.58883278391342</v>
      </c>
      <c r="CE759" s="110">
        <v>15.774981483119939</v>
      </c>
      <c r="CF759" s="110">
        <v>14.329008530566167</v>
      </c>
      <c r="CG759" s="110">
        <v>13.982321400937577</v>
      </c>
      <c r="CH759" s="110">
        <v>15.839149563953489</v>
      </c>
      <c r="CI759" s="110">
        <v>11.19709640683031</v>
      </c>
      <c r="CJ759" s="110">
        <v>13.157919266055046</v>
      </c>
      <c r="CK759" s="110">
        <v>12.234178008589362</v>
      </c>
      <c r="CL759" s="110">
        <v>11.853851588399825</v>
      </c>
      <c r="CM759" s="110">
        <v>11.748728324140858</v>
      </c>
      <c r="CN759" s="110">
        <v>14.269312335233161</v>
      </c>
      <c r="CO759" s="110">
        <v>15.007999134684423</v>
      </c>
      <c r="CP759" s="110">
        <v>15.191258749587233</v>
      </c>
      <c r="CQ759" s="110">
        <v>13.401640234167109</v>
      </c>
      <c r="CR759" s="110">
        <v>14.734740469484899</v>
      </c>
      <c r="CS759" s="110">
        <v>14.279740886146943</v>
      </c>
      <c r="CT759" s="110">
        <v>17.782444958034304</v>
      </c>
      <c r="CU759" s="110">
        <v>16.997090657439447</v>
      </c>
      <c r="CV759" s="110">
        <v>20.440283138795795</v>
      </c>
      <c r="CW759" s="110">
        <v>16.220360604481499</v>
      </c>
      <c r="CX759" s="110">
        <v>16.824493645750593</v>
      </c>
      <c r="CY759" s="111">
        <v>21.665996339975599</v>
      </c>
      <c r="CZ759" s="110">
        <v>23.814655314958983</v>
      </c>
      <c r="DA759" s="110">
        <v>25.703366834960626</v>
      </c>
      <c r="DB759" s="110">
        <v>27.792823330627016</v>
      </c>
      <c r="DC759" s="110">
        <v>29.49254188421634</v>
      </c>
      <c r="DD759" s="110">
        <v>31.457973976510608</v>
      </c>
      <c r="DE759" s="110">
        <v>33.304356072973178</v>
      </c>
      <c r="DF759" s="110">
        <v>43.499151776978429</v>
      </c>
      <c r="DG759" s="110">
        <v>45.695710460486204</v>
      </c>
      <c r="DH759" s="110">
        <v>40.313801935917148</v>
      </c>
      <c r="DI759" s="110">
        <v>41.88684309914921</v>
      </c>
    </row>
    <row r="760" spans="1:113" outlineLevel="1">
      <c r="A760" s="1" t="s">
        <v>968</v>
      </c>
      <c r="B760" s="19" t="s">
        <v>536</v>
      </c>
      <c r="C760" s="110">
        <v>18.622150827074194</v>
      </c>
      <c r="D760" s="110">
        <v>15.86681270536692</v>
      </c>
      <c r="E760" s="110">
        <v>15.822260142648972</v>
      </c>
      <c r="F760" s="110">
        <v>14.135341098169716</v>
      </c>
      <c r="G760" s="110">
        <v>13.573516483516485</v>
      </c>
      <c r="H760" s="110">
        <v>15.081046975494585</v>
      </c>
      <c r="I760" s="110">
        <v>14.244110275689223</v>
      </c>
      <c r="J760" s="110">
        <v>12.445663948747818</v>
      </c>
      <c r="K760" s="110">
        <v>14.543122837370243</v>
      </c>
      <c r="L760" s="110">
        <v>13.522959183673471</v>
      </c>
      <c r="M760" s="110">
        <v>14.586275659824047</v>
      </c>
      <c r="N760" s="110">
        <v>14.328715322236448</v>
      </c>
      <c r="O760" s="110">
        <v>16.424692847740239</v>
      </c>
      <c r="P760" s="110">
        <v>16.608394160583941</v>
      </c>
      <c r="Q760" s="110">
        <v>11.823902089307662</v>
      </c>
      <c r="R760" s="110">
        <v>11.144869869869868</v>
      </c>
      <c r="S760" s="110">
        <v>12.922745901639344</v>
      </c>
      <c r="T760" s="110">
        <v>14.815173506840177</v>
      </c>
      <c r="U760" s="110">
        <v>12.455854635047736</v>
      </c>
      <c r="V760" s="110">
        <v>12.341265656859891</v>
      </c>
      <c r="W760" s="110">
        <v>12.162114047287901</v>
      </c>
      <c r="X760" s="110">
        <v>11.242601092896173</v>
      </c>
      <c r="Y760" s="110">
        <v>12.407160664819946</v>
      </c>
      <c r="Z760" s="110">
        <v>13.72836862745098</v>
      </c>
      <c r="AA760" s="110">
        <v>14.341988747553817</v>
      </c>
      <c r="AB760" s="110">
        <v>15.126284266298086</v>
      </c>
      <c r="AC760" s="110">
        <v>15.214603033006243</v>
      </c>
      <c r="AD760" s="110">
        <v>15.468622665534808</v>
      </c>
      <c r="AE760" s="110">
        <v>15.808927975859069</v>
      </c>
      <c r="AF760" s="110">
        <v>15.414371534195935</v>
      </c>
      <c r="AG760" s="110">
        <v>14.106828002541834</v>
      </c>
      <c r="AH760" s="110">
        <v>15.096803527980535</v>
      </c>
      <c r="AI760" s="110">
        <v>15.207859744990891</v>
      </c>
      <c r="AJ760" s="110">
        <v>15.67174216765453</v>
      </c>
      <c r="AK760" s="110">
        <v>15.258893001345896</v>
      </c>
      <c r="AL760" s="110">
        <v>14.688094178961439</v>
      </c>
      <c r="AM760" s="110">
        <v>20.360793566473887</v>
      </c>
      <c r="AN760" s="110">
        <v>16.869961977186314</v>
      </c>
      <c r="AO760" s="110">
        <v>21.733659658344283</v>
      </c>
      <c r="AP760" s="110">
        <v>19.828866366366366</v>
      </c>
      <c r="AQ760" s="110">
        <v>19.417474069554608</v>
      </c>
      <c r="AR760" s="110">
        <v>19.197662497436948</v>
      </c>
      <c r="AS760" s="110">
        <v>16.4938953722334</v>
      </c>
      <c r="AT760" s="110">
        <v>17.290954773869345</v>
      </c>
      <c r="AU760" s="110">
        <v>17.420369357045143</v>
      </c>
      <c r="AV760" s="110">
        <v>18.84056550424128</v>
      </c>
      <c r="AW760" s="111">
        <v>22.160115913555991</v>
      </c>
      <c r="AX760" s="110">
        <v>22.599362746703662</v>
      </c>
      <c r="AY760" s="110">
        <v>24.163449355108316</v>
      </c>
      <c r="AZ760" s="110">
        <v>24.498254909316735</v>
      </c>
      <c r="BA760" s="110">
        <v>25.983611806357573</v>
      </c>
      <c r="BB760" s="110">
        <v>26.546719541365224</v>
      </c>
      <c r="BC760" s="110">
        <v>28.055791549078307</v>
      </c>
      <c r="BD760" s="110">
        <v>28.375007116691386</v>
      </c>
      <c r="BE760" s="110">
        <v>29.634962073914153</v>
      </c>
      <c r="BF760" s="110">
        <v>30.106312140143036</v>
      </c>
      <c r="BG760" s="110">
        <v>31.845829550045888</v>
      </c>
      <c r="BH760" s="110">
        <v>32.061261318289574</v>
      </c>
      <c r="BI760" s="110">
        <v>33.609795024251611</v>
      </c>
      <c r="BJ760" s="110">
        <v>38.747878735913275</v>
      </c>
      <c r="BK760" s="110">
        <v>46.778150021051289</v>
      </c>
      <c r="BL760" s="110">
        <v>47.018787538180398</v>
      </c>
      <c r="BM760" s="110">
        <v>42.696000101142936</v>
      </c>
      <c r="BN760" s="110">
        <v>39.034873182759668</v>
      </c>
      <c r="BO760" s="110">
        <v>40.696922952122179</v>
      </c>
      <c r="BP760" s="110">
        <v>40.647616545350644</v>
      </c>
      <c r="BQ760" s="110">
        <v>42.370080605277494</v>
      </c>
      <c r="BR760" s="110"/>
      <c r="BS760" s="110">
        <v>13.887493274639278</v>
      </c>
      <c r="BT760" s="110">
        <v>12.856418480138169</v>
      </c>
      <c r="BU760" s="110">
        <v>10.102139296187683</v>
      </c>
      <c r="BV760" s="110">
        <v>8.5271216617210683</v>
      </c>
      <c r="BW760" s="110">
        <v>9.0578552278820386</v>
      </c>
      <c r="BX760" s="110">
        <v>11.746997598078462</v>
      </c>
      <c r="BY760" s="110">
        <v>13.509020817270624</v>
      </c>
      <c r="BZ760" s="110">
        <v>15.176548672566373</v>
      </c>
      <c r="CA760" s="110">
        <v>15.297157330154949</v>
      </c>
      <c r="CB760" s="110">
        <v>19.075510113752042</v>
      </c>
      <c r="CC760" s="110">
        <v>16.532696982429584</v>
      </c>
      <c r="CD760" s="110">
        <v>14.429702547080707</v>
      </c>
      <c r="CE760" s="110">
        <v>15.368665128236998</v>
      </c>
      <c r="CF760" s="110">
        <v>14.6256702643268</v>
      </c>
      <c r="CG760" s="110">
        <v>14.23060651769805</v>
      </c>
      <c r="CH760" s="110">
        <v>16.062241270012983</v>
      </c>
      <c r="CI760" s="110">
        <v>11.643143929080905</v>
      </c>
      <c r="CJ760" s="110">
        <v>13.722252816584048</v>
      </c>
      <c r="CK760" s="110">
        <v>12.737404474055094</v>
      </c>
      <c r="CL760" s="110">
        <v>12.367867982356291</v>
      </c>
      <c r="CM760" s="110">
        <v>12.182646082530951</v>
      </c>
      <c r="CN760" s="110">
        <v>14.686472499936816</v>
      </c>
      <c r="CO760" s="110">
        <v>15.350303641019829</v>
      </c>
      <c r="CP760" s="110">
        <v>15.588065603866811</v>
      </c>
      <c r="CQ760" s="110">
        <v>13.741776850886341</v>
      </c>
      <c r="CR760" s="110">
        <v>15.221722880583409</v>
      </c>
      <c r="CS760" s="110">
        <v>14.749110868377935</v>
      </c>
      <c r="CT760" s="110">
        <v>18.389096441947565</v>
      </c>
      <c r="CU760" s="110">
        <v>17.50510978043912</v>
      </c>
      <c r="CV760" s="110">
        <v>21.670434197239988</v>
      </c>
      <c r="CW760" s="110">
        <v>16.824062150908905</v>
      </c>
      <c r="CX760" s="110">
        <v>17.205529075309819</v>
      </c>
      <c r="CY760" s="111">
        <v>21.861079365079366</v>
      </c>
      <c r="CZ760" s="110">
        <v>23.869611377764997</v>
      </c>
      <c r="DA760" s="110">
        <v>25.772704663547771</v>
      </c>
      <c r="DB760" s="110">
        <v>27.878215086235741</v>
      </c>
      <c r="DC760" s="110">
        <v>29.622868537316744</v>
      </c>
      <c r="DD760" s="110">
        <v>31.630210215320975</v>
      </c>
      <c r="DE760" s="110">
        <v>33.533515502926655</v>
      </c>
      <c r="DF760" s="110">
        <v>43.376138369546965</v>
      </c>
      <c r="DG760" s="110">
        <v>45.660131923866089</v>
      </c>
      <c r="DH760" s="110">
        <v>40.715905344415297</v>
      </c>
      <c r="DI760" s="110">
        <v>42.393970032692501</v>
      </c>
    </row>
    <row r="761" spans="1:113" outlineLevel="1">
      <c r="A761" s="1" t="s">
        <v>969</v>
      </c>
      <c r="B761" s="19" t="s">
        <v>429</v>
      </c>
      <c r="C761" s="110">
        <v>11.542626480086113</v>
      </c>
      <c r="D761" s="110">
        <v>9.6477049180327867</v>
      </c>
      <c r="E761" s="110">
        <v>10.77318276762402</v>
      </c>
      <c r="F761" s="110">
        <v>9.572214084507042</v>
      </c>
      <c r="G761" s="110">
        <v>8.9376989869754002</v>
      </c>
      <c r="H761" s="110">
        <v>9.2177913346613547</v>
      </c>
      <c r="I761" s="110">
        <v>9.1512757385854968</v>
      </c>
      <c r="J761" s="110">
        <v>7.8536639597834501</v>
      </c>
      <c r="K761" s="110">
        <v>9.1254911220249344</v>
      </c>
      <c r="L761" s="110">
        <v>8.9981514952349659</v>
      </c>
      <c r="M761" s="110">
        <v>9.3736613009198422</v>
      </c>
      <c r="N761" s="110">
        <v>9.3074011133899788</v>
      </c>
      <c r="O761" s="110">
        <v>10.640192135835568</v>
      </c>
      <c r="P761" s="110">
        <v>10.608108851017041</v>
      </c>
      <c r="Q761" s="110">
        <v>7.1950339489407931</v>
      </c>
      <c r="R761" s="110">
        <v>4.3870109546165876</v>
      </c>
      <c r="S761" s="110">
        <v>6.1103542234332426</v>
      </c>
      <c r="T761" s="110">
        <v>7.7006406710914463</v>
      </c>
      <c r="U761" s="110">
        <v>7.4351370679380215</v>
      </c>
      <c r="V761" s="110">
        <v>7.3616976177077476</v>
      </c>
      <c r="W761" s="110">
        <v>7.4597480228066946</v>
      </c>
      <c r="X761" s="110">
        <v>6.994373977830274</v>
      </c>
      <c r="Y761" s="110">
        <v>7.7102641717116125</v>
      </c>
      <c r="Z761" s="110">
        <v>8.5227825489522502</v>
      </c>
      <c r="AA761" s="110">
        <v>9.2755952579729524</v>
      </c>
      <c r="AB761" s="110">
        <v>9.7842895107081436</v>
      </c>
      <c r="AC761" s="110">
        <v>10.033844734819368</v>
      </c>
      <c r="AD761" s="110">
        <v>10.176673271686482</v>
      </c>
      <c r="AE761" s="110">
        <v>10.194983756645009</v>
      </c>
      <c r="AF761" s="110">
        <v>9.9527975034674068</v>
      </c>
      <c r="AG761" s="110">
        <v>8.9468062790370269</v>
      </c>
      <c r="AH761" s="110">
        <v>9.6057301997011262</v>
      </c>
      <c r="AI761" s="110">
        <v>9.8230945163957006</v>
      </c>
      <c r="AJ761" s="110">
        <v>9.7171972751285978</v>
      </c>
      <c r="AK761" s="110">
        <v>9.4901975051975054</v>
      </c>
      <c r="AL761" s="110">
        <v>9.2538298970779103</v>
      </c>
      <c r="AM761" s="110">
        <v>12.496221869320321</v>
      </c>
      <c r="AN761" s="110">
        <v>10.438929098966028</v>
      </c>
      <c r="AO761" s="110">
        <v>10.242200166805672</v>
      </c>
      <c r="AP761" s="110">
        <v>11.407747252747253</v>
      </c>
      <c r="AQ761" s="110">
        <v>13.767670763964526</v>
      </c>
      <c r="AR761" s="110">
        <v>13.279431766661629</v>
      </c>
      <c r="AS761" s="110">
        <v>11.589969897652015</v>
      </c>
      <c r="AT761" s="110">
        <v>11.076878980891719</v>
      </c>
      <c r="AU761" s="110">
        <v>11.37437390601858</v>
      </c>
      <c r="AV761" s="110">
        <v>12.25145326001571</v>
      </c>
      <c r="AW761" s="111">
        <v>14.56044957638699</v>
      </c>
      <c r="AX761" s="110">
        <v>14.555878826527165</v>
      </c>
      <c r="AY761" s="110">
        <v>15.313644282027283</v>
      </c>
      <c r="AZ761" s="110">
        <v>15.490369778983251</v>
      </c>
      <c r="BA761" s="110">
        <v>16.428225341987325</v>
      </c>
      <c r="BB761" s="110">
        <v>16.751587488385095</v>
      </c>
      <c r="BC761" s="110">
        <v>17.696999642659204</v>
      </c>
      <c r="BD761" s="110">
        <v>17.875368970077215</v>
      </c>
      <c r="BE761" s="110">
        <v>18.654904200567088</v>
      </c>
      <c r="BF761" s="110">
        <v>18.924587703013366</v>
      </c>
      <c r="BG761" s="110">
        <v>19.999687936968041</v>
      </c>
      <c r="BH761" s="110">
        <v>20.110472627479471</v>
      </c>
      <c r="BI761" s="110">
        <v>21.070224042450644</v>
      </c>
      <c r="BJ761" s="110">
        <v>21.18162016816559</v>
      </c>
      <c r="BK761" s="110">
        <v>22.215764932200941</v>
      </c>
      <c r="BL761" s="110">
        <v>22.372202855838125</v>
      </c>
      <c r="BM761" s="110">
        <v>23.304380373848673</v>
      </c>
      <c r="BN761" s="110">
        <v>23.356821188528148</v>
      </c>
      <c r="BO761" s="110">
        <v>24.336731735935658</v>
      </c>
      <c r="BP761" s="110">
        <v>24.333022793734898</v>
      </c>
      <c r="BQ761" s="110">
        <v>25.35112514563377</v>
      </c>
      <c r="BR761" s="110"/>
      <c r="BS761" s="110">
        <v>3.7756622340425534</v>
      </c>
      <c r="BT761" s="110">
        <v>5.2681290162774239</v>
      </c>
      <c r="BU761" s="110">
        <v>5.0106610909090916</v>
      </c>
      <c r="BV761" s="110">
        <v>5.056258064516129</v>
      </c>
      <c r="BW761" s="110">
        <v>5.3656643726839599</v>
      </c>
      <c r="BX761" s="110">
        <v>7.4971895758814506</v>
      </c>
      <c r="BY761" s="110">
        <v>7.9968963943404834</v>
      </c>
      <c r="BZ761" s="110">
        <v>9.0849022004889974</v>
      </c>
      <c r="CA761" s="110">
        <v>9.3955453879941437</v>
      </c>
      <c r="CB761" s="110">
        <v>11.775862068965518</v>
      </c>
      <c r="CC761" s="110">
        <v>10.648989305362194</v>
      </c>
      <c r="CD761" s="110">
        <v>9.6260515692193795</v>
      </c>
      <c r="CE761" s="110">
        <v>9.6464643958541085</v>
      </c>
      <c r="CF761" s="110">
        <v>9.203095293566383</v>
      </c>
      <c r="CG761" s="110">
        <v>9.3100622043699683</v>
      </c>
      <c r="CH761" s="110">
        <v>10.46272922451994</v>
      </c>
      <c r="CI761" s="110">
        <v>7.1664476319672135</v>
      </c>
      <c r="CJ761" s="110">
        <v>6.0508778450887064</v>
      </c>
      <c r="CK761" s="110">
        <v>7.0822063170778353</v>
      </c>
      <c r="CL761" s="110">
        <v>7.4780102005943538</v>
      </c>
      <c r="CM761" s="110">
        <v>7.5840111356582085</v>
      </c>
      <c r="CN761" s="110">
        <v>9.3268217109474243</v>
      </c>
      <c r="CO761" s="110">
        <v>10.044494847930553</v>
      </c>
      <c r="CP761" s="110">
        <v>10.159189233713654</v>
      </c>
      <c r="CQ761" s="110">
        <v>8.7967868371410614</v>
      </c>
      <c r="CR761" s="110">
        <v>9.7314398544959797</v>
      </c>
      <c r="CS761" s="110">
        <v>9.1407977310260655</v>
      </c>
      <c r="CT761" s="110">
        <v>11.461346922775382</v>
      </c>
      <c r="CU761" s="110">
        <v>9.6203666274970612</v>
      </c>
      <c r="CV761" s="110">
        <v>13.821190122685005</v>
      </c>
      <c r="CW761" s="110">
        <v>11.736246135283913</v>
      </c>
      <c r="CX761" s="110">
        <v>11.092249787261895</v>
      </c>
      <c r="CY761" s="111">
        <v>14.248912810912008</v>
      </c>
      <c r="CZ761" s="110">
        <v>15.251324770581393</v>
      </c>
      <c r="DA761" s="110">
        <v>16.29555006148081</v>
      </c>
      <c r="DB761" s="110">
        <v>17.58841077944555</v>
      </c>
      <c r="DC761" s="110">
        <v>18.654387279581712</v>
      </c>
      <c r="DD761" s="110">
        <v>19.873444233016489</v>
      </c>
      <c r="DE761" s="110">
        <v>21.028186542289596</v>
      </c>
      <c r="DF761" s="110">
        <v>22.1597989342931</v>
      </c>
      <c r="DG761" s="110">
        <v>23.325445483154478</v>
      </c>
      <c r="DH761" s="110">
        <v>24.355375960198675</v>
      </c>
      <c r="DI761" s="110">
        <v>25.371928261298979</v>
      </c>
    </row>
    <row r="762" spans="1:113" outlineLevel="1">
      <c r="A762" s="1" t="s">
        <v>970</v>
      </c>
      <c r="B762" s="19" t="s">
        <v>430</v>
      </c>
      <c r="C762" s="232">
        <v>4.3923865300146414E-2</v>
      </c>
      <c r="D762" s="232">
        <v>4.506295559973493E-2</v>
      </c>
      <c r="E762" s="232">
        <v>4.9802611600364408E-2</v>
      </c>
      <c r="F762" s="232">
        <v>5.0884955752212385E-2</v>
      </c>
      <c r="G762" s="232">
        <v>5.7529610829103212E-2</v>
      </c>
      <c r="H762" s="232">
        <v>5.3650254668930392E-2</v>
      </c>
      <c r="I762" s="232">
        <v>6.3842848373235103E-2</v>
      </c>
      <c r="J762" s="232">
        <v>5.2943008408595449E-2</v>
      </c>
      <c r="K762" s="232">
        <v>5.9025032938076413E-2</v>
      </c>
      <c r="L762" s="232">
        <v>4.3976608187134496E-2</v>
      </c>
      <c r="M762" s="42">
        <v>5.8545372663814453E-2</v>
      </c>
      <c r="N762" s="42">
        <v>4.3249797898140666E-2</v>
      </c>
      <c r="O762" s="42">
        <v>5.3936651583710409E-2</v>
      </c>
      <c r="P762" s="42">
        <v>3.8240270727580364E-2</v>
      </c>
      <c r="Q762" s="42">
        <v>7.6176250933532488E-2</v>
      </c>
      <c r="R762" s="42">
        <v>7.8200692041522482E-2</v>
      </c>
      <c r="S762" s="42">
        <v>5.8974358974358966E-2</v>
      </c>
      <c r="T762" s="45">
        <v>4.3755697356426614E-2</v>
      </c>
      <c r="U762" s="42">
        <v>6.9901315789473686E-2</v>
      </c>
      <c r="V762" s="42">
        <v>5.1999212133149494E-2</v>
      </c>
      <c r="W762" s="42">
        <v>7.1892925430210322E-2</v>
      </c>
      <c r="X762" s="42">
        <v>5.5668427468508745E-2</v>
      </c>
      <c r="Y762" s="45">
        <v>7.4199623352165719E-2</v>
      </c>
      <c r="Z762" s="45">
        <v>5.2750080411707943E-2</v>
      </c>
      <c r="AA762" s="45">
        <v>5.7820179242555642E-2</v>
      </c>
      <c r="AB762" s="45">
        <v>4.7043701799485867E-2</v>
      </c>
      <c r="AC762" s="45">
        <v>5.3907022749752724E-2</v>
      </c>
      <c r="AD762" s="45">
        <v>4.6234676007005246E-2</v>
      </c>
      <c r="AE762" s="45">
        <v>5.2155526841301536E-2</v>
      </c>
      <c r="AF762" s="45">
        <v>4.629954401964223E-2</v>
      </c>
      <c r="AG762" s="45">
        <v>5.9701492537313432E-2</v>
      </c>
      <c r="AH762" s="45">
        <v>4.8295109816769814E-2</v>
      </c>
      <c r="AI762" s="45">
        <v>5.5616007737879336E-2</v>
      </c>
      <c r="AJ762" s="45">
        <v>4.9788399302962409E-2</v>
      </c>
      <c r="AK762" s="45">
        <v>6.3400576368876083E-2</v>
      </c>
      <c r="AL762" s="45">
        <v>5.5256250863378917E-2</v>
      </c>
      <c r="AM762" s="45">
        <v>5.5810582266247889E-2</v>
      </c>
      <c r="AN762" s="45">
        <v>5.0062578222778473E-2</v>
      </c>
      <c r="AO762" s="45">
        <v>2.8233938346297897E-2</v>
      </c>
      <c r="AP762" s="45">
        <v>3.6536353671903547E-2</v>
      </c>
      <c r="AQ762" s="45">
        <v>4.0052067687994394E-2</v>
      </c>
      <c r="AR762" s="45">
        <v>3.4653465346534656E-2</v>
      </c>
      <c r="AS762" s="45">
        <v>4.6470458065943798E-2</v>
      </c>
      <c r="AT762" s="45">
        <v>4.0935672514619888E-2</v>
      </c>
      <c r="AU762" s="45">
        <v>4.7870748977760051E-2</v>
      </c>
      <c r="AV762" s="45">
        <v>3.8461538461538464E-2</v>
      </c>
      <c r="AW762" s="43">
        <v>3.9252629926205054E-2</v>
      </c>
      <c r="AX762" s="42">
        <v>3.2348434744819916E-2</v>
      </c>
      <c r="AY762" s="42">
        <v>3.6044655579618973E-2</v>
      </c>
      <c r="AZ762" s="42">
        <v>2.9704715100844735E-2</v>
      </c>
      <c r="BA762" s="42">
        <v>3.3098857281560118E-2</v>
      </c>
      <c r="BB762" s="42">
        <v>2.7277057025569082E-2</v>
      </c>
      <c r="BC762" s="42">
        <v>3.0393808339357314E-2</v>
      </c>
      <c r="BD762" s="42">
        <v>2.5047802594645625E-2</v>
      </c>
      <c r="BE762" s="42">
        <v>2.7909833185819386E-2</v>
      </c>
      <c r="BF762" s="42">
        <v>2.3000737001511128E-2</v>
      </c>
      <c r="BG762" s="42">
        <v>2.5628864266133502E-2</v>
      </c>
      <c r="BH762" s="42">
        <v>2.200510427035041E-2</v>
      </c>
      <c r="BI762" s="42">
        <v>2.3910859590809585E-2</v>
      </c>
      <c r="BJ762" s="42">
        <v>1.9214413655977945E-2</v>
      </c>
      <c r="BK762" s="42">
        <v>1.8671849748793844E-2</v>
      </c>
      <c r="BL762" s="232">
        <v>1.6732892555549283E-2</v>
      </c>
      <c r="BM762" s="232">
        <v>1.8019036718090849E-2</v>
      </c>
      <c r="BN762" s="232">
        <v>1.9396883332265344E-2</v>
      </c>
      <c r="BO762" s="232">
        <v>2.1138581037634437E-2</v>
      </c>
      <c r="BP762" s="232">
        <v>1.8719691507038703E-2</v>
      </c>
      <c r="BQ762" s="232">
        <v>2.0415019209266652E-2</v>
      </c>
      <c r="BR762" s="42"/>
      <c r="BS762" s="232">
        <v>5.5865921787709501E-2</v>
      </c>
      <c r="BT762" s="232">
        <v>4.8336977788007829E-2</v>
      </c>
      <c r="BU762" s="232">
        <v>7.7220077220077218E-2</v>
      </c>
      <c r="BV762" s="232">
        <v>8.7888531618435156E-2</v>
      </c>
      <c r="BW762" s="232">
        <v>8.6042065009560215E-2</v>
      </c>
      <c r="BX762" s="232">
        <v>6.3750000000000001E-2</v>
      </c>
      <c r="BY762" s="232">
        <v>5.5201698513800419E-2</v>
      </c>
      <c r="BZ762" s="232">
        <v>4.7817047817047813E-2</v>
      </c>
      <c r="CA762" s="232">
        <v>4.6948356807511721E-2</v>
      </c>
      <c r="CB762" s="232">
        <v>3.9824304538799413E-2</v>
      </c>
      <c r="CC762" s="42">
        <v>4.5551169146674765E-2</v>
      </c>
      <c r="CD762" s="42">
        <v>5.2115059221658197E-2</v>
      </c>
      <c r="CE762" s="42">
        <v>5.6169429097605889E-2</v>
      </c>
      <c r="CF762" s="42">
        <v>5.1910408432147559E-2</v>
      </c>
      <c r="CG762" s="42">
        <v>5.043909029497861E-2</v>
      </c>
      <c r="CH762" s="42">
        <v>4.6334841628959275E-2</v>
      </c>
      <c r="CI762" s="42">
        <v>6.6218571072939991E-2</v>
      </c>
      <c r="CJ762" s="42">
        <v>5.8461538461538454E-2</v>
      </c>
      <c r="CK762" s="42">
        <v>5.9621710526315784E-2</v>
      </c>
      <c r="CL762" s="42">
        <v>6.1185468451242821E-2</v>
      </c>
      <c r="CM762" s="45">
        <v>6.2900188323917139E-2</v>
      </c>
      <c r="CN762" s="45">
        <v>5.2616363110725636E-2</v>
      </c>
      <c r="CO762" s="45">
        <v>4.957962413452028E-2</v>
      </c>
      <c r="CP762" s="45">
        <v>4.9336309174204153E-2</v>
      </c>
      <c r="CQ762" s="45">
        <v>5.6474384832593788E-2</v>
      </c>
      <c r="CR762" s="45">
        <v>5.1867972433804865E-2</v>
      </c>
      <c r="CS762" s="45">
        <v>5.9146425140661457E-2</v>
      </c>
      <c r="CT762" s="45">
        <v>5.206571635660788E-2</v>
      </c>
      <c r="CU762" s="45">
        <v>4.2927110342840677E-2</v>
      </c>
      <c r="CV762" s="45">
        <v>3.5045559226995093E-2</v>
      </c>
      <c r="CW762" s="45">
        <v>4.259791989378181E-2</v>
      </c>
      <c r="CX762" s="45">
        <v>4.4878827166650044E-2</v>
      </c>
      <c r="CY762" s="43">
        <v>3.6504945831370705E-2</v>
      </c>
      <c r="CZ762" s="42">
        <v>3.3521529689045648E-2</v>
      </c>
      <c r="DA762" s="42">
        <v>3.0781937271850912E-2</v>
      </c>
      <c r="DB762" s="42">
        <v>2.8266241755602304E-2</v>
      </c>
      <c r="DC762" s="42">
        <v>2.5956144862812031E-2</v>
      </c>
      <c r="DD762" s="42">
        <v>2.3834843767504159E-2</v>
      </c>
      <c r="DE762" s="42">
        <v>2.2498800953557049E-2</v>
      </c>
      <c r="DF762" s="42">
        <v>1.8542184125538329E-2</v>
      </c>
      <c r="DG762" s="232">
        <v>1.7026799013350163E-2</v>
      </c>
      <c r="DH762" s="232">
        <v>1.986297700950132E-2</v>
      </c>
      <c r="DI762" s="232">
        <v>1.9176731158868515E-2</v>
      </c>
    </row>
    <row r="763" spans="1:113" outlineLevel="1">
      <c r="A763" s="1" t="s">
        <v>971</v>
      </c>
      <c r="B763" s="19" t="s">
        <v>365</v>
      </c>
      <c r="C763" s="232">
        <v>6.65513110608279E-2</v>
      </c>
      <c r="D763" s="232">
        <v>6.437565085676418E-2</v>
      </c>
      <c r="E763" s="232">
        <v>7.1146588000520594E-2</v>
      </c>
      <c r="F763" s="232">
        <v>7.2692793931731975E-2</v>
      </c>
      <c r="G763" s="232">
        <v>8.21851583272903E-2</v>
      </c>
      <c r="H763" s="232">
        <v>7.6643220955614849E-2</v>
      </c>
      <c r="I763" s="232">
        <v>9.1204069104621588E-2</v>
      </c>
      <c r="J763" s="232">
        <v>7.5632869155136367E-2</v>
      </c>
      <c r="K763" s="232">
        <v>8.4321475625823442E-2</v>
      </c>
      <c r="L763" s="232">
        <v>6.2823725981620712E-2</v>
      </c>
      <c r="M763" s="42">
        <v>8.3636246662592076E-2</v>
      </c>
      <c r="N763" s="42">
        <v>6.1785425568772381E-2</v>
      </c>
      <c r="O763" s="42">
        <v>7.7052359405300586E-2</v>
      </c>
      <c r="P763" s="42">
        <v>5.4628958182257666E-2</v>
      </c>
      <c r="Q763" s="42">
        <v>0.10882321561933211</v>
      </c>
      <c r="R763" s="42">
        <v>0.11171527434503212</v>
      </c>
      <c r="S763" s="42">
        <v>8.4249084249084241E-2</v>
      </c>
      <c r="T763" s="45">
        <v>6.250813908060944E-2</v>
      </c>
      <c r="U763" s="42">
        <v>9.9859022556390981E-2</v>
      </c>
      <c r="V763" s="42">
        <v>7.4284588761642137E-2</v>
      </c>
      <c r="W763" s="42">
        <v>0.10270417918601475</v>
      </c>
      <c r="X763" s="42">
        <v>7.9526324955012481E-2</v>
      </c>
      <c r="Y763" s="45">
        <v>0.1059994619316653</v>
      </c>
      <c r="Z763" s="45">
        <v>7.5357257731011359E-2</v>
      </c>
      <c r="AA763" s="45">
        <v>8.2600256060793784E-2</v>
      </c>
      <c r="AB763" s="45">
        <v>6.7205288284979806E-2</v>
      </c>
      <c r="AC763" s="45">
        <v>7.7010032499646747E-2</v>
      </c>
      <c r="AD763" s="45">
        <v>6.6049537152864643E-2</v>
      </c>
      <c r="AE763" s="45">
        <v>7.4507895487573639E-2</v>
      </c>
      <c r="AF763" s="45">
        <v>6.6142205742346041E-2</v>
      </c>
      <c r="AG763" s="45">
        <v>8.5287846481876331E-2</v>
      </c>
      <c r="AH763" s="45">
        <v>6.899301402395687E-2</v>
      </c>
      <c r="AI763" s="45">
        <v>7.9451439625541909E-2</v>
      </c>
      <c r="AJ763" s="45">
        <v>7.1126284718517729E-2</v>
      </c>
      <c r="AK763" s="45">
        <v>9.0572251955537253E-2</v>
      </c>
      <c r="AL763" s="45">
        <v>7.893750123339846E-2</v>
      </c>
      <c r="AM763" s="45">
        <v>7.9729403237496985E-2</v>
      </c>
      <c r="AN763" s="45">
        <v>7.1517968889683536E-2</v>
      </c>
      <c r="AO763" s="45">
        <v>4.0334197637568424E-2</v>
      </c>
      <c r="AP763" s="45">
        <v>5.2194790959862201E-2</v>
      </c>
      <c r="AQ763" s="45">
        <v>5.7217239554277703E-2</v>
      </c>
      <c r="AR763" s="45">
        <v>4.9504950495049507E-2</v>
      </c>
      <c r="AS763" s="45">
        <v>6.6386368665633994E-2</v>
      </c>
      <c r="AT763" s="45">
        <v>5.8479532163742694E-2</v>
      </c>
      <c r="AU763" s="45">
        <v>6.8386784253942928E-2</v>
      </c>
      <c r="AV763" s="45">
        <v>5.4945054945054944E-2</v>
      </c>
      <c r="AW763" s="43">
        <v>5.6075185608864368E-2</v>
      </c>
      <c r="AX763" s="42">
        <v>4.6212049635457025E-2</v>
      </c>
      <c r="AY763" s="42">
        <v>5.149236511374139E-2</v>
      </c>
      <c r="AZ763" s="42">
        <v>4.2435307286921048E-2</v>
      </c>
      <c r="BA763" s="42">
        <v>4.728408183080017E-2</v>
      </c>
      <c r="BB763" s="42">
        <v>3.8967224322241548E-2</v>
      </c>
      <c r="BC763" s="42">
        <v>4.3419726199081882E-2</v>
      </c>
      <c r="BD763" s="42">
        <v>3.5782575135208029E-2</v>
      </c>
      <c r="BE763" s="42">
        <v>3.9871190265456269E-2</v>
      </c>
      <c r="BF763" s="42">
        <v>3.2858195716444466E-2</v>
      </c>
      <c r="BG763" s="42">
        <v>3.6612663237333573E-2</v>
      </c>
      <c r="BH763" s="42">
        <v>3.1435863243357724E-2</v>
      </c>
      <c r="BI763" s="42">
        <v>3.4158370844013693E-2</v>
      </c>
      <c r="BJ763" s="42">
        <v>2.7449162365682778E-2</v>
      </c>
      <c r="BK763" s="42">
        <v>2.6674071069705488E-2</v>
      </c>
      <c r="BL763" s="232">
        <v>2.390413222221326E-2</v>
      </c>
      <c r="BM763" s="232">
        <v>2.574148102584407E-2</v>
      </c>
      <c r="BN763" s="232">
        <v>2.7709833331807637E-2</v>
      </c>
      <c r="BO763" s="232">
        <v>3.019797291090634E-2</v>
      </c>
      <c r="BP763" s="232">
        <v>2.6742416438626716E-2</v>
      </c>
      <c r="BQ763" s="232">
        <v>2.9164313156095217E-2</v>
      </c>
      <c r="BR763" s="42"/>
      <c r="BS763" s="232">
        <v>8.3381972817476863E-2</v>
      </c>
      <c r="BT763" s="232">
        <v>7.2144742967175879E-2</v>
      </c>
      <c r="BU763" s="232">
        <v>0.11525384659713017</v>
      </c>
      <c r="BV763" s="232">
        <v>0.13117691286333605</v>
      </c>
      <c r="BW763" s="232">
        <v>0.13444072657743786</v>
      </c>
      <c r="BX763" s="232">
        <v>9.9609374999999986E-2</v>
      </c>
      <c r="BY763" s="232">
        <v>8.6252653927813158E-2</v>
      </c>
      <c r="BZ763" s="232">
        <v>7.4714137214137208E-2</v>
      </c>
      <c r="CA763" s="232">
        <v>7.3356807511737065E-2</v>
      </c>
      <c r="CB763" s="232">
        <v>6.0339855361817289E-2</v>
      </c>
      <c r="CC763" s="42">
        <v>6.5073098780963942E-2</v>
      </c>
      <c r="CD763" s="42">
        <v>7.4450084602368849E-2</v>
      </c>
      <c r="CE763" s="42">
        <v>8.0242041568008404E-2</v>
      </c>
      <c r="CF763" s="42">
        <v>7.4157726331639362E-2</v>
      </c>
      <c r="CG763" s="42">
        <v>7.2055843278540879E-2</v>
      </c>
      <c r="CH763" s="42">
        <v>6.6192630898513252E-2</v>
      </c>
      <c r="CI763" s="42">
        <v>9.4597958675628563E-2</v>
      </c>
      <c r="CJ763" s="42">
        <v>8.3516483516483497E-2</v>
      </c>
      <c r="CK763" s="42">
        <v>8.5173872180451138E-2</v>
      </c>
      <c r="CL763" s="42">
        <v>8.7407812073204041E-2</v>
      </c>
      <c r="CM763" s="45">
        <v>8.985741189131019E-2</v>
      </c>
      <c r="CN763" s="45">
        <v>7.516623301532234E-2</v>
      </c>
      <c r="CO763" s="45">
        <v>7.0828034477886118E-2</v>
      </c>
      <c r="CP763" s="45">
        <v>7.0480441677434516E-2</v>
      </c>
      <c r="CQ763" s="45">
        <v>8.0677692617991126E-2</v>
      </c>
      <c r="CR763" s="45">
        <v>7.4097103476864101E-2</v>
      </c>
      <c r="CS763" s="45">
        <v>8.44948930580878E-2</v>
      </c>
      <c r="CT763" s="45">
        <v>7.4379594795154116E-2</v>
      </c>
      <c r="CU763" s="45">
        <v>6.1324443346915253E-2</v>
      </c>
      <c r="CV763" s="45">
        <v>5.0065084609992989E-2</v>
      </c>
      <c r="CW763" s="45">
        <v>6.0854171276831161E-2</v>
      </c>
      <c r="CX763" s="45">
        <v>6.4112610238071494E-2</v>
      </c>
      <c r="CY763" s="43">
        <v>5.2149922616243863E-2</v>
      </c>
      <c r="CZ763" s="42">
        <v>4.7887899555779496E-2</v>
      </c>
      <c r="DA763" s="42">
        <v>4.3974196102644157E-2</v>
      </c>
      <c r="DB763" s="42">
        <v>4.0380345365146147E-2</v>
      </c>
      <c r="DC763" s="42">
        <v>3.7080206946874333E-2</v>
      </c>
      <c r="DD763" s="42">
        <v>3.4049776810720224E-2</v>
      </c>
      <c r="DE763" s="42">
        <v>3.2141144219367215E-2</v>
      </c>
      <c r="DF763" s="42">
        <v>2.6488834465054758E-2</v>
      </c>
      <c r="DG763" s="232">
        <v>2.4323998590500235E-2</v>
      </c>
      <c r="DH763" s="232">
        <v>2.8375681442144744E-2</v>
      </c>
      <c r="DI763" s="232">
        <v>2.7395330226955023E-2</v>
      </c>
    </row>
    <row r="764" spans="1:113" outlineLevel="1">
      <c r="A764" s="1" t="s">
        <v>17</v>
      </c>
      <c r="B764" s="19" t="s">
        <v>366</v>
      </c>
      <c r="C764" s="232" t="e">
        <v>#VALUE!</v>
      </c>
      <c r="D764" s="232">
        <v>3.8922448216682809E-2</v>
      </c>
      <c r="E764" s="232">
        <v>5.074974631185792E-2</v>
      </c>
      <c r="F764" s="232">
        <v>0.12312632572681023</v>
      </c>
      <c r="G764" s="232">
        <v>6.7735867896167104E-2</v>
      </c>
      <c r="H764" s="232">
        <v>4.4734208297709396E-2</v>
      </c>
      <c r="I764" s="232">
        <v>3.4973671917608876E-2</v>
      </c>
      <c r="J764" s="232">
        <v>3.8799433272237352E-2</v>
      </c>
      <c r="K764" s="232">
        <v>5.6385432935178482E-2</v>
      </c>
      <c r="L764" s="232">
        <v>3.4731637837763805E-2</v>
      </c>
      <c r="M764" s="42">
        <v>6.8270808709434638E-2</v>
      </c>
      <c r="N764" s="42">
        <v>3.3998443626802863E-2</v>
      </c>
      <c r="O764" s="42">
        <v>3.9782609456418649E-2</v>
      </c>
      <c r="P764" s="42">
        <v>1.6479971393257204E-2</v>
      </c>
      <c r="Q764" s="42">
        <v>6.1489994286979349E-2</v>
      </c>
      <c r="R764" s="42">
        <v>-0.15277912256473239</v>
      </c>
      <c r="S764" s="42">
        <v>1.6430837835520108E-2</v>
      </c>
      <c r="T764" s="45">
        <v>2.7628624835476203E-2</v>
      </c>
      <c r="U764" s="42">
        <v>4.969477788037345E-2</v>
      </c>
      <c r="V764" s="42">
        <v>5.1980865945168854E-2</v>
      </c>
      <c r="W764" s="42">
        <v>5.961736892130285E-2</v>
      </c>
      <c r="X764" s="42">
        <v>3.46063553064637E-2</v>
      </c>
      <c r="Y764" s="45">
        <v>6.200532255973009E-2</v>
      </c>
      <c r="Z764" s="45">
        <v>3.4462160547718605E-2</v>
      </c>
      <c r="AA764" s="45">
        <v>0</v>
      </c>
      <c r="AB764" s="45">
        <v>5.1509743553692998E-2</v>
      </c>
      <c r="AC764" s="45">
        <v>3.4364861370034944E-2</v>
      </c>
      <c r="AD764" s="45">
        <v>5.0970902667426751E-2</v>
      </c>
      <c r="AE764" s="45">
        <v>3.8223979775328751E-2</v>
      </c>
      <c r="AF764" s="45">
        <v>-2.8790544884055348E-2</v>
      </c>
      <c r="AG764" s="45">
        <v>4.4516713948955899E-2</v>
      </c>
      <c r="AH764" s="45">
        <v>4.5567828603867926E-2</v>
      </c>
      <c r="AI764" s="45">
        <v>4.0282753511346081E-2</v>
      </c>
      <c r="AJ764" s="45">
        <v>3.4436976184548995E-2</v>
      </c>
      <c r="AK764" s="45">
        <v>4.6505084968013671E-2</v>
      </c>
      <c r="AL764" s="45">
        <v>5.1980993792917721E-2</v>
      </c>
      <c r="AM764" s="45">
        <v>4.8361823468827926E-2</v>
      </c>
      <c r="AN764" s="45">
        <v>5.7859209257473482E-2</v>
      </c>
      <c r="AO764" s="45">
        <v>5.765285457360584E-2</v>
      </c>
      <c r="AP764" s="45">
        <v>2.0242928908237333E-2</v>
      </c>
      <c r="AQ764" s="45">
        <v>3.0072954886499172E-2</v>
      </c>
      <c r="AR764" s="45">
        <v>0.10867190167292591</v>
      </c>
      <c r="AS764" s="45">
        <v>4.489391167392346E-2</v>
      </c>
      <c r="AT764" s="45">
        <v>5.637495902982629E-2</v>
      </c>
      <c r="AU764" s="45">
        <v>5.6204331391296915E-2</v>
      </c>
      <c r="AV764" s="45">
        <v>4.4637227682989118E-2</v>
      </c>
      <c r="AW764" s="43">
        <v>3.4987161832610268E-2</v>
      </c>
      <c r="AX764" s="42">
        <v>4.0870918953861322E-2</v>
      </c>
      <c r="AY764" s="42">
        <v>3.4119852148646802E-2</v>
      </c>
      <c r="AZ764" s="42">
        <v>3.453304518062985E-2</v>
      </c>
      <c r="BA764" s="42">
        <v>2.8458983784415259E-2</v>
      </c>
      <c r="BB764" s="42">
        <v>3.1710785289834571E-2</v>
      </c>
      <c r="BC764" s="42">
        <v>2.6133134788260109E-2</v>
      </c>
      <c r="BD764" s="42">
        <v>2.9119178411234684E-2</v>
      </c>
      <c r="BE764" s="42">
        <v>2.3997368951570345E-2</v>
      </c>
      <c r="BF764" s="42">
        <v>2.6739374114999707E-2</v>
      </c>
      <c r="BG764" s="42">
        <v>2.2036151470679836E-2</v>
      </c>
      <c r="BH764" s="42">
        <v>2.4554062548209094E-2</v>
      </c>
      <c r="BI764" s="42">
        <v>2.1082272746203189E-2</v>
      </c>
      <c r="BJ764" s="42">
        <v>2.2908106105583512E-2</v>
      </c>
      <c r="BK764" s="42">
        <v>1.8408615763730152E-2</v>
      </c>
      <c r="BL764" s="232">
        <v>1.7888805444589189E-2</v>
      </c>
      <c r="BM764" s="232">
        <v>1.6031162604592617E-2</v>
      </c>
      <c r="BN764" s="232">
        <v>1.7263369536789381E-2</v>
      </c>
      <c r="BO764" s="232">
        <v>1.8583433180459488E-2</v>
      </c>
      <c r="BP764" s="232">
        <v>2.0252089034796989E-2</v>
      </c>
      <c r="BQ764" s="232">
        <v>1.7934640855482246E-2</v>
      </c>
      <c r="BR764" s="42"/>
      <c r="BS764" s="232">
        <v>0</v>
      </c>
      <c r="BT764" s="232">
        <v>4.1067368445346739E-2</v>
      </c>
      <c r="BU764" s="232">
        <v>7.0148609677198812E-2</v>
      </c>
      <c r="BV764" s="232">
        <v>5.6490490574091855E-2</v>
      </c>
      <c r="BW764" s="232">
        <v>7.7350050415657859E-2</v>
      </c>
      <c r="BX764" s="232">
        <v>6.7134678298800446E-2</v>
      </c>
      <c r="BY764" s="232">
        <v>5.6788347830057304E-2</v>
      </c>
      <c r="BZ764" s="232">
        <v>-2.4086820203325057E-2</v>
      </c>
      <c r="CA764" s="232">
        <v>-0.29728894763764169</v>
      </c>
      <c r="CB764" s="232">
        <v>4.1925213228287905E-2</v>
      </c>
      <c r="CC764" s="42">
        <v>4.3225242594272489E-2</v>
      </c>
      <c r="CD764" s="42">
        <v>9.0359218268039165E-2</v>
      </c>
      <c r="CE764" s="42">
        <v>3.7707444124833414E-2</v>
      </c>
      <c r="CF764" s="42">
        <v>4.4643044696266482E-2</v>
      </c>
      <c r="CG764" s="42">
        <v>5.1155499651471897E-2</v>
      </c>
      <c r="CH764" s="42">
        <v>3.530856253387521E-2</v>
      </c>
      <c r="CI764" s="42">
        <v>4.3177072574694615E-2</v>
      </c>
      <c r="CJ764" s="42">
        <v>-4.5034966621241242E-2</v>
      </c>
      <c r="CK764" s="42">
        <v>4.0693592904174895E-2</v>
      </c>
      <c r="CL764" s="42">
        <v>5.5362916945392492E-2</v>
      </c>
      <c r="CM764" s="45">
        <v>4.7402801938310625E-2</v>
      </c>
      <c r="CN764" s="45">
        <v>1.5523003875011595E-2</v>
      </c>
      <c r="CO764" s="45">
        <v>4.2185571402726038E-2</v>
      </c>
      <c r="CP764" s="45">
        <v>4.4727804836793866E-2</v>
      </c>
      <c r="CQ764" s="45">
        <v>6.0599605697506621E-3</v>
      </c>
      <c r="CR764" s="45">
        <v>4.2835878786837867E-2</v>
      </c>
      <c r="CS764" s="45">
        <v>4.2253225726252348E-2</v>
      </c>
      <c r="CT764" s="45">
        <v>4.6911720323514386E-2</v>
      </c>
      <c r="CU764" s="45">
        <v>6.2123393720626967E-2</v>
      </c>
      <c r="CV764" s="45">
        <v>2.3361821525521291E-2</v>
      </c>
      <c r="CW764" s="45">
        <v>8.3567664621102947E-2</v>
      </c>
      <c r="CX764" s="45">
        <v>5.6946835260772252E-2</v>
      </c>
      <c r="CY764" s="43">
        <v>3.7094087216575131E-2</v>
      </c>
      <c r="CZ764" s="42">
        <v>3.6644816211090725E-2</v>
      </c>
      <c r="DA764" s="42">
        <v>3.0775412697100223E-2</v>
      </c>
      <c r="DB764" s="42">
        <v>2.826025041056035E-2</v>
      </c>
      <c r="DC764" s="42">
        <v>2.5950643168558631E-2</v>
      </c>
      <c r="DD764" s="42">
        <v>2.3829791706665406E-2</v>
      </c>
      <c r="DE764" s="42">
        <v>2.2305797503795331E-2</v>
      </c>
      <c r="DF764" s="42">
        <v>2.0180336999206523E-2</v>
      </c>
      <c r="DG764" s="232">
        <v>1.6586697942375533E-2</v>
      </c>
      <c r="DH764" s="232">
        <v>1.7563166260747987E-2</v>
      </c>
      <c r="DI764" s="232">
        <v>1.8670764174177411E-2</v>
      </c>
    </row>
    <row r="765" spans="1:113" outlineLevel="1">
      <c r="A765" s="1" t="s">
        <v>18</v>
      </c>
      <c r="B765" s="19" t="s">
        <v>714</v>
      </c>
      <c r="C765" s="232" t="e">
        <v>#VALUE!</v>
      </c>
      <c r="D765" s="232">
        <v>5.3880775177991884E-2</v>
      </c>
      <c r="E765" s="232">
        <v>6.6032836103766993E-2</v>
      </c>
      <c r="F765" s="232">
        <v>0.16029376105017573</v>
      </c>
      <c r="G765" s="232">
        <v>8.8056628265017242E-2</v>
      </c>
      <c r="H765" s="232">
        <v>6.1509536409350425E-2</v>
      </c>
      <c r="I765" s="232">
        <v>5.2421376495246759E-2</v>
      </c>
      <c r="J765" s="232">
        <v>5.5697866646643272E-2</v>
      </c>
      <c r="K765" s="232">
        <v>7.5064660057316906E-2</v>
      </c>
      <c r="L765" s="232">
        <v>4.8010737225577603E-2</v>
      </c>
      <c r="M765" s="42">
        <v>8.3302803141027962E-2</v>
      </c>
      <c r="N765" s="42">
        <v>4.5169360818466661E-2</v>
      </c>
      <c r="O765" s="42">
        <v>5.3741518024307704E-2</v>
      </c>
      <c r="P765" s="42">
        <v>2.6381280351631949E-2</v>
      </c>
      <c r="Q765" s="42">
        <v>8.1184263964687503E-2</v>
      </c>
      <c r="R765" s="42">
        <v>-0.13100012594485946</v>
      </c>
      <c r="S765" s="42">
        <v>3.1840444950812841E-2</v>
      </c>
      <c r="T765" s="45">
        <v>3.8956429422638522E-2</v>
      </c>
      <c r="U765" s="42">
        <v>6.7784135045215382E-2</v>
      </c>
      <c r="V765" s="42">
        <v>6.5380135381034862E-2</v>
      </c>
      <c r="W765" s="42">
        <v>7.819364232854327E-2</v>
      </c>
      <c r="X765" s="42">
        <v>4.9076889204880764E-2</v>
      </c>
      <c r="Y765" s="45">
        <v>8.11983526203469E-2</v>
      </c>
      <c r="Z765" s="45">
        <v>4.8138196891392197E-2</v>
      </c>
      <c r="AA765" s="45">
        <v>0</v>
      </c>
      <c r="AB765" s="45">
        <v>6.4755106181785482E-2</v>
      </c>
      <c r="AC765" s="45">
        <v>4.5986886328629017E-2</v>
      </c>
      <c r="AD765" s="45">
        <v>6.407770621047934E-2</v>
      </c>
      <c r="AE765" s="45">
        <v>5.0179707331321252E-2</v>
      </c>
      <c r="AF765" s="45">
        <v>-1.5843758160298916E-2</v>
      </c>
      <c r="AG765" s="45">
        <v>5.8197460186927716E-2</v>
      </c>
      <c r="AH765" s="45">
        <v>5.9416375397445653E-2</v>
      </c>
      <c r="AI765" s="45">
        <v>5.2650103850717861E-2</v>
      </c>
      <c r="AJ765" s="45">
        <v>4.9075501368772208E-2</v>
      </c>
      <c r="AK765" s="45">
        <v>6.0608170002776129E-2</v>
      </c>
      <c r="AL765" s="45">
        <v>6.8361756598498455E-2</v>
      </c>
      <c r="AM765" s="45">
        <v>6.0797720932240833E-2</v>
      </c>
      <c r="AN765" s="45">
        <v>7.2737291637966661E-2</v>
      </c>
      <c r="AO765" s="45">
        <v>7.2477874321104488E-2</v>
      </c>
      <c r="AP765" s="45">
        <v>2.638245177707536E-2</v>
      </c>
      <c r="AQ765" s="45">
        <v>3.7806000428741819E-2</v>
      </c>
      <c r="AR765" s="45">
        <v>0.11905477247232113</v>
      </c>
      <c r="AS765" s="45">
        <v>5.4868563746571793E-2</v>
      </c>
      <c r="AT765" s="45">
        <v>6.6935283143946395E-2</v>
      </c>
      <c r="AU765" s="45">
        <v>6.6998079327401441E-2</v>
      </c>
      <c r="AV765" s="45">
        <v>5.5692189225572571E-2</v>
      </c>
      <c r="AW765" s="43">
        <v>4.3674961061431331E-2</v>
      </c>
      <c r="AX765" s="42">
        <v>5.054914343476654E-2</v>
      </c>
      <c r="AY765" s="42">
        <v>4.2095496948347515E-2</v>
      </c>
      <c r="AZ765" s="42">
        <v>4.3412971084220389E-2</v>
      </c>
      <c r="BA765" s="42">
        <v>3.577700818612204E-2</v>
      </c>
      <c r="BB765" s="42">
        <v>3.9864987221506325E-2</v>
      </c>
      <c r="BC765" s="42">
        <v>3.285308373381271E-2</v>
      </c>
      <c r="BD765" s="42">
        <v>3.6606967145552179E-2</v>
      </c>
      <c r="BE765" s="42">
        <v>3.0168120967688433E-2</v>
      </c>
      <c r="BF765" s="42">
        <v>3.3615213173142491E-2</v>
      </c>
      <c r="BG765" s="42">
        <v>2.7702590420283224E-2</v>
      </c>
      <c r="BH765" s="42">
        <v>3.0867964346320009E-2</v>
      </c>
      <c r="BI765" s="42">
        <v>2.650342859522686E-2</v>
      </c>
      <c r="BJ765" s="42">
        <v>2.8798761961304983E-2</v>
      </c>
      <c r="BK765" s="42">
        <v>2.3142259817260757E-2</v>
      </c>
      <c r="BL765" s="232">
        <v>2.2488783987483555E-2</v>
      </c>
      <c r="BM765" s="232">
        <v>2.0153461560059292E-2</v>
      </c>
      <c r="BN765" s="232">
        <v>2.1702521703392364E-2</v>
      </c>
      <c r="BO765" s="232">
        <v>2.3362030284006213E-2</v>
      </c>
      <c r="BP765" s="232">
        <v>2.5459769072316212E-2</v>
      </c>
      <c r="BQ765" s="232">
        <v>2.2546405646891966E-2</v>
      </c>
      <c r="BR765" s="42"/>
      <c r="BS765" s="232">
        <v>0</v>
      </c>
      <c r="BT765" s="232">
        <v>5.7982266393738185E-2</v>
      </c>
      <c r="BU765" s="232">
        <v>9.7136558020364999E-2</v>
      </c>
      <c r="BV765" s="232">
        <v>7.9486443286414493E-2</v>
      </c>
      <c r="BW765" s="232">
        <v>0.11103099033716332</v>
      </c>
      <c r="BX765" s="232">
        <v>9.03217011995638E-2</v>
      </c>
      <c r="BY765" s="232">
        <v>7.8811668150583297E-2</v>
      </c>
      <c r="BZ765" s="232">
        <v>-3.8821495132174751E-3</v>
      </c>
      <c r="CA765" s="232">
        <v>-0.27636554814183689</v>
      </c>
      <c r="CB765" s="232">
        <v>5.6490583869793248E-2</v>
      </c>
      <c r="CC765" s="42">
        <v>5.7722697554261626E-2</v>
      </c>
      <c r="CD765" s="42">
        <v>0.11757227235055588</v>
      </c>
      <c r="CE765" s="42">
        <v>5.4012309141093208E-2</v>
      </c>
      <c r="CF765" s="42">
        <v>6.1138130606366053E-2</v>
      </c>
      <c r="CG765" s="42">
        <v>6.5140137204643206E-2</v>
      </c>
      <c r="CH765" s="42">
        <v>4.7357480925939943E-2</v>
      </c>
      <c r="CI765" s="42">
        <v>6.0407052907718445E-2</v>
      </c>
      <c r="CJ765" s="42">
        <v>-2.9363012774405166E-2</v>
      </c>
      <c r="CK765" s="42">
        <v>5.6223045644182179E-2</v>
      </c>
      <c r="CL765" s="42">
        <v>7.125008355585169E-2</v>
      </c>
      <c r="CM765" s="45">
        <v>6.3817178547972905E-2</v>
      </c>
      <c r="CN765" s="45">
        <v>2.1683185412779353E-2</v>
      </c>
      <c r="CO765" s="45">
        <v>5.4436131702518951E-2</v>
      </c>
      <c r="CP765" s="45">
        <v>5.7293118494770021E-2</v>
      </c>
      <c r="CQ765" s="45">
        <v>2.0343812957824999E-2</v>
      </c>
      <c r="CR765" s="45">
        <v>5.5916798159631305E-2</v>
      </c>
      <c r="CS765" s="45">
        <v>5.7370259014529267E-2</v>
      </c>
      <c r="CT765" s="45">
        <v>6.0290443412402667E-2</v>
      </c>
      <c r="CU765" s="45">
        <v>7.809798067735961E-2</v>
      </c>
      <c r="CV765" s="45">
        <v>2.9752964568224401E-2</v>
      </c>
      <c r="CW765" s="45">
        <v>9.4364949818462801E-2</v>
      </c>
      <c r="CX765" s="45">
        <v>6.7746585487147515E-2</v>
      </c>
      <c r="CY765" s="43">
        <v>4.6292294650089438E-2</v>
      </c>
      <c r="CZ765" s="42">
        <v>4.5270377924233864E-2</v>
      </c>
      <c r="DA765" s="42">
        <v>3.8689090247783137E-2</v>
      </c>
      <c r="DB765" s="42">
        <v>3.5527171944704436E-2</v>
      </c>
      <c r="DC765" s="42">
        <v>3.2623665697616565E-2</v>
      </c>
      <c r="DD765" s="42">
        <v>2.9957452431236507E-2</v>
      </c>
      <c r="DE765" s="42">
        <v>2.8041574004771277E-2</v>
      </c>
      <c r="DF765" s="42">
        <v>2.5369566513288203E-2</v>
      </c>
      <c r="DG765" s="232">
        <v>2.0851848841843525E-2</v>
      </c>
      <c r="DH765" s="232">
        <v>2.2079409013511759E-2</v>
      </c>
      <c r="DI765" s="232">
        <v>2.3471817818965887E-2</v>
      </c>
    </row>
    <row r="766" spans="1:113" outlineLevel="1">
      <c r="A766" s="1" t="s">
        <v>19</v>
      </c>
      <c r="B766" s="19" t="s">
        <v>715</v>
      </c>
      <c r="C766" s="232">
        <v>4.0647480672566703E-2</v>
      </c>
      <c r="D766" s="232">
        <v>4.7708301473212013E-2</v>
      </c>
      <c r="E766" s="232">
        <v>4.8951547564315127E-2</v>
      </c>
      <c r="F766" s="232">
        <v>5.2997172567548795E-2</v>
      </c>
      <c r="G766" s="232">
        <v>5.7069978437865154E-2</v>
      </c>
      <c r="H766" s="232">
        <v>4.7870897507067384E-2</v>
      </c>
      <c r="I766" s="232">
        <v>5.1573105980008749E-2</v>
      </c>
      <c r="J766" s="232">
        <v>6.453369900650309E-2</v>
      </c>
      <c r="K766" s="232">
        <v>5.4227800046987858E-2</v>
      </c>
      <c r="L766" s="232">
        <v>6.0466868446160935E-2</v>
      </c>
      <c r="M766" s="42">
        <v>5.4642020717807264E-2</v>
      </c>
      <c r="N766" s="42">
        <v>5.6628248425368392E-2</v>
      </c>
      <c r="O766" s="42">
        <v>4.7966068597705011E-2</v>
      </c>
      <c r="P766" s="42">
        <v>5.0879165014782735E-2</v>
      </c>
      <c r="Q766" s="42">
        <v>7.2247836761995032E-2</v>
      </c>
      <c r="R766" s="42">
        <v>6.4100402077143778E-2</v>
      </c>
      <c r="S766" s="42">
        <v>5.5570753794700278E-2</v>
      </c>
      <c r="T766" s="45">
        <v>5.1369911733247293E-2</v>
      </c>
      <c r="U766" s="42">
        <v>6.3557627774357917E-2</v>
      </c>
      <c r="V766" s="42">
        <v>6.5499361578139098E-2</v>
      </c>
      <c r="W766" s="42">
        <v>6.1884451775391938E-2</v>
      </c>
      <c r="X766" s="42">
        <v>6.5096728920001123E-2</v>
      </c>
      <c r="Y766" s="45">
        <v>5.8950356483018128E-2</v>
      </c>
      <c r="Z766" s="45">
        <v>5.4614328922982909E-2</v>
      </c>
      <c r="AA766" s="45">
        <v>5.2271793005198415E-2</v>
      </c>
      <c r="AB766" s="45">
        <v>4.9134136229211971E-2</v>
      </c>
      <c r="AC766" s="45">
        <v>4.914952713460486E-2</v>
      </c>
      <c r="AD766" s="45">
        <v>4.800015576846315E-2</v>
      </c>
      <c r="AE766" s="45">
        <v>4.5750068474370749E-2</v>
      </c>
      <c r="AF766" s="45">
        <v>4.4667875423618865E-2</v>
      </c>
      <c r="AG766" s="45">
        <v>4.7842202175276412E-2</v>
      </c>
      <c r="AH766" s="45">
        <v>4.358892331225786E-2</v>
      </c>
      <c r="AI766" s="45">
        <v>4.1956555218650361E-2</v>
      </c>
      <c r="AJ766" s="45">
        <v>3.9294046280320134E-2</v>
      </c>
      <c r="AK766" s="45">
        <v>3.7411081323028984E-2</v>
      </c>
      <c r="AL766" s="45">
        <v>4.1418499049524375E-2</v>
      </c>
      <c r="AM766" s="45">
        <v>2.4676773303905362E-2</v>
      </c>
      <c r="AN766" s="45">
        <v>3.4533743776668263E-2</v>
      </c>
      <c r="AO766" s="45">
        <v>1.6077954476719725E-2</v>
      </c>
      <c r="AP766" s="45">
        <v>2.701093131922383E-2</v>
      </c>
      <c r="AQ766" s="45">
        <v>3.2685199563043693E-2</v>
      </c>
      <c r="AR766" s="45">
        <v>3.145449641515876E-2</v>
      </c>
      <c r="AS766" s="45">
        <v>3.5814531654038709E-2</v>
      </c>
      <c r="AT766" s="45">
        <v>3.5209669536016376E-2</v>
      </c>
      <c r="AU766" s="45">
        <v>3.3533615913591164E-2</v>
      </c>
      <c r="AV766" s="45">
        <v>3.1834522733247411E-2</v>
      </c>
      <c r="AW766" s="43">
        <v>2.5900406528671968E-2</v>
      </c>
      <c r="AX766" s="42">
        <v>2.5513778791779806E-2</v>
      </c>
      <c r="AY766" s="42">
        <v>2.3050143515723907E-2</v>
      </c>
      <c r="AZ766" s="42">
        <v>2.2953651050246243E-2</v>
      </c>
      <c r="BA766" s="42">
        <v>2.1061961209509518E-2</v>
      </c>
      <c r="BB766" s="42">
        <v>2.0754981944927666E-2</v>
      </c>
      <c r="BC766" s="42">
        <v>1.9113163770386701E-2</v>
      </c>
      <c r="BD766" s="42">
        <v>1.9177405478744226E-2</v>
      </c>
      <c r="BE766" s="42">
        <v>1.8066113435689878E-2</v>
      </c>
      <c r="BF766" s="42">
        <v>1.7968251889206498E-2</v>
      </c>
      <c r="BG766" s="42">
        <v>1.6495991549288231E-2</v>
      </c>
      <c r="BH766" s="42">
        <v>1.6708370731955514E-2</v>
      </c>
      <c r="BI766" s="42">
        <v>1.5610637502686698E-2</v>
      </c>
      <c r="BJ766" s="42">
        <v>1.1468564279081257E-2</v>
      </c>
      <c r="BK766" s="42">
        <v>6.7986129611489268E-3</v>
      </c>
      <c r="BL766" s="232">
        <v>7.4294975454987644E-3</v>
      </c>
      <c r="BM766" s="232">
        <v>1.0428818253543842E-2</v>
      </c>
      <c r="BN766" s="232">
        <v>1.3104959075699278E-2</v>
      </c>
      <c r="BO766" s="232">
        <v>1.2339113062860093E-2</v>
      </c>
      <c r="BP766" s="232">
        <v>1.2703527300191459E-2</v>
      </c>
      <c r="BQ766" s="232">
        <v>1.1969106977091241E-2</v>
      </c>
      <c r="BR766" s="42"/>
      <c r="BS766" s="232">
        <v>4.6354098794842938E-2</v>
      </c>
      <c r="BT766" s="232">
        <v>5.9579844952346875E-2</v>
      </c>
      <c r="BU766" s="232">
        <v>7.9557493338930127E-2</v>
      </c>
      <c r="BV766" s="232">
        <v>0.10094444676438244</v>
      </c>
      <c r="BW766" s="232">
        <v>9.5159110237634348E-2</v>
      </c>
      <c r="BX766" s="232">
        <v>7.3341330425299889E-2</v>
      </c>
      <c r="BY766" s="232">
        <v>6.3245553957491485E-2</v>
      </c>
      <c r="BZ766" s="232">
        <v>5.6960081814450739E-2</v>
      </c>
      <c r="CA766" s="232">
        <v>5.5360648386766249E-2</v>
      </c>
      <c r="CB766" s="232">
        <v>4.5927955564851609E-2</v>
      </c>
      <c r="CC766" s="42">
        <v>5.305781965995008E-2</v>
      </c>
      <c r="CD766" s="42">
        <v>6.0618805781763624E-2</v>
      </c>
      <c r="CE766" s="42">
        <v>5.5115868934864587E-2</v>
      </c>
      <c r="CF766" s="42">
        <v>6.1916414606973252E-2</v>
      </c>
      <c r="CG766" s="42">
        <v>6.388039048647294E-2</v>
      </c>
      <c r="CH766" s="42">
        <v>5.6207193869449251E-2</v>
      </c>
      <c r="CI766" s="42">
        <v>8.1474049373112409E-2</v>
      </c>
      <c r="CJ766" s="42">
        <v>6.2573867446392664E-2</v>
      </c>
      <c r="CK766" s="42">
        <v>7.1529256087828022E-2</v>
      </c>
      <c r="CL766" s="42">
        <v>7.2313927156089766E-2</v>
      </c>
      <c r="CM766" s="45">
        <v>7.2628169285403402E-2</v>
      </c>
      <c r="CN766" s="45">
        <v>6.0219982990508181E-2</v>
      </c>
      <c r="CO766" s="45">
        <v>5.7510327089919266E-2</v>
      </c>
      <c r="CP766" s="45">
        <v>5.6209398283533676E-2</v>
      </c>
      <c r="CQ766" s="45">
        <v>6.2079506841520755E-2</v>
      </c>
      <c r="CR766" s="45">
        <v>5.4963587690848442E-2</v>
      </c>
      <c r="CS766" s="45">
        <v>5.4898790602549534E-2</v>
      </c>
      <c r="CT766" s="45">
        <v>4.3227457953882865E-2</v>
      </c>
      <c r="CU766" s="45">
        <v>4.3273991608415295E-2</v>
      </c>
      <c r="CV766" s="45">
        <v>3.8221025560218683E-2</v>
      </c>
      <c r="CW766" s="45">
        <v>4.8214633323900975E-2</v>
      </c>
      <c r="CX766" s="45">
        <v>4.7285555036903314E-2</v>
      </c>
      <c r="CY766" s="43">
        <v>3.6501781220059024E-2</v>
      </c>
      <c r="CZ766" s="42">
        <v>3.2798523932196191E-2</v>
      </c>
      <c r="DA766" s="42">
        <v>3.0150380816349708E-2</v>
      </c>
      <c r="DB766" s="42">
        <v>2.7667006115721912E-2</v>
      </c>
      <c r="DC766" s="42">
        <v>2.5993786845310937E-2</v>
      </c>
      <c r="DD766" s="42">
        <v>2.4255515970580902E-2</v>
      </c>
      <c r="DE766" s="42">
        <v>2.2854192342882784E-2</v>
      </c>
      <c r="DF766" s="42">
        <v>1.5781214280280974E-2</v>
      </c>
      <c r="DG766" s="232">
        <v>1.5351596312758257E-2</v>
      </c>
      <c r="DH766" s="232">
        <v>1.8566193324517991E-2</v>
      </c>
      <c r="DI766" s="232">
        <v>1.7914436602919342E-2</v>
      </c>
    </row>
    <row r="767" spans="1:113" outlineLevel="1">
      <c r="A767" s="1" t="s">
        <v>27</v>
      </c>
      <c r="B767" s="19" t="s">
        <v>583</v>
      </c>
      <c r="C767" s="232">
        <v>6.3274926433248183E-2</v>
      </c>
      <c r="D767" s="232">
        <v>6.702099673024127E-2</v>
      </c>
      <c r="E767" s="232">
        <v>7.0295523964471307E-2</v>
      </c>
      <c r="F767" s="232">
        <v>7.4805010747068398E-2</v>
      </c>
      <c r="G767" s="232">
        <v>8.1725525936052243E-2</v>
      </c>
      <c r="H767" s="232">
        <v>7.0863863793751841E-2</v>
      </c>
      <c r="I767" s="232">
        <v>7.8934326711395233E-2</v>
      </c>
      <c r="J767" s="232">
        <v>8.7223559753043994E-2</v>
      </c>
      <c r="K767" s="232">
        <v>7.9524242734734893E-2</v>
      </c>
      <c r="L767" s="232">
        <v>7.9313986240647144E-2</v>
      </c>
      <c r="M767" s="42">
        <v>7.9732894716584901E-2</v>
      </c>
      <c r="N767" s="42">
        <v>7.5163876096000115E-2</v>
      </c>
      <c r="O767" s="42">
        <v>7.1081776419295181E-2</v>
      </c>
      <c r="P767" s="42">
        <v>6.7267852469460043E-2</v>
      </c>
      <c r="Q767" s="42">
        <v>0.10489480144779467</v>
      </c>
      <c r="R767" s="42">
        <v>9.7614984380653427E-2</v>
      </c>
      <c r="S767" s="42">
        <v>8.084547906942556E-2</v>
      </c>
      <c r="T767" s="45">
        <v>7.0122353457430134E-2</v>
      </c>
      <c r="U767" s="42">
        <v>9.3515334541275211E-2</v>
      </c>
      <c r="V767" s="42">
        <v>8.7784738206631741E-2</v>
      </c>
      <c r="W767" s="42">
        <v>9.2695705531196354E-2</v>
      </c>
      <c r="X767" s="42">
        <v>8.8954626406504866E-2</v>
      </c>
      <c r="Y767" s="45">
        <v>9.0750195062517719E-2</v>
      </c>
      <c r="Z767" s="45">
        <v>7.7221506242286311E-2</v>
      </c>
      <c r="AA767" s="45">
        <v>7.705186982343655E-2</v>
      </c>
      <c r="AB767" s="45">
        <v>6.929572271470591E-2</v>
      </c>
      <c r="AC767" s="45">
        <v>7.2252536884498883E-2</v>
      </c>
      <c r="AD767" s="45">
        <v>6.781501691432254E-2</v>
      </c>
      <c r="AE767" s="45">
        <v>6.8102437120642831E-2</v>
      </c>
      <c r="AF767" s="45">
        <v>6.4510537146322669E-2</v>
      </c>
      <c r="AG767" s="45">
        <v>7.3428556119839311E-2</v>
      </c>
      <c r="AH767" s="45">
        <v>6.4286827519444922E-2</v>
      </c>
      <c r="AI767" s="45">
        <v>6.5791987106312927E-2</v>
      </c>
      <c r="AJ767" s="45">
        <v>6.0631931695875448E-2</v>
      </c>
      <c r="AK767" s="45">
        <v>6.4582756909690162E-2</v>
      </c>
      <c r="AL767" s="45">
        <v>6.5099749419543912E-2</v>
      </c>
      <c r="AM767" s="45">
        <v>4.8595594275154447E-2</v>
      </c>
      <c r="AN767" s="45">
        <v>5.5989134443573327E-2</v>
      </c>
      <c r="AO767" s="45">
        <v>2.8178213767990255E-2</v>
      </c>
      <c r="AP767" s="45">
        <v>4.2669368607182491E-2</v>
      </c>
      <c r="AQ767" s="45">
        <v>4.9850371429327009E-2</v>
      </c>
      <c r="AR767" s="45">
        <v>4.6305981563673611E-2</v>
      </c>
      <c r="AS767" s="45">
        <v>5.5730442253728904E-2</v>
      </c>
      <c r="AT767" s="45">
        <v>5.2753529185139189E-2</v>
      </c>
      <c r="AU767" s="45">
        <v>5.4049651189774055E-2</v>
      </c>
      <c r="AV767" s="45">
        <v>4.8318039216763892E-2</v>
      </c>
      <c r="AW767" s="43">
        <v>4.2722962211331282E-2</v>
      </c>
      <c r="AX767" s="42">
        <v>3.9377393682416918E-2</v>
      </c>
      <c r="AY767" s="42">
        <v>3.849785304984632E-2</v>
      </c>
      <c r="AZ767" s="42">
        <v>3.5684243236322556E-2</v>
      </c>
      <c r="BA767" s="42">
        <v>3.524718575874957E-2</v>
      </c>
      <c r="BB767" s="42">
        <v>3.2445149241600128E-2</v>
      </c>
      <c r="BC767" s="42">
        <v>3.2139081630111262E-2</v>
      </c>
      <c r="BD767" s="42">
        <v>2.9912178019306634E-2</v>
      </c>
      <c r="BE767" s="42">
        <v>3.0027470515326758E-2</v>
      </c>
      <c r="BF767" s="42">
        <v>2.7825710604139842E-2</v>
      </c>
      <c r="BG767" s="42">
        <v>2.7479790520488302E-2</v>
      </c>
      <c r="BH767" s="42">
        <v>2.6139129704962828E-2</v>
      </c>
      <c r="BI767" s="42">
        <v>2.5858148755890806E-2</v>
      </c>
      <c r="BJ767" s="42">
        <v>1.9703312988786088E-2</v>
      </c>
      <c r="BK767" s="42">
        <v>1.4800834282060573E-2</v>
      </c>
      <c r="BL767" s="232">
        <v>1.4600737212162743E-2</v>
      </c>
      <c r="BM767" s="232">
        <v>1.8151262561297062E-2</v>
      </c>
      <c r="BN767" s="232">
        <v>2.1417909075241569E-2</v>
      </c>
      <c r="BO767" s="232">
        <v>2.1398504936131994E-2</v>
      </c>
      <c r="BP767" s="232">
        <v>2.0726252231779475E-2</v>
      </c>
      <c r="BQ767" s="232">
        <v>2.0718400923919807E-2</v>
      </c>
      <c r="BR767" s="42"/>
      <c r="BS767" s="232">
        <v>7.3870149824610307E-2</v>
      </c>
      <c r="BT767" s="232">
        <v>8.3387610131514911E-2</v>
      </c>
      <c r="BU767" s="232">
        <v>0.11759126271598308</v>
      </c>
      <c r="BV767" s="232">
        <v>0.14423282800928333</v>
      </c>
      <c r="BW767" s="232">
        <v>0.14355777180551196</v>
      </c>
      <c r="BX767" s="232">
        <v>0.10920070542529987</v>
      </c>
      <c r="BY767" s="232">
        <v>9.4296509371504231E-2</v>
      </c>
      <c r="BZ767" s="232">
        <v>8.3857171211540127E-2</v>
      </c>
      <c r="CA767" s="232">
        <v>8.1769099090991587E-2</v>
      </c>
      <c r="CB767" s="232">
        <v>6.64435063878695E-2</v>
      </c>
      <c r="CC767" s="42">
        <v>7.2579749294239257E-2</v>
      </c>
      <c r="CD767" s="42">
        <v>8.2953831162474276E-2</v>
      </c>
      <c r="CE767" s="42">
        <v>7.9188481405267117E-2</v>
      </c>
      <c r="CF767" s="42">
        <v>8.4163732506465055E-2</v>
      </c>
      <c r="CG767" s="42">
        <v>8.5497143470035203E-2</v>
      </c>
      <c r="CH767" s="42">
        <v>7.6064983139003228E-2</v>
      </c>
      <c r="CI767" s="42">
        <v>0.10985343697580098</v>
      </c>
      <c r="CJ767" s="42">
        <v>8.7628812501337722E-2</v>
      </c>
      <c r="CK767" s="42">
        <v>9.7081417741963369E-2</v>
      </c>
      <c r="CL767" s="42">
        <v>9.853627077805098E-2</v>
      </c>
      <c r="CM767" s="45">
        <v>9.9585392852796467E-2</v>
      </c>
      <c r="CN767" s="45">
        <v>8.2769852895104898E-2</v>
      </c>
      <c r="CO767" s="45">
        <v>7.8758737433285098E-2</v>
      </c>
      <c r="CP767" s="45">
        <v>7.7353530786764033E-2</v>
      </c>
      <c r="CQ767" s="45">
        <v>8.62828146269181E-2</v>
      </c>
      <c r="CR767" s="45">
        <v>7.7192718733907678E-2</v>
      </c>
      <c r="CS767" s="45">
        <v>8.024725851997587E-2</v>
      </c>
      <c r="CT767" s="45">
        <v>6.5541336392429109E-2</v>
      </c>
      <c r="CU767" s="45">
        <v>6.1671324612489871E-2</v>
      </c>
      <c r="CV767" s="45">
        <v>5.3240550943216579E-2</v>
      </c>
      <c r="CW767" s="45">
        <v>6.6470884706950326E-2</v>
      </c>
      <c r="CX767" s="45">
        <v>6.6519338108324763E-2</v>
      </c>
      <c r="CY767" s="43">
        <v>5.2146758004932181E-2</v>
      </c>
      <c r="CZ767" s="42">
        <v>4.716489379893004E-2</v>
      </c>
      <c r="DA767" s="42">
        <v>4.3342639647142953E-2</v>
      </c>
      <c r="DB767" s="42">
        <v>3.9781109725265752E-2</v>
      </c>
      <c r="DC767" s="42">
        <v>3.7117848929373233E-2</v>
      </c>
      <c r="DD767" s="42">
        <v>3.4470449013796971E-2</v>
      </c>
      <c r="DE767" s="42">
        <v>3.249653560869295E-2</v>
      </c>
      <c r="DF767" s="42">
        <v>2.3727864619797399E-2</v>
      </c>
      <c r="DG767" s="232">
        <v>2.2648795889908327E-2</v>
      </c>
      <c r="DH767" s="232">
        <v>2.7078897757161415E-2</v>
      </c>
      <c r="DI767" s="232">
        <v>2.613303567100585E-2</v>
      </c>
    </row>
    <row r="768" spans="1:113" s="112" customFormat="1" outlineLevel="1">
      <c r="A768" s="1" t="s">
        <v>972</v>
      </c>
      <c r="B768" s="112" t="s">
        <v>584</v>
      </c>
      <c r="C768" s="110">
        <v>2.399363367686095</v>
      </c>
      <c r="D768" s="110">
        <v>2.0958676930092031</v>
      </c>
      <c r="E768" s="110">
        <v>2.2492885833064382</v>
      </c>
      <c r="F768" s="110">
        <v>1.7784644572379158</v>
      </c>
      <c r="G768" s="110">
        <v>1.9156709560247196</v>
      </c>
      <c r="H768" s="110">
        <v>1.9038392385502643</v>
      </c>
      <c r="I768" s="110">
        <v>2.04424509803723</v>
      </c>
      <c r="J768" s="110">
        <v>2.2981155467655485</v>
      </c>
      <c r="K768" s="110">
        <v>2.6130192926427886</v>
      </c>
      <c r="L768" s="110">
        <v>2.9957611847264523</v>
      </c>
      <c r="M768" s="110">
        <v>2.8635809714862286</v>
      </c>
      <c r="N768" s="110">
        <v>3.0337492305969573</v>
      </c>
      <c r="O768" s="110">
        <v>3.1251785988779193</v>
      </c>
      <c r="P768" s="110">
        <v>3.2153700393418227</v>
      </c>
      <c r="Q768" s="110">
        <v>2.1584553212759321</v>
      </c>
      <c r="R768" s="110">
        <v>1.490331393886922</v>
      </c>
      <c r="S768" s="110">
        <v>1.9755608741953774</v>
      </c>
      <c r="T768" s="110">
        <v>2.6197241103788564</v>
      </c>
      <c r="U768" s="110">
        <v>2.2085899458003988</v>
      </c>
      <c r="V768" s="110">
        <v>2.3206637592805288</v>
      </c>
      <c r="W768" s="110">
        <v>2.2757322127638191</v>
      </c>
      <c r="X768" s="110">
        <v>2.0805878632233745</v>
      </c>
      <c r="Y768" s="110">
        <v>2.1082095361328617</v>
      </c>
      <c r="Z768" s="110">
        <v>2.3893513072421619</v>
      </c>
      <c r="AA768" s="110">
        <v>2.5309947572683327</v>
      </c>
      <c r="AB768" s="110">
        <v>2.7525920723409856</v>
      </c>
      <c r="AC768" s="110">
        <v>2.7386881684491975</v>
      </c>
      <c r="AD768" s="110">
        <v>2.8033347255753394</v>
      </c>
      <c r="AE768" s="110">
        <v>2.6915179056940888</v>
      </c>
      <c r="AF768" s="110">
        <v>2.471413297242429</v>
      </c>
      <c r="AG768" s="110">
        <v>2.1252466091245377</v>
      </c>
      <c r="AH768" s="110">
        <v>2.3199482068458459</v>
      </c>
      <c r="AI768" s="110">
        <v>2.2671404125867478</v>
      </c>
      <c r="AJ768" s="110">
        <v>2.1489543311411876</v>
      </c>
      <c r="AK768" s="110">
        <v>1.9054943095712122</v>
      </c>
      <c r="AL768" s="110">
        <v>1.8838315018262404</v>
      </c>
      <c r="AM768" s="110">
        <v>2.105647417729402</v>
      </c>
      <c r="AN768" s="110">
        <v>1.9892849231990664</v>
      </c>
      <c r="AO768" s="110">
        <v>1.708395681758581</v>
      </c>
      <c r="AP768" s="110">
        <v>1.9444844987666021</v>
      </c>
      <c r="AQ768" s="110">
        <v>2.2509497600993482</v>
      </c>
      <c r="AR768" s="110">
        <v>2.3084673029414131</v>
      </c>
      <c r="AS768" s="110">
        <v>2.1114747591652132</v>
      </c>
      <c r="AT768" s="110">
        <v>2.388145437417629</v>
      </c>
      <c r="AU768" s="110">
        <v>2.3147048351976895</v>
      </c>
      <c r="AV768" s="110">
        <v>2.5683894832962624</v>
      </c>
      <c r="AW768" s="111">
        <v>2.9143341190345224</v>
      </c>
      <c r="AX768" s="110">
        <v>3.0166395195912448</v>
      </c>
      <c r="AY768" s="110">
        <v>3.1134822862337459</v>
      </c>
      <c r="AZ768" s="110">
        <v>3.2265577289831087</v>
      </c>
      <c r="BA768" s="110">
        <v>3.3230510603074861</v>
      </c>
      <c r="BB768" s="110">
        <v>3.4436817428559623</v>
      </c>
      <c r="BC768" s="110">
        <v>3.5381354924018757</v>
      </c>
      <c r="BD768" s="110">
        <v>3.6554985642399029</v>
      </c>
      <c r="BE768" s="110">
        <v>3.749632121447942</v>
      </c>
      <c r="BF768" s="110">
        <v>3.868246745308392</v>
      </c>
      <c r="BG768" s="110">
        <v>3.9662989527268184</v>
      </c>
      <c r="BH768" s="110">
        <v>4.0869923168098303</v>
      </c>
      <c r="BI768" s="110">
        <v>4.1916674908438463</v>
      </c>
      <c r="BJ768" s="110">
        <v>4.3524231832904556</v>
      </c>
      <c r="BK768" s="110">
        <v>4.5132175582214273</v>
      </c>
      <c r="BL768" s="110">
        <v>4.6737933852485414</v>
      </c>
      <c r="BM768" s="110">
        <v>4.790155086089559</v>
      </c>
      <c r="BN768" s="110">
        <v>4.8934499018369175</v>
      </c>
      <c r="BO768" s="110">
        <v>5.0265411248501621</v>
      </c>
      <c r="BP768" s="110">
        <v>5.1822836663289236</v>
      </c>
      <c r="BQ768" s="110">
        <v>5.3222862549167642</v>
      </c>
      <c r="BR768" s="110"/>
      <c r="BS768" s="110">
        <v>1.1050761353609944</v>
      </c>
      <c r="BT768" s="110">
        <v>1.3659014271081222</v>
      </c>
      <c r="BU768" s="110">
        <v>1.1787595686308694</v>
      </c>
      <c r="BV768" s="110">
        <v>1.3482358723139931</v>
      </c>
      <c r="BW768" s="110">
        <v>1.4408371711627261</v>
      </c>
      <c r="BX768" s="110">
        <v>2.1739462109260881</v>
      </c>
      <c r="BY768" s="110">
        <v>2.5898214961501789</v>
      </c>
      <c r="BZ768" s="110">
        <v>3.2708307989977725</v>
      </c>
      <c r="CA768" s="110">
        <v>1.9971950990625003</v>
      </c>
      <c r="CB768" s="110">
        <v>2.399363367686095</v>
      </c>
      <c r="CC768" s="110">
        <v>2.2492885833064382</v>
      </c>
      <c r="CD768" s="110">
        <v>1.9156709560247196</v>
      </c>
      <c r="CE768" s="110">
        <v>2.04424509803723</v>
      </c>
      <c r="CF768" s="110">
        <v>2.6130192926427886</v>
      </c>
      <c r="CG768" s="110">
        <v>2.8635809714862286</v>
      </c>
      <c r="CH768" s="110">
        <v>3.1251785988779193</v>
      </c>
      <c r="CI768" s="110">
        <v>2.1584553212759321</v>
      </c>
      <c r="CJ768" s="110">
        <v>1.9755608741953774</v>
      </c>
      <c r="CK768" s="110">
        <v>2.2085899458003988</v>
      </c>
      <c r="CL768" s="110">
        <v>2.2757322127638191</v>
      </c>
      <c r="CM768" s="110">
        <v>2.1082095361328617</v>
      </c>
      <c r="CN768" s="110">
        <v>2.5309947572683327</v>
      </c>
      <c r="CO768" s="110">
        <v>2.7386881684491975</v>
      </c>
      <c r="CP768" s="110">
        <v>2.6915179056940888</v>
      </c>
      <c r="CQ768" s="110">
        <v>2.1252466091245377</v>
      </c>
      <c r="CR768" s="110">
        <v>2.2579670120733906</v>
      </c>
      <c r="CS768" s="110">
        <v>1.8730142929307938</v>
      </c>
      <c r="CT768" s="110">
        <v>2.105647417729402</v>
      </c>
      <c r="CU768" s="110">
        <v>1.708395681758581</v>
      </c>
      <c r="CV768" s="110">
        <v>2.2509497600993482</v>
      </c>
      <c r="CW768" s="110">
        <v>2.1114747591652132</v>
      </c>
      <c r="CX768" s="110">
        <v>2.3147048351976895</v>
      </c>
      <c r="CY768" s="111">
        <v>2.9143341190345224</v>
      </c>
      <c r="CZ768" s="110">
        <v>3.1134822862337463</v>
      </c>
      <c r="DA768" s="110">
        <v>3.3230510603074865</v>
      </c>
      <c r="DB768" s="110">
        <v>3.5381354924018757</v>
      </c>
      <c r="DC768" s="110">
        <v>3.749632121447942</v>
      </c>
      <c r="DD768" s="110">
        <v>3.9662989527268184</v>
      </c>
      <c r="DE768" s="110">
        <v>4.1916674908438463</v>
      </c>
      <c r="DF768" s="110">
        <v>4.5132175582214273</v>
      </c>
      <c r="DG768" s="110">
        <v>4.7901550860895581</v>
      </c>
      <c r="DH768" s="110">
        <v>5.0265411248501612</v>
      </c>
      <c r="DI768" s="110">
        <v>5.3222862549167633</v>
      </c>
    </row>
    <row r="769" spans="1:113" s="112" customFormat="1" outlineLevel="1">
      <c r="A769" s="1" t="s">
        <v>973</v>
      </c>
      <c r="B769" s="112" t="s">
        <v>585</v>
      </c>
      <c r="C769" s="110">
        <v>3.5432133267931603</v>
      </c>
      <c r="D769" s="110">
        <v>3.0282971360541495</v>
      </c>
      <c r="E769" s="110">
        <v>3.1855080669850215</v>
      </c>
      <c r="F769" s="110">
        <v>2.4361968158050877</v>
      </c>
      <c r="G769" s="110">
        <v>2.5889942183848196</v>
      </c>
      <c r="H769" s="110">
        <v>2.5367617504371585</v>
      </c>
      <c r="I769" s="110">
        <v>2.667183775904145</v>
      </c>
      <c r="J769" s="110">
        <v>3.9620455847423477</v>
      </c>
      <c r="K769" s="110">
        <v>4.3692878351978424</v>
      </c>
      <c r="L769" s="110">
        <v>5.0836154175664454</v>
      </c>
      <c r="M769" s="110">
        <v>4.6259992699488475</v>
      </c>
      <c r="N769" s="110">
        <v>4.7418530429953183</v>
      </c>
      <c r="O769" s="110">
        <v>4.6494488207052731</v>
      </c>
      <c r="P769" s="110">
        <v>4.7740083795715424</v>
      </c>
      <c r="Q769" s="110">
        <v>3.1755992446551415</v>
      </c>
      <c r="R769" s="110">
        <v>2.0625625466285049</v>
      </c>
      <c r="S769" s="110">
        <v>2.7664864644808742</v>
      </c>
      <c r="T769" s="110">
        <v>3.5658219321059321</v>
      </c>
      <c r="U769" s="110">
        <v>2.938239561251268</v>
      </c>
      <c r="V769" s="110">
        <v>3.0833599493012858</v>
      </c>
      <c r="W769" s="110">
        <v>2.9627363473577089</v>
      </c>
      <c r="X769" s="110">
        <v>2.696647175783383</v>
      </c>
      <c r="Y769" s="110">
        <v>2.682129971066908</v>
      </c>
      <c r="Z769" s="110">
        <v>3.0009856845234242</v>
      </c>
      <c r="AA769" s="110">
        <v>3.1359680548915954</v>
      </c>
      <c r="AB769" s="110">
        <v>3.3381314878892732</v>
      </c>
      <c r="AC769" s="110">
        <v>3.2830790804827963</v>
      </c>
      <c r="AD769" s="110">
        <v>3.3353986877576021</v>
      </c>
      <c r="AE769" s="110">
        <v>3.1779055742817182</v>
      </c>
      <c r="AF769" s="110">
        <v>2.849053924914676</v>
      </c>
      <c r="AG769" s="110">
        <v>2.4594961240310078</v>
      </c>
      <c r="AH769" s="110">
        <v>2.6739563481601447</v>
      </c>
      <c r="AI769" s="110">
        <v>2.6004707036929338</v>
      </c>
      <c r="AJ769" s="110">
        <v>2.4160022644228296</v>
      </c>
      <c r="AK769" s="110">
        <v>2.1362738402598485</v>
      </c>
      <c r="AL769" s="110">
        <v>2.0787664716563929</v>
      </c>
      <c r="AM769" s="110">
        <v>2.3135161489313401</v>
      </c>
      <c r="AN769" s="110">
        <v>2.183052223446158</v>
      </c>
      <c r="AO769" s="110">
        <v>1.8524831405218731</v>
      </c>
      <c r="AP769" s="110">
        <v>2.0999445894434117</v>
      </c>
      <c r="AQ769" s="110">
        <v>2.4205443928345041</v>
      </c>
      <c r="AR769" s="110">
        <v>2.4916228408703196</v>
      </c>
      <c r="AS769" s="110">
        <v>2.2836084096978153</v>
      </c>
      <c r="AT769" s="110">
        <v>2.5838063053083746</v>
      </c>
      <c r="AU769" s="110">
        <v>2.5039005522998345</v>
      </c>
      <c r="AV769" s="110">
        <v>2.7771504865927343</v>
      </c>
      <c r="AW769" s="111">
        <v>3.1501550083032601</v>
      </c>
      <c r="AX769" s="110">
        <v>3.259036341930202</v>
      </c>
      <c r="AY769" s="110">
        <v>3.361121483000753</v>
      </c>
      <c r="AZ769" s="110">
        <v>3.4812713397866824</v>
      </c>
      <c r="BA769" s="110">
        <v>3.5816848621611297</v>
      </c>
      <c r="BB769" s="110">
        <v>3.709698226683952</v>
      </c>
      <c r="BC769" s="110">
        <v>3.8069046817223433</v>
      </c>
      <c r="BD769" s="110">
        <v>3.930213205690213</v>
      </c>
      <c r="BE769" s="110">
        <v>4.0262597741271433</v>
      </c>
      <c r="BF769" s="110">
        <v>4.1501284617520389</v>
      </c>
      <c r="BG769" s="110">
        <v>4.2499235007241367</v>
      </c>
      <c r="BH769" s="110">
        <v>4.3753133330950895</v>
      </c>
      <c r="BI769" s="110">
        <v>4.4819373805296463</v>
      </c>
      <c r="BJ769" s="110">
        <v>4.6522198383345312</v>
      </c>
      <c r="BK769" s="110">
        <v>4.821986613237927</v>
      </c>
      <c r="BL769" s="110">
        <v>4.9909394835975744</v>
      </c>
      <c r="BM769" s="110">
        <v>5.1089996890085887</v>
      </c>
      <c r="BN769" s="110">
        <v>5.2118605736868417</v>
      </c>
      <c r="BO769" s="110">
        <v>5.3481583001445827</v>
      </c>
      <c r="BP769" s="110">
        <v>5.509620331837886</v>
      </c>
      <c r="BQ769" s="110">
        <v>5.6528082316916795</v>
      </c>
      <c r="BR769" s="110"/>
      <c r="BS769" s="110">
        <v>1.1050761353609944</v>
      </c>
      <c r="BT769" s="110">
        <v>1.3659014271081222</v>
      </c>
      <c r="BU769" s="110">
        <v>1.1787595686308694</v>
      </c>
      <c r="BV769" s="110">
        <v>1.3482358723139931</v>
      </c>
      <c r="BW769" s="110">
        <v>1.4408371711627261</v>
      </c>
      <c r="BX769" s="110">
        <v>2.1739462109260881</v>
      </c>
      <c r="BY769" s="110">
        <v>2.5898214961501789</v>
      </c>
      <c r="BZ769" s="110">
        <v>3.5280341818145415</v>
      </c>
      <c r="CA769" s="110">
        <v>3.0167712259721622</v>
      </c>
      <c r="CB769" s="110">
        <v>3.5432133267931603</v>
      </c>
      <c r="CC769" s="110">
        <v>3.1855080669850215</v>
      </c>
      <c r="CD769" s="110">
        <v>2.5889942183848196</v>
      </c>
      <c r="CE769" s="110">
        <v>2.667183775904145</v>
      </c>
      <c r="CF769" s="110">
        <v>4.3692878351978424</v>
      </c>
      <c r="CG769" s="110">
        <v>4.6259992699488475</v>
      </c>
      <c r="CH769" s="110">
        <v>4.6494488207052731</v>
      </c>
      <c r="CI769" s="110">
        <v>3.1755992446551415</v>
      </c>
      <c r="CJ769" s="110">
        <v>2.7664864644808742</v>
      </c>
      <c r="CK769" s="110">
        <v>2.938239561251268</v>
      </c>
      <c r="CL769" s="110">
        <v>2.9627363473577089</v>
      </c>
      <c r="CM769" s="110">
        <v>2.682129971066908</v>
      </c>
      <c r="CN769" s="110">
        <v>3.1359680548915954</v>
      </c>
      <c r="CO769" s="110">
        <v>3.2830790804827963</v>
      </c>
      <c r="CP769" s="110">
        <v>3.1779055742817182</v>
      </c>
      <c r="CQ769" s="110">
        <v>2.4594961240310078</v>
      </c>
      <c r="CR769" s="110">
        <v>2.5899485678976446</v>
      </c>
      <c r="CS769" s="110">
        <v>2.0998600816190556</v>
      </c>
      <c r="CT769" s="110">
        <v>2.3135161489313401</v>
      </c>
      <c r="CU769" s="110">
        <v>1.8524831405218731</v>
      </c>
      <c r="CV769" s="110">
        <v>2.4205443928345041</v>
      </c>
      <c r="CW769" s="110">
        <v>2.2836084096978153</v>
      </c>
      <c r="CX769" s="110">
        <v>2.5039005522998345</v>
      </c>
      <c r="CY769" s="111">
        <v>3.1501550083032601</v>
      </c>
      <c r="CZ769" s="110">
        <v>3.3611214830007534</v>
      </c>
      <c r="DA769" s="110">
        <v>3.5816848621611306</v>
      </c>
      <c r="DB769" s="110">
        <v>3.8069046817223433</v>
      </c>
      <c r="DC769" s="110">
        <v>4.0262597741271433</v>
      </c>
      <c r="DD769" s="110">
        <v>4.2499235007241367</v>
      </c>
      <c r="DE769" s="110">
        <v>4.4819373805296463</v>
      </c>
      <c r="DF769" s="110">
        <v>4.821986613237927</v>
      </c>
      <c r="DG769" s="110">
        <v>5.1089996890085869</v>
      </c>
      <c r="DH769" s="110">
        <v>5.3481583001445818</v>
      </c>
      <c r="DI769" s="110">
        <v>5.6528082316916777</v>
      </c>
    </row>
    <row r="770" spans="1:113" hidden="1" outlineLevel="2">
      <c r="A770" s="1" t="s">
        <v>974</v>
      </c>
      <c r="B770" s="19" t="s">
        <v>801</v>
      </c>
      <c r="AW770" s="22"/>
      <c r="CY770" s="22"/>
    </row>
    <row r="771" spans="1:113" hidden="1" outlineLevel="2">
      <c r="A771" s="1" t="s">
        <v>28</v>
      </c>
      <c r="B771" s="19" t="s">
        <v>801</v>
      </c>
      <c r="AW771" s="22"/>
      <c r="CY771" s="22"/>
    </row>
    <row r="772" spans="1:113" hidden="1" outlineLevel="2">
      <c r="A772" s="1" t="s">
        <v>29</v>
      </c>
      <c r="B772" s="19" t="s">
        <v>801</v>
      </c>
      <c r="AW772" s="22"/>
      <c r="CY772" s="22"/>
    </row>
    <row r="773" spans="1:113" hidden="1" outlineLevel="2">
      <c r="A773" s="1" t="s">
        <v>30</v>
      </c>
      <c r="B773" s="19" t="s">
        <v>801</v>
      </c>
      <c r="AW773" s="22"/>
      <c r="CY773" s="22"/>
    </row>
    <row r="774" spans="1:113" hidden="1" outlineLevel="2">
      <c r="A774" s="1" t="s">
        <v>31</v>
      </c>
      <c r="B774" s="19" t="s">
        <v>801</v>
      </c>
      <c r="AW774" s="22"/>
      <c r="CY774" s="22"/>
    </row>
    <row r="775" spans="1:113" hidden="1" outlineLevel="2">
      <c r="A775" s="1" t="s">
        <v>32</v>
      </c>
      <c r="B775" s="19" t="s">
        <v>801</v>
      </c>
      <c r="AW775" s="22"/>
      <c r="CY775" s="22"/>
    </row>
    <row r="776" spans="1:113" hidden="1" outlineLevel="2">
      <c r="A776" s="1" t="s">
        <v>33</v>
      </c>
      <c r="B776" s="19" t="s">
        <v>801</v>
      </c>
      <c r="AW776" s="22"/>
      <c r="CY776" s="22"/>
    </row>
    <row r="777" spans="1:113" hidden="1" outlineLevel="2">
      <c r="A777" s="1" t="s">
        <v>40</v>
      </c>
      <c r="B777" s="19" t="s">
        <v>801</v>
      </c>
      <c r="AW777" s="22"/>
      <c r="CY777" s="22"/>
    </row>
    <row r="778" spans="1:113" hidden="1" outlineLevel="2">
      <c r="A778" s="1" t="s">
        <v>41</v>
      </c>
      <c r="B778" s="19" t="s">
        <v>801</v>
      </c>
      <c r="AW778" s="22"/>
      <c r="CY778" s="22"/>
    </row>
    <row r="779" spans="1:113" hidden="1" outlineLevel="2">
      <c r="A779" s="1" t="s">
        <v>42</v>
      </c>
      <c r="B779" s="19" t="s">
        <v>801</v>
      </c>
      <c r="AW779" s="22"/>
      <c r="CY779" s="22"/>
    </row>
    <row r="780" spans="1:113" outlineLevel="1" collapsed="1">
      <c r="AW780" s="22"/>
      <c r="CY780" s="22"/>
    </row>
    <row r="781" spans="1:113" s="24" customFormat="1" outlineLevel="1">
      <c r="A781" s="1"/>
      <c r="B781" s="24" t="s">
        <v>721</v>
      </c>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c r="AD781" s="13"/>
      <c r="AE781" s="13"/>
      <c r="AF781" s="13"/>
      <c r="AG781" s="13"/>
      <c r="AH781" s="13"/>
      <c r="AI781" s="13"/>
      <c r="AJ781" s="13"/>
      <c r="AK781" s="13"/>
      <c r="AL781" s="13"/>
      <c r="AM781" s="13"/>
      <c r="AN781" s="13"/>
      <c r="AO781" s="13"/>
      <c r="AP781" s="13"/>
      <c r="AQ781" s="13"/>
      <c r="AR781" s="13"/>
      <c r="AS781" s="13"/>
      <c r="AT781" s="13"/>
      <c r="AU781" s="13"/>
      <c r="AV781" s="13"/>
      <c r="AW781" s="23"/>
      <c r="AX781" s="13"/>
      <c r="AY781" s="13"/>
      <c r="AZ781" s="13"/>
      <c r="BA781" s="13"/>
      <c r="BB781" s="13"/>
      <c r="BC781" s="13"/>
      <c r="BD781" s="13"/>
      <c r="BE781" s="13"/>
      <c r="BF781" s="13"/>
      <c r="BG781" s="13"/>
      <c r="BH781" s="13"/>
      <c r="BI781" s="13"/>
      <c r="BJ781" s="13"/>
      <c r="BK781" s="13"/>
      <c r="BL781" s="13"/>
      <c r="BM781" s="13"/>
      <c r="BN781" s="13"/>
      <c r="BO781" s="13"/>
      <c r="BP781" s="13"/>
      <c r="BQ781" s="13"/>
      <c r="BR781" s="13"/>
      <c r="BS781" s="13"/>
      <c r="BT781" s="13"/>
      <c r="BU781" s="13"/>
      <c r="BV781" s="13"/>
      <c r="BW781" s="13"/>
      <c r="BX781" s="13"/>
      <c r="BY781" s="13"/>
      <c r="BZ781" s="13"/>
      <c r="CA781" s="13"/>
      <c r="CB781" s="13"/>
      <c r="CC781" s="13"/>
      <c r="CD781" s="13"/>
      <c r="CE781" s="13"/>
      <c r="CF781" s="13"/>
      <c r="CG781" s="13"/>
      <c r="CH781" s="13"/>
      <c r="CI781" s="13"/>
      <c r="CJ781" s="13"/>
      <c r="CK781" s="13"/>
      <c r="CL781" s="13"/>
      <c r="CM781" s="13"/>
      <c r="CN781" s="13"/>
      <c r="CO781" s="13"/>
      <c r="CP781" s="13"/>
      <c r="CQ781" s="13"/>
      <c r="CR781" s="13"/>
      <c r="CS781" s="13"/>
      <c r="CT781" s="13"/>
      <c r="CU781" s="13"/>
      <c r="CV781" s="13"/>
      <c r="CW781" s="13"/>
      <c r="CX781" s="13"/>
      <c r="CY781" s="23"/>
      <c r="CZ781" s="13"/>
      <c r="DA781" s="13"/>
      <c r="DB781" s="13"/>
    </row>
    <row r="782" spans="1:113" outlineLevel="1">
      <c r="A782" s="1" t="s">
        <v>999</v>
      </c>
      <c r="B782" s="19" t="s">
        <v>722</v>
      </c>
      <c r="C782" s="232">
        <v>0.22487495158550755</v>
      </c>
      <c r="D782" s="232">
        <v>0.13324980836963798</v>
      </c>
      <c r="E782" s="232">
        <v>0.16174509956921623</v>
      </c>
      <c r="F782" s="232">
        <v>6.6011753773221729E-2</v>
      </c>
      <c r="G782" s="232">
        <v>0.14605625792841359</v>
      </c>
      <c r="H782" s="232">
        <v>0.1267488148067249</v>
      </c>
      <c r="I782" s="232">
        <v>0.13479620697051473</v>
      </c>
      <c r="J782" s="232">
        <v>0.19810342160192143</v>
      </c>
      <c r="K782" s="232">
        <v>0.18677519344595261</v>
      </c>
      <c r="L782" s="232">
        <v>0.20883756102252224</v>
      </c>
      <c r="M782" s="42">
        <v>0.1789480345795661</v>
      </c>
      <c r="N782" s="42">
        <v>0.21017830523299211</v>
      </c>
      <c r="O782" s="42">
        <v>0.20936510777016917</v>
      </c>
      <c r="P782" s="42">
        <v>0.1999248944836611</v>
      </c>
      <c r="Q782" s="42">
        <v>0.20009840905363294</v>
      </c>
      <c r="R782" s="42">
        <v>0.16719237791678063</v>
      </c>
      <c r="S782" s="42">
        <v>0.15015187390877999</v>
      </c>
      <c r="T782" s="45">
        <v>0.18614913632933316</v>
      </c>
      <c r="U782" s="42">
        <v>0.16749464225730881</v>
      </c>
      <c r="V782" s="42">
        <v>0.17799256572102023</v>
      </c>
      <c r="W782" s="42">
        <v>0.19144369131021136</v>
      </c>
      <c r="X782" s="42">
        <v>0.19688658934400824</v>
      </c>
      <c r="Y782" s="45">
        <v>0.17889910197602504</v>
      </c>
      <c r="Z782" s="45">
        <v>0.17572516804614602</v>
      </c>
      <c r="AA782" s="45">
        <v>0.18711356729102788</v>
      </c>
      <c r="AB782" s="45">
        <v>0.18623569232321646</v>
      </c>
      <c r="AC782" s="45">
        <v>0.19096530100072412</v>
      </c>
      <c r="AD782" s="45">
        <v>0.18470884901873963</v>
      </c>
      <c r="AE782" s="45">
        <v>0.18076275337048947</v>
      </c>
      <c r="AF782" s="45">
        <v>0.16799572509043076</v>
      </c>
      <c r="AG782" s="45">
        <v>0.15654486987323921</v>
      </c>
      <c r="AH782" s="45">
        <v>0.16026589782450823</v>
      </c>
      <c r="AI782" s="45">
        <v>0.16327632904076128</v>
      </c>
      <c r="AJ782" s="45">
        <v>0.15102437724340809</v>
      </c>
      <c r="AK782" s="45">
        <v>0.1340161281405354</v>
      </c>
      <c r="AL782" s="45">
        <v>0.13552522883635135</v>
      </c>
      <c r="AM782" s="45">
        <v>0.11626147404229113</v>
      </c>
      <c r="AN782" s="45">
        <v>0.17419530159264063</v>
      </c>
      <c r="AO782" s="45">
        <v>9.6509485902260689E-2</v>
      </c>
      <c r="AP782" s="45">
        <v>0.13140435261737321</v>
      </c>
      <c r="AQ782" s="45">
        <v>0.13944524400076838</v>
      </c>
      <c r="AR782" s="45">
        <v>0.15186558171843323</v>
      </c>
      <c r="AS782" s="45">
        <v>0.13400992602303588</v>
      </c>
      <c r="AT782" s="45">
        <v>0.14150688817074436</v>
      </c>
      <c r="AU782" s="45">
        <v>0.13520970518743824</v>
      </c>
      <c r="AV782" s="45">
        <v>0.13104645521804134</v>
      </c>
      <c r="AW782" s="43">
        <v>0.12774877768093507</v>
      </c>
      <c r="AX782" s="42">
        <v>0.13335615469471612</v>
      </c>
      <c r="AY782" s="42">
        <v>0.13086056157331863</v>
      </c>
      <c r="AZ782" s="42">
        <v>0.13151862139033296</v>
      </c>
      <c r="BA782" s="42">
        <v>0.13010911409561232</v>
      </c>
      <c r="BB782" s="42">
        <v>0.12957380870577778</v>
      </c>
      <c r="BC782" s="42">
        <v>0.12851350916178061</v>
      </c>
      <c r="BD782" s="42">
        <v>0.12935973182527447</v>
      </c>
      <c r="BE782" s="42">
        <v>0.1289004667599675</v>
      </c>
      <c r="BF782" s="42">
        <v>0.12893758737254138</v>
      </c>
      <c r="BG782" s="42">
        <v>0.12735087011754992</v>
      </c>
      <c r="BH782" s="42">
        <v>0.12814485190712793</v>
      </c>
      <c r="BI782" s="42">
        <v>0.12771649621129094</v>
      </c>
      <c r="BJ782" s="42">
        <v>0.11185525935599254</v>
      </c>
      <c r="BK782" s="42">
        <v>9.6858446561437078E-2</v>
      </c>
      <c r="BL782" s="232">
        <v>9.8739656449313332E-2</v>
      </c>
      <c r="BM782" s="232">
        <v>0.11419310573067437</v>
      </c>
      <c r="BN782" s="232">
        <v>0.1269325042622946</v>
      </c>
      <c r="BO782" s="232">
        <v>0.12679253891709369</v>
      </c>
      <c r="BP782" s="232">
        <v>0.12877591923284507</v>
      </c>
      <c r="BQ782" s="232">
        <v>0.12923519463735195</v>
      </c>
      <c r="BR782" s="42"/>
      <c r="BS782" s="232">
        <v>7.5925392949652393E-2</v>
      </c>
      <c r="BT782" s="232">
        <v>7.7324536140056951E-2</v>
      </c>
      <c r="BU782" s="232">
        <v>0.11087898420543486</v>
      </c>
      <c r="BV782" s="232">
        <v>0.16065504110350237</v>
      </c>
      <c r="BW782" s="232">
        <v>0.16728582854323795</v>
      </c>
      <c r="BX782" s="232">
        <v>0.16730038022813687</v>
      </c>
      <c r="BY782" s="232">
        <v>0.15864929772214539</v>
      </c>
      <c r="BZ782" s="232">
        <v>0.20902542995737175</v>
      </c>
      <c r="CA782" s="232">
        <v>0.38087177316969956</v>
      </c>
      <c r="CB782" s="573">
        <v>0.14407161524828022</v>
      </c>
      <c r="CC782" s="42">
        <v>0.14743501190342889</v>
      </c>
      <c r="CD782" s="42">
        <v>0.10621026633195443</v>
      </c>
      <c r="CE782" s="42">
        <v>0.13077163086123358</v>
      </c>
      <c r="CF782" s="42">
        <v>0.1922158616652957</v>
      </c>
      <c r="CG782" s="42">
        <v>0.20004074149521286</v>
      </c>
      <c r="CH782" s="42">
        <v>0.20670520231213874</v>
      </c>
      <c r="CI782" s="42">
        <v>0.19794248884481905</v>
      </c>
      <c r="CJ782" s="42">
        <v>0.16367479900194068</v>
      </c>
      <c r="CK782" s="42">
        <v>0.175079595684832</v>
      </c>
      <c r="CL782" s="42">
        <v>0.18319342176890238</v>
      </c>
      <c r="CM782" s="45">
        <v>0.18614786809493805</v>
      </c>
      <c r="CN782" s="45">
        <v>0.18125148703307162</v>
      </c>
      <c r="CO782" s="45">
        <v>0.18832231459056098</v>
      </c>
      <c r="CP782" s="45">
        <v>0.18260028609997381</v>
      </c>
      <c r="CQ782" s="45">
        <v>0.16324760606757882</v>
      </c>
      <c r="CR782" s="45">
        <v>0.16147815620832112</v>
      </c>
      <c r="CS782" s="45">
        <v>0.14282214975734472</v>
      </c>
      <c r="CT782" s="45">
        <v>0.12606451043551162</v>
      </c>
      <c r="CU782" s="45">
        <v>0.13538079376728956</v>
      </c>
      <c r="CV782" s="45">
        <v>0.1354000425577189</v>
      </c>
      <c r="CW782" s="45">
        <v>0.14286851215662347</v>
      </c>
      <c r="CX782" s="45">
        <v>0.13846111234212274</v>
      </c>
      <c r="CY782" s="43">
        <v>0.12954203841857773</v>
      </c>
      <c r="CZ782" s="42">
        <v>0.13210499232861073</v>
      </c>
      <c r="DA782" s="42">
        <v>0.1308052784051533</v>
      </c>
      <c r="DB782" s="42">
        <v>0.12903304193949766</v>
      </c>
      <c r="DC782" s="42">
        <v>0.12912017567549483</v>
      </c>
      <c r="DD782" s="42">
        <v>0.12812963367798219</v>
      </c>
      <c r="DE782" s="42">
        <v>0.12791503986313948</v>
      </c>
      <c r="DF782" s="42">
        <v>0.10439233402347101</v>
      </c>
      <c r="DG782" s="232">
        <v>0.10646644770441992</v>
      </c>
      <c r="DH782" s="232">
        <v>0.12684314013609821</v>
      </c>
      <c r="DI782" s="232">
        <v>0.12899037871650182</v>
      </c>
    </row>
    <row r="783" spans="1:113" outlineLevel="1">
      <c r="A783" s="1" t="s">
        <v>1000</v>
      </c>
      <c r="B783" s="19" t="s">
        <v>592</v>
      </c>
      <c r="C783" s="232">
        <v>0.20448842588753399</v>
      </c>
      <c r="D783" s="232">
        <v>0.13004030301854205</v>
      </c>
      <c r="E783" s="232">
        <v>0.14402113621187276</v>
      </c>
      <c r="F783" s="232">
        <v>0.12608032714242351</v>
      </c>
      <c r="G783" s="232">
        <v>0.14195827659085378</v>
      </c>
      <c r="H783" s="232">
        <v>0.12246607126538744</v>
      </c>
      <c r="I783" s="232">
        <v>0.14128752167789843</v>
      </c>
      <c r="J783" s="232">
        <v>0.19347483698505413</v>
      </c>
      <c r="K783" s="232">
        <v>0.18688584225723576</v>
      </c>
      <c r="L783" s="232">
        <v>0.21531476401571703</v>
      </c>
      <c r="M783" s="42">
        <v>0.18479237163426421</v>
      </c>
      <c r="N783" s="42">
        <v>0.21756476324437521</v>
      </c>
      <c r="O783" s="42">
        <v>0.20247507570226103</v>
      </c>
      <c r="P783" s="42">
        <v>0.19899736439537755</v>
      </c>
      <c r="Q783" s="42">
        <v>0.19224330621888289</v>
      </c>
      <c r="R783" s="42">
        <v>0.12216155090693646</v>
      </c>
      <c r="S783" s="42">
        <v>0.16558608978498482</v>
      </c>
      <c r="T783" s="45">
        <v>0.18646854116174452</v>
      </c>
      <c r="U783" s="42">
        <v>0.19094389217333205</v>
      </c>
      <c r="V783" s="42">
        <v>0.19321407936885324</v>
      </c>
      <c r="W783" s="42">
        <v>0.19934890657077664</v>
      </c>
      <c r="X783" s="42">
        <v>0.19319224936735466</v>
      </c>
      <c r="Y783" s="45">
        <v>0.18142825835133528</v>
      </c>
      <c r="Z783" s="45">
        <v>0.18051635274363112</v>
      </c>
      <c r="AA783" s="45">
        <v>0.18725436004293985</v>
      </c>
      <c r="AB783" s="45">
        <v>0.18791787827716991</v>
      </c>
      <c r="AC783" s="45">
        <v>0.18949766532395546</v>
      </c>
      <c r="AD783" s="45">
        <v>0.18731554501371192</v>
      </c>
      <c r="AE783" s="45">
        <v>0.17908606705389044</v>
      </c>
      <c r="AF783" s="45">
        <v>0.1735556095677909</v>
      </c>
      <c r="AG783" s="45">
        <v>0.15719146824880256</v>
      </c>
      <c r="AH783" s="45">
        <v>0.15807226857951495</v>
      </c>
      <c r="AI783" s="45">
        <v>0.15659345127751934</v>
      </c>
      <c r="AJ783" s="45">
        <v>0.14154302620570533</v>
      </c>
      <c r="AK783" s="45">
        <v>0.13080434663863699</v>
      </c>
      <c r="AL783" s="45">
        <v>0.13297895633018622</v>
      </c>
      <c r="AM783" s="45">
        <v>0.10854603373334175</v>
      </c>
      <c r="AN783" s="45">
        <v>0.12240062844939202</v>
      </c>
      <c r="AO783" s="45">
        <v>8.1445687287347537E-2</v>
      </c>
      <c r="AP783" s="45">
        <v>0.10438940971944949</v>
      </c>
      <c r="AQ783" s="45">
        <v>0.12561097374692712</v>
      </c>
      <c r="AR783" s="45">
        <v>0.12278603932464807</v>
      </c>
      <c r="AS783" s="45">
        <v>0.13258807004401163</v>
      </c>
      <c r="AT783" s="45">
        <v>0.14172576966830158</v>
      </c>
      <c r="AU783" s="45">
        <v>0.13705882258121588</v>
      </c>
      <c r="AV783" s="45">
        <v>0.13820595897023524</v>
      </c>
      <c r="AW783" s="43">
        <v>0.13276501878944211</v>
      </c>
      <c r="AX783" s="42">
        <v>0.13335615469471612</v>
      </c>
      <c r="AY783" s="42">
        <v>0.13086056157331863</v>
      </c>
      <c r="AZ783" s="42">
        <v>0.13151862139033296</v>
      </c>
      <c r="BA783" s="42">
        <v>0.13010911409561232</v>
      </c>
      <c r="BB783" s="42">
        <v>0.12957380870577778</v>
      </c>
      <c r="BC783" s="42">
        <v>0.12851350916178061</v>
      </c>
      <c r="BD783" s="42">
        <v>0.12935973182527447</v>
      </c>
      <c r="BE783" s="42">
        <v>0.1289004667599675</v>
      </c>
      <c r="BF783" s="42">
        <v>0.12893758737254138</v>
      </c>
      <c r="BG783" s="42">
        <v>0.12735087011754992</v>
      </c>
      <c r="BH783" s="42">
        <v>0.12814485190712793</v>
      </c>
      <c r="BI783" s="42">
        <v>0.12771649621129094</v>
      </c>
      <c r="BJ783" s="42">
        <v>0.11185525935599254</v>
      </c>
      <c r="BK783" s="42">
        <v>9.6858446561437078E-2</v>
      </c>
      <c r="BL783" s="232">
        <v>9.8739656449313332E-2</v>
      </c>
      <c r="BM783" s="232">
        <v>0.11419310573067437</v>
      </c>
      <c r="BN783" s="232">
        <v>0.1269325042622946</v>
      </c>
      <c r="BO783" s="232">
        <v>0.12679253891709369</v>
      </c>
      <c r="BP783" s="232">
        <v>0.12877591923284507</v>
      </c>
      <c r="BQ783" s="232">
        <v>0.12923519463735195</v>
      </c>
      <c r="BR783" s="42"/>
      <c r="BS783" s="232">
        <v>7.5925392949652393E-2</v>
      </c>
      <c r="BT783" s="232">
        <v>0.10106299418756878</v>
      </c>
      <c r="BU783" s="232">
        <v>0.11087898420543486</v>
      </c>
      <c r="BV783" s="232">
        <v>0.16523117655711181</v>
      </c>
      <c r="BW783" s="232">
        <v>0.16728582854323795</v>
      </c>
      <c r="BX783" s="232">
        <v>0.19383875223093039</v>
      </c>
      <c r="BY783" s="232">
        <v>0.18877810930791064</v>
      </c>
      <c r="BZ783" s="232">
        <v>0.21593414669998531</v>
      </c>
      <c r="CA783" s="232">
        <v>0.23670475384398362</v>
      </c>
      <c r="CB783" s="232">
        <v>0.13536002883835502</v>
      </c>
      <c r="CC783" s="42">
        <v>0.13699516925263996</v>
      </c>
      <c r="CD783" s="42">
        <v>0.13402975458093055</v>
      </c>
      <c r="CE783" s="42">
        <v>0.13189020624185066</v>
      </c>
      <c r="CF783" s="42">
        <v>0.19001103266384081</v>
      </c>
      <c r="CG783" s="42">
        <v>0.20640660012222448</v>
      </c>
      <c r="CH783" s="42">
        <v>0.20679768786127167</v>
      </c>
      <c r="CI783" s="42">
        <v>0.19356304743017683</v>
      </c>
      <c r="CJ783" s="42">
        <v>0.1473177155530912</v>
      </c>
      <c r="CK783" s="42">
        <v>0.1871348644555037</v>
      </c>
      <c r="CL783" s="42">
        <v>0.19462510385926712</v>
      </c>
      <c r="CM783" s="45">
        <v>0.18564902331442973</v>
      </c>
      <c r="CN783" s="45">
        <v>0.18367832500594813</v>
      </c>
      <c r="CO783" s="45">
        <v>0.18840959176103511</v>
      </c>
      <c r="CP783" s="45">
        <v>0.18304353958052103</v>
      </c>
      <c r="CQ783" s="45">
        <v>0.16629201550524805</v>
      </c>
      <c r="CR783" s="45">
        <v>0.15703783221105364</v>
      </c>
      <c r="CS783" s="45">
        <v>0.13648402455640779</v>
      </c>
      <c r="CT783" s="45">
        <v>0.12091661886481636</v>
      </c>
      <c r="CU783" s="45">
        <v>0.10197312708180432</v>
      </c>
      <c r="CV783" s="45">
        <v>0.11507873177997659</v>
      </c>
      <c r="CW783" s="45">
        <v>0.12726983326922311</v>
      </c>
      <c r="CX783" s="45">
        <v>0.13948592953689343</v>
      </c>
      <c r="CY783" s="43">
        <v>0.13563716094157233</v>
      </c>
      <c r="CZ783" s="42">
        <v>0.13210499232861073</v>
      </c>
      <c r="DA783" s="42">
        <v>0.13080527840515332</v>
      </c>
      <c r="DB783" s="42">
        <v>0.12903304193949766</v>
      </c>
      <c r="DC783" s="42">
        <v>0.1291201756754948</v>
      </c>
      <c r="DD783" s="42">
        <v>0.12812963367798219</v>
      </c>
      <c r="DE783" s="42">
        <v>0.12791503986313948</v>
      </c>
      <c r="DF783" s="42">
        <v>0.10439233402347101</v>
      </c>
      <c r="DG783" s="232">
        <v>0.10646644770441993</v>
      </c>
      <c r="DH783" s="232">
        <v>0.12684314013609824</v>
      </c>
      <c r="DI783" s="232">
        <v>0.12899037871650182</v>
      </c>
    </row>
    <row r="784" spans="1:113" outlineLevel="1">
      <c r="A784" s="1" t="s">
        <v>1115</v>
      </c>
      <c r="B784" s="19" t="s">
        <v>1116</v>
      </c>
      <c r="C784" s="232">
        <v>0.20843510134122203</v>
      </c>
      <c r="D784" s="232">
        <v>0.13336052921716524</v>
      </c>
      <c r="E784" s="232">
        <v>0.14854862531704324</v>
      </c>
      <c r="F784" s="232">
        <v>0.13206861615495086</v>
      </c>
      <c r="G784" s="232">
        <v>0.14881397438037691</v>
      </c>
      <c r="H784" s="232">
        <v>0.12345386886443505</v>
      </c>
      <c r="I784" s="232">
        <v>0.13760733028257405</v>
      </c>
      <c r="J784" s="232">
        <v>0.19025201291394789</v>
      </c>
      <c r="K784" s="232">
        <v>0.18560630306092701</v>
      </c>
      <c r="L784" s="232">
        <v>0.23172368975192939</v>
      </c>
      <c r="M784" s="42">
        <v>0.1891098869914008</v>
      </c>
      <c r="N784" s="42">
        <v>0.22670509976049108</v>
      </c>
      <c r="O784" s="42">
        <v>0.21414723994088197</v>
      </c>
      <c r="P784" s="42">
        <v>0.21406696867099312</v>
      </c>
      <c r="Q784" s="42">
        <v>0.20631228302856322</v>
      </c>
      <c r="R784" s="42">
        <v>0.12255607761327225</v>
      </c>
      <c r="S784" s="42">
        <v>0.16354493697475633</v>
      </c>
      <c r="T784" s="42">
        <v>0.19161624987609596</v>
      </c>
      <c r="U784" s="42">
        <v>0.19610664794212956</v>
      </c>
      <c r="V784" s="42">
        <v>0.205399168221368</v>
      </c>
      <c r="W784" s="42">
        <v>0.1877767934467211</v>
      </c>
      <c r="X784" s="42">
        <v>0.17960494170897531</v>
      </c>
      <c r="Y784" s="42">
        <v>0.17306451660456812</v>
      </c>
      <c r="Z784" s="45">
        <v>0.17881051793807345</v>
      </c>
      <c r="AA784" s="45">
        <v>0.18677117347920319</v>
      </c>
      <c r="AB784" s="45">
        <v>0.18530204345274656</v>
      </c>
      <c r="AC784" s="45">
        <v>0.19654703372637164</v>
      </c>
      <c r="AD784" s="45">
        <v>0.19015473943456421</v>
      </c>
      <c r="AE784" s="45">
        <v>0.1797734676880319</v>
      </c>
      <c r="AF784" s="45">
        <v>0.17918983705278752</v>
      </c>
      <c r="AG784" s="45">
        <v>0.16264622278314958</v>
      </c>
      <c r="AH784" s="45">
        <v>0.15730145033535303</v>
      </c>
      <c r="AI784" s="45">
        <v>0.15268886416009425</v>
      </c>
      <c r="AJ784" s="45">
        <v>0.14064904681296858</v>
      </c>
      <c r="AK784" s="45">
        <v>0.12790548657748393</v>
      </c>
      <c r="AL784" s="45">
        <v>0.13529446331355341</v>
      </c>
      <c r="AM784" s="45">
        <v>0.10971519480151183</v>
      </c>
      <c r="AN784" s="45">
        <v>0.13167028223887353</v>
      </c>
      <c r="AO784" s="45">
        <v>8.7080420205998932E-2</v>
      </c>
      <c r="AP784" s="45">
        <v>0.11971130691740985</v>
      </c>
      <c r="AQ784" s="45">
        <v>0.14771354554664151</v>
      </c>
      <c r="AR784" s="45">
        <v>0.13301733504843394</v>
      </c>
      <c r="AS784" s="45">
        <v>0.14142931830448632</v>
      </c>
      <c r="AT784" s="45">
        <v>0.1500041044876437</v>
      </c>
      <c r="AU784" s="45">
        <v>0.14606691919608294</v>
      </c>
      <c r="AV784" s="45">
        <v>0.14845322531850863</v>
      </c>
      <c r="AW784" s="43">
        <v>0.1423768065964825</v>
      </c>
      <c r="AX784" s="42">
        <v>0.14187904054348074</v>
      </c>
      <c r="AY784" s="42">
        <v>0.13896273747297275</v>
      </c>
      <c r="AZ784" s="42">
        <v>0.13892394960413543</v>
      </c>
      <c r="BA784" s="42">
        <v>0.13754815060000636</v>
      </c>
      <c r="BB784" s="42">
        <v>0.13628161431013758</v>
      </c>
      <c r="BC784" s="42">
        <v>0.13526406070874802</v>
      </c>
      <c r="BD784" s="42">
        <v>0.13561925837645195</v>
      </c>
      <c r="BE784" s="42">
        <v>0.13542192892938096</v>
      </c>
      <c r="BF784" s="42">
        <v>0.13508371110960204</v>
      </c>
      <c r="BG784" s="42">
        <v>0.13371734051717124</v>
      </c>
      <c r="BH784" s="42">
        <v>0.134305423649176</v>
      </c>
      <c r="BI784" s="42">
        <v>0.13411761784274057</v>
      </c>
      <c r="BJ784" s="42">
        <v>0.11436924245615046</v>
      </c>
      <c r="BK784" s="42">
        <v>9.6652755084614919E-2</v>
      </c>
      <c r="BL784" s="232">
        <v>9.9446064586898641E-2</v>
      </c>
      <c r="BM784" s="232">
        <v>0.11717807116206712</v>
      </c>
      <c r="BN784" s="232">
        <v>0.13086762379746761</v>
      </c>
      <c r="BO784" s="232">
        <v>0.13061933365860875</v>
      </c>
      <c r="BP784" s="232">
        <v>0.13219396403668998</v>
      </c>
      <c r="BQ784" s="232">
        <v>0.1325935522134708</v>
      </c>
      <c r="BR784" s="42"/>
      <c r="BS784" s="232">
        <v>8.2799647722652484E-2</v>
      </c>
      <c r="BT784" s="232">
        <v>0.12570364894820066</v>
      </c>
      <c r="BU784" s="232">
        <v>0.15087035688617467</v>
      </c>
      <c r="BV784" s="232">
        <v>0.24936417201083358</v>
      </c>
      <c r="BW784" s="232">
        <v>0.25763475295322052</v>
      </c>
      <c r="BX784" s="232">
        <v>0.26556720676258944</v>
      </c>
      <c r="BY784" s="232">
        <v>0.2355154834940543</v>
      </c>
      <c r="BZ784" s="232">
        <v>0.26345773593921523</v>
      </c>
      <c r="CA784" s="232">
        <v>0.36461351212041204</v>
      </c>
      <c r="CB784" s="232">
        <v>0.13686474306527777</v>
      </c>
      <c r="CC784" s="42">
        <v>0.14130008715182635</v>
      </c>
      <c r="CD784" s="42">
        <v>0.14041079828727349</v>
      </c>
      <c r="CE784" s="42">
        <v>0.12844357612483875</v>
      </c>
      <c r="CF784" s="42">
        <v>0.18865615997988389</v>
      </c>
      <c r="CG784" s="42">
        <v>0.21202818069463383</v>
      </c>
      <c r="CH784" s="42">
        <v>0.21910695341636807</v>
      </c>
      <c r="CI784" s="42">
        <v>0.20803084173125438</v>
      </c>
      <c r="CJ784" s="42">
        <v>0.14569259749200833</v>
      </c>
      <c r="CK784" s="42">
        <v>0.1924046392863942</v>
      </c>
      <c r="CL784" s="42">
        <v>0.18328887157208332</v>
      </c>
      <c r="CM784" s="45">
        <v>0.17698741343297383</v>
      </c>
      <c r="CN784" s="45">
        <v>0.18319909963518177</v>
      </c>
      <c r="CO784" s="45">
        <v>0.19557429125347209</v>
      </c>
      <c r="CP784" s="45">
        <v>0.1837567305436269</v>
      </c>
      <c r="CQ784" s="45">
        <v>0.17226739831642851</v>
      </c>
      <c r="CR784" s="45">
        <v>0.15308547992682181</v>
      </c>
      <c r="CS784" s="45">
        <v>0.13337091909258197</v>
      </c>
      <c r="CT784" s="45">
        <v>0.12224303345908927</v>
      </c>
      <c r="CU784" s="45">
        <v>0.10902084951102838</v>
      </c>
      <c r="CV784" s="45">
        <v>0.13582046767587289</v>
      </c>
      <c r="CW784" s="45">
        <v>0.13567806355226483</v>
      </c>
      <c r="CX784" s="45">
        <v>0.14896183256713524</v>
      </c>
      <c r="CY784" s="43">
        <v>0.14561897199051652</v>
      </c>
      <c r="CZ784" s="42">
        <v>0.14023709696512504</v>
      </c>
      <c r="DA784" s="42">
        <v>0.13829057667124031</v>
      </c>
      <c r="DB784" s="42">
        <v>0.13585798508432234</v>
      </c>
      <c r="DC784" s="42">
        <v>0.13570256936474812</v>
      </c>
      <c r="DD784" s="42">
        <v>0.13459371244898535</v>
      </c>
      <c r="DE784" s="42">
        <v>0.13437944398081078</v>
      </c>
      <c r="DF784" s="42">
        <v>0.10416463114104546</v>
      </c>
      <c r="DG784" s="232">
        <v>0.10921289272392322</v>
      </c>
      <c r="DH784" s="232">
        <v>0.13070844752623406</v>
      </c>
      <c r="DI784" s="232">
        <v>0.13236512841905018</v>
      </c>
    </row>
    <row r="785" spans="1:113" outlineLevel="1">
      <c r="A785" s="1" t="s">
        <v>1001</v>
      </c>
      <c r="B785" s="19" t="s">
        <v>593</v>
      </c>
      <c r="C785" s="232" t="e">
        <v>#DIV/0!</v>
      </c>
      <c r="D785" s="232">
        <v>0.18966900409344517</v>
      </c>
      <c r="E785" s="232">
        <v>0.20648394077039817</v>
      </c>
      <c r="F785" s="232">
        <v>0.17566474859547604</v>
      </c>
      <c r="G785" s="232">
        <v>0.19326728373662755</v>
      </c>
      <c r="H785" s="232">
        <v>0.16408720737508847</v>
      </c>
      <c r="I785" s="232">
        <v>0.18624477709644921</v>
      </c>
      <c r="J785" s="232">
        <v>0.3000759187944253</v>
      </c>
      <c r="K785" s="232">
        <v>0.31682195945659475</v>
      </c>
      <c r="L785" s="232">
        <v>0.35628729752770671</v>
      </c>
      <c r="M785" s="42">
        <v>0.28344740153723086</v>
      </c>
      <c r="N785" s="42">
        <v>0.34344988275357341</v>
      </c>
      <c r="O785" s="42">
        <v>0.30880878143062923</v>
      </c>
      <c r="P785" s="42">
        <v>0.29575352503304181</v>
      </c>
      <c r="Q785" s="42">
        <v>0.28474722597743302</v>
      </c>
      <c r="R785" s="42">
        <v>0.16488406694168167</v>
      </c>
      <c r="S785" s="42">
        <v>0.23174749012633289</v>
      </c>
      <c r="T785" s="45">
        <v>0.25728855651710258</v>
      </c>
      <c r="U785" s="42">
        <v>0.25685977962282786</v>
      </c>
      <c r="V785" s="42">
        <v>0.25683850616117609</v>
      </c>
      <c r="W785" s="42">
        <v>0.26127851215648573</v>
      </c>
      <c r="X785" s="42">
        <v>0.25094362032450973</v>
      </c>
      <c r="Y785" s="45">
        <v>0.23253972772847681</v>
      </c>
      <c r="Z785" s="45">
        <v>0.22815160749309907</v>
      </c>
      <c r="AA785" s="45">
        <v>0.23354955797817462</v>
      </c>
      <c r="AB785" s="45">
        <v>0.23029640485377442</v>
      </c>
      <c r="AC785" s="45">
        <v>0.22844659452258531</v>
      </c>
      <c r="AD785" s="45">
        <v>0.22369106277824211</v>
      </c>
      <c r="AE785" s="45">
        <v>0.21224361760009905</v>
      </c>
      <c r="AF785" s="45">
        <v>0.2026469060691497</v>
      </c>
      <c r="AG785" s="45">
        <v>0.18178854210676351</v>
      </c>
      <c r="AH785" s="45">
        <v>0.18256874688936309</v>
      </c>
      <c r="AI785" s="45">
        <v>0.18004430864729867</v>
      </c>
      <c r="AJ785" s="45">
        <v>0.16065792909826243</v>
      </c>
      <c r="AK785" s="45">
        <v>0.14681393482225502</v>
      </c>
      <c r="AL785" s="45">
        <v>0.14798253334087411</v>
      </c>
      <c r="AM785" s="45">
        <v>0.11950141411749277</v>
      </c>
      <c r="AN785" s="45">
        <v>0.13440826084240656</v>
      </c>
      <c r="AO785" s="45">
        <v>8.8836409771747102E-2</v>
      </c>
      <c r="AP785" s="45">
        <v>0.11294939509967535</v>
      </c>
      <c r="AQ785" s="45">
        <v>0.13535576414520145</v>
      </c>
      <c r="AR785" s="45">
        <v>0.13227703520576325</v>
      </c>
      <c r="AS785" s="45">
        <v>0.14324973507194233</v>
      </c>
      <c r="AT785" s="45">
        <v>0.15334000101864412</v>
      </c>
      <c r="AU785" s="45">
        <v>0.14836942206238798</v>
      </c>
      <c r="AV785" s="45">
        <v>0.14954680565885606</v>
      </c>
      <c r="AW785" s="43">
        <v>0.14353139822098188</v>
      </c>
      <c r="AX785" s="42">
        <v>0.14410853652831068</v>
      </c>
      <c r="AY785" s="42">
        <v>0.14132130257157274</v>
      </c>
      <c r="AZ785" s="42">
        <v>0.14193935106814276</v>
      </c>
      <c r="BA785" s="42">
        <v>0.14030672384572371</v>
      </c>
      <c r="BB785" s="42">
        <v>0.1396200175645452</v>
      </c>
      <c r="BC785" s="42">
        <v>0.1383570187693374</v>
      </c>
      <c r="BD785" s="42">
        <v>0.1391328719427915</v>
      </c>
      <c r="BE785" s="42">
        <v>0.13849730597399068</v>
      </c>
      <c r="BF785" s="42">
        <v>0.13839064647624122</v>
      </c>
      <c r="BG785" s="42">
        <v>0.13654285763363827</v>
      </c>
      <c r="BH785" s="42">
        <v>0.13724561751428213</v>
      </c>
      <c r="BI785" s="42">
        <v>0.13664222061924147</v>
      </c>
      <c r="BJ785" s="42">
        <v>0.11957995968577154</v>
      </c>
      <c r="BK785" s="42">
        <v>0.10350701214148285</v>
      </c>
      <c r="BL785" s="232">
        <v>0.1054667588624114</v>
      </c>
      <c r="BM785" s="232">
        <v>0.12186673583566746</v>
      </c>
      <c r="BN785" s="232">
        <v>0.13528502028366002</v>
      </c>
      <c r="BO785" s="232">
        <v>0.13497287349365902</v>
      </c>
      <c r="BP785" s="232">
        <v>0.13696186546769956</v>
      </c>
      <c r="BQ785" s="232">
        <v>0.13732847324372066</v>
      </c>
      <c r="BR785" s="42"/>
      <c r="BS785" s="232">
        <v>7.5925392949652393E-2</v>
      </c>
      <c r="BT785" s="232">
        <v>0.10106299418756878</v>
      </c>
      <c r="BU785" s="232">
        <v>0.11087898420543486</v>
      </c>
      <c r="BV785" s="232">
        <v>0.16523117655711181</v>
      </c>
      <c r="BW785" s="232">
        <v>0.16728582854323795</v>
      </c>
      <c r="BX785" s="232">
        <v>0.19383875223093039</v>
      </c>
      <c r="BY785" s="232">
        <v>0.18877810930791064</v>
      </c>
      <c r="BZ785" s="232">
        <v>0.22401829965688144</v>
      </c>
      <c r="CA785" s="232">
        <v>0.43125160627088155</v>
      </c>
      <c r="CB785" s="232">
        <v>0.20795643345024922</v>
      </c>
      <c r="CC785" s="232">
        <v>0.19808206066673512</v>
      </c>
      <c r="CD785" s="232">
        <v>0.1848756595060892</v>
      </c>
      <c r="CE785" s="232">
        <v>0.17525991670850932</v>
      </c>
      <c r="CF785" s="232">
        <v>0.28976769383048612</v>
      </c>
      <c r="CG785" s="232">
        <v>0.33470972004294325</v>
      </c>
      <c r="CH785" s="232">
        <v>0.31792975970425141</v>
      </c>
      <c r="CI785" s="232">
        <v>0.28424086151979372</v>
      </c>
      <c r="CJ785" s="232">
        <v>0.20618406693343033</v>
      </c>
      <c r="CK785" s="232">
        <v>0.25404951741502307</v>
      </c>
      <c r="CL785" s="232">
        <v>0.25619460682632472</v>
      </c>
      <c r="CM785" s="232">
        <v>0.23852653949299196</v>
      </c>
      <c r="CN785" s="232">
        <v>0.23052001373564848</v>
      </c>
      <c r="CO785" s="232">
        <v>0.22958098479208763</v>
      </c>
      <c r="CP785" s="376">
        <v>0.21774299854997783</v>
      </c>
      <c r="CQ785" s="376">
        <v>0.19379725032746475</v>
      </c>
      <c r="CR785" s="376">
        <v>0.18094417061789014</v>
      </c>
      <c r="CS785" s="376">
        <v>0.15467092308092681</v>
      </c>
      <c r="CT785" s="376">
        <v>0.13316379422055202</v>
      </c>
      <c r="CU785" s="45">
        <v>0.11071609176027093</v>
      </c>
      <c r="CV785" s="45">
        <v>0.12418732149776827</v>
      </c>
      <c r="CW785" s="45">
        <v>0.13726556129382986</v>
      </c>
      <c r="CX785" s="45">
        <v>0.15094339622641509</v>
      </c>
      <c r="CY785" s="43">
        <v>0.14670524714375205</v>
      </c>
      <c r="CZ785" s="42">
        <v>0.14271028088407575</v>
      </c>
      <c r="DA785" s="42">
        <v>0.14111270461580394</v>
      </c>
      <c r="DB785" s="42">
        <v>0.13897596936586262</v>
      </c>
      <c r="DC785" s="42">
        <v>0.13880338800766157</v>
      </c>
      <c r="DD785" s="42">
        <v>0.13744947720821296</v>
      </c>
      <c r="DE785" s="42">
        <v>0.13692588495806132</v>
      </c>
      <c r="DF785" s="42">
        <v>0.11157959850174201</v>
      </c>
      <c r="DG785" s="232">
        <v>0.11366980344401025</v>
      </c>
      <c r="DH785" s="232">
        <v>0.13510678366074397</v>
      </c>
      <c r="DI785" s="232">
        <v>0.13712818748618613</v>
      </c>
    </row>
    <row r="786" spans="1:113" outlineLevel="1">
      <c r="A786" s="1" t="s">
        <v>1117</v>
      </c>
      <c r="B786" s="19" t="s">
        <v>1118</v>
      </c>
      <c r="C786" s="232">
        <v>-8.8765599257539716</v>
      </c>
      <c r="D786" s="232">
        <v>0.19759262208729497</v>
      </c>
      <c r="E786" s="232">
        <v>0.21687116750090071</v>
      </c>
      <c r="F786" s="232">
        <v>0.18897740195977206</v>
      </c>
      <c r="G786" s="232">
        <v>0.20736776655330438</v>
      </c>
      <c r="H786" s="232">
        <v>0.16604093713841356</v>
      </c>
      <c r="I786" s="232">
        <v>0.17935079200275619</v>
      </c>
      <c r="J786" s="232">
        <v>0.29172908435968059</v>
      </c>
      <c r="K786" s="232">
        <v>0.31274928701163002</v>
      </c>
      <c r="L786" s="232">
        <v>0.40875014102794099</v>
      </c>
      <c r="M786" s="42">
        <v>0.29494730016680254</v>
      </c>
      <c r="N786" s="42">
        <v>0.36918589807513102</v>
      </c>
      <c r="O786" s="42">
        <v>0.33994585522691984</v>
      </c>
      <c r="P786" s="42">
        <v>0.33526673029483228</v>
      </c>
      <c r="Q786" s="42">
        <v>0.3219363124658739</v>
      </c>
      <c r="R786" s="42">
        <v>0.1657242592528517</v>
      </c>
      <c r="S786" s="42">
        <v>0.22758298067581537</v>
      </c>
      <c r="T786" s="45">
        <v>0.26766155817250425</v>
      </c>
      <c r="U786" s="42">
        <v>0.26681146332829525</v>
      </c>
      <c r="V786" s="42">
        <v>0.28015722050612551</v>
      </c>
      <c r="W786" s="42">
        <v>0.24082558517185895</v>
      </c>
      <c r="X786" s="42">
        <v>0.22747973306943325</v>
      </c>
      <c r="Y786" s="42">
        <v>0.21843061578689629</v>
      </c>
      <c r="Z786" s="45">
        <v>0.22534644927945441</v>
      </c>
      <c r="AA786" s="45">
        <v>0.23277926729375709</v>
      </c>
      <c r="AB786" s="45">
        <v>0.22630102150566075</v>
      </c>
      <c r="AC786" s="45">
        <v>0.23898385864719005</v>
      </c>
      <c r="AD786" s="45">
        <v>0.2278305075799609</v>
      </c>
      <c r="AE786" s="45">
        <v>0.21322554799996526</v>
      </c>
      <c r="AF786" s="45">
        <v>0.21048648483192664</v>
      </c>
      <c r="AG786" s="45">
        <v>0.18923993557497196</v>
      </c>
      <c r="AH786" s="45">
        <v>0.18152925207878731</v>
      </c>
      <c r="AI786" s="45">
        <v>0.17484494496592451</v>
      </c>
      <c r="AJ786" s="45">
        <v>0.15949458233197111</v>
      </c>
      <c r="AK786" s="45">
        <v>0.14312789556084343</v>
      </c>
      <c r="AL786" s="45">
        <v>0.15089082917034083</v>
      </c>
      <c r="AM786" s="45">
        <v>0.12093687277387823</v>
      </c>
      <c r="AN786" s="45">
        <v>0.14573339872381499</v>
      </c>
      <c r="AO786" s="45">
        <v>9.560677201455077E-2</v>
      </c>
      <c r="AP786" s="45">
        <v>0.13111298221075501</v>
      </c>
      <c r="AQ786" s="45">
        <v>0.16138054341102212</v>
      </c>
      <c r="AR786" s="45">
        <v>0.1442305482345014</v>
      </c>
      <c r="AS786" s="45">
        <v>0.1536513956015817</v>
      </c>
      <c r="AT786" s="45">
        <v>0.16320108394905947</v>
      </c>
      <c r="AU786" s="45">
        <v>0.15919282175947305</v>
      </c>
      <c r="AV786" s="45">
        <v>0.16188880749515311</v>
      </c>
      <c r="AW786" s="43">
        <v>0.15510313724765842</v>
      </c>
      <c r="AX786" s="42">
        <v>0.15436489218634816</v>
      </c>
      <c r="AY786" s="42">
        <v>0.1510349335952276</v>
      </c>
      <c r="AZ786" s="42">
        <v>0.15076616004606749</v>
      </c>
      <c r="BA786" s="42">
        <v>0.1491508881511977</v>
      </c>
      <c r="BB786" s="42">
        <v>0.14757713064691133</v>
      </c>
      <c r="BC786" s="42">
        <v>0.14635092823803778</v>
      </c>
      <c r="BD786" s="42">
        <v>0.1465250183767261</v>
      </c>
      <c r="BE786" s="42">
        <v>0.14618301204774226</v>
      </c>
      <c r="BF786" s="42">
        <v>0.14561458492870644</v>
      </c>
      <c r="BG786" s="42">
        <v>0.144011175477751</v>
      </c>
      <c r="BH786" s="42">
        <v>0.14445246250110516</v>
      </c>
      <c r="BI786" s="42">
        <v>0.1441142510063832</v>
      </c>
      <c r="BJ786" s="42">
        <v>0.12251055539167625</v>
      </c>
      <c r="BK786" s="42">
        <v>0.10326710004563329</v>
      </c>
      <c r="BL786" s="232">
        <v>0.10629003679765565</v>
      </c>
      <c r="BM786" s="232">
        <v>0.12533202781555511</v>
      </c>
      <c r="BN786" s="232">
        <v>0.13983196315870719</v>
      </c>
      <c r="BO786" s="232">
        <v>0.13938240398978471</v>
      </c>
      <c r="BP786" s="232">
        <v>0.1408902620392809</v>
      </c>
      <c r="BQ786" s="232">
        <v>0.14118017158720586</v>
      </c>
      <c r="BR786" s="42"/>
      <c r="BS786" s="232">
        <v>8.2799647722652484E-2</v>
      </c>
      <c r="BT786" s="232">
        <v>0.12570364894820066</v>
      </c>
      <c r="BU786" s="232">
        <v>0.15087035688617467</v>
      </c>
      <c r="BV786" s="232">
        <v>0.24936417201083358</v>
      </c>
      <c r="BW786" s="232">
        <v>0.25763475295322052</v>
      </c>
      <c r="BX786" s="232">
        <v>0.26556720676258944</v>
      </c>
      <c r="BY786" s="232">
        <v>0.2355154834940543</v>
      </c>
      <c r="BZ786" s="232">
        <v>0.27601113426095064</v>
      </c>
      <c r="CA786" s="232">
        <v>1.4101963777598283</v>
      </c>
      <c r="CB786" s="232">
        <v>0.21207197859539567</v>
      </c>
      <c r="CC786" s="232">
        <v>0.20816994436636804</v>
      </c>
      <c r="CD786" s="232">
        <v>0.19853433925177622</v>
      </c>
      <c r="CE786" s="232">
        <v>0.16867900961523724</v>
      </c>
      <c r="CF786" s="232">
        <v>0.28634593801809316</v>
      </c>
      <c r="CG786" s="232">
        <v>0.35133946274916544</v>
      </c>
      <c r="CH786" s="232">
        <v>0.35117898177876034</v>
      </c>
      <c r="CI786" s="232">
        <v>0.32146641763952638</v>
      </c>
      <c r="CJ786" s="232">
        <v>0.20274367371284133</v>
      </c>
      <c r="CK786" s="232">
        <v>0.26436415586172735</v>
      </c>
      <c r="CL786" s="232">
        <v>0.23595625709834206</v>
      </c>
      <c r="CM786" s="232">
        <v>0.22381098789114692</v>
      </c>
      <c r="CN786" s="232">
        <v>0.22974410279922042</v>
      </c>
      <c r="CO786" s="232">
        <v>0.24053715250196045</v>
      </c>
      <c r="CP786" s="376">
        <v>0.21877022620663603</v>
      </c>
      <c r="CQ786" s="376">
        <v>0.20211313022632652</v>
      </c>
      <c r="CR786" s="376">
        <v>0.17565721527067718</v>
      </c>
      <c r="CS786" s="376">
        <v>0.15063841211027998</v>
      </c>
      <c r="CT786" s="376">
        <v>0.13479266590623765</v>
      </c>
      <c r="CU786" s="45">
        <v>0.11911077398880428</v>
      </c>
      <c r="CV786" s="45">
        <v>0.1486990607056041</v>
      </c>
      <c r="CW786" s="45">
        <v>0.14711008859624247</v>
      </c>
      <c r="CX786" s="45">
        <v>0.16228154162198916</v>
      </c>
      <c r="CY786" s="43">
        <v>0.15872538641590628</v>
      </c>
      <c r="CZ786" s="42">
        <v>0.15247652911884543</v>
      </c>
      <c r="DA786" s="42">
        <v>0.1500236318902326</v>
      </c>
      <c r="DB786" s="42">
        <v>0.14706545188632278</v>
      </c>
      <c r="DC786" s="42">
        <v>0.14656981939199734</v>
      </c>
      <c r="DD786" s="42">
        <v>0.14504066786011238</v>
      </c>
      <c r="DE786" s="42">
        <v>0.1444807730115393</v>
      </c>
      <c r="DF786" s="42">
        <v>0.11131442443147682</v>
      </c>
      <c r="DG786" s="232">
        <v>0.11686643801390299</v>
      </c>
      <c r="DH786" s="232">
        <v>0.13956671988233402</v>
      </c>
      <c r="DI786" s="232">
        <v>0.14100265852798158</v>
      </c>
    </row>
    <row r="787" spans="1:113" outlineLevel="1">
      <c r="A787" s="1" t="s">
        <v>887</v>
      </c>
      <c r="B787" s="19" t="s">
        <v>594</v>
      </c>
      <c r="C787" s="235">
        <v>1.6736419297183974E-2</v>
      </c>
      <c r="D787" s="235">
        <v>1.6850234526190461E-2</v>
      </c>
      <c r="E787" s="235">
        <v>1.865540859688446E-2</v>
      </c>
      <c r="F787" s="235">
        <v>1.6548208937452489E-2</v>
      </c>
      <c r="G787" s="235">
        <v>1.8751473886229702E-2</v>
      </c>
      <c r="H787" s="235">
        <v>1.5702336685567607E-2</v>
      </c>
      <c r="I787" s="235">
        <v>1.7144285614750007E-2</v>
      </c>
      <c r="J787" s="235">
        <v>1.8953065789138603E-2</v>
      </c>
      <c r="K787" s="235">
        <v>1.8399194426958816E-2</v>
      </c>
      <c r="L787" s="235">
        <v>2.0847148017369754E-2</v>
      </c>
      <c r="M787" s="48">
        <v>1.916949964608218E-2</v>
      </c>
      <c r="N787" s="48">
        <v>1.9951006255470246E-2</v>
      </c>
      <c r="O787" s="48">
        <v>1.852211798206491E-2</v>
      </c>
      <c r="P787" s="48">
        <v>2.1165971148450459E-2</v>
      </c>
      <c r="Q787" s="48">
        <v>2.3161821174844763E-2</v>
      </c>
      <c r="R787" s="48">
        <v>1.676902729866659E-2</v>
      </c>
      <c r="S787" s="48">
        <v>1.8106691948085913E-2</v>
      </c>
      <c r="T787" s="50">
        <v>1.9752876531706091E-2</v>
      </c>
      <c r="U787" s="48">
        <v>2.1493400397663828E-2</v>
      </c>
      <c r="V787" s="48">
        <v>2.2804185042097542E-2</v>
      </c>
      <c r="W787" s="48">
        <v>2.4741763444159438E-2</v>
      </c>
      <c r="X787" s="48">
        <v>2.441543839344083E-2</v>
      </c>
      <c r="Y787" s="50">
        <v>2.3542782830167176E-2</v>
      </c>
      <c r="Z787" s="50">
        <v>2.4484478051246681E-2</v>
      </c>
      <c r="AA787" s="50">
        <v>2.5512137079295536E-2</v>
      </c>
      <c r="AB787" s="50">
        <v>2.538848141184814E-2</v>
      </c>
      <c r="AC787" s="50">
        <v>2.6350957955622839E-2</v>
      </c>
      <c r="AD787" s="50">
        <v>2.6414316645065893E-2</v>
      </c>
      <c r="AE787" s="50">
        <v>2.5067171328112516E-2</v>
      </c>
      <c r="AF787" s="50">
        <v>2.4954817631919122E-2</v>
      </c>
      <c r="AG787" s="50">
        <v>2.3595620742429765E-2</v>
      </c>
      <c r="AH787" s="50">
        <v>2.3045913865390167E-2</v>
      </c>
      <c r="AI787" s="50">
        <v>2.2286239788406489E-2</v>
      </c>
      <c r="AJ787" s="50">
        <v>2.0779229976786971E-2</v>
      </c>
      <c r="AK787" s="50">
        <v>1.9357544819017542E-2</v>
      </c>
      <c r="AL787" s="50">
        <v>1.9809796945907558E-2</v>
      </c>
      <c r="AM787" s="50">
        <v>1.6657153408170967E-2</v>
      </c>
      <c r="AN787" s="50">
        <v>1.9085962309803455E-2</v>
      </c>
      <c r="AO787" s="50">
        <v>1.2892010312655329E-2</v>
      </c>
      <c r="AP787" s="50">
        <v>1.689024610838355E-2</v>
      </c>
      <c r="AQ787" s="50">
        <v>2.1341041854138897E-2</v>
      </c>
      <c r="AR787" s="50">
        <v>2.0408732136689599E-2</v>
      </c>
      <c r="AS787" s="50">
        <v>2.0165350783488172E-2</v>
      </c>
      <c r="AT787" s="50">
        <v>2.0504500730861221E-2</v>
      </c>
      <c r="AU787" s="50">
        <v>2.0290758830834654E-2</v>
      </c>
      <c r="AV787" s="50">
        <v>2.1432073582759604E-2</v>
      </c>
      <c r="AW787" s="49">
        <v>2.0805382472917199E-2</v>
      </c>
      <c r="AX787" s="48">
        <v>2.0720229802121879E-2</v>
      </c>
      <c r="AY787" s="48">
        <v>2.0146506540098256E-2</v>
      </c>
      <c r="AZ787" s="48">
        <v>2.0056373430380959E-2</v>
      </c>
      <c r="BA787" s="48">
        <v>1.969586632324986E-2</v>
      </c>
      <c r="BB787" s="48">
        <v>1.9508453441176417E-2</v>
      </c>
      <c r="BC787" s="48">
        <v>1.9243263513277035E-2</v>
      </c>
      <c r="BD787" s="48">
        <v>1.9270492537648037E-2</v>
      </c>
      <c r="BE787" s="48">
        <v>1.9119243437017087E-2</v>
      </c>
      <c r="BF787" s="48">
        <v>1.9054957266042161E-2</v>
      </c>
      <c r="BG787" s="48">
        <v>1.8755677188625759E-2</v>
      </c>
      <c r="BH787" s="48">
        <v>1.8817273018993903E-2</v>
      </c>
      <c r="BI787" s="48">
        <v>1.8697083053686361E-2</v>
      </c>
      <c r="BJ787" s="48">
        <v>1.6043167419861792E-2</v>
      </c>
      <c r="BK787" s="48">
        <v>1.3354763373891569E-2</v>
      </c>
      <c r="BL787" s="235">
        <v>1.3446716371259564E-2</v>
      </c>
      <c r="BM787" s="235">
        <v>1.5856725186088095E-2</v>
      </c>
      <c r="BN787" s="235">
        <v>1.7860778977423313E-2</v>
      </c>
      <c r="BO787" s="235">
        <v>1.7820445172927437E-2</v>
      </c>
      <c r="BP787" s="235">
        <v>1.7995610062372238E-2</v>
      </c>
      <c r="BQ787" s="235">
        <v>1.7958382476332267E-2</v>
      </c>
      <c r="BR787" s="48"/>
      <c r="BS787" s="235">
        <v>5.6139127283011767E-3</v>
      </c>
      <c r="BT787" s="235">
        <v>8.2370272156216135E-3</v>
      </c>
      <c r="BU787" s="235">
        <v>1.0127273996219349E-2</v>
      </c>
      <c r="BV787" s="235">
        <v>1.4724623327823129E-2</v>
      </c>
      <c r="BW787" s="235">
        <v>1.5159623109280696E-2</v>
      </c>
      <c r="BX787" s="235">
        <v>1.5258316332140196E-2</v>
      </c>
      <c r="BY787" s="235">
        <v>1.4339493308420721E-2</v>
      </c>
      <c r="BZ787" s="235">
        <v>1.5145344791145798E-2</v>
      </c>
      <c r="CA787" s="235">
        <v>1.4716716365549904E-2</v>
      </c>
      <c r="CB787" s="235">
        <v>1.6884815282519009E-2</v>
      </c>
      <c r="CC787" s="48">
        <v>1.7748331923283872E-2</v>
      </c>
      <c r="CD787" s="48">
        <v>1.7648909021719849E-2</v>
      </c>
      <c r="CE787" s="48">
        <v>1.6438685476548365E-2</v>
      </c>
      <c r="CF787" s="48">
        <v>1.8662001154968647E-2</v>
      </c>
      <c r="CG787" s="48">
        <v>1.9976540668308319E-2</v>
      </c>
      <c r="CH787" s="48">
        <v>1.9210434636201337E-2</v>
      </c>
      <c r="CI787" s="48">
        <v>2.2122894484472154E-2</v>
      </c>
      <c r="CJ787" s="48">
        <v>1.7465079043745512E-2</v>
      </c>
      <c r="CK787" s="48">
        <v>2.0616883529620236E-2</v>
      </c>
      <c r="CL787" s="48">
        <v>2.3760406608558191E-2</v>
      </c>
      <c r="CM787" s="50">
        <v>2.3969020891689449E-2</v>
      </c>
      <c r="CN787" s="50">
        <v>2.4996281561387081E-2</v>
      </c>
      <c r="CO787" s="50">
        <v>2.5866123252185014E-2</v>
      </c>
      <c r="CP787" s="50">
        <v>2.5722210083256061E-2</v>
      </c>
      <c r="CQ787" s="50">
        <v>2.4263103755041246E-2</v>
      </c>
      <c r="CR787" s="50">
        <v>2.2650488888571234E-2</v>
      </c>
      <c r="CS787" s="50">
        <v>2.0360770407038483E-2</v>
      </c>
      <c r="CT787" s="50">
        <v>1.8252523293117943E-2</v>
      </c>
      <c r="CU787" s="50">
        <v>1.6001949510486242E-2</v>
      </c>
      <c r="CV787" s="50">
        <v>1.9092853152933357E-2</v>
      </c>
      <c r="CW787" s="50">
        <v>2.0276688100974993E-2</v>
      </c>
      <c r="CX787" s="50">
        <v>2.0405204507186348E-2</v>
      </c>
      <c r="CY787" s="49">
        <v>2.1120569121465767E-2</v>
      </c>
      <c r="CZ787" s="48">
        <v>2.0430384356873107E-2</v>
      </c>
      <c r="DA787" s="48">
        <v>1.9873181354232342E-2</v>
      </c>
      <c r="DB787" s="48">
        <v>1.9373166966527324E-2</v>
      </c>
      <c r="DC787" s="48">
        <v>1.9192720104461675E-2</v>
      </c>
      <c r="DD787" s="48">
        <v>1.8902400844996111E-2</v>
      </c>
      <c r="DE787" s="48">
        <v>1.8754342703465186E-2</v>
      </c>
      <c r="DF787" s="48">
        <v>1.4674239420003175E-2</v>
      </c>
      <c r="DG787" s="235">
        <v>1.4641704780580512E-2</v>
      </c>
      <c r="DH787" s="235">
        <v>1.7837694371092682E-2</v>
      </c>
      <c r="DI787" s="235">
        <v>1.7974057182479571E-2</v>
      </c>
    </row>
    <row r="788" spans="1:113" outlineLevel="1">
      <c r="A788" s="1" t="s">
        <v>888</v>
      </c>
      <c r="B788" s="19" t="s">
        <v>498</v>
      </c>
      <c r="C788" s="235">
        <v>9.9923889533273368E-3</v>
      </c>
      <c r="D788" s="235">
        <v>9.7733338559451034E-3</v>
      </c>
      <c r="E788" s="235">
        <v>1.0798705043875494E-2</v>
      </c>
      <c r="F788" s="235">
        <v>9.3019133084504321E-3</v>
      </c>
      <c r="G788" s="235">
        <v>1.0334699962040885E-2</v>
      </c>
      <c r="H788" s="235">
        <v>8.7103555035236459E-3</v>
      </c>
      <c r="I788" s="235">
        <v>9.2965087738242653E-3</v>
      </c>
      <c r="J788" s="235">
        <v>1.0468678704126197E-2</v>
      </c>
      <c r="K788" s="235">
        <v>1.030601742626956E-2</v>
      </c>
      <c r="L788" s="235">
        <v>1.1857471074494801E-2</v>
      </c>
      <c r="M788" s="48">
        <v>1.1091369019357039E-2</v>
      </c>
      <c r="N788" s="48">
        <v>1.1653383425623423E-2</v>
      </c>
      <c r="O788" s="48">
        <v>1.044899057667203E-2</v>
      </c>
      <c r="P788" s="48">
        <v>1.0182326547976279E-2</v>
      </c>
      <c r="Q788" s="48">
        <v>9.5301125349555038E-3</v>
      </c>
      <c r="R788" s="48">
        <v>6.1743147068541197E-3</v>
      </c>
      <c r="S788" s="48">
        <v>7.4957958789670471E-3</v>
      </c>
      <c r="T788" s="50">
        <v>9.1590229935332237E-3</v>
      </c>
      <c r="U788" s="48">
        <v>9.7446842067434054E-3</v>
      </c>
      <c r="V788" s="48">
        <v>1.0088502878503505E-2</v>
      </c>
      <c r="W788" s="48">
        <v>1.0491028188654357E-2</v>
      </c>
      <c r="X788" s="48">
        <v>1.0111860911333585E-2</v>
      </c>
      <c r="Y788" s="50">
        <v>9.8991912086311574E-3</v>
      </c>
      <c r="Z788" s="50">
        <v>1.0257185371376936E-2</v>
      </c>
      <c r="AA788" s="50">
        <v>1.0946702161938162E-2</v>
      </c>
      <c r="AB788" s="50">
        <v>1.1013007791403153E-2</v>
      </c>
      <c r="AC788" s="50">
        <v>1.1108554344585519E-2</v>
      </c>
      <c r="AD788" s="50">
        <v>1.1176633251187524E-2</v>
      </c>
      <c r="AE788" s="50">
        <v>1.0386741853925614E-2</v>
      </c>
      <c r="AF788" s="50">
        <v>1.044793397463456E-2</v>
      </c>
      <c r="AG788" s="50">
        <v>1.005886494169436E-2</v>
      </c>
      <c r="AH788" s="50">
        <v>1.0006313297645501E-2</v>
      </c>
      <c r="AI788" s="50">
        <v>9.8542669993215998E-3</v>
      </c>
      <c r="AJ788" s="50">
        <v>9.3893521243532969E-3</v>
      </c>
      <c r="AK788" s="50">
        <v>8.8720814551000744E-3</v>
      </c>
      <c r="AL788" s="50">
        <v>9.1547554477074428E-3</v>
      </c>
      <c r="AM788" s="50">
        <v>7.6838685818341346E-3</v>
      </c>
      <c r="AN788" s="50">
        <v>8.7523527223757318E-3</v>
      </c>
      <c r="AO788" s="50">
        <v>5.7341275727963697E-3</v>
      </c>
      <c r="AP788" s="50">
        <v>7.4414462719799438E-3</v>
      </c>
      <c r="AQ788" s="50">
        <v>9.2752479189421762E-3</v>
      </c>
      <c r="AR788" s="50">
        <v>8.3674425033639019E-3</v>
      </c>
      <c r="AS788" s="50">
        <v>8.3377062419121069E-3</v>
      </c>
      <c r="AT788" s="50">
        <v>8.3700852100970641E-3</v>
      </c>
      <c r="AU788" s="50">
        <v>7.9566488255296015E-3</v>
      </c>
      <c r="AV788" s="50">
        <v>7.9078551066272471E-3</v>
      </c>
      <c r="AW788" s="49">
        <v>7.6211821574331748E-3</v>
      </c>
      <c r="AX788" s="48">
        <v>7.5293740476914161E-3</v>
      </c>
      <c r="AY788" s="48">
        <v>7.296754762224353E-3</v>
      </c>
      <c r="AZ788" s="48">
        <v>7.2443966812007227E-3</v>
      </c>
      <c r="BA788" s="48">
        <v>7.1086667968984218E-3</v>
      </c>
      <c r="BB788" s="48">
        <v>7.0451844910794483E-3</v>
      </c>
      <c r="BC788" s="48">
        <v>6.9538264246772558E-3</v>
      </c>
      <c r="BD788" s="48">
        <v>6.9683643374511403E-3</v>
      </c>
      <c r="BE788" s="48">
        <v>6.918361482679933E-3</v>
      </c>
      <c r="BF788" s="48">
        <v>6.8998018476852238E-3</v>
      </c>
      <c r="BG788" s="48">
        <v>6.7960887801579812E-3</v>
      </c>
      <c r="BH788" s="48">
        <v>6.8231069813412199E-3</v>
      </c>
      <c r="BI788" s="48">
        <v>6.7842224715910478E-3</v>
      </c>
      <c r="BJ788" s="48">
        <v>5.9045191498385509E-3</v>
      </c>
      <c r="BK788" s="48">
        <v>5.0491917294563822E-3</v>
      </c>
      <c r="BL788" s="235">
        <v>5.085987537597975E-3</v>
      </c>
      <c r="BM788" s="235">
        <v>5.8461792993975458E-3</v>
      </c>
      <c r="BN788" s="235">
        <v>6.502842236376402E-3</v>
      </c>
      <c r="BO788" s="235">
        <v>6.4925513024683178E-3</v>
      </c>
      <c r="BP788" s="235">
        <v>6.560821625306368E-3</v>
      </c>
      <c r="BQ788" s="235">
        <v>6.5517071570857597E-3</v>
      </c>
      <c r="BR788" s="48"/>
      <c r="BS788" s="235">
        <v>4.5910857260910423E-3</v>
      </c>
      <c r="BT788" s="235">
        <v>6.5156476823874957E-3</v>
      </c>
      <c r="BU788" s="235">
        <v>7.3459478265365365E-3</v>
      </c>
      <c r="BV788" s="235">
        <v>1.0763563580614938E-2</v>
      </c>
      <c r="BW788" s="235">
        <v>1.0853013917850735E-2</v>
      </c>
      <c r="BX788" s="235">
        <v>1.0921841934976128E-2</v>
      </c>
      <c r="BY788" s="235">
        <v>1.0497349358585246E-2</v>
      </c>
      <c r="BZ788" s="235">
        <v>1.0787114208296311E-2</v>
      </c>
      <c r="CA788" s="235">
        <v>1.0506477324667682E-2</v>
      </c>
      <c r="CB788" s="235">
        <v>9.9853742853343967E-3</v>
      </c>
      <c r="CC788" s="48">
        <v>1.0283797427777809E-2</v>
      </c>
      <c r="CD788" s="48">
        <v>9.8211121307476296E-3</v>
      </c>
      <c r="CE788" s="48">
        <v>9.0109823233441542E-3</v>
      </c>
      <c r="CF788" s="48">
        <v>1.0382697355651782E-2</v>
      </c>
      <c r="CG788" s="48">
        <v>1.1468136519775674E-2</v>
      </c>
      <c r="CH788" s="48">
        <v>1.0846865639060359E-2</v>
      </c>
      <c r="CI788" s="48">
        <v>9.8478574341339144E-3</v>
      </c>
      <c r="CJ788" s="48">
        <v>6.8476380400710052E-3</v>
      </c>
      <c r="CK788" s="48">
        <v>9.4532156391850929E-3</v>
      </c>
      <c r="CL788" s="48">
        <v>1.0290787071753736E-2</v>
      </c>
      <c r="CM788" s="50">
        <v>1.0005008871645541E-2</v>
      </c>
      <c r="CN788" s="50">
        <v>1.0602356689647595E-2</v>
      </c>
      <c r="CO788" s="50">
        <v>1.1061380091309227E-2</v>
      </c>
      <c r="CP788" s="50">
        <v>1.0772131186416562E-2</v>
      </c>
      <c r="CQ788" s="50">
        <v>1.0252968395320411E-2</v>
      </c>
      <c r="CR788" s="50">
        <v>9.929153867433713E-3</v>
      </c>
      <c r="CS788" s="50">
        <v>9.1315361159167337E-3</v>
      </c>
      <c r="CT788" s="50">
        <v>8.4270757093976092E-3</v>
      </c>
      <c r="CU788" s="50">
        <v>7.2266115343721654E-3</v>
      </c>
      <c r="CV788" s="50">
        <v>8.3175610792355116E-3</v>
      </c>
      <c r="CW788" s="50">
        <v>8.3523462737393351E-3</v>
      </c>
      <c r="CX788" s="50">
        <v>8.1640460986526723E-3</v>
      </c>
      <c r="CY788" s="49">
        <v>7.7648136160538075E-3</v>
      </c>
      <c r="CZ788" s="48">
        <v>7.4115843078041378E-3</v>
      </c>
      <c r="DA788" s="48">
        <v>7.1753973249788407E-3</v>
      </c>
      <c r="DB788" s="48">
        <v>6.998584507115083E-3</v>
      </c>
      <c r="DC788" s="48">
        <v>6.9426284195289317E-3</v>
      </c>
      <c r="DD788" s="48">
        <v>6.8469471140896769E-3</v>
      </c>
      <c r="DE788" s="48">
        <v>6.8026836554378077E-3</v>
      </c>
      <c r="DF788" s="48">
        <v>5.4756569106580201E-3</v>
      </c>
      <c r="DG788" s="235">
        <v>5.4670483889112239E-3</v>
      </c>
      <c r="DH788" s="235">
        <v>6.4966755669625441E-3</v>
      </c>
      <c r="DI788" s="235">
        <v>6.5552343428154419E-3</v>
      </c>
    </row>
    <row r="789" spans="1:113" outlineLevel="1">
      <c r="A789" s="1" t="s">
        <v>889</v>
      </c>
      <c r="B789" s="19" t="s">
        <v>499</v>
      </c>
      <c r="C789" s="235">
        <v>1.0245045259759228E-2</v>
      </c>
      <c r="D789" s="235">
        <v>1.0009844715828942E-2</v>
      </c>
      <c r="E789" s="235">
        <v>1.1049325439478555E-2</v>
      </c>
      <c r="F789" s="235">
        <v>9.4997457795995884E-3</v>
      </c>
      <c r="G789" s="235">
        <v>1.0538378952554609E-2</v>
      </c>
      <c r="H789" s="235">
        <v>8.8703856502705472E-3</v>
      </c>
      <c r="I789" s="235">
        <v>9.4465480294854114E-3</v>
      </c>
      <c r="J789" s="235">
        <v>1.0673851128565441E-2</v>
      </c>
      <c r="K789" s="235">
        <v>1.0544499112688314E-2</v>
      </c>
      <c r="L789" s="235">
        <v>1.2121597770205451E-2</v>
      </c>
      <c r="M789" s="48">
        <v>1.1328016419734513E-2</v>
      </c>
      <c r="N789" s="48">
        <v>1.188674944055514E-2</v>
      </c>
      <c r="O789" s="48">
        <v>1.0638026854557977E-2</v>
      </c>
      <c r="P789" s="48">
        <v>1.0355677775849403E-2</v>
      </c>
      <c r="Q789" s="48">
        <v>9.6861024400919198E-3</v>
      </c>
      <c r="R789" s="48">
        <v>6.2562453046249899E-3</v>
      </c>
      <c r="S789" s="48">
        <v>7.5939368914154422E-3</v>
      </c>
      <c r="T789" s="50">
        <v>9.2845508232374061E-3</v>
      </c>
      <c r="U789" s="48">
        <v>9.8739992611898871E-3</v>
      </c>
      <c r="V789" s="48">
        <v>1.0220703189315472E-2</v>
      </c>
      <c r="W789" s="48">
        <v>1.062354416588359E-2</v>
      </c>
      <c r="X789" s="48">
        <v>1.0235149165784415E-2</v>
      </c>
      <c r="Y789" s="50">
        <v>1.0019349995749629E-2</v>
      </c>
      <c r="Z789" s="50">
        <v>1.0380333529658331E-2</v>
      </c>
      <c r="AA789" s="50">
        <v>1.1075039654189558E-2</v>
      </c>
      <c r="AB789" s="50">
        <v>1.1133071439969356E-2</v>
      </c>
      <c r="AC789" s="50">
        <v>1.1220700524786494E-2</v>
      </c>
      <c r="AD789" s="50">
        <v>1.1286140580237261E-2</v>
      </c>
      <c r="AE789" s="50">
        <v>1.0481714307583561E-2</v>
      </c>
      <c r="AF789" s="50">
        <v>1.0539012244580212E-2</v>
      </c>
      <c r="AG789" s="50">
        <v>1.0146719153108944E-2</v>
      </c>
      <c r="AH789" s="50">
        <v>1.0092031733266792E-2</v>
      </c>
      <c r="AI789" s="50">
        <v>9.93570531051805E-3</v>
      </c>
      <c r="AJ789" s="50">
        <v>9.4640475480263185E-3</v>
      </c>
      <c r="AK789" s="50">
        <v>8.9381912591863181E-3</v>
      </c>
      <c r="AL789" s="50">
        <v>9.2191037187215209E-3</v>
      </c>
      <c r="AM789" s="50">
        <v>7.7340598204401773E-3</v>
      </c>
      <c r="AN789" s="50">
        <v>8.8086232022740064E-3</v>
      </c>
      <c r="AO789" s="50">
        <v>5.7679117825140507E-3</v>
      </c>
      <c r="AP789" s="50">
        <v>7.4818666139548247E-3</v>
      </c>
      <c r="AQ789" s="50">
        <v>9.3248196554838406E-3</v>
      </c>
      <c r="AR789" s="50">
        <v>8.4085567691772559E-3</v>
      </c>
      <c r="AS789" s="50">
        <v>8.376912675187061E-3</v>
      </c>
      <c r="AT789" s="50">
        <v>8.4076943134352503E-3</v>
      </c>
      <c r="AU789" s="50">
        <v>7.992017668106954E-3</v>
      </c>
      <c r="AV789" s="50">
        <v>7.9423176659346919E-3</v>
      </c>
      <c r="AW789" s="49">
        <v>7.6541399293558179E-3</v>
      </c>
      <c r="AX789" s="48">
        <v>7.5612272477990706E-3</v>
      </c>
      <c r="AY789" s="48">
        <v>7.3269961524106333E-3</v>
      </c>
      <c r="AZ789" s="48">
        <v>7.2738119185486588E-3</v>
      </c>
      <c r="BA789" s="48">
        <v>7.1370078849207321E-3</v>
      </c>
      <c r="BB789" s="48">
        <v>7.0728554649041745E-3</v>
      </c>
      <c r="BC789" s="48">
        <v>6.9806998361327871E-3</v>
      </c>
      <c r="BD789" s="48">
        <v>6.9948318664923535E-3</v>
      </c>
      <c r="BE789" s="48">
        <v>6.9441874793388413E-3</v>
      </c>
      <c r="BF789" s="48">
        <v>6.925115203085903E-3</v>
      </c>
      <c r="BG789" s="48">
        <v>6.8205918006789866E-3</v>
      </c>
      <c r="BH789" s="48">
        <v>6.8472826623762724E-3</v>
      </c>
      <c r="BI789" s="48">
        <v>6.8078447231011982E-3</v>
      </c>
      <c r="BJ789" s="48">
        <v>5.9247223126761501E-3</v>
      </c>
      <c r="BK789" s="48">
        <v>5.0661554480202651E-3</v>
      </c>
      <c r="BL789" s="235">
        <v>5.1027524240844467E-3</v>
      </c>
      <c r="BM789" s="235">
        <v>5.8650862867631543E-3</v>
      </c>
      <c r="BN789" s="235">
        <v>6.5234759329701429E-3</v>
      </c>
      <c r="BO789" s="235">
        <v>6.5127634084240302E-3</v>
      </c>
      <c r="BP789" s="235">
        <v>6.58086059960937E-3</v>
      </c>
      <c r="BQ789" s="235">
        <v>6.5713403773265417E-3</v>
      </c>
      <c r="BR789" s="48"/>
      <c r="BS789" s="235">
        <v>4.5910857260910423E-3</v>
      </c>
      <c r="BT789" s="235">
        <v>6.5156476823874957E-3</v>
      </c>
      <c r="BU789" s="235">
        <v>7.3459478265365365E-3</v>
      </c>
      <c r="BV789" s="235">
        <v>1.0763563580614938E-2</v>
      </c>
      <c r="BW789" s="235">
        <v>1.0853013917850735E-2</v>
      </c>
      <c r="BX789" s="235">
        <v>1.0921841934976128E-2</v>
      </c>
      <c r="BY789" s="235">
        <v>1.0497349358585246E-2</v>
      </c>
      <c r="BZ789" s="235">
        <v>1.080659577520221E-2</v>
      </c>
      <c r="CA789" s="235">
        <v>1.0721154153329117E-2</v>
      </c>
      <c r="CB789" s="235">
        <v>1.0249318190606383E-2</v>
      </c>
      <c r="CC789" s="48">
        <v>1.0527509350383209E-2</v>
      </c>
      <c r="CD789" s="48">
        <v>1.0023105917861895E-2</v>
      </c>
      <c r="CE789" s="48">
        <v>9.1659499543171891E-3</v>
      </c>
      <c r="CF789" s="48">
        <v>1.058175600858163E-2</v>
      </c>
      <c r="CG789" s="48">
        <v>1.1717699711177349E-2</v>
      </c>
      <c r="CH789" s="48">
        <v>1.1049450739512658E-2</v>
      </c>
      <c r="CI789" s="48">
        <v>1.0010330832353132E-2</v>
      </c>
      <c r="CJ789" s="48">
        <v>6.9397340176750181E-3</v>
      </c>
      <c r="CK789" s="48">
        <v>9.5806904933723267E-3</v>
      </c>
      <c r="CL789" s="48">
        <v>1.0423235852371504E-2</v>
      </c>
      <c r="CM789" s="50">
        <v>1.0125984082829434E-2</v>
      </c>
      <c r="CN789" s="50">
        <v>1.0728189777786116E-2</v>
      </c>
      <c r="CO789" s="50">
        <v>1.117907887497168E-2</v>
      </c>
      <c r="CP789" s="50">
        <v>1.0874112251719241E-2</v>
      </c>
      <c r="CQ789" s="50">
        <v>1.0343481762388369E-2</v>
      </c>
      <c r="CR789" s="50">
        <v>1.0012797298670698E-2</v>
      </c>
      <c r="CS789" s="50">
        <v>9.2039440164814086E-3</v>
      </c>
      <c r="CT789" s="50">
        <v>8.4814395647136616E-3</v>
      </c>
      <c r="CU789" s="50">
        <v>7.2672810410971027E-3</v>
      </c>
      <c r="CV789" s="50">
        <v>8.3618891897481087E-3</v>
      </c>
      <c r="CW789" s="50">
        <v>8.3924537015575233E-3</v>
      </c>
      <c r="CX789" s="50">
        <v>8.2004785783665966E-3</v>
      </c>
      <c r="CY789" s="49">
        <v>7.798495007805631E-3</v>
      </c>
      <c r="CZ789" s="48">
        <v>7.4426145079487405E-3</v>
      </c>
      <c r="DA789" s="48">
        <v>7.2042638438181367E-3</v>
      </c>
      <c r="DB789" s="48">
        <v>7.0258480685378094E-3</v>
      </c>
      <c r="DC789" s="48">
        <v>6.968768398454896E-3</v>
      </c>
      <c r="DD789" s="48">
        <v>6.8718463694515623E-3</v>
      </c>
      <c r="DE789" s="48">
        <v>6.8265750500435705E-3</v>
      </c>
      <c r="DF789" s="48">
        <v>5.4942200962218744E-3</v>
      </c>
      <c r="DG789" s="235">
        <v>5.48489675086957E-3</v>
      </c>
      <c r="DH789" s="235">
        <v>6.5170916508790807E-3</v>
      </c>
      <c r="DI789" s="235">
        <v>6.5750638363571735E-3</v>
      </c>
    </row>
    <row r="790" spans="1:113" outlineLevel="1">
      <c r="A790" s="1" t="s">
        <v>1010</v>
      </c>
      <c r="B790" s="19" t="s">
        <v>563</v>
      </c>
      <c r="C790" s="570">
        <v>12.076058530510586</v>
      </c>
      <c r="D790" s="570">
        <v>2.5205479452054793</v>
      </c>
      <c r="E790" s="570">
        <v>3.967123287671233</v>
      </c>
      <c r="F790" s="570">
        <v>3.5572249226690236</v>
      </c>
      <c r="G790" s="570">
        <v>2.513742349169338</v>
      </c>
      <c r="H790" s="570">
        <v>20.172131147540984</v>
      </c>
      <c r="I790" s="570">
        <v>6.3934426229508201</v>
      </c>
      <c r="J790" s="570">
        <v>13.610958904109587</v>
      </c>
      <c r="K790" s="570">
        <v>6.5800842992623805</v>
      </c>
      <c r="L790" s="570">
        <v>5.8287671232876708</v>
      </c>
      <c r="M790" s="113">
        <v>3.8293759512937595</v>
      </c>
      <c r="N790" s="113">
        <v>4.1673059360730598</v>
      </c>
      <c r="O790" s="113">
        <v>4.3700342465753419</v>
      </c>
      <c r="P790" s="113">
        <v>3.6687483736664066</v>
      </c>
      <c r="Q790" s="113">
        <v>3.6160014255167496</v>
      </c>
      <c r="R790" s="113">
        <v>4.7530332681017615</v>
      </c>
      <c r="S790" s="113">
        <v>4.2252580221429916</v>
      </c>
      <c r="T790" s="114">
        <v>3.56754478398314</v>
      </c>
      <c r="U790" s="113">
        <v>5.8602184376156972</v>
      </c>
      <c r="V790" s="113">
        <v>6.3791645526805336</v>
      </c>
      <c r="W790" s="113">
        <v>5.8267123287671234</v>
      </c>
      <c r="X790" s="113">
        <v>7.843187818505557</v>
      </c>
      <c r="Y790" s="114">
        <v>8.7850637522768675</v>
      </c>
      <c r="Z790" s="114">
        <v>7.946477495107632</v>
      </c>
      <c r="AA790" s="114">
        <v>6.9983932433824281</v>
      </c>
      <c r="AB790" s="114">
        <v>7.5092939936775558</v>
      </c>
      <c r="AC790" s="114">
        <v>4.7635533416355331</v>
      </c>
      <c r="AD790" s="114">
        <v>6.7561260657151072</v>
      </c>
      <c r="AE790" s="114">
        <v>6.1129763387297631</v>
      </c>
      <c r="AF790" s="114">
        <v>6.0668704269704543</v>
      </c>
      <c r="AG790" s="114">
        <v>5.4293269490883516</v>
      </c>
      <c r="AH790" s="114">
        <v>4.7260273972602738</v>
      </c>
      <c r="AI790" s="114">
        <v>5.5225469894870978</v>
      </c>
      <c r="AJ790" s="114">
        <v>4.7790587277905869</v>
      </c>
      <c r="AK790" s="114">
        <v>2.6242633571400695</v>
      </c>
      <c r="AL790" s="114">
        <v>3.9292178141493208</v>
      </c>
      <c r="AM790" s="114">
        <v>3.9558015887908926</v>
      </c>
      <c r="AN790" s="114">
        <v>2.86100347739692</v>
      </c>
      <c r="AO790" s="114">
        <v>2.4627458019225403</v>
      </c>
      <c r="AP790" s="114">
        <v>2.7853113848279039</v>
      </c>
      <c r="AQ790" s="114">
        <v>3.7205256104824302</v>
      </c>
      <c r="AR790" s="114">
        <v>4.7449315068493148</v>
      </c>
      <c r="AS790" s="114">
        <v>3.5016412509692425</v>
      </c>
      <c r="AT790" s="114">
        <v>4.2036679392170067</v>
      </c>
      <c r="AU790" s="114">
        <v>4.1577604032049624</v>
      </c>
      <c r="AV790" s="114">
        <v>3.1596881417284468</v>
      </c>
      <c r="AW790" s="115">
        <v>2.7905969687596657</v>
      </c>
      <c r="AX790" s="113">
        <v>2.7905969687596652</v>
      </c>
      <c r="AY790" s="113">
        <v>2.7905969687596657</v>
      </c>
      <c r="AZ790" s="113">
        <v>2.7905969687596657</v>
      </c>
      <c r="BA790" s="113">
        <v>2.7905969687596661</v>
      </c>
      <c r="BB790" s="113">
        <v>2.7905969687596652</v>
      </c>
      <c r="BC790" s="113">
        <v>2.7905969687596652</v>
      </c>
      <c r="BD790" s="113">
        <v>2.7905969687596657</v>
      </c>
      <c r="BE790" s="113">
        <v>2.7905969687596657</v>
      </c>
      <c r="BF790" s="113">
        <v>2.7905969687596657</v>
      </c>
      <c r="BG790" s="113">
        <v>2.7905969687596657</v>
      </c>
      <c r="BH790" s="113">
        <v>2.7905969687596643</v>
      </c>
      <c r="BI790" s="113">
        <v>2.7905969687596657</v>
      </c>
      <c r="BJ790" s="113">
        <v>2.7905969687596648</v>
      </c>
      <c r="BK790" s="113">
        <v>2.7905969687596652</v>
      </c>
      <c r="BL790" s="570">
        <v>2.7905969687596661</v>
      </c>
      <c r="BM790" s="570">
        <v>2.7905969687596661</v>
      </c>
      <c r="BN790" s="570">
        <v>2.7905969687596652</v>
      </c>
      <c r="BO790" s="570">
        <v>2.7905969687596652</v>
      </c>
      <c r="BP790" s="570">
        <v>2.7905969687596657</v>
      </c>
      <c r="BQ790" s="570">
        <v>2.7905969687596657</v>
      </c>
      <c r="BR790" s="48"/>
      <c r="BS790" s="570" t="e">
        <v>#DIV/0!</v>
      </c>
      <c r="BT790" s="570" t="e">
        <v>#DIV/0!</v>
      </c>
      <c r="BU790" s="570" t="e">
        <v>#DIV/0!</v>
      </c>
      <c r="BV790" s="570" t="e">
        <v>#DIV/0!</v>
      </c>
      <c r="BW790" s="570" t="e">
        <v>#DIV/0!</v>
      </c>
      <c r="BX790" s="570" t="e">
        <v>#DIV/0!</v>
      </c>
      <c r="BY790" s="570" t="e">
        <v>#DIV/0!</v>
      </c>
      <c r="BZ790" s="570" t="e">
        <v>#DIV/0!</v>
      </c>
      <c r="CA790" s="570" t="e">
        <v>#DIV/0!</v>
      </c>
      <c r="CB790" s="570" t="e">
        <v>#DIV/0!</v>
      </c>
      <c r="CC790" s="113">
        <v>4</v>
      </c>
      <c r="CD790" s="113">
        <v>3.0544871794871793</v>
      </c>
      <c r="CE790" s="113">
        <v>8.1818181818181817</v>
      </c>
      <c r="CF790" s="113">
        <v>9.5833333333333339</v>
      </c>
      <c r="CG790" s="113">
        <v>4.8488372093023253</v>
      </c>
      <c r="CH790" s="113">
        <v>4.5483870967741939</v>
      </c>
      <c r="CI790" s="113">
        <v>3.6931818181818183</v>
      </c>
      <c r="CJ790" s="113">
        <v>4.2049180327868854</v>
      </c>
      <c r="CK790" s="113">
        <v>4.558988764044944</v>
      </c>
      <c r="CL790" s="113">
        <v>6.139344262295082</v>
      </c>
      <c r="CM790" s="114">
        <v>8.3715083798882688</v>
      </c>
      <c r="CN790" s="114">
        <v>7.3938775510204078</v>
      </c>
      <c r="CO790" s="114">
        <v>5.7576219512195124</v>
      </c>
      <c r="CP790" s="114">
        <v>6.4009740259740262</v>
      </c>
      <c r="CQ790" s="114">
        <v>5.6952506596306067</v>
      </c>
      <c r="CR790" s="114">
        <v>5.3086734693877551</v>
      </c>
      <c r="CS790" s="114">
        <v>3.3933092224231465</v>
      </c>
      <c r="CT790" s="114">
        <v>3.9233333333333333</v>
      </c>
      <c r="CU790" s="114">
        <v>2.7395264116575593</v>
      </c>
      <c r="CV790" s="114">
        <v>3.2263033175355451</v>
      </c>
      <c r="CW790" s="114">
        <v>3.8118279569892475</v>
      </c>
      <c r="CX790" s="114">
        <v>4.2037974683544306</v>
      </c>
      <c r="CY790" s="115">
        <v>2.9496350364963502</v>
      </c>
      <c r="CZ790" s="113">
        <v>2.7902925318741172</v>
      </c>
      <c r="DA790" s="113">
        <v>2.7930937422383439</v>
      </c>
      <c r="DB790" s="113">
        <v>2.7935867184168517</v>
      </c>
      <c r="DC790" s="113">
        <v>2.7924338168969989</v>
      </c>
      <c r="DD790" s="113">
        <v>2.7942279261267609</v>
      </c>
      <c r="DE790" s="113">
        <v>2.7949036845752837</v>
      </c>
      <c r="DF790" s="113">
        <v>2.7948921468156898</v>
      </c>
      <c r="DG790" s="570">
        <v>2.7938379268285947</v>
      </c>
      <c r="DH790" s="570">
        <v>2.7940144946525822</v>
      </c>
      <c r="DI790" s="570">
        <v>2.7944501754214133</v>
      </c>
    </row>
    <row r="791" spans="1:113" outlineLevel="1">
      <c r="A791" s="1" t="s">
        <v>674</v>
      </c>
      <c r="B791" s="19" t="s">
        <v>773</v>
      </c>
      <c r="C791" s="235"/>
      <c r="D791" s="235"/>
      <c r="E791" s="235"/>
      <c r="F791" s="235"/>
      <c r="G791" s="235"/>
      <c r="H791" s="235"/>
      <c r="I791" s="235"/>
      <c r="J791" s="235"/>
      <c r="K791" s="235"/>
      <c r="L791" s="235"/>
      <c r="M791" s="48"/>
      <c r="N791" s="48"/>
      <c r="O791" s="48"/>
      <c r="P791" s="42">
        <v>4.5186219073583035E-2</v>
      </c>
      <c r="Q791" s="42">
        <v>4.624636124651961E-2</v>
      </c>
      <c r="R791" s="42">
        <v>6.7393301209518086E-2</v>
      </c>
      <c r="S791" s="42">
        <v>7.3973559400258695E-2</v>
      </c>
      <c r="T791" s="45">
        <v>8.7213620454410626E-2</v>
      </c>
      <c r="U791" s="42">
        <v>9.8816103203204872E-2</v>
      </c>
      <c r="V791" s="42">
        <v>0.11266878050518365</v>
      </c>
      <c r="W791" s="42">
        <v>0.12671827009753911</v>
      </c>
      <c r="X791" s="42">
        <v>0.14035116653507029</v>
      </c>
      <c r="Y791" s="45">
        <v>0.15670392985498555</v>
      </c>
      <c r="Z791" s="45">
        <v>0.17305962601277719</v>
      </c>
      <c r="AA791" s="45">
        <v>0.17559561796704143</v>
      </c>
      <c r="AB791" s="45">
        <v>0.17341752880021458</v>
      </c>
      <c r="AC791" s="45">
        <v>0.16508326626511002</v>
      </c>
      <c r="AD791" s="45">
        <v>0.17084085174581995</v>
      </c>
      <c r="AE791" s="45">
        <v>0.17170546560772798</v>
      </c>
      <c r="AF791" s="45">
        <v>0.17648433806510119</v>
      </c>
      <c r="AG791" s="45">
        <v>0.17779328947576112</v>
      </c>
      <c r="AH791" s="45">
        <v>0.15132720419599943</v>
      </c>
      <c r="AI791" s="45">
        <v>0.15803100270552484</v>
      </c>
      <c r="AJ791" s="45">
        <v>0.15147346921762328</v>
      </c>
      <c r="AK791" s="45">
        <v>0.14335469465844955</v>
      </c>
      <c r="AL791" s="45">
        <v>0.15324473303752212</v>
      </c>
      <c r="AM791" s="45">
        <v>0.13092773765869301</v>
      </c>
      <c r="AN791" s="45">
        <v>0.12232677421925912</v>
      </c>
      <c r="AO791" s="45">
        <v>0.10309352247565716</v>
      </c>
      <c r="AP791" s="45">
        <v>0.10946231658430622</v>
      </c>
      <c r="AQ791" s="45">
        <v>0.11083837595368499</v>
      </c>
      <c r="AR791" s="45">
        <v>0.12869971977670397</v>
      </c>
      <c r="AS791" s="45">
        <v>0.10697404014300174</v>
      </c>
      <c r="AT791" s="45">
        <v>0.12724720460816108</v>
      </c>
      <c r="AU791" s="45">
        <v>0.13685632087316732</v>
      </c>
      <c r="AV791" s="45">
        <v>0.14878272651776739</v>
      </c>
      <c r="AW791" s="43">
        <v>0.14950623486042849</v>
      </c>
      <c r="AX791" s="42">
        <v>0.15495031537180731</v>
      </c>
      <c r="AY791" s="42">
        <v>0.15797965879689738</v>
      </c>
      <c r="AZ791" s="42">
        <v>0.1606336664954493</v>
      </c>
      <c r="BA791" s="42">
        <v>0.16260341740223547</v>
      </c>
      <c r="BB791" s="42">
        <v>0.16448947411443918</v>
      </c>
      <c r="BC791" s="42">
        <v>0.16578192413514864</v>
      </c>
      <c r="BD791" s="42">
        <v>0.16760543875009765</v>
      </c>
      <c r="BE791" s="42">
        <v>0.16898668717845802</v>
      </c>
      <c r="BF791" s="42">
        <v>0.1694328563059046</v>
      </c>
      <c r="BG791" s="42">
        <v>0.16930697193043109</v>
      </c>
      <c r="BH791" s="42">
        <v>0.1693574972777305</v>
      </c>
      <c r="BI791" s="42">
        <v>0.16915806442132331</v>
      </c>
      <c r="BJ791" s="42">
        <v>0.16923016728584728</v>
      </c>
      <c r="BK791" s="42">
        <v>0.16875870801655168</v>
      </c>
      <c r="BL791" s="232">
        <v>0.16885450727055748</v>
      </c>
      <c r="BM791" s="232">
        <v>0.16848988531743453</v>
      </c>
      <c r="BN791" s="232">
        <v>0.16920005181276346</v>
      </c>
      <c r="BO791" s="232">
        <v>0.16958242435335227</v>
      </c>
      <c r="BP791" s="232">
        <v>0.17013952527253839</v>
      </c>
      <c r="BQ791" s="232">
        <v>0.17036861390003138</v>
      </c>
      <c r="BR791" s="48"/>
      <c r="BS791" s="232">
        <v>0</v>
      </c>
      <c r="BT791" s="232">
        <v>0</v>
      </c>
      <c r="BU791" s="232">
        <v>0</v>
      </c>
      <c r="BV791" s="232">
        <v>0</v>
      </c>
      <c r="BW791" s="232">
        <v>0</v>
      </c>
      <c r="BX791" s="232">
        <v>0</v>
      </c>
      <c r="BY791" s="232">
        <v>0</v>
      </c>
      <c r="BZ791" s="232">
        <v>7.1151358344113845E-3</v>
      </c>
      <c r="CA791" s="232">
        <v>1.2463768115942029E-2</v>
      </c>
      <c r="CB791" s="232">
        <v>1.4675052410901468E-2</v>
      </c>
      <c r="CC791" s="42">
        <v>3.8948937756243009E-2</v>
      </c>
      <c r="CD791" s="42">
        <v>4.334906484880266E-2</v>
      </c>
      <c r="CE791" s="42">
        <v>1.6863672182821119E-2</v>
      </c>
      <c r="CF791" s="42">
        <v>3.0167412564230067E-2</v>
      </c>
      <c r="CG791" s="42">
        <v>3.705501618122977E-2</v>
      </c>
      <c r="CH791" s="42">
        <v>4.4581206844791353E-2</v>
      </c>
      <c r="CI791" s="42">
        <v>4.8449080428218501E-2</v>
      </c>
      <c r="CJ791" s="42">
        <v>7.6712641057790951E-2</v>
      </c>
      <c r="CK791" s="42">
        <v>0.10135495572388777</v>
      </c>
      <c r="CL791" s="42">
        <v>0.1296351824087956</v>
      </c>
      <c r="CM791" s="45">
        <v>0.15862648129140619</v>
      </c>
      <c r="CN791" s="45">
        <v>0.17992140718562874</v>
      </c>
      <c r="CO791" s="45">
        <v>0.16816326530612244</v>
      </c>
      <c r="CP791" s="45">
        <v>0.17742483438083914</v>
      </c>
      <c r="CQ791" s="45">
        <v>0.18138891150370431</v>
      </c>
      <c r="CR791" s="45">
        <v>0.15838178691343871</v>
      </c>
      <c r="CS791" s="45">
        <v>0.14774204028589993</v>
      </c>
      <c r="CT791" s="45">
        <v>0.14165149760052953</v>
      </c>
      <c r="CU791" s="45">
        <v>0.11036362088052457</v>
      </c>
      <c r="CV791" s="45">
        <v>0.11541572306696862</v>
      </c>
      <c r="CW791" s="45">
        <v>0.11303650220617729</v>
      </c>
      <c r="CX791" s="45">
        <v>0.14295327102803737</v>
      </c>
      <c r="CY791" s="43">
        <v>0.15583369931196017</v>
      </c>
      <c r="CZ791" s="42">
        <v>0.16345201411755503</v>
      </c>
      <c r="DA791" s="42">
        <v>0.16845247151012935</v>
      </c>
      <c r="DB791" s="42">
        <v>0.17187366312005073</v>
      </c>
      <c r="DC791" s="42">
        <v>0.17491100382257643</v>
      </c>
      <c r="DD791" s="42">
        <v>0.17597682101121595</v>
      </c>
      <c r="DE791" s="42">
        <v>0.17586476587633393</v>
      </c>
      <c r="DF791" s="42">
        <v>0.17559345650141758</v>
      </c>
      <c r="DG791" s="232">
        <v>0.17520852396443568</v>
      </c>
      <c r="DH791" s="232">
        <v>0.17601908047511577</v>
      </c>
      <c r="DI791" s="232">
        <v>0.1768630703210301</v>
      </c>
    </row>
    <row r="792" spans="1:113" outlineLevel="1">
      <c r="A792" s="1" t="s">
        <v>811</v>
      </c>
      <c r="B792" s="19" t="s">
        <v>500</v>
      </c>
      <c r="C792" s="232">
        <v>0.49291019581363943</v>
      </c>
      <c r="D792" s="232">
        <v>0.48328200615926087</v>
      </c>
      <c r="E792" s="232">
        <v>0.47788589119858471</v>
      </c>
      <c r="F792" s="232">
        <v>0.45284280936454852</v>
      </c>
      <c r="G792" s="232">
        <v>0.47659747659747659</v>
      </c>
      <c r="H792" s="232">
        <v>0.48743043561696414</v>
      </c>
      <c r="I792" s="232">
        <v>0.48125000000000001</v>
      </c>
      <c r="J792" s="232">
        <v>0.45774518790100827</v>
      </c>
      <c r="K792" s="232">
        <v>0.45670267398618736</v>
      </c>
      <c r="L792" s="232">
        <v>0.45840266222961729</v>
      </c>
      <c r="M792" s="42">
        <v>0.46318563663317408</v>
      </c>
      <c r="N792" s="42">
        <v>0.46850693914900104</v>
      </c>
      <c r="O792" s="42">
        <v>0.465210843373494</v>
      </c>
      <c r="P792" s="42">
        <v>0.44427023945267957</v>
      </c>
      <c r="Q792" s="42">
        <v>0.45283276450511944</v>
      </c>
      <c r="R792" s="42">
        <v>0.40183940573045629</v>
      </c>
      <c r="S792" s="42">
        <v>0.37195325542570951</v>
      </c>
      <c r="T792" s="45">
        <v>0.37453569954601734</v>
      </c>
      <c r="U792" s="42">
        <v>0.38016440696060638</v>
      </c>
      <c r="V792" s="42">
        <v>0.36574596981209567</v>
      </c>
      <c r="W792" s="42">
        <v>0.34798387096774192</v>
      </c>
      <c r="X792" s="42">
        <v>0.34250371103414151</v>
      </c>
      <c r="Y792" s="45">
        <v>0.35161772025883525</v>
      </c>
      <c r="Z792" s="45">
        <v>0.3330741568665565</v>
      </c>
      <c r="AA792" s="45">
        <v>0.32757311052031901</v>
      </c>
      <c r="AB792" s="45">
        <v>0.33225690706853245</v>
      </c>
      <c r="AC792" s="45">
        <v>0.32044788056518264</v>
      </c>
      <c r="AD792" s="45">
        <v>0.32625564935618656</v>
      </c>
      <c r="AE792" s="45">
        <v>0.33119567968947766</v>
      </c>
      <c r="AF792" s="45">
        <v>0.32149758454106281</v>
      </c>
      <c r="AG792" s="45">
        <v>0.30980773910927234</v>
      </c>
      <c r="AH792" s="45">
        <v>0.3213868328788469</v>
      </c>
      <c r="AI792" s="45">
        <v>0.29141572311892716</v>
      </c>
      <c r="AJ792" s="45">
        <v>0.26816349118507393</v>
      </c>
      <c r="AK792" s="45">
        <v>0.25975719058095004</v>
      </c>
      <c r="AL792" s="45">
        <v>0.23292147644856481</v>
      </c>
      <c r="AM792" s="45">
        <v>0.22110954546928197</v>
      </c>
      <c r="AN792" s="45">
        <v>0.22232387923147301</v>
      </c>
      <c r="AO792" s="45">
        <v>0.21110921792468904</v>
      </c>
      <c r="AP792" s="45">
        <v>0.19739152244795585</v>
      </c>
      <c r="AQ792" s="45">
        <v>0.20442804428044281</v>
      </c>
      <c r="AR792" s="45">
        <v>0.194845956884447</v>
      </c>
      <c r="AS792" s="45">
        <v>0.22707041805754252</v>
      </c>
      <c r="AT792" s="45">
        <v>0.14578286720986566</v>
      </c>
      <c r="AU792" s="45">
        <v>0.15489934872705743</v>
      </c>
      <c r="AV792" s="45">
        <v>0.16448091435269982</v>
      </c>
      <c r="AW792" s="43">
        <v>0.155637707948244</v>
      </c>
      <c r="AX792" s="42">
        <v>0.15369358601334096</v>
      </c>
      <c r="AY792" s="42">
        <v>0.15313544520157368</v>
      </c>
      <c r="AZ792" s="42">
        <v>0.15516951975413115</v>
      </c>
      <c r="BA792" s="42">
        <v>0.15538285438457347</v>
      </c>
      <c r="BB792" s="42">
        <v>0.15780223698552082</v>
      </c>
      <c r="BC792" s="42">
        <v>0.15774071733141445</v>
      </c>
      <c r="BD792" s="42">
        <v>0.15981025580017846</v>
      </c>
      <c r="BE792" s="42">
        <v>0.15976713781072738</v>
      </c>
      <c r="BF792" s="42">
        <v>0.16182309880659171</v>
      </c>
      <c r="BG792" s="42">
        <v>0.16175808466298866</v>
      </c>
      <c r="BH792" s="42">
        <v>0.16317002159449745</v>
      </c>
      <c r="BI792" s="42">
        <v>0.16231160067859543</v>
      </c>
      <c r="BJ792" s="42">
        <v>0.16371204580735832</v>
      </c>
      <c r="BK792" s="42">
        <v>0.16294260339584768</v>
      </c>
      <c r="BL792" s="232">
        <v>0.16449133493818655</v>
      </c>
      <c r="BM792" s="232">
        <v>0.16381858546783692</v>
      </c>
      <c r="BN792" s="232">
        <v>0.16523287868680539</v>
      </c>
      <c r="BO792" s="232">
        <v>0.16445787438912207</v>
      </c>
      <c r="BP792" s="232">
        <v>0.1659439330218479</v>
      </c>
      <c r="BQ792" s="232">
        <v>0.16516720429039261</v>
      </c>
      <c r="BR792" s="42"/>
      <c r="BS792" s="232">
        <v>0.30174081237911027</v>
      </c>
      <c r="BT792" s="232">
        <v>0.31738035264483627</v>
      </c>
      <c r="BU792" s="232">
        <v>0.33223761446348909</v>
      </c>
      <c r="BV792" s="232">
        <v>0.31927710843373491</v>
      </c>
      <c r="BW792" s="232">
        <v>0.28514309764309764</v>
      </c>
      <c r="BX792" s="232">
        <v>0.30506043843474701</v>
      </c>
      <c r="BY792" s="232">
        <v>0.35047801147227531</v>
      </c>
      <c r="BZ792" s="232">
        <v>0.36151339608979</v>
      </c>
      <c r="CA792" s="232">
        <v>0.39420100993647172</v>
      </c>
      <c r="CB792" s="232">
        <v>0.492973708068903</v>
      </c>
      <c r="CC792" s="42">
        <v>0.48059108954565505</v>
      </c>
      <c r="CD792" s="42">
        <v>0.46526226194275988</v>
      </c>
      <c r="CE792" s="42">
        <v>0.48431989324182634</v>
      </c>
      <c r="CF792" s="42">
        <v>0.45721491623130966</v>
      </c>
      <c r="CG792" s="42">
        <v>0.46080622465027732</v>
      </c>
      <c r="CH792" s="42">
        <v>0.46684852618019246</v>
      </c>
      <c r="CI792" s="42">
        <v>0.4486437486925598</v>
      </c>
      <c r="CJ792" s="42">
        <v>0.38646513225695639</v>
      </c>
      <c r="CK792" s="42">
        <v>0.37730206201794425</v>
      </c>
      <c r="CL792" s="42">
        <v>0.3567831527544636</v>
      </c>
      <c r="CM792" s="45">
        <v>0.34704714640198508</v>
      </c>
      <c r="CN792" s="45">
        <v>0.33029153258729166</v>
      </c>
      <c r="CO792" s="45">
        <v>0.32632471764653365</v>
      </c>
      <c r="CP792" s="45">
        <v>0.32873865467808977</v>
      </c>
      <c r="CQ792" s="45">
        <v>0.31567462722754275</v>
      </c>
      <c r="CR792" s="45">
        <v>0.3066276494780133</v>
      </c>
      <c r="CS792" s="45">
        <v>0.26402375411283202</v>
      </c>
      <c r="CT792" s="45">
        <v>0.22710886806056235</v>
      </c>
      <c r="CU792" s="45">
        <v>0.21678380539539582</v>
      </c>
      <c r="CV792" s="45">
        <v>0.20094386487829111</v>
      </c>
      <c r="CW792" s="45">
        <v>0.21126817611081858</v>
      </c>
      <c r="CX792" s="45">
        <v>0.15032246176524783</v>
      </c>
      <c r="CY792" s="43">
        <v>0.16007948774563921</v>
      </c>
      <c r="CZ792" s="42">
        <v>0.15341534753220232</v>
      </c>
      <c r="DA792" s="42">
        <v>0.15527568819021209</v>
      </c>
      <c r="DB792" s="42">
        <v>0.15777158854429901</v>
      </c>
      <c r="DC792" s="42">
        <v>0.15978870187567781</v>
      </c>
      <c r="DD792" s="42">
        <v>0.16179068535155866</v>
      </c>
      <c r="DE792" s="42">
        <v>0.16274098304382184</v>
      </c>
      <c r="DF792" s="42">
        <v>0.16332740862204304</v>
      </c>
      <c r="DG792" s="232">
        <v>0.16415406278764375</v>
      </c>
      <c r="DH792" s="232">
        <v>0.16484528644821753</v>
      </c>
      <c r="DI792" s="232">
        <v>0.16555547334509949</v>
      </c>
    </row>
    <row r="793" spans="1:113" outlineLevel="1">
      <c r="A793" s="1" t="s">
        <v>812</v>
      </c>
      <c r="B793" s="19" t="s">
        <v>472</v>
      </c>
      <c r="C793" s="232">
        <v>0.58181408957911318</v>
      </c>
      <c r="D793" s="232">
        <v>0.57061152661680603</v>
      </c>
      <c r="E793" s="232">
        <v>0.57651481645289693</v>
      </c>
      <c r="F793" s="232">
        <v>0.60423634336677812</v>
      </c>
      <c r="G793" s="232">
        <v>0.5781440781440782</v>
      </c>
      <c r="H793" s="232">
        <v>0.61466129341777009</v>
      </c>
      <c r="I793" s="232">
        <v>0.5768939393939394</v>
      </c>
      <c r="J793" s="232">
        <v>0.52593950504124654</v>
      </c>
      <c r="K793" s="232">
        <v>0.53125553391181157</v>
      </c>
      <c r="L793" s="232">
        <v>0.4936772046589018</v>
      </c>
      <c r="M793" s="42">
        <v>0.49859990116949432</v>
      </c>
      <c r="N793" s="42">
        <v>0.47948757053530577</v>
      </c>
      <c r="O793" s="42">
        <v>0.4944277108433735</v>
      </c>
      <c r="P793" s="42">
        <v>0.48147092360319271</v>
      </c>
      <c r="Q793" s="42">
        <v>0.49733788395904438</v>
      </c>
      <c r="R793" s="42">
        <v>0.4725857799787761</v>
      </c>
      <c r="S793" s="42">
        <v>0.46900389538119086</v>
      </c>
      <c r="T793" s="45">
        <v>0.4403631861328931</v>
      </c>
      <c r="U793" s="42">
        <v>0.46258140279705351</v>
      </c>
      <c r="V793" s="42">
        <v>0.45261320464113358</v>
      </c>
      <c r="W793" s="42">
        <v>0.45191532258064515</v>
      </c>
      <c r="X793" s="42">
        <v>0.45541810984661057</v>
      </c>
      <c r="Y793" s="45">
        <v>0.45734196117471376</v>
      </c>
      <c r="Z793" s="45">
        <v>0.43415297890951504</v>
      </c>
      <c r="AA793" s="45">
        <v>0.4313520698822636</v>
      </c>
      <c r="AB793" s="45">
        <v>0.4261750986724076</v>
      </c>
      <c r="AC793" s="45">
        <v>0.42193192926330758</v>
      </c>
      <c r="AD793" s="45">
        <v>0.4190330007674597</v>
      </c>
      <c r="AE793" s="45">
        <v>0.42857142857142855</v>
      </c>
      <c r="AF793" s="45">
        <v>0.41948470209339772</v>
      </c>
      <c r="AG793" s="45">
        <v>0.42378518698791273</v>
      </c>
      <c r="AH793" s="45">
        <v>0.42649006622516555</v>
      </c>
      <c r="AI793" s="45">
        <v>0.41716855376214568</v>
      </c>
      <c r="AJ793" s="45">
        <v>0.43133844572693492</v>
      </c>
      <c r="AK793" s="45">
        <v>0.45131589668377742</v>
      </c>
      <c r="AL793" s="45">
        <v>0.42419864283256498</v>
      </c>
      <c r="AM793" s="45">
        <v>0.49502603735859219</v>
      </c>
      <c r="AN793" s="45">
        <v>0.43691258421359064</v>
      </c>
      <c r="AO793" s="45">
        <v>0.48926563298688019</v>
      </c>
      <c r="AP793" s="45">
        <v>0.46743583312432069</v>
      </c>
      <c r="AQ793" s="45">
        <v>0.47298072980729805</v>
      </c>
      <c r="AR793" s="45">
        <v>0.45345667795490213</v>
      </c>
      <c r="AS793" s="45">
        <v>0.47194404705134319</v>
      </c>
      <c r="AT793" s="45">
        <v>0.42376862658738895</v>
      </c>
      <c r="AU793" s="45">
        <v>0.45034043812907043</v>
      </c>
      <c r="AV793" s="45">
        <v>0.44039856399736244</v>
      </c>
      <c r="AW793" s="43">
        <v>0.45892791127541588</v>
      </c>
      <c r="AX793" s="42">
        <v>0.45194079015613275</v>
      </c>
      <c r="AY793" s="42">
        <v>0.45400611211196085</v>
      </c>
      <c r="AZ793" s="42">
        <v>0.45281353812178049</v>
      </c>
      <c r="BA793" s="42">
        <v>0.45652095194883718</v>
      </c>
      <c r="BB793" s="42">
        <v>0.45704272057245243</v>
      </c>
      <c r="BC793" s="42">
        <v>0.45976685114040283</v>
      </c>
      <c r="BD793" s="42">
        <v>0.45650089268689592</v>
      </c>
      <c r="BE793" s="42">
        <v>0.45627532697627154</v>
      </c>
      <c r="BF793" s="42">
        <v>0.45549435425640433</v>
      </c>
      <c r="BG793" s="42">
        <v>0.45921955186775804</v>
      </c>
      <c r="BH793" s="42">
        <v>0.45740971860471463</v>
      </c>
      <c r="BI793" s="42">
        <v>0.45913738777539548</v>
      </c>
      <c r="BJ793" s="42">
        <v>0.45727267041802117</v>
      </c>
      <c r="BK793" s="42">
        <v>0.45976436259367126</v>
      </c>
      <c r="BL793" s="232">
        <v>0.45781669293294924</v>
      </c>
      <c r="BM793" s="232">
        <v>0.45972614287523045</v>
      </c>
      <c r="BN793" s="232">
        <v>0.45563033093333027</v>
      </c>
      <c r="BO793" s="232">
        <v>0.4550490632262571</v>
      </c>
      <c r="BP793" s="232">
        <v>0.45089791900159465</v>
      </c>
      <c r="BQ793" s="232">
        <v>0.45026588718316257</v>
      </c>
      <c r="BR793" s="42"/>
      <c r="BS793" s="232">
        <v>0.6767676767676768</v>
      </c>
      <c r="BT793" s="232">
        <v>0.67643691321273181</v>
      </c>
      <c r="BU793" s="232">
        <v>0.67715426156374736</v>
      </c>
      <c r="BV793" s="232">
        <v>0.63317555938037862</v>
      </c>
      <c r="BW793" s="232">
        <v>0.60248316498316501</v>
      </c>
      <c r="BX793" s="232">
        <v>0.59905757017004713</v>
      </c>
      <c r="BY793" s="232">
        <v>0.58107074569789674</v>
      </c>
      <c r="BZ793" s="232">
        <v>0.55575669804489503</v>
      </c>
      <c r="CA793" s="232">
        <v>0.55497638051799969</v>
      </c>
      <c r="CB793" s="232">
        <v>0.5859020852221215</v>
      </c>
      <c r="CC793" s="42">
        <v>0.57355535950595504</v>
      </c>
      <c r="CD793" s="42">
        <v>0.59059474412171509</v>
      </c>
      <c r="CE793" s="42">
        <v>0.59565341721475551</v>
      </c>
      <c r="CF793" s="42">
        <v>0.52864348765988112</v>
      </c>
      <c r="CG793" s="42">
        <v>0.49615098087906628</v>
      </c>
      <c r="CH793" s="42">
        <v>0.48700462226263547</v>
      </c>
      <c r="CI793" s="42">
        <v>0.48957534342096087</v>
      </c>
      <c r="CJ793" s="42">
        <v>0.47074315813580669</v>
      </c>
      <c r="CK793" s="42">
        <v>0.45128285849205102</v>
      </c>
      <c r="CL793" s="42">
        <v>0.45226105091815455</v>
      </c>
      <c r="CM793" s="45">
        <v>0.45637717121588089</v>
      </c>
      <c r="CN793" s="45">
        <v>0.43273617981845253</v>
      </c>
      <c r="CO793" s="45">
        <v>0.42404356948350519</v>
      </c>
      <c r="CP793" s="45">
        <v>0.423827296632454</v>
      </c>
      <c r="CQ793" s="45">
        <v>0.42162686386228632</v>
      </c>
      <c r="CR793" s="45">
        <v>0.42189971527997472</v>
      </c>
      <c r="CS793" s="45">
        <v>0.44117647058823528</v>
      </c>
      <c r="CT793" s="45">
        <v>0.45905254675770812</v>
      </c>
      <c r="CU793" s="45">
        <v>0.46277513572661083</v>
      </c>
      <c r="CV793" s="45">
        <v>0.47023513826792518</v>
      </c>
      <c r="CW793" s="45">
        <v>0.46287820486856496</v>
      </c>
      <c r="CX793" s="45">
        <v>0.43700018426386583</v>
      </c>
      <c r="CY793" s="43">
        <v>0.44962096121292411</v>
      </c>
      <c r="CZ793" s="42">
        <v>0.4529703727129652</v>
      </c>
      <c r="DA793" s="42">
        <v>0.45465857531572973</v>
      </c>
      <c r="DB793" s="42">
        <v>0.45839985361887747</v>
      </c>
      <c r="DC793" s="42">
        <v>0.45638813635575382</v>
      </c>
      <c r="DD793" s="42">
        <v>0.45735158898369854</v>
      </c>
      <c r="DE793" s="42">
        <v>0.45827320720722259</v>
      </c>
      <c r="DF793" s="42">
        <v>0.45851824442171113</v>
      </c>
      <c r="DG793" s="232">
        <v>0.45877396501828038</v>
      </c>
      <c r="DH793" s="232">
        <v>0.45533962951080037</v>
      </c>
      <c r="DI793" s="232">
        <v>0.45058182553686232</v>
      </c>
    </row>
    <row r="794" spans="1:113" outlineLevel="1">
      <c r="A794" s="1" t="s">
        <v>813</v>
      </c>
      <c r="B794" s="19" t="s">
        <v>408</v>
      </c>
      <c r="C794" s="232"/>
      <c r="D794" s="232"/>
      <c r="E794" s="232">
        <v>-1.0290931626369959E-2</v>
      </c>
      <c r="F794" s="232">
        <v>-4.7691234449082187E-2</v>
      </c>
      <c r="G794" s="232">
        <v>4.7312690518209521E-2</v>
      </c>
      <c r="H794" s="232">
        <v>-6.6980362122917469E-2</v>
      </c>
      <c r="I794" s="232">
        <v>6.2257767482305937E-2</v>
      </c>
      <c r="J794" s="232">
        <v>9.1252934797747765E-2</v>
      </c>
      <c r="K794" s="232">
        <v>-1.0463441977023535E-2</v>
      </c>
      <c r="L794" s="232">
        <v>7.5281919603329306E-2</v>
      </c>
      <c r="M794" s="42">
        <v>-1.0072696500103451E-2</v>
      </c>
      <c r="N794" s="42">
        <v>4.1400578780434127E-2</v>
      </c>
      <c r="O794" s="42">
        <v>-3.1552968080651889E-2</v>
      </c>
      <c r="P794" s="42">
        <v>2.7689558110602697E-2</v>
      </c>
      <c r="Q794" s="42">
        <v>-3.4406596982419435E-2</v>
      </c>
      <c r="R794" s="42">
        <v>5.7623550331225681E-2</v>
      </c>
      <c r="S794" s="42">
        <v>8.0297487797662548E-3</v>
      </c>
      <c r="T794" s="45">
        <v>6.5872271958828277E-2</v>
      </c>
      <c r="U794" s="42">
        <v>-4.8762426310494544E-2</v>
      </c>
      <c r="V794" s="42">
        <v>2.2404865414378916E-2</v>
      </c>
      <c r="W794" s="42">
        <v>1.5705512795021193E-3</v>
      </c>
      <c r="X794" s="42">
        <v>-7.8955309664467954E-3</v>
      </c>
      <c r="Y794" s="45">
        <v>-4.1992800066920077E-3</v>
      </c>
      <c r="Z794" s="45">
        <v>5.1935445913502409E-2</v>
      </c>
      <c r="AA794" s="45">
        <v>6.6037998377015406E-3</v>
      </c>
      <c r="AB794" s="45">
        <v>1.2703692504396624E-2</v>
      </c>
      <c r="AC794" s="45">
        <v>1.0050175828373642E-2</v>
      </c>
      <c r="AD794" s="45">
        <v>7.1600114723688879E-3</v>
      </c>
      <c r="AE794" s="45">
        <v>-2.30036442622783E-2</v>
      </c>
      <c r="AF794" s="45">
        <v>2.2220347087446912E-2</v>
      </c>
      <c r="AG794" s="45">
        <v>-1.0175062820477199E-2</v>
      </c>
      <c r="AH794" s="45">
        <v>-6.6456977431357256E-3</v>
      </c>
      <c r="AI794" s="45">
        <v>2.1205844848736999E-2</v>
      </c>
      <c r="AJ794" s="45">
        <v>-3.4501436662679463E-2</v>
      </c>
      <c r="AK794" s="45">
        <v>-4.493827998411426E-2</v>
      </c>
      <c r="AL794" s="45">
        <v>5.8630154486777775E-2</v>
      </c>
      <c r="AM794" s="45">
        <v>-0.16177106344799674</v>
      </c>
      <c r="AN794" s="45">
        <v>0.12164266904513832</v>
      </c>
      <c r="AO794" s="45">
        <v>-0.11698459670681016</v>
      </c>
      <c r="AP794" s="45">
        <v>4.5465129053817499E-2</v>
      </c>
      <c r="AQ794" s="45">
        <v>-1.2094440180452359E-2</v>
      </c>
      <c r="AR794" s="45">
        <v>4.0980876521663934E-2</v>
      </c>
      <c r="AS794" s="45">
        <v>-4.2369413109548448E-2</v>
      </c>
      <c r="AT794" s="45">
        <v>0.11052437739650534</v>
      </c>
      <c r="AU794" s="45">
        <v>-6.2192675827334121E-2</v>
      </c>
      <c r="AV794" s="45">
        <v>2.230018734982453E-2</v>
      </c>
      <c r="AW794" s="43">
        <v>-4.1691802018910873E-2</v>
      </c>
      <c r="AX794" s="42">
        <v>1.5671979678440362E-2</v>
      </c>
      <c r="AY794" s="42">
        <v>-4.5427297444928794E-3</v>
      </c>
      <c r="AZ794" s="42">
        <v>2.7018574774737569E-3</v>
      </c>
      <c r="BA794" s="42">
        <v>-8.1112777696298322E-3</v>
      </c>
      <c r="BB794" s="42">
        <v>-1.1708008053110674E-3</v>
      </c>
      <c r="BC794" s="42">
        <v>-5.9173304368776991E-3</v>
      </c>
      <c r="BD794" s="42">
        <v>7.294809601409602E-3</v>
      </c>
      <c r="BE794" s="42">
        <v>4.9388652355764062E-4</v>
      </c>
      <c r="BF794" s="42">
        <v>1.7581910658210909E-3</v>
      </c>
      <c r="BG794" s="42">
        <v>-8.1313914817557897E-3</v>
      </c>
      <c r="BH794" s="42">
        <v>4.0764493255214251E-3</v>
      </c>
      <c r="BI794" s="42">
        <v>-3.774047037494066E-3</v>
      </c>
      <c r="BJ794" s="42">
        <v>4.2014533107501695E-3</v>
      </c>
      <c r="BK794" s="42">
        <v>-5.4466497515939238E-3</v>
      </c>
      <c r="BL794" s="232">
        <v>4.3740479971974278E-3</v>
      </c>
      <c r="BM794" s="232">
        <v>-4.193087939363016E-3</v>
      </c>
      <c r="BN794" s="232">
        <v>9.2065857998118172E-3</v>
      </c>
      <c r="BO794" s="232">
        <v>1.2763374306223874E-3</v>
      </c>
      <c r="BP794" s="232">
        <v>9.4491782912788924E-3</v>
      </c>
      <c r="BQ794" s="232">
        <v>1.402406376258325E-3</v>
      </c>
      <c r="BR794" s="42"/>
      <c r="BS794" s="232" t="e">
        <v>#DIV/0!</v>
      </c>
      <c r="BT794" s="232">
        <v>4.5869941074772047E-4</v>
      </c>
      <c r="BU794" s="232">
        <v>-1.0342541052724696E-3</v>
      </c>
      <c r="BV794" s="232">
        <v>7.0878296722710621E-2</v>
      </c>
      <c r="BW794" s="232">
        <v>4.9558361595500977E-2</v>
      </c>
      <c r="BX794" s="232">
        <v>5.8401426066463369E-3</v>
      </c>
      <c r="BY794" s="232">
        <v>3.217205608390783E-2</v>
      </c>
      <c r="BZ794" s="232">
        <v>4.6013425217236392E-2</v>
      </c>
      <c r="CA794" s="232">
        <v>1.5603808787003626E-3</v>
      </c>
      <c r="CB794" s="232">
        <v>-8.0096395159721334E-2</v>
      </c>
      <c r="CC794" s="42">
        <v>2.1655727039496808E-2</v>
      </c>
      <c r="CD794" s="42">
        <v>-3.079276600721581E-2</v>
      </c>
      <c r="CE794" s="42">
        <v>-9.5605367355588999E-3</v>
      </c>
      <c r="CF794" s="42">
        <v>0.11905012608708831</v>
      </c>
      <c r="CG794" s="42">
        <v>6.6883962245531281E-2</v>
      </c>
      <c r="CH794" s="42">
        <v>2.0137553330169755E-2</v>
      </c>
      <c r="CI794" s="42">
        <v>-5.7362240752365512E-3</v>
      </c>
      <c r="CJ794" s="42">
        <v>4.684844725687265E-2</v>
      </c>
      <c r="CK794" s="42">
        <v>4.5109930784521968E-2</v>
      </c>
      <c r="CL794" s="42">
        <v>-2.2358196610592351E-3</v>
      </c>
      <c r="CM794" s="45">
        <v>-9.3285146776724837E-3</v>
      </c>
      <c r="CN794" s="45">
        <v>5.3526433436913323E-2</v>
      </c>
      <c r="CO794" s="45">
        <v>2.1611893908230373E-2</v>
      </c>
      <c r="CP794" s="45">
        <v>5.3682295842572003E-4</v>
      </c>
      <c r="CQ794" s="45">
        <v>5.4492254341376167E-3</v>
      </c>
      <c r="CR794" s="45">
        <v>-6.6128681718446991E-4</v>
      </c>
      <c r="CS794" s="45">
        <v>-4.502908386844795E-2</v>
      </c>
      <c r="CT794" s="45">
        <v>-3.833560709413375E-2</v>
      </c>
      <c r="CU794" s="45">
        <v>-8.1718806809032429E-3</v>
      </c>
      <c r="CV794" s="45">
        <v>-1.6388124898871315E-2</v>
      </c>
      <c r="CW794" s="45">
        <v>1.5990433021991768E-2</v>
      </c>
      <c r="CX794" s="45">
        <v>6.1445580075998318E-2</v>
      </c>
      <c r="CY794" s="43">
        <v>-2.8921992984795697E-2</v>
      </c>
      <c r="CZ794" s="42">
        <v>-7.6104964008798515E-3</v>
      </c>
      <c r="DA794" s="42">
        <v>-3.8042630285288759E-3</v>
      </c>
      <c r="DB794" s="42">
        <v>-8.3597761491001066E-3</v>
      </c>
      <c r="DC794" s="42">
        <v>4.4893742418525839E-3</v>
      </c>
      <c r="DD794" s="42">
        <v>-2.1617334245818132E-3</v>
      </c>
      <c r="DE794" s="42">
        <v>-2.0774868366528754E-3</v>
      </c>
      <c r="DF794" s="42">
        <v>-5.5279989546885844E-4</v>
      </c>
      <c r="DG794" s="42">
        <v>-5.772686664582416E-4</v>
      </c>
      <c r="DH794" s="42">
        <v>7.7581799202719459E-3</v>
      </c>
      <c r="DI794" s="42">
        <v>1.0828370159377876E-2</v>
      </c>
    </row>
    <row r="795" spans="1:113" outlineLevel="1">
      <c r="A795" s="1" t="s">
        <v>2106</v>
      </c>
      <c r="B795" s="19" t="s">
        <v>2107</v>
      </c>
      <c r="C795" s="230">
        <v>1.3543332644811001</v>
      </c>
      <c r="D795" s="230">
        <v>1.3230290954041439</v>
      </c>
      <c r="E795" s="230">
        <v>1.305153028534314</v>
      </c>
      <c r="F795" s="230">
        <v>1.2923831501286156</v>
      </c>
      <c r="G795" s="230">
        <v>1.3158164260632073</v>
      </c>
      <c r="H795" s="230">
        <v>1.3563183266232228</v>
      </c>
      <c r="I795" s="230">
        <v>1.4163513894452604</v>
      </c>
      <c r="J795" s="230">
        <v>1.5098383176582479</v>
      </c>
      <c r="K795" s="230">
        <v>1.5722727179466136</v>
      </c>
      <c r="L795" s="230">
        <v>1.653797705831904</v>
      </c>
      <c r="M795" s="230">
        <v>1.705560249683965</v>
      </c>
      <c r="N795" s="230">
        <v>1.7093410563181934</v>
      </c>
      <c r="O795" s="230">
        <v>1.6270376630515755</v>
      </c>
      <c r="P795" s="230">
        <v>1.6469823486394639</v>
      </c>
      <c r="Q795" s="230">
        <v>1.6425336090535165</v>
      </c>
      <c r="R795" s="230">
        <v>1.5629544451817086</v>
      </c>
      <c r="S795" s="230">
        <v>1.60692378992135</v>
      </c>
      <c r="T795" s="230">
        <v>1.615877458571964</v>
      </c>
      <c r="U795" s="230">
        <v>1.5582281525348025</v>
      </c>
      <c r="V795" s="230">
        <v>1.4934000732657926</v>
      </c>
      <c r="W795" s="230">
        <v>1.45659093530158</v>
      </c>
      <c r="X795" s="230">
        <v>1.3990776641358231</v>
      </c>
      <c r="Y795" s="230">
        <v>1.3985974717583012</v>
      </c>
      <c r="Z795" s="386">
        <v>1.3975936708827958</v>
      </c>
      <c r="AA795" s="386">
        <v>1.3845087138792862</v>
      </c>
      <c r="AB795" s="386">
        <v>1.3730706175665566</v>
      </c>
      <c r="AC795" s="386">
        <v>1.3730159997991753</v>
      </c>
      <c r="AD795" s="386">
        <v>1.3646734734034414</v>
      </c>
      <c r="AE795" s="386">
        <v>1.347440433273529</v>
      </c>
      <c r="AF795" s="386">
        <v>1.3440740570570151</v>
      </c>
      <c r="AG795" s="386">
        <v>1.3494858713549176</v>
      </c>
      <c r="AH795" s="386">
        <v>1.3267344694683763</v>
      </c>
      <c r="AI795" s="386">
        <v>1.31793704695942</v>
      </c>
      <c r="AJ795" s="386">
        <v>1.3079608198007762</v>
      </c>
      <c r="AK795" s="386">
        <v>1.3159591560610544</v>
      </c>
      <c r="AL795" s="386">
        <v>1.3183903908916559</v>
      </c>
      <c r="AM795" s="386">
        <v>1.3241396615627499</v>
      </c>
      <c r="AN795" s="386">
        <v>1.285545512038593</v>
      </c>
      <c r="AO795" s="386">
        <v>1.2150182356270669</v>
      </c>
      <c r="AP795" s="386">
        <v>1.1635477297051622</v>
      </c>
      <c r="AQ795" s="386">
        <v>1.1634049251324645</v>
      </c>
      <c r="AR795" s="386">
        <v>1.1457342265083115</v>
      </c>
      <c r="AS795" s="386">
        <v>1.1351801798909869</v>
      </c>
      <c r="AT795" s="386">
        <v>1.140952128285283</v>
      </c>
      <c r="AU795" s="386">
        <v>1.1393316151370807</v>
      </c>
      <c r="AV795" s="386">
        <v>1.1238773325324083</v>
      </c>
      <c r="AW795" s="231">
        <v>1.137211910402111</v>
      </c>
      <c r="AX795" s="230">
        <v>1.1370687531161872</v>
      </c>
      <c r="AY795" s="230">
        <v>1.1362242720602924</v>
      </c>
      <c r="AZ795" s="230">
        <v>1.1350624648569116</v>
      </c>
      <c r="BA795" s="230">
        <v>1.1343154030819413</v>
      </c>
      <c r="BB795" s="230">
        <v>1.133610902940364</v>
      </c>
      <c r="BC795" s="230">
        <v>1.1333416077416678</v>
      </c>
      <c r="BD795" s="230">
        <v>1.1330763958410668</v>
      </c>
      <c r="BE795" s="230">
        <v>1.1328151693341173</v>
      </c>
      <c r="BF795" s="230">
        <v>1.1325578334456239</v>
      </c>
      <c r="BG795" s="230">
        <v>1.1323042964057362</v>
      </c>
      <c r="BH795" s="230">
        <v>1.1320544693318852</v>
      </c>
      <c r="BI795" s="230">
        <v>1.131808266116243</v>
      </c>
      <c r="BJ795" s="230">
        <v>1.1315656033184047</v>
      </c>
      <c r="BK795" s="230">
        <v>1.1315945294895438</v>
      </c>
      <c r="BL795" s="230">
        <v>1.1316234003311221</v>
      </c>
      <c r="BM795" s="230">
        <v>1.1316522156735904</v>
      </c>
      <c r="BN795" s="230">
        <v>1.1316809753467754</v>
      </c>
      <c r="BO795" s="230">
        <v>1.13170967917989</v>
      </c>
      <c r="BP795" s="230">
        <v>1.1317383270015358</v>
      </c>
      <c r="BQ795" s="230">
        <v>1.1317669186397117</v>
      </c>
      <c r="BR795" s="232"/>
      <c r="BS795" s="230">
        <v>0.85816664254307917</v>
      </c>
      <c r="BT795" s="230">
        <v>0.81550018414965109</v>
      </c>
      <c r="BU795" s="230">
        <v>0.83401123812923006</v>
      </c>
      <c r="BV795" s="230">
        <v>0.87606711331037601</v>
      </c>
      <c r="BW795" s="230">
        <v>1.0652846163083944</v>
      </c>
      <c r="BX795" s="230">
        <v>1.1267246202764851</v>
      </c>
      <c r="BY795" s="230">
        <v>1.1680652889703151</v>
      </c>
      <c r="BZ795" s="230">
        <v>1.2988420390182505</v>
      </c>
      <c r="CA795" s="230">
        <v>1.4141550536432015</v>
      </c>
      <c r="CB795" s="230">
        <v>1.3543332644811001</v>
      </c>
      <c r="CC795" s="230">
        <v>1.305153028534314</v>
      </c>
      <c r="CD795" s="230">
        <v>1.3158164260632073</v>
      </c>
      <c r="CE795" s="230">
        <v>1.4163513894452604</v>
      </c>
      <c r="CF795" s="230">
        <v>1.5722727179466136</v>
      </c>
      <c r="CG795" s="230">
        <v>1.705560249683965</v>
      </c>
      <c r="CH795" s="230">
        <v>1.6270376630515755</v>
      </c>
      <c r="CI795" s="230">
        <v>1.6425336090535165</v>
      </c>
      <c r="CJ795" s="230">
        <v>1.60692378992135</v>
      </c>
      <c r="CK795" s="230">
        <v>1.5582281525348025</v>
      </c>
      <c r="CL795" s="230">
        <v>1.45659093530158</v>
      </c>
      <c r="CM795" s="386">
        <v>1.3985974717583012</v>
      </c>
      <c r="CN795" s="386">
        <v>1.3845087138792862</v>
      </c>
      <c r="CO795" s="386">
        <v>1.3730159997991753</v>
      </c>
      <c r="CP795" s="386">
        <v>1.347440433273529</v>
      </c>
      <c r="CQ795" s="386">
        <v>1.3494858713549176</v>
      </c>
      <c r="CR795" s="386">
        <v>1.31793704695942</v>
      </c>
      <c r="CS795" s="386">
        <v>1.3159591560610544</v>
      </c>
      <c r="CT795" s="386">
        <v>1.3241396615627499</v>
      </c>
      <c r="CU795" s="386">
        <v>1.2150182356270669</v>
      </c>
      <c r="CV795" s="386">
        <v>1.1634049251324645</v>
      </c>
      <c r="CW795" s="386">
        <v>1.1351801798909869</v>
      </c>
      <c r="CX795" s="386">
        <v>1.1393316151370807</v>
      </c>
      <c r="CY795" s="231">
        <v>1.137211910402111</v>
      </c>
      <c r="CZ795" s="230">
        <v>1.1362242720602924</v>
      </c>
      <c r="DA795" s="230">
        <v>1.1343154030819413</v>
      </c>
      <c r="DB795" s="230">
        <v>1.1333416077416678</v>
      </c>
      <c r="DC795" s="230">
        <v>1.1328151693341173</v>
      </c>
      <c r="DD795" s="230">
        <v>1.1323042964057362</v>
      </c>
      <c r="DE795" s="230">
        <v>1.131808266116243</v>
      </c>
      <c r="DF795" s="230">
        <v>1.1315945294895438</v>
      </c>
      <c r="DG795" s="230">
        <v>1.1316522156735904</v>
      </c>
      <c r="DH795" s="230">
        <v>1.13170967917989</v>
      </c>
      <c r="DI795" s="230">
        <v>1.1317669186397117</v>
      </c>
    </row>
    <row r="796" spans="1:113" hidden="1" outlineLevel="2">
      <c r="A796" s="1" t="s">
        <v>814</v>
      </c>
      <c r="B796" s="19" t="s">
        <v>801</v>
      </c>
      <c r="AW796" s="22"/>
      <c r="CY796" s="22"/>
    </row>
    <row r="797" spans="1:113" hidden="1" outlineLevel="2">
      <c r="A797" s="1" t="s">
        <v>43</v>
      </c>
      <c r="B797" s="19" t="s">
        <v>801</v>
      </c>
      <c r="AW797" s="22"/>
      <c r="CY797" s="22"/>
    </row>
    <row r="798" spans="1:113" hidden="1" outlineLevel="2">
      <c r="A798" s="1" t="s">
        <v>44</v>
      </c>
      <c r="B798" s="19" t="s">
        <v>801</v>
      </c>
      <c r="AW798" s="22"/>
      <c r="CY798" s="22"/>
    </row>
    <row r="799" spans="1:113" hidden="1" outlineLevel="2">
      <c r="A799" s="1" t="s">
        <v>45</v>
      </c>
      <c r="B799" s="19" t="s">
        <v>801</v>
      </c>
      <c r="AW799" s="22"/>
      <c r="CY799" s="22"/>
    </row>
    <row r="800" spans="1:113" hidden="1" outlineLevel="2">
      <c r="A800" s="1" t="s">
        <v>46</v>
      </c>
      <c r="B800" s="19" t="s">
        <v>801</v>
      </c>
      <c r="AW800" s="22"/>
      <c r="CY800" s="22"/>
    </row>
    <row r="801" spans="1:113" hidden="1" outlineLevel="2">
      <c r="A801" s="1" t="s">
        <v>47</v>
      </c>
      <c r="B801" s="19" t="s">
        <v>801</v>
      </c>
      <c r="AW801" s="22"/>
      <c r="CY801" s="22"/>
    </row>
    <row r="802" spans="1:113" hidden="1" outlineLevel="2">
      <c r="A802" s="1" t="s">
        <v>48</v>
      </c>
      <c r="B802" s="19" t="s">
        <v>801</v>
      </c>
      <c r="AW802" s="22"/>
      <c r="CY802" s="22"/>
    </row>
    <row r="803" spans="1:113" hidden="1" outlineLevel="2">
      <c r="A803" s="1" t="s">
        <v>141</v>
      </c>
      <c r="B803" s="19" t="s">
        <v>801</v>
      </c>
      <c r="AW803" s="22"/>
      <c r="CY803" s="22"/>
    </row>
    <row r="804" spans="1:113" hidden="1" outlineLevel="2">
      <c r="A804" s="1" t="s">
        <v>142</v>
      </c>
      <c r="B804" s="19" t="s">
        <v>801</v>
      </c>
      <c r="AW804" s="22"/>
      <c r="CY804" s="22"/>
    </row>
    <row r="805" spans="1:113" hidden="1" outlineLevel="2">
      <c r="A805" s="1" t="s">
        <v>143</v>
      </c>
      <c r="B805" s="19" t="s">
        <v>801</v>
      </c>
      <c r="AW805" s="22"/>
      <c r="CY805" s="22"/>
    </row>
    <row r="806" spans="1:113" outlineLevel="1" collapsed="1">
      <c r="AW806" s="22"/>
      <c r="CY806" s="22"/>
    </row>
    <row r="807" spans="1:113" s="24" customFormat="1" outlineLevel="1">
      <c r="A807" s="1"/>
      <c r="B807" s="24" t="s">
        <v>570</v>
      </c>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497"/>
      <c r="AB807" s="13"/>
      <c r="AC807" s="13"/>
      <c r="AD807" s="13"/>
      <c r="AE807" s="13"/>
      <c r="AF807" s="13"/>
      <c r="AG807" s="13"/>
      <c r="AH807" s="13"/>
      <c r="AI807" s="13"/>
      <c r="AJ807" s="13"/>
      <c r="AW807" s="645"/>
      <c r="AX807" s="13"/>
      <c r="AY807" s="13"/>
      <c r="AZ807" s="13"/>
      <c r="BA807" s="13"/>
      <c r="BB807" s="13"/>
      <c r="BC807" s="13"/>
      <c r="BD807" s="13"/>
      <c r="BE807" s="13"/>
      <c r="BF807" s="13"/>
      <c r="BG807" s="13"/>
      <c r="BH807" s="13"/>
      <c r="BI807" s="13"/>
      <c r="BJ807" s="13"/>
      <c r="BK807" s="13"/>
      <c r="BL807" s="13"/>
      <c r="BM807" s="13"/>
      <c r="BN807" s="13"/>
      <c r="BO807" s="13"/>
      <c r="BP807" s="13"/>
      <c r="BQ807" s="13"/>
      <c r="BR807" s="13"/>
      <c r="BS807" s="13"/>
      <c r="BT807" s="13"/>
      <c r="BU807" s="13"/>
      <c r="BV807" s="13"/>
      <c r="BW807" s="13"/>
      <c r="BX807" s="13"/>
      <c r="BY807" s="13"/>
      <c r="BZ807" s="13"/>
      <c r="CA807" s="13"/>
      <c r="CB807" s="13"/>
      <c r="CC807" s="13"/>
      <c r="CD807" s="13"/>
      <c r="CE807" s="13"/>
      <c r="CF807" s="13"/>
      <c r="CG807" s="13"/>
      <c r="CH807" s="13"/>
      <c r="CI807" s="13"/>
      <c r="CJ807" s="13"/>
      <c r="CK807" s="13"/>
      <c r="CL807" s="13"/>
      <c r="CM807" s="13"/>
      <c r="CN807" s="13"/>
      <c r="CO807" s="13"/>
      <c r="CP807" s="13"/>
      <c r="CQ807" s="13"/>
      <c r="CR807" s="13"/>
      <c r="CS807" s="13"/>
      <c r="CT807" s="13"/>
      <c r="CU807" s="13"/>
      <c r="CV807" s="13"/>
      <c r="CW807" s="13"/>
      <c r="CX807" s="13"/>
      <c r="CY807" s="23"/>
      <c r="CZ807" s="13"/>
      <c r="DA807" s="13"/>
      <c r="DB807" s="13"/>
    </row>
    <row r="808" spans="1:113" outlineLevel="1">
      <c r="A808" s="1" t="s">
        <v>815</v>
      </c>
      <c r="B808" s="19" t="s">
        <v>422</v>
      </c>
      <c r="C808" s="235">
        <v>7.0005714473089283E-3</v>
      </c>
      <c r="D808" s="235">
        <v>7.2893169724703721E-3</v>
      </c>
      <c r="E808" s="235">
        <v>4.5067632198106068E-3</v>
      </c>
      <c r="F808" s="235">
        <v>4.8972866276860453E-3</v>
      </c>
      <c r="G808" s="235">
        <v>5.2600291127882096E-3</v>
      </c>
      <c r="H808" s="235">
        <v>3.1366174323372146E-3</v>
      </c>
      <c r="I808" s="235">
        <v>3.9975881650466975E-3</v>
      </c>
      <c r="J808" s="235">
        <v>2.8152884544193116E-3</v>
      </c>
      <c r="K808" s="235">
        <v>4.1258562064753279E-3</v>
      </c>
      <c r="L808" s="235">
        <v>4.2856231908203132E-3</v>
      </c>
      <c r="M808" s="48">
        <v>4.3182680055232313E-3</v>
      </c>
      <c r="N808" s="48">
        <v>4.1095840058185638E-3</v>
      </c>
      <c r="O808" s="48">
        <v>3.6731083755519567E-3</v>
      </c>
      <c r="P808" s="48">
        <v>3.0372327390481109E-3</v>
      </c>
      <c r="Q808" s="48">
        <v>3.1453270511320837E-3</v>
      </c>
      <c r="R808" s="48">
        <v>2.5992616667286981E-3</v>
      </c>
      <c r="S808" s="48">
        <v>9.3206212688692943E-3</v>
      </c>
      <c r="T808" s="50">
        <v>1.2128869787276952E-2</v>
      </c>
      <c r="U808" s="48">
        <v>1.00976631631824E-2</v>
      </c>
      <c r="V808" s="48">
        <v>8.388637410654369E-3</v>
      </c>
      <c r="W808" s="48">
        <v>1.1132286948869901E-2</v>
      </c>
      <c r="X808" s="48">
        <v>8.0981646262467052E-3</v>
      </c>
      <c r="Y808" s="50">
        <v>9.840124269080177E-3</v>
      </c>
      <c r="Z808" s="50">
        <v>9.8599752159305911E-3</v>
      </c>
      <c r="AA808" s="50">
        <v>8.4599869777025657E-3</v>
      </c>
      <c r="AB808" s="50">
        <v>7.6043604081508847E-3</v>
      </c>
      <c r="AC808" s="50">
        <v>8.7815978494224251E-3</v>
      </c>
      <c r="AD808" s="50">
        <v>4.8543777923497258E-3</v>
      </c>
      <c r="AE808" s="50">
        <v>7.2632196454277872E-3</v>
      </c>
      <c r="AF808" s="50">
        <v>4.7048909311244351E-3</v>
      </c>
      <c r="AG808" s="50">
        <v>5.8109125407603988E-3</v>
      </c>
      <c r="AH808" s="50">
        <v>4.6029542143457714E-3</v>
      </c>
      <c r="AI808" s="50">
        <v>5.1096304957075588E-3</v>
      </c>
      <c r="AJ808" s="50">
        <v>4.7283362905632675E-3</v>
      </c>
      <c r="AK808" s="50">
        <v>5.6218297375824587E-3</v>
      </c>
      <c r="AL808" s="50">
        <v>4.9442199671610098E-3</v>
      </c>
      <c r="AM808" s="50">
        <v>5.4780261407011222E-3</v>
      </c>
      <c r="AN808" s="50">
        <v>4.1827893455683336E-3</v>
      </c>
      <c r="AO808" s="50">
        <v>4.9711873091360737E-3</v>
      </c>
      <c r="AP808" s="50">
        <v>3.9200844725321904E-3</v>
      </c>
      <c r="AQ808" s="50">
        <v>2.7222082173706886E-3</v>
      </c>
      <c r="AR808" s="50">
        <v>2.8749702584086627E-3</v>
      </c>
      <c r="AS808" s="50">
        <v>1.9982252081177016E-3</v>
      </c>
      <c r="AT808" s="50">
        <v>2.9201347047808713E-3</v>
      </c>
      <c r="AU808" s="50">
        <v>1.6760400838738952E-3</v>
      </c>
      <c r="AV808" s="50">
        <v>2.5151748889331261E-3</v>
      </c>
      <c r="AW808" s="49">
        <v>2.7652009419844559E-3</v>
      </c>
      <c r="AX808" s="48">
        <v>2.5774744809561037E-3</v>
      </c>
      <c r="AY808" s="48">
        <v>3.514999399961383E-3</v>
      </c>
      <c r="AZ808" s="48">
        <v>4.079647302526049E-3</v>
      </c>
      <c r="BA808" s="48">
        <v>4.0765253850203785E-3</v>
      </c>
      <c r="BB808" s="48">
        <v>4.0693176201979774E-3</v>
      </c>
      <c r="BC808" s="48">
        <v>4.0605923383956579E-3</v>
      </c>
      <c r="BD808" s="48">
        <v>4.0505351948019932E-3</v>
      </c>
      <c r="BE808" s="48">
        <v>4.0405115058986113E-3</v>
      </c>
      <c r="BF808" s="48">
        <v>4.0305226309763674E-3</v>
      </c>
      <c r="BG808" s="48">
        <v>4.0205698650453781E-3</v>
      </c>
      <c r="BH808" s="48">
        <v>4.0106544412285379E-3</v>
      </c>
      <c r="BI808" s="48">
        <v>4.000777533059087E-3</v>
      </c>
      <c r="BJ808" s="48">
        <v>3.990940256686646E-3</v>
      </c>
      <c r="BK808" s="48">
        <v>9.1189767505716664E-3</v>
      </c>
      <c r="BL808" s="235">
        <v>1.7179391432704343E-2</v>
      </c>
      <c r="BM808" s="235">
        <v>1.7167900565057168E-2</v>
      </c>
      <c r="BN808" s="235">
        <v>5.7793457919339672E-3</v>
      </c>
      <c r="BO808" s="235">
        <v>5.7632187960122063E-3</v>
      </c>
      <c r="BP808" s="235">
        <v>5.7472393720803946E-3</v>
      </c>
      <c r="BQ808" s="235">
        <v>5.7314062388271643E-3</v>
      </c>
      <c r="BR808" s="48"/>
      <c r="BS808" s="235">
        <v>1.1807236272345364E-2</v>
      </c>
      <c r="BT808" s="235">
        <v>2.9965671281227294E-2</v>
      </c>
      <c r="BU808" s="235">
        <v>6.6209458902435686E-3</v>
      </c>
      <c r="BV808" s="235">
        <v>7.723822152846822E-3</v>
      </c>
      <c r="BW808" s="235">
        <v>3.7548486323046104E-3</v>
      </c>
      <c r="BX808" s="235">
        <v>-5.7742248748999456E-3</v>
      </c>
      <c r="BY808" s="235">
        <v>3.4437381822743861E-3</v>
      </c>
      <c r="BZ808" s="235">
        <v>4.0814184964277972E-3</v>
      </c>
      <c r="CA808" s="235">
        <v>3.1405005925162453E-3</v>
      </c>
      <c r="CB808" s="235">
        <v>7.334801798552058E-3</v>
      </c>
      <c r="CC808" s="48">
        <v>5.9045219072631243E-3</v>
      </c>
      <c r="CD808" s="48">
        <v>5.0760023347913253E-3</v>
      </c>
      <c r="CE808" s="48">
        <v>3.5581042203620314E-3</v>
      </c>
      <c r="CF808" s="48">
        <v>3.5011282080707473E-3</v>
      </c>
      <c r="CG808" s="48">
        <v>4.3115137531631303E-3</v>
      </c>
      <c r="CH808" s="48">
        <v>3.7305411471753804E-3</v>
      </c>
      <c r="CI808" s="48">
        <v>3.1293452562639514E-3</v>
      </c>
      <c r="CJ808" s="48">
        <v>6.1177249589832051E-3</v>
      </c>
      <c r="CK808" s="48">
        <v>1.1028696495184105E-2</v>
      </c>
      <c r="CL808" s="48">
        <v>1.0116215294865552E-2</v>
      </c>
      <c r="CM808" s="50">
        <v>9.3065559464658738E-3</v>
      </c>
      <c r="CN808" s="50">
        <v>9.4388641990067381E-3</v>
      </c>
      <c r="CO808" s="50">
        <v>8.3629909598998738E-3</v>
      </c>
      <c r="CP808" s="50">
        <v>6.1355150879519342E-3</v>
      </c>
      <c r="CQ808" s="50">
        <v>5.3203514778123332E-3</v>
      </c>
      <c r="CR808" s="50">
        <v>4.8519959570986759E-3</v>
      </c>
      <c r="CS808" s="50">
        <v>5.1787846062830902E-3</v>
      </c>
      <c r="CT808" s="50">
        <v>5.2296913114881311E-3</v>
      </c>
      <c r="CU808" s="50">
        <v>4.5620024450679407E-3</v>
      </c>
      <c r="CV808" s="50">
        <v>3.3269363712289993E-3</v>
      </c>
      <c r="CW808" s="50">
        <v>2.4306197881964792E-3</v>
      </c>
      <c r="CX808" s="50">
        <v>2.2929522267628442E-3</v>
      </c>
      <c r="CY808" s="49">
        <v>2.639731315121074E-3</v>
      </c>
      <c r="CZ808" s="48">
        <v>3.0457003345648603E-3</v>
      </c>
      <c r="DA808" s="48">
        <v>4.0776090618999516E-3</v>
      </c>
      <c r="DB808" s="48">
        <v>4.0643793894822424E-3</v>
      </c>
      <c r="DC808" s="48">
        <v>4.0450873479174459E-3</v>
      </c>
      <c r="DD808" s="48">
        <v>4.0249141926829044E-3</v>
      </c>
      <c r="DE808" s="48">
        <v>4.0050840136078561E-3</v>
      </c>
      <c r="DF808" s="48">
        <v>6.5585210573707491E-3</v>
      </c>
      <c r="DG808" s="235">
        <v>1.7171642088487201E-2</v>
      </c>
      <c r="DH808" s="235">
        <v>5.7702648586010173E-3</v>
      </c>
      <c r="DI808" s="235">
        <v>5.7383105791955491E-3</v>
      </c>
    </row>
    <row r="809" spans="1:113" outlineLevel="1">
      <c r="A809" s="1" t="s">
        <v>816</v>
      </c>
      <c r="B809" s="19" t="s">
        <v>859</v>
      </c>
      <c r="C809" s="235">
        <v>3.5673239689281199E-3</v>
      </c>
      <c r="D809" s="235">
        <v>3.6290208774451124E-3</v>
      </c>
      <c r="E809" s="235">
        <v>2.1506763384004099E-3</v>
      </c>
      <c r="F809" s="235">
        <v>2.2398447832764593E-3</v>
      </c>
      <c r="G809" s="235">
        <v>2.3029964872144626E-3</v>
      </c>
      <c r="H809" s="235">
        <v>1.3191423805185135E-3</v>
      </c>
      <c r="I809" s="235">
        <v>1.5668524693201841E-3</v>
      </c>
      <c r="J809" s="235">
        <v>1.0715583746837435E-3</v>
      </c>
      <c r="K809" s="235">
        <v>1.6086639695468659E-3</v>
      </c>
      <c r="L809" s="235">
        <v>1.4977956100318418E-3</v>
      </c>
      <c r="M809" s="48">
        <v>1.54008631735496E-3</v>
      </c>
      <c r="N809" s="48">
        <v>1.4916599262175239E-3</v>
      </c>
      <c r="O809" s="48">
        <v>1.3933383051514246E-3</v>
      </c>
      <c r="P809" s="48">
        <v>1.2148597932304206E-3</v>
      </c>
      <c r="Q809" s="48">
        <v>1.2798593836290458E-3</v>
      </c>
      <c r="R809" s="48">
        <v>1.0584649648096647E-3</v>
      </c>
      <c r="S809" s="48">
        <v>3.6757584254597303E-3</v>
      </c>
      <c r="T809" s="50">
        <v>4.5833093724279468E-3</v>
      </c>
      <c r="U809" s="48">
        <v>3.5997155408111783E-3</v>
      </c>
      <c r="V809" s="48">
        <v>3.0200189122461542E-3</v>
      </c>
      <c r="W809" s="48">
        <v>3.9184775830659793E-3</v>
      </c>
      <c r="X809" s="48">
        <v>2.8196612868018273E-3</v>
      </c>
      <c r="Y809" s="50">
        <v>3.4139871804093357E-3</v>
      </c>
      <c r="Z809" s="50">
        <v>3.4041374798047482E-3</v>
      </c>
      <c r="AA809" s="50">
        <v>2.9049203005853171E-3</v>
      </c>
      <c r="AB809" s="50">
        <v>2.6081991310313631E-3</v>
      </c>
      <c r="AC809" s="50">
        <v>3.0135029003488622E-3</v>
      </c>
      <c r="AD809" s="50">
        <v>1.6637695916163536E-3</v>
      </c>
      <c r="AE809" s="50">
        <v>2.5016900100256105E-3</v>
      </c>
      <c r="AF809" s="50">
        <v>1.64828302100141E-3</v>
      </c>
      <c r="AG809" s="50">
        <v>2.0460205753054439E-3</v>
      </c>
      <c r="AH809" s="50">
        <v>1.597223462389451E-3</v>
      </c>
      <c r="AI809" s="50">
        <v>1.7490264504422467E-3</v>
      </c>
      <c r="AJ809" s="50">
        <v>1.6038872005282529E-3</v>
      </c>
      <c r="AK809" s="50">
        <v>1.8778946499921328E-3</v>
      </c>
      <c r="AL809" s="50">
        <v>1.6218057031104662E-3</v>
      </c>
      <c r="AM809" s="50">
        <v>1.7471778796675022E-3</v>
      </c>
      <c r="AN809" s="50">
        <v>1.2978449627176439E-3</v>
      </c>
      <c r="AO809" s="50">
        <v>1.528641814368253E-3</v>
      </c>
      <c r="AP809" s="50">
        <v>1.1791097957915676E-3</v>
      </c>
      <c r="AQ809" s="50">
        <v>8.0140845442564846E-4</v>
      </c>
      <c r="AR809" s="50">
        <v>8.3767024861101187E-4</v>
      </c>
      <c r="AS809" s="50">
        <v>5.8679733980955811E-4</v>
      </c>
      <c r="AT809" s="50">
        <v>8.7429798202075888E-4</v>
      </c>
      <c r="AU809" s="50">
        <v>5.0444107628872697E-4</v>
      </c>
      <c r="AV809" s="50">
        <v>7.5798767286943617E-4</v>
      </c>
      <c r="AW809" s="49">
        <v>8.3239219896555773E-4</v>
      </c>
      <c r="AX809" s="48">
        <v>7.7405747661182659E-4</v>
      </c>
      <c r="AY809" s="48">
        <v>1.0507487411236388E-3</v>
      </c>
      <c r="AZ809" s="48">
        <v>1.211355362727965E-3</v>
      </c>
      <c r="BA809" s="48">
        <v>1.2056893200505952E-3</v>
      </c>
      <c r="BB809" s="48">
        <v>1.2041671778595386E-3</v>
      </c>
      <c r="BC809" s="48">
        <v>1.2028469086741073E-3</v>
      </c>
      <c r="BD809" s="48">
        <v>1.2017185787590986E-3</v>
      </c>
      <c r="BE809" s="48">
        <v>1.2006142364060369E-3</v>
      </c>
      <c r="BF809" s="48">
        <v>1.1995338528056991E-3</v>
      </c>
      <c r="BG809" s="48">
        <v>1.1984773947296204E-3</v>
      </c>
      <c r="BH809" s="48">
        <v>1.197444824744287E-3</v>
      </c>
      <c r="BI809" s="48">
        <v>1.1964361014150989E-3</v>
      </c>
      <c r="BJ809" s="48">
        <v>1.1954511795006608E-3</v>
      </c>
      <c r="BK809" s="48">
        <v>2.7365687993403296E-3</v>
      </c>
      <c r="BL809" s="235">
        <v>5.1660516952993429E-3</v>
      </c>
      <c r="BM809" s="235">
        <v>5.1732089033736071E-3</v>
      </c>
      <c r="BN809" s="235">
        <v>1.7450765411195853E-3</v>
      </c>
      <c r="BO809" s="235">
        <v>1.7437931752892898E-3</v>
      </c>
      <c r="BP809" s="235">
        <v>1.7425461332930899E-3</v>
      </c>
      <c r="BQ809" s="235">
        <v>1.7413351445372124E-3</v>
      </c>
      <c r="BR809" s="48"/>
      <c r="BS809" s="235">
        <v>8.2123780116748184E-3</v>
      </c>
      <c r="BT809" s="235">
        <v>2.0358297329777581E-2</v>
      </c>
      <c r="BU809" s="235">
        <v>4.1853026883884818E-3</v>
      </c>
      <c r="BV809" s="235">
        <v>4.5928875855104382E-3</v>
      </c>
      <c r="BW809" s="235">
        <v>2.1127587151297E-3</v>
      </c>
      <c r="BX809" s="235">
        <v>-3.0755178374253524E-3</v>
      </c>
      <c r="BY809" s="235">
        <v>1.8202000115735261E-3</v>
      </c>
      <c r="BZ809" s="235">
        <v>2.1719610175308284E-3</v>
      </c>
      <c r="CA809" s="235">
        <v>1.649881702644417E-3</v>
      </c>
      <c r="CB809" s="235">
        <v>3.7491525423728814E-3</v>
      </c>
      <c r="CC809" s="48">
        <v>2.881539791207581E-3</v>
      </c>
      <c r="CD809" s="48">
        <v>2.270900712723001E-3</v>
      </c>
      <c r="CE809" s="48">
        <v>1.4452383467265933E-3</v>
      </c>
      <c r="CF809" s="48">
        <v>1.3476634763885159E-3</v>
      </c>
      <c r="CG809" s="48">
        <v>1.5194447866617388E-3</v>
      </c>
      <c r="CH809" s="48">
        <v>1.4039113780942578E-3</v>
      </c>
      <c r="CI809" s="48">
        <v>1.2483443320478707E-3</v>
      </c>
      <c r="CJ809" s="48">
        <v>2.3928473989525143E-3</v>
      </c>
      <c r="CK809" s="48">
        <v>4.0915389598143639E-3</v>
      </c>
      <c r="CL809" s="48">
        <v>3.4669619496516379E-3</v>
      </c>
      <c r="CM809" s="50">
        <v>3.1182456133715818E-3</v>
      </c>
      <c r="CN809" s="50">
        <v>3.1544881002163595E-3</v>
      </c>
      <c r="CO809" s="50">
        <v>2.812728278159711E-3</v>
      </c>
      <c r="CP809" s="50">
        <v>2.0870573612419194E-3</v>
      </c>
      <c r="CQ809" s="50">
        <v>1.848787198699645E-3</v>
      </c>
      <c r="CR809" s="50">
        <v>1.6731504923884885E-3</v>
      </c>
      <c r="CS809" s="50">
        <v>1.7402262294098233E-3</v>
      </c>
      <c r="CT809" s="50">
        <v>1.6842039986808242E-3</v>
      </c>
      <c r="CU809" s="50">
        <v>1.4135331274351289E-3</v>
      </c>
      <c r="CV809" s="50">
        <v>9.8988108109155206E-4</v>
      </c>
      <c r="CW809" s="50">
        <v>7.1105547388986283E-4</v>
      </c>
      <c r="CX809" s="50">
        <v>6.8835391868649076E-4</v>
      </c>
      <c r="CY809" s="49">
        <v>7.9506998424848407E-4</v>
      </c>
      <c r="CZ809" s="48">
        <v>9.1252771338834666E-4</v>
      </c>
      <c r="DA809" s="48">
        <v>1.2083389324878918E-3</v>
      </c>
      <c r="DB809" s="48">
        <v>1.2033475884687232E-3</v>
      </c>
      <c r="DC809" s="48">
        <v>1.2010513061596843E-3</v>
      </c>
      <c r="DD809" s="48">
        <v>1.1988346478043336E-3</v>
      </c>
      <c r="DE809" s="48">
        <v>1.1967692421286983E-3</v>
      </c>
      <c r="DF809" s="48">
        <v>1.9663983645100153E-3</v>
      </c>
      <c r="DG809" s="235">
        <v>5.1691082528661668E-3</v>
      </c>
      <c r="DH809" s="235">
        <v>1.7441616435238999E-3</v>
      </c>
      <c r="DI809" s="235">
        <v>1.7416677419027781E-3</v>
      </c>
    </row>
    <row r="810" spans="1:113" outlineLevel="1">
      <c r="A810" s="1" t="s">
        <v>817</v>
      </c>
      <c r="B810" s="19" t="s">
        <v>352</v>
      </c>
      <c r="C810" s="235">
        <v>5.3627019011460849E-3</v>
      </c>
      <c r="D810" s="235">
        <v>7.5767093979082724E-3</v>
      </c>
      <c r="E810" s="235">
        <v>4.2908703709574041E-3</v>
      </c>
      <c r="F810" s="235">
        <v>3.975754197745123E-3</v>
      </c>
      <c r="G810" s="235">
        <v>4.1540742736891501E-3</v>
      </c>
      <c r="H810" s="235">
        <v>3.8883687177734064E-3</v>
      </c>
      <c r="I810" s="235">
        <v>3.2707539532200254E-3</v>
      </c>
      <c r="J810" s="235">
        <v>3.4252676195434956E-3</v>
      </c>
      <c r="K810" s="235">
        <v>3.8218457491560934E-3</v>
      </c>
      <c r="L810" s="235">
        <v>4.5263885386192066E-3</v>
      </c>
      <c r="M810" s="48">
        <v>4.7231056310410337E-3</v>
      </c>
      <c r="N810" s="48">
        <v>3.9282788290912743E-3</v>
      </c>
      <c r="O810" s="48">
        <v>4.1409099139477247E-3</v>
      </c>
      <c r="P810" s="48">
        <v>5.0318333437961238E-3</v>
      </c>
      <c r="Q810" s="48">
        <v>8.3456011090037967E-3</v>
      </c>
      <c r="R810" s="48">
        <v>2.1858446171498666E-2</v>
      </c>
      <c r="S810" s="48">
        <v>1.6027464496945882E-2</v>
      </c>
      <c r="T810" s="50">
        <v>1.5003780783366748E-2</v>
      </c>
      <c r="U810" s="48">
        <v>7.9585226753100449E-3</v>
      </c>
      <c r="V810" s="48">
        <v>7.8250597034786231E-3</v>
      </c>
      <c r="W810" s="48">
        <v>6.2430312738385981E-3</v>
      </c>
      <c r="X810" s="48">
        <v>5.9481128319467036E-3</v>
      </c>
      <c r="Y810" s="50">
        <v>5.9019047435276912E-3</v>
      </c>
      <c r="Z810" s="50">
        <v>6.4890435181765432E-3</v>
      </c>
      <c r="AA810" s="50">
        <v>4.9341100520768405E-3</v>
      </c>
      <c r="AB810" s="50">
        <v>4.5907433375494766E-3</v>
      </c>
      <c r="AC810" s="50">
        <v>4.8885213617435724E-3</v>
      </c>
      <c r="AD810" s="50">
        <v>4.1554984992877029E-3</v>
      </c>
      <c r="AE810" s="50">
        <v>5.0446696650119482E-3</v>
      </c>
      <c r="AF810" s="50">
        <v>5.0352153418485417E-3</v>
      </c>
      <c r="AG810" s="50">
        <v>6.0468443281296172E-3</v>
      </c>
      <c r="AH810" s="50">
        <v>5.0776603579983743E-3</v>
      </c>
      <c r="AI810" s="50">
        <v>4.2594566821360499E-3</v>
      </c>
      <c r="AJ810" s="50">
        <v>4.9966106900278503E-3</v>
      </c>
      <c r="AK810" s="50">
        <v>4.1519017786732833E-3</v>
      </c>
      <c r="AL810" s="50">
        <v>4.9356659533769951E-3</v>
      </c>
      <c r="AM810" s="50">
        <v>5.540175545863048E-3</v>
      </c>
      <c r="AN810" s="50">
        <v>5.8004920625509574E-3</v>
      </c>
      <c r="AO810" s="50">
        <v>1.6771027221616105E-2</v>
      </c>
      <c r="AP810" s="50">
        <v>7.9850219509778123E-3</v>
      </c>
      <c r="AQ810" s="50">
        <v>-3.0267264247375793E-3</v>
      </c>
      <c r="AR810" s="50">
        <v>-6.6141953797745306E-4</v>
      </c>
      <c r="AS810" s="50">
        <v>-2.4288771926258266E-3</v>
      </c>
      <c r="AT810" s="50">
        <v>4.0994198740192996E-3</v>
      </c>
      <c r="AU810" s="50">
        <v>4.7197921229845067E-3</v>
      </c>
      <c r="AV810" s="50">
        <v>3.2215974657631092E-3</v>
      </c>
      <c r="AW810" s="49">
        <v>3.0229739111524985E-3</v>
      </c>
      <c r="AX810" s="48">
        <v>4.0631793037046102E-3</v>
      </c>
      <c r="AY810" s="48">
        <v>4.9543464736407023E-3</v>
      </c>
      <c r="AZ810" s="48">
        <v>4.992711530436433E-3</v>
      </c>
      <c r="BA810" s="48">
        <v>4.9740094359056741E-3</v>
      </c>
      <c r="BB810" s="48">
        <v>4.9701168171082492E-3</v>
      </c>
      <c r="BC810" s="48">
        <v>4.9604657483668267E-3</v>
      </c>
      <c r="BD810" s="48">
        <v>4.9393982273961733E-3</v>
      </c>
      <c r="BE810" s="48">
        <v>4.9403446817778435E-3</v>
      </c>
      <c r="BF810" s="48">
        <v>4.9192838640384016E-3</v>
      </c>
      <c r="BG810" s="48">
        <v>4.925176730744862E-3</v>
      </c>
      <c r="BH810" s="48">
        <v>4.9015660858918548E-3</v>
      </c>
      <c r="BI810" s="48">
        <v>4.9074846788877387E-3</v>
      </c>
      <c r="BJ810" s="48">
        <v>1.1367242863500512E-2</v>
      </c>
      <c r="BK810" s="48">
        <v>1.7078598169439411E-2</v>
      </c>
      <c r="BL810" s="235">
        <v>1.6936887395323938E-2</v>
      </c>
      <c r="BM810" s="235">
        <v>1.1176833082904424E-2</v>
      </c>
      <c r="BN810" s="235">
        <v>6.9106785923412324E-3</v>
      </c>
      <c r="BO810" s="235">
        <v>6.9148190514791274E-3</v>
      </c>
      <c r="BP810" s="235">
        <v>6.8072199340364469E-3</v>
      </c>
      <c r="BQ810" s="235">
        <v>6.8081823737109201E-3</v>
      </c>
      <c r="BR810" s="48"/>
      <c r="BS810" s="235">
        <v>1.7072899103923057E-2</v>
      </c>
      <c r="BT810" s="235">
        <v>9.9921155394473628E-3</v>
      </c>
      <c r="BU810" s="235">
        <v>7.502024817395642E-3</v>
      </c>
      <c r="BV810" s="235">
        <v>4.3656386081308129E-3</v>
      </c>
      <c r="BW810" s="235">
        <v>2.6191228114223518E-3</v>
      </c>
      <c r="BX810" s="235">
        <v>2.1273460065420855E-3</v>
      </c>
      <c r="BY810" s="235">
        <v>4.638098245490936E-3</v>
      </c>
      <c r="BZ810" s="235">
        <v>4.364114149860026E-3</v>
      </c>
      <c r="CA810" s="235">
        <v>3.1245589651430665E-3</v>
      </c>
      <c r="CB810" s="235">
        <v>5.1065075812704195E-3</v>
      </c>
      <c r="CC810" s="48">
        <v>5.9442384223344011E-3</v>
      </c>
      <c r="CD810" s="48">
        <v>4.0634664359878066E-3</v>
      </c>
      <c r="CE810" s="48">
        <v>3.5710427811633479E-3</v>
      </c>
      <c r="CF810" s="48">
        <v>3.6366557516089699E-3</v>
      </c>
      <c r="CG810" s="48">
        <v>4.6377904696187182E-3</v>
      </c>
      <c r="CH810" s="48">
        <v>3.891958792966623E-3</v>
      </c>
      <c r="CI810" s="48">
        <v>6.8316692214213026E-3</v>
      </c>
      <c r="CJ810" s="48">
        <v>1.9393759869972927E-2</v>
      </c>
      <c r="CK810" s="48">
        <v>1.1465203019793094E-2</v>
      </c>
      <c r="CL810" s="48">
        <v>7.3198166067992686E-3</v>
      </c>
      <c r="CM810" s="50">
        <v>6.1460518045490216E-3</v>
      </c>
      <c r="CN810" s="50">
        <v>5.886369488948294E-3</v>
      </c>
      <c r="CO810" s="50">
        <v>4.8361228063013226E-3</v>
      </c>
      <c r="CP810" s="50">
        <v>4.6522554926297097E-3</v>
      </c>
      <c r="CQ810" s="50">
        <v>5.6060079329968877E-3</v>
      </c>
      <c r="CR810" s="50">
        <v>4.668660433236424E-3</v>
      </c>
      <c r="CS810" s="50">
        <v>4.5877738835627697E-3</v>
      </c>
      <c r="CT810" s="50">
        <v>5.2559491758135948E-3</v>
      </c>
      <c r="CU810" s="50">
        <v>1.123984555448246E-2</v>
      </c>
      <c r="CV810" s="50">
        <v>2.5317620187649253E-3</v>
      </c>
      <c r="CW810" s="50">
        <v>-1.5550739505128012E-3</v>
      </c>
      <c r="CX810" s="50">
        <v>4.4107483806479714E-3</v>
      </c>
      <c r="CY810" s="49">
        <v>3.1225140335207984E-3</v>
      </c>
      <c r="CZ810" s="48">
        <v>4.5080427981869986E-3</v>
      </c>
      <c r="DA810" s="48">
        <v>4.982785246361675E-3</v>
      </c>
      <c r="DB810" s="48">
        <v>4.9645883938149405E-3</v>
      </c>
      <c r="DC810" s="48">
        <v>4.9393651034365512E-3</v>
      </c>
      <c r="DD810" s="48">
        <v>4.9214686491724086E-3</v>
      </c>
      <c r="DE810" s="48">
        <v>4.9037631582982419E-3</v>
      </c>
      <c r="DF810" s="48">
        <v>1.422574704804287E-2</v>
      </c>
      <c r="DG810" s="235">
        <v>1.4040677463902862E-2</v>
      </c>
      <c r="DH810" s="235">
        <v>6.9115572436593102E-3</v>
      </c>
      <c r="DI810" s="235">
        <v>6.8065233650306187E-3</v>
      </c>
    </row>
    <row r="811" spans="1:113" outlineLevel="1">
      <c r="A811" s="1" t="s">
        <v>818</v>
      </c>
      <c r="B811" s="19" t="s">
        <v>351</v>
      </c>
      <c r="C811" s="235">
        <v>2.7327047761977674E-3</v>
      </c>
      <c r="D811" s="235">
        <v>3.7721005536167835E-3</v>
      </c>
      <c r="E811" s="235">
        <v>2.0476499269800308E-3</v>
      </c>
      <c r="F811" s="235">
        <v>1.8183686143803514E-3</v>
      </c>
      <c r="G811" s="235">
        <v>1.8187767129796268E-3</v>
      </c>
      <c r="H811" s="235">
        <v>1.6353004717171657E-3</v>
      </c>
      <c r="I811" s="235">
        <v>1.2819702021710597E-3</v>
      </c>
      <c r="J811" s="235">
        <v>1.3037293558652212E-3</v>
      </c>
      <c r="K811" s="235">
        <v>1.4901308349486761E-3</v>
      </c>
      <c r="L811" s="235">
        <v>1.5819414308201475E-3</v>
      </c>
      <c r="M811" s="48">
        <v>1.6844694096069873E-3</v>
      </c>
      <c r="N811" s="48">
        <v>1.4258514000608684E-3</v>
      </c>
      <c r="O811" s="48">
        <v>1.5707917685433511E-3</v>
      </c>
      <c r="P811" s="48">
        <v>2.0126781649041298E-3</v>
      </c>
      <c r="Q811" s="48">
        <v>3.3958935645624013E-3</v>
      </c>
      <c r="R811" s="48">
        <v>8.9011428721709317E-3</v>
      </c>
      <c r="S811" s="48">
        <v>6.3207254070256225E-3</v>
      </c>
      <c r="T811" s="50">
        <v>5.669693078772675E-3</v>
      </c>
      <c r="U811" s="48">
        <v>2.8371334330766916E-3</v>
      </c>
      <c r="V811" s="48">
        <v>2.8171235848084277E-3</v>
      </c>
      <c r="W811" s="48">
        <v>2.1974979812571017E-3</v>
      </c>
      <c r="X811" s="48">
        <v>2.0710450152385388E-3</v>
      </c>
      <c r="Y811" s="50">
        <v>2.0476394996060405E-3</v>
      </c>
      <c r="Z811" s="50">
        <v>2.2403297944014154E-3</v>
      </c>
      <c r="AA811" s="50">
        <v>1.6942338674252287E-3</v>
      </c>
      <c r="AB811" s="50">
        <v>1.5745667145063843E-3</v>
      </c>
      <c r="AC811" s="50">
        <v>1.6775504361089062E-3</v>
      </c>
      <c r="AD811" s="50">
        <v>1.424238560916723E-3</v>
      </c>
      <c r="AE811" s="50">
        <v>1.7375489549987765E-3</v>
      </c>
      <c r="AF811" s="50">
        <v>1.7640068763658354E-3</v>
      </c>
      <c r="AG811" s="50">
        <v>2.1290920873855146E-3</v>
      </c>
      <c r="AH811" s="50">
        <v>1.7619463240723411E-3</v>
      </c>
      <c r="AI811" s="50">
        <v>1.4580119654106797E-3</v>
      </c>
      <c r="AJ811" s="50">
        <v>1.6948878927568062E-3</v>
      </c>
      <c r="AK811" s="50">
        <v>1.3868854983886852E-3</v>
      </c>
      <c r="AL811" s="50">
        <v>1.6189998108905518E-3</v>
      </c>
      <c r="AM811" s="50">
        <v>1.7669999949959827E-3</v>
      </c>
      <c r="AN811" s="50">
        <v>1.79978927522169E-3</v>
      </c>
      <c r="AO811" s="50">
        <v>5.1570966625528241E-3</v>
      </c>
      <c r="AP811" s="50">
        <v>2.4017894685638861E-3</v>
      </c>
      <c r="AQ811" s="50">
        <v>-8.9105753576817852E-4</v>
      </c>
      <c r="AR811" s="50">
        <v>-1.9271554799333098E-4</v>
      </c>
      <c r="AS811" s="50">
        <v>-7.1326228373403181E-4</v>
      </c>
      <c r="AT811" s="50">
        <v>1.2273798593752962E-3</v>
      </c>
      <c r="AU811" s="50">
        <v>1.4205251063413682E-3</v>
      </c>
      <c r="AV811" s="50">
        <v>9.708792723481975E-4</v>
      </c>
      <c r="AW811" s="49">
        <v>9.099880819199742E-4</v>
      </c>
      <c r="AX811" s="48">
        <v>1.2202387810568405E-3</v>
      </c>
      <c r="AY811" s="48">
        <v>1.4810168446473988E-3</v>
      </c>
      <c r="AZ811" s="48">
        <v>1.4824683210244993E-3</v>
      </c>
      <c r="BA811" s="48">
        <v>1.4711327633919241E-3</v>
      </c>
      <c r="BB811" s="48">
        <v>1.470726077410075E-3</v>
      </c>
      <c r="BC811" s="48">
        <v>1.4694114537398423E-3</v>
      </c>
      <c r="BD811" s="48">
        <v>1.4654277354185302E-3</v>
      </c>
      <c r="BE811" s="48">
        <v>1.4679943737410976E-3</v>
      </c>
      <c r="BF811" s="48">
        <v>1.4640402912327651E-3</v>
      </c>
      <c r="BG811" s="48">
        <v>1.4681284432249088E-3</v>
      </c>
      <c r="BH811" s="48">
        <v>1.4634406999410852E-3</v>
      </c>
      <c r="BI811" s="48">
        <v>1.4675876847551925E-3</v>
      </c>
      <c r="BJ811" s="48">
        <v>3.4049579835414494E-3</v>
      </c>
      <c r="BK811" s="48">
        <v>5.1252196562546161E-3</v>
      </c>
      <c r="BL811" s="235">
        <v>5.0931277853731114E-3</v>
      </c>
      <c r="BM811" s="235">
        <v>3.3679186454333536E-3</v>
      </c>
      <c r="BN811" s="235">
        <v>2.0866830829785713E-3</v>
      </c>
      <c r="BO811" s="235">
        <v>2.0922360745132679E-3</v>
      </c>
      <c r="BP811" s="235">
        <v>2.0639291330294919E-3</v>
      </c>
      <c r="BQ811" s="235">
        <v>2.068484895983852E-3</v>
      </c>
      <c r="BR811" s="48"/>
      <c r="BS811" s="235">
        <v>1.1874845049471479E-2</v>
      </c>
      <c r="BT811" s="235">
        <v>6.7885166728435401E-3</v>
      </c>
      <c r="BU811" s="235">
        <v>4.7422596645700756E-3</v>
      </c>
      <c r="BV811" s="235">
        <v>2.5959799396363349E-3</v>
      </c>
      <c r="BW811" s="235">
        <v>1.4737144124052845E-3</v>
      </c>
      <c r="BX811" s="235">
        <v>1.1330855190514455E-3</v>
      </c>
      <c r="BY811" s="235">
        <v>2.4514832525816856E-3</v>
      </c>
      <c r="BZ811" s="235">
        <v>2.3223998758879418E-3</v>
      </c>
      <c r="CA811" s="235">
        <v>1.6415066686208412E-3</v>
      </c>
      <c r="CB811" s="235">
        <v>2.6101694915254235E-3</v>
      </c>
      <c r="CC811" s="48">
        <v>2.9009223458569592E-3</v>
      </c>
      <c r="CD811" s="48">
        <v>1.8179126440433472E-3</v>
      </c>
      <c r="CE811" s="48">
        <v>1.4504937588965081E-3</v>
      </c>
      <c r="CF811" s="48">
        <v>1.3998310948293616E-3</v>
      </c>
      <c r="CG811" s="48">
        <v>1.6344297975442487E-3</v>
      </c>
      <c r="CH811" s="48">
        <v>1.464657543492567E-3</v>
      </c>
      <c r="CI811" s="48">
        <v>2.7252587530622531E-3</v>
      </c>
      <c r="CJ811" s="48">
        <v>7.5855498852775028E-3</v>
      </c>
      <c r="CK811" s="48">
        <v>4.2534786280635298E-3</v>
      </c>
      <c r="CL811" s="48">
        <v>2.5085988103754077E-3</v>
      </c>
      <c r="CM811" s="50">
        <v>2.0592901594673452E-3</v>
      </c>
      <c r="CN811" s="50">
        <v>1.9672369593280122E-3</v>
      </c>
      <c r="CO811" s="50">
        <v>1.6265352239600757E-3</v>
      </c>
      <c r="CP811" s="50">
        <v>1.5825116445947938E-3</v>
      </c>
      <c r="CQ811" s="50">
        <v>1.9480509409117064E-3</v>
      </c>
      <c r="CR811" s="50">
        <v>1.6099295159625615E-3</v>
      </c>
      <c r="CS811" s="50">
        <v>1.5416289831963869E-3</v>
      </c>
      <c r="CT811" s="50">
        <v>1.6926602530675063E-3</v>
      </c>
      <c r="CU811" s="50">
        <v>3.4826579401973138E-3</v>
      </c>
      <c r="CV811" s="50">
        <v>7.5328862489659331E-4</v>
      </c>
      <c r="CW811" s="50">
        <v>-4.5492258813383701E-4</v>
      </c>
      <c r="CX811" s="50">
        <v>1.324125246362208E-3</v>
      </c>
      <c r="CY811" s="49">
        <v>9.404810138160534E-4</v>
      </c>
      <c r="CZ811" s="48">
        <v>1.3506627489910667E-3</v>
      </c>
      <c r="DA811" s="48">
        <v>1.4765744616526979E-3</v>
      </c>
      <c r="DB811" s="48">
        <v>1.4698739706477202E-3</v>
      </c>
      <c r="DC811" s="48">
        <v>1.466576713636668E-3</v>
      </c>
      <c r="DD811" s="48">
        <v>1.4658765012771282E-3</v>
      </c>
      <c r="DE811" s="48">
        <v>1.4653058209504592E-3</v>
      </c>
      <c r="DF811" s="48">
        <v>4.2652124594106267E-3</v>
      </c>
      <c r="DG811" s="235">
        <v>4.2266069476926942E-3</v>
      </c>
      <c r="DH811" s="235">
        <v>2.0891368657786368E-3</v>
      </c>
      <c r="DI811" s="235">
        <v>2.0658871658778845E-3</v>
      </c>
    </row>
    <row r="812" spans="1:113" outlineLevel="1">
      <c r="A812" s="1" t="s">
        <v>819</v>
      </c>
      <c r="B812" s="19" t="s">
        <v>622</v>
      </c>
      <c r="C812" s="235">
        <v>8.6115527291997888E-3</v>
      </c>
      <c r="D812" s="235">
        <v>1.2862488306828812E-2</v>
      </c>
      <c r="E812" s="235">
        <v>1.1440564870307913E-2</v>
      </c>
      <c r="F812" s="235">
        <v>1.1282995702885205E-2</v>
      </c>
      <c r="G812" s="235">
        <v>8.1744539096016023E-3</v>
      </c>
      <c r="H812" s="235">
        <v>7.0779882863443435E-3</v>
      </c>
      <c r="I812" s="235">
        <v>4.3164954337899545E-3</v>
      </c>
      <c r="J812" s="235">
        <v>4.6184342988801596E-3</v>
      </c>
      <c r="K812" s="235">
        <v>3.6978440165139161E-3</v>
      </c>
      <c r="L812" s="235">
        <v>3.4775277938774436E-3</v>
      </c>
      <c r="M812" s="48">
        <v>2.9216181821440732E-3</v>
      </c>
      <c r="N812" s="48">
        <v>2.7969250374440409E-3</v>
      </c>
      <c r="O812" s="48">
        <v>2.9513000441643475E-3</v>
      </c>
      <c r="P812" s="48">
        <v>3.5015576323987538E-3</v>
      </c>
      <c r="Q812" s="48">
        <v>4.1261402766870053E-3</v>
      </c>
      <c r="R812" s="48">
        <v>1.364257851771424E-2</v>
      </c>
      <c r="S812" s="48">
        <v>2.1692421049377308E-2</v>
      </c>
      <c r="T812" s="50">
        <v>2.5736255409522894E-2</v>
      </c>
      <c r="U812" s="48">
        <v>2.791051085438483E-2</v>
      </c>
      <c r="V812" s="48">
        <v>2.883283739814789E-2</v>
      </c>
      <c r="W812" s="48">
        <v>2.9411928016568847E-2</v>
      </c>
      <c r="X812" s="48">
        <v>2.5513154879472713E-2</v>
      </c>
      <c r="Y812" s="50">
        <v>2.5031376004699724E-2</v>
      </c>
      <c r="Z812" s="50">
        <v>2.3775785848100327E-2</v>
      </c>
      <c r="AA812" s="50">
        <v>2.2282029774555259E-2</v>
      </c>
      <c r="AB812" s="50">
        <v>1.9383125510535483E-2</v>
      </c>
      <c r="AC812" s="50">
        <v>1.6266643476916535E-2</v>
      </c>
      <c r="AD812" s="50">
        <v>1.5634524380086456E-2</v>
      </c>
      <c r="AE812" s="50">
        <v>1.2861924648493285E-2</v>
      </c>
      <c r="AF812" s="50">
        <v>1.1749336255215138E-2</v>
      </c>
      <c r="AG812" s="50">
        <v>1.2745783787984768E-2</v>
      </c>
      <c r="AH812" s="50">
        <v>1.3741744774065357E-2</v>
      </c>
      <c r="AI812" s="50">
        <v>1.2744890246779786E-2</v>
      </c>
      <c r="AJ812" s="50">
        <v>1.3600029082331272E-2</v>
      </c>
      <c r="AK812" s="50">
        <v>1.293938555217271E-2</v>
      </c>
      <c r="AL812" s="50">
        <v>1.4484380467243329E-2</v>
      </c>
      <c r="AM812" s="50">
        <v>1.5284119200938483E-2</v>
      </c>
      <c r="AN812" s="50">
        <v>1.4376596278148678E-2</v>
      </c>
      <c r="AO812" s="50">
        <v>1.5012016382899502E-2</v>
      </c>
      <c r="AP812" s="50">
        <v>1.323073114727511E-2</v>
      </c>
      <c r="AQ812" s="50">
        <v>1.4341607067732435E-2</v>
      </c>
      <c r="AR812" s="50">
        <v>1.4282550021739665E-2</v>
      </c>
      <c r="AS812" s="50">
        <v>1.1259448054301751E-2</v>
      </c>
      <c r="AT812" s="50">
        <v>1.1145292618996924E-2</v>
      </c>
      <c r="AU812" s="50">
        <v>1.1893225581520088E-2</v>
      </c>
      <c r="AV812" s="50">
        <v>1.1663225708819301E-2</v>
      </c>
      <c r="AW812" s="49">
        <v>1.3760448237780545E-2</v>
      </c>
      <c r="AX812" s="48">
        <v>1.5136493061558603E-2</v>
      </c>
      <c r="AY812" s="48">
        <v>1.6650142367714463E-2</v>
      </c>
      <c r="AZ812" s="48">
        <v>1.6733393079553033E-2</v>
      </c>
      <c r="BA812" s="48">
        <v>1.7068060941144096E-2</v>
      </c>
      <c r="BB812" s="48">
        <v>1.7409422159966978E-2</v>
      </c>
      <c r="BC812" s="48">
        <v>1.7409422159966978E-2</v>
      </c>
      <c r="BD812" s="48">
        <v>1.7409422159966978E-2</v>
      </c>
      <c r="BE812" s="48">
        <v>1.7409422159966978E-2</v>
      </c>
      <c r="BF812" s="48">
        <v>1.7409422159966978E-2</v>
      </c>
      <c r="BG812" s="48">
        <v>1.7409422159966978E-2</v>
      </c>
      <c r="BH812" s="48">
        <v>1.7409422159966978E-2</v>
      </c>
      <c r="BI812" s="48">
        <v>1.7409422159966978E-2</v>
      </c>
      <c r="BJ812" s="48">
        <v>2.0630165259560868E-2</v>
      </c>
      <c r="BK812" s="48">
        <v>2.3208935917005978E-2</v>
      </c>
      <c r="BL812" s="235">
        <v>2.2744757198665855E-2</v>
      </c>
      <c r="BM812" s="235">
        <v>1.8195805758932686E-2</v>
      </c>
      <c r="BN812" s="235">
        <v>1.8377763816522015E-2</v>
      </c>
      <c r="BO812" s="235">
        <v>1.8561541454687237E-2</v>
      </c>
      <c r="BP812" s="235">
        <v>1.8561541454687237E-2</v>
      </c>
      <c r="BQ812" s="235">
        <v>1.8561541454687237E-2</v>
      </c>
      <c r="BR812" s="48"/>
      <c r="BS812" s="235">
        <v>3.4188437399533131E-2</v>
      </c>
      <c r="BT812" s="235">
        <v>4.5985305572670068E-2</v>
      </c>
      <c r="BU812" s="235">
        <v>4.7852914249627135E-2</v>
      </c>
      <c r="BV812" s="235">
        <v>3.793724874081604E-2</v>
      </c>
      <c r="BW812" s="235">
        <v>2.7041829259943861E-2</v>
      </c>
      <c r="BX812" s="235">
        <v>1.8853789486827321E-2</v>
      </c>
      <c r="BY812" s="235">
        <v>1.7312294346395453E-2</v>
      </c>
      <c r="BZ812" s="235">
        <v>1.0838186047278906E-2</v>
      </c>
      <c r="CA812" s="235">
        <v>1.4658779769592395E-2</v>
      </c>
      <c r="CB812" s="235">
        <v>8.6356409885821658E-3</v>
      </c>
      <c r="CC812" s="48">
        <v>1.1440564870307913E-2</v>
      </c>
      <c r="CD812" s="48">
        <v>8.1744539096016023E-3</v>
      </c>
      <c r="CE812" s="48">
        <v>4.3164954337899545E-3</v>
      </c>
      <c r="CF812" s="48">
        <v>3.6978440165139161E-3</v>
      </c>
      <c r="CG812" s="48">
        <v>2.9216181821440732E-3</v>
      </c>
      <c r="CH812" s="48">
        <v>2.9513000441643475E-3</v>
      </c>
      <c r="CI812" s="48">
        <v>4.1261402766870053E-3</v>
      </c>
      <c r="CJ812" s="48">
        <v>2.1692421049377308E-2</v>
      </c>
      <c r="CK812" s="48">
        <v>2.791051085438483E-2</v>
      </c>
      <c r="CL812" s="48">
        <v>2.9411928016568847E-2</v>
      </c>
      <c r="CM812" s="50">
        <v>2.5031376004699724E-2</v>
      </c>
      <c r="CN812" s="50">
        <v>2.2282029774555259E-2</v>
      </c>
      <c r="CO812" s="50">
        <v>1.6266643476916535E-2</v>
      </c>
      <c r="CP812" s="50">
        <v>1.2861924648493285E-2</v>
      </c>
      <c r="CQ812" s="50">
        <v>1.2745783787984768E-2</v>
      </c>
      <c r="CR812" s="50">
        <v>1.2744890246779786E-2</v>
      </c>
      <c r="CS812" s="50">
        <v>1.293938555217271E-2</v>
      </c>
      <c r="CT812" s="50">
        <v>1.5284119200938483E-2</v>
      </c>
      <c r="CU812" s="50">
        <v>1.5012016382899502E-2</v>
      </c>
      <c r="CV812" s="50">
        <v>1.4341607067732435E-2</v>
      </c>
      <c r="CW812" s="50">
        <v>1.1259448054301751E-2</v>
      </c>
      <c r="CX812" s="50">
        <v>1.1893225581520088E-2</v>
      </c>
      <c r="CY812" s="49">
        <v>1.3760448237780545E-2</v>
      </c>
      <c r="CZ812" s="48">
        <v>1.6650142367714463E-2</v>
      </c>
      <c r="DA812" s="48">
        <v>1.7068060941144096E-2</v>
      </c>
      <c r="DB812" s="48">
        <v>1.7409422159966978E-2</v>
      </c>
      <c r="DC812" s="48">
        <v>1.7409422159966978E-2</v>
      </c>
      <c r="DD812" s="48">
        <v>1.7409422159966978E-2</v>
      </c>
      <c r="DE812" s="48">
        <v>1.7409422159966978E-2</v>
      </c>
      <c r="DF812" s="48">
        <v>2.3208935917005978E-2</v>
      </c>
      <c r="DG812" s="235">
        <v>1.8195805758932686E-2</v>
      </c>
      <c r="DH812" s="235">
        <v>1.8561541454687237E-2</v>
      </c>
      <c r="DI812" s="235">
        <v>1.8561541454687237E-2</v>
      </c>
    </row>
    <row r="813" spans="1:113" outlineLevel="1">
      <c r="A813" s="1" t="s">
        <v>820</v>
      </c>
      <c r="B813" s="19" t="s">
        <v>347</v>
      </c>
      <c r="C813" s="235">
        <v>1.0291365091127451E-2</v>
      </c>
      <c r="D813" s="235">
        <v>8.0253930392759753E-3</v>
      </c>
      <c r="E813" s="235">
        <v>7.0841059287785864E-3</v>
      </c>
      <c r="F813" s="235">
        <v>6.4573273522100629E-3</v>
      </c>
      <c r="G813" s="235">
        <v>5.0288068563622947E-3</v>
      </c>
      <c r="H813" s="235">
        <v>4.1205856318740014E-3</v>
      </c>
      <c r="I813" s="235">
        <v>2.8517777954680614E-3</v>
      </c>
      <c r="J813" s="235">
        <v>3.0168521784626292E-3</v>
      </c>
      <c r="K813" s="235">
        <v>2.7068276523609983E-3</v>
      </c>
      <c r="L813" s="235">
        <v>2.4486389739873287E-3</v>
      </c>
      <c r="M813" s="48">
        <v>2.217414236660531E-3</v>
      </c>
      <c r="N813" s="48">
        <v>2.1238842886331863E-3</v>
      </c>
      <c r="O813" s="48">
        <v>4.1470518962849453E-3</v>
      </c>
      <c r="P813" s="48">
        <v>3.8750222978443131E-3</v>
      </c>
      <c r="Q813" s="48">
        <v>4.7079127029713615E-3</v>
      </c>
      <c r="R813" s="48">
        <v>9.5732087897897247E-3</v>
      </c>
      <c r="S813" s="48">
        <v>1.4022698716590957E-2</v>
      </c>
      <c r="T813" s="50">
        <v>1.5753989679320304E-2</v>
      </c>
      <c r="U813" s="48">
        <v>1.6779115144106446E-2</v>
      </c>
      <c r="V813" s="48">
        <v>1.6567520330089319E-2</v>
      </c>
      <c r="W813" s="48">
        <v>1.7550558400427959E-2</v>
      </c>
      <c r="X813" s="48">
        <v>1.4685195689166194E-2</v>
      </c>
      <c r="Y813" s="50">
        <v>1.4001547500490536E-2</v>
      </c>
      <c r="Z813" s="50">
        <v>1.3003095975232198E-2</v>
      </c>
      <c r="AA813" s="50">
        <v>1.1539811025676741E-2</v>
      </c>
      <c r="AB813" s="50">
        <v>1.1098893837919893E-2</v>
      </c>
      <c r="AC813" s="50">
        <v>9.4284729994576974E-3</v>
      </c>
      <c r="AD813" s="50">
        <v>8.8005058973449971E-3</v>
      </c>
      <c r="AE813" s="50">
        <v>8.030098135305138E-3</v>
      </c>
      <c r="AF813" s="50">
        <v>7.1656688402380554E-3</v>
      </c>
      <c r="AG813" s="50">
        <v>7.7924821603689689E-3</v>
      </c>
      <c r="AH813" s="50">
        <v>7.9581248067909331E-3</v>
      </c>
      <c r="AI813" s="50">
        <v>7.957408298207137E-3</v>
      </c>
      <c r="AJ813" s="50">
        <v>8.1417229868924607E-3</v>
      </c>
      <c r="AK813" s="50">
        <v>8.5569125000501782E-3</v>
      </c>
      <c r="AL813" s="50">
        <v>8.9346118290304331E-3</v>
      </c>
      <c r="AM813" s="50">
        <v>9.157542899252552E-3</v>
      </c>
      <c r="AN813" s="50">
        <v>8.4851694502747262E-3</v>
      </c>
      <c r="AO813" s="50">
        <v>8.8665133517448133E-3</v>
      </c>
      <c r="AP813" s="50">
        <v>7.8400143141373526E-3</v>
      </c>
      <c r="AQ813" s="50">
        <v>8.7698909788416751E-3</v>
      </c>
      <c r="AR813" s="50">
        <v>8.0345626241608847E-3</v>
      </c>
      <c r="AS813" s="50">
        <v>6.904321308834907E-3</v>
      </c>
      <c r="AT813" s="50">
        <v>6.3670305178737518E-3</v>
      </c>
      <c r="AU813" s="50">
        <v>6.8442802828282395E-3</v>
      </c>
      <c r="AV813" s="50">
        <v>6.9676799220688814E-3</v>
      </c>
      <c r="AW813" s="49">
        <v>8.2679233263229842E-3</v>
      </c>
      <c r="AX813" s="48">
        <v>9.0591402362261882E-3</v>
      </c>
      <c r="AY813" s="48">
        <v>9.9183409319711924E-3</v>
      </c>
      <c r="AZ813" s="48">
        <v>9.8875669864068177E-3</v>
      </c>
      <c r="BA813" s="48">
        <v>1.0091589323406289E-2</v>
      </c>
      <c r="BB813" s="48">
        <v>1.0300789861564871E-2</v>
      </c>
      <c r="BC813" s="48">
        <v>1.0317288052694475E-2</v>
      </c>
      <c r="BD813" s="48">
        <v>1.033398055939976E-2</v>
      </c>
      <c r="BE813" s="48">
        <v>1.035086480583999E-2</v>
      </c>
      <c r="BF813" s="48">
        <v>1.0367938284305938E-2</v>
      </c>
      <c r="BG813" s="48">
        <v>1.0385198552622286E-2</v>
      </c>
      <c r="BH813" s="48">
        <v>1.0402643231668693E-2</v>
      </c>
      <c r="BI813" s="48">
        <v>1.0420270003013207E-2</v>
      </c>
      <c r="BJ813" s="48">
        <v>1.2369120778882876E-2</v>
      </c>
      <c r="BK813" s="48">
        <v>1.3944181116126306E-2</v>
      </c>
      <c r="BL813" s="235">
        <v>1.3693735661341237E-2</v>
      </c>
      <c r="BM813" s="235">
        <v>1.0977815733920629E-2</v>
      </c>
      <c r="BN813" s="235">
        <v>1.1110726408156073E-2</v>
      </c>
      <c r="BO813" s="235">
        <v>1.1245274924773042E-2</v>
      </c>
      <c r="BP813" s="235">
        <v>1.1268793189405549E-2</v>
      </c>
      <c r="BQ813" s="235">
        <v>1.129238806930466E-2</v>
      </c>
      <c r="BR813" s="48"/>
      <c r="BS813" s="235">
        <v>3.8412391697313461E-2</v>
      </c>
      <c r="BT813" s="235">
        <v>5.1567304376170513E-2</v>
      </c>
      <c r="BU813" s="235">
        <v>4.0115228477561264E-2</v>
      </c>
      <c r="BV813" s="235">
        <v>2.6257466418011299E-2</v>
      </c>
      <c r="BW813" s="235">
        <v>1.9130606501937746E-2</v>
      </c>
      <c r="BX813" s="235">
        <v>1.3233155068517121E-2</v>
      </c>
      <c r="BY813" s="235">
        <v>1.2051775059961545E-2</v>
      </c>
      <c r="BZ813" s="235">
        <v>7.6104710192910433E-3</v>
      </c>
      <c r="CA813" s="235">
        <v>9.5164175075085206E-3</v>
      </c>
      <c r="CB813" s="235">
        <v>6.5478890244603585E-3</v>
      </c>
      <c r="CC813" s="48">
        <v>7.0841059287785864E-3</v>
      </c>
      <c r="CD813" s="48">
        <v>5.0288068563622947E-3</v>
      </c>
      <c r="CE813" s="48">
        <v>2.8517777954680614E-3</v>
      </c>
      <c r="CF813" s="48">
        <v>2.7068276523609983E-3</v>
      </c>
      <c r="CG813" s="48">
        <v>2.217414236660531E-3</v>
      </c>
      <c r="CH813" s="48">
        <v>4.1470518962849453E-3</v>
      </c>
      <c r="CI813" s="48">
        <v>4.7079127029713615E-3</v>
      </c>
      <c r="CJ813" s="48">
        <v>1.4022698716590957E-2</v>
      </c>
      <c r="CK813" s="48">
        <v>1.6779115144106446E-2</v>
      </c>
      <c r="CL813" s="48">
        <v>1.7550558400427959E-2</v>
      </c>
      <c r="CM813" s="50">
        <v>1.4001547500490536E-2</v>
      </c>
      <c r="CN813" s="50">
        <v>1.1539811025676741E-2</v>
      </c>
      <c r="CO813" s="50">
        <v>9.4284729994576974E-3</v>
      </c>
      <c r="CP813" s="50">
        <v>8.030098135305138E-3</v>
      </c>
      <c r="CQ813" s="50">
        <v>7.7924821603689689E-3</v>
      </c>
      <c r="CR813" s="50">
        <v>7.957408298207137E-3</v>
      </c>
      <c r="CS813" s="50">
        <v>8.5569125000501782E-3</v>
      </c>
      <c r="CT813" s="50">
        <v>9.157542899252552E-3</v>
      </c>
      <c r="CU813" s="50">
        <v>8.8665133517448133E-3</v>
      </c>
      <c r="CV813" s="50">
        <v>8.7698909788416751E-3</v>
      </c>
      <c r="CW813" s="50">
        <v>6.904321308834907E-3</v>
      </c>
      <c r="CX813" s="50">
        <v>6.8442802828282395E-3</v>
      </c>
      <c r="CY813" s="49">
        <v>8.2679233263229842E-3</v>
      </c>
      <c r="CZ813" s="48">
        <v>9.9183409319711924E-3</v>
      </c>
      <c r="DA813" s="48">
        <v>1.0091589323406289E-2</v>
      </c>
      <c r="DB813" s="48">
        <v>1.0317288052694475E-2</v>
      </c>
      <c r="DC813" s="48">
        <v>1.035086480583999E-2</v>
      </c>
      <c r="DD813" s="48">
        <v>1.0385198552622286E-2</v>
      </c>
      <c r="DE813" s="48">
        <v>1.0420270003013207E-2</v>
      </c>
      <c r="DF813" s="48">
        <v>1.3944181116126306E-2</v>
      </c>
      <c r="DG813" s="235">
        <v>1.0977815733920629E-2</v>
      </c>
      <c r="DH813" s="235">
        <v>1.1245274924773042E-2</v>
      </c>
      <c r="DI813" s="235">
        <v>1.129238806930466E-2</v>
      </c>
    </row>
    <row r="814" spans="1:113" outlineLevel="1">
      <c r="A814" s="1" t="s">
        <v>821</v>
      </c>
      <c r="B814" s="19" t="s">
        <v>296</v>
      </c>
      <c r="C814" s="235">
        <v>1.1641603376137242E-2</v>
      </c>
      <c r="D814" s="235">
        <v>9.3439694512949204E-3</v>
      </c>
      <c r="E814" s="235">
        <v>8.450963849442392E-3</v>
      </c>
      <c r="F814" s="235">
        <v>7.8597213624444426E-3</v>
      </c>
      <c r="G814" s="235">
        <v>6.2190071385755542E-3</v>
      </c>
      <c r="H814" s="235">
        <v>5.1438042560217438E-3</v>
      </c>
      <c r="I814" s="235">
        <v>3.5967186586424601E-3</v>
      </c>
      <c r="J814" s="235">
        <v>3.9574039430133835E-3</v>
      </c>
      <c r="K814" s="235">
        <v>3.6769554597776946E-3</v>
      </c>
      <c r="L814" s="235">
        <v>3.3009814128595184E-3</v>
      </c>
      <c r="M814" s="48">
        <v>2.8553211543259501E-3</v>
      </c>
      <c r="N814" s="48">
        <v>2.6943031687904199E-3</v>
      </c>
      <c r="O814" s="48">
        <v>5.6695211272198148E-3</v>
      </c>
      <c r="P814" s="48">
        <v>7.1231107613455216E-3</v>
      </c>
      <c r="Q814" s="48">
        <v>8.7347506824784309E-3</v>
      </c>
      <c r="R814" s="48">
        <v>1.8588401472696196E-2</v>
      </c>
      <c r="S814" s="48">
        <v>2.3608552950463237E-2</v>
      </c>
      <c r="T814" s="50">
        <v>2.638771688591994E-2</v>
      </c>
      <c r="U814" s="48">
        <v>2.9451105662933557E-2</v>
      </c>
      <c r="V814" s="48">
        <v>2.9443590381106798E-2</v>
      </c>
      <c r="W814" s="48">
        <v>3.2142869820489792E-2</v>
      </c>
      <c r="X814" s="48">
        <v>2.6089585327757344E-2</v>
      </c>
      <c r="Y814" s="50">
        <v>2.4981257451607897E-2</v>
      </c>
      <c r="Z814" s="50">
        <v>2.360325054457563E-2</v>
      </c>
      <c r="AA814" s="50">
        <v>1.9884067833684734E-2</v>
      </c>
      <c r="AB814" s="50">
        <v>1.9602210672148464E-2</v>
      </c>
      <c r="AC814" s="50">
        <v>1.6937358423522793E-2</v>
      </c>
      <c r="AD814" s="50">
        <v>1.5609775441299767E-2</v>
      </c>
      <c r="AE814" s="50">
        <v>1.4043138307826242E-2</v>
      </c>
      <c r="AF814" s="50">
        <v>1.2308295684329016E-2</v>
      </c>
      <c r="AG814" s="50">
        <v>1.3831913993315884E-2</v>
      </c>
      <c r="AH814" s="50">
        <v>1.3093353433482786E-2</v>
      </c>
      <c r="AI814" s="50">
        <v>1.3398526070612246E-2</v>
      </c>
      <c r="AJ814" s="50">
        <v>1.3671750945930006E-2</v>
      </c>
      <c r="AK814" s="50">
        <v>1.3944249169232379E-2</v>
      </c>
      <c r="AL814" s="50">
        <v>1.521979404417447E-2</v>
      </c>
      <c r="AM814" s="50">
        <v>1.5370106148484193E-2</v>
      </c>
      <c r="AN814" s="50">
        <v>1.455402823975741E-2</v>
      </c>
      <c r="AO814" s="50">
        <v>1.5186350967583109E-2</v>
      </c>
      <c r="AP814" s="50">
        <v>1.3716447391626398E-2</v>
      </c>
      <c r="AQ814" s="50">
        <v>1.5907073755214343E-2</v>
      </c>
      <c r="AR814" s="50">
        <v>1.4466220411207665E-2</v>
      </c>
      <c r="AS814" s="50">
        <v>1.2259686839716243E-2</v>
      </c>
      <c r="AT814" s="50">
        <v>1.1509179586819461E-2</v>
      </c>
      <c r="AU814" s="50">
        <v>1.3628438092958854E-2</v>
      </c>
      <c r="AV814" s="50">
        <v>1.3946044810242341E-2</v>
      </c>
      <c r="AW814" s="49">
        <v>1.676608541100329E-2</v>
      </c>
      <c r="AX814" s="48">
        <v>1.8432774753231809E-2</v>
      </c>
      <c r="AY814" s="48">
        <v>2.0253838854671039E-2</v>
      </c>
      <c r="AZ814" s="48">
        <v>2.0244451416347783E-2</v>
      </c>
      <c r="BA814" s="48">
        <v>2.0657996178750204E-2</v>
      </c>
      <c r="BB814" s="48">
        <v>2.1081322614114356E-2</v>
      </c>
      <c r="BC814" s="48">
        <v>2.1104067636419095E-2</v>
      </c>
      <c r="BD814" s="48">
        <v>2.1127056400344055E-2</v>
      </c>
      <c r="BE814" s="48">
        <v>2.115028455494419E-2</v>
      </c>
      <c r="BF814" s="48">
        <v>2.1173747850902779E-2</v>
      </c>
      <c r="BG814" s="48">
        <v>2.1197442136890232E-2</v>
      </c>
      <c r="BH814" s="48">
        <v>2.1221363356086171E-2</v>
      </c>
      <c r="BI814" s="48">
        <v>2.1245507542856111E-2</v>
      </c>
      <c r="BJ814" s="48">
        <v>2.4543286452922568E-2</v>
      </c>
      <c r="BK814" s="48">
        <v>2.6943502602893361E-2</v>
      </c>
      <c r="BL814" s="235">
        <v>2.7135449869424282E-2</v>
      </c>
      <c r="BM814" s="235">
        <v>2.2323769202518787E-2</v>
      </c>
      <c r="BN814" s="235">
        <v>2.2578487927288851E-2</v>
      </c>
      <c r="BO814" s="235">
        <v>2.283613001660531E-2</v>
      </c>
      <c r="BP814" s="235">
        <v>2.2868047708549156E-2</v>
      </c>
      <c r="BQ814" s="235">
        <v>2.2900025002529162E-2</v>
      </c>
      <c r="BR814" s="48"/>
      <c r="BS814" s="235">
        <v>3.7227009935897878E-2</v>
      </c>
      <c r="BT814" s="235">
        <v>5.2307233592825152E-2</v>
      </c>
      <c r="BU814" s="235">
        <v>4.1024530162239684E-2</v>
      </c>
      <c r="BV814" s="235">
        <v>2.7606098063452822E-2</v>
      </c>
      <c r="BW814" s="235">
        <v>2.0065763923051032E-2</v>
      </c>
      <c r="BX814" s="235">
        <v>1.3993616135448953E-2</v>
      </c>
      <c r="BY814" s="235">
        <v>1.2877127214579958E-2</v>
      </c>
      <c r="BZ814" s="235">
        <v>8.6584434890915659E-3</v>
      </c>
      <c r="CA814" s="235">
        <v>1.0974129074437284E-2</v>
      </c>
      <c r="CB814" s="235">
        <v>7.406979180968761E-3</v>
      </c>
      <c r="CC814" s="48">
        <v>8.450963849442392E-3</v>
      </c>
      <c r="CD814" s="48">
        <v>6.2190071385755542E-3</v>
      </c>
      <c r="CE814" s="48">
        <v>3.5967186586424601E-3</v>
      </c>
      <c r="CF814" s="48">
        <v>3.6769554597776946E-3</v>
      </c>
      <c r="CG814" s="48">
        <v>2.8553211543259501E-3</v>
      </c>
      <c r="CH814" s="48">
        <v>5.6695211272198148E-3</v>
      </c>
      <c r="CI814" s="48">
        <v>8.7347506824784309E-3</v>
      </c>
      <c r="CJ814" s="48">
        <v>2.3608552950463237E-2</v>
      </c>
      <c r="CK814" s="48">
        <v>2.9451105662933557E-2</v>
      </c>
      <c r="CL814" s="48">
        <v>3.2142869820489792E-2</v>
      </c>
      <c r="CM814" s="50">
        <v>2.4981257451607897E-2</v>
      </c>
      <c r="CN814" s="50">
        <v>1.9884067833684734E-2</v>
      </c>
      <c r="CO814" s="50">
        <v>1.6937358423522793E-2</v>
      </c>
      <c r="CP814" s="50">
        <v>1.4043138307826242E-2</v>
      </c>
      <c r="CQ814" s="50">
        <v>1.3831913993315884E-2</v>
      </c>
      <c r="CR814" s="50">
        <v>1.3398526070612246E-2</v>
      </c>
      <c r="CS814" s="50">
        <v>1.3944249169232379E-2</v>
      </c>
      <c r="CT814" s="50">
        <v>1.5370106148484193E-2</v>
      </c>
      <c r="CU814" s="50">
        <v>1.5186350967583109E-2</v>
      </c>
      <c r="CV814" s="50">
        <v>1.5907073755214343E-2</v>
      </c>
      <c r="CW814" s="50">
        <v>1.2259686839716243E-2</v>
      </c>
      <c r="CX814" s="50">
        <v>1.3628438092958854E-2</v>
      </c>
      <c r="CY814" s="49">
        <v>1.676608541100329E-2</v>
      </c>
      <c r="CZ814" s="48">
        <v>2.0253838854671039E-2</v>
      </c>
      <c r="DA814" s="48">
        <v>2.0657996178750204E-2</v>
      </c>
      <c r="DB814" s="48">
        <v>2.1104067636419095E-2</v>
      </c>
      <c r="DC814" s="48">
        <v>2.115028455494419E-2</v>
      </c>
      <c r="DD814" s="48">
        <v>2.1197442136890232E-2</v>
      </c>
      <c r="DE814" s="48">
        <v>2.1245507542856111E-2</v>
      </c>
      <c r="DF814" s="48">
        <v>2.6943502602893361E-2</v>
      </c>
      <c r="DG814" s="235">
        <v>2.2323769202518787E-2</v>
      </c>
      <c r="DH814" s="235">
        <v>2.283613001660531E-2</v>
      </c>
      <c r="DI814" s="235">
        <v>2.2900025002529162E-2</v>
      </c>
    </row>
    <row r="815" spans="1:113" outlineLevel="1">
      <c r="A815" s="1" t="s">
        <v>822</v>
      </c>
      <c r="B815" s="19" t="s">
        <v>512</v>
      </c>
      <c r="C815" s="232">
        <v>0.32727272727272727</v>
      </c>
      <c r="D815" s="232">
        <v>0.29569377990430623</v>
      </c>
      <c r="E815" s="232">
        <v>0.28632025450689291</v>
      </c>
      <c r="F815" s="232">
        <v>0.28618063112078346</v>
      </c>
      <c r="G815" s="232">
        <v>0.30827067669172931</v>
      </c>
      <c r="H815" s="232">
        <v>0.33165829145728642</v>
      </c>
      <c r="I815" s="232">
        <v>0.39393939393939392</v>
      </c>
      <c r="J815" s="232">
        <v>0.4044943820224719</v>
      </c>
      <c r="K815" s="232">
        <v>0.39746835443037976</v>
      </c>
      <c r="L815" s="232">
        <v>0.45202020202020204</v>
      </c>
      <c r="M815" s="42">
        <v>0.52453987730061347</v>
      </c>
      <c r="N815" s="42">
        <v>0.50591715976331364</v>
      </c>
      <c r="O815" s="42">
        <v>0.47268408551068886</v>
      </c>
      <c r="P815" s="42">
        <v>0.33629893238434166</v>
      </c>
      <c r="Q815" s="42">
        <v>0.40849194729136162</v>
      </c>
      <c r="R815" s="42">
        <v>0.41783345615327927</v>
      </c>
      <c r="S815" s="42">
        <v>0.41068883610451307</v>
      </c>
      <c r="T815" s="45">
        <v>0.37777317022600043</v>
      </c>
      <c r="U815" s="42">
        <v>0.38190184049079756</v>
      </c>
      <c r="V815" s="42">
        <v>0.41840277777777779</v>
      </c>
      <c r="W815" s="42">
        <v>0.40117047385312443</v>
      </c>
      <c r="X815" s="42">
        <v>0.4484602224123182</v>
      </c>
      <c r="Y815" s="45">
        <v>0.42841903136334542</v>
      </c>
      <c r="Z815" s="45">
        <v>0.41183035714285715</v>
      </c>
      <c r="AA815" s="45">
        <v>0.37598152424942261</v>
      </c>
      <c r="AB815" s="45">
        <v>0.3594821020563595</v>
      </c>
      <c r="AC815" s="45">
        <v>0.33471933471933474</v>
      </c>
      <c r="AD815" s="45">
        <v>0.33214285714285713</v>
      </c>
      <c r="AE815" s="45">
        <v>0.31068301225919437</v>
      </c>
      <c r="AF815" s="45">
        <v>0.32604017216642756</v>
      </c>
      <c r="AG815" s="45">
        <v>0.30295250320924261</v>
      </c>
      <c r="AH815" s="45">
        <v>0.30133333333333334</v>
      </c>
      <c r="AI815" s="45">
        <v>0.30749921556322563</v>
      </c>
      <c r="AJ815" s="45">
        <v>0.29046629046629047</v>
      </c>
      <c r="AK815" s="45">
        <v>0.27367096571248822</v>
      </c>
      <c r="AL815" s="45">
        <v>0.25842696629213485</v>
      </c>
      <c r="AM815" s="45">
        <v>0.24710104914411926</v>
      </c>
      <c r="AN815" s="45">
        <v>0.28347620455217265</v>
      </c>
      <c r="AO815" s="45">
        <v>0.27254791431792558</v>
      </c>
      <c r="AP815" s="45">
        <v>0.28129032258064518</v>
      </c>
      <c r="AQ815" s="45">
        <v>0.26400704018773835</v>
      </c>
      <c r="AR815" s="45">
        <v>0.22745548535324525</v>
      </c>
      <c r="AS815" s="45">
        <v>0.24940698068451372</v>
      </c>
      <c r="AT815" s="45">
        <v>0.21113306982872201</v>
      </c>
      <c r="AU815" s="45">
        <v>0.22669873722188816</v>
      </c>
      <c r="AV815" s="45">
        <v>0.22644423849243125</v>
      </c>
      <c r="AW815" s="43">
        <v>0.18256410256410258</v>
      </c>
      <c r="AX815" s="42">
        <v>0.18256410256410258</v>
      </c>
      <c r="AY815" s="42">
        <v>0.18256410256410258</v>
      </c>
      <c r="AZ815" s="42">
        <v>0.18256410256410258</v>
      </c>
      <c r="BA815" s="42">
        <v>0.18256410256410258</v>
      </c>
      <c r="BB815" s="42">
        <v>0.18256410256410258</v>
      </c>
      <c r="BC815" s="42">
        <v>0.18256410256410258</v>
      </c>
      <c r="BD815" s="42">
        <v>0.18256410256410258</v>
      </c>
      <c r="BE815" s="42">
        <v>0.18256410256410258</v>
      </c>
      <c r="BF815" s="42">
        <v>0.18256410256410258</v>
      </c>
      <c r="BG815" s="42">
        <v>0.1825641025641026</v>
      </c>
      <c r="BH815" s="42">
        <v>0.18256410256410258</v>
      </c>
      <c r="BI815" s="42">
        <v>0.18256410256410258</v>
      </c>
      <c r="BJ815" s="42">
        <v>0.18256410256410258</v>
      </c>
      <c r="BK815" s="42">
        <v>0.18256410256410258</v>
      </c>
      <c r="BL815" s="232">
        <v>0.18256410256410258</v>
      </c>
      <c r="BM815" s="232">
        <v>0.18256410256410258</v>
      </c>
      <c r="BN815" s="232">
        <v>0.18256410256410258</v>
      </c>
      <c r="BO815" s="232">
        <v>0.18256410256410258</v>
      </c>
      <c r="BP815" s="232">
        <v>0.18256410256410258</v>
      </c>
      <c r="BQ815" s="232">
        <v>0.18256410256410258</v>
      </c>
      <c r="BR815" s="42"/>
      <c r="BS815" s="232">
        <v>0.77702253794654264</v>
      </c>
      <c r="BT815" s="232">
        <v>0.2763740243019232</v>
      </c>
      <c r="BU815" s="232">
        <v>0.2959827357237716</v>
      </c>
      <c r="BV815" s="232">
        <v>0.30328867235079171</v>
      </c>
      <c r="BW815" s="232">
        <v>0.26160337552742619</v>
      </c>
      <c r="BX815" s="232">
        <v>0.26600441501103755</v>
      </c>
      <c r="BY815" s="232">
        <v>0.30129589632829373</v>
      </c>
      <c r="BZ815" s="232">
        <v>0.41856925418569252</v>
      </c>
      <c r="CA815" s="232">
        <v>0.38061674008810575</v>
      </c>
      <c r="CB815" s="232">
        <v>0.32635983263598328</v>
      </c>
      <c r="CC815" s="42">
        <v>0.28632025450689291</v>
      </c>
      <c r="CD815" s="42">
        <v>0.30827067669172931</v>
      </c>
      <c r="CE815" s="42">
        <v>0.39393939393939392</v>
      </c>
      <c r="CF815" s="42">
        <v>0.39746835443037976</v>
      </c>
      <c r="CG815" s="42">
        <v>0.52453987730061347</v>
      </c>
      <c r="CH815" s="42">
        <v>0.47268408551068886</v>
      </c>
      <c r="CI815" s="42">
        <v>0.40849194729136162</v>
      </c>
      <c r="CJ815" s="42">
        <v>0.41068883610451307</v>
      </c>
      <c r="CK815" s="42">
        <v>0.38190184049079756</v>
      </c>
      <c r="CL815" s="42">
        <v>0.40117047385312443</v>
      </c>
      <c r="CM815" s="45">
        <v>0.42841903136334542</v>
      </c>
      <c r="CN815" s="45">
        <v>0.37598152424942261</v>
      </c>
      <c r="CO815" s="45">
        <v>0.33471933471933474</v>
      </c>
      <c r="CP815" s="45">
        <v>0.31068301225919437</v>
      </c>
      <c r="CQ815" s="45">
        <v>0.30295250320924261</v>
      </c>
      <c r="CR815" s="45">
        <v>0.30749921556322563</v>
      </c>
      <c r="CS815" s="45">
        <v>0.27367096571248822</v>
      </c>
      <c r="CT815" s="45">
        <v>0.24710104914411926</v>
      </c>
      <c r="CU815" s="45">
        <v>0.27254791431792558</v>
      </c>
      <c r="CV815" s="45">
        <v>0.26400704018773835</v>
      </c>
      <c r="CW815" s="45">
        <v>0.24940698068451372</v>
      </c>
      <c r="CX815" s="45">
        <v>0.22669873722188816</v>
      </c>
      <c r="CY815" s="43">
        <v>0.18256410256410258</v>
      </c>
      <c r="CZ815" s="42">
        <v>0.18256410256410258</v>
      </c>
      <c r="DA815" s="42">
        <v>0.18256410256410258</v>
      </c>
      <c r="DB815" s="42">
        <v>0.18256410256410258</v>
      </c>
      <c r="DC815" s="42">
        <v>0.18256410256410258</v>
      </c>
      <c r="DD815" s="42">
        <v>0.1825641025641026</v>
      </c>
      <c r="DE815" s="42">
        <v>0.18256410256410258</v>
      </c>
      <c r="DF815" s="42">
        <v>0.18256410256410258</v>
      </c>
      <c r="DG815" s="232">
        <v>0.18256410256410258</v>
      </c>
      <c r="DH815" s="232">
        <v>0.18256410256410258</v>
      </c>
      <c r="DI815" s="232">
        <v>0.18256410256410258</v>
      </c>
    </row>
    <row r="816" spans="1:113" outlineLevel="1">
      <c r="A816" s="1" t="s">
        <v>823</v>
      </c>
      <c r="B816" s="19" t="s">
        <v>350</v>
      </c>
      <c r="C816" s="235">
        <v>1.6849737437972731E-2</v>
      </c>
      <c r="D816" s="235">
        <v>1.6419674068238885E-2</v>
      </c>
      <c r="E816" s="235">
        <v>1.6451119792298546E-2</v>
      </c>
      <c r="F816" s="235">
        <v>1.629220380601596E-2</v>
      </c>
      <c r="G816" s="235">
        <v>1.6287445759732518E-2</v>
      </c>
      <c r="H816" s="235">
        <v>1.6100348564247267E-2</v>
      </c>
      <c r="I816" s="235">
        <v>1.6564402587519025E-2</v>
      </c>
      <c r="J816" s="235">
        <v>1.4311957074507281E-2</v>
      </c>
      <c r="K816" s="235">
        <v>1.3012666285960362E-2</v>
      </c>
      <c r="L816" s="235">
        <v>9.1416829126929767E-3</v>
      </c>
      <c r="M816" s="48">
        <v>9.3742718359592046E-3</v>
      </c>
      <c r="N816" s="48">
        <v>8.6059231921355103E-3</v>
      </c>
      <c r="O816" s="48">
        <v>7.2485611536007967E-3</v>
      </c>
      <c r="P816" s="48">
        <v>7.4205607476635514E-3</v>
      </c>
      <c r="Q816" s="48">
        <v>8.8564006524497075E-3</v>
      </c>
      <c r="R816" s="48">
        <v>1.2436160373185345E-2</v>
      </c>
      <c r="S816" s="48">
        <v>1.6617115886993307E-2</v>
      </c>
      <c r="T816" s="50">
        <v>1.8420392633977406E-2</v>
      </c>
      <c r="U816" s="48">
        <v>1.8519608525119996E-2</v>
      </c>
      <c r="V816" s="48">
        <v>1.8504407797769681E-2</v>
      </c>
      <c r="W816" s="48">
        <v>1.6896450246256182E-2</v>
      </c>
      <c r="X816" s="48">
        <v>1.6281277621973178E-2</v>
      </c>
      <c r="Y816" s="50">
        <v>1.5151272397126759E-2</v>
      </c>
      <c r="Z816" s="50">
        <v>1.5167677668274716E-2</v>
      </c>
      <c r="AA816" s="50">
        <v>1.4707168844267652E-2</v>
      </c>
      <c r="AB816" s="50">
        <v>1.4122764715724E-2</v>
      </c>
      <c r="AC816" s="50">
        <v>1.3425899085937349E-2</v>
      </c>
      <c r="AD816" s="50">
        <v>1.2856604423267522E-2</v>
      </c>
      <c r="AE816" s="50">
        <v>1.2442954773778794E-2</v>
      </c>
      <c r="AF816" s="50">
        <v>1.1804121539045051E-2</v>
      </c>
      <c r="AG816" s="50">
        <v>1.1526835274242963E-2</v>
      </c>
      <c r="AH816" s="50">
        <v>1.1429060023941173E-2</v>
      </c>
      <c r="AI816" s="50">
        <v>1.0985319582021986E-2</v>
      </c>
      <c r="AJ816" s="50">
        <v>1.1196697539715559E-2</v>
      </c>
      <c r="AK816" s="50">
        <v>1.1246153595675747E-2</v>
      </c>
      <c r="AL816" s="50">
        <v>1.5517816601703949E-2</v>
      </c>
      <c r="AM816" s="50">
        <v>1.6474103081298687E-2</v>
      </c>
      <c r="AN816" s="50">
        <v>1.7283363010118437E-2</v>
      </c>
      <c r="AO816" s="50">
        <v>2.2831127509054597E-2</v>
      </c>
      <c r="AP816" s="50">
        <v>2.5364592002663219E-2</v>
      </c>
      <c r="AQ816" s="50">
        <v>2.2343289861169541E-2</v>
      </c>
      <c r="AR816" s="50">
        <v>2.0763431421610048E-2</v>
      </c>
      <c r="AS816" s="50">
        <v>1.7593126051638552E-2</v>
      </c>
      <c r="AT816" s="50">
        <v>1.7988120498381069E-2</v>
      </c>
      <c r="AU816" s="50">
        <v>1.8580036115928556E-2</v>
      </c>
      <c r="AV816" s="50">
        <v>1.9204508195244632E-2</v>
      </c>
      <c r="AW816" s="49">
        <v>1.9134079690636897E-2</v>
      </c>
      <c r="AX816" s="48">
        <v>1.9178109461517583E-2</v>
      </c>
      <c r="AY816" s="48">
        <v>1.9231123056637288E-2</v>
      </c>
      <c r="AZ816" s="48">
        <v>1.9323042448217902E-2</v>
      </c>
      <c r="BA816" s="48">
        <v>1.9315957791433087E-2</v>
      </c>
      <c r="BB816" s="48">
        <v>1.9307807085793296E-2</v>
      </c>
      <c r="BC816" s="48">
        <v>1.9289600362077552E-2</v>
      </c>
      <c r="BD816" s="48">
        <v>1.9271238364825014E-2</v>
      </c>
      <c r="BE816" s="48">
        <v>1.9252725699034894E-2</v>
      </c>
      <c r="BF816" s="48">
        <v>1.9234066863942547E-2</v>
      </c>
      <c r="BG816" s="48">
        <v>1.9215266256127288E-2</v>
      </c>
      <c r="BH816" s="48">
        <v>1.9196328172496366E-2</v>
      </c>
      <c r="BI816" s="48">
        <v>1.9177256813151054E-2</v>
      </c>
      <c r="BJ816" s="48">
        <v>2.1527915125365379E-2</v>
      </c>
      <c r="BK816" s="48">
        <v>2.4098856410654113E-2</v>
      </c>
      <c r="BL816" s="235">
        <v>2.3482969443181061E-2</v>
      </c>
      <c r="BM816" s="235">
        <v>2.1044066447987009E-2</v>
      </c>
      <c r="BN816" s="235">
        <v>2.1018436502897832E-2</v>
      </c>
      <c r="BO816" s="235">
        <v>2.099282866958296E-2</v>
      </c>
      <c r="BP816" s="235">
        <v>2.0967243770262867E-2</v>
      </c>
      <c r="BQ816" s="235">
        <v>2.0941682614101613E-2</v>
      </c>
      <c r="BR816" s="48"/>
      <c r="BS816" s="235">
        <v>8.0880194573740918E-3</v>
      </c>
      <c r="BT816" s="235">
        <v>7.3527643174455155E-3</v>
      </c>
      <c r="BU816" s="235">
        <v>7.8702315393124316E-3</v>
      </c>
      <c r="BV816" s="235">
        <v>1.0997643362136685E-2</v>
      </c>
      <c r="BW816" s="235">
        <v>1.5745875265283767E-2</v>
      </c>
      <c r="BX816" s="235">
        <v>1.4358846297914845E-2</v>
      </c>
      <c r="BY816" s="235">
        <v>2.0116661681124737E-2</v>
      </c>
      <c r="BZ816" s="235">
        <v>1.7832692720104258E-2</v>
      </c>
      <c r="CA816" s="235">
        <v>1.7538874825644469E-2</v>
      </c>
      <c r="CB816" s="235">
        <v>1.6849737437972731E-2</v>
      </c>
      <c r="CC816" s="48">
        <v>1.6451119792298546E-2</v>
      </c>
      <c r="CD816" s="48">
        <v>1.6287445759732518E-2</v>
      </c>
      <c r="CE816" s="48">
        <v>1.6564402587519025E-2</v>
      </c>
      <c r="CF816" s="48">
        <v>1.3012666285960362E-2</v>
      </c>
      <c r="CG816" s="48">
        <v>9.3742718359592046E-3</v>
      </c>
      <c r="CH816" s="48">
        <v>7.2485611536007967E-3</v>
      </c>
      <c r="CI816" s="48">
        <v>8.8564006524497075E-3</v>
      </c>
      <c r="CJ816" s="48">
        <v>1.6617115886993307E-2</v>
      </c>
      <c r="CK816" s="48">
        <v>1.8519608525119996E-2</v>
      </c>
      <c r="CL816" s="48">
        <v>1.6896450246256182E-2</v>
      </c>
      <c r="CM816" s="50">
        <v>1.5151272397126759E-2</v>
      </c>
      <c r="CN816" s="50">
        <v>1.4707168844267652E-2</v>
      </c>
      <c r="CO816" s="50">
        <v>1.3425899085937349E-2</v>
      </c>
      <c r="CP816" s="50">
        <v>1.2442954773778794E-2</v>
      </c>
      <c r="CQ816" s="50">
        <v>1.1526835274242963E-2</v>
      </c>
      <c r="CR816" s="50">
        <v>1.0985319582021986E-2</v>
      </c>
      <c r="CS816" s="50">
        <v>1.1246153595675747E-2</v>
      </c>
      <c r="CT816" s="50">
        <v>1.6474103081298687E-2</v>
      </c>
      <c r="CU816" s="50">
        <v>2.2831127509054597E-2</v>
      </c>
      <c r="CV816" s="50">
        <v>2.2343289861169541E-2</v>
      </c>
      <c r="CW816" s="50">
        <v>1.7593126051638552E-2</v>
      </c>
      <c r="CX816" s="50">
        <v>1.8580036115928556E-2</v>
      </c>
      <c r="CY816" s="49">
        <v>1.9134079690636897E-2</v>
      </c>
      <c r="CZ816" s="48">
        <v>1.9231123056637288E-2</v>
      </c>
      <c r="DA816" s="48">
        <v>1.9315957791433087E-2</v>
      </c>
      <c r="DB816" s="48">
        <v>1.9289600362077552E-2</v>
      </c>
      <c r="DC816" s="48">
        <v>1.9252725699034894E-2</v>
      </c>
      <c r="DD816" s="48">
        <v>1.9215266256127288E-2</v>
      </c>
      <c r="DE816" s="48">
        <v>1.9177256813151054E-2</v>
      </c>
      <c r="DF816" s="48">
        <v>2.4098856410654113E-2</v>
      </c>
      <c r="DG816" s="235">
        <v>2.1044066447987009E-2</v>
      </c>
      <c r="DH816" s="235">
        <v>2.099282866958296E-2</v>
      </c>
      <c r="DI816" s="235">
        <v>2.0941682614101613E-2</v>
      </c>
    </row>
    <row r="817" spans="1:113" outlineLevel="1">
      <c r="A817" s="1" t="s">
        <v>824</v>
      </c>
      <c r="B817" s="19" t="s">
        <v>297</v>
      </c>
      <c r="C817" s="235">
        <v>1.0156890931399241E-2</v>
      </c>
      <c r="D817" s="235">
        <v>9.7034413029088509E-3</v>
      </c>
      <c r="E817" s="235">
        <v>9.6954790181539973E-3</v>
      </c>
      <c r="F817" s="235">
        <v>9.3114312378519849E-3</v>
      </c>
      <c r="G817" s="235">
        <v>9.1075933270553956E-3</v>
      </c>
      <c r="H817" s="235">
        <v>8.7465059061457399E-3</v>
      </c>
      <c r="I817" s="235">
        <v>8.3456151071809436E-3</v>
      </c>
      <c r="J817" s="235">
        <v>7.7471910112359554E-3</v>
      </c>
      <c r="K817" s="235">
        <v>7.444899708095659E-3</v>
      </c>
      <c r="L817" s="235">
        <v>5.2229932116140106E-3</v>
      </c>
      <c r="M817" s="48">
        <v>4.9110056293458406E-3</v>
      </c>
      <c r="N817" s="48">
        <v>4.5036462212676032E-3</v>
      </c>
      <c r="O817" s="48">
        <v>4.2864723244784931E-3</v>
      </c>
      <c r="P817" s="48">
        <v>6.5570701843246934E-3</v>
      </c>
      <c r="Q817" s="48">
        <v>7.821169440887751E-3</v>
      </c>
      <c r="R817" s="48">
        <v>1.1182881241778955E-2</v>
      </c>
      <c r="S817" s="48">
        <v>1.2478090794070876E-2</v>
      </c>
      <c r="T817" s="50">
        <v>1.3355721835754026E-2</v>
      </c>
      <c r="U817" s="48">
        <v>1.3479356449332652E-2</v>
      </c>
      <c r="V817" s="48">
        <v>1.3601354003139717E-2</v>
      </c>
      <c r="W817" s="48">
        <v>1.2332720007132956E-2</v>
      </c>
      <c r="X817" s="48">
        <v>1.1545932225687377E-2</v>
      </c>
      <c r="Y817" s="50">
        <v>1.0851894778314572E-2</v>
      </c>
      <c r="Z817" s="50">
        <v>1.1057504439638328E-2</v>
      </c>
      <c r="AA817" s="50">
        <v>1.021904074029048E-2</v>
      </c>
      <c r="AB817" s="50">
        <v>1.0169947980893254E-2</v>
      </c>
      <c r="AC817" s="50">
        <v>9.611327463010742E-3</v>
      </c>
      <c r="AD817" s="50">
        <v>8.8693005996327724E-3</v>
      </c>
      <c r="AE817" s="50">
        <v>8.6535870716286413E-3</v>
      </c>
      <c r="AF817" s="50">
        <v>8.3622673955164387E-3</v>
      </c>
      <c r="AG817" s="50">
        <v>8.1911461209778214E-3</v>
      </c>
      <c r="AH817" s="50">
        <v>7.5148717893801231E-3</v>
      </c>
      <c r="AI817" s="50">
        <v>7.2814697595020928E-3</v>
      </c>
      <c r="AJ817" s="50">
        <v>7.5534422387836019E-3</v>
      </c>
      <c r="AK817" s="50">
        <v>7.4771059297265704E-3</v>
      </c>
      <c r="AL817" s="50">
        <v>1.0326081070836808E-2</v>
      </c>
      <c r="AM817" s="50">
        <v>1.0478455286734984E-2</v>
      </c>
      <c r="AN817" s="50">
        <v>1.0839061129959464E-2</v>
      </c>
      <c r="AO817" s="50">
        <v>1.4420327423742765E-2</v>
      </c>
      <c r="AP817" s="50">
        <v>1.5768108251525605E-2</v>
      </c>
      <c r="AQ817" s="50">
        <v>1.391953872362731E-2</v>
      </c>
      <c r="AR817" s="50">
        <v>1.2956663518366366E-2</v>
      </c>
      <c r="AS817" s="50">
        <v>1.1713540303876316E-2</v>
      </c>
      <c r="AT817" s="50">
        <v>1.2188539290627014E-2</v>
      </c>
      <c r="AU817" s="50">
        <v>1.4319217127944244E-2</v>
      </c>
      <c r="AV817" s="50">
        <v>1.445482528102838E-2</v>
      </c>
      <c r="AW817" s="49">
        <v>1.4639189729081858E-2</v>
      </c>
      <c r="AX817" s="48">
        <v>1.4639189729081858E-2</v>
      </c>
      <c r="AY817" s="48">
        <v>1.4639189729081858E-2</v>
      </c>
      <c r="AZ817" s="48">
        <v>1.4639189729081858E-2</v>
      </c>
      <c r="BA817" s="48">
        <v>1.4639189729081858E-2</v>
      </c>
      <c r="BB817" s="48">
        <v>1.4639189729081858E-2</v>
      </c>
      <c r="BC817" s="48">
        <v>1.4639189729081859E-2</v>
      </c>
      <c r="BD817" s="48">
        <v>1.4639189729081858E-2</v>
      </c>
      <c r="BE817" s="48">
        <v>1.4639189729081856E-2</v>
      </c>
      <c r="BF817" s="48">
        <v>1.4639189729081858E-2</v>
      </c>
      <c r="BG817" s="48">
        <v>1.4639189729081858E-2</v>
      </c>
      <c r="BH817" s="48">
        <v>1.4639189729081858E-2</v>
      </c>
      <c r="BI817" s="48">
        <v>1.4639189729081858E-2</v>
      </c>
      <c r="BJ817" s="48">
        <v>1.603918972908186E-2</v>
      </c>
      <c r="BK817" s="48">
        <v>1.7539189729081861E-2</v>
      </c>
      <c r="BL817" s="235">
        <v>1.7539189729081858E-2</v>
      </c>
      <c r="BM817" s="235">
        <v>1.6139189729081863E-2</v>
      </c>
      <c r="BN817" s="235">
        <v>1.6139189729081863E-2</v>
      </c>
      <c r="BO817" s="235">
        <v>1.6139189729081863E-2</v>
      </c>
      <c r="BP817" s="235">
        <v>1.6139189729081863E-2</v>
      </c>
      <c r="BQ817" s="235">
        <v>1.6139189729081863E-2</v>
      </c>
      <c r="BR817" s="48"/>
      <c r="BS817" s="235">
        <v>7.6464622103875586E-3</v>
      </c>
      <c r="BT817" s="235">
        <v>6.7403800325994221E-3</v>
      </c>
      <c r="BU817" s="235">
        <v>6.7727265735950826E-3</v>
      </c>
      <c r="BV817" s="235">
        <v>7.5867455093160769E-3</v>
      </c>
      <c r="BW817" s="235">
        <v>9.9350621301349147E-3</v>
      </c>
      <c r="BX817" s="235">
        <v>8.9905794363297591E-3</v>
      </c>
      <c r="BY817" s="235">
        <v>1.3107405196671987E-2</v>
      </c>
      <c r="BZ817" s="235">
        <v>1.2634556271111163E-2</v>
      </c>
      <c r="CA817" s="235">
        <v>1.2159197743654027E-2</v>
      </c>
      <c r="CB817" s="235">
        <v>1.1839176758316619E-2</v>
      </c>
      <c r="CC817" s="48">
        <v>9.6954790181539973E-3</v>
      </c>
      <c r="CD817" s="48">
        <v>9.1075933270553956E-3</v>
      </c>
      <c r="CE817" s="48">
        <v>8.3456151071809436E-3</v>
      </c>
      <c r="CF817" s="48">
        <v>7.444899708095659E-3</v>
      </c>
      <c r="CG817" s="48">
        <v>4.9110056293458406E-3</v>
      </c>
      <c r="CH817" s="48">
        <v>4.2864723244784931E-3</v>
      </c>
      <c r="CI817" s="48">
        <v>7.821169440887751E-3</v>
      </c>
      <c r="CJ817" s="48">
        <v>1.2478090794070876E-2</v>
      </c>
      <c r="CK817" s="48">
        <v>1.3479356449332652E-2</v>
      </c>
      <c r="CL817" s="48">
        <v>1.2332720007132956E-2</v>
      </c>
      <c r="CM817" s="50">
        <v>1.0851894778314572E-2</v>
      </c>
      <c r="CN817" s="50">
        <v>1.021904074029048E-2</v>
      </c>
      <c r="CO817" s="50">
        <v>9.611327463010742E-3</v>
      </c>
      <c r="CP817" s="50">
        <v>8.6535870716286413E-3</v>
      </c>
      <c r="CQ817" s="50">
        <v>8.1911461209778214E-3</v>
      </c>
      <c r="CR817" s="50">
        <v>7.2814697595020928E-3</v>
      </c>
      <c r="CS817" s="50">
        <v>7.4771059297265704E-3</v>
      </c>
      <c r="CT817" s="50">
        <v>1.0478455286734984E-2</v>
      </c>
      <c r="CU817" s="50">
        <v>1.4420327423742765E-2</v>
      </c>
      <c r="CV817" s="50">
        <v>1.391953872362731E-2</v>
      </c>
      <c r="CW817" s="50">
        <v>1.1713540303876316E-2</v>
      </c>
      <c r="CX817" s="50">
        <v>1.4319217127944244E-2</v>
      </c>
      <c r="CY817" s="49">
        <v>1.4639189729081858E-2</v>
      </c>
      <c r="CZ817" s="48">
        <v>1.4639189729081858E-2</v>
      </c>
      <c r="DA817" s="48">
        <v>1.4639189729081858E-2</v>
      </c>
      <c r="DB817" s="48">
        <v>1.4639189729081859E-2</v>
      </c>
      <c r="DC817" s="48">
        <v>1.4639189729081856E-2</v>
      </c>
      <c r="DD817" s="48">
        <v>1.4639189729081858E-2</v>
      </c>
      <c r="DE817" s="48">
        <v>1.4639189729081858E-2</v>
      </c>
      <c r="DF817" s="48">
        <v>1.7539189729081861E-2</v>
      </c>
      <c r="DG817" s="235">
        <v>1.6139189729081863E-2</v>
      </c>
      <c r="DH817" s="235">
        <v>1.6139189729081863E-2</v>
      </c>
      <c r="DI817" s="235">
        <v>1.6139189729081863E-2</v>
      </c>
    </row>
    <row r="818" spans="1:113" outlineLevel="1">
      <c r="A818" s="1" t="s">
        <v>825</v>
      </c>
      <c r="B818" s="19" t="s">
        <v>263</v>
      </c>
      <c r="C818" s="235">
        <v>1.0109623291878337E-2</v>
      </c>
      <c r="D818" s="235">
        <v>9.6477207802069843E-3</v>
      </c>
      <c r="E818" s="235">
        <v>9.6136803522180233E-3</v>
      </c>
      <c r="F818" s="235">
        <v>9.2299559716493597E-3</v>
      </c>
      <c r="G818" s="235">
        <v>9.0253937115143592E-3</v>
      </c>
      <c r="H818" s="235">
        <v>8.6238100983673186E-3</v>
      </c>
      <c r="I818" s="235">
        <v>8.2269771617224097E-3</v>
      </c>
      <c r="J818" s="235">
        <v>7.6325315208607769E-3</v>
      </c>
      <c r="K818" s="235">
        <v>7.3328093100301223E-3</v>
      </c>
      <c r="L818" s="235">
        <v>5.1365047096962012E-3</v>
      </c>
      <c r="M818" s="48">
        <v>4.8327927628235342E-3</v>
      </c>
      <c r="N818" s="48">
        <v>4.4336634423133492E-3</v>
      </c>
      <c r="O818" s="48">
        <v>4.2144391412978349E-3</v>
      </c>
      <c r="P818" s="48">
        <v>6.0082329438828014E-3</v>
      </c>
      <c r="Q818" s="48">
        <v>7.1337852370548073E-3</v>
      </c>
      <c r="R818" s="48">
        <v>1.0338962509768523E-2</v>
      </c>
      <c r="S818" s="48">
        <v>1.1165505684886926E-2</v>
      </c>
      <c r="T818" s="50">
        <v>1.1605350833252088E-2</v>
      </c>
      <c r="U818" s="48">
        <v>1.1900791208337775E-2</v>
      </c>
      <c r="V818" s="48">
        <v>1.1650669029250988E-2</v>
      </c>
      <c r="W818" s="48">
        <v>1.0801850122998393E-2</v>
      </c>
      <c r="X818" s="48">
        <v>1.0023345257889522E-2</v>
      </c>
      <c r="Y818" s="50">
        <v>9.3696228702024858E-3</v>
      </c>
      <c r="Z818" s="50">
        <v>9.4757817188365154E-3</v>
      </c>
      <c r="AA818" s="50">
        <v>8.6827602549535473E-3</v>
      </c>
      <c r="AB818" s="50">
        <v>8.5877491419731472E-3</v>
      </c>
      <c r="AC818" s="50">
        <v>8.2288320033164063E-3</v>
      </c>
      <c r="AD818" s="50">
        <v>7.826131290929279E-3</v>
      </c>
      <c r="AE818" s="50">
        <v>7.4907585952522365E-3</v>
      </c>
      <c r="AF818" s="50">
        <v>7.1333615170299141E-3</v>
      </c>
      <c r="AG818" s="50">
        <v>7.1401966721311889E-3</v>
      </c>
      <c r="AH818" s="50">
        <v>6.4309786680290778E-3</v>
      </c>
      <c r="AI818" s="50">
        <v>6.2851350949405466E-3</v>
      </c>
      <c r="AJ818" s="50">
        <v>6.2880526998702465E-3</v>
      </c>
      <c r="AK818" s="50">
        <v>6.0247006183876571E-3</v>
      </c>
      <c r="AL818" s="50">
        <v>8.5680139460489191E-3</v>
      </c>
      <c r="AM818" s="50">
        <v>8.6226317579655536E-3</v>
      </c>
      <c r="AN818" s="50">
        <v>9.0548008032879587E-3</v>
      </c>
      <c r="AO818" s="50">
        <v>1.1860696167474085E-2</v>
      </c>
      <c r="AP818" s="50">
        <v>1.3101389721702938E-2</v>
      </c>
      <c r="AQ818" s="50">
        <v>1.1784414662288098E-2</v>
      </c>
      <c r="AR818" s="50">
        <v>1.0726235201630761E-2</v>
      </c>
      <c r="AS818" s="50">
        <v>9.2610445638813231E-3</v>
      </c>
      <c r="AT818" s="50">
        <v>9.7148974979182363E-3</v>
      </c>
      <c r="AU818" s="50">
        <v>1.1102753893228944E-2</v>
      </c>
      <c r="AV818" s="50">
        <v>1.1495889087316993E-2</v>
      </c>
      <c r="AW818" s="49">
        <v>1.1598734683489074E-2</v>
      </c>
      <c r="AX818" s="48">
        <v>1.1619172131975693E-2</v>
      </c>
      <c r="AY818" s="48">
        <v>1.1638526195246838E-2</v>
      </c>
      <c r="AZ818" s="48">
        <v>1.1630582070033804E-2</v>
      </c>
      <c r="BA818" s="48">
        <v>1.163119128752579E-2</v>
      </c>
      <c r="BB818" s="48">
        <v>1.1631892807846841E-2</v>
      </c>
      <c r="BC818" s="48">
        <v>1.1633462283757593E-2</v>
      </c>
      <c r="BD818" s="48">
        <v>1.1635048578583548E-2</v>
      </c>
      <c r="BE818" s="48">
        <v>1.1636651392096221E-2</v>
      </c>
      <c r="BF818" s="48">
        <v>1.1638270431079808E-2</v>
      </c>
      <c r="BG818" s="48">
        <v>1.1639905409079899E-2</v>
      </c>
      <c r="BH818" s="48">
        <v>1.1641556046163513E-2</v>
      </c>
      <c r="BI818" s="48">
        <v>1.164322206868978E-2</v>
      </c>
      <c r="BJ818" s="48">
        <v>1.2741950816454855E-2</v>
      </c>
      <c r="BK818" s="48">
        <v>1.3918716839621082E-2</v>
      </c>
      <c r="BL818" s="235">
        <v>1.3938392068534968E-2</v>
      </c>
      <c r="BM818" s="235">
        <v>1.284487371401157E-2</v>
      </c>
      <c r="BN818" s="235">
        <v>1.2847142396071126E-2</v>
      </c>
      <c r="BO818" s="235">
        <v>1.2849415456757994E-2</v>
      </c>
      <c r="BP818" s="235">
        <v>1.2851692832920992E-2</v>
      </c>
      <c r="BQ818" s="235">
        <v>1.2853974461780483E-2</v>
      </c>
      <c r="BR818" s="48"/>
      <c r="BS818" s="235">
        <v>6.3552951869176207E-3</v>
      </c>
      <c r="BT818" s="235">
        <v>5.865873135363805E-3</v>
      </c>
      <c r="BU818" s="235">
        <v>5.9204039558994892E-3</v>
      </c>
      <c r="BV818" s="235">
        <v>6.7629967463734139E-3</v>
      </c>
      <c r="BW818" s="235">
        <v>8.9325013592936858E-3</v>
      </c>
      <c r="BX818" s="235">
        <v>7.9798306888097335E-3</v>
      </c>
      <c r="BY818" s="235">
        <v>1.1394563226059239E-2</v>
      </c>
      <c r="BZ818" s="235">
        <v>1.0858210454417615E-2</v>
      </c>
      <c r="CA818" s="235">
        <v>1.0569409420628249E-2</v>
      </c>
      <c r="CB818" s="235">
        <v>1.0109623291878337E-2</v>
      </c>
      <c r="CC818" s="48">
        <v>9.6136803522180233E-3</v>
      </c>
      <c r="CD818" s="48">
        <v>9.0253937115143592E-3</v>
      </c>
      <c r="CE818" s="48">
        <v>8.2269771617224097E-3</v>
      </c>
      <c r="CF818" s="48">
        <v>7.3328093100301223E-3</v>
      </c>
      <c r="CG818" s="48">
        <v>4.8327927628235342E-3</v>
      </c>
      <c r="CH818" s="48">
        <v>4.2144391412978349E-3</v>
      </c>
      <c r="CI818" s="48">
        <v>7.1337852370548073E-3</v>
      </c>
      <c r="CJ818" s="48">
        <v>1.1165505684886926E-2</v>
      </c>
      <c r="CK818" s="48">
        <v>1.1900791208337775E-2</v>
      </c>
      <c r="CL818" s="48">
        <v>1.0801850122998393E-2</v>
      </c>
      <c r="CM818" s="50">
        <v>9.3696228702024858E-3</v>
      </c>
      <c r="CN818" s="50">
        <v>8.6827602549535473E-3</v>
      </c>
      <c r="CO818" s="50">
        <v>8.2288320033164063E-3</v>
      </c>
      <c r="CP818" s="50">
        <v>7.4907585952522365E-3</v>
      </c>
      <c r="CQ818" s="50">
        <v>7.1401966721311889E-3</v>
      </c>
      <c r="CR818" s="50">
        <v>6.2851350949405466E-3</v>
      </c>
      <c r="CS818" s="50">
        <v>6.0247006183876571E-3</v>
      </c>
      <c r="CT818" s="50">
        <v>8.6226317579655536E-3</v>
      </c>
      <c r="CU818" s="50">
        <v>1.1860696167474085E-2</v>
      </c>
      <c r="CV818" s="50">
        <v>1.1784414662288098E-2</v>
      </c>
      <c r="CW818" s="50">
        <v>9.2610445638813231E-3</v>
      </c>
      <c r="CX818" s="50">
        <v>1.1102753893228944E-2</v>
      </c>
      <c r="CY818" s="49">
        <v>1.1598734683489074E-2</v>
      </c>
      <c r="CZ818" s="48">
        <v>1.1638526195246838E-2</v>
      </c>
      <c r="DA818" s="48">
        <v>1.163119128752579E-2</v>
      </c>
      <c r="DB818" s="48">
        <v>1.1633462283757593E-2</v>
      </c>
      <c r="DC818" s="48">
        <v>1.1636651392096221E-2</v>
      </c>
      <c r="DD818" s="48">
        <v>1.1639905409079899E-2</v>
      </c>
      <c r="DE818" s="48">
        <v>1.164322206868978E-2</v>
      </c>
      <c r="DF818" s="48">
        <v>1.3918716839621082E-2</v>
      </c>
      <c r="DG818" s="235">
        <v>1.284487371401157E-2</v>
      </c>
      <c r="DH818" s="235">
        <v>1.2849415456757994E-2</v>
      </c>
      <c r="DI818" s="235">
        <v>1.2853974461780483E-2</v>
      </c>
    </row>
    <row r="819" spans="1:113" outlineLevel="1" collapsed="1">
      <c r="A819" s="1" t="s">
        <v>2203</v>
      </c>
      <c r="B819" s="19" t="s">
        <v>2204</v>
      </c>
      <c r="C819" s="234">
        <v>1.6849737437972731E-2</v>
      </c>
      <c r="D819" s="234">
        <v>1.6419674068238885E-2</v>
      </c>
      <c r="E819" s="234">
        <v>1.6451119792298546E-2</v>
      </c>
      <c r="F819" s="234">
        <v>1.629220380601596E-2</v>
      </c>
      <c r="G819" s="234">
        <v>1.6287445759732518E-2</v>
      </c>
      <c r="H819" s="234">
        <v>1.6100348564247267E-2</v>
      </c>
      <c r="I819" s="234">
        <v>1.6564402587519025E-2</v>
      </c>
      <c r="J819" s="234">
        <v>1.4311957074507281E-2</v>
      </c>
      <c r="K819" s="234">
        <v>1.3012666285960362E-2</v>
      </c>
      <c r="L819" s="234">
        <v>9.1416829126929767E-3</v>
      </c>
      <c r="M819" s="234">
        <v>9.3742718359592046E-3</v>
      </c>
      <c r="N819" s="234">
        <v>1.2743386265277582E-2</v>
      </c>
      <c r="O819" s="234">
        <v>1.0753668094413561E-2</v>
      </c>
      <c r="P819" s="234">
        <v>7.4205607476635514E-3</v>
      </c>
      <c r="Q819" s="234">
        <v>8.8564006524497075E-3</v>
      </c>
      <c r="R819" s="234">
        <v>1.2436160373185345E-2</v>
      </c>
      <c r="S819" s="234">
        <v>1.6617115886993307E-2</v>
      </c>
      <c r="T819" s="234">
        <v>1.8420392633977406E-2</v>
      </c>
      <c r="U819" s="234">
        <v>1.9183125270891412E-2</v>
      </c>
      <c r="V819" s="234">
        <v>1.9344253177229622E-2</v>
      </c>
      <c r="W819" s="234">
        <v>1.7945884717679918E-2</v>
      </c>
      <c r="X819" s="234">
        <v>1.7705343794672573E-2</v>
      </c>
      <c r="Y819" s="234">
        <v>1.6748110763972337E-2</v>
      </c>
      <c r="Z819" s="234">
        <v>1.6664278473891746E-2</v>
      </c>
      <c r="AA819" s="234">
        <v>1.6235520540120518E-2</v>
      </c>
      <c r="AB819" s="234">
        <v>1.5515357891525357E-2</v>
      </c>
      <c r="AC819" s="234">
        <v>1.4899414458809206E-2</v>
      </c>
      <c r="AD819" s="234">
        <v>1.4350259877436496E-2</v>
      </c>
      <c r="AE819" s="234">
        <v>1.4001702909813356E-2</v>
      </c>
      <c r="AF819" s="234">
        <v>1.3430823043533229E-2</v>
      </c>
      <c r="AG819" s="234">
        <v>1.3784753326543218E-2</v>
      </c>
      <c r="AH819" s="234">
        <v>1.3595166163141994E-2</v>
      </c>
      <c r="AI819" s="234">
        <v>1.3340744858254585E-2</v>
      </c>
      <c r="AJ819" s="234">
        <v>1.3434421362588005E-2</v>
      </c>
      <c r="AK819" s="234">
        <v>1.3643542111004379E-2</v>
      </c>
      <c r="AL819" s="234">
        <v>1.7710816902783769E-2</v>
      </c>
      <c r="AM819" s="234">
        <v>1.8647300593304019E-2</v>
      </c>
      <c r="AN819" s="234">
        <v>1.7283363010118437E-2</v>
      </c>
      <c r="AO819" s="234">
        <v>2.2831127509054597E-2</v>
      </c>
      <c r="AP819" s="234">
        <v>2.5364592002663219E-2</v>
      </c>
      <c r="AQ819" s="234">
        <v>2.2343289861169541E-2</v>
      </c>
      <c r="AR819" s="234">
        <v>2.0763431421610048E-2</v>
      </c>
      <c r="AS819" s="234">
        <v>1.7593126051638552E-2</v>
      </c>
      <c r="AT819" s="234">
        <v>1.7988120498381069E-2</v>
      </c>
      <c r="AU819" s="234">
        <v>1.8580036115928556E-2</v>
      </c>
      <c r="AV819" s="234">
        <v>1.9204508195244632E-2</v>
      </c>
      <c r="AW819" s="237">
        <v>1.9134079690636897E-2</v>
      </c>
      <c r="AX819" s="234">
        <v>1.9178109461517583E-2</v>
      </c>
      <c r="AY819" s="234">
        <v>1.9231123056637288E-2</v>
      </c>
      <c r="AZ819" s="234">
        <v>1.9323042448217902E-2</v>
      </c>
      <c r="BA819" s="234">
        <v>1.9315957791433087E-2</v>
      </c>
      <c r="BB819" s="234">
        <v>1.9307807085793296E-2</v>
      </c>
      <c r="BC819" s="234">
        <v>1.9289600362077552E-2</v>
      </c>
      <c r="BD819" s="234">
        <v>1.9271238364825014E-2</v>
      </c>
      <c r="BE819" s="234">
        <v>1.9252725699034894E-2</v>
      </c>
      <c r="BF819" s="234">
        <v>1.9234066863942547E-2</v>
      </c>
      <c r="BG819" s="234">
        <v>1.9215266256127288E-2</v>
      </c>
      <c r="BH819" s="234">
        <v>1.9196328172496366E-2</v>
      </c>
      <c r="BI819" s="234">
        <v>1.9177256813151054E-2</v>
      </c>
      <c r="BJ819" s="234">
        <v>2.1527915125365379E-2</v>
      </c>
      <c r="BK819" s="234">
        <v>2.4098856410654113E-2</v>
      </c>
      <c r="BL819" s="234">
        <v>2.3482969443181061E-2</v>
      </c>
      <c r="BM819" s="234">
        <v>2.1044066447987009E-2</v>
      </c>
      <c r="BN819" s="234">
        <v>2.1018436502897832E-2</v>
      </c>
      <c r="BO819" s="234">
        <v>2.099282866958296E-2</v>
      </c>
      <c r="BP819" s="234">
        <v>2.0967243770262867E-2</v>
      </c>
      <c r="BQ819" s="234">
        <v>2.0941682614101613E-2</v>
      </c>
      <c r="BS819" s="234">
        <v>8.0880194573740918E-3</v>
      </c>
      <c r="BT819" s="234">
        <v>7.3527643174455155E-3</v>
      </c>
      <c r="BU819" s="234">
        <v>7.8702315393124316E-3</v>
      </c>
      <c r="BV819" s="234">
        <v>1.0997643362136685E-2</v>
      </c>
      <c r="BW819" s="234">
        <v>1.5745875265283767E-2</v>
      </c>
      <c r="BX819" s="234">
        <v>1.4358846297914845E-2</v>
      </c>
      <c r="BY819" s="234">
        <v>2.0116661681124737E-2</v>
      </c>
      <c r="BZ819" s="234">
        <v>1.7832692720104258E-2</v>
      </c>
      <c r="CA819" s="234">
        <v>1.7538874825644469E-2</v>
      </c>
      <c r="CB819" s="234">
        <v>1.6849737437972731E-2</v>
      </c>
      <c r="CC819" s="234">
        <v>1.6451119792298546E-2</v>
      </c>
      <c r="CD819" s="234">
        <v>1.6287445759732518E-2</v>
      </c>
      <c r="CE819" s="234">
        <v>1.6564402587519025E-2</v>
      </c>
      <c r="CF819" s="234">
        <v>1.3012666285960362E-2</v>
      </c>
      <c r="CG819" s="234">
        <v>9.3742718359592046E-3</v>
      </c>
      <c r="CH819" s="234">
        <v>1.0753668094413561E-2</v>
      </c>
      <c r="CI819" s="234">
        <v>8.8564006524497075E-3</v>
      </c>
      <c r="CJ819" s="234">
        <v>1.6617115886993307E-2</v>
      </c>
      <c r="CK819" s="234">
        <v>1.9183125270891412E-2</v>
      </c>
      <c r="CL819" s="234">
        <v>1.7945884717679918E-2</v>
      </c>
      <c r="CM819" s="234">
        <v>1.6748110763972337E-2</v>
      </c>
      <c r="CN819" s="234">
        <v>1.6235520540120518E-2</v>
      </c>
      <c r="CO819" s="234">
        <v>1.4899414458809206E-2</v>
      </c>
      <c r="CP819" s="234">
        <v>1.4001702909813356E-2</v>
      </c>
      <c r="CQ819" s="234">
        <v>1.3784753326543218E-2</v>
      </c>
      <c r="CR819" s="234">
        <v>1.3340744858254585E-2</v>
      </c>
      <c r="CS819" s="234">
        <v>1.3643542111004379E-2</v>
      </c>
      <c r="CT819" s="234">
        <v>1.8647300593304019E-2</v>
      </c>
      <c r="CU819" s="234">
        <v>2.2831127509054597E-2</v>
      </c>
      <c r="CV819" s="234">
        <v>2.2343289861169541E-2</v>
      </c>
      <c r="CW819" s="234">
        <v>1.7593126051638552E-2</v>
      </c>
      <c r="CX819" s="234">
        <v>1.8580036115928556E-2</v>
      </c>
      <c r="CY819" s="237">
        <v>1.9134079690636897E-2</v>
      </c>
      <c r="CZ819" s="234">
        <v>1.9231123056637288E-2</v>
      </c>
      <c r="DA819" s="234">
        <v>1.9315957791433087E-2</v>
      </c>
      <c r="DB819" s="234">
        <v>1.9289600362077552E-2</v>
      </c>
      <c r="DC819" s="234">
        <v>1.9252725699034894E-2</v>
      </c>
      <c r="DD819" s="234">
        <v>1.9215266256127288E-2</v>
      </c>
      <c r="DE819" s="234">
        <v>1.9177256813151054E-2</v>
      </c>
      <c r="DF819" s="234">
        <v>2.4098856410654113E-2</v>
      </c>
      <c r="DG819" s="234">
        <v>2.1044066447987009E-2</v>
      </c>
      <c r="DH819" s="234">
        <v>2.099282866958296E-2</v>
      </c>
      <c r="DI819" s="234">
        <v>2.0941682614101613E-2</v>
      </c>
    </row>
    <row r="820" spans="1:113" outlineLevel="1">
      <c r="A820" s="1" t="s">
        <v>2205</v>
      </c>
      <c r="B820" s="19" t="s">
        <v>2206</v>
      </c>
      <c r="C820" s="234">
        <v>1.0156890931399241E-2</v>
      </c>
      <c r="D820" s="234">
        <v>9.7034413029088509E-3</v>
      </c>
      <c r="E820" s="234">
        <v>9.6954790181539973E-3</v>
      </c>
      <c r="F820" s="234">
        <v>9.3114312378519849E-3</v>
      </c>
      <c r="G820" s="234">
        <v>9.1075933270553956E-3</v>
      </c>
      <c r="H820" s="234">
        <v>8.7465059061457399E-3</v>
      </c>
      <c r="I820" s="234">
        <v>8.3456151071809436E-3</v>
      </c>
      <c r="J820" s="234">
        <v>7.7471910112359554E-3</v>
      </c>
      <c r="K820" s="234">
        <v>7.444899708095659E-3</v>
      </c>
      <c r="L820" s="234">
        <v>5.2229932116140106E-3</v>
      </c>
      <c r="M820" s="234">
        <v>4.9110056293458406E-3</v>
      </c>
      <c r="N820" s="234">
        <v>6.6688607507231819E-3</v>
      </c>
      <c r="O820" s="234">
        <v>6.3592345703578418E-3</v>
      </c>
      <c r="P820" s="234">
        <v>6.5570701843246934E-3</v>
      </c>
      <c r="Q820" s="234">
        <v>7.821169440887751E-3</v>
      </c>
      <c r="R820" s="234">
        <v>1.1182881241778955E-2</v>
      </c>
      <c r="S820" s="234">
        <v>1.2478090794070876E-2</v>
      </c>
      <c r="T820" s="234">
        <v>1.3355721835754026E-2</v>
      </c>
      <c r="U820" s="234">
        <v>1.3962292074792708E-2</v>
      </c>
      <c r="V820" s="234">
        <v>1.4218668236525379E-2</v>
      </c>
      <c r="W820" s="234">
        <v>1.3098702288220083E-2</v>
      </c>
      <c r="X820" s="234">
        <v>1.2555814367411374E-2</v>
      </c>
      <c r="Y820" s="234">
        <v>1.1995608750368168E-2</v>
      </c>
      <c r="Z820" s="234">
        <v>1.2148552813318529E-2</v>
      </c>
      <c r="AA820" s="234">
        <v>1.1280991440033753E-2</v>
      </c>
      <c r="AB820" s="234">
        <v>1.1172768635455202E-2</v>
      </c>
      <c r="AC820" s="234">
        <v>1.0666187080217751E-2</v>
      </c>
      <c r="AD820" s="234">
        <v>9.8997188017616623E-3</v>
      </c>
      <c r="AE820" s="234">
        <v>9.7376352710433801E-3</v>
      </c>
      <c r="AF820" s="234">
        <v>9.5146541197825389E-3</v>
      </c>
      <c r="AG820" s="234">
        <v>9.7956573554631859E-3</v>
      </c>
      <c r="AH820" s="234">
        <v>8.9391367669185012E-3</v>
      </c>
      <c r="AI820" s="234">
        <v>8.8427313861299539E-3</v>
      </c>
      <c r="AJ820" s="234">
        <v>9.0630407237353022E-3</v>
      </c>
      <c r="AK820" s="234">
        <v>9.0710311532549628E-3</v>
      </c>
      <c r="AL820" s="234">
        <v>1.1785377792698642E-2</v>
      </c>
      <c r="AM820" s="234">
        <v>1.186073102256196E-2</v>
      </c>
      <c r="AN820" s="234">
        <v>1.0839061129959464E-2</v>
      </c>
      <c r="AO820" s="234">
        <v>1.4420327423742765E-2</v>
      </c>
      <c r="AP820" s="234">
        <v>1.5768108251525605E-2</v>
      </c>
      <c r="AQ820" s="234">
        <v>1.391953872362731E-2</v>
      </c>
      <c r="AR820" s="234">
        <v>1.2956663518366366E-2</v>
      </c>
      <c r="AS820" s="234">
        <v>1.1713540303876316E-2</v>
      </c>
      <c r="AT820" s="234">
        <v>1.2188539290627014E-2</v>
      </c>
      <c r="AU820" s="234">
        <v>1.4319217127944244E-2</v>
      </c>
      <c r="AV820" s="234">
        <v>1.445482528102838E-2</v>
      </c>
      <c r="AW820" s="237">
        <v>1.4639189729081858E-2</v>
      </c>
      <c r="AX820" s="234">
        <v>1.4639189729081858E-2</v>
      </c>
      <c r="AY820" s="234">
        <v>1.4639189729081858E-2</v>
      </c>
      <c r="AZ820" s="234">
        <v>1.4639189729081858E-2</v>
      </c>
      <c r="BA820" s="234">
        <v>1.4639189729081858E-2</v>
      </c>
      <c r="BB820" s="234">
        <v>1.4639189729081858E-2</v>
      </c>
      <c r="BC820" s="234">
        <v>1.4639189729081859E-2</v>
      </c>
      <c r="BD820" s="234">
        <v>1.4639189729081858E-2</v>
      </c>
      <c r="BE820" s="234">
        <v>1.4639189729081856E-2</v>
      </c>
      <c r="BF820" s="234">
        <v>1.4639189729081858E-2</v>
      </c>
      <c r="BG820" s="234">
        <v>1.4639189729081858E-2</v>
      </c>
      <c r="BH820" s="234">
        <v>1.4639189729081858E-2</v>
      </c>
      <c r="BI820" s="234">
        <v>1.4639189729081858E-2</v>
      </c>
      <c r="BJ820" s="234">
        <v>1.603918972908186E-2</v>
      </c>
      <c r="BK820" s="234">
        <v>1.7539189729081861E-2</v>
      </c>
      <c r="BL820" s="234">
        <v>1.7539189729081858E-2</v>
      </c>
      <c r="BM820" s="234">
        <v>1.6139189729081863E-2</v>
      </c>
      <c r="BN820" s="234">
        <v>1.6139189729081863E-2</v>
      </c>
      <c r="BO820" s="234">
        <v>1.6139189729081863E-2</v>
      </c>
      <c r="BP820" s="234">
        <v>1.6139189729081863E-2</v>
      </c>
      <c r="BQ820" s="234">
        <v>1.6139189729081863E-2</v>
      </c>
      <c r="BS820" s="234">
        <v>7.6464622103875586E-3</v>
      </c>
      <c r="BT820" s="234">
        <v>6.7403800325994221E-3</v>
      </c>
      <c r="BU820" s="234">
        <v>6.7727265735950826E-3</v>
      </c>
      <c r="BV820" s="234">
        <v>7.5867455093160769E-3</v>
      </c>
      <c r="BW820" s="234">
        <v>9.9350621301349147E-3</v>
      </c>
      <c r="BX820" s="234">
        <v>8.9905794363297591E-3</v>
      </c>
      <c r="BY820" s="234">
        <v>1.3107405196671987E-2</v>
      </c>
      <c r="BZ820" s="234">
        <v>1.2634556271111163E-2</v>
      </c>
      <c r="CA820" s="234">
        <v>1.2159197743654027E-2</v>
      </c>
      <c r="CB820" s="234">
        <v>1.1839176758316619E-2</v>
      </c>
      <c r="CC820" s="234">
        <v>9.6954790181539973E-3</v>
      </c>
      <c r="CD820" s="234">
        <v>9.1075933270553956E-3</v>
      </c>
      <c r="CE820" s="234">
        <v>8.3456151071809436E-3</v>
      </c>
      <c r="CF820" s="234">
        <v>7.444899708095659E-3</v>
      </c>
      <c r="CG820" s="234">
        <v>4.9110056293458406E-3</v>
      </c>
      <c r="CH820" s="234">
        <v>6.3592345703578418E-3</v>
      </c>
      <c r="CI820" s="234">
        <v>7.821169440887751E-3</v>
      </c>
      <c r="CJ820" s="234">
        <v>1.2478090794070876E-2</v>
      </c>
      <c r="CK820" s="234">
        <v>1.3962292074792708E-2</v>
      </c>
      <c r="CL820" s="234">
        <v>1.3098702288220083E-2</v>
      </c>
      <c r="CM820" s="234">
        <v>1.1995608750368168E-2</v>
      </c>
      <c r="CN820" s="234">
        <v>1.1280991440033753E-2</v>
      </c>
      <c r="CO820" s="234">
        <v>1.0666187080217751E-2</v>
      </c>
      <c r="CP820" s="234">
        <v>9.7376352710433801E-3</v>
      </c>
      <c r="CQ820" s="234">
        <v>9.7956573554631859E-3</v>
      </c>
      <c r="CR820" s="234">
        <v>8.8427313861299539E-3</v>
      </c>
      <c r="CS820" s="234">
        <v>9.0710311532549628E-3</v>
      </c>
      <c r="CT820" s="234">
        <v>1.186073102256196E-2</v>
      </c>
      <c r="CU820" s="234">
        <v>1.4420327423742765E-2</v>
      </c>
      <c r="CV820" s="234">
        <v>1.391953872362731E-2</v>
      </c>
      <c r="CW820" s="234">
        <v>1.1713540303876316E-2</v>
      </c>
      <c r="CX820" s="234">
        <v>1.4319217127944244E-2</v>
      </c>
      <c r="CY820" s="237">
        <v>1.4639189729081858E-2</v>
      </c>
      <c r="CZ820" s="234">
        <v>1.4639189729081858E-2</v>
      </c>
      <c r="DA820" s="234">
        <v>1.4639189729081858E-2</v>
      </c>
      <c r="DB820" s="234">
        <v>1.4639189729081859E-2</v>
      </c>
      <c r="DC820" s="234">
        <v>1.4639189729081856E-2</v>
      </c>
      <c r="DD820" s="234">
        <v>1.4639189729081858E-2</v>
      </c>
      <c r="DE820" s="234">
        <v>1.4639189729081858E-2</v>
      </c>
      <c r="DF820" s="234">
        <v>1.7539189729081861E-2</v>
      </c>
      <c r="DG820" s="234">
        <v>1.6139189729081863E-2</v>
      </c>
      <c r="DH820" s="234">
        <v>1.6139189729081863E-2</v>
      </c>
      <c r="DI820" s="234">
        <v>1.6139189729081863E-2</v>
      </c>
    </row>
    <row r="821" spans="1:113" outlineLevel="1">
      <c r="A821" s="1" t="s">
        <v>2207</v>
      </c>
      <c r="B821" s="19" t="s">
        <v>2208</v>
      </c>
      <c r="C821" s="234">
        <v>1.0109623291878337E-2</v>
      </c>
      <c r="D821" s="234">
        <v>9.6477207802069843E-3</v>
      </c>
      <c r="E821" s="234">
        <v>9.6136803522180233E-3</v>
      </c>
      <c r="F821" s="234">
        <v>9.2299559716493597E-3</v>
      </c>
      <c r="G821" s="234">
        <v>9.0253937115143592E-3</v>
      </c>
      <c r="H821" s="234">
        <v>8.6238100983673186E-3</v>
      </c>
      <c r="I821" s="234">
        <v>8.2269771617224097E-3</v>
      </c>
      <c r="J821" s="234">
        <v>7.6325315208607769E-3</v>
      </c>
      <c r="K821" s="234">
        <v>7.3328093100301223E-3</v>
      </c>
      <c r="L821" s="234">
        <v>5.1365047096962012E-3</v>
      </c>
      <c r="M821" s="234">
        <v>4.8327927628235342E-3</v>
      </c>
      <c r="N821" s="234">
        <v>6.5652324049639979E-3</v>
      </c>
      <c r="O821" s="234">
        <v>6.2523690935695157E-3</v>
      </c>
      <c r="P821" s="234">
        <v>6.0082329438828014E-3</v>
      </c>
      <c r="Q821" s="234">
        <v>7.1337852370548073E-3</v>
      </c>
      <c r="R821" s="234">
        <v>1.0338962509768523E-2</v>
      </c>
      <c r="S821" s="234">
        <v>1.1165505684886926E-2</v>
      </c>
      <c r="T821" s="234">
        <v>1.1605350833252088E-2</v>
      </c>
      <c r="U821" s="234">
        <v>1.2327170321262907E-2</v>
      </c>
      <c r="V821" s="234">
        <v>1.2179449018255167E-2</v>
      </c>
      <c r="W821" s="234">
        <v>1.1472750442829709E-2</v>
      </c>
      <c r="X821" s="234">
        <v>1.0900052064963639E-2</v>
      </c>
      <c r="Y821" s="234">
        <v>1.0357115728218187E-2</v>
      </c>
      <c r="Z821" s="234">
        <v>1.0410760880737108E-2</v>
      </c>
      <c r="AA821" s="234">
        <v>9.5850624927846205E-3</v>
      </c>
      <c r="AB821" s="234">
        <v>9.4345550678192804E-3</v>
      </c>
      <c r="AC821" s="234">
        <v>9.1319603807944565E-3</v>
      </c>
      <c r="AD821" s="234">
        <v>8.7353560988874032E-3</v>
      </c>
      <c r="AE821" s="234">
        <v>8.4291374779304675E-3</v>
      </c>
      <c r="AF821" s="234">
        <v>8.1163952712511016E-3</v>
      </c>
      <c r="AG821" s="234">
        <v>8.5388441394897464E-3</v>
      </c>
      <c r="AH821" s="234">
        <v>7.6498175178301006E-3</v>
      </c>
      <c r="AI821" s="234">
        <v>7.6327669008815664E-3</v>
      </c>
      <c r="AJ821" s="234">
        <v>7.5447558729323377E-3</v>
      </c>
      <c r="AK821" s="234">
        <v>7.3090106669690281E-3</v>
      </c>
      <c r="AL821" s="234">
        <v>9.7788580773861943E-3</v>
      </c>
      <c r="AM821" s="234">
        <v>9.7600947075947193E-3</v>
      </c>
      <c r="AN821" s="234">
        <v>9.0548008032879587E-3</v>
      </c>
      <c r="AO821" s="234">
        <v>1.1860696167474085E-2</v>
      </c>
      <c r="AP821" s="234">
        <v>1.3101389721702938E-2</v>
      </c>
      <c r="AQ821" s="234">
        <v>1.1784414662288098E-2</v>
      </c>
      <c r="AR821" s="234">
        <v>1.0726235201630761E-2</v>
      </c>
      <c r="AS821" s="234">
        <v>9.2610445638813231E-3</v>
      </c>
      <c r="AT821" s="234">
        <v>9.7148974979182363E-3</v>
      </c>
      <c r="AU821" s="234">
        <v>1.1102753893228944E-2</v>
      </c>
      <c r="AV821" s="234">
        <v>1.1495889087316993E-2</v>
      </c>
      <c r="AW821" s="237">
        <v>1.1598734683489074E-2</v>
      </c>
      <c r="AX821" s="234">
        <v>1.1619172131975693E-2</v>
      </c>
      <c r="AY821" s="234">
        <v>1.1638526195246838E-2</v>
      </c>
      <c r="AZ821" s="234">
        <v>1.1630582070033804E-2</v>
      </c>
      <c r="BA821" s="234">
        <v>1.163119128752579E-2</v>
      </c>
      <c r="BB821" s="234">
        <v>1.1631892807846841E-2</v>
      </c>
      <c r="BC821" s="234">
        <v>1.1633462283757593E-2</v>
      </c>
      <c r="BD821" s="234">
        <v>1.1635048578583548E-2</v>
      </c>
      <c r="BE821" s="234">
        <v>1.1636651392096221E-2</v>
      </c>
      <c r="BF821" s="234">
        <v>1.1638270431079808E-2</v>
      </c>
      <c r="BG821" s="234">
        <v>1.1639905409079899E-2</v>
      </c>
      <c r="BH821" s="234">
        <v>1.1641556046163513E-2</v>
      </c>
      <c r="BI821" s="234">
        <v>1.164322206868978E-2</v>
      </c>
      <c r="BJ821" s="234">
        <v>1.2741950816454855E-2</v>
      </c>
      <c r="BK821" s="234">
        <v>1.3918716839621082E-2</v>
      </c>
      <c r="BL821" s="234">
        <v>1.3938392068534968E-2</v>
      </c>
      <c r="BM821" s="234">
        <v>1.284487371401157E-2</v>
      </c>
      <c r="BN821" s="234">
        <v>1.2847142396071126E-2</v>
      </c>
      <c r="BO821" s="234">
        <v>1.2849415456757994E-2</v>
      </c>
      <c r="BP821" s="234">
        <v>1.2851692832920992E-2</v>
      </c>
      <c r="BQ821" s="234">
        <v>1.2853974461780483E-2</v>
      </c>
      <c r="BS821" s="234">
        <v>6.3552951869176207E-3</v>
      </c>
      <c r="BT821" s="234">
        <v>5.865873135363805E-3</v>
      </c>
      <c r="BU821" s="234">
        <v>5.9204039558994892E-3</v>
      </c>
      <c r="BV821" s="234">
        <v>6.7629967463734139E-3</v>
      </c>
      <c r="BW821" s="234">
        <v>8.9325013592936858E-3</v>
      </c>
      <c r="BX821" s="234">
        <v>7.9798306888097335E-3</v>
      </c>
      <c r="BY821" s="234">
        <v>1.1394563226059239E-2</v>
      </c>
      <c r="BZ821" s="234">
        <v>1.0858210454417615E-2</v>
      </c>
      <c r="CA821" s="234">
        <v>1.0569409420628249E-2</v>
      </c>
      <c r="CB821" s="234">
        <v>1.0109623291878337E-2</v>
      </c>
      <c r="CC821" s="234">
        <v>9.6136803522180233E-3</v>
      </c>
      <c r="CD821" s="234">
        <v>9.0253937115143592E-3</v>
      </c>
      <c r="CE821" s="234">
        <v>8.2269771617224097E-3</v>
      </c>
      <c r="CF821" s="234">
        <v>7.3328093100301223E-3</v>
      </c>
      <c r="CG821" s="234">
        <v>4.8327927628235342E-3</v>
      </c>
      <c r="CH821" s="234">
        <v>6.2523690935695157E-3</v>
      </c>
      <c r="CI821" s="234">
        <v>7.1337852370548073E-3</v>
      </c>
      <c r="CJ821" s="234">
        <v>1.1165505684886926E-2</v>
      </c>
      <c r="CK821" s="234">
        <v>1.2327170321262907E-2</v>
      </c>
      <c r="CL821" s="234">
        <v>1.1472750442829709E-2</v>
      </c>
      <c r="CM821" s="234">
        <v>1.0357115728218187E-2</v>
      </c>
      <c r="CN821" s="234">
        <v>9.5850624927846205E-3</v>
      </c>
      <c r="CO821" s="234">
        <v>9.1319603807944565E-3</v>
      </c>
      <c r="CP821" s="234">
        <v>8.4291374779304675E-3</v>
      </c>
      <c r="CQ821" s="234">
        <v>8.5388441394897464E-3</v>
      </c>
      <c r="CR821" s="234">
        <v>7.6327669008815664E-3</v>
      </c>
      <c r="CS821" s="234">
        <v>7.3090106669690281E-3</v>
      </c>
      <c r="CT821" s="234">
        <v>9.7600947075947193E-3</v>
      </c>
      <c r="CU821" s="234">
        <v>1.1860696167474085E-2</v>
      </c>
      <c r="CV821" s="234">
        <v>1.1784414662288098E-2</v>
      </c>
      <c r="CW821" s="234">
        <v>9.2610445638813231E-3</v>
      </c>
      <c r="CX821" s="234">
        <v>1.1102753893228944E-2</v>
      </c>
      <c r="CY821" s="237">
        <v>1.1598734683489074E-2</v>
      </c>
      <c r="CZ821" s="234">
        <v>1.1638526195246838E-2</v>
      </c>
      <c r="DA821" s="234">
        <v>1.163119128752579E-2</v>
      </c>
      <c r="DB821" s="234">
        <v>1.1633462283757593E-2</v>
      </c>
      <c r="DC821" s="234">
        <v>1.1636651392096221E-2</v>
      </c>
      <c r="DD821" s="234">
        <v>1.1639905409079899E-2</v>
      </c>
      <c r="DE821" s="234">
        <v>1.164322206868978E-2</v>
      </c>
      <c r="DF821" s="234">
        <v>1.3918716839621082E-2</v>
      </c>
      <c r="DG821" s="234">
        <v>1.284487371401157E-2</v>
      </c>
      <c r="DH821" s="234">
        <v>1.2849415456757994E-2</v>
      </c>
      <c r="DI821" s="234">
        <v>1.2853974461780483E-2</v>
      </c>
    </row>
    <row r="822" spans="1:113" outlineLevel="1">
      <c r="A822" s="1" t="s">
        <v>826</v>
      </c>
      <c r="B822" s="19" t="s">
        <v>264</v>
      </c>
      <c r="C822" s="235">
        <v>1.9668063785710843E-2</v>
      </c>
      <c r="D822" s="235">
        <v>2.0223031854660036E-2</v>
      </c>
      <c r="E822" s="235">
        <v>1.9726785237667726E-2</v>
      </c>
      <c r="F822" s="235">
        <v>1.9521178637200737E-2</v>
      </c>
      <c r="G822" s="235">
        <v>1.8807390198030755E-2</v>
      </c>
      <c r="H822" s="235">
        <v>1.8447822066250921E-2</v>
      </c>
      <c r="I822" s="235">
        <v>1.8264840182648401E-2</v>
      </c>
      <c r="J822" s="235">
        <v>1.6180087802144198E-2</v>
      </c>
      <c r="K822" s="235">
        <v>1.4482442262144376E-2</v>
      </c>
      <c r="L822" s="235">
        <v>1.0713595728612326E-2</v>
      </c>
      <c r="M822" s="235">
        <v>1.0906777078740298E-2</v>
      </c>
      <c r="N822" s="235">
        <v>1.0020935563150099E-2</v>
      </c>
      <c r="O822" s="235">
        <v>8.6435937160442757E-3</v>
      </c>
      <c r="P822" s="235">
        <v>8.5981308411214961E-3</v>
      </c>
      <c r="Q822" s="235">
        <v>1.05418957288709E-2</v>
      </c>
      <c r="R822" s="235">
        <v>1.8136486106084367E-2</v>
      </c>
      <c r="S822" s="235">
        <v>2.5525951040051113E-2</v>
      </c>
      <c r="T822" s="236">
        <v>2.8142859429778923E-2</v>
      </c>
      <c r="U822" s="235">
        <v>2.9178683989447944E-2</v>
      </c>
      <c r="V822" s="235">
        <v>3.0568147056369753E-2</v>
      </c>
      <c r="W822" s="235">
        <v>2.8695647345597094E-2</v>
      </c>
      <c r="X822" s="235">
        <v>2.7722912733661433E-2</v>
      </c>
      <c r="Y822" s="236">
        <v>2.5875190258751901E-2</v>
      </c>
      <c r="Z822" s="236">
        <v>2.4959268045449963E-2</v>
      </c>
      <c r="AA822" s="236">
        <v>2.3084800362275958E-2</v>
      </c>
      <c r="AB822" s="236">
        <v>2.1090651418673542E-2</v>
      </c>
      <c r="AC822" s="236">
        <v>1.8870659168647459E-2</v>
      </c>
      <c r="AD822" s="236">
        <v>1.8049500020939094E-2</v>
      </c>
      <c r="AE822" s="236">
        <v>1.6438936267023467E-2</v>
      </c>
      <c r="AF822" s="236">
        <v>1.5634877154536642E-2</v>
      </c>
      <c r="AG822" s="236">
        <v>1.5388202378176731E-2</v>
      </c>
      <c r="AH822" s="236">
        <v>1.55699057825262E-2</v>
      </c>
      <c r="AI822" s="236">
        <v>1.4904363335346175E-2</v>
      </c>
      <c r="AJ822" s="236">
        <v>1.5147047537493992E-2</v>
      </c>
      <c r="AK822" s="236">
        <v>1.4787287735465069E-2</v>
      </c>
      <c r="AL822" s="236">
        <v>1.9260971104474698E-2</v>
      </c>
      <c r="AM822" s="236">
        <v>2.0250824971094362E-2</v>
      </c>
      <c r="AN822" s="236">
        <v>2.1358785957426917E-2</v>
      </c>
      <c r="AO822" s="236">
        <v>2.6922621263920386E-2</v>
      </c>
      <c r="AP822" s="236">
        <v>2.9086268635058022E-2</v>
      </c>
      <c r="AQ822" s="236">
        <v>2.6129575094657131E-2</v>
      </c>
      <c r="AR822" s="236">
        <v>2.4012075768886847E-2</v>
      </c>
      <c r="AS822" s="236">
        <v>2.0401310995036077E-2</v>
      </c>
      <c r="AT822" s="236">
        <v>2.0341260343169288E-2</v>
      </c>
      <c r="AU822" s="236">
        <v>2.1276215336754216E-2</v>
      </c>
      <c r="AV822" s="236">
        <v>2.1845578459243564E-2</v>
      </c>
      <c r="AW822" s="766">
        <v>2.164624357404709E-2</v>
      </c>
      <c r="AX822" s="235">
        <v>2.1941489733268791E-2</v>
      </c>
      <c r="AY822" s="235">
        <v>2.227084135556362E-2</v>
      </c>
      <c r="AZ822" s="235">
        <v>2.2377959338638866E-2</v>
      </c>
      <c r="BA822" s="235">
        <v>2.2431973019662474E-2</v>
      </c>
      <c r="BB822" s="235">
        <v>2.2486142618587265E-2</v>
      </c>
      <c r="BC822" s="235">
        <v>2.2467935894871525E-2</v>
      </c>
      <c r="BD822" s="235">
        <v>2.2449573897618987E-2</v>
      </c>
      <c r="BE822" s="235">
        <v>2.2431061231828864E-2</v>
      </c>
      <c r="BF822" s="235">
        <v>2.2412402396736517E-2</v>
      </c>
      <c r="BG822" s="235">
        <v>2.2393601788921261E-2</v>
      </c>
      <c r="BH822" s="235">
        <v>2.2374663705290336E-2</v>
      </c>
      <c r="BI822" s="235">
        <v>2.2355592345945023E-2</v>
      </c>
      <c r="BJ822" s="235">
        <v>2.5294242731726233E-2</v>
      </c>
      <c r="BK822" s="235">
        <v>2.8335974967810075E-2</v>
      </c>
      <c r="BL822" s="235">
        <v>2.7635345629193901E-2</v>
      </c>
      <c r="BM822" s="235">
        <v>2.4365967396797285E-2</v>
      </c>
      <c r="BN822" s="235">
        <v>2.4373556461196211E-2</v>
      </c>
      <c r="BO822" s="235">
        <v>2.4381499827464324E-2</v>
      </c>
      <c r="BP822" s="235">
        <v>2.4355914928144231E-2</v>
      </c>
      <c r="BQ822" s="235">
        <v>2.4330353771982977E-2</v>
      </c>
      <c r="BR822" s="235"/>
      <c r="BS822" s="235">
        <v>3.4653205853985826E-2</v>
      </c>
      <c r="BT822" s="235">
        <v>2.0061908277317998E-2</v>
      </c>
      <c r="BU822" s="235">
        <v>2.2033868011272124E-2</v>
      </c>
      <c r="BV822" s="235">
        <v>2.2503581165380527E-2</v>
      </c>
      <c r="BW822" s="235">
        <v>2.2820109080121404E-2</v>
      </c>
      <c r="BX822" s="235">
        <v>1.9374037541099596E-2</v>
      </c>
      <c r="BY822" s="235">
        <v>2.5332784923721208E-2</v>
      </c>
      <c r="BZ822" s="235">
        <v>2.2369224170639568E-2</v>
      </c>
      <c r="CA822" s="235">
        <v>2.3118251795216201E-2</v>
      </c>
      <c r="CB822" s="235">
        <v>1.9668063785710843E-2</v>
      </c>
      <c r="CC822" s="235">
        <v>1.9726785237667726E-2</v>
      </c>
      <c r="CD822" s="235">
        <v>1.8807390198030755E-2</v>
      </c>
      <c r="CE822" s="235">
        <v>1.8264840182648401E-2</v>
      </c>
      <c r="CF822" s="235">
        <v>1.4482442262144376E-2</v>
      </c>
      <c r="CG822" s="235">
        <v>1.0906777078740298E-2</v>
      </c>
      <c r="CH822" s="235">
        <v>8.6435937160442757E-3</v>
      </c>
      <c r="CI822" s="235">
        <v>1.05418957288709E-2</v>
      </c>
      <c r="CJ822" s="235">
        <v>2.5525951040051113E-2</v>
      </c>
      <c r="CK822" s="235">
        <v>2.9178683989447944E-2</v>
      </c>
      <c r="CL822" s="235">
        <v>2.8695647345597094E-2</v>
      </c>
      <c r="CM822" s="235">
        <v>2.5875190258751901E-2</v>
      </c>
      <c r="CN822" s="236">
        <v>2.3084800362275958E-2</v>
      </c>
      <c r="CO822" s="236">
        <v>1.8870659168647459E-2</v>
      </c>
      <c r="CP822" s="236">
        <v>1.6438936267023467E-2</v>
      </c>
      <c r="CQ822" s="236">
        <v>1.5388202378176731E-2</v>
      </c>
      <c r="CR822" s="236">
        <v>1.4904363335346175E-2</v>
      </c>
      <c r="CS822" s="236">
        <v>1.4787287735465069E-2</v>
      </c>
      <c r="CT822" s="236">
        <v>2.0250824971094362E-2</v>
      </c>
      <c r="CU822" s="236">
        <v>2.6922621263920386E-2</v>
      </c>
      <c r="CV822" s="236">
        <v>2.6129575094657131E-2</v>
      </c>
      <c r="CW822" s="236">
        <v>2.0401310995036077E-2</v>
      </c>
      <c r="CX822" s="236">
        <v>2.1276215336754216E-2</v>
      </c>
      <c r="CY822" s="766">
        <v>2.164624357404709E-2</v>
      </c>
      <c r="CZ822" s="235">
        <v>2.227084135556362E-2</v>
      </c>
      <c r="DA822" s="235">
        <v>2.2431973019662474E-2</v>
      </c>
      <c r="DB822" s="235">
        <v>2.2467935894871525E-2</v>
      </c>
      <c r="DC822" s="235">
        <v>2.2431061231828864E-2</v>
      </c>
      <c r="DD822" s="235">
        <v>2.2393601788921261E-2</v>
      </c>
      <c r="DE822" s="235">
        <v>2.2355592345945023E-2</v>
      </c>
      <c r="DF822" s="235">
        <v>2.8335974967810075E-2</v>
      </c>
      <c r="DG822" s="235">
        <v>2.4365967396797285E-2</v>
      </c>
      <c r="DH822" s="235">
        <v>2.4381499827464324E-2</v>
      </c>
      <c r="DI822" s="235">
        <v>2.4330353771982977E-2</v>
      </c>
    </row>
    <row r="823" spans="1:113" outlineLevel="1">
      <c r="A823" s="1" t="s">
        <v>827</v>
      </c>
      <c r="B823" s="19" t="s">
        <v>371</v>
      </c>
      <c r="C823" s="235">
        <v>1.1855756176536784E-2</v>
      </c>
      <c r="D823" s="235">
        <v>1.1951090000509175E-2</v>
      </c>
      <c r="E823" s="235">
        <v>1.1625994751857228E-2</v>
      </c>
      <c r="F823" s="235">
        <v>1.1156876916491828E-2</v>
      </c>
      <c r="G823" s="235">
        <v>1.0516692671996042E-2</v>
      </c>
      <c r="H823" s="235">
        <v>1.0021769653875384E-2</v>
      </c>
      <c r="I823" s="235">
        <v>9.2023437219166757E-3</v>
      </c>
      <c r="J823" s="235">
        <v>8.7584269662921346E-3</v>
      </c>
      <c r="K823" s="235">
        <v>8.2857984521035859E-3</v>
      </c>
      <c r="L823" s="235">
        <v>6.1210871452152668E-3</v>
      </c>
      <c r="M823" s="235">
        <v>5.7138564540285741E-3</v>
      </c>
      <c r="N823" s="235">
        <v>5.2441495903414112E-3</v>
      </c>
      <c r="O823" s="235">
        <v>5.1114316983384735E-3</v>
      </c>
      <c r="P823" s="235">
        <v>7.5976128080336497E-3</v>
      </c>
      <c r="Q823" s="235">
        <v>9.3096457533077253E-3</v>
      </c>
      <c r="R823" s="235">
        <v>1.630874515777626E-2</v>
      </c>
      <c r="S823" s="235">
        <v>1.9167895129868873E-2</v>
      </c>
      <c r="T823" s="236">
        <v>2.0405004913605657E-2</v>
      </c>
      <c r="U823" s="235">
        <v>2.1237483593819981E-2</v>
      </c>
      <c r="V823" s="235">
        <v>2.2468602825745684E-2</v>
      </c>
      <c r="W823" s="235">
        <v>2.0944954648985579E-2</v>
      </c>
      <c r="X823" s="235">
        <v>1.9659812881607765E-2</v>
      </c>
      <c r="Y823" s="236">
        <v>1.8532756503677864E-2</v>
      </c>
      <c r="Z823" s="236">
        <v>1.8195746458928994E-2</v>
      </c>
      <c r="AA823" s="236">
        <v>1.604010383517953E-2</v>
      </c>
      <c r="AB823" s="236">
        <v>1.5187594789584839E-2</v>
      </c>
      <c r="AC823" s="236">
        <v>1.3509120212493689E-2</v>
      </c>
      <c r="AD823" s="236">
        <v>1.2451689115445358E-2</v>
      </c>
      <c r="AE823" s="236">
        <v>1.1432635490359491E-2</v>
      </c>
      <c r="AF823" s="236">
        <v>1.1076048567428057E-2</v>
      </c>
      <c r="AG823" s="236">
        <v>1.0935092869807865E-2</v>
      </c>
      <c r="AH823" s="236">
        <v>1.023757382350894E-2</v>
      </c>
      <c r="AI823" s="236">
        <v>9.8791546391206048E-3</v>
      </c>
      <c r="AJ823" s="236">
        <v>1.0218401297055738E-2</v>
      </c>
      <c r="AK823" s="236">
        <v>9.8314606741573031E-3</v>
      </c>
      <c r="AL823" s="236">
        <v>1.2816902933754967E-2</v>
      </c>
      <c r="AM823" s="236">
        <v>1.288066263346342E-2</v>
      </c>
      <c r="AN823" s="236">
        <v>1.3394915475578133E-2</v>
      </c>
      <c r="AO823" s="236">
        <v>1.7004548442786361E-2</v>
      </c>
      <c r="AP823" s="236">
        <v>1.8081719288936059E-2</v>
      </c>
      <c r="AQ823" s="236">
        <v>1.6278338356702924E-2</v>
      </c>
      <c r="AR823" s="236">
        <v>1.4983861761461222E-2</v>
      </c>
      <c r="AS823" s="236">
        <v>1.3583235741667027E-2</v>
      </c>
      <c r="AT823" s="236">
        <v>1.3782999226400874E-2</v>
      </c>
      <c r="AU823" s="236">
        <v>1.6397101984462713E-2</v>
      </c>
      <c r="AV823" s="236">
        <v>1.6442702754010333E-2</v>
      </c>
      <c r="AW823" s="766">
        <v>1.6561207631922772E-2</v>
      </c>
      <c r="AX823" s="235">
        <v>1.6748555523084716E-2</v>
      </c>
      <c r="AY823" s="235">
        <v>1.6953095826499631E-2</v>
      </c>
      <c r="AZ823" s="235">
        <v>1.6953603108097841E-2</v>
      </c>
      <c r="BA823" s="235">
        <v>1.7000757227691198E-2</v>
      </c>
      <c r="BB823" s="235">
        <v>1.7049005441477749E-2</v>
      </c>
      <c r="BC823" s="235">
        <v>1.7051279975322822E-2</v>
      </c>
      <c r="BD823" s="235">
        <v>1.7053578260136485E-2</v>
      </c>
      <c r="BE823" s="235">
        <v>1.7055899841436795E-2</v>
      </c>
      <c r="BF823" s="235">
        <v>1.7058244275184032E-2</v>
      </c>
      <c r="BG823" s="235">
        <v>1.7060611127414898E-2</v>
      </c>
      <c r="BH823" s="235">
        <v>1.7062999973893E-2</v>
      </c>
      <c r="BI823" s="235">
        <v>1.7065410399774762E-2</v>
      </c>
      <c r="BJ823" s="235">
        <v>1.8845260020074573E-2</v>
      </c>
      <c r="BK823" s="235">
        <v>2.0622972005394237E-2</v>
      </c>
      <c r="BL823" s="235">
        <v>2.0640557038238264E-2</v>
      </c>
      <c r="BM823" s="235">
        <v>1.8686833731564781E-2</v>
      </c>
      <c r="BN823" s="235">
        <v>1.8715447842445394E-2</v>
      </c>
      <c r="BO823" s="235">
        <v>1.874438446521369E-2</v>
      </c>
      <c r="BP823" s="235">
        <v>1.8747563406888785E-2</v>
      </c>
      <c r="BQ823" s="235">
        <v>1.8750747155211876E-2</v>
      </c>
      <c r="BR823" s="235"/>
      <c r="BS823" s="235">
        <v>3.2761349107499775E-2</v>
      </c>
      <c r="BT823" s="235">
        <v>1.8391026847880104E-2</v>
      </c>
      <c r="BU823" s="235">
        <v>1.8961241820347575E-2</v>
      </c>
      <c r="BV823" s="235">
        <v>1.5524138920323234E-2</v>
      </c>
      <c r="BW823" s="235">
        <v>1.4398640768311471E-2</v>
      </c>
      <c r="BX823" s="235">
        <v>1.2130767326410153E-2</v>
      </c>
      <c r="BY823" s="235">
        <v>1.6506072529266301E-2</v>
      </c>
      <c r="BZ823" s="235">
        <v>1.5848712584298555E-2</v>
      </c>
      <c r="CA823" s="235">
        <v>1.6027219411738371E-2</v>
      </c>
      <c r="CB823" s="235">
        <v>1.3819425050987162E-2</v>
      </c>
      <c r="CC823" s="235">
        <v>1.1625994751857228E-2</v>
      </c>
      <c r="CD823" s="235">
        <v>1.0516692671996042E-2</v>
      </c>
      <c r="CE823" s="235">
        <v>9.2023437219166757E-3</v>
      </c>
      <c r="CF823" s="235">
        <v>8.2857984521035859E-3</v>
      </c>
      <c r="CG823" s="235">
        <v>5.7138564540285741E-3</v>
      </c>
      <c r="CH823" s="235">
        <v>5.1114316983384735E-3</v>
      </c>
      <c r="CI823" s="235">
        <v>9.3096457533077253E-3</v>
      </c>
      <c r="CJ823" s="235">
        <v>1.9167895129868873E-2</v>
      </c>
      <c r="CK823" s="235">
        <v>2.1237483593819981E-2</v>
      </c>
      <c r="CL823" s="235">
        <v>2.0944954648985579E-2</v>
      </c>
      <c r="CM823" s="235">
        <v>1.8532756503677864E-2</v>
      </c>
      <c r="CN823" s="236">
        <v>1.604010383517953E-2</v>
      </c>
      <c r="CO823" s="236">
        <v>1.3509120212493689E-2</v>
      </c>
      <c r="CP823" s="236">
        <v>1.1432635490359491E-2</v>
      </c>
      <c r="CQ823" s="236">
        <v>1.0935092869807865E-2</v>
      </c>
      <c r="CR823" s="236">
        <v>9.8791546391206048E-3</v>
      </c>
      <c r="CS823" s="236">
        <v>9.8314606741573031E-3</v>
      </c>
      <c r="CT823" s="236">
        <v>1.288066263346342E-2</v>
      </c>
      <c r="CU823" s="236">
        <v>1.7004548442786361E-2</v>
      </c>
      <c r="CV823" s="236">
        <v>1.6278338356702924E-2</v>
      </c>
      <c r="CW823" s="236">
        <v>1.3583235741667027E-2</v>
      </c>
      <c r="CX823" s="236">
        <v>1.6397101984462713E-2</v>
      </c>
      <c r="CY823" s="766">
        <v>1.6561207631922772E-2</v>
      </c>
      <c r="CZ823" s="235">
        <v>1.6953095826499631E-2</v>
      </c>
      <c r="DA823" s="235">
        <v>1.7000757227691198E-2</v>
      </c>
      <c r="DB823" s="235">
        <v>1.7051279975322822E-2</v>
      </c>
      <c r="DC823" s="235">
        <v>1.7055899841436795E-2</v>
      </c>
      <c r="DD823" s="235">
        <v>1.7060611127414898E-2</v>
      </c>
      <c r="DE823" s="235">
        <v>1.7065410399774762E-2</v>
      </c>
      <c r="DF823" s="235">
        <v>2.0622972005394237E-2</v>
      </c>
      <c r="DG823" s="235">
        <v>1.8686833731564781E-2</v>
      </c>
      <c r="DH823" s="235">
        <v>1.874438446521369E-2</v>
      </c>
      <c r="DI823" s="235">
        <v>1.8750747155211876E-2</v>
      </c>
    </row>
    <row r="824" spans="1:113" outlineLevel="1">
      <c r="A824" s="1" t="s">
        <v>828</v>
      </c>
      <c r="B824" s="19" t="s">
        <v>372</v>
      </c>
      <c r="C824" s="235">
        <v>1.1800582441484865E-2</v>
      </c>
      <c r="D824" s="235">
        <v>1.1882462700060027E-2</v>
      </c>
      <c r="E824" s="235">
        <v>1.1527908740934002E-2</v>
      </c>
      <c r="F824" s="235">
        <v>1.1059253952466075E-2</v>
      </c>
      <c r="G824" s="235">
        <v>1.0421775380088278E-2</v>
      </c>
      <c r="H824" s="235">
        <v>9.881184472061523E-3</v>
      </c>
      <c r="I824" s="235">
        <v>9.0715268631770419E-3</v>
      </c>
      <c r="J824" s="235">
        <v>8.6288010449760335E-3</v>
      </c>
      <c r="K824" s="235">
        <v>8.1610474838968335E-3</v>
      </c>
      <c r="L824" s="235">
        <v>6.0197269412385832E-3</v>
      </c>
      <c r="M824" s="235">
        <v>5.6228573540690633E-3</v>
      </c>
      <c r="N824" s="235">
        <v>5.1626600275398709E-3</v>
      </c>
      <c r="O824" s="235">
        <v>5.0255352623019642E-3</v>
      </c>
      <c r="P824" s="235">
        <v>6.9616804891337244E-3</v>
      </c>
      <c r="Q824" s="235">
        <v>8.4914428640249923E-3</v>
      </c>
      <c r="R824" s="235">
        <v>1.507800191400357E-2</v>
      </c>
      <c r="S824" s="235">
        <v>1.7151601600908475E-2</v>
      </c>
      <c r="T824" s="236">
        <v>1.7730770653120367E-2</v>
      </c>
      <c r="U824" s="235">
        <v>1.8750365345006036E-2</v>
      </c>
      <c r="V824" s="235">
        <v>1.9246190858059342E-2</v>
      </c>
      <c r="W824" s="235">
        <v>1.8345041549673247E-2</v>
      </c>
      <c r="X824" s="235">
        <v>1.7067230983691908E-2</v>
      </c>
      <c r="Y824" s="236">
        <v>1.6001347481893212E-2</v>
      </c>
      <c r="Z824" s="236">
        <v>1.5592932618505292E-2</v>
      </c>
      <c r="AA824" s="236">
        <v>1.3628713262323868E-2</v>
      </c>
      <c r="AB824" s="236">
        <v>1.2824771018291607E-2</v>
      </c>
      <c r="AC824" s="236">
        <v>1.156596538501399E-2</v>
      </c>
      <c r="AD824" s="236">
        <v>1.098717454850332E-2</v>
      </c>
      <c r="AE824" s="236">
        <v>9.8963715112510547E-3</v>
      </c>
      <c r="AF824" s="236">
        <v>9.4483296066336948E-3</v>
      </c>
      <c r="AG824" s="236">
        <v>9.5320865438458247E-3</v>
      </c>
      <c r="AH824" s="236">
        <v>8.7609769955622353E-3</v>
      </c>
      <c r="AI824" s="236">
        <v>8.5273747720580328E-3</v>
      </c>
      <c r="AJ824" s="236">
        <v>8.5065647996080181E-3</v>
      </c>
      <c r="AK824" s="236">
        <v>7.9217290432871366E-3</v>
      </c>
      <c r="AL824" s="236">
        <v>1.0634760886364862E-2</v>
      </c>
      <c r="AM824" s="236">
        <v>1.0599387757806529E-2</v>
      </c>
      <c r="AN824" s="236">
        <v>1.1189925949674277E-2</v>
      </c>
      <c r="AO824" s="236">
        <v>1.3986213809050704E-2</v>
      </c>
      <c r="AP824" s="236">
        <v>1.5023720503685938E-2</v>
      </c>
      <c r="AQ824" s="236">
        <v>1.3781397000088754E-2</v>
      </c>
      <c r="AR824" s="236">
        <v>1.2404460859412578E-2</v>
      </c>
      <c r="AS824" s="236">
        <v>1.0739276790950648E-2</v>
      </c>
      <c r="AT824" s="236">
        <v>1.0985764701217336E-2</v>
      </c>
      <c r="AU824" s="236">
        <v>1.2713892545171713E-2</v>
      </c>
      <c r="AV824" s="236">
        <v>1.307684344022569E-2</v>
      </c>
      <c r="AW824" s="766">
        <v>1.3121563209147237E-2</v>
      </c>
      <c r="AX824" s="235">
        <v>1.3293382570080175E-2</v>
      </c>
      <c r="AY824" s="235">
        <v>1.3478140082799558E-2</v>
      </c>
      <c r="AZ824" s="235">
        <v>1.346934331616719E-2</v>
      </c>
      <c r="BA824" s="235">
        <v>1.3507513940832352E-2</v>
      </c>
      <c r="BB824" s="235">
        <v>1.3546665317254855E-2</v>
      </c>
      <c r="BC824" s="235">
        <v>1.3550300676043649E-2</v>
      </c>
      <c r="BD824" s="235">
        <v>1.355397499229001E-2</v>
      </c>
      <c r="BE824" s="235">
        <v>1.3557687570578205E-2</v>
      </c>
      <c r="BF824" s="235">
        <v>1.3561437731735859E-2</v>
      </c>
      <c r="BG824" s="235">
        <v>1.3565224812251968E-2</v>
      </c>
      <c r="BH824" s="235">
        <v>1.3569048163721028E-2</v>
      </c>
      <c r="BI824" s="235">
        <v>1.3572907152311868E-2</v>
      </c>
      <c r="BJ824" s="235">
        <v>1.4971166271803862E-2</v>
      </c>
      <c r="BK824" s="235">
        <v>1.6365938915556797E-2</v>
      </c>
      <c r="BL824" s="235">
        <v>1.6403048313850709E-2</v>
      </c>
      <c r="BM824" s="235">
        <v>1.4872495052472264E-2</v>
      </c>
      <c r="BN824" s="235">
        <v>1.4897899304379543E-2</v>
      </c>
      <c r="BO824" s="235">
        <v>1.4923573458011083E-2</v>
      </c>
      <c r="BP824" s="235">
        <v>1.4928749851480376E-2</v>
      </c>
      <c r="BQ824" s="235">
        <v>1.4933935911174636E-2</v>
      </c>
      <c r="BR824" s="235"/>
      <c r="BS824" s="235">
        <v>2.7229330188407255E-2</v>
      </c>
      <c r="BT824" s="235">
        <v>1.6004947762141352E-2</v>
      </c>
      <c r="BU824" s="235">
        <v>1.6575039588873287E-2</v>
      </c>
      <c r="BV824" s="235">
        <v>1.3838568972621229E-2</v>
      </c>
      <c r="BW824" s="235">
        <v>1.2945654143903891E-2</v>
      </c>
      <c r="BX824" s="235">
        <v>1.0766988943886755E-2</v>
      </c>
      <c r="BY824" s="235">
        <v>1.4349101460325529E-2</v>
      </c>
      <c r="BZ824" s="235">
        <v>1.3620474908594159E-2</v>
      </c>
      <c r="CA824" s="235">
        <v>1.3931695775349459E-2</v>
      </c>
      <c r="CB824" s="235">
        <v>1.1800582441484865E-2</v>
      </c>
      <c r="CC824" s="235">
        <v>1.1527908740934002E-2</v>
      </c>
      <c r="CD824" s="235">
        <v>1.0421775380088278E-2</v>
      </c>
      <c r="CE824" s="235">
        <v>9.0715268631770419E-3</v>
      </c>
      <c r="CF824" s="235">
        <v>8.1610474838968335E-3</v>
      </c>
      <c r="CG824" s="235">
        <v>5.6228573540690633E-3</v>
      </c>
      <c r="CH824" s="235">
        <v>5.0255352623019642E-3</v>
      </c>
      <c r="CI824" s="235">
        <v>8.4914428640249923E-3</v>
      </c>
      <c r="CJ824" s="235">
        <v>1.7151601600908475E-2</v>
      </c>
      <c r="CK824" s="235">
        <v>1.8750365345006036E-2</v>
      </c>
      <c r="CL824" s="235">
        <v>1.8345041549673247E-2</v>
      </c>
      <c r="CM824" s="235">
        <v>1.6001347481893212E-2</v>
      </c>
      <c r="CN824" s="236">
        <v>1.3628713262323868E-2</v>
      </c>
      <c r="CO824" s="236">
        <v>1.156596538501399E-2</v>
      </c>
      <c r="CP824" s="236">
        <v>9.8963715112510547E-3</v>
      </c>
      <c r="CQ824" s="236">
        <v>9.5320865438458247E-3</v>
      </c>
      <c r="CR824" s="236">
        <v>8.5273747720580328E-3</v>
      </c>
      <c r="CS824" s="236">
        <v>7.9217290432871366E-3</v>
      </c>
      <c r="CT824" s="236">
        <v>1.0599387757806529E-2</v>
      </c>
      <c r="CU824" s="236">
        <v>1.3986213809050704E-2</v>
      </c>
      <c r="CV824" s="236">
        <v>1.3781397000088754E-2</v>
      </c>
      <c r="CW824" s="236">
        <v>1.0739276790950648E-2</v>
      </c>
      <c r="CX824" s="236">
        <v>1.2713892545171713E-2</v>
      </c>
      <c r="CY824" s="766">
        <v>1.3121563209147237E-2</v>
      </c>
      <c r="CZ824" s="235">
        <v>1.3478140082799558E-2</v>
      </c>
      <c r="DA824" s="235">
        <v>1.3507513940832352E-2</v>
      </c>
      <c r="DB824" s="235">
        <v>1.3550300676043649E-2</v>
      </c>
      <c r="DC824" s="235">
        <v>1.3557687570578205E-2</v>
      </c>
      <c r="DD824" s="235">
        <v>1.3565224812251968E-2</v>
      </c>
      <c r="DE824" s="235">
        <v>1.3572907152311868E-2</v>
      </c>
      <c r="DF824" s="235">
        <v>1.6365938915556797E-2</v>
      </c>
      <c r="DG824" s="235">
        <v>1.4872495052472264E-2</v>
      </c>
      <c r="DH824" s="235">
        <v>1.4923573458011083E-2</v>
      </c>
      <c r="DI824" s="235">
        <v>1.4933935911174636E-2</v>
      </c>
    </row>
    <row r="825" spans="1:113" outlineLevel="1">
      <c r="A825" s="1" t="s">
        <v>2209</v>
      </c>
      <c r="B825" s="19" t="s">
        <v>2210</v>
      </c>
      <c r="C825" s="234">
        <v>1.9668063785710843E-2</v>
      </c>
      <c r="D825" s="234">
        <v>2.0223031854660036E-2</v>
      </c>
      <c r="E825" s="234">
        <v>1.9726785237667726E-2</v>
      </c>
      <c r="F825" s="234">
        <v>1.9521178637200737E-2</v>
      </c>
      <c r="G825" s="234">
        <v>1.8807390198030755E-2</v>
      </c>
      <c r="H825" s="234">
        <v>1.8447822066250921E-2</v>
      </c>
      <c r="I825" s="234">
        <v>1.8264840182648401E-2</v>
      </c>
      <c r="J825" s="234">
        <v>1.6180087802144198E-2</v>
      </c>
      <c r="K825" s="234">
        <v>1.4482442262144376E-2</v>
      </c>
      <c r="L825" s="234">
        <v>1.0713595728612326E-2</v>
      </c>
      <c r="M825" s="234">
        <v>1.0906777078740298E-2</v>
      </c>
      <c r="N825" s="234">
        <v>1.4158398636292171E-2</v>
      </c>
      <c r="O825" s="234">
        <v>1.2148700656857041E-2</v>
      </c>
      <c r="P825" s="234">
        <v>8.5981308411214961E-3</v>
      </c>
      <c r="Q825" s="234">
        <v>1.05418957288709E-2</v>
      </c>
      <c r="R825" s="234">
        <v>1.8136486106084367E-2</v>
      </c>
      <c r="S825" s="234">
        <v>2.5525951040051113E-2</v>
      </c>
      <c r="T825" s="234">
        <v>2.8142859429778923E-2</v>
      </c>
      <c r="U825" s="234">
        <v>2.984220073521936E-2</v>
      </c>
      <c r="V825" s="234">
        <v>3.1407992435829694E-2</v>
      </c>
      <c r="W825" s="234">
        <v>2.9745081817020829E-2</v>
      </c>
      <c r="X825" s="234">
        <v>2.9146978906360831E-2</v>
      </c>
      <c r="Y825" s="234">
        <v>2.7472028625597479E-2</v>
      </c>
      <c r="Z825" s="234">
        <v>2.6455868851066992E-2</v>
      </c>
      <c r="AA825" s="234">
        <v>2.4613152058128824E-2</v>
      </c>
      <c r="AB825" s="234">
        <v>2.2483244594474899E-2</v>
      </c>
      <c r="AC825" s="234">
        <v>2.0344174541519315E-2</v>
      </c>
      <c r="AD825" s="234">
        <v>1.954315547510807E-2</v>
      </c>
      <c r="AE825" s="234">
        <v>1.7997684403058031E-2</v>
      </c>
      <c r="AF825" s="234">
        <v>1.726157865902482E-2</v>
      </c>
      <c r="AG825" s="234">
        <v>1.7646120430476985E-2</v>
      </c>
      <c r="AH825" s="234">
        <v>1.7736011921727021E-2</v>
      </c>
      <c r="AI825" s="234">
        <v>1.7259788611578775E-2</v>
      </c>
      <c r="AJ825" s="234">
        <v>1.7384771360366438E-2</v>
      </c>
      <c r="AK825" s="234">
        <v>1.7184676250793701E-2</v>
      </c>
      <c r="AL825" s="234">
        <v>2.1453971405554516E-2</v>
      </c>
      <c r="AM825" s="234">
        <v>2.2424022483099697E-2</v>
      </c>
      <c r="AN825" s="234">
        <v>2.1358785957426917E-2</v>
      </c>
      <c r="AO825" s="234">
        <v>2.6922621263920386E-2</v>
      </c>
      <c r="AP825" s="234">
        <v>2.9086268635058022E-2</v>
      </c>
      <c r="AQ825" s="234">
        <v>2.6129575094657131E-2</v>
      </c>
      <c r="AR825" s="234">
        <v>2.4012075768886847E-2</v>
      </c>
      <c r="AS825" s="234">
        <v>2.0401310995036077E-2</v>
      </c>
      <c r="AT825" s="234">
        <v>2.0341260343169288E-2</v>
      </c>
      <c r="AU825" s="234">
        <v>2.1276215336754216E-2</v>
      </c>
      <c r="AV825" s="234">
        <v>2.1845578459243564E-2</v>
      </c>
      <c r="AW825" s="237">
        <v>2.164624357404709E-2</v>
      </c>
      <c r="AX825" s="234">
        <v>2.1941489733268791E-2</v>
      </c>
      <c r="AY825" s="234">
        <v>2.227084135556362E-2</v>
      </c>
      <c r="AZ825" s="234">
        <v>2.2377959338638866E-2</v>
      </c>
      <c r="BA825" s="234">
        <v>2.2431973019662474E-2</v>
      </c>
      <c r="BB825" s="234">
        <v>2.2486142618587265E-2</v>
      </c>
      <c r="BC825" s="234">
        <v>2.2467935894871525E-2</v>
      </c>
      <c r="BD825" s="234">
        <v>2.2449573897618987E-2</v>
      </c>
      <c r="BE825" s="234">
        <v>2.2431061231828864E-2</v>
      </c>
      <c r="BF825" s="234">
        <v>2.2412402396736517E-2</v>
      </c>
      <c r="BG825" s="234">
        <v>2.2393601788921261E-2</v>
      </c>
      <c r="BH825" s="234">
        <v>2.2374663705290336E-2</v>
      </c>
      <c r="BI825" s="234">
        <v>2.2355592345945023E-2</v>
      </c>
      <c r="BJ825" s="234">
        <v>2.5294242731726233E-2</v>
      </c>
      <c r="BK825" s="234">
        <v>2.8335974967810075E-2</v>
      </c>
      <c r="BL825" s="234">
        <v>2.7635345629193901E-2</v>
      </c>
      <c r="BM825" s="234">
        <v>2.4365967396797285E-2</v>
      </c>
      <c r="BN825" s="234">
        <v>2.4373556461196211E-2</v>
      </c>
      <c r="BO825" s="234">
        <v>2.4381499827464324E-2</v>
      </c>
      <c r="BP825" s="234">
        <v>2.4355914928144231E-2</v>
      </c>
      <c r="BQ825" s="234">
        <v>2.4330353771982977E-2</v>
      </c>
      <c r="BS825" s="234">
        <v>3.4653205853985826E-2</v>
      </c>
      <c r="BT825" s="234">
        <v>2.0061908277317998E-2</v>
      </c>
      <c r="BU825" s="234">
        <v>2.2033868011272124E-2</v>
      </c>
      <c r="BV825" s="234">
        <v>2.2503581165380527E-2</v>
      </c>
      <c r="BW825" s="234">
        <v>2.2820109080121404E-2</v>
      </c>
      <c r="BX825" s="234">
        <v>1.9374037541099596E-2</v>
      </c>
      <c r="BY825" s="234">
        <v>2.5332784923721208E-2</v>
      </c>
      <c r="BZ825" s="234">
        <v>2.2369224170639568E-2</v>
      </c>
      <c r="CA825" s="234">
        <v>2.3118251795216201E-2</v>
      </c>
      <c r="CB825" s="234">
        <v>1.9668063785710843E-2</v>
      </c>
      <c r="CC825" s="234">
        <v>1.9726785237667726E-2</v>
      </c>
      <c r="CD825" s="234">
        <v>1.8807390198030755E-2</v>
      </c>
      <c r="CE825" s="234">
        <v>1.8264840182648401E-2</v>
      </c>
      <c r="CF825" s="234">
        <v>1.4482442262144376E-2</v>
      </c>
      <c r="CG825" s="234">
        <v>1.0906777078740298E-2</v>
      </c>
      <c r="CH825" s="234">
        <v>1.2148700656857041E-2</v>
      </c>
      <c r="CI825" s="234">
        <v>1.05418957288709E-2</v>
      </c>
      <c r="CJ825" s="234">
        <v>2.5525951040051113E-2</v>
      </c>
      <c r="CK825" s="234">
        <v>2.984220073521936E-2</v>
      </c>
      <c r="CL825" s="234">
        <v>2.9745081817020829E-2</v>
      </c>
      <c r="CM825" s="234">
        <v>2.7472028625597479E-2</v>
      </c>
      <c r="CN825" s="234">
        <v>2.4613152058128824E-2</v>
      </c>
      <c r="CO825" s="234">
        <v>2.0344174541519315E-2</v>
      </c>
      <c r="CP825" s="234">
        <v>1.7997684403058031E-2</v>
      </c>
      <c r="CQ825" s="234">
        <v>1.7646120430476985E-2</v>
      </c>
      <c r="CR825" s="234">
        <v>1.7259788611578775E-2</v>
      </c>
      <c r="CS825" s="234">
        <v>1.7184676250793701E-2</v>
      </c>
      <c r="CT825" s="234">
        <v>2.2424022483099697E-2</v>
      </c>
      <c r="CU825" s="234">
        <v>2.6922621263920386E-2</v>
      </c>
      <c r="CV825" s="234">
        <v>2.6129575094657131E-2</v>
      </c>
      <c r="CW825" s="234">
        <v>2.0401310995036077E-2</v>
      </c>
      <c r="CX825" s="234">
        <v>2.1276215336754216E-2</v>
      </c>
      <c r="CY825" s="237">
        <v>2.164624357404709E-2</v>
      </c>
      <c r="CZ825" s="234">
        <v>2.227084135556362E-2</v>
      </c>
      <c r="DA825" s="234">
        <v>2.2431973019662474E-2</v>
      </c>
      <c r="DB825" s="234">
        <v>2.2467935894871525E-2</v>
      </c>
      <c r="DC825" s="234">
        <v>2.2431061231828864E-2</v>
      </c>
      <c r="DD825" s="234">
        <v>2.2393601788921261E-2</v>
      </c>
      <c r="DE825" s="234">
        <v>2.2355592345945023E-2</v>
      </c>
      <c r="DF825" s="234">
        <v>2.8335974967810075E-2</v>
      </c>
      <c r="DG825" s="234">
        <v>2.4365967396797285E-2</v>
      </c>
      <c r="DH825" s="234">
        <v>2.4381499827464324E-2</v>
      </c>
      <c r="DI825" s="234">
        <v>2.4330353771982977E-2</v>
      </c>
    </row>
    <row r="826" spans="1:113" outlineLevel="1">
      <c r="A826" s="1" t="s">
        <v>2211</v>
      </c>
      <c r="B826" s="19" t="s">
        <v>2212</v>
      </c>
      <c r="C826" s="234">
        <v>1.1855756176536784E-2</v>
      </c>
      <c r="D826" s="234">
        <v>1.1951090000509175E-2</v>
      </c>
      <c r="E826" s="234">
        <v>1.1625994751857228E-2</v>
      </c>
      <c r="F826" s="234">
        <v>1.1156876916491828E-2</v>
      </c>
      <c r="G826" s="234">
        <v>1.0516692671996042E-2</v>
      </c>
      <c r="H826" s="234">
        <v>1.0021769653875384E-2</v>
      </c>
      <c r="I826" s="234">
        <v>9.2023437219166757E-3</v>
      </c>
      <c r="J826" s="234">
        <v>8.7584269662921346E-3</v>
      </c>
      <c r="K826" s="234">
        <v>8.2857984521035859E-3</v>
      </c>
      <c r="L826" s="234">
        <v>6.1210871452152668E-3</v>
      </c>
      <c r="M826" s="234">
        <v>5.7138564540285741E-3</v>
      </c>
      <c r="N826" s="234">
        <v>7.4093641197969899E-3</v>
      </c>
      <c r="O826" s="234">
        <v>7.1841939442178222E-3</v>
      </c>
      <c r="P826" s="234">
        <v>7.5976128080336497E-3</v>
      </c>
      <c r="Q826" s="234">
        <v>9.3096457533077253E-3</v>
      </c>
      <c r="R826" s="234">
        <v>1.630874515777626E-2</v>
      </c>
      <c r="S826" s="234">
        <v>1.9167895129868873E-2</v>
      </c>
      <c r="T826" s="234">
        <v>2.0405004913605657E-2</v>
      </c>
      <c r="U826" s="234">
        <v>2.1720419219280036E-2</v>
      </c>
      <c r="V826" s="234">
        <v>2.3085917059131343E-2</v>
      </c>
      <c r="W826" s="234">
        <v>2.1710936930072706E-2</v>
      </c>
      <c r="X826" s="234">
        <v>2.0669695023331758E-2</v>
      </c>
      <c r="Y826" s="234">
        <v>1.9676470475731459E-2</v>
      </c>
      <c r="Z826" s="234">
        <v>1.9286794832609193E-2</v>
      </c>
      <c r="AA826" s="234">
        <v>1.7102054534922802E-2</v>
      </c>
      <c r="AB826" s="234">
        <v>1.6190415444146788E-2</v>
      </c>
      <c r="AC826" s="234">
        <v>1.4563979829700697E-2</v>
      </c>
      <c r="AD826" s="234">
        <v>1.3482107317574248E-2</v>
      </c>
      <c r="AE826" s="234">
        <v>1.251668368977423E-2</v>
      </c>
      <c r="AF826" s="234">
        <v>1.2228435291694158E-2</v>
      </c>
      <c r="AG826" s="234">
        <v>1.253960410429323E-2</v>
      </c>
      <c r="AH826" s="234">
        <v>1.1661838801047316E-2</v>
      </c>
      <c r="AI826" s="234">
        <v>1.1440416265748465E-2</v>
      </c>
      <c r="AJ826" s="234">
        <v>1.1727999782007439E-2</v>
      </c>
      <c r="AK826" s="234">
        <v>1.1425385897685696E-2</v>
      </c>
      <c r="AL826" s="234">
        <v>1.4276199655616804E-2</v>
      </c>
      <c r="AM826" s="234">
        <v>1.4262938369290396E-2</v>
      </c>
      <c r="AN826" s="234">
        <v>1.3394915475578133E-2</v>
      </c>
      <c r="AO826" s="234">
        <v>1.7004548442786361E-2</v>
      </c>
      <c r="AP826" s="234">
        <v>1.8081719288936059E-2</v>
      </c>
      <c r="AQ826" s="234">
        <v>1.6278338356702924E-2</v>
      </c>
      <c r="AR826" s="234">
        <v>1.4983861761461222E-2</v>
      </c>
      <c r="AS826" s="234">
        <v>1.3583235741667027E-2</v>
      </c>
      <c r="AT826" s="234">
        <v>1.3782999226400874E-2</v>
      </c>
      <c r="AU826" s="234">
        <v>1.6397101984462713E-2</v>
      </c>
      <c r="AV826" s="234">
        <v>1.6442702754010333E-2</v>
      </c>
      <c r="AW826" s="237">
        <v>1.6561207631922772E-2</v>
      </c>
      <c r="AX826" s="234">
        <v>1.6748555523084716E-2</v>
      </c>
      <c r="AY826" s="234">
        <v>1.6953095826499631E-2</v>
      </c>
      <c r="AZ826" s="234">
        <v>1.6953603108097841E-2</v>
      </c>
      <c r="BA826" s="234">
        <v>1.7000757227691198E-2</v>
      </c>
      <c r="BB826" s="234">
        <v>1.7049005441477749E-2</v>
      </c>
      <c r="BC826" s="234">
        <v>1.7051279975322822E-2</v>
      </c>
      <c r="BD826" s="234">
        <v>1.7053578260136485E-2</v>
      </c>
      <c r="BE826" s="234">
        <v>1.7055899841436795E-2</v>
      </c>
      <c r="BF826" s="234">
        <v>1.7058244275184032E-2</v>
      </c>
      <c r="BG826" s="234">
        <v>1.7060611127414898E-2</v>
      </c>
      <c r="BH826" s="234">
        <v>1.7062999973893E-2</v>
      </c>
      <c r="BI826" s="234">
        <v>1.7065410399774762E-2</v>
      </c>
      <c r="BJ826" s="234">
        <v>1.8845260020074573E-2</v>
      </c>
      <c r="BK826" s="234">
        <v>2.0622972005394237E-2</v>
      </c>
      <c r="BL826" s="234">
        <v>2.0640557038238264E-2</v>
      </c>
      <c r="BM826" s="234">
        <v>1.8686833731564781E-2</v>
      </c>
      <c r="BN826" s="234">
        <v>1.8715447842445394E-2</v>
      </c>
      <c r="BO826" s="234">
        <v>1.874438446521369E-2</v>
      </c>
      <c r="BP826" s="234">
        <v>1.8747563406888785E-2</v>
      </c>
      <c r="BQ826" s="234">
        <v>1.8750747155211876E-2</v>
      </c>
      <c r="BS826" s="234">
        <v>3.2761349107499775E-2</v>
      </c>
      <c r="BT826" s="234">
        <v>1.8391026847880104E-2</v>
      </c>
      <c r="BU826" s="234">
        <v>1.8961241820347575E-2</v>
      </c>
      <c r="BV826" s="234">
        <v>1.5524138920323234E-2</v>
      </c>
      <c r="BW826" s="234">
        <v>1.4398640768311471E-2</v>
      </c>
      <c r="BX826" s="234">
        <v>1.2130767326410153E-2</v>
      </c>
      <c r="BY826" s="234">
        <v>1.6506072529266301E-2</v>
      </c>
      <c r="BZ826" s="234">
        <v>1.5848712584298555E-2</v>
      </c>
      <c r="CA826" s="234">
        <v>1.6027219411738371E-2</v>
      </c>
      <c r="CB826" s="234">
        <v>1.3819425050987162E-2</v>
      </c>
      <c r="CC826" s="234">
        <v>1.1625994751857228E-2</v>
      </c>
      <c r="CD826" s="234">
        <v>1.0516692671996042E-2</v>
      </c>
      <c r="CE826" s="234">
        <v>9.2023437219166757E-3</v>
      </c>
      <c r="CF826" s="234">
        <v>8.2857984521035859E-3</v>
      </c>
      <c r="CG826" s="234">
        <v>5.7138564540285741E-3</v>
      </c>
      <c r="CH826" s="234">
        <v>7.1841939442178222E-3</v>
      </c>
      <c r="CI826" s="234">
        <v>9.3096457533077253E-3</v>
      </c>
      <c r="CJ826" s="234">
        <v>1.9167895129868873E-2</v>
      </c>
      <c r="CK826" s="234">
        <v>2.1720419219280036E-2</v>
      </c>
      <c r="CL826" s="234">
        <v>2.1710936930072706E-2</v>
      </c>
      <c r="CM826" s="234">
        <v>1.9676470475731459E-2</v>
      </c>
      <c r="CN826" s="234">
        <v>1.7102054534922802E-2</v>
      </c>
      <c r="CO826" s="234">
        <v>1.4563979829700697E-2</v>
      </c>
      <c r="CP826" s="234">
        <v>1.251668368977423E-2</v>
      </c>
      <c r="CQ826" s="234">
        <v>1.253960410429323E-2</v>
      </c>
      <c r="CR826" s="234">
        <v>1.1440416265748465E-2</v>
      </c>
      <c r="CS826" s="234">
        <v>1.1425385897685696E-2</v>
      </c>
      <c r="CT826" s="234">
        <v>1.4262938369290396E-2</v>
      </c>
      <c r="CU826" s="234">
        <v>1.7004548442786361E-2</v>
      </c>
      <c r="CV826" s="234">
        <v>1.6278338356702924E-2</v>
      </c>
      <c r="CW826" s="234">
        <v>1.3583235741667027E-2</v>
      </c>
      <c r="CX826" s="234">
        <v>1.6397101984462713E-2</v>
      </c>
      <c r="CY826" s="237">
        <v>1.6561207631922772E-2</v>
      </c>
      <c r="CZ826" s="234">
        <v>1.6953095826499631E-2</v>
      </c>
      <c r="DA826" s="234">
        <v>1.7000757227691198E-2</v>
      </c>
      <c r="DB826" s="234">
        <v>1.7051279975322822E-2</v>
      </c>
      <c r="DC826" s="234">
        <v>1.7055899841436795E-2</v>
      </c>
      <c r="DD826" s="234">
        <v>1.7060611127414898E-2</v>
      </c>
      <c r="DE826" s="234">
        <v>1.7065410399774762E-2</v>
      </c>
      <c r="DF826" s="234">
        <v>2.0622972005394237E-2</v>
      </c>
      <c r="DG826" s="234">
        <v>1.8686833731564781E-2</v>
      </c>
      <c r="DH826" s="234">
        <v>1.874438446521369E-2</v>
      </c>
      <c r="DI826" s="234">
        <v>1.8750747155211876E-2</v>
      </c>
    </row>
    <row r="827" spans="1:113" outlineLevel="1">
      <c r="A827" s="1" t="s">
        <v>2213</v>
      </c>
      <c r="B827" s="19" t="s">
        <v>2214</v>
      </c>
      <c r="C827" s="234">
        <v>1.1800582441484865E-2</v>
      </c>
      <c r="D827" s="234">
        <v>1.1882462700060027E-2</v>
      </c>
      <c r="E827" s="234">
        <v>1.1527908740934002E-2</v>
      </c>
      <c r="F827" s="234">
        <v>1.1059253952466075E-2</v>
      </c>
      <c r="G827" s="234">
        <v>1.0421775380088278E-2</v>
      </c>
      <c r="H827" s="234">
        <v>9.881184472061523E-3</v>
      </c>
      <c r="I827" s="234">
        <v>9.0715268631770419E-3</v>
      </c>
      <c r="J827" s="234">
        <v>8.6288010449760335E-3</v>
      </c>
      <c r="K827" s="234">
        <v>8.1610474838968335E-3</v>
      </c>
      <c r="L827" s="234">
        <v>6.0197269412385832E-3</v>
      </c>
      <c r="M827" s="234">
        <v>5.6228573540690633E-3</v>
      </c>
      <c r="N827" s="234">
        <v>7.2942289901905197E-3</v>
      </c>
      <c r="O827" s="234">
        <v>7.063465214573645E-3</v>
      </c>
      <c r="P827" s="234">
        <v>6.9616804891337244E-3</v>
      </c>
      <c r="Q827" s="234">
        <v>8.4914428640249923E-3</v>
      </c>
      <c r="R827" s="234">
        <v>1.507800191400357E-2</v>
      </c>
      <c r="S827" s="234">
        <v>1.7151601600908475E-2</v>
      </c>
      <c r="T827" s="234">
        <v>1.7730770653120367E-2</v>
      </c>
      <c r="U827" s="234">
        <v>1.9176744457931168E-2</v>
      </c>
      <c r="V827" s="234">
        <v>1.9774970847063519E-2</v>
      </c>
      <c r="W827" s="234">
        <v>1.9015941869504564E-2</v>
      </c>
      <c r="X827" s="234">
        <v>1.7943937790766026E-2</v>
      </c>
      <c r="Y827" s="234">
        <v>1.6988840339908912E-2</v>
      </c>
      <c r="Z827" s="234">
        <v>1.6527911780405889E-2</v>
      </c>
      <c r="AA827" s="234">
        <v>1.4531015500154941E-2</v>
      </c>
      <c r="AB827" s="234">
        <v>1.367157694413774E-2</v>
      </c>
      <c r="AC827" s="234">
        <v>1.2469093762492042E-2</v>
      </c>
      <c r="AD827" s="234">
        <v>1.1896399356461444E-2</v>
      </c>
      <c r="AE827" s="234">
        <v>1.0834750393929286E-2</v>
      </c>
      <c r="AF827" s="234">
        <v>1.0431363360854883E-2</v>
      </c>
      <c r="AG827" s="234">
        <v>1.0930734011204382E-2</v>
      </c>
      <c r="AH827" s="234">
        <v>9.9798158453632581E-3</v>
      </c>
      <c r="AI827" s="234">
        <v>9.8750065779990535E-3</v>
      </c>
      <c r="AJ827" s="234">
        <v>9.7632679726701085E-3</v>
      </c>
      <c r="AK827" s="234">
        <v>9.2060390918685068E-3</v>
      </c>
      <c r="AL827" s="234">
        <v>1.1845605017702137E-2</v>
      </c>
      <c r="AM827" s="234">
        <v>1.1736850707435695E-2</v>
      </c>
      <c r="AN827" s="234">
        <v>1.1189925949674277E-2</v>
      </c>
      <c r="AO827" s="234">
        <v>1.3986213809050704E-2</v>
      </c>
      <c r="AP827" s="234">
        <v>1.5023720503685938E-2</v>
      </c>
      <c r="AQ827" s="234">
        <v>1.3781397000088754E-2</v>
      </c>
      <c r="AR827" s="234">
        <v>1.2404460859412578E-2</v>
      </c>
      <c r="AS827" s="234">
        <v>1.0739276790950648E-2</v>
      </c>
      <c r="AT827" s="234">
        <v>1.0985764701217336E-2</v>
      </c>
      <c r="AU827" s="234">
        <v>1.2713892545171713E-2</v>
      </c>
      <c r="AV827" s="234">
        <v>1.307684344022569E-2</v>
      </c>
      <c r="AW827" s="237">
        <v>1.3121563209147237E-2</v>
      </c>
      <c r="AX827" s="234">
        <v>1.3293382570080175E-2</v>
      </c>
      <c r="AY827" s="234">
        <v>1.3478140082799558E-2</v>
      </c>
      <c r="AZ827" s="234">
        <v>1.346934331616719E-2</v>
      </c>
      <c r="BA827" s="234">
        <v>1.3507513940832352E-2</v>
      </c>
      <c r="BB827" s="234">
        <v>1.3546665317254855E-2</v>
      </c>
      <c r="BC827" s="234">
        <v>1.3550300676043649E-2</v>
      </c>
      <c r="BD827" s="234">
        <v>1.355397499229001E-2</v>
      </c>
      <c r="BE827" s="234">
        <v>1.3557687570578205E-2</v>
      </c>
      <c r="BF827" s="234">
        <v>1.3561437731735859E-2</v>
      </c>
      <c r="BG827" s="234">
        <v>1.3565224812251968E-2</v>
      </c>
      <c r="BH827" s="234">
        <v>1.3569048163721028E-2</v>
      </c>
      <c r="BI827" s="234">
        <v>1.3572907152311868E-2</v>
      </c>
      <c r="BJ827" s="234">
        <v>1.4971166271803862E-2</v>
      </c>
      <c r="BK827" s="234">
        <v>1.6365938915556797E-2</v>
      </c>
      <c r="BL827" s="234">
        <v>1.6403048313850709E-2</v>
      </c>
      <c r="BM827" s="234">
        <v>1.4872495052472264E-2</v>
      </c>
      <c r="BN827" s="234">
        <v>1.4897899304379543E-2</v>
      </c>
      <c r="BO827" s="234">
        <v>1.4923573458011083E-2</v>
      </c>
      <c r="BP827" s="234">
        <v>1.4928749851480376E-2</v>
      </c>
      <c r="BQ827" s="234">
        <v>1.4933935911174636E-2</v>
      </c>
      <c r="BS827" s="234">
        <v>2.7229330188407255E-2</v>
      </c>
      <c r="BT827" s="234">
        <v>1.6004947762141352E-2</v>
      </c>
      <c r="BU827" s="234">
        <v>1.6575039588873287E-2</v>
      </c>
      <c r="BV827" s="234">
        <v>1.3838568972621229E-2</v>
      </c>
      <c r="BW827" s="234">
        <v>1.2945654143903891E-2</v>
      </c>
      <c r="BX827" s="234">
        <v>1.0766988943886755E-2</v>
      </c>
      <c r="BY827" s="234">
        <v>1.4349101460325529E-2</v>
      </c>
      <c r="BZ827" s="234">
        <v>1.3620474908594159E-2</v>
      </c>
      <c r="CA827" s="234">
        <v>1.3931695775349459E-2</v>
      </c>
      <c r="CB827" s="234">
        <v>1.1800582441484865E-2</v>
      </c>
      <c r="CC827" s="234">
        <v>1.1527908740934002E-2</v>
      </c>
      <c r="CD827" s="234">
        <v>1.0421775380088278E-2</v>
      </c>
      <c r="CE827" s="234">
        <v>9.0715268631770419E-3</v>
      </c>
      <c r="CF827" s="234">
        <v>8.1610474838968335E-3</v>
      </c>
      <c r="CG827" s="234">
        <v>5.6228573540690633E-3</v>
      </c>
      <c r="CH827" s="234">
        <v>7.063465214573645E-3</v>
      </c>
      <c r="CI827" s="234">
        <v>8.4914428640249923E-3</v>
      </c>
      <c r="CJ827" s="234">
        <v>1.7151601600908475E-2</v>
      </c>
      <c r="CK827" s="234">
        <v>1.9176744457931168E-2</v>
      </c>
      <c r="CL827" s="234">
        <v>1.9015941869504564E-2</v>
      </c>
      <c r="CM827" s="234">
        <v>1.6988840339908912E-2</v>
      </c>
      <c r="CN827" s="234">
        <v>1.4531015500154941E-2</v>
      </c>
      <c r="CO827" s="234">
        <v>1.2469093762492042E-2</v>
      </c>
      <c r="CP827" s="234">
        <v>1.0834750393929286E-2</v>
      </c>
      <c r="CQ827" s="234">
        <v>1.0930734011204382E-2</v>
      </c>
      <c r="CR827" s="234">
        <v>9.8750065779990535E-3</v>
      </c>
      <c r="CS827" s="234">
        <v>9.2060390918685068E-3</v>
      </c>
      <c r="CT827" s="234">
        <v>1.1736850707435695E-2</v>
      </c>
      <c r="CU827" s="234">
        <v>1.3986213809050704E-2</v>
      </c>
      <c r="CV827" s="234">
        <v>1.3781397000088754E-2</v>
      </c>
      <c r="CW827" s="234">
        <v>1.0739276790950648E-2</v>
      </c>
      <c r="CX827" s="234">
        <v>1.2713892545171713E-2</v>
      </c>
      <c r="CY827" s="237">
        <v>1.3121563209147237E-2</v>
      </c>
      <c r="CZ827" s="234">
        <v>1.3478140082799558E-2</v>
      </c>
      <c r="DA827" s="234">
        <v>1.3507513940832352E-2</v>
      </c>
      <c r="DB827" s="234">
        <v>1.3550300676043649E-2</v>
      </c>
      <c r="DC827" s="234">
        <v>1.3557687570578205E-2</v>
      </c>
      <c r="DD827" s="234">
        <v>1.3565224812251968E-2</v>
      </c>
      <c r="DE827" s="234">
        <v>1.3572907152311868E-2</v>
      </c>
      <c r="DF827" s="234">
        <v>1.6365938915556797E-2</v>
      </c>
      <c r="DG827" s="234">
        <v>1.4872495052472264E-2</v>
      </c>
      <c r="DH827" s="234">
        <v>1.4923573458011083E-2</v>
      </c>
      <c r="DI827" s="234">
        <v>1.4933935911174636E-2</v>
      </c>
    </row>
    <row r="828" spans="1:113" hidden="1" outlineLevel="2">
      <c r="A828" s="1" t="s">
        <v>182</v>
      </c>
      <c r="B828" s="19" t="s">
        <v>801</v>
      </c>
      <c r="AW828" s="22"/>
      <c r="CY828" s="22"/>
    </row>
    <row r="829" spans="1:113" hidden="1" outlineLevel="2">
      <c r="A829" s="1" t="s">
        <v>183</v>
      </c>
      <c r="B829" s="19" t="s">
        <v>801</v>
      </c>
      <c r="AW829" s="22"/>
      <c r="CY829" s="22"/>
    </row>
    <row r="830" spans="1:113" hidden="1" outlineLevel="2">
      <c r="A830" s="1" t="s">
        <v>184</v>
      </c>
      <c r="B830" s="19" t="s">
        <v>801</v>
      </c>
      <c r="AW830" s="22"/>
      <c r="CY830" s="22"/>
    </row>
    <row r="831" spans="1:113" hidden="1" outlineLevel="2">
      <c r="A831" s="1" t="s">
        <v>185</v>
      </c>
      <c r="B831" s="19" t="s">
        <v>801</v>
      </c>
      <c r="AW831" s="22"/>
      <c r="CY831" s="22"/>
    </row>
    <row r="832" spans="1:113" outlineLevel="1" collapsed="1">
      <c r="AW832" s="22"/>
      <c r="CY832" s="22"/>
    </row>
    <row r="833" spans="1:113" s="24" customFormat="1" outlineLevel="1">
      <c r="A833" s="1"/>
      <c r="B833" s="24" t="s">
        <v>620</v>
      </c>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c r="AD833" s="13"/>
      <c r="AE833" s="13"/>
      <c r="AF833" s="600"/>
      <c r="AG833" s="13"/>
      <c r="AH833" s="13"/>
      <c r="AJ833" s="706"/>
      <c r="AK833" s="706"/>
      <c r="AL833" s="706"/>
      <c r="AM833" s="706"/>
      <c r="AN833" s="706"/>
      <c r="AO833" s="706"/>
      <c r="AP833" s="706"/>
      <c r="AQ833" s="706"/>
      <c r="AR833" s="706"/>
      <c r="AS833" s="706"/>
      <c r="AT833" s="706"/>
      <c r="AU833" s="706"/>
      <c r="AV833" s="706"/>
      <c r="AW833" s="644"/>
      <c r="AX833" s="13"/>
      <c r="AY833" s="13"/>
      <c r="AZ833" s="13"/>
      <c r="BA833" s="13"/>
      <c r="BB833" s="13"/>
      <c r="BC833" s="13"/>
      <c r="BD833" s="13"/>
      <c r="BE833" s="13"/>
      <c r="BF833" s="13"/>
      <c r="BG833" s="13"/>
      <c r="BH833" s="13"/>
      <c r="BI833" s="13"/>
      <c r="BJ833" s="13"/>
      <c r="BK833" s="13"/>
      <c r="BL833" s="13"/>
      <c r="BM833" s="13"/>
      <c r="BN833" s="13"/>
      <c r="BO833" s="13"/>
      <c r="BP833" s="13"/>
      <c r="BQ833" s="13"/>
      <c r="BR833" s="13"/>
      <c r="BS833" s="13"/>
      <c r="BT833" s="13"/>
      <c r="BU833" s="13"/>
      <c r="BV833" s="13"/>
      <c r="BW833" s="13"/>
      <c r="BX833" s="13"/>
      <c r="BY833" s="13"/>
      <c r="BZ833" s="13"/>
      <c r="CA833" s="13"/>
      <c r="CB833" s="13"/>
      <c r="CC833" s="13"/>
      <c r="CD833" s="13"/>
      <c r="CE833" s="13"/>
      <c r="CF833" s="13"/>
      <c r="CG833" s="13"/>
      <c r="CH833" s="13"/>
      <c r="CI833" s="13"/>
      <c r="CJ833" s="13"/>
      <c r="CK833" s="13"/>
      <c r="CL833" s="13"/>
      <c r="CM833" s="13"/>
      <c r="CN833" s="13"/>
      <c r="CO833" s="579"/>
      <c r="CP833" s="579"/>
      <c r="CQ833" s="579"/>
      <c r="CR833" s="579"/>
      <c r="CS833" s="579"/>
      <c r="CT833" s="579"/>
      <c r="CU833" s="579"/>
      <c r="CV833" s="579"/>
      <c r="CW833" s="579"/>
      <c r="CX833" s="579"/>
      <c r="CY833" s="528"/>
      <c r="CZ833" s="162"/>
      <c r="DA833" s="162"/>
      <c r="DB833" s="162"/>
    </row>
    <row r="834" spans="1:113" outlineLevel="1">
      <c r="A834" s="1" t="s">
        <v>954</v>
      </c>
      <c r="B834" s="19" t="s">
        <v>543</v>
      </c>
      <c r="C834" s="232">
        <v>5.1877759551389985E-2</v>
      </c>
      <c r="D834" s="232">
        <v>5.4263005257790861E-2</v>
      </c>
      <c r="E834" s="232">
        <v>5.5101418655928082E-2</v>
      </c>
      <c r="F834" s="232">
        <v>5.8148027070827911E-2</v>
      </c>
      <c r="G834" s="232">
        <v>5.7817012696855755E-2</v>
      </c>
      <c r="H834" s="232">
        <v>5.1368188428345535E-2</v>
      </c>
      <c r="I834" s="232">
        <v>4.5652931414295925E-2</v>
      </c>
      <c r="J834" s="232">
        <v>4.7981447247528695E-2</v>
      </c>
      <c r="K834" s="232">
        <v>4.9150923986727088E-2</v>
      </c>
      <c r="L834" s="232">
        <v>5.8095299185363179E-2</v>
      </c>
      <c r="M834" s="42">
        <v>5.3017492307265823E-2</v>
      </c>
      <c r="N834" s="42">
        <v>5.4431745030246961E-2</v>
      </c>
      <c r="O834" s="42">
        <v>5.6218335663366578E-2</v>
      </c>
      <c r="P834" s="42">
        <v>6.1308190568436345E-2</v>
      </c>
      <c r="Q834" s="42">
        <v>6.1298971781159214E-2</v>
      </c>
      <c r="R834" s="42">
        <v>6.5673725077207895E-2</v>
      </c>
      <c r="S834" s="42">
        <v>6.3541248320846427E-2</v>
      </c>
      <c r="T834" s="45">
        <v>6.8253717443998801E-2</v>
      </c>
      <c r="U834" s="42">
        <v>6.8598897603680611E-2</v>
      </c>
      <c r="V834" s="42">
        <v>7.3535437013898863E-2</v>
      </c>
      <c r="W834" s="42">
        <v>7.6585578837887053E-2</v>
      </c>
      <c r="X834" s="42">
        <v>7.6710166104029157E-2</v>
      </c>
      <c r="Y834" s="45">
        <v>7.8153949806299472E-2</v>
      </c>
      <c r="Z834" s="45">
        <v>8.3050684490950266E-2</v>
      </c>
      <c r="AA834" s="45">
        <v>8.2118617806646046E-2</v>
      </c>
      <c r="AB834" s="45">
        <v>8.5392747391508594E-2</v>
      </c>
      <c r="AC834" s="45">
        <v>9.3013339650296845E-2</v>
      </c>
      <c r="AD834" s="45">
        <v>9.2296231673880041E-2</v>
      </c>
      <c r="AE834" s="45">
        <v>9.0577970877709704E-2</v>
      </c>
      <c r="AF834" s="45">
        <v>0.10481024392480047</v>
      </c>
      <c r="AG834" s="45">
        <v>0.10556494462420217</v>
      </c>
      <c r="AH834" s="45">
        <v>9.9259761593288143E-2</v>
      </c>
      <c r="AI834" s="45">
        <v>0.10103577745084805</v>
      </c>
      <c r="AJ834" s="45">
        <v>0.10398424811040841</v>
      </c>
      <c r="AK834" s="45">
        <v>0.10132748379894116</v>
      </c>
      <c r="AL834" s="45">
        <v>0.10788868321262333</v>
      </c>
      <c r="AM834" s="45">
        <v>0.10682654463051228</v>
      </c>
      <c r="AN834" s="45">
        <v>0.11661924417905663</v>
      </c>
      <c r="AO834" s="45">
        <v>0.11555826160352392</v>
      </c>
      <c r="AP834" s="45">
        <v>0.12582228140100879</v>
      </c>
      <c r="AQ834" s="45">
        <v>0.1305493920298216</v>
      </c>
      <c r="AR834" s="45">
        <v>0.11752665136769035</v>
      </c>
      <c r="AS834" s="45">
        <v>0.11452885364697565</v>
      </c>
      <c r="AT834" s="45">
        <v>0.11410444506126333</v>
      </c>
      <c r="AU834" s="45">
        <v>0.12160250602574403</v>
      </c>
      <c r="AV834" s="45">
        <v>0.12343737867846882</v>
      </c>
      <c r="AW834" s="43">
        <v>0.12338974785638358</v>
      </c>
      <c r="AX834" s="42">
        <v>0.121937945361484</v>
      </c>
      <c r="AY834" s="42">
        <v>0.12129185912733358</v>
      </c>
      <c r="AZ834" s="42">
        <v>0.11986364651112838</v>
      </c>
      <c r="BA834" s="42">
        <v>0.11987017016504412</v>
      </c>
      <c r="BB834" s="42">
        <v>0.11895072238501236</v>
      </c>
      <c r="BC834" s="42">
        <v>0.11903055740850407</v>
      </c>
      <c r="BD834" s="42">
        <v>0.11830395708734009</v>
      </c>
      <c r="BE834" s="42">
        <v>0.11862928402541938</v>
      </c>
      <c r="BF834" s="42">
        <v>0.11812756731009003</v>
      </c>
      <c r="BG834" s="42">
        <v>0.11849463267988924</v>
      </c>
      <c r="BH834" s="42">
        <v>0.11815185594371851</v>
      </c>
      <c r="BI834" s="42">
        <v>0.11845860308779402</v>
      </c>
      <c r="BJ834" s="42">
        <v>0.1139168582696682</v>
      </c>
      <c r="BK834" s="42">
        <v>0.10961661529960247</v>
      </c>
      <c r="BL834" s="232">
        <v>0.11128462263430844</v>
      </c>
      <c r="BM834" s="232">
        <v>0.1144793466695795</v>
      </c>
      <c r="BN834" s="232">
        <v>0.11514647605004814</v>
      </c>
      <c r="BO834" s="232">
        <v>0.11501067810981457</v>
      </c>
      <c r="BP834" s="232">
        <v>0.11438488804906316</v>
      </c>
      <c r="BQ834" s="232">
        <v>0.11426830179483255</v>
      </c>
      <c r="BR834" s="42"/>
      <c r="BS834" s="232">
        <v>6.578259096694121E-2</v>
      </c>
      <c r="BT834" s="232">
        <v>7.2998680399953941E-2</v>
      </c>
      <c r="BU834" s="232">
        <v>8.1027219217783622E-2</v>
      </c>
      <c r="BV834" s="232">
        <v>8.6483952090703725E-2</v>
      </c>
      <c r="BW834" s="232">
        <v>8.7383165471351262E-2</v>
      </c>
      <c r="BX834" s="232">
        <v>7.3957996021649625E-2</v>
      </c>
      <c r="BY834" s="232">
        <v>6.6831866653958974E-2</v>
      </c>
      <c r="BZ834" s="232">
        <v>6.4114669130941382E-2</v>
      </c>
      <c r="CA834" s="232">
        <v>7.1604246443136885E-2</v>
      </c>
      <c r="CB834" s="232">
        <v>5.1877759551389985E-2</v>
      </c>
      <c r="CC834" s="42">
        <v>5.5101418655928082E-2</v>
      </c>
      <c r="CD834" s="42">
        <v>5.7817012696855755E-2</v>
      </c>
      <c r="CE834" s="42">
        <v>4.5652931414295925E-2</v>
      </c>
      <c r="CF834" s="42">
        <v>4.9150923986727088E-2</v>
      </c>
      <c r="CG834" s="42">
        <v>5.3017492307265823E-2</v>
      </c>
      <c r="CH834" s="42">
        <v>5.6218335663366578E-2</v>
      </c>
      <c r="CI834" s="42">
        <v>6.1298971781159214E-2</v>
      </c>
      <c r="CJ834" s="42">
        <v>6.3541248320846427E-2</v>
      </c>
      <c r="CK834" s="42">
        <v>6.8598897603680611E-2</v>
      </c>
      <c r="CL834" s="42">
        <v>7.6585578837887053E-2</v>
      </c>
      <c r="CM834" s="45">
        <v>7.8153949806299472E-2</v>
      </c>
      <c r="CN834" s="45">
        <v>8.2118617806646046E-2</v>
      </c>
      <c r="CO834" s="45">
        <v>9.3013339650296845E-2</v>
      </c>
      <c r="CP834" s="45">
        <v>9.0577970877709704E-2</v>
      </c>
      <c r="CQ834" s="45">
        <v>0.10556494462420217</v>
      </c>
      <c r="CR834" s="45">
        <v>0.10103577745084805</v>
      </c>
      <c r="CS834" s="45">
        <v>0.10132748379894116</v>
      </c>
      <c r="CT834" s="45">
        <v>0.10682654463051228</v>
      </c>
      <c r="CU834" s="45">
        <v>0.11555826160352392</v>
      </c>
      <c r="CV834" s="45">
        <v>0.1305493920298216</v>
      </c>
      <c r="CW834" s="45">
        <v>0.11452885364697565</v>
      </c>
      <c r="CX834" s="45">
        <v>0.12160250602574403</v>
      </c>
      <c r="CY834" s="43">
        <v>0.12338974785638358</v>
      </c>
      <c r="CZ834" s="42">
        <v>0.12129185912733355</v>
      </c>
      <c r="DA834" s="42">
        <v>0.11987017016504409</v>
      </c>
      <c r="DB834" s="42">
        <v>0.11903055740850407</v>
      </c>
      <c r="DC834" s="42">
        <v>0.11862928402541938</v>
      </c>
      <c r="DD834" s="42">
        <v>0.11849463267988924</v>
      </c>
      <c r="DE834" s="42">
        <v>0.11845860308779402</v>
      </c>
      <c r="DF834" s="42">
        <v>0.10961661529960247</v>
      </c>
      <c r="DG834" s="232">
        <v>0.1144793466695795</v>
      </c>
      <c r="DH834" s="232">
        <v>0.11501067810981459</v>
      </c>
      <c r="DI834" s="232">
        <v>0.11426830179483259</v>
      </c>
    </row>
    <row r="835" spans="1:113" outlineLevel="1">
      <c r="A835" s="1" t="s">
        <v>2432</v>
      </c>
      <c r="B835" s="19" t="s">
        <v>2433</v>
      </c>
      <c r="C835" s="232"/>
      <c r="D835" s="232"/>
      <c r="E835" s="232"/>
      <c r="F835" s="232"/>
      <c r="G835" s="232"/>
      <c r="H835" s="232"/>
      <c r="I835" s="232"/>
      <c r="J835" s="232"/>
      <c r="K835" s="232"/>
      <c r="L835" s="232"/>
      <c r="M835" s="232"/>
      <c r="N835" s="232"/>
      <c r="O835" s="232"/>
      <c r="P835" s="232"/>
      <c r="Q835" s="232"/>
      <c r="R835" s="232"/>
      <c r="S835" s="232"/>
      <c r="T835" s="376"/>
      <c r="U835" s="232"/>
      <c r="V835" s="232"/>
      <c r="W835" s="232"/>
      <c r="X835" s="232"/>
      <c r="Y835" s="376"/>
      <c r="Z835" s="376"/>
      <c r="AA835" s="376">
        <v>0.11011861780664606</v>
      </c>
      <c r="AB835" s="376">
        <v>0.11439274739150861</v>
      </c>
      <c r="AC835" s="376">
        <v>0.12101333965029687</v>
      </c>
      <c r="AD835" s="376">
        <v>0.13329623167388005</v>
      </c>
      <c r="AE835" s="376">
        <v>0.12657797087770972</v>
      </c>
      <c r="AF835" s="376">
        <v>0.14581024392480046</v>
      </c>
      <c r="AG835" s="376">
        <v>0.14356494462420219</v>
      </c>
      <c r="AH835" s="376">
        <v>0.15425976159328814</v>
      </c>
      <c r="AI835" s="376">
        <v>0.15603577745084807</v>
      </c>
      <c r="AJ835" s="376">
        <v>0.1629842481104084</v>
      </c>
      <c r="AK835" s="376">
        <v>0.15532748379894115</v>
      </c>
      <c r="AL835" s="376">
        <v>0.16500000000000001</v>
      </c>
      <c r="AM835" s="376">
        <v>0.16200000000000001</v>
      </c>
      <c r="AN835" s="376">
        <v>0.17499999999999999</v>
      </c>
      <c r="AO835" s="376">
        <v>0.17399999999999999</v>
      </c>
      <c r="AP835" s="376">
        <v>0.187</v>
      </c>
      <c r="AQ835" s="376">
        <v>0.19399999999999998</v>
      </c>
      <c r="AR835" s="376">
        <v>0.184</v>
      </c>
      <c r="AS835" s="376">
        <v>0.18600000000000003</v>
      </c>
      <c r="AT835" s="376">
        <v>0.185</v>
      </c>
      <c r="AU835" s="376">
        <v>0.19100000000000003</v>
      </c>
      <c r="AV835" s="376">
        <v>0.19</v>
      </c>
      <c r="AW835" s="375">
        <v>0.191</v>
      </c>
      <c r="AX835" s="232">
        <v>0.18866219980681057</v>
      </c>
      <c r="AY835" s="232">
        <v>0.18752172155692695</v>
      </c>
      <c r="AZ835" s="232">
        <v>0.1854707476373573</v>
      </c>
      <c r="BA835" s="232">
        <v>0.18511960505946959</v>
      </c>
      <c r="BB835" s="232">
        <v>0.18350184084368615</v>
      </c>
      <c r="BC835" s="232">
        <v>0.18316908775289964</v>
      </c>
      <c r="BD835" s="232">
        <v>0.18174297788028937</v>
      </c>
      <c r="BE835" s="232">
        <v>0.18175608850977906</v>
      </c>
      <c r="BF835" s="232">
        <v>0.1806482103208456</v>
      </c>
      <c r="BG835" s="232">
        <v>0.18072889350049731</v>
      </c>
      <c r="BH835" s="232">
        <v>0.17984872031848714</v>
      </c>
      <c r="BI835" s="232">
        <v>0.17985772930098962</v>
      </c>
      <c r="BJ835" s="232">
        <v>0.17356990639612505</v>
      </c>
      <c r="BK835" s="232">
        <v>0.16753148076712618</v>
      </c>
      <c r="BL835" s="232">
        <v>0.16912806281217682</v>
      </c>
      <c r="BM835" s="232">
        <v>0.17275563243341055</v>
      </c>
      <c r="BN835" s="232">
        <v>0.17324546437838226</v>
      </c>
      <c r="BO835" s="232">
        <v>0.17265189089337277</v>
      </c>
      <c r="BP835" s="232">
        <v>0.17140061658657471</v>
      </c>
      <c r="BQ835" s="232">
        <v>0.17084672617054303</v>
      </c>
      <c r="BR835" s="232"/>
      <c r="BS835" s="232"/>
      <c r="BT835" s="232"/>
      <c r="BU835" s="232"/>
      <c r="BV835" s="232"/>
      <c r="BW835" s="232"/>
      <c r="BX835" s="232"/>
      <c r="BY835" s="232"/>
      <c r="BZ835" s="232"/>
      <c r="CA835" s="232"/>
      <c r="CB835" s="232"/>
      <c r="CC835" s="232"/>
      <c r="CD835" s="232"/>
      <c r="CE835" s="232"/>
      <c r="CF835" s="232"/>
      <c r="CG835" s="232"/>
      <c r="CH835" s="232"/>
      <c r="CI835" s="232"/>
      <c r="CJ835" s="232"/>
      <c r="CK835" s="232"/>
      <c r="CL835" s="232"/>
      <c r="CM835" s="376"/>
      <c r="CN835" s="376">
        <v>0.11011861780664606</v>
      </c>
      <c r="CO835" s="376">
        <v>0.12101333965029687</v>
      </c>
      <c r="CP835" s="376">
        <v>0.12657797087770972</v>
      </c>
      <c r="CQ835" s="376">
        <v>0.14356494462420219</v>
      </c>
      <c r="CR835" s="376">
        <v>0.15603577745084807</v>
      </c>
      <c r="CS835" s="376">
        <v>0.15532748379894115</v>
      </c>
      <c r="CT835" s="376">
        <v>0.16200000000000001</v>
      </c>
      <c r="CU835" s="376">
        <v>0.17399999999999999</v>
      </c>
      <c r="CV835" s="376">
        <v>0.19399999999999998</v>
      </c>
      <c r="CW835" s="376">
        <v>0.18600000000000003</v>
      </c>
      <c r="CX835" s="376">
        <v>0.19100000000000003</v>
      </c>
      <c r="CY835" s="375">
        <v>0.191</v>
      </c>
      <c r="CZ835" s="232">
        <v>0.18752172155692692</v>
      </c>
      <c r="DA835" s="232">
        <v>0.18511960505946956</v>
      </c>
      <c r="DB835" s="232">
        <v>0.18316908775289964</v>
      </c>
      <c r="DC835" s="232">
        <v>0.18175608850977906</v>
      </c>
      <c r="DD835" s="232">
        <v>0.18072889350049731</v>
      </c>
      <c r="DE835" s="232">
        <v>0.17985772930098962</v>
      </c>
      <c r="DF835" s="232">
        <v>0.16753148076712618</v>
      </c>
      <c r="DG835" s="232">
        <v>0.17275563243341055</v>
      </c>
      <c r="DH835" s="232">
        <v>0.17265189089337279</v>
      </c>
      <c r="DI835" s="232">
        <v>0.17084672617054308</v>
      </c>
    </row>
    <row r="836" spans="1:113" outlineLevel="1">
      <c r="A836" s="1" t="s">
        <v>955</v>
      </c>
      <c r="B836" s="19" t="s">
        <v>544</v>
      </c>
      <c r="C836" s="232">
        <v>6.5145285186764268E-2</v>
      </c>
      <c r="D836" s="232">
        <v>6.7519581112453084E-2</v>
      </c>
      <c r="E836" s="232">
        <v>6.7784954164864686E-2</v>
      </c>
      <c r="F836" s="232">
        <v>7.0584471138129393E-2</v>
      </c>
      <c r="G836" s="232">
        <v>6.9567053566563133E-2</v>
      </c>
      <c r="H836" s="232">
        <v>7.2635596395526789E-2</v>
      </c>
      <c r="I836" s="232">
        <v>7.4343997495880609E-2</v>
      </c>
      <c r="J836" s="232">
        <v>7.4648261509680416E-2</v>
      </c>
      <c r="K836" s="232">
        <v>7.459946507419854E-2</v>
      </c>
      <c r="L836" s="232">
        <v>7.5443954861916351E-2</v>
      </c>
      <c r="M836" s="42">
        <v>7.5559744591984765E-2</v>
      </c>
      <c r="N836" s="42">
        <v>7.0567722077512371E-2</v>
      </c>
      <c r="O836" s="42">
        <v>7.1376458648363339E-2</v>
      </c>
      <c r="P836" s="42">
        <v>8.1703896523195513E-2</v>
      </c>
      <c r="Q836" s="42">
        <v>8.1707631593033611E-2</v>
      </c>
      <c r="R836" s="42">
        <v>8.7542678518444231E-2</v>
      </c>
      <c r="S836" s="42">
        <v>8.0706698610976471E-2</v>
      </c>
      <c r="T836" s="45">
        <v>9.0990388268240949E-2</v>
      </c>
      <c r="U836" s="42">
        <v>9.1468635346140748E-2</v>
      </c>
      <c r="V836" s="42">
        <v>9.7123927119409731E-2</v>
      </c>
      <c r="W836" s="42">
        <v>0.10014873398624832</v>
      </c>
      <c r="X836" s="42">
        <v>9.9000688601131995E-2</v>
      </c>
      <c r="Y836" s="45">
        <v>0.10006704382949069</v>
      </c>
      <c r="Z836" s="45">
        <v>0.10536750980567684</v>
      </c>
      <c r="AA836" s="45">
        <v>0.10253434520807636</v>
      </c>
      <c r="AB836" s="45">
        <v>0.10550064782149451</v>
      </c>
      <c r="AC836" s="45">
        <v>0.11136017055801489</v>
      </c>
      <c r="AD836" s="45">
        <v>0.11612585257528721</v>
      </c>
      <c r="AE836" s="45">
        <v>0.11159386094092824</v>
      </c>
      <c r="AF836" s="45">
        <v>0.12217123123704357</v>
      </c>
      <c r="AG836" s="45">
        <v>0.1235294564784996</v>
      </c>
      <c r="AH836" s="45">
        <v>0.11551018257381192</v>
      </c>
      <c r="AI836" s="45">
        <v>0.12099857457620526</v>
      </c>
      <c r="AJ836" s="45">
        <v>0.12331796858695751</v>
      </c>
      <c r="AK836" s="45">
        <v>0.12290345651661971</v>
      </c>
      <c r="AL836" s="45">
        <v>0.12921212012292652</v>
      </c>
      <c r="AM836" s="45">
        <v>0.12667803393394322</v>
      </c>
      <c r="AN836" s="45">
        <v>0.14074905266345172</v>
      </c>
      <c r="AO836" s="45">
        <v>0.13938735855526346</v>
      </c>
      <c r="AP836" s="45">
        <v>0.14968607809248352</v>
      </c>
      <c r="AQ836" s="45">
        <v>0.1571935741546108</v>
      </c>
      <c r="AR836" s="45">
        <v>0.13990935038681829</v>
      </c>
      <c r="AS836" s="45">
        <v>0.13568806086460516</v>
      </c>
      <c r="AT836" s="45">
        <v>0.13256671557159286</v>
      </c>
      <c r="AU836" s="45">
        <v>0.14481230448383733</v>
      </c>
      <c r="AV836" s="45">
        <v>0.14686483595172159</v>
      </c>
      <c r="AW836" s="43">
        <v>0.14322073955568485</v>
      </c>
      <c r="AX836" s="42">
        <v>0.14140495261623276</v>
      </c>
      <c r="AY836" s="42">
        <v>0.14045351068847536</v>
      </c>
      <c r="AZ836" s="42">
        <v>0.13865434474253982</v>
      </c>
      <c r="BA836" s="42">
        <v>0.13837438532957441</v>
      </c>
      <c r="BB836" s="42">
        <v>0.13716825181905629</v>
      </c>
      <c r="BC836" s="42">
        <v>0.13692491682930774</v>
      </c>
      <c r="BD836" s="42">
        <v>0.13588029285575823</v>
      </c>
      <c r="BE836" s="42">
        <v>0.13589268379678043</v>
      </c>
      <c r="BF836" s="42">
        <v>0.13508305957411587</v>
      </c>
      <c r="BG836" s="42">
        <v>0.13514718637857895</v>
      </c>
      <c r="BH836" s="42">
        <v>0.13450638016230321</v>
      </c>
      <c r="BI836" s="42">
        <v>0.13451994681415186</v>
      </c>
      <c r="BJ836" s="42">
        <v>0.12927584247743051</v>
      </c>
      <c r="BK836" s="42">
        <v>0.1242920077557364</v>
      </c>
      <c r="BL836" s="232">
        <v>0.12605195575437961</v>
      </c>
      <c r="BM836" s="232">
        <v>0.12934880317868519</v>
      </c>
      <c r="BN836" s="232">
        <v>0.12972624546101352</v>
      </c>
      <c r="BO836" s="232">
        <v>0.12930631995040606</v>
      </c>
      <c r="BP836" s="232">
        <v>0.12840185711309721</v>
      </c>
      <c r="BQ836" s="232">
        <v>0.12801195006889565</v>
      </c>
      <c r="BR836" s="42"/>
      <c r="BS836" s="232">
        <v>8.5519839531885633E-2</v>
      </c>
      <c r="BT836" s="232">
        <v>9.6630444088221315E-2</v>
      </c>
      <c r="BU836" s="232">
        <v>9.7912994113956209E-2</v>
      </c>
      <c r="BV836" s="232">
        <v>0.10246792549337198</v>
      </c>
      <c r="BW836" s="232">
        <v>0.10051005877326981</v>
      </c>
      <c r="BX836" s="232">
        <v>8.6367210991349405E-2</v>
      </c>
      <c r="BY836" s="232">
        <v>8.0662070718302253E-2</v>
      </c>
      <c r="BZ836" s="232">
        <v>7.0523122664630955E-2</v>
      </c>
      <c r="CA836" s="232">
        <v>7.4857569814140282E-2</v>
      </c>
      <c r="CB836" s="232">
        <v>6.5145285186764268E-2</v>
      </c>
      <c r="CC836" s="42">
        <v>6.7784954164864686E-2</v>
      </c>
      <c r="CD836" s="42">
        <v>6.9567053566563133E-2</v>
      </c>
      <c r="CE836" s="42">
        <v>7.4343997495880609E-2</v>
      </c>
      <c r="CF836" s="42">
        <v>7.459946507419854E-2</v>
      </c>
      <c r="CG836" s="42">
        <v>7.5559744591984765E-2</v>
      </c>
      <c r="CH836" s="42">
        <v>7.1376458648363339E-2</v>
      </c>
      <c r="CI836" s="42">
        <v>8.1707631593033611E-2</v>
      </c>
      <c r="CJ836" s="42">
        <v>8.0706698610976471E-2</v>
      </c>
      <c r="CK836" s="42">
        <v>9.1468635346140748E-2</v>
      </c>
      <c r="CL836" s="42">
        <v>0.10014873398624832</v>
      </c>
      <c r="CM836" s="45">
        <v>0.10006704382949069</v>
      </c>
      <c r="CN836" s="45">
        <v>0.10253434520807636</v>
      </c>
      <c r="CO836" s="45">
        <v>0.11136017055801489</v>
      </c>
      <c r="CP836" s="45">
        <v>0.11159386094092824</v>
      </c>
      <c r="CQ836" s="45">
        <v>0.1235294564784996</v>
      </c>
      <c r="CR836" s="45">
        <v>0.12099857457620526</v>
      </c>
      <c r="CS836" s="45">
        <v>0.12290345651661971</v>
      </c>
      <c r="CT836" s="45">
        <v>0.12667803393394322</v>
      </c>
      <c r="CU836" s="45">
        <v>0.13938735855526346</v>
      </c>
      <c r="CV836" s="45">
        <v>0.1571935741546108</v>
      </c>
      <c r="CW836" s="45">
        <v>0.13568806086460516</v>
      </c>
      <c r="CX836" s="45">
        <v>0.14481230448383733</v>
      </c>
      <c r="CY836" s="43">
        <v>0.14322073955568485</v>
      </c>
      <c r="CZ836" s="42">
        <v>0.14045351068847534</v>
      </c>
      <c r="DA836" s="42">
        <v>0.13837438532957438</v>
      </c>
      <c r="DB836" s="42">
        <v>0.13692491682930774</v>
      </c>
      <c r="DC836" s="42">
        <v>0.13589268379678043</v>
      </c>
      <c r="DD836" s="42">
        <v>0.13514718637857895</v>
      </c>
      <c r="DE836" s="42">
        <v>0.13451994681415186</v>
      </c>
      <c r="DF836" s="42">
        <v>0.1242920077557364</v>
      </c>
      <c r="DG836" s="232">
        <v>0.12934880317868519</v>
      </c>
      <c r="DH836" s="232">
        <v>0.12930631995040606</v>
      </c>
      <c r="DI836" s="232">
        <v>0.12801195006889571</v>
      </c>
    </row>
    <row r="837" spans="1:113" outlineLevel="1">
      <c r="A837" s="1" t="s">
        <v>956</v>
      </c>
      <c r="B837" s="19" t="s">
        <v>652</v>
      </c>
      <c r="C837" s="232">
        <v>9.1412962574882753E-2</v>
      </c>
      <c r="D837" s="232">
        <v>9.3157639707530868E-2</v>
      </c>
      <c r="E837" s="232">
        <v>9.7980134563165996E-2</v>
      </c>
      <c r="F837" s="232">
        <v>9.8065673884163013E-2</v>
      </c>
      <c r="G837" s="232">
        <v>9.7242657075908664E-2</v>
      </c>
      <c r="H837" s="232">
        <v>9.4620596808301205E-2</v>
      </c>
      <c r="I837" s="232">
        <v>0.1024976228583578</v>
      </c>
      <c r="J837" s="232">
        <v>9.5957359664367872E-2</v>
      </c>
      <c r="K837" s="232">
        <v>9.7484160604350098E-2</v>
      </c>
      <c r="L837" s="232">
        <v>9.8121549142188916E-2</v>
      </c>
      <c r="M837" s="42">
        <v>9.6637374213400601E-2</v>
      </c>
      <c r="N837" s="42">
        <v>9.7800647144337061E-2</v>
      </c>
      <c r="O837" s="42">
        <v>9.7620920573718045E-2</v>
      </c>
      <c r="P837" s="42">
        <v>0.12084064814254293</v>
      </c>
      <c r="Q837" s="42">
        <v>0.11583398620931284</v>
      </c>
      <c r="R837" s="42">
        <v>0.11390828663248206</v>
      </c>
      <c r="S837" s="42">
        <v>0.10419407553075101</v>
      </c>
      <c r="T837" s="45">
        <v>0.11630229047668676</v>
      </c>
      <c r="U837" s="42">
        <v>0.11491604801578978</v>
      </c>
      <c r="V837" s="42">
        <v>0.11502190409822001</v>
      </c>
      <c r="W837" s="42">
        <v>0.11700643567343838</v>
      </c>
      <c r="X837" s="42">
        <v>0.11105288792596699</v>
      </c>
      <c r="Y837" s="45">
        <v>0.10977353717299621</v>
      </c>
      <c r="Z837" s="45">
        <v>0.11221739260172872</v>
      </c>
      <c r="AA837" s="45">
        <v>0.11191585803778124</v>
      </c>
      <c r="AB837" s="45">
        <v>0.11424399381203303</v>
      </c>
      <c r="AC837" s="45">
        <v>0.12005093051833647</v>
      </c>
      <c r="AD837" s="45">
        <v>0.12718100654868461</v>
      </c>
      <c r="AE837" s="45">
        <v>0.12694693277573016</v>
      </c>
      <c r="AF837" s="45">
        <v>0.14084632584767562</v>
      </c>
      <c r="AG837" s="45">
        <v>0.14360714222369744</v>
      </c>
      <c r="AH837" s="45">
        <v>0.13698419862491151</v>
      </c>
      <c r="AI837" s="45">
        <v>0.14248746748180469</v>
      </c>
      <c r="AJ837" s="45">
        <v>0.1474130969340072</v>
      </c>
      <c r="AK837" s="45">
        <v>0.1503318709497353</v>
      </c>
      <c r="AL837" s="45">
        <v>0.15826339341875886</v>
      </c>
      <c r="AM837" s="45">
        <v>0.1548385244344711</v>
      </c>
      <c r="AN837" s="45">
        <v>0.17355517261340209</v>
      </c>
      <c r="AO837" s="45">
        <v>0.17549917792802694</v>
      </c>
      <c r="AP837" s="45">
        <v>0.18897481570314981</v>
      </c>
      <c r="AQ837" s="45">
        <v>0.19818052720333718</v>
      </c>
      <c r="AR837" s="45">
        <v>0.18001724843037165</v>
      </c>
      <c r="AS837" s="45">
        <v>0.17584134711945562</v>
      </c>
      <c r="AT837" s="45">
        <v>0.17794718267972559</v>
      </c>
      <c r="AU837" s="45">
        <v>0.20038804082121062</v>
      </c>
      <c r="AV837" s="45">
        <v>0.20541622451708638</v>
      </c>
      <c r="AW837" s="43">
        <v>0.20915579263010881</v>
      </c>
      <c r="AX837" s="42">
        <v>0.20621904614733741</v>
      </c>
      <c r="AY837" s="42">
        <v>0.20432804775938754</v>
      </c>
      <c r="AZ837" s="42">
        <v>0.20137545621378586</v>
      </c>
      <c r="BA837" s="42">
        <v>0.20020729859107322</v>
      </c>
      <c r="BB837" s="42">
        <v>0.19811237367833823</v>
      </c>
      <c r="BC837" s="42">
        <v>0.19686743545844188</v>
      </c>
      <c r="BD837" s="42">
        <v>0.19483717440017337</v>
      </c>
      <c r="BE837" s="42">
        <v>0.1938797122315733</v>
      </c>
      <c r="BF837" s="42">
        <v>0.19211583527994755</v>
      </c>
      <c r="BG837" s="42">
        <v>0.19124112495925599</v>
      </c>
      <c r="BH837" s="42">
        <v>0.18967671148887147</v>
      </c>
      <c r="BI837" s="42">
        <v>0.18878171428120916</v>
      </c>
      <c r="BJ837" s="42">
        <v>0.18177968080134571</v>
      </c>
      <c r="BK837" s="42">
        <v>0.17512596385154997</v>
      </c>
      <c r="BL837" s="232">
        <v>0.17717855969632754</v>
      </c>
      <c r="BM837" s="232">
        <v>0.18037389779832796</v>
      </c>
      <c r="BN837" s="232">
        <v>0.17985384029611956</v>
      </c>
      <c r="BO837" s="232">
        <v>0.17855365768735859</v>
      </c>
      <c r="BP837" s="232">
        <v>0.17678585561688887</v>
      </c>
      <c r="BQ837" s="232">
        <v>0.17554920835834692</v>
      </c>
      <c r="BR837" s="42"/>
      <c r="BS837" s="232">
        <v>0.10139228879867211</v>
      </c>
      <c r="BT837" s="232">
        <v>0.10904560738503685</v>
      </c>
      <c r="BU837" s="232">
        <v>0.10968508171741015</v>
      </c>
      <c r="BV837" s="232">
        <v>0.11148999048065585</v>
      </c>
      <c r="BW837" s="232">
        <v>0.12715221500142401</v>
      </c>
      <c r="BX837" s="232">
        <v>0.10891890641624648</v>
      </c>
      <c r="BY837" s="232">
        <v>0.10485963295951542</v>
      </c>
      <c r="BZ837" s="232">
        <v>9.3836634657880988E-2</v>
      </c>
      <c r="CA837" s="232">
        <v>9.7428473584259517E-2</v>
      </c>
      <c r="CB837" s="232">
        <v>9.162975220944769E-2</v>
      </c>
      <c r="CC837" s="42">
        <v>9.7980134563165996E-2</v>
      </c>
      <c r="CD837" s="42">
        <v>9.7242657075908664E-2</v>
      </c>
      <c r="CE837" s="42">
        <v>0.1024976228583578</v>
      </c>
      <c r="CF837" s="42">
        <v>9.7484160604350098E-2</v>
      </c>
      <c r="CG837" s="42">
        <v>9.6637374213400601E-2</v>
      </c>
      <c r="CH837" s="42">
        <v>9.7620920573718045E-2</v>
      </c>
      <c r="CI837" s="42">
        <v>0.11583398620931284</v>
      </c>
      <c r="CJ837" s="42">
        <v>0.10419407553075101</v>
      </c>
      <c r="CK837" s="42">
        <v>0.11491604801578978</v>
      </c>
      <c r="CL837" s="42">
        <v>0.11700643567343838</v>
      </c>
      <c r="CM837" s="45">
        <v>0.10977353717299621</v>
      </c>
      <c r="CN837" s="45">
        <v>0.11191585803778124</v>
      </c>
      <c r="CO837" s="45">
        <v>0.12005093051833647</v>
      </c>
      <c r="CP837" s="45">
        <v>0.12694693277573016</v>
      </c>
      <c r="CQ837" s="45">
        <v>0.14360714222369744</v>
      </c>
      <c r="CR837" s="45">
        <v>0.14248746748180469</v>
      </c>
      <c r="CS837" s="45">
        <v>0.1503318709497353</v>
      </c>
      <c r="CT837" s="45">
        <v>0.1548385244344711</v>
      </c>
      <c r="CU837" s="45">
        <v>0.17549917792802694</v>
      </c>
      <c r="CV837" s="45">
        <v>0.19818052720333718</v>
      </c>
      <c r="CW837" s="45">
        <v>0.17584134711945562</v>
      </c>
      <c r="CX837" s="45">
        <v>0.20038804082121062</v>
      </c>
      <c r="CY837" s="43">
        <v>0.20915579263010881</v>
      </c>
      <c r="CZ837" s="42">
        <v>0.20432804775938748</v>
      </c>
      <c r="DA837" s="42">
        <v>0.2002072985910732</v>
      </c>
      <c r="DB837" s="42">
        <v>0.19686743545844188</v>
      </c>
      <c r="DC837" s="42">
        <v>0.1938797122315733</v>
      </c>
      <c r="DD837" s="42">
        <v>0.19124112495925599</v>
      </c>
      <c r="DE837" s="42">
        <v>0.18878171428120916</v>
      </c>
      <c r="DF837" s="42">
        <v>0.17512596385154997</v>
      </c>
      <c r="DG837" s="232">
        <v>0.18037389779832796</v>
      </c>
      <c r="DH837" s="232">
        <v>0.17855365768735859</v>
      </c>
      <c r="DI837" s="232">
        <v>0.17554920835834698</v>
      </c>
    </row>
    <row r="838" spans="1:113" outlineLevel="1">
      <c r="A838" s="1" t="s">
        <v>1011</v>
      </c>
      <c r="B838" s="19" t="s">
        <v>653</v>
      </c>
      <c r="C838" s="232">
        <v>0.82020026121027423</v>
      </c>
      <c r="D838" s="232">
        <v>0.72224680851063827</v>
      </c>
      <c r="E838" s="232">
        <v>0.79524767801857577</v>
      </c>
      <c r="F838" s="232">
        <v>0.7277525252525251</v>
      </c>
      <c r="G838" s="232">
        <v>0.78897113249444861</v>
      </c>
      <c r="H838" s="232">
        <v>0.82683597002497922</v>
      </c>
      <c r="I838" s="232">
        <v>0.93697056712132076</v>
      </c>
      <c r="J838" s="232">
        <v>0.64309210526315785</v>
      </c>
      <c r="K838" s="232">
        <v>0.84414446417998812</v>
      </c>
      <c r="L838" s="232">
        <v>0.58425036390101892</v>
      </c>
      <c r="M838" s="42">
        <v>0.83860441767068272</v>
      </c>
      <c r="N838" s="42">
        <v>0.60576719576719573</v>
      </c>
      <c r="O838" s="42">
        <v>0.87412431941923774</v>
      </c>
      <c r="P838" s="42">
        <v>0.62533050847457605</v>
      </c>
      <c r="Q838" s="42">
        <v>0.8679870967741935</v>
      </c>
      <c r="R838" s="42">
        <v>0.81624468085106372</v>
      </c>
      <c r="S838" s="42">
        <v>0.72511598481653305</v>
      </c>
      <c r="T838" s="45">
        <v>0.62610483042137721</v>
      </c>
      <c r="U838" s="42">
        <v>0.83454545454545448</v>
      </c>
      <c r="V838" s="42">
        <v>0.61597343797162685</v>
      </c>
      <c r="W838" s="42">
        <v>0.83789655172413791</v>
      </c>
      <c r="X838" s="42">
        <v>0.60255343082114732</v>
      </c>
      <c r="Y838" s="45">
        <v>0.88720056899004274</v>
      </c>
      <c r="Z838" s="45">
        <v>0.70172654155495984</v>
      </c>
      <c r="AA838" s="45">
        <v>0.80501253132832085</v>
      </c>
      <c r="AB838" s="45">
        <v>0.69363250883392236</v>
      </c>
      <c r="AC838" s="45">
        <v>0.80148519362186788</v>
      </c>
      <c r="AD838" s="45">
        <v>0.69702544031311164</v>
      </c>
      <c r="AE838" s="45">
        <v>0.80268390548372714</v>
      </c>
      <c r="AF838" s="45">
        <v>0.69565326633165825</v>
      </c>
      <c r="AG838" s="45">
        <v>0.82138558129465256</v>
      </c>
      <c r="AH838" s="45">
        <v>0.70729908864954427</v>
      </c>
      <c r="AI838" s="45">
        <v>0.82146260617360667</v>
      </c>
      <c r="AJ838" s="45">
        <v>0.75685080469769461</v>
      </c>
      <c r="AK838" s="45">
        <v>0.93855455177206393</v>
      </c>
      <c r="AL838" s="45">
        <v>0.78136891091587435</v>
      </c>
      <c r="AM838" s="45">
        <v>1.1019260216878082</v>
      </c>
      <c r="AN838" s="45">
        <v>0.8176565749942224</v>
      </c>
      <c r="AO838" s="45">
        <v>0.59821256038647341</v>
      </c>
      <c r="AP838" s="45">
        <v>0.6864012409513961</v>
      </c>
      <c r="AQ838" s="45">
        <v>0.74064785788923726</v>
      </c>
      <c r="AR838" s="45">
        <v>0.6415929203539823</v>
      </c>
      <c r="AS838" s="45">
        <v>0.73796659104970108</v>
      </c>
      <c r="AT838" s="45">
        <v>0.68716216216216219</v>
      </c>
      <c r="AU838" s="45">
        <v>0.82665576451349132</v>
      </c>
      <c r="AV838" s="45">
        <v>0.71709503885236092</v>
      </c>
      <c r="AW838" s="43">
        <v>0.86827901183309109</v>
      </c>
      <c r="AX838" s="42">
        <v>0.72884763626391824</v>
      </c>
      <c r="AY838" s="42">
        <v>0.86959861897600021</v>
      </c>
      <c r="AZ838" s="42">
        <v>0.72543036369988179</v>
      </c>
      <c r="BA838" s="42">
        <v>0.85810541735334467</v>
      </c>
      <c r="BB838" s="42">
        <v>0.72164723584402812</v>
      </c>
      <c r="BC838" s="42">
        <v>0.85041018122352929</v>
      </c>
      <c r="BD838" s="42">
        <v>0.70758912969599652</v>
      </c>
      <c r="BE838" s="42">
        <v>0.82348609516040894</v>
      </c>
      <c r="BF838" s="42">
        <v>0.68845214621279893</v>
      </c>
      <c r="BG838" s="42">
        <v>0.81202047679005662</v>
      </c>
      <c r="BH838" s="42">
        <v>0.70060865977901521</v>
      </c>
      <c r="BI838" s="42">
        <v>0.79824045473493721</v>
      </c>
      <c r="BJ838" s="42">
        <v>0.74352510130624816</v>
      </c>
      <c r="BK838" s="42">
        <v>0.88016255258323051</v>
      </c>
      <c r="BL838" s="232">
        <v>0.79087822955344478</v>
      </c>
      <c r="BM838" s="232">
        <v>0.76698260296495735</v>
      </c>
      <c r="BN838" s="232">
        <v>0.74969418285014522</v>
      </c>
      <c r="BO838" s="232">
        <v>0.85176016124281106</v>
      </c>
      <c r="BP838" s="232">
        <v>0.75182811669199123</v>
      </c>
      <c r="BQ838" s="232">
        <v>0.85461672567458025</v>
      </c>
      <c r="BR838" s="42"/>
      <c r="BS838" s="232">
        <v>0.77583761310833954</v>
      </c>
      <c r="BT838" s="232">
        <v>0.6214404145077721</v>
      </c>
      <c r="BU838" s="232">
        <v>0.78008797653958939</v>
      </c>
      <c r="BV838" s="232">
        <v>0.74943620178041537</v>
      </c>
      <c r="BW838" s="232">
        <v>0.77935656836461131</v>
      </c>
      <c r="BX838" s="232">
        <v>0.74887109687750186</v>
      </c>
      <c r="BY838" s="232">
        <v>0.7457208943716267</v>
      </c>
      <c r="BZ838" s="232">
        <v>0.72569775357385968</v>
      </c>
      <c r="CA838" s="232">
        <v>0.7181764004767579</v>
      </c>
      <c r="CB838" s="232">
        <v>0.76058588548601858</v>
      </c>
      <c r="CC838" s="42">
        <v>0.76034893470523224</v>
      </c>
      <c r="CD838" s="42">
        <v>0.76029788450851654</v>
      </c>
      <c r="CE838" s="42">
        <v>0.88607170393215118</v>
      </c>
      <c r="CF838" s="42">
        <v>0.74382468524941625</v>
      </c>
      <c r="CG838" s="42">
        <v>0.70525557167530228</v>
      </c>
      <c r="CH838" s="42">
        <v>0.7339044865831843</v>
      </c>
      <c r="CI838" s="42">
        <v>0.74145572422625394</v>
      </c>
      <c r="CJ838" s="42">
        <v>0.76923220324629493</v>
      </c>
      <c r="CK838" s="42">
        <v>0.72942261975553346</v>
      </c>
      <c r="CL838" s="42">
        <v>0.7252834623877521</v>
      </c>
      <c r="CM838" s="45">
        <v>0.73899722415499935</v>
      </c>
      <c r="CN838" s="45">
        <v>0.75079931917098441</v>
      </c>
      <c r="CO838" s="45">
        <v>0.74409095610885934</v>
      </c>
      <c r="CP838" s="45">
        <v>0.74948063841496981</v>
      </c>
      <c r="CQ838" s="45">
        <v>0.7568493879723257</v>
      </c>
      <c r="CR838" s="45">
        <v>0.76426111249051176</v>
      </c>
      <c r="CS838" s="45">
        <v>0.8445956253505329</v>
      </c>
      <c r="CT838" s="45">
        <v>0.92585573531200605</v>
      </c>
      <c r="CU838" s="45">
        <v>0.72963598615916947</v>
      </c>
      <c r="CV838" s="45">
        <v>0.71634115335721715</v>
      </c>
      <c r="CW838" s="45">
        <v>0.69095362167795726</v>
      </c>
      <c r="CX838" s="45">
        <v>0.75506354249404284</v>
      </c>
      <c r="CY838" s="43">
        <v>0.79091602277348527</v>
      </c>
      <c r="CZ838" s="42">
        <v>0.79830367517478629</v>
      </c>
      <c r="DA838" s="42">
        <v>0.79119942558913103</v>
      </c>
      <c r="DB838" s="42">
        <v>0.78559866333424733</v>
      </c>
      <c r="DC838" s="42">
        <v>0.76551268951927065</v>
      </c>
      <c r="DD838" s="42">
        <v>0.74979589497234189</v>
      </c>
      <c r="DE838" s="42">
        <v>0.74930807817221246</v>
      </c>
      <c r="DF838" s="42">
        <v>0.80656928155347185</v>
      </c>
      <c r="DG838" s="232">
        <v>0.77805167778294126</v>
      </c>
      <c r="DH838" s="232">
        <v>0.80075212101871218</v>
      </c>
      <c r="DI838" s="232">
        <v>0.80325272920609125</v>
      </c>
    </row>
    <row r="839" spans="1:113" outlineLevel="1">
      <c r="A839" s="1" t="s">
        <v>1074</v>
      </c>
      <c r="B839" s="19" t="s">
        <v>769</v>
      </c>
      <c r="C839" s="571">
        <v>0</v>
      </c>
      <c r="D839" s="571">
        <v>0</v>
      </c>
      <c r="E839" s="571">
        <v>400.2</v>
      </c>
      <c r="F839" s="571">
        <v>260</v>
      </c>
      <c r="G839" s="571">
        <v>417</v>
      </c>
      <c r="H839" s="571">
        <v>337</v>
      </c>
      <c r="I839" s="571">
        <v>75</v>
      </c>
      <c r="J839" s="571">
        <v>0</v>
      </c>
      <c r="K839" s="571">
        <v>194</v>
      </c>
      <c r="L839" s="571">
        <v>324</v>
      </c>
      <c r="M839" s="116">
        <v>0</v>
      </c>
      <c r="N839" s="116">
        <v>88</v>
      </c>
      <c r="O839" s="116">
        <v>559</v>
      </c>
      <c r="P839" s="116">
        <v>781</v>
      </c>
      <c r="Q839" s="116">
        <v>495</v>
      </c>
      <c r="R839" s="116">
        <v>554</v>
      </c>
      <c r="S839" s="116">
        <v>758</v>
      </c>
      <c r="T839" s="116">
        <v>244</v>
      </c>
      <c r="U839" s="116">
        <v>446</v>
      </c>
      <c r="V839" s="116">
        <v>642</v>
      </c>
      <c r="W839" s="116">
        <v>510</v>
      </c>
      <c r="X839" s="116">
        <v>435</v>
      </c>
      <c r="Y839" s="176">
        <v>390</v>
      </c>
      <c r="Z839" s="176">
        <v>435</v>
      </c>
      <c r="AA839" s="176">
        <v>742</v>
      </c>
      <c r="AB839" s="176">
        <v>849</v>
      </c>
      <c r="AC839" s="176">
        <v>533</v>
      </c>
      <c r="AD839" s="176">
        <v>624</v>
      </c>
      <c r="AE839" s="176">
        <v>569</v>
      </c>
      <c r="AF839" s="176">
        <v>395</v>
      </c>
      <c r="AG839" s="176">
        <v>532</v>
      </c>
      <c r="AH839" s="176">
        <v>537</v>
      </c>
      <c r="AI839" s="176">
        <v>1067</v>
      </c>
      <c r="AJ839" s="176">
        <v>1242</v>
      </c>
      <c r="AK839" s="176">
        <v>1464</v>
      </c>
      <c r="AL839" s="176">
        <v>1730</v>
      </c>
      <c r="AM839" s="176">
        <v>1190</v>
      </c>
      <c r="AN839" s="176">
        <v>1255</v>
      </c>
      <c r="AO839" s="176">
        <v>2007</v>
      </c>
      <c r="AP839" s="176">
        <v>2307</v>
      </c>
      <c r="AQ839" s="176">
        <v>3709</v>
      </c>
      <c r="AR839" s="176">
        <v>1354</v>
      </c>
      <c r="AS839" s="176">
        <v>1635</v>
      </c>
      <c r="AT839" s="176">
        <v>1645</v>
      </c>
      <c r="AU839" s="176">
        <v>1928</v>
      </c>
      <c r="AV839" s="176">
        <v>1688</v>
      </c>
      <c r="AW839" s="117">
        <v>1861</v>
      </c>
      <c r="AX839" s="116">
        <v>2364.0710953585767</v>
      </c>
      <c r="AY839" s="116">
        <v>2564.4826956880661</v>
      </c>
      <c r="AZ839" s="116">
        <v>3074.6665162307572</v>
      </c>
      <c r="BA839" s="116">
        <v>3300.0844615464866</v>
      </c>
      <c r="BB839" s="116">
        <v>3820.9935985257453</v>
      </c>
      <c r="BC839" s="116">
        <v>4064.6099847162068</v>
      </c>
      <c r="BD839" s="116">
        <v>4626.3793219241134</v>
      </c>
      <c r="BE839" s="116">
        <v>4936.3451959399681</v>
      </c>
      <c r="BF839" s="116">
        <v>5556.4185328350577</v>
      </c>
      <c r="BG839" s="116">
        <v>5895.9751285123239</v>
      </c>
      <c r="BH839" s="116">
        <v>6503.0333448060392</v>
      </c>
      <c r="BI839" s="116">
        <v>6885.2984107239072</v>
      </c>
      <c r="BJ839" s="116">
        <v>7341.409659749942</v>
      </c>
      <c r="BK839" s="116">
        <v>7492.6255290270783</v>
      </c>
      <c r="BL839" s="571">
        <v>7812.8930236335136</v>
      </c>
      <c r="BM839" s="571">
        <v>8234.5267580774744</v>
      </c>
      <c r="BN839" s="571">
        <v>8761.0939436695771</v>
      </c>
      <c r="BO839" s="571">
        <v>9039.9579891707563</v>
      </c>
      <c r="BP839" s="571">
        <v>9586.3656438057806</v>
      </c>
      <c r="BQ839" s="571">
        <v>9871.3914770880165</v>
      </c>
      <c r="BR839" s="116"/>
      <c r="BS839" s="571">
        <v>1690</v>
      </c>
      <c r="BT839" s="571">
        <v>1600</v>
      </c>
      <c r="BU839" s="571">
        <v>1350</v>
      </c>
      <c r="BV839" s="571">
        <v>1443.3</v>
      </c>
      <c r="BW839" s="571">
        <v>1406</v>
      </c>
      <c r="BX839" s="571">
        <v>1202</v>
      </c>
      <c r="BY839" s="571">
        <v>474</v>
      </c>
      <c r="BZ839" s="571">
        <v>96</v>
      </c>
      <c r="CA839" s="571">
        <v>450</v>
      </c>
      <c r="CB839" s="571">
        <v>0</v>
      </c>
      <c r="CC839" s="116">
        <v>400.2</v>
      </c>
      <c r="CD839" s="116">
        <v>417</v>
      </c>
      <c r="CE839" s="116">
        <v>75</v>
      </c>
      <c r="CF839" s="116">
        <v>194</v>
      </c>
      <c r="CG839" s="116">
        <v>0</v>
      </c>
      <c r="CH839" s="116">
        <v>559</v>
      </c>
      <c r="CI839" s="116">
        <v>495</v>
      </c>
      <c r="CJ839" s="116">
        <v>758</v>
      </c>
      <c r="CK839" s="116">
        <v>446</v>
      </c>
      <c r="CL839" s="116">
        <v>510</v>
      </c>
      <c r="CM839" s="176">
        <v>390</v>
      </c>
      <c r="CN839" s="176">
        <v>742</v>
      </c>
      <c r="CO839" s="176">
        <v>533</v>
      </c>
      <c r="CP839" s="176">
        <v>569</v>
      </c>
      <c r="CQ839" s="176">
        <v>532</v>
      </c>
      <c r="CR839" s="176">
        <v>1067</v>
      </c>
      <c r="CS839" s="176">
        <v>1464</v>
      </c>
      <c r="CT839" s="176">
        <v>1190</v>
      </c>
      <c r="CU839" s="176">
        <v>2007</v>
      </c>
      <c r="CV839" s="176">
        <v>3709</v>
      </c>
      <c r="CW839" s="176">
        <v>1635</v>
      </c>
      <c r="CX839" s="176">
        <v>1928</v>
      </c>
      <c r="CY839" s="117">
        <v>1861</v>
      </c>
      <c r="CZ839" s="116">
        <v>2564.4826956880661</v>
      </c>
      <c r="DA839" s="116">
        <v>3300.0844615464866</v>
      </c>
      <c r="DB839" s="116">
        <v>4064.6099847162068</v>
      </c>
      <c r="DC839" s="116">
        <v>4936.3451959399681</v>
      </c>
      <c r="DD839" s="116">
        <v>5895.9751285123239</v>
      </c>
      <c r="DE839" s="116">
        <v>6885.2984107239072</v>
      </c>
      <c r="DF839" s="116">
        <v>7492.6255290270783</v>
      </c>
      <c r="DG839" s="571">
        <v>8234.5267580774744</v>
      </c>
      <c r="DH839" s="571">
        <v>9039.9579891707563</v>
      </c>
      <c r="DI839" s="571">
        <v>9871.3914770880165</v>
      </c>
    </row>
    <row r="840" spans="1:113" outlineLevel="1">
      <c r="A840" s="1" t="s">
        <v>1012</v>
      </c>
      <c r="B840" s="19" t="s">
        <v>654</v>
      </c>
      <c r="C840" s="232" t="e">
        <v>#VALUE!</v>
      </c>
      <c r="D840" s="232">
        <v>0.62382978723404248</v>
      </c>
      <c r="E840" s="232">
        <v>0.81037151702786381</v>
      </c>
      <c r="F840" s="232">
        <v>1.760942760942761</v>
      </c>
      <c r="G840" s="232">
        <v>0.92894152479644709</v>
      </c>
      <c r="H840" s="232">
        <v>0.68942547876769356</v>
      </c>
      <c r="I840" s="232">
        <v>0.51328068916008618</v>
      </c>
      <c r="J840" s="232">
        <v>0.47129186602870815</v>
      </c>
      <c r="K840" s="232">
        <v>0.80639431616341029</v>
      </c>
      <c r="L840" s="232">
        <v>0.46142649199417762</v>
      </c>
      <c r="M840" s="42">
        <v>0.97791164658634533</v>
      </c>
      <c r="N840" s="42">
        <v>0.47619047619047622</v>
      </c>
      <c r="O840" s="42">
        <v>0.64473684210526305</v>
      </c>
      <c r="P840" s="42">
        <v>0.26949152542372884</v>
      </c>
      <c r="Q840" s="42">
        <v>0.7006451612903225</v>
      </c>
      <c r="R840" s="42">
        <v>-1.59468085106383</v>
      </c>
      <c r="S840" s="42">
        <v>0.20202446225221427</v>
      </c>
      <c r="T840" s="45">
        <v>0.39534087016101405</v>
      </c>
      <c r="U840" s="42">
        <v>0.59330143540669866</v>
      </c>
      <c r="V840" s="42">
        <v>0.6157561122849381</v>
      </c>
      <c r="W840" s="42">
        <v>0.69482758620689655</v>
      </c>
      <c r="X840" s="42">
        <v>0.37457817772778407</v>
      </c>
      <c r="Y840" s="45">
        <v>0.74139402560455203</v>
      </c>
      <c r="Z840" s="45">
        <v>0.45844504021447724</v>
      </c>
      <c r="AA840" s="45">
        <v>0</v>
      </c>
      <c r="AB840" s="45">
        <v>0.7594817432273262</v>
      </c>
      <c r="AC840" s="45">
        <v>0.51093394077448739</v>
      </c>
      <c r="AD840" s="45">
        <v>0.76842791911285058</v>
      </c>
      <c r="AE840" s="45">
        <v>0.58827463218903253</v>
      </c>
      <c r="AF840" s="45">
        <v>-0.43257956448911222</v>
      </c>
      <c r="AG840" s="45">
        <v>0.61247023165187264</v>
      </c>
      <c r="AH840" s="45">
        <v>0.66735708367854185</v>
      </c>
      <c r="AI840" s="45">
        <v>0.59498653407913815</v>
      </c>
      <c r="AJ840" s="45">
        <v>0.52348847324923875</v>
      </c>
      <c r="AK840" s="45">
        <v>0.68844104702339581</v>
      </c>
      <c r="AL840" s="45">
        <v>0.73505407756890384</v>
      </c>
      <c r="AM840" s="45">
        <v>0.95485747635358553</v>
      </c>
      <c r="AN840" s="45">
        <v>0.94499653339496192</v>
      </c>
      <c r="AO840" s="45">
        <v>1.2215320910973084</v>
      </c>
      <c r="AP840" s="45">
        <v>0.38029989658738372</v>
      </c>
      <c r="AQ840" s="45">
        <v>0.55611285266457677</v>
      </c>
      <c r="AR840" s="45">
        <v>2.0120101137800255</v>
      </c>
      <c r="AS840" s="45">
        <v>0.71293050113425449</v>
      </c>
      <c r="AT840" s="45">
        <v>0.94633204633204626</v>
      </c>
      <c r="AU840" s="45">
        <v>0.9705641864268193</v>
      </c>
      <c r="AV840" s="45">
        <v>0.83223749750946396</v>
      </c>
      <c r="AW840" s="43">
        <v>0.77392567988374494</v>
      </c>
      <c r="AX840" s="42">
        <v>0.92086905924331253</v>
      </c>
      <c r="AY840" s="42">
        <v>0.82316159860618709</v>
      </c>
      <c r="AZ840" s="42">
        <v>0.84334488447379041</v>
      </c>
      <c r="BA840" s="42">
        <v>0.73781423781608713</v>
      </c>
      <c r="BB840" s="42">
        <v>0.83894683100898626</v>
      </c>
      <c r="BC840" s="42">
        <v>0.73119773748277594</v>
      </c>
      <c r="BD840" s="42">
        <v>0.82260366080466207</v>
      </c>
      <c r="BE840" s="42">
        <v>0.70804793136824817</v>
      </c>
      <c r="BF840" s="42">
        <v>0.8003560710532478</v>
      </c>
      <c r="BG840" s="42">
        <v>0.69818958959818544</v>
      </c>
      <c r="BH840" s="42">
        <v>0.78176356915562784</v>
      </c>
      <c r="BI840" s="42">
        <v>0.70381087387772212</v>
      </c>
      <c r="BJ840" s="42">
        <v>0.88645702220473799</v>
      </c>
      <c r="BK840" s="42">
        <v>0.86775410353627513</v>
      </c>
      <c r="BL840" s="232">
        <v>0.84551231843957175</v>
      </c>
      <c r="BM840" s="232">
        <v>0.68236848702796116</v>
      </c>
      <c r="BN840" s="232">
        <v>0.66723336406292089</v>
      </c>
      <c r="BO840" s="232">
        <v>0.74880277034926845</v>
      </c>
      <c r="BP840" s="232">
        <v>0.81337291014570701</v>
      </c>
      <c r="BQ840" s="232">
        <v>0.75078273926406824</v>
      </c>
      <c r="BR840" s="42"/>
      <c r="BS840" s="232">
        <v>0</v>
      </c>
      <c r="BT840" s="232">
        <v>0.52797927461139893</v>
      </c>
      <c r="BU840" s="232">
        <v>0.70865102639296174</v>
      </c>
      <c r="BV840" s="232">
        <v>0.48170128585558847</v>
      </c>
      <c r="BW840" s="232">
        <v>0.70062555853440567</v>
      </c>
      <c r="BX840" s="232">
        <v>0.78863090472377906</v>
      </c>
      <c r="BY840" s="232">
        <v>0.76715497301464919</v>
      </c>
      <c r="BZ840" s="232">
        <v>-0.36555479918311778</v>
      </c>
      <c r="CA840" s="232">
        <v>-4.5476758045292014</v>
      </c>
      <c r="CB840" s="232">
        <v>0.80071016422547714</v>
      </c>
      <c r="CC840" s="42">
        <v>0.7215241183623835</v>
      </c>
      <c r="CD840" s="42">
        <v>1.3182355257975582</v>
      </c>
      <c r="CE840" s="42">
        <v>0.5948342328450269</v>
      </c>
      <c r="CF840" s="42">
        <v>0.63969056828324899</v>
      </c>
      <c r="CG840" s="42">
        <v>0.71527263755243031</v>
      </c>
      <c r="CH840" s="42">
        <v>0.55925760286225401</v>
      </c>
      <c r="CI840" s="42">
        <v>0.48345784418356463</v>
      </c>
      <c r="CJ840" s="42">
        <v>-0.59256645495177607</v>
      </c>
      <c r="CK840" s="42">
        <v>0.49785265939874462</v>
      </c>
      <c r="CL840" s="42">
        <v>0.65626380097158843</v>
      </c>
      <c r="CM840" s="45">
        <v>0.55692264177626927</v>
      </c>
      <c r="CN840" s="45">
        <v>0.22150259067357511</v>
      </c>
      <c r="CO840" s="45">
        <v>0.63312101910828034</v>
      </c>
      <c r="CP840" s="45">
        <v>0.679471656576775</v>
      </c>
      <c r="CQ840" s="45">
        <v>8.1213411389036719E-2</v>
      </c>
      <c r="CR840" s="45">
        <v>0.63117555670636971</v>
      </c>
      <c r="CS840" s="45">
        <v>0.60336511497476153</v>
      </c>
      <c r="CT840" s="45">
        <v>0.83420508453959374</v>
      </c>
      <c r="CU840" s="45">
        <v>1.0559169550173009</v>
      </c>
      <c r="CV840" s="45">
        <v>0.47752224661966952</v>
      </c>
      <c r="CW840" s="45">
        <v>1.3554976550286608</v>
      </c>
      <c r="CX840" s="45">
        <v>0.95810166799046859</v>
      </c>
      <c r="CY840" s="43">
        <v>0.80368035786905245</v>
      </c>
      <c r="CZ840" s="42">
        <v>0.87268366714714685</v>
      </c>
      <c r="DA840" s="42">
        <v>0.79103172205087202</v>
      </c>
      <c r="DB840" s="42">
        <v>0.78543214693998342</v>
      </c>
      <c r="DC840" s="42">
        <v>0.76535043057106811</v>
      </c>
      <c r="DD840" s="42">
        <v>0.74963696737394869</v>
      </c>
      <c r="DE840" s="42">
        <v>0.74288022255803599</v>
      </c>
      <c r="DF840" s="42">
        <v>0.877827542039058</v>
      </c>
      <c r="DG840" s="232">
        <v>0.75794094667033463</v>
      </c>
      <c r="DH840" s="232">
        <v>0.70803800600337696</v>
      </c>
      <c r="DI840" s="232">
        <v>0.78205936950498545</v>
      </c>
    </row>
    <row r="841" spans="1:113" outlineLevel="1">
      <c r="A841" s="1" t="s">
        <v>1013</v>
      </c>
      <c r="B841" s="19" t="s">
        <v>545</v>
      </c>
      <c r="C841" s="232" t="e">
        <v>#DIV/0!</v>
      </c>
      <c r="D841" s="232">
        <v>0.58525897563075624</v>
      </c>
      <c r="E841" s="232">
        <v>0.63104180357279149</v>
      </c>
      <c r="F841" s="232">
        <v>0.59991206086431736</v>
      </c>
      <c r="G841" s="232">
        <v>0.63648882477063562</v>
      </c>
      <c r="H841" s="232">
        <v>0.691162764746308</v>
      </c>
      <c r="I841" s="232">
        <v>0.76246469270187667</v>
      </c>
      <c r="J841" s="232">
        <v>0.4501156509068745</v>
      </c>
      <c r="K841" s="232">
        <v>0.57670096097404699</v>
      </c>
      <c r="L841" s="232">
        <v>0.3760893806671457</v>
      </c>
      <c r="M841" s="42">
        <v>0.60090417456428513</v>
      </c>
      <c r="N841" s="42">
        <v>0.39771652340499136</v>
      </c>
      <c r="O841" s="42">
        <v>0.60418705352050472</v>
      </c>
      <c r="P841" s="42">
        <v>0.44038680628251575</v>
      </c>
      <c r="Q841" s="42">
        <v>0.62083017878353619</v>
      </c>
      <c r="R841" s="42">
        <v>0.68165893825282531</v>
      </c>
      <c r="S841" s="42">
        <v>0.55707217528481745</v>
      </c>
      <c r="T841" s="45">
        <v>0.46501522237387577</v>
      </c>
      <c r="U841" s="42">
        <v>0.62018429300567635</v>
      </c>
      <c r="V841" s="42">
        <v>0.45776774032803036</v>
      </c>
      <c r="W841" s="42">
        <v>0.61897218734860526</v>
      </c>
      <c r="X841" s="42">
        <v>0.45134649145193462</v>
      </c>
      <c r="Y841" s="45">
        <v>0.68089119023654843</v>
      </c>
      <c r="Z841" s="45">
        <v>0.54162650307862281</v>
      </c>
      <c r="AA841" s="45">
        <v>0.61700221046970016</v>
      </c>
      <c r="AB841" s="45">
        <v>0.53389143575976605</v>
      </c>
      <c r="AC841" s="45">
        <v>0.61838863057867721</v>
      </c>
      <c r="AD841" s="45">
        <v>0.54110707878599951</v>
      </c>
      <c r="AE841" s="45">
        <v>0.63231936959448498</v>
      </c>
      <c r="AF841" s="45">
        <v>0.55468128421264951</v>
      </c>
      <c r="AG841" s="45">
        <v>0.67206709396358111</v>
      </c>
      <c r="AH841" s="45">
        <v>0.57816838035880846</v>
      </c>
      <c r="AI841" s="45">
        <v>0.6735629391654715</v>
      </c>
      <c r="AJ841" s="45">
        <v>0.63525672177860959</v>
      </c>
      <c r="AK841" s="45">
        <v>0.80076166498106938</v>
      </c>
      <c r="AL841" s="45">
        <v>0.66573996000474356</v>
      </c>
      <c r="AM841" s="45">
        <v>0.970244303843252</v>
      </c>
      <c r="AN841" s="45">
        <v>0.70775677678289017</v>
      </c>
      <c r="AO841" s="45">
        <v>0.54506950424137468</v>
      </c>
      <c r="AP841" s="45">
        <v>0.60887263599026942</v>
      </c>
      <c r="AQ841" s="45">
        <v>0.64039690112213299</v>
      </c>
      <c r="AR841" s="45">
        <v>0.55672491104055011</v>
      </c>
      <c r="AS841" s="45">
        <v>0.63225307238988693</v>
      </c>
      <c r="AT841" s="45">
        <v>0.58179271551624256</v>
      </c>
      <c r="AU841" s="45">
        <v>0.70400532648808312</v>
      </c>
      <c r="AV841" s="45">
        <v>0.60985576643817707</v>
      </c>
      <c r="AW841" s="43">
        <v>0.74365371121875512</v>
      </c>
      <c r="AX841" s="42">
        <v>0.6238144700498065</v>
      </c>
      <c r="AY841" s="42">
        <v>0.74670580942787113</v>
      </c>
      <c r="AZ841" s="42">
        <v>0.62246324863119373</v>
      </c>
      <c r="BA841" s="42">
        <v>0.73770745753022937</v>
      </c>
      <c r="BB841" s="42">
        <v>0.62089083610007945</v>
      </c>
      <c r="BC841" s="42">
        <v>0.73274996381834989</v>
      </c>
      <c r="BD841" s="42">
        <v>0.60914022192589212</v>
      </c>
      <c r="BE841" s="42">
        <v>0.70943548947365098</v>
      </c>
      <c r="BF841" s="42">
        <v>0.59317680863045397</v>
      </c>
      <c r="BG841" s="42">
        <v>0.70114488043211287</v>
      </c>
      <c r="BH841" s="42">
        <v>0.60445319163179068</v>
      </c>
      <c r="BI841" s="42">
        <v>0.68916710641184231</v>
      </c>
      <c r="BJ841" s="42">
        <v>0.65461439966668777</v>
      </c>
      <c r="BK841" s="42">
        <v>0.78905955656651949</v>
      </c>
      <c r="BL841" s="232">
        <v>0.70746686602760078</v>
      </c>
      <c r="BM841" s="232">
        <v>0.67351293669887435</v>
      </c>
      <c r="BN841" s="232">
        <v>0.64827179011672142</v>
      </c>
      <c r="BO841" s="232">
        <v>0.73679564475244652</v>
      </c>
      <c r="BP841" s="232">
        <v>0.64885633531878872</v>
      </c>
      <c r="BQ841" s="232">
        <v>0.73725351552914253</v>
      </c>
      <c r="BR841" s="42"/>
      <c r="BS841" s="232">
        <v>0.71693183746796851</v>
      </c>
      <c r="BT841" s="232">
        <v>0.55863578550845272</v>
      </c>
      <c r="BU841" s="232">
        <v>0.69359261411000661</v>
      </c>
      <c r="BV841" s="232">
        <v>0.62560597640574422</v>
      </c>
      <c r="BW841" s="232">
        <v>0.64898125909512261</v>
      </c>
      <c r="BX841" s="232">
        <v>0.60371085787695866</v>
      </c>
      <c r="BY841" s="232">
        <v>0.6049451138607469</v>
      </c>
      <c r="BZ841" s="232">
        <v>0.56312817675342508</v>
      </c>
      <c r="CA841" s="232">
        <v>0.40846167418531615</v>
      </c>
      <c r="CB841" s="232">
        <v>0.60241715740774648</v>
      </c>
      <c r="CC841" s="42">
        <v>0.60973745089306308</v>
      </c>
      <c r="CD841" s="42">
        <v>0.6197373116889201</v>
      </c>
      <c r="CE841" s="42">
        <v>0.73077885090323536</v>
      </c>
      <c r="CF841" s="42">
        <v>0.52828832159050576</v>
      </c>
      <c r="CG841" s="42">
        <v>0.46919967672113599</v>
      </c>
      <c r="CH841" s="42">
        <v>0.50057440951792054</v>
      </c>
      <c r="CI841" s="42">
        <v>0.53070371039340092</v>
      </c>
      <c r="CJ841" s="42">
        <v>0.61062877916481084</v>
      </c>
      <c r="CK841" s="42">
        <v>0.54411315521503834</v>
      </c>
      <c r="CL841" s="42">
        <v>0.53946975090368643</v>
      </c>
      <c r="CM841" s="45">
        <v>0.56272677358238044</v>
      </c>
      <c r="CN841" s="45">
        <v>0.57772504980297357</v>
      </c>
      <c r="CO841" s="45">
        <v>0.57326182163050132</v>
      </c>
      <c r="CP841" s="45">
        <v>0.58628647685134261</v>
      </c>
      <c r="CQ841" s="45">
        <v>0.61017405767126442</v>
      </c>
      <c r="CR841" s="45">
        <v>0.6259725193554101</v>
      </c>
      <c r="CS841" s="45">
        <v>0.71396124034745334</v>
      </c>
      <c r="CT841" s="45">
        <v>0.80256527269700018</v>
      </c>
      <c r="CU841" s="45">
        <v>0.64885354136397511</v>
      </c>
      <c r="CV841" s="45">
        <v>0.6273806642431623</v>
      </c>
      <c r="CW841" s="45">
        <v>0.5961094849703279</v>
      </c>
      <c r="CX841" s="45">
        <v>0.64109168702324393</v>
      </c>
      <c r="CY841" s="43">
        <v>0.67488449218254776</v>
      </c>
      <c r="CZ841" s="42">
        <v>0.68437753345980257</v>
      </c>
      <c r="DA841" s="42">
        <v>0.67955113475377826</v>
      </c>
      <c r="DB841" s="42">
        <v>0.67641932756484435</v>
      </c>
      <c r="DC841" s="42">
        <v>0.65925693465113877</v>
      </c>
      <c r="DD841" s="42">
        <v>0.64673684119552932</v>
      </c>
      <c r="DE841" s="42">
        <v>0.64670840646225802</v>
      </c>
      <c r="DF841" s="42">
        <v>0.71657260495389696</v>
      </c>
      <c r="DG841" s="232">
        <v>0.6896106965000719</v>
      </c>
      <c r="DH841" s="232">
        <v>0.69256507743835516</v>
      </c>
      <c r="DI841" s="232">
        <v>0.69310413835672768</v>
      </c>
    </row>
    <row r="842" spans="1:113" hidden="1" outlineLevel="2">
      <c r="A842" s="1" t="s">
        <v>1014</v>
      </c>
      <c r="B842" s="19" t="s">
        <v>801</v>
      </c>
      <c r="AW842" s="22"/>
      <c r="CY842" s="22"/>
    </row>
    <row r="843" spans="1:113" hidden="1" outlineLevel="2">
      <c r="A843" s="1" t="s">
        <v>186</v>
      </c>
      <c r="B843" s="19" t="s">
        <v>801</v>
      </c>
      <c r="AW843" s="22"/>
      <c r="CY843" s="22"/>
    </row>
    <row r="844" spans="1:113" hidden="1" outlineLevel="2">
      <c r="A844" s="1" t="s">
        <v>187</v>
      </c>
      <c r="B844" s="19" t="s">
        <v>801</v>
      </c>
      <c r="AW844" s="22"/>
      <c r="CY844" s="22"/>
    </row>
    <row r="845" spans="1:113" hidden="1" outlineLevel="2">
      <c r="A845" s="1" t="s">
        <v>188</v>
      </c>
      <c r="B845" s="19" t="s">
        <v>801</v>
      </c>
      <c r="AW845" s="22"/>
      <c r="CY845" s="22"/>
    </row>
    <row r="846" spans="1:113" hidden="1" outlineLevel="2">
      <c r="A846" s="1" t="s">
        <v>189</v>
      </c>
      <c r="B846" s="19" t="s">
        <v>801</v>
      </c>
      <c r="AW846" s="22"/>
      <c r="CY846" s="22"/>
    </row>
    <row r="847" spans="1:113" hidden="1" outlineLevel="2">
      <c r="A847" s="1" t="s">
        <v>190</v>
      </c>
      <c r="B847" s="19" t="s">
        <v>801</v>
      </c>
      <c r="AW847" s="22"/>
      <c r="CY847" s="22"/>
    </row>
    <row r="848" spans="1:113" hidden="1" outlineLevel="2">
      <c r="A848" s="1" t="s">
        <v>7</v>
      </c>
      <c r="B848" s="19" t="s">
        <v>801</v>
      </c>
      <c r="AW848" s="22"/>
      <c r="CY848" s="22"/>
    </row>
    <row r="849" spans="1:106" hidden="1" outlineLevel="2">
      <c r="A849" s="1" t="s">
        <v>8</v>
      </c>
      <c r="B849" s="19" t="s">
        <v>801</v>
      </c>
      <c r="AW849" s="22"/>
      <c r="CY849" s="22"/>
    </row>
    <row r="850" spans="1:106" hidden="1" outlineLevel="2">
      <c r="A850" s="1" t="s">
        <v>9</v>
      </c>
      <c r="B850" s="19" t="s">
        <v>801</v>
      </c>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c r="AA850" s="19"/>
      <c r="AB850" s="19"/>
      <c r="AC850" s="19"/>
      <c r="AD850" s="19"/>
      <c r="AE850" s="19"/>
      <c r="AF850" s="19"/>
      <c r="AG850" s="19"/>
      <c r="AH850" s="19"/>
      <c r="AI850" s="19"/>
      <c r="AJ850" s="19"/>
      <c r="AK850" s="19"/>
      <c r="AL850" s="19"/>
      <c r="AM850" s="19"/>
      <c r="AN850" s="19"/>
      <c r="AO850" s="19"/>
      <c r="AP850" s="19"/>
      <c r="AQ850" s="19"/>
      <c r="AR850" s="19"/>
      <c r="AS850" s="19"/>
      <c r="AT850" s="19"/>
      <c r="AU850" s="19"/>
      <c r="AV850" s="19"/>
      <c r="AW850" s="390"/>
      <c r="AX850" s="19"/>
      <c r="AY850" s="19"/>
      <c r="AZ850" s="19"/>
      <c r="BA850" s="19"/>
      <c r="BB850" s="19"/>
      <c r="BC850" s="19"/>
      <c r="BD850" s="19"/>
      <c r="BE850" s="19"/>
      <c r="BF850" s="19"/>
      <c r="BG850" s="19"/>
      <c r="BH850" s="19"/>
      <c r="BI850" s="19"/>
      <c r="BJ850" s="19"/>
      <c r="BK850" s="19"/>
      <c r="BL850" s="19"/>
      <c r="BM850" s="19"/>
      <c r="BN850" s="19"/>
      <c r="BO850" s="19"/>
      <c r="BP850" s="19"/>
      <c r="BQ850" s="19"/>
      <c r="BR850" s="19"/>
      <c r="BS850" s="19"/>
      <c r="BT850" s="19"/>
      <c r="BU850" s="19"/>
      <c r="BV850" s="19"/>
      <c r="BW850" s="19"/>
      <c r="BX850" s="19"/>
      <c r="BY850" s="19"/>
      <c r="BZ850" s="19"/>
      <c r="CA850" s="19"/>
      <c r="CB850" s="19"/>
      <c r="CC850" s="19"/>
      <c r="CD850" s="19"/>
      <c r="CE850" s="19"/>
      <c r="CF850" s="19"/>
      <c r="CG850" s="19"/>
      <c r="CH850" s="19"/>
      <c r="CI850" s="19"/>
      <c r="CJ850" s="19"/>
      <c r="CK850" s="19"/>
      <c r="CL850" s="19"/>
      <c r="CM850" s="19"/>
      <c r="CN850" s="19"/>
      <c r="CO850" s="19"/>
      <c r="CP850" s="19"/>
      <c r="CQ850" s="19"/>
      <c r="CR850" s="19"/>
      <c r="CS850" s="19"/>
      <c r="CT850" s="19"/>
      <c r="CU850" s="19"/>
      <c r="CV850" s="19"/>
      <c r="CW850" s="19"/>
      <c r="CX850" s="19"/>
      <c r="CY850" s="390"/>
      <c r="CZ850" s="19"/>
      <c r="DA850" s="19"/>
      <c r="DB850" s="19"/>
    </row>
    <row r="851" spans="1:106" hidden="1" outlineLevel="2">
      <c r="A851" s="1" t="s">
        <v>10</v>
      </c>
      <c r="B851" s="19" t="s">
        <v>801</v>
      </c>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c r="AA851" s="19"/>
      <c r="AB851" s="19"/>
      <c r="AC851" s="19"/>
      <c r="AD851" s="19"/>
      <c r="AE851" s="19"/>
      <c r="AF851" s="19"/>
      <c r="AG851" s="19"/>
      <c r="AH851" s="19"/>
      <c r="AI851" s="19"/>
      <c r="AJ851" s="19"/>
      <c r="AK851" s="19"/>
      <c r="AL851" s="19"/>
      <c r="AM851" s="19"/>
      <c r="AN851" s="19"/>
      <c r="AO851" s="19"/>
      <c r="AP851" s="19"/>
      <c r="AQ851" s="19"/>
      <c r="AR851" s="19"/>
      <c r="AS851" s="19"/>
      <c r="AT851" s="19"/>
      <c r="AU851" s="19"/>
      <c r="AV851" s="19"/>
      <c r="AW851" s="390"/>
      <c r="AX851" s="19"/>
      <c r="AY851" s="19"/>
      <c r="AZ851" s="19"/>
      <c r="BA851" s="19"/>
      <c r="BB851" s="19"/>
      <c r="BC851" s="19"/>
      <c r="BD851" s="19"/>
      <c r="BE851" s="19"/>
      <c r="BF851" s="19"/>
      <c r="BG851" s="19"/>
      <c r="BH851" s="19"/>
      <c r="BI851" s="19"/>
      <c r="BJ851" s="19"/>
      <c r="BK851" s="19"/>
      <c r="BL851" s="19"/>
      <c r="BM851" s="19"/>
      <c r="BN851" s="19"/>
      <c r="BO851" s="19"/>
      <c r="BP851" s="19"/>
      <c r="BQ851" s="19"/>
      <c r="BR851" s="19"/>
      <c r="BS851" s="19"/>
      <c r="BT851" s="19"/>
      <c r="BU851" s="19"/>
      <c r="BV851" s="19"/>
      <c r="BW851" s="19"/>
      <c r="BX851" s="19"/>
      <c r="BY851" s="19"/>
      <c r="BZ851" s="19"/>
      <c r="CA851" s="19"/>
      <c r="CB851" s="19"/>
      <c r="CC851" s="19"/>
      <c r="CD851" s="19"/>
      <c r="CE851" s="19"/>
      <c r="CF851" s="19"/>
      <c r="CG851" s="19"/>
      <c r="CH851" s="19"/>
      <c r="CI851" s="19"/>
      <c r="CJ851" s="19"/>
      <c r="CK851" s="19"/>
      <c r="CL851" s="19"/>
      <c r="CM851" s="19"/>
      <c r="CN851" s="19"/>
      <c r="CO851" s="19"/>
      <c r="CP851" s="19"/>
      <c r="CQ851" s="19"/>
      <c r="CR851" s="19"/>
      <c r="CS851" s="19"/>
      <c r="CT851" s="19"/>
      <c r="CU851" s="19"/>
      <c r="CV851" s="19"/>
      <c r="CW851" s="19"/>
      <c r="CX851" s="19"/>
      <c r="CY851" s="390"/>
      <c r="CZ851" s="19"/>
      <c r="DA851" s="19"/>
      <c r="DB851" s="19"/>
    </row>
    <row r="852" spans="1:106" outlineLevel="1" collapsed="1">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AA852" s="19"/>
      <c r="AB852" s="19"/>
      <c r="AC852" s="19"/>
      <c r="AD852" s="19"/>
      <c r="AE852" s="19"/>
      <c r="AF852" s="19"/>
      <c r="AG852" s="641"/>
      <c r="AH852" s="641"/>
      <c r="AI852" s="19"/>
      <c r="AJ852" s="19"/>
      <c r="AK852" s="19"/>
      <c r="AL852" s="19"/>
      <c r="AM852" s="19"/>
      <c r="AN852" s="19"/>
      <c r="AO852" s="19"/>
      <c r="AP852" s="19"/>
      <c r="AQ852" s="19"/>
      <c r="AR852" s="19"/>
      <c r="AS852" s="19"/>
      <c r="AT852" s="19"/>
      <c r="AU852" s="19"/>
      <c r="AV852" s="19"/>
      <c r="AW852" s="19"/>
      <c r="AX852" s="19"/>
      <c r="AY852" s="19"/>
      <c r="AZ852" s="19"/>
      <c r="BA852" s="19"/>
      <c r="BB852" s="19"/>
      <c r="BC852" s="19"/>
      <c r="BD852" s="19"/>
      <c r="BE852" s="19"/>
      <c r="BF852" s="19"/>
      <c r="BG852" s="19"/>
      <c r="BH852" s="19"/>
      <c r="BI852" s="19"/>
      <c r="BJ852" s="19"/>
      <c r="BK852" s="19"/>
      <c r="BL852" s="19"/>
      <c r="BM852" s="19"/>
      <c r="BN852" s="19"/>
      <c r="BO852" s="19"/>
      <c r="BP852" s="19"/>
      <c r="BQ852" s="19"/>
      <c r="BR852" s="19"/>
      <c r="BS852" s="19"/>
      <c r="BT852" s="19"/>
      <c r="BU852" s="19"/>
      <c r="BV852" s="19"/>
      <c r="BW852" s="19"/>
      <c r="BX852" s="19"/>
      <c r="BY852" s="19"/>
      <c r="BZ852" s="19"/>
      <c r="CA852" s="19"/>
      <c r="CB852" s="19"/>
      <c r="CC852" s="19"/>
      <c r="CD852" s="19"/>
      <c r="CE852" s="19"/>
      <c r="CF852" s="19"/>
      <c r="CG852" s="19"/>
      <c r="CH852" s="19"/>
      <c r="CI852" s="19"/>
      <c r="CJ852" s="19"/>
      <c r="CK852" s="19"/>
      <c r="CL852" s="19"/>
      <c r="CN852" s="19"/>
      <c r="CO852" s="19"/>
      <c r="CP852" s="19"/>
      <c r="CQ852" s="19"/>
      <c r="CR852" s="19"/>
      <c r="CS852" s="19"/>
      <c r="CT852" s="19"/>
      <c r="CU852" s="19"/>
      <c r="CV852" s="19"/>
      <c r="CW852" s="19"/>
      <c r="CX852" s="19"/>
      <c r="CY852" s="19"/>
      <c r="CZ852" s="19"/>
      <c r="DA852" s="19"/>
      <c r="DB852" s="19"/>
    </row>
    <row r="853" spans="1:106">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AA853" s="19"/>
      <c r="AB853" s="19"/>
      <c r="AC853" s="19"/>
      <c r="AD853" s="19"/>
      <c r="AE853" s="19"/>
      <c r="AF853" s="19"/>
      <c r="AG853" s="641"/>
      <c r="AH853" s="641"/>
      <c r="AI853" s="19"/>
      <c r="AJ853" s="19"/>
      <c r="AK853" s="19"/>
      <c r="AL853" s="19"/>
      <c r="AM853" s="19"/>
      <c r="AN853" s="19"/>
      <c r="AO853" s="19"/>
      <c r="AP853" s="19"/>
      <c r="AQ853" s="19"/>
      <c r="AR853" s="19"/>
      <c r="AS853" s="19"/>
      <c r="AT853" s="19"/>
      <c r="AU853" s="19"/>
      <c r="AV853" s="19"/>
      <c r="AW853" s="19"/>
      <c r="AX853" s="19"/>
      <c r="AY853" s="19"/>
      <c r="AZ853" s="19"/>
      <c r="BA853" s="19"/>
      <c r="BB853" s="19"/>
      <c r="BC853" s="19"/>
      <c r="BD853" s="19"/>
      <c r="BE853" s="19"/>
      <c r="BF853" s="19"/>
      <c r="BG853" s="19"/>
      <c r="BH853" s="19"/>
      <c r="BI853" s="19"/>
      <c r="BJ853" s="19"/>
      <c r="BK853" s="19"/>
      <c r="BL853" s="19"/>
      <c r="BM853" s="19"/>
      <c r="BN853" s="19"/>
      <c r="BO853" s="19"/>
      <c r="BP853" s="19"/>
      <c r="BQ853" s="19"/>
      <c r="BR853" s="19"/>
      <c r="BS853" s="19"/>
      <c r="BT853" s="19"/>
      <c r="BU853" s="19"/>
      <c r="BV853" s="19"/>
      <c r="BW853" s="19"/>
      <c r="BX853" s="19"/>
      <c r="BY853" s="19"/>
      <c r="BZ853" s="19"/>
      <c r="CA853" s="19"/>
      <c r="CB853" s="19"/>
      <c r="CC853" s="19"/>
      <c r="CD853" s="19"/>
      <c r="CE853" s="19"/>
      <c r="CF853" s="19"/>
      <c r="CG853" s="19"/>
      <c r="CH853" s="19"/>
      <c r="CI853" s="19"/>
      <c r="CJ853" s="19"/>
      <c r="CK853" s="19"/>
      <c r="CL853" s="19"/>
      <c r="CN853" s="19"/>
      <c r="CO853" s="19"/>
      <c r="CP853" s="19"/>
      <c r="CQ853" s="19"/>
      <c r="CR853" s="19"/>
      <c r="CS853" s="19"/>
      <c r="CT853" s="19"/>
      <c r="CU853" s="19"/>
      <c r="CV853" s="19"/>
      <c r="CW853" s="19"/>
      <c r="CX853" s="19"/>
      <c r="CY853" s="19"/>
      <c r="CZ853" s="19"/>
      <c r="DA853" s="19"/>
      <c r="DB853" s="19"/>
    </row>
  </sheetData>
  <phoneticPr fontId="13" type="noConversion"/>
  <pageMargins left="0.75" right="0.75" top="1" bottom="1" header="0.5" footer="0.5"/>
  <pageSetup paperSize="9" orientation="portrait" r:id="rId1"/>
  <headerFooter alignWithMargins="0"/>
  <customProperties>
    <customPr name="Qube.Worksheet.Visibility" r:id="rId2"/>
    <customPr name="SHEET_UNIQUE_ID"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9C946-BB9D-4325-9EE3-8692444FB31F}">
  <dimension ref="B2:T57"/>
  <sheetViews>
    <sheetView topLeftCell="A16" zoomScale="70" zoomScaleNormal="70" workbookViewId="0">
      <selection activeCell="N22" sqref="N22"/>
    </sheetView>
  </sheetViews>
  <sheetFormatPr defaultRowHeight="12.75"/>
  <cols>
    <col min="2" max="2" width="42.25" customWidth="1"/>
    <col min="3" max="7" width="11.875" customWidth="1"/>
    <col min="8" max="8" width="13.875" customWidth="1"/>
    <col min="9" max="9" width="34.75" customWidth="1"/>
    <col min="10" max="10" width="12.625" customWidth="1"/>
    <col min="11" max="15" width="11.875" customWidth="1"/>
  </cols>
  <sheetData>
    <row r="2" spans="2:15" ht="33" customHeight="1">
      <c r="B2" s="954" t="s">
        <v>2749</v>
      </c>
      <c r="C2" s="954"/>
      <c r="D2" s="954"/>
      <c r="E2" s="954"/>
      <c r="F2" s="954"/>
      <c r="G2" s="954"/>
      <c r="H2" s="954"/>
      <c r="I2" s="955" t="s">
        <v>2665</v>
      </c>
      <c r="J2" s="955"/>
      <c r="K2" s="955"/>
      <c r="L2" s="955"/>
      <c r="M2" s="955"/>
      <c r="N2" s="955"/>
      <c r="O2" s="955"/>
    </row>
    <row r="3" spans="2:15" ht="33" customHeight="1">
      <c r="B3" s="890"/>
      <c r="C3" s="890"/>
      <c r="D3" s="890"/>
      <c r="E3" s="890"/>
      <c r="F3" s="890"/>
      <c r="G3" s="890"/>
      <c r="H3" s="890"/>
      <c r="I3" s="890"/>
      <c r="J3" s="890"/>
      <c r="K3" s="890"/>
      <c r="L3" s="890"/>
      <c r="M3" s="890"/>
      <c r="N3" s="890"/>
      <c r="O3" s="890"/>
    </row>
    <row r="4" spans="2:15" ht="33" customHeight="1">
      <c r="B4" s="931" t="s">
        <v>2666</v>
      </c>
      <c r="C4" s="932" t="s">
        <v>2662</v>
      </c>
      <c r="D4" s="933" t="s">
        <v>2754</v>
      </c>
      <c r="E4" s="933" t="s">
        <v>2537</v>
      </c>
      <c r="F4" s="933" t="s">
        <v>2556</v>
      </c>
      <c r="G4" s="933" t="s">
        <v>2609</v>
      </c>
      <c r="H4" s="891"/>
      <c r="I4" s="956" t="s">
        <v>2667</v>
      </c>
      <c r="J4" s="956"/>
      <c r="K4" s="956"/>
      <c r="L4" s="956"/>
      <c r="M4" s="956"/>
      <c r="N4" s="956"/>
      <c r="O4" s="956"/>
    </row>
    <row r="5" spans="2:15" ht="33" customHeight="1">
      <c r="B5" s="892" t="s">
        <v>470</v>
      </c>
      <c r="C5" s="893">
        <f>Model!CY239</f>
        <v>1144357</v>
      </c>
      <c r="D5" s="893">
        <f>Model!CZ239</f>
        <v>1153684</v>
      </c>
      <c r="E5" s="893">
        <f>Model!DA239</f>
        <v>1257080.5984766376</v>
      </c>
      <c r="F5" s="893">
        <f>Model!DB239</f>
        <v>1327954.0049765273</v>
      </c>
      <c r="G5" s="893">
        <f>Model!DC239</f>
        <v>1391456.3587544933</v>
      </c>
      <c r="H5" s="891"/>
      <c r="I5" s="891" t="s">
        <v>2119</v>
      </c>
      <c r="J5" s="894" t="s">
        <v>2668</v>
      </c>
      <c r="K5" s="891"/>
      <c r="L5" s="891"/>
      <c r="M5" s="953" t="s">
        <v>2669</v>
      </c>
      <c r="N5" s="953"/>
      <c r="O5" s="894" t="str">
        <f>Summary!$C$7</f>
        <v>Sell</v>
      </c>
    </row>
    <row r="6" spans="2:15" ht="33" customHeight="1">
      <c r="B6" s="895" t="s">
        <v>1094</v>
      </c>
      <c r="C6" s="896">
        <f>Model!CY269</f>
        <v>1.994446762541207E-2</v>
      </c>
      <c r="D6" s="896">
        <f>Model!CZ269</f>
        <v>2.0820197749844758E-2</v>
      </c>
      <c r="E6" s="896">
        <f>Model!DA269</f>
        <v>2.039396460737081E-2</v>
      </c>
      <c r="F6" s="896">
        <f>Model!DB269</f>
        <v>2.0384690890932745E-2</v>
      </c>
      <c r="G6" s="896">
        <f>Model!DC269</f>
        <v>2.0211602625635289E-2</v>
      </c>
      <c r="H6" s="891"/>
      <c r="I6" s="897" t="s">
        <v>2670</v>
      </c>
      <c r="J6" s="898">
        <f>Summary!C5</f>
        <v>169.56</v>
      </c>
      <c r="K6" s="891"/>
      <c r="L6" s="891"/>
      <c r="M6" s="957" t="s">
        <v>2671</v>
      </c>
      <c r="N6" s="957"/>
      <c r="O6" s="898">
        <f>Summary!$G$10</f>
        <v>137.85257124487669</v>
      </c>
    </row>
    <row r="7" spans="2:15" ht="33" customHeight="1">
      <c r="B7" s="899" t="s">
        <v>482</v>
      </c>
      <c r="C7" s="893">
        <f>Model!CY327</f>
        <v>22824</v>
      </c>
      <c r="D7" s="893">
        <f>Model!CZ327</f>
        <v>24023</v>
      </c>
      <c r="E7" s="893">
        <f>Model!DA327</f>
        <v>25632.741654554829</v>
      </c>
      <c r="F7" s="893">
        <f>Model!DB327</f>
        <v>27067.164109917605</v>
      </c>
      <c r="G7" s="893">
        <f>Model!DC327</f>
        <v>28121.844589361579</v>
      </c>
      <c r="H7" s="891"/>
      <c r="I7" s="891" t="s">
        <v>2672</v>
      </c>
      <c r="J7" s="900">
        <f>D55</f>
        <v>1671.842146</v>
      </c>
      <c r="K7" s="891"/>
      <c r="L7" s="891"/>
      <c r="M7" s="953" t="s">
        <v>2673</v>
      </c>
      <c r="N7" s="953"/>
      <c r="O7" s="901">
        <f>O6/J6-1</f>
        <v>-0.1869982823491585</v>
      </c>
    </row>
    <row r="8" spans="2:15" ht="33" customHeight="1">
      <c r="B8" s="895" t="s">
        <v>2674</v>
      </c>
      <c r="C8" s="900">
        <f>SUM(Model!CY395,Model!CY396, Model!CY397, Model!CY398)</f>
        <v>4225</v>
      </c>
      <c r="D8" s="900">
        <f>SUM(Model!CZ395,Model!CZ396, Model!CZ397, Model!CZ398)</f>
        <v>4332</v>
      </c>
      <c r="E8" s="900">
        <f>SUM(Model!DA395,Model!DA396, Model!DA397, Model!DA398)</f>
        <v>4475.2671197218788</v>
      </c>
      <c r="F8" s="900">
        <f>SUM(Model!DB395,Model!DB396, Model!DB397, Model!DB398)</f>
        <v>4410.5618451016562</v>
      </c>
      <c r="G8" s="900">
        <f>SUM(Model!DC395,Model!DC396, Model!DC397, Model!DC398)</f>
        <v>4450.1478720853347</v>
      </c>
      <c r="H8" s="891"/>
      <c r="I8" s="891" t="s">
        <v>2675</v>
      </c>
      <c r="J8" s="902">
        <f>Summary!C6</f>
        <v>283752.21672000003</v>
      </c>
      <c r="K8" s="891"/>
      <c r="L8" s="891"/>
      <c r="M8" s="958"/>
      <c r="N8" s="958"/>
      <c r="O8" s="891"/>
    </row>
    <row r="9" spans="2:15" ht="33" customHeight="1">
      <c r="B9" s="895" t="s">
        <v>655</v>
      </c>
      <c r="C9" s="903">
        <f>Model!CY405</f>
        <v>125</v>
      </c>
      <c r="D9" s="903">
        <f>Model!CZ405</f>
        <v>110</v>
      </c>
      <c r="E9" s="903">
        <f>Model!DA405</f>
        <v>90.9</v>
      </c>
      <c r="F9" s="903">
        <f>Model!DB405</f>
        <v>94.572360000000003</v>
      </c>
      <c r="G9" s="903">
        <f>Model!DC405</f>
        <v>98.39308334399999</v>
      </c>
      <c r="H9" s="891"/>
      <c r="I9" s="891"/>
      <c r="J9" s="891"/>
      <c r="K9" s="891"/>
      <c r="L9" s="891"/>
      <c r="M9" s="958"/>
      <c r="N9" s="958"/>
      <c r="O9" s="891"/>
    </row>
    <row r="10" spans="2:15" ht="33" customHeight="1">
      <c r="B10" s="899" t="s">
        <v>2123</v>
      </c>
      <c r="C10" s="893">
        <f>SUM(C7:C9)</f>
        <v>27174</v>
      </c>
      <c r="D10" s="893">
        <f>SUM(D7:D9)</f>
        <v>28465</v>
      </c>
      <c r="E10" s="893">
        <f>SUM(E7:E9)</f>
        <v>30198.908774276708</v>
      </c>
      <c r="F10" s="893">
        <f>SUM(F7:F9)</f>
        <v>31572.298315019259</v>
      </c>
      <c r="G10" s="893">
        <f>SUM(G7:G9)</f>
        <v>32670.385544790912</v>
      </c>
      <c r="H10" s="891"/>
      <c r="I10" s="897" t="s">
        <v>2676</v>
      </c>
      <c r="J10" s="904" t="s">
        <v>2181</v>
      </c>
      <c r="K10" s="904" t="s">
        <v>2677</v>
      </c>
      <c r="L10" s="891"/>
      <c r="M10" s="957" t="s">
        <v>2678</v>
      </c>
      <c r="N10" s="957"/>
      <c r="O10" s="891"/>
    </row>
    <row r="11" spans="2:15" ht="33" customHeight="1">
      <c r="B11" s="895" t="s">
        <v>2679</v>
      </c>
      <c r="C11" s="905">
        <f>Model!CY430</f>
        <v>-12218</v>
      </c>
      <c r="D11" s="905">
        <f>Model!CZ430</f>
        <v>-12996</v>
      </c>
      <c r="E11" s="905">
        <f>Model!DA430</f>
        <v>-13666.531071215633</v>
      </c>
      <c r="F11" s="905">
        <f>Model!DB430</f>
        <v>-14230.160867044899</v>
      </c>
      <c r="G11" s="905">
        <f>Model!DC430</f>
        <v>-14776.762903377126</v>
      </c>
      <c r="H11" s="891"/>
      <c r="I11" s="891" t="s">
        <v>747</v>
      </c>
      <c r="J11" s="906">
        <f>Summary!$D$149</f>
        <v>0.5</v>
      </c>
      <c r="K11" s="907">
        <f ca="1">Summary!C149</f>
        <v>114.53365251135534</v>
      </c>
      <c r="L11" s="891"/>
      <c r="M11" s="953" t="s">
        <v>2680</v>
      </c>
      <c r="N11" s="953"/>
      <c r="O11" s="901">
        <f>Summary!$G$4</f>
        <v>2.5000000000000001E-2</v>
      </c>
    </row>
    <row r="12" spans="2:15" ht="33" customHeight="1">
      <c r="B12" s="899" t="s">
        <v>2681</v>
      </c>
      <c r="C12" s="893">
        <f>SUM(C10:C11)</f>
        <v>14956</v>
      </c>
      <c r="D12" s="893">
        <f>SUM(D10:D11)</f>
        <v>15469</v>
      </c>
      <c r="E12" s="893">
        <f>SUM(E10:E11)</f>
        <v>16532.377703061073</v>
      </c>
      <c r="F12" s="893">
        <f>SUM(F10:F11)</f>
        <v>17342.137447974361</v>
      </c>
      <c r="G12" s="893">
        <f>SUM(G10:G11)</f>
        <v>17893.622641413785</v>
      </c>
      <c r="H12" s="891"/>
      <c r="I12" s="891" t="s">
        <v>2682</v>
      </c>
      <c r="J12" s="906">
        <f>Summary!$D$151</f>
        <v>0.5</v>
      </c>
      <c r="K12" s="907">
        <f ca="1">Summary!C151</f>
        <v>161.17148997839806</v>
      </c>
      <c r="L12" s="891"/>
      <c r="M12" s="891" t="s">
        <v>2683</v>
      </c>
      <c r="N12" s="959" t="s">
        <v>2684</v>
      </c>
      <c r="O12" s="959" t="s">
        <v>2684</v>
      </c>
    </row>
    <row r="13" spans="2:15" ht="33" customHeight="1">
      <c r="B13" s="895" t="s">
        <v>2685</v>
      </c>
      <c r="C13" s="905">
        <f>Model!CY465</f>
        <v>-802</v>
      </c>
      <c r="D13" s="905">
        <f>Model!CZ465</f>
        <v>-726</v>
      </c>
      <c r="E13" s="905">
        <f>Model!DA465</f>
        <v>-717.98216418378195</v>
      </c>
      <c r="F13" s="905">
        <f>Model!DB465</f>
        <v>-905.7209036191033</v>
      </c>
      <c r="G13" s="905">
        <f>Model!DC465</f>
        <v>-1104.0363725079389</v>
      </c>
      <c r="H13" s="891"/>
      <c r="I13" s="897" t="s">
        <v>2686</v>
      </c>
      <c r="J13" s="908">
        <f>Summary!$D$153</f>
        <v>1</v>
      </c>
      <c r="K13" s="909">
        <f ca="1">Summary!$C$153</f>
        <v>137.85257124487669</v>
      </c>
      <c r="L13" s="891"/>
      <c r="M13" s="953" t="s">
        <v>2687</v>
      </c>
      <c r="N13" s="953"/>
      <c r="O13" s="910">
        <f>Summary!$G$7</f>
        <v>0.9</v>
      </c>
    </row>
    <row r="14" spans="2:15" ht="33" customHeight="1">
      <c r="B14" s="899" t="s">
        <v>1317</v>
      </c>
      <c r="C14" s="893">
        <f>SUM(C12:C13)</f>
        <v>14154</v>
      </c>
      <c r="D14" s="893">
        <f>SUM(D12:D13)</f>
        <v>14743</v>
      </c>
      <c r="E14" s="893">
        <f>SUM(E12:E13)</f>
        <v>15814.39553887729</v>
      </c>
      <c r="F14" s="893">
        <f>SUM(F12:F13)</f>
        <v>16436.416544355259</v>
      </c>
      <c r="G14" s="893">
        <f>SUM(G12:G13)</f>
        <v>16789.586268905845</v>
      </c>
      <c r="H14" s="891"/>
      <c r="I14" s="890"/>
      <c r="J14" s="890"/>
      <c r="K14" s="890"/>
      <c r="L14" s="891"/>
      <c r="M14" s="953" t="s">
        <v>2755</v>
      </c>
      <c r="N14" s="953"/>
      <c r="O14" s="901">
        <f>Summary!$G$8</f>
        <v>8.8999999999999996E-2</v>
      </c>
    </row>
    <row r="15" spans="2:15" ht="33" customHeight="1">
      <c r="B15" s="895" t="s">
        <v>2688</v>
      </c>
      <c r="C15" s="900">
        <f>Model!CY495</f>
        <v>-4318</v>
      </c>
      <c r="D15" s="900">
        <f>Model!CZ495</f>
        <v>-4491</v>
      </c>
      <c r="E15" s="900">
        <f>Model!DA495</f>
        <v>-4743.7114750465553</v>
      </c>
      <c r="F15" s="900">
        <f>Model!DB495</f>
        <v>-4930.9249633065774</v>
      </c>
      <c r="G15" s="900">
        <f>Model!DC495</f>
        <v>-5036.8758806717542</v>
      </c>
      <c r="H15" s="891"/>
      <c r="I15" s="890"/>
      <c r="J15" s="890"/>
      <c r="K15" s="890"/>
      <c r="L15" s="891"/>
      <c r="M15" s="953" t="s">
        <v>1456</v>
      </c>
      <c r="N15" s="953"/>
      <c r="O15" s="906">
        <f>C52</f>
        <v>1</v>
      </c>
    </row>
    <row r="16" spans="2:15" ht="33" customHeight="1">
      <c r="B16" s="895" t="s">
        <v>2689</v>
      </c>
      <c r="C16" s="900">
        <f>Model!CY499</f>
        <v>0</v>
      </c>
      <c r="D16" s="900">
        <f>Model!CZ499</f>
        <v>0</v>
      </c>
      <c r="E16" s="900">
        <f>Model!DA499</f>
        <v>0</v>
      </c>
      <c r="F16" s="900">
        <f>Model!DB499</f>
        <v>0</v>
      </c>
      <c r="G16" s="900">
        <f>Model!DC499</f>
        <v>0</v>
      </c>
      <c r="H16" s="891"/>
      <c r="I16" s="891"/>
      <c r="J16" s="891"/>
      <c r="K16" s="891"/>
      <c r="L16" s="891"/>
      <c r="M16" s="891"/>
      <c r="N16" s="891"/>
      <c r="O16" s="891"/>
    </row>
    <row r="17" spans="2:15" ht="33" customHeight="1">
      <c r="B17" s="899" t="s">
        <v>2134</v>
      </c>
      <c r="C17" s="911">
        <f>SUM(C14:C16)</f>
        <v>9836</v>
      </c>
      <c r="D17" s="911">
        <f>SUM(D14:D16)</f>
        <v>10252</v>
      </c>
      <c r="E17" s="911">
        <f>SUM(E14:E16)</f>
        <v>11070.684063830735</v>
      </c>
      <c r="F17" s="911">
        <f>SUM(F14:F16)</f>
        <v>11505.491581048682</v>
      </c>
      <c r="G17" s="911">
        <f>SUM(G14:G16)</f>
        <v>11752.710388234091</v>
      </c>
      <c r="H17" s="891"/>
      <c r="I17" s="891"/>
      <c r="J17" s="891"/>
      <c r="K17" s="891"/>
      <c r="L17" s="891"/>
      <c r="M17" s="891"/>
      <c r="N17" s="891"/>
      <c r="O17" s="891"/>
    </row>
    <row r="18" spans="2:15" ht="33" customHeight="1">
      <c r="B18" s="895" t="s">
        <v>2136</v>
      </c>
      <c r="C18" s="900">
        <f>Model!CY524</f>
        <v>-453</v>
      </c>
      <c r="D18" s="900">
        <f>Model!CZ524</f>
        <v>-17</v>
      </c>
      <c r="E18" s="900">
        <f>Model!DA524</f>
        <v>-45</v>
      </c>
      <c r="F18" s="900">
        <f>Model!DB524</f>
        <v>0</v>
      </c>
      <c r="G18" s="900">
        <f>Model!DC524</f>
        <v>0</v>
      </c>
      <c r="H18" s="891"/>
      <c r="I18" s="956" t="s">
        <v>2690</v>
      </c>
      <c r="J18" s="956"/>
      <c r="K18" s="932" t="s">
        <v>2662</v>
      </c>
      <c r="L18" s="933" t="str">
        <f>D4</f>
        <v>FY25A</v>
      </c>
      <c r="M18" s="933" t="str">
        <f t="shared" ref="M18:O18" si="0">E4</f>
        <v>FY26E</v>
      </c>
      <c r="N18" s="933" t="str">
        <f t="shared" si="0"/>
        <v>FY27E</v>
      </c>
      <c r="O18" s="933" t="str">
        <f t="shared" si="0"/>
        <v>FY28E</v>
      </c>
    </row>
    <row r="19" spans="2:15" ht="33" customHeight="1">
      <c r="B19" s="912" t="s">
        <v>280</v>
      </c>
      <c r="C19" s="905">
        <f>Model!CY523</f>
        <v>11</v>
      </c>
      <c r="D19" s="905">
        <f>Model!CZ523</f>
        <v>-119</v>
      </c>
      <c r="E19" s="905">
        <f>Model!DA523</f>
        <v>-33</v>
      </c>
      <c r="F19" s="905">
        <f>Model!DB523</f>
        <v>0</v>
      </c>
      <c r="G19" s="905">
        <f>Model!DC523</f>
        <v>0</v>
      </c>
      <c r="H19" s="891"/>
      <c r="I19" s="897" t="s">
        <v>2691</v>
      </c>
      <c r="J19" s="891"/>
      <c r="K19" s="891"/>
      <c r="L19" s="891"/>
      <c r="M19" s="891"/>
      <c r="N19" s="891"/>
      <c r="O19" s="891"/>
    </row>
    <row r="20" spans="2:15" ht="33" customHeight="1">
      <c r="B20" s="899" t="s">
        <v>2692</v>
      </c>
      <c r="C20" s="893">
        <f>SUM(C17:C19)</f>
        <v>9394</v>
      </c>
      <c r="D20" s="893">
        <f>SUM(D17:D19)</f>
        <v>10116</v>
      </c>
      <c r="E20" s="893">
        <f>SUM(E17:E19)</f>
        <v>10992.684063830735</v>
      </c>
      <c r="F20" s="893">
        <f>SUM(F17:F19)</f>
        <v>11505.491581048682</v>
      </c>
      <c r="G20" s="893">
        <f>SUM(G17:G19)</f>
        <v>11752.710388234091</v>
      </c>
      <c r="H20" s="891"/>
      <c r="I20" s="891" t="s">
        <v>2682</v>
      </c>
      <c r="J20" s="891"/>
      <c r="K20" s="913">
        <f>$J$6/C41</f>
        <v>28.840370069133797</v>
      </c>
      <c r="L20" s="913">
        <f>$J$6/D41</f>
        <v>27.653562231759658</v>
      </c>
      <c r="M20" s="913">
        <f>$J$6/E41</f>
        <v>25.609650912170736</v>
      </c>
      <c r="N20" s="913">
        <f>$J$6/F41</f>
        <v>24.535950759439579</v>
      </c>
      <c r="O20" s="913">
        <f>$J$6/G41</f>
        <v>23.82224898194562</v>
      </c>
    </row>
    <row r="21" spans="2:15" ht="33" customHeight="1">
      <c r="B21" s="891"/>
      <c r="C21" s="891"/>
      <c r="D21" s="891"/>
      <c r="E21" s="891"/>
      <c r="F21" s="891"/>
      <c r="G21" s="891"/>
      <c r="H21" s="891"/>
      <c r="I21" s="891" t="s">
        <v>2693</v>
      </c>
      <c r="J21" s="891"/>
      <c r="K21" s="913">
        <f>$J$8/C12</f>
        <v>18.972467017919232</v>
      </c>
      <c r="L21" s="913">
        <f>$J$8/D12</f>
        <v>18.343281189475729</v>
      </c>
      <c r="M21" s="913">
        <f>$J$8/E12</f>
        <v>17.16342451258306</v>
      </c>
      <c r="N21" s="913">
        <f>$J$8/F12</f>
        <v>16.36200944498589</v>
      </c>
      <c r="O21" s="913">
        <f>$J$8/G12</f>
        <v>15.857728890698267</v>
      </c>
    </row>
    <row r="22" spans="2:15" ht="33" customHeight="1">
      <c r="B22" s="931" t="s">
        <v>2694</v>
      </c>
      <c r="C22" s="932" t="s">
        <v>2662</v>
      </c>
      <c r="D22" s="933" t="str">
        <f>D4</f>
        <v>FY25A</v>
      </c>
      <c r="E22" s="933" t="str">
        <f t="shared" ref="E22:G22" si="1">E4</f>
        <v>FY26E</v>
      </c>
      <c r="F22" s="933" t="str">
        <f t="shared" si="1"/>
        <v>FY27E</v>
      </c>
      <c r="G22" s="933" t="str">
        <f t="shared" si="1"/>
        <v>FY28E</v>
      </c>
      <c r="H22" s="891"/>
      <c r="I22" s="891" t="s">
        <v>2695</v>
      </c>
      <c r="J22" s="891"/>
      <c r="K22" s="913">
        <f t="shared" ref="K22:O23" si="2">$J$6/C53</f>
        <v>3.8793726897746401</v>
      </c>
      <c r="L22" s="913">
        <f t="shared" si="2"/>
        <v>3.598526889861887</v>
      </c>
      <c r="M22" s="913">
        <f t="shared" si="2"/>
        <v>3.5672498622116611</v>
      </c>
      <c r="N22" s="913">
        <f t="shared" si="2"/>
        <v>3.5256060120522594</v>
      </c>
      <c r="O22" s="913">
        <f t="shared" si="2"/>
        <v>3.4749949945206091</v>
      </c>
    </row>
    <row r="23" spans="2:15" ht="33" customHeight="1">
      <c r="B23" s="899" t="s">
        <v>587</v>
      </c>
      <c r="C23" s="893">
        <f>Model!CY181</f>
        <v>948122</v>
      </c>
      <c r="D23" s="893">
        <f>Model!CZ181</f>
        <v>1013929</v>
      </c>
      <c r="E23" s="893">
        <f>Model!DA181</f>
        <v>1089534.2353338602</v>
      </c>
      <c r="F23" s="893">
        <f>Model!DB181</f>
        <v>1146268.1196182598</v>
      </c>
      <c r="G23" s="893">
        <f>Model!DC181</f>
        <v>1201880.2015844183</v>
      </c>
      <c r="H23" s="891"/>
      <c r="I23" s="891" t="s">
        <v>2696</v>
      </c>
      <c r="J23" s="891"/>
      <c r="K23" s="913">
        <f t="shared" si="2"/>
        <v>4.193282173087618</v>
      </c>
      <c r="L23" s="913">
        <f t="shared" si="2"/>
        <v>3.8673081441693835</v>
      </c>
      <c r="M23" s="913">
        <f t="shared" si="2"/>
        <v>3.9829875604565377</v>
      </c>
      <c r="N23" s="913">
        <f t="shared" si="2"/>
        <v>3.9350455369338149</v>
      </c>
      <c r="O23" s="913">
        <f t="shared" si="2"/>
        <v>3.8756369694689132</v>
      </c>
    </row>
    <row r="24" spans="2:15" ht="33" customHeight="1">
      <c r="B24" s="914" t="s">
        <v>2126</v>
      </c>
      <c r="C24" s="915"/>
      <c r="D24" s="901">
        <f>(D23/C23)-1</f>
        <v>6.9407734447676672E-2</v>
      </c>
      <c r="E24" s="901">
        <f>(E23/D23)-1</f>
        <v>7.456659720144132E-2</v>
      </c>
      <c r="F24" s="901">
        <f>(F23/E23)-1</f>
        <v>5.20716857208392E-2</v>
      </c>
      <c r="G24" s="901">
        <f>(G23/F23)-1</f>
        <v>4.8515771322924728E-2</v>
      </c>
      <c r="H24" s="891"/>
      <c r="I24" s="916" t="s">
        <v>1086</v>
      </c>
      <c r="J24" s="916"/>
      <c r="K24" s="917">
        <f>(C49/$J$6)*100</f>
        <v>2.7423920736022649</v>
      </c>
      <c r="L24" s="917">
        <f>(D49/$J$6)*100</f>
        <v>2.8603444208539748</v>
      </c>
      <c r="M24" s="917">
        <f>(E49/$J$6)*100</f>
        <v>2.9488086812927574</v>
      </c>
      <c r="N24" s="917">
        <f>(F49/$J$6)*100</f>
        <v>3.0077848549186128</v>
      </c>
      <c r="O24" s="917">
        <f>(G49/$J$6)*100</f>
        <v>3.0962491153573959</v>
      </c>
    </row>
    <row r="25" spans="2:15" ht="33" customHeight="1">
      <c r="B25" s="892" t="s">
        <v>1847</v>
      </c>
      <c r="C25" s="893">
        <f>Model!CY204</f>
        <v>882922</v>
      </c>
      <c r="D25" s="893">
        <f>Model!CZ204</f>
        <v>937857</v>
      </c>
      <c r="E25" s="893">
        <f>Model!DA204</f>
        <v>1010941.8909999999</v>
      </c>
      <c r="F25" s="893">
        <f>Model!DB204</f>
        <v>1062120.8242318749</v>
      </c>
      <c r="G25" s="893">
        <f>Model!DC204</f>
        <v>1115890.6909586133</v>
      </c>
      <c r="H25" s="891"/>
      <c r="I25" s="897" t="s">
        <v>2697</v>
      </c>
      <c r="J25" s="891"/>
      <c r="K25" s="891"/>
      <c r="L25" s="891"/>
      <c r="M25" s="891"/>
      <c r="N25" s="891"/>
      <c r="O25" s="891"/>
    </row>
    <row r="26" spans="2:15" ht="33" customHeight="1">
      <c r="B26" s="918" t="s">
        <v>2126</v>
      </c>
      <c r="C26" s="916"/>
      <c r="D26" s="919">
        <f>(D25/C25)-1</f>
        <v>6.221953921184431E-2</v>
      </c>
      <c r="E26" s="919">
        <f>(E25/D25)-1</f>
        <v>7.7927542258574567E-2</v>
      </c>
      <c r="F26" s="919">
        <f>(F25/E25)-1</f>
        <v>5.062499999999992E-2</v>
      </c>
      <c r="G26" s="919">
        <f>(G25/F25)-1</f>
        <v>5.0624999999999698E-2</v>
      </c>
      <c r="H26" s="891"/>
      <c r="I26" s="891" t="s">
        <v>2682</v>
      </c>
      <c r="J26" s="891"/>
      <c r="K26" s="913">
        <f>$O$6/C41</f>
        <v>23.447270403891693</v>
      </c>
      <c r="L26" s="913">
        <f>$O$6/D41</f>
        <v>22.482393593585037</v>
      </c>
      <c r="M26" s="913">
        <f>$O$6/E41</f>
        <v>20.82069018003325</v>
      </c>
      <c r="N26" s="913">
        <f>$O$6/F41</f>
        <v>19.947770111620848</v>
      </c>
      <c r="O26" s="913">
        <f>$O$6/G41</f>
        <v>19.367529340627797</v>
      </c>
    </row>
    <row r="27" spans="2:15" ht="33" customHeight="1">
      <c r="B27" s="899" t="s">
        <v>720</v>
      </c>
      <c r="C27" s="893">
        <f>Model!CY613</f>
        <v>467551</v>
      </c>
      <c r="D27" s="893">
        <f>Model!CZ613</f>
        <v>496145</v>
      </c>
      <c r="E27" s="893">
        <f>Model!DA613</f>
        <v>518234.12151094631</v>
      </c>
      <c r="F27" s="893">
        <f>Model!DB613</f>
        <v>527565.19719904941</v>
      </c>
      <c r="G27" s="893">
        <f>Model!DC613</f>
        <v>539746.22347784275</v>
      </c>
      <c r="H27" s="891"/>
      <c r="I27" s="891" t="s">
        <v>2693</v>
      </c>
      <c r="J27" s="891"/>
      <c r="K27" s="913">
        <f>($O$6*$J$7)/C12</f>
        <v>15.409717741485192</v>
      </c>
      <c r="L27" s="913">
        <f>($O$6*$J$7)/D12</f>
        <v>14.898683724975921</v>
      </c>
      <c r="M27" s="913">
        <f>($O$6*$J$7)/E12</f>
        <v>13.940386717572997</v>
      </c>
      <c r="N27" s="913">
        <f>($O$6*$J$7)/F12</f>
        <v>13.289465570956606</v>
      </c>
      <c r="O27" s="913">
        <f>($O$6*$J$7)/G12</f>
        <v>12.879881461691713</v>
      </c>
    </row>
    <row r="28" spans="2:15" ht="33" customHeight="1">
      <c r="B28" s="914" t="s">
        <v>2126</v>
      </c>
      <c r="C28" s="915"/>
      <c r="D28" s="901">
        <f>(D27/C27)-1</f>
        <v>6.1156964694760507E-2</v>
      </c>
      <c r="E28" s="901">
        <f>(E27/D27)-1</f>
        <v>4.4521503816316477E-2</v>
      </c>
      <c r="F28" s="901">
        <f>(F27/E27)-1</f>
        <v>1.8005521637397548E-2</v>
      </c>
      <c r="G28" s="901">
        <f>(G27/F27)-1</f>
        <v>2.3089139206803111E-2</v>
      </c>
      <c r="H28" s="891"/>
      <c r="I28" s="891" t="s">
        <v>2695</v>
      </c>
      <c r="J28" s="891"/>
      <c r="K28" s="913">
        <f t="shared" ref="K28:O29" si="3">$O$6/C53</f>
        <v>3.1539366601945473</v>
      </c>
      <c r="L28" s="913">
        <f t="shared" si="3"/>
        <v>2.9256085424704548</v>
      </c>
      <c r="M28" s="913">
        <f t="shared" si="3"/>
        <v>2.9001802652678079</v>
      </c>
      <c r="N28" s="913">
        <f t="shared" si="3"/>
        <v>2.8663237435586204</v>
      </c>
      <c r="O28" s="913">
        <f t="shared" si="3"/>
        <v>2.8251768993733317</v>
      </c>
    </row>
    <row r="29" spans="2:15" ht="33" customHeight="1">
      <c r="B29" s="920" t="s">
        <v>2698</v>
      </c>
      <c r="C29" s="921">
        <f>Model!CY550</f>
        <v>73088</v>
      </c>
      <c r="D29" s="921">
        <f>Model!CZ550</f>
        <v>78776</v>
      </c>
      <c r="E29" s="921">
        <f>Model!DA550</f>
        <v>79480.078282640126</v>
      </c>
      <c r="F29" s="921">
        <f>Model!DB550</f>
        <v>79731.280911012946</v>
      </c>
      <c r="G29" s="921">
        <f>Model!DC550</f>
        <v>80251.911455016161</v>
      </c>
      <c r="H29" s="891"/>
      <c r="I29" s="891" t="s">
        <v>2696</v>
      </c>
      <c r="J29" s="891"/>
      <c r="K29" s="913">
        <f t="shared" si="3"/>
        <v>3.4091456093148866</v>
      </c>
      <c r="L29" s="913">
        <f t="shared" si="3"/>
        <v>3.1441281638947971</v>
      </c>
      <c r="M29" s="913">
        <f t="shared" si="3"/>
        <v>3.2381757280331001</v>
      </c>
      <c r="N29" s="913">
        <f t="shared" si="3"/>
        <v>3.1991987805614692</v>
      </c>
      <c r="O29" s="913">
        <f t="shared" si="3"/>
        <v>3.1508995131693287</v>
      </c>
    </row>
    <row r="30" spans="2:15" ht="33" customHeight="1">
      <c r="B30" s="899" t="s">
        <v>2699</v>
      </c>
      <c r="C30" s="893">
        <f>Model!CY590</f>
        <v>57691</v>
      </c>
      <c r="D30" s="893">
        <f>Model!CZ590</f>
        <v>60967</v>
      </c>
      <c r="E30" s="893">
        <f>Model!DA590</f>
        <v>63980.48204184827</v>
      </c>
      <c r="F30" s="893">
        <f>Model!DB590</f>
        <v>63960.217183952715</v>
      </c>
      <c r="G30" s="893">
        <f>Model!DC590</f>
        <v>64301.63140570579</v>
      </c>
      <c r="H30" s="891"/>
      <c r="I30" s="916" t="s">
        <v>1086</v>
      </c>
      <c r="J30" s="916"/>
      <c r="K30" s="917">
        <f>(C49/$O$6)*100</f>
        <v>3.3731688556899648</v>
      </c>
      <c r="L30" s="917">
        <f>(D49/$O$6)*100</f>
        <v>3.5182513871174894</v>
      </c>
      <c r="M30" s="917">
        <f>(E49/$O$6)*100</f>
        <v>3.6270632856881342</v>
      </c>
      <c r="N30" s="917">
        <f>(F49/$O$6)*100</f>
        <v>3.6996045514018965</v>
      </c>
      <c r="O30" s="917">
        <f>(G49/$O$6)*100</f>
        <v>3.8084164499725404</v>
      </c>
    </row>
    <row r="31" spans="2:15" ht="33" customHeight="1">
      <c r="B31" s="918" t="s">
        <v>2126</v>
      </c>
      <c r="C31" s="916"/>
      <c r="D31" s="922">
        <f>(D30/C30)-1</f>
        <v>5.67852871331751E-2</v>
      </c>
      <c r="E31" s="922">
        <f>(E30/D30)-1</f>
        <v>4.9428084731875765E-2</v>
      </c>
      <c r="F31" s="922">
        <f>(F30/E30)-1</f>
        <v>-3.1673499868756227E-4</v>
      </c>
      <c r="G31" s="922">
        <f>(G30/F30)-1</f>
        <v>5.3379152977413025E-3</v>
      </c>
      <c r="H31" s="891"/>
      <c r="I31" s="891"/>
      <c r="J31" s="891"/>
      <c r="K31" s="891"/>
      <c r="L31" s="891"/>
      <c r="M31" s="891"/>
      <c r="N31" s="891"/>
      <c r="O31" s="891"/>
    </row>
    <row r="32" spans="2:15" ht="33" customHeight="1">
      <c r="B32" s="892" t="s">
        <v>2700</v>
      </c>
      <c r="C32" s="900"/>
      <c r="D32" s="891"/>
      <c r="E32" s="891"/>
      <c r="F32" s="891"/>
      <c r="G32" s="891"/>
      <c r="H32" s="891"/>
      <c r="I32" s="934" t="s">
        <v>1103</v>
      </c>
      <c r="J32" s="934"/>
      <c r="K32" s="932" t="s">
        <v>2662</v>
      </c>
      <c r="L32" s="933" t="str">
        <f>L18</f>
        <v>FY25A</v>
      </c>
      <c r="M32" s="933" t="str">
        <f t="shared" ref="M32:O32" si="4">M18</f>
        <v>FY26E</v>
      </c>
      <c r="N32" s="933" t="str">
        <f t="shared" si="4"/>
        <v>FY27E</v>
      </c>
      <c r="O32" s="933" t="str">
        <f t="shared" si="4"/>
        <v>FY28E</v>
      </c>
    </row>
    <row r="33" spans="2:20" ht="33" customHeight="1">
      <c r="B33" s="892" t="s">
        <v>581</v>
      </c>
      <c r="C33" s="893">
        <f>Model!CY237</f>
        <v>852755.12021857931</v>
      </c>
      <c r="D33" s="893">
        <f>Model!CZ237</f>
        <v>886616.00273972598</v>
      </c>
      <c r="E33" s="893">
        <f>Model!DA237</f>
        <v>951071.62911883998</v>
      </c>
      <c r="F33" s="893">
        <f>Model!DB237</f>
        <v>1004692.4440950126</v>
      </c>
      <c r="G33" s="893">
        <f>Model!DC237</f>
        <v>1052736.5290436463</v>
      </c>
      <c r="H33" s="891"/>
      <c r="I33" s="897" t="s">
        <v>2701</v>
      </c>
      <c r="J33" s="891"/>
      <c r="K33" s="891"/>
      <c r="L33" s="891"/>
      <c r="M33" s="891"/>
      <c r="N33" s="891"/>
      <c r="O33" s="891"/>
    </row>
    <row r="34" spans="2:20" ht="33" customHeight="1">
      <c r="B34" s="914" t="s">
        <v>2126</v>
      </c>
      <c r="C34" s="891"/>
      <c r="D34" s="923">
        <f>(D33/C33)-1</f>
        <v>3.9707627334406803E-2</v>
      </c>
      <c r="E34" s="923">
        <f>(E33/D33)-1</f>
        <v>7.269846943878755E-2</v>
      </c>
      <c r="F34" s="923">
        <f>(F33/E33)-1</f>
        <v>5.637936548044431E-2</v>
      </c>
      <c r="G34" s="923">
        <f>(G33/F33)-1</f>
        <v>4.7819693709262312E-2</v>
      </c>
      <c r="H34" s="891"/>
      <c r="I34" s="891" t="s">
        <v>2702</v>
      </c>
      <c r="J34" s="891"/>
      <c r="K34" s="923">
        <f>C17/C37</f>
        <v>0.13563716094157233</v>
      </c>
      <c r="L34" s="923">
        <f>D17/D37</f>
        <v>0.13559109045097359</v>
      </c>
      <c r="M34" s="923">
        <f>E17/E37</f>
        <v>0.14160241022314687</v>
      </c>
      <c r="N34" s="923">
        <f>F17/F37</f>
        <v>0.14480059284899846</v>
      </c>
      <c r="O34" s="923">
        <f>G17/G37</f>
        <v>0.14716997126982737</v>
      </c>
    </row>
    <row r="35" spans="2:20" ht="33" customHeight="1">
      <c r="B35" s="892" t="s">
        <v>470</v>
      </c>
      <c r="C35" s="893">
        <f>Model!CY239</f>
        <v>1144357</v>
      </c>
      <c r="D35" s="893">
        <f>Model!CZ239</f>
        <v>1153684</v>
      </c>
      <c r="E35" s="893">
        <f>Model!DA239</f>
        <v>1257080.5984766376</v>
      </c>
      <c r="F35" s="893">
        <f>Model!DB239</f>
        <v>1327954.0049765273</v>
      </c>
      <c r="G35" s="893">
        <f>Model!DC239</f>
        <v>1391456.3587544933</v>
      </c>
      <c r="H35" s="891"/>
      <c r="I35" s="891" t="s">
        <v>2217</v>
      </c>
      <c r="J35" s="891"/>
      <c r="K35" s="923">
        <f>C17/Model!CY702</f>
        <v>0.14670524714375205</v>
      </c>
      <c r="L35" s="923">
        <f>D17/Model!CZ702</f>
        <v>0.14617588443621257</v>
      </c>
      <c r="M35" s="923">
        <f>E17/Model!DA702</f>
        <v>0.15841182221237418</v>
      </c>
      <c r="N35" s="923">
        <f>F17/Model!DB702</f>
        <v>0.16168143285502518</v>
      </c>
      <c r="O35" s="923">
        <f>G17/Model!DC702</f>
        <v>0.16423099285982024</v>
      </c>
    </row>
    <row r="36" spans="2:20" ht="33" customHeight="1">
      <c r="B36" s="914" t="s">
        <v>2126</v>
      </c>
      <c r="C36" s="891"/>
      <c r="D36" s="923">
        <f>(D35/C35)-1</f>
        <v>8.1504285812905586E-3</v>
      </c>
      <c r="E36" s="923">
        <f>(E35/D35)-1</f>
        <v>8.9622980362592974E-2</v>
      </c>
      <c r="F36" s="923">
        <f>(F35/E35)-1</f>
        <v>5.6379365480444088E-2</v>
      </c>
      <c r="G36" s="923">
        <f>(G35/F35)-1</f>
        <v>4.7819693709262534E-2</v>
      </c>
      <c r="H36" s="891"/>
      <c r="I36" s="891" t="s">
        <v>2703</v>
      </c>
      <c r="J36" s="891"/>
      <c r="K36" s="924">
        <f>C17/C35</f>
        <v>8.5952198483515204E-3</v>
      </c>
      <c r="L36" s="924">
        <f>D17/D35</f>
        <v>8.8863154902035571E-3</v>
      </c>
      <c r="M36" s="924">
        <f>E17/E35</f>
        <v>8.8066621004623518E-3</v>
      </c>
      <c r="N36" s="924">
        <f>F17/F35</f>
        <v>8.6640738594346497E-3</v>
      </c>
      <c r="O36" s="924">
        <f>G17/G35</f>
        <v>8.4463377627984407E-3</v>
      </c>
    </row>
    <row r="37" spans="2:20" ht="33" customHeight="1">
      <c r="B37" s="892" t="s">
        <v>2170</v>
      </c>
      <c r="C37" s="893">
        <f>Model!CY701</f>
        <v>72517</v>
      </c>
      <c r="D37" s="893">
        <f>Model!CZ701</f>
        <v>75609.687671232881</v>
      </c>
      <c r="E37" s="893">
        <f>Model!DA701</f>
        <v>78181.466306857241</v>
      </c>
      <c r="F37" s="893">
        <f>Model!DB701</f>
        <v>79457.489466544415</v>
      </c>
      <c r="G37" s="893">
        <f>Model!DC701</f>
        <v>79858.073537883596</v>
      </c>
      <c r="H37" s="891"/>
      <c r="I37" s="925" t="s">
        <v>2704</v>
      </c>
      <c r="J37" s="925"/>
      <c r="K37" s="926">
        <f>C17/Model!CY703</f>
        <v>2.1120569121465767E-2</v>
      </c>
      <c r="L37" s="926">
        <f>D17/Model!CZ703</f>
        <v>2.1262331479496618E-2</v>
      </c>
      <c r="M37" s="926">
        <f>E17/Model!DA703</f>
        <v>2.1866066954689338E-2</v>
      </c>
      <c r="N37" s="926">
        <f>F17/Model!DB703</f>
        <v>2.1999931116664189E-2</v>
      </c>
      <c r="O37" s="926">
        <f>G17/Model!DC703</f>
        <v>2.202058395744207E-2</v>
      </c>
    </row>
    <row r="38" spans="2:20" ht="33" customHeight="1">
      <c r="B38" s="914" t="s">
        <v>2126</v>
      </c>
      <c r="C38" s="891"/>
      <c r="D38" s="923">
        <f>(D37/C37)-1</f>
        <v>4.2647760817916991E-2</v>
      </c>
      <c r="E38" s="923">
        <f>(E37/D37)-1</f>
        <v>3.4013877253494362E-2</v>
      </c>
      <c r="F38" s="923">
        <f>(F37/E37)-1</f>
        <v>1.6321299918817811E-2</v>
      </c>
      <c r="G38" s="923">
        <f>(G37/F37)-1</f>
        <v>5.0414891538681506E-3</v>
      </c>
      <c r="H38" s="891"/>
      <c r="I38" s="897" t="s">
        <v>2705</v>
      </c>
      <c r="J38" s="891"/>
      <c r="K38" s="891"/>
      <c r="L38" s="891"/>
      <c r="M38" s="891"/>
      <c r="N38" s="891"/>
      <c r="O38" s="891"/>
    </row>
    <row r="39" spans="2:20" ht="33" customHeight="1">
      <c r="B39" s="891"/>
      <c r="C39" s="891"/>
      <c r="D39" s="891"/>
      <c r="E39" s="891"/>
      <c r="F39" s="891"/>
      <c r="G39" s="891"/>
      <c r="H39" s="891"/>
      <c r="I39" s="891" t="s">
        <v>2702</v>
      </c>
      <c r="J39" s="891"/>
      <c r="K39" s="923">
        <f>C20/C37</f>
        <v>0.12954203841857773</v>
      </c>
      <c r="L39" s="923">
        <f>D20/D37</f>
        <v>0.13379237914573242</v>
      </c>
      <c r="M39" s="923">
        <f>E20/E37</f>
        <v>0.14060473131426257</v>
      </c>
      <c r="N39" s="923">
        <f>F20/F37</f>
        <v>0.14480059284899846</v>
      </c>
      <c r="O39" s="923">
        <f>G20/G37</f>
        <v>0.14716997126982737</v>
      </c>
      <c r="T39" s="938"/>
    </row>
    <row r="40" spans="2:20" ht="33" customHeight="1">
      <c r="B40" s="931" t="s">
        <v>2706</v>
      </c>
      <c r="C40" s="932" t="s">
        <v>2662</v>
      </c>
      <c r="D40" s="933" t="str">
        <f>D22</f>
        <v>FY25A</v>
      </c>
      <c r="E40" s="933" t="str">
        <f t="shared" ref="E40:G40" si="5">E22</f>
        <v>FY26E</v>
      </c>
      <c r="F40" s="933" t="str">
        <f t="shared" si="5"/>
        <v>FY27E</v>
      </c>
      <c r="G40" s="933" t="str">
        <f t="shared" si="5"/>
        <v>FY28E</v>
      </c>
      <c r="H40" s="891"/>
      <c r="I40" s="891" t="s">
        <v>2217</v>
      </c>
      <c r="J40" s="891"/>
      <c r="K40" s="923">
        <f>C20/Model!CY702</f>
        <v>0.14011275840467738</v>
      </c>
      <c r="L40" s="923">
        <f>D20/Model!CZ702</f>
        <v>0.1442367583843861</v>
      </c>
      <c r="M40" s="923">
        <f>E20/Model!DA702</f>
        <v>0.15729571032070397</v>
      </c>
      <c r="N40" s="923">
        <f>F20/Model!DB702</f>
        <v>0.16168143285502518</v>
      </c>
      <c r="O40" s="923">
        <f>G20/Model!DC702</f>
        <v>0.16423099285982024</v>
      </c>
    </row>
    <row r="41" spans="2:20" ht="33" customHeight="1">
      <c r="B41" s="897" t="s">
        <v>2707</v>
      </c>
      <c r="C41" s="927">
        <f>Model!CY730</f>
        <v>5.8792588164973099</v>
      </c>
      <c r="D41" s="927">
        <f>Model!CZ730</f>
        <v>6.1315789473684212</v>
      </c>
      <c r="E41" s="927">
        <f>Model!DA730</f>
        <v>6.620941479503661</v>
      </c>
      <c r="F41" s="927">
        <f>Model!DB730</f>
        <v>6.9106757534050773</v>
      </c>
      <c r="G41" s="927">
        <f>Model!DC730</f>
        <v>7.1177158852006777</v>
      </c>
      <c r="H41" s="891"/>
      <c r="I41" s="891" t="s">
        <v>2703</v>
      </c>
      <c r="J41" s="891"/>
      <c r="K41" s="924">
        <f>C20/C35</f>
        <v>8.2089767441454013E-3</v>
      </c>
      <c r="L41" s="924">
        <f>D20/D35</f>
        <v>8.7684322570131864E-3</v>
      </c>
      <c r="M41" s="924">
        <f>E20/E35</f>
        <v>8.7446135730294069E-3</v>
      </c>
      <c r="N41" s="924">
        <f>F20/F35</f>
        <v>8.6640738594346497E-3</v>
      </c>
      <c r="O41" s="924">
        <f>G20/G35</f>
        <v>8.4463377627984407E-3</v>
      </c>
    </row>
    <row r="42" spans="2:20" ht="33" customHeight="1">
      <c r="B42" s="914" t="s">
        <v>2126</v>
      </c>
      <c r="C42" s="891"/>
      <c r="D42" s="901">
        <f>(D41/C41)-1</f>
        <v>4.2916996639626781E-2</v>
      </c>
      <c r="E42" s="901">
        <f>(E41/D41)-1</f>
        <v>7.9810198373987618E-2</v>
      </c>
      <c r="F42" s="901">
        <f>(F41/E41)-1</f>
        <v>4.3760283155853674E-2</v>
      </c>
      <c r="G42" s="901">
        <f>(G41/F41)-1</f>
        <v>2.9959462603000198E-2</v>
      </c>
      <c r="H42" s="891"/>
      <c r="I42" s="916" t="s">
        <v>2704</v>
      </c>
      <c r="J42" s="916"/>
      <c r="K42" s="926">
        <f>C20/Model!CY703</f>
        <v>2.0171474819748819E-2</v>
      </c>
      <c r="L42" s="926">
        <f>D20/Model!CZ703</f>
        <v>2.0980271678364006E-2</v>
      </c>
      <c r="M42" s="926">
        <f>E20/Model!DA703</f>
        <v>2.1712006626291202E-2</v>
      </c>
      <c r="N42" s="926">
        <f>F20/Model!DB703</f>
        <v>2.1999931116664189E-2</v>
      </c>
      <c r="O42" s="926">
        <f>G20/Model!DC703</f>
        <v>2.202058395744207E-2</v>
      </c>
    </row>
    <row r="43" spans="2:20" ht="33" customHeight="1">
      <c r="B43" s="897" t="s">
        <v>2708</v>
      </c>
      <c r="C43" s="927">
        <f>Model!CY732</f>
        <v>5.8267937219730941</v>
      </c>
      <c r="D43" s="927">
        <f>Model!CZ732</f>
        <v>6.122409578628063</v>
      </c>
      <c r="E43" s="927">
        <f>Model!DA732</f>
        <v>6.6130311551553884</v>
      </c>
      <c r="F43" s="927">
        <f>Model!DB732</f>
        <v>6.9024192710234704</v>
      </c>
      <c r="G43" s="927">
        <f>Model!DC732</f>
        <v>7.1092120430439261</v>
      </c>
      <c r="H43" s="891"/>
      <c r="I43" s="897" t="s">
        <v>2709</v>
      </c>
      <c r="J43" s="891"/>
      <c r="K43" s="891"/>
      <c r="L43" s="891"/>
      <c r="M43" s="891"/>
      <c r="N43" s="891"/>
      <c r="O43" s="891"/>
    </row>
    <row r="44" spans="2:20" ht="33" customHeight="1">
      <c r="B44" s="914" t="s">
        <v>2126</v>
      </c>
      <c r="C44" s="891"/>
      <c r="D44" s="923">
        <f>(D43/C43)-1</f>
        <v>5.0733880545691612E-2</v>
      </c>
      <c r="E44" s="923">
        <f>(E43/D43)-1</f>
        <v>8.013537320991615E-2</v>
      </c>
      <c r="F44" s="923">
        <f>(F43/E43)-1</f>
        <v>4.3760283155853674E-2</v>
      </c>
      <c r="G44" s="923">
        <f>(G43/F43)-1</f>
        <v>2.9959462603000198E-2</v>
      </c>
      <c r="H44" s="891"/>
      <c r="I44" s="891" t="s">
        <v>528</v>
      </c>
      <c r="J44" s="891"/>
      <c r="K44" s="924">
        <f>C6</f>
        <v>1.994446762541207E-2</v>
      </c>
      <c r="L44" s="924">
        <f>D6</f>
        <v>2.0820197749844758E-2</v>
      </c>
      <c r="M44" s="924">
        <f>E6</f>
        <v>2.039396460737081E-2</v>
      </c>
      <c r="N44" s="924">
        <f>F6</f>
        <v>2.0384690890932745E-2</v>
      </c>
      <c r="O44" s="924">
        <f>G6</f>
        <v>2.0211602625635289E-2</v>
      </c>
    </row>
    <row r="45" spans="2:20" ht="33" customHeight="1">
      <c r="B45" s="897" t="s">
        <v>2710</v>
      </c>
      <c r="C45" s="927">
        <f>Model!CY728</f>
        <v>5.6150627615062758</v>
      </c>
      <c r="D45" s="927">
        <f>Model!CZ728</f>
        <v>6.0502392344497595</v>
      </c>
      <c r="E45" s="927">
        <f>Model!DA728</f>
        <v>6.5742927419528776</v>
      </c>
      <c r="F45" s="927">
        <f>Model!DB728</f>
        <v>6.9106757534050764</v>
      </c>
      <c r="G45" s="927">
        <f>Model!DC728</f>
        <v>7.1177158852006768</v>
      </c>
      <c r="H45" s="891"/>
      <c r="I45" s="891" t="s">
        <v>2711</v>
      </c>
      <c r="J45" s="891"/>
      <c r="K45" s="923">
        <f>-C11/C10</f>
        <v>0.44962096121292411</v>
      </c>
      <c r="L45" s="923">
        <f>-D11/D10</f>
        <v>0.45656068856490428</v>
      </c>
      <c r="M45" s="923">
        <f>-E11/E10</f>
        <v>0.45255049357467914</v>
      </c>
      <c r="N45" s="923">
        <f>-F11/F10</f>
        <v>0.4507166606960466</v>
      </c>
      <c r="O45" s="923">
        <f>-G11/G10</f>
        <v>0.45229839369719921</v>
      </c>
    </row>
    <row r="46" spans="2:20" ht="33" customHeight="1">
      <c r="B46" s="914" t="s">
        <v>2126</v>
      </c>
      <c r="C46" s="891"/>
      <c r="D46" s="923">
        <f>(D45/C45)-1</f>
        <v>7.7501622230620404E-2</v>
      </c>
      <c r="E46" s="923">
        <f>(E45/D45)-1</f>
        <v>8.6616989377739539E-2</v>
      </c>
      <c r="F46" s="923">
        <f>(F45/E45)-1</f>
        <v>5.1166418146490589E-2</v>
      </c>
      <c r="G46" s="923">
        <f>(G45/F45)-1</f>
        <v>2.9959462603000198E-2</v>
      </c>
      <c r="H46" s="891"/>
      <c r="I46" s="891" t="s">
        <v>2712</v>
      </c>
      <c r="J46" s="891"/>
      <c r="K46" s="928">
        <f>-(C11/Model!CY697)*10000</f>
        <v>96.452310655698881</v>
      </c>
      <c r="L46" s="928">
        <f>-(D11/Model!CZ697)*10000</f>
        <v>100.55764643339727</v>
      </c>
      <c r="M46" s="928">
        <f>-(E11/Model!DA697)*10000</f>
        <v>97.49646086465296</v>
      </c>
      <c r="N46" s="928">
        <f>-(F11/Model!DB697)*10000</f>
        <v>96.099351770356719</v>
      </c>
      <c r="O46" s="928">
        <f>-(G11/Model!DC697)*10000</f>
        <v>95.236493504503855</v>
      </c>
    </row>
    <row r="47" spans="2:20" ht="33" customHeight="1">
      <c r="B47" s="897" t="s">
        <v>2713</v>
      </c>
      <c r="C47" s="927">
        <f>Model!CY729</f>
        <v>5.5790358744394615</v>
      </c>
      <c r="D47" s="927">
        <f>Model!CZ729</f>
        <v>6.0411915038432964</v>
      </c>
      <c r="E47" s="927">
        <f>Model!DA729</f>
        <v>6.5664381508633287</v>
      </c>
      <c r="F47" s="927">
        <f>Model!DB729</f>
        <v>6.9024192710234695</v>
      </c>
      <c r="G47" s="927">
        <f>Model!DC729</f>
        <v>7.1092120430439252</v>
      </c>
      <c r="H47" s="891"/>
      <c r="I47" s="891" t="s">
        <v>2714</v>
      </c>
      <c r="J47" s="891"/>
      <c r="K47" s="923">
        <f>-C15/C14</f>
        <v>0.30507277094814189</v>
      </c>
      <c r="L47" s="923">
        <f>-D15/D14</f>
        <v>0.30461914128739065</v>
      </c>
      <c r="M47" s="923">
        <f>-E15/E14</f>
        <v>0.29996160544896333</v>
      </c>
      <c r="N47" s="923">
        <f>-F15/F14</f>
        <v>0.3</v>
      </c>
      <c r="O47" s="923">
        <f>-G15/G14</f>
        <v>0.30000000000000004</v>
      </c>
    </row>
    <row r="48" spans="2:20" ht="33" customHeight="1">
      <c r="B48" s="914" t="s">
        <v>2126</v>
      </c>
      <c r="C48" s="891"/>
      <c r="D48" s="923">
        <f>(D47/C47)-1</f>
        <v>8.2837902427051358E-2</v>
      </c>
      <c r="E48" s="923">
        <f>(E47/D47)-1</f>
        <v>8.6944214015708621E-2</v>
      </c>
      <c r="F48" s="923">
        <f>(F47/E47)-1</f>
        <v>5.1166418146490589E-2</v>
      </c>
      <c r="G48" s="923">
        <f>(G47/F47)-1</f>
        <v>2.9959462603000198E-2</v>
      </c>
      <c r="H48" s="891"/>
      <c r="I48" s="925" t="s">
        <v>2715</v>
      </c>
      <c r="J48" s="925"/>
      <c r="K48" s="929">
        <f>C23/C25</f>
        <v>1.0738457077748658</v>
      </c>
      <c r="L48" s="929">
        <f>D23/D25</f>
        <v>1.0811125789965847</v>
      </c>
      <c r="M48" s="929">
        <f>E23/E25</f>
        <v>1.0777417030924681</v>
      </c>
      <c r="N48" s="929">
        <f>F23/F25</f>
        <v>1.0792257278706876</v>
      </c>
      <c r="O48" s="929">
        <f>G23/G25</f>
        <v>1.0770590805376601</v>
      </c>
    </row>
    <row r="49" spans="2:15" ht="33" customHeight="1">
      <c r="B49" s="897" t="s">
        <v>2716</v>
      </c>
      <c r="C49" s="927">
        <f>Model!CY735</f>
        <v>4.6500000000000004</v>
      </c>
      <c r="D49" s="927">
        <f>Model!CZ735</f>
        <v>4.8499999999999996</v>
      </c>
      <c r="E49" s="927">
        <f>Model!DA735</f>
        <v>5</v>
      </c>
      <c r="F49" s="927">
        <f>Model!DB735</f>
        <v>5.0999999999999996</v>
      </c>
      <c r="G49" s="927">
        <f>Model!DC735</f>
        <v>5.25</v>
      </c>
      <c r="H49" s="891"/>
      <c r="I49" s="897" t="s">
        <v>570</v>
      </c>
      <c r="J49" s="891"/>
      <c r="K49" s="891"/>
      <c r="L49" s="891"/>
      <c r="M49" s="891"/>
      <c r="N49" s="891"/>
      <c r="O49" s="891"/>
    </row>
    <row r="50" spans="2:15" ht="33" customHeight="1">
      <c r="B50" s="914" t="s">
        <v>2126</v>
      </c>
      <c r="C50" s="891"/>
      <c r="D50" s="923">
        <f>IFERROR((D49/C49)-1,0)</f>
        <v>4.3010752688171783E-2</v>
      </c>
      <c r="E50" s="923">
        <f>IFERROR((E49/D49)-1,0)</f>
        <v>3.0927835051546504E-2</v>
      </c>
      <c r="F50" s="923">
        <f>IFERROR((F49/E49)-1,0)</f>
        <v>2.0000000000000018E-2</v>
      </c>
      <c r="G50" s="923">
        <f>IFERROR((G49/F49)-1,0)</f>
        <v>2.941176470588247E-2</v>
      </c>
      <c r="H50" s="891"/>
      <c r="I50" s="891" t="s">
        <v>2717</v>
      </c>
      <c r="J50" s="891"/>
      <c r="K50" s="930">
        <f>(Model!CY811)*10000</f>
        <v>9.4048101381605331</v>
      </c>
      <c r="L50" s="930">
        <f>(Model!CZ811)*10000</f>
        <v>8.1884378102424549</v>
      </c>
      <c r="M50" s="930">
        <f>(Model!DA811)*10000</f>
        <v>7.5491912722597609</v>
      </c>
      <c r="N50" s="930">
        <f>(Model!DB811)*10000</f>
        <v>9.0149070886557823</v>
      </c>
      <c r="O50" s="930">
        <f>(Model!DC811)*10000</f>
        <v>10.487299927845154</v>
      </c>
    </row>
    <row r="51" spans="2:15" ht="33" customHeight="1">
      <c r="B51" s="891" t="s">
        <v>2718</v>
      </c>
      <c r="C51" s="901">
        <f>Model!CY838</f>
        <v>0.79091602277348527</v>
      </c>
      <c r="D51" s="901">
        <f>Model!CZ838</f>
        <v>0.79098712446351926</v>
      </c>
      <c r="E51" s="901">
        <f>Model!DA838</f>
        <v>0.75517960934686057</v>
      </c>
      <c r="F51" s="901">
        <f>Model!DB838</f>
        <v>0.73798861095271207</v>
      </c>
      <c r="G51" s="901">
        <f>Model!DC838</f>
        <v>0.73759617336172745</v>
      </c>
      <c r="H51" s="891"/>
      <c r="I51" s="891" t="s">
        <v>2719</v>
      </c>
      <c r="J51" s="891"/>
      <c r="K51" s="924">
        <f>Model!CY813</f>
        <v>8.2679233263229842E-3</v>
      </c>
      <c r="L51" s="924">
        <f>Model!CZ813</f>
        <v>1.0850858393437805E-2</v>
      </c>
      <c r="M51" s="924">
        <f>Model!DA813</f>
        <v>9.1999999999999998E-3</v>
      </c>
      <c r="N51" s="924">
        <f>Model!DB813</f>
        <v>1.0699999999999999E-2</v>
      </c>
      <c r="O51" s="924">
        <f>Model!DC813</f>
        <v>1.1699999999999999E-2</v>
      </c>
    </row>
    <row r="52" spans="2:15" ht="33" customHeight="1">
      <c r="B52" s="895" t="s">
        <v>2139</v>
      </c>
      <c r="C52" s="906">
        <f>Model!CY138</f>
        <v>1</v>
      </c>
      <c r="D52" s="906">
        <f>Model!CZ138</f>
        <v>1</v>
      </c>
      <c r="E52" s="906">
        <f>Model!DA138</f>
        <v>1</v>
      </c>
      <c r="F52" s="906">
        <f>Model!DB138</f>
        <v>1</v>
      </c>
      <c r="G52" s="906">
        <f>Model!DC138</f>
        <v>1</v>
      </c>
      <c r="H52" s="891"/>
      <c r="I52" s="891" t="s">
        <v>2190</v>
      </c>
      <c r="J52" s="891"/>
      <c r="K52" s="924">
        <f>Model!CY817</f>
        <v>1.4639189729081858E-2</v>
      </c>
      <c r="L52" s="924">
        <f>Model!CZ817</f>
        <v>1.3939858821642E-2</v>
      </c>
      <c r="M52" s="924">
        <f>Model!DA817</f>
        <v>1.3200263320639441E-2</v>
      </c>
      <c r="N52" s="924">
        <f>Model!DB817</f>
        <v>1.2892450888513797E-2</v>
      </c>
      <c r="O52" s="924">
        <f>Model!DC817</f>
        <v>1.2798205718521151E-2</v>
      </c>
    </row>
    <row r="53" spans="2:15" ht="33" customHeight="1">
      <c r="B53" s="897" t="s">
        <v>402</v>
      </c>
      <c r="C53" s="927">
        <f>Model!CY742</f>
        <v>43.708097560961605</v>
      </c>
      <c r="D53" s="927">
        <f>Model!CZ742</f>
        <v>47.119281080739064</v>
      </c>
      <c r="E53" s="927">
        <f>Model!DA742</f>
        <v>47.532414759103645</v>
      </c>
      <c r="F53" s="927">
        <f>Model!DB742</f>
        <v>48.093859444407663</v>
      </c>
      <c r="G53" s="927">
        <f>Model!DC742</f>
        <v>48.794314888902896</v>
      </c>
      <c r="H53" s="891"/>
      <c r="I53" s="916" t="s">
        <v>2194</v>
      </c>
      <c r="J53" s="916"/>
      <c r="K53" s="896">
        <f>Model!CY823</f>
        <v>1.6561207631922772E-2</v>
      </c>
      <c r="L53" s="896">
        <f>Model!CZ823</f>
        <v>1.5985340713111137E-2</v>
      </c>
      <c r="M53" s="896">
        <f>Model!DA823</f>
        <v>1.5033453446986412E-2</v>
      </c>
      <c r="N53" s="896">
        <f>Model!DB823</f>
        <v>1.442244531329352E-2</v>
      </c>
      <c r="O53" s="896">
        <f>Model!DC823</f>
        <v>1.3959530866072972E-2</v>
      </c>
    </row>
    <row r="54" spans="2:15" ht="33" customHeight="1">
      <c r="B54" s="897" t="s">
        <v>2720</v>
      </c>
      <c r="C54" s="927">
        <f>Model!CY743</f>
        <v>40.436105418383697</v>
      </c>
      <c r="D54" s="927">
        <f>Model!CZ743</f>
        <v>43.844450371931231</v>
      </c>
      <c r="E54" s="927">
        <f>Model!DA743</f>
        <v>42.571059393558514</v>
      </c>
      <c r="F54" s="927">
        <f>Model!DB743</f>
        <v>43.089717363759164</v>
      </c>
      <c r="G54" s="927">
        <f>Model!DC743</f>
        <v>43.750227726627131</v>
      </c>
      <c r="H54" s="891"/>
      <c r="I54" s="897" t="s">
        <v>620</v>
      </c>
      <c r="J54" s="891"/>
      <c r="K54" s="891"/>
      <c r="L54" s="891"/>
      <c r="M54" s="891"/>
      <c r="N54" s="891"/>
      <c r="O54" s="891"/>
    </row>
    <row r="55" spans="2:15" ht="33" customHeight="1">
      <c r="B55" s="891" t="s">
        <v>2672</v>
      </c>
      <c r="C55" s="900">
        <f>Model!CY543</f>
        <v>1672.0700300000001</v>
      </c>
      <c r="D55" s="900">
        <f>Model!CZ543</f>
        <v>1671.842146</v>
      </c>
      <c r="E55" s="900">
        <f>Model!DA543</f>
        <v>1672.123722</v>
      </c>
      <c r="F55" s="900">
        <f>Model!DB543</f>
        <v>1657.8266296797287</v>
      </c>
      <c r="G55" s="900">
        <f>Model!DC543</f>
        <v>1644.6979865940805</v>
      </c>
      <c r="H55" s="891"/>
      <c r="I55" s="891" t="s">
        <v>2721</v>
      </c>
      <c r="J55" s="891"/>
      <c r="K55" s="923">
        <f>Model!CY834</f>
        <v>0.12338974785638358</v>
      </c>
      <c r="L55" s="923">
        <f>Model!CZ834</f>
        <v>0.12288141571516391</v>
      </c>
      <c r="M55" s="923">
        <f>Model!DA834</f>
        <v>0.12345864424231444</v>
      </c>
      <c r="N55" s="923">
        <f>Model!DB834</f>
        <v>0.12123661212591444</v>
      </c>
      <c r="O55" s="923">
        <f>Model!DC834</f>
        <v>0.11913308256494999</v>
      </c>
    </row>
    <row r="56" spans="2:15" ht="33" customHeight="1">
      <c r="B56" s="891" t="s">
        <v>2722</v>
      </c>
      <c r="C56" s="900">
        <f>Model!CY544</f>
        <v>1673</v>
      </c>
      <c r="D56" s="900">
        <f>Model!CZ544</f>
        <v>1672</v>
      </c>
      <c r="E56" s="900">
        <f>Model!DA544</f>
        <v>1672.070973305242</v>
      </c>
      <c r="F56" s="900">
        <f>Model!DB544</f>
        <v>1664.8866176914196</v>
      </c>
      <c r="G56" s="900">
        <f>Model!DC544</f>
        <v>1651.1912779028742</v>
      </c>
      <c r="H56" s="891"/>
      <c r="I56" s="891" t="s">
        <v>544</v>
      </c>
      <c r="J56" s="891"/>
      <c r="K56" s="923">
        <f>Model!CY836</f>
        <v>0.14322073955568485</v>
      </c>
      <c r="L56" s="923">
        <f>Model!CZ836</f>
        <v>0.13881828900825363</v>
      </c>
      <c r="M56" s="923">
        <f>Model!DA836</f>
        <v>0.13871622700615602</v>
      </c>
      <c r="N56" s="923">
        <f>Model!DB836</f>
        <v>0.1362243331544809</v>
      </c>
      <c r="O56" s="923">
        <f>Model!DC836</f>
        <v>0.13378255977490883</v>
      </c>
    </row>
    <row r="57" spans="2:15" ht="33" customHeight="1">
      <c r="B57" s="935" t="s">
        <v>2723</v>
      </c>
      <c r="C57" s="936">
        <f>Model!CY545</f>
        <v>1784</v>
      </c>
      <c r="D57" s="936">
        <f>Model!CZ545</f>
        <v>1674.504109589041</v>
      </c>
      <c r="E57" s="936">
        <f>Model!DA545</f>
        <v>1674.0710582015402</v>
      </c>
      <c r="F57" s="936">
        <f>Model!DB545</f>
        <v>1666.8781088609069</v>
      </c>
      <c r="G57" s="936">
        <f>Model!DC545</f>
        <v>1653.1663870869686</v>
      </c>
      <c r="H57" s="935"/>
      <c r="I57" s="935" t="s">
        <v>652</v>
      </c>
      <c r="J57" s="935"/>
      <c r="K57" s="937">
        <f>Model!CY837</f>
        <v>0.20915579263010881</v>
      </c>
      <c r="L57" s="937">
        <f>Model!CZ837</f>
        <v>0.20901752511866489</v>
      </c>
      <c r="M57" s="937">
        <f>Model!DA837</f>
        <v>0.20517684409083492</v>
      </c>
      <c r="N57" s="937">
        <f>Model!DB837</f>
        <v>0.20152762199453078</v>
      </c>
      <c r="O57" s="937">
        <f>Model!DC837</f>
        <v>0.19772087292838969</v>
      </c>
    </row>
  </sheetData>
  <mergeCells count="15">
    <mergeCell ref="M14:N14"/>
    <mergeCell ref="M15:N15"/>
    <mergeCell ref="I18:J18"/>
    <mergeCell ref="M8:N8"/>
    <mergeCell ref="M9:N9"/>
    <mergeCell ref="M10:N10"/>
    <mergeCell ref="M11:N11"/>
    <mergeCell ref="N12:O12"/>
    <mergeCell ref="M13:N13"/>
    <mergeCell ref="M7:N7"/>
    <mergeCell ref="B2:H2"/>
    <mergeCell ref="I2:O2"/>
    <mergeCell ref="I4:O4"/>
    <mergeCell ref="M5:N5"/>
    <mergeCell ref="M6:N6"/>
  </mergeCells>
  <pageMargins left="0.7" right="0.7" top="0.75" bottom="0.75" header="0.3" footer="0.3"/>
  <pageSetup paperSize="9" orientation="portrait" r:id="rId1"/>
  <customProperties>
    <customPr name="Qube.Worksheet.Visibility"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0B87-934A-4EB3-90FB-AC5202FF5250}">
  <sheetPr>
    <pageSetUpPr autoPageBreaks="0"/>
  </sheetPr>
  <dimension ref="B2:BG78"/>
  <sheetViews>
    <sheetView zoomScaleNormal="100" workbookViewId="0">
      <pane xSplit="2" ySplit="4" topLeftCell="AL5" activePane="bottomRight" state="frozen"/>
      <selection pane="topRight" activeCell="C1" sqref="C1"/>
      <selection pane="bottomLeft" activeCell="A5" sqref="A5"/>
      <selection pane="bottomRight" activeCell="AS35" sqref="AS35"/>
    </sheetView>
  </sheetViews>
  <sheetFormatPr defaultColWidth="9" defaultRowHeight="12.75" outlineLevelRow="1" outlineLevelCol="1"/>
  <cols>
    <col min="1" max="1" width="9" style="852"/>
    <col min="2" max="2" width="34.75" style="852" bestFit="1" customWidth="1"/>
    <col min="3" max="12" width="9" style="852" customWidth="1" outlineLevel="1"/>
    <col min="13" max="13" width="12.5" style="852" bestFit="1" customWidth="1"/>
    <col min="14" max="30" width="9" style="852"/>
    <col min="31" max="38" width="9" style="852" customWidth="1" outlineLevel="1"/>
    <col min="39" max="39" width="9" style="852"/>
    <col min="40" max="44" width="9" style="852" customWidth="1" outlineLevel="1"/>
    <col min="45" max="47" width="9" style="852"/>
    <col min="48" max="48" width="9.25" style="854" bestFit="1" customWidth="1"/>
    <col min="49" max="49" width="9.25" style="852" bestFit="1" customWidth="1"/>
    <col min="50" max="53" width="9" style="852"/>
    <col min="54" max="57" width="9" style="852" customWidth="1" outlineLevel="1"/>
    <col min="58" max="16384" width="9" style="852"/>
  </cols>
  <sheetData>
    <row r="2" spans="2:57">
      <c r="C2" s="3" t="str">
        <f>Model!AH1</f>
        <v>1H17A</v>
      </c>
      <c r="D2" s="3" t="str">
        <f>Model!AI1</f>
        <v>2H17A</v>
      </c>
      <c r="E2" s="3" t="str">
        <f>Model!AJ1</f>
        <v>1H18A</v>
      </c>
      <c r="F2" s="3" t="str">
        <f>Model!AK1</f>
        <v>2H18A</v>
      </c>
      <c r="G2" s="3" t="str">
        <f>Model!AL1</f>
        <v>1H19A</v>
      </c>
      <c r="H2" s="3" t="str">
        <f>Model!AM1</f>
        <v>2H19A</v>
      </c>
      <c r="I2" s="3" t="str">
        <f>Model!AN1</f>
        <v>1H20A</v>
      </c>
      <c r="J2" s="3" t="str">
        <f>Model!AO1</f>
        <v>2H20A</v>
      </c>
      <c r="K2" s="3" t="str">
        <f>Model!AP1</f>
        <v>1H21A</v>
      </c>
      <c r="L2" s="3" t="str">
        <f>Model!AQ1</f>
        <v>2H21A</v>
      </c>
      <c r="M2" s="3" t="str">
        <f>Model!AR1</f>
        <v>1H22A</v>
      </c>
      <c r="N2" s="3" t="str">
        <f>Model!AS1</f>
        <v>2H22A</v>
      </c>
      <c r="O2" s="3" t="str">
        <f>Model!AT1</f>
        <v>1H23A</v>
      </c>
      <c r="P2" s="3" t="str">
        <f>Model!AU1</f>
        <v>2H23A</v>
      </c>
      <c r="Q2" s="3" t="str">
        <f>Model!AV1</f>
        <v>1H24A</v>
      </c>
      <c r="R2" s="3" t="str">
        <f>Model!AW1</f>
        <v>2H24A</v>
      </c>
      <c r="S2" s="3" t="str">
        <f>Model!AX1</f>
        <v>1H25A</v>
      </c>
      <c r="T2" s="4" t="str">
        <f>Model!AY1</f>
        <v>2H25A</v>
      </c>
      <c r="U2" s="3" t="str">
        <f>Model!AZ1</f>
        <v>1H26A</v>
      </c>
      <c r="V2" s="3" t="str">
        <f>Model!BA1</f>
        <v>2H26E</v>
      </c>
      <c r="W2" s="3" t="str">
        <f>Model!BB1</f>
        <v>1H27E</v>
      </c>
      <c r="X2" s="3" t="str">
        <f>Model!BC1</f>
        <v>2H27E</v>
      </c>
      <c r="Y2" s="3" t="str">
        <f>Model!BD1</f>
        <v>1H28E</v>
      </c>
      <c r="Z2" s="3" t="str">
        <f>Model!BE1</f>
        <v>2H28E</v>
      </c>
      <c r="AA2" s="3" t="str">
        <f>Model!BF1</f>
        <v>1H29E</v>
      </c>
      <c r="AB2" s="3" t="str">
        <f>Model!BG1</f>
        <v>2H29E</v>
      </c>
      <c r="AC2" s="3" t="str">
        <f>Model!BH1</f>
        <v>1H30E</v>
      </c>
      <c r="AD2" s="3" t="str">
        <f>Model!BI1</f>
        <v>2H30E</v>
      </c>
      <c r="AE2" s="3" t="str">
        <f>Model!BJ1</f>
        <v>1H31E</v>
      </c>
      <c r="AF2" s="3" t="str">
        <f>Model!BK1</f>
        <v>2H31E</v>
      </c>
      <c r="AG2" s="3" t="str">
        <f>Model!BL1</f>
        <v>1H32E</v>
      </c>
      <c r="AH2" s="3" t="str">
        <f>Model!BM1</f>
        <v>2H32E</v>
      </c>
      <c r="AI2" s="3" t="str">
        <f>Model!BN1</f>
        <v>1H33E</v>
      </c>
      <c r="AJ2" s="3" t="str">
        <f>Model!BO1</f>
        <v>2H33E</v>
      </c>
      <c r="AK2" s="3" t="str">
        <f>Model!BP1</f>
        <v>1H34E</v>
      </c>
      <c r="AL2" s="3" t="str">
        <f>Model!BQ1</f>
        <v>2H34E</v>
      </c>
      <c r="AN2" s="3" t="str">
        <f>Model!CR1</f>
        <v>FY17A</v>
      </c>
      <c r="AO2" s="3" t="str">
        <f>Model!CS1</f>
        <v>FY18A</v>
      </c>
      <c r="AP2" s="3" t="str">
        <f>Model!CT1</f>
        <v>FY19A</v>
      </c>
      <c r="AQ2" s="3" t="str">
        <f>Model!CU1</f>
        <v>FY20A</v>
      </c>
      <c r="AR2" s="3" t="str">
        <f>Model!CV1</f>
        <v>FY21A</v>
      </c>
      <c r="AS2" s="3" t="str">
        <f>Model!CW1</f>
        <v>FY22A</v>
      </c>
      <c r="AT2" s="3" t="str">
        <f>Model!CX1</f>
        <v>FY23A</v>
      </c>
      <c r="AU2" s="3" t="str">
        <f>Model!CY1</f>
        <v>FY24A</v>
      </c>
      <c r="AV2" s="4" t="str">
        <f>Model!CZ1</f>
        <v>FY25A</v>
      </c>
      <c r="AW2" s="3" t="str">
        <f>Model!DA1</f>
        <v>FY26E</v>
      </c>
      <c r="AX2" s="3" t="str">
        <f>Model!DB1</f>
        <v>FY27E</v>
      </c>
      <c r="AY2" s="3" t="str">
        <f>Model!DC1</f>
        <v>FY28E</v>
      </c>
      <c r="AZ2" s="3" t="str">
        <f>Model!DD1</f>
        <v>FY29E</v>
      </c>
      <c r="BA2" s="3" t="str">
        <f>Model!DE1</f>
        <v>FY30E</v>
      </c>
      <c r="BB2" s="3" t="str">
        <f>Model!DF1</f>
        <v>FY31E</v>
      </c>
      <c r="BC2" s="3" t="str">
        <f>Model!DG1</f>
        <v>FY32E</v>
      </c>
      <c r="BD2" s="3" t="str">
        <f>Model!DH1</f>
        <v>FY33E</v>
      </c>
      <c r="BE2" s="3" t="str">
        <f>Model!DI1</f>
        <v>FY34E</v>
      </c>
    </row>
    <row r="3" spans="2:57">
      <c r="C3" s="7">
        <f>Model!AH3</f>
        <v>42735</v>
      </c>
      <c r="D3" s="7">
        <f>Model!AI3</f>
        <v>42916</v>
      </c>
      <c r="E3" s="7">
        <f>Model!AJ3</f>
        <v>43100</v>
      </c>
      <c r="F3" s="7">
        <f>Model!AK3</f>
        <v>43281</v>
      </c>
      <c r="G3" s="7">
        <f>Model!AL3</f>
        <v>43465</v>
      </c>
      <c r="H3" s="7">
        <f>Model!AM3</f>
        <v>43646</v>
      </c>
      <c r="I3" s="7">
        <f>Model!AN3</f>
        <v>43830</v>
      </c>
      <c r="J3" s="7">
        <f>Model!AO3</f>
        <v>44012</v>
      </c>
      <c r="K3" s="7">
        <f>Model!AP3</f>
        <v>44196</v>
      </c>
      <c r="L3" s="7">
        <f>Model!AQ3</f>
        <v>44377</v>
      </c>
      <c r="M3" s="7">
        <f>Model!AR3</f>
        <v>44561</v>
      </c>
      <c r="N3" s="7">
        <f>Model!AS3</f>
        <v>44742</v>
      </c>
      <c r="O3" s="7">
        <f>Model!AT3</f>
        <v>44926</v>
      </c>
      <c r="P3" s="7">
        <f>Model!AU3</f>
        <v>45107</v>
      </c>
      <c r="Q3" s="7">
        <f>Model!AV3</f>
        <v>45291</v>
      </c>
      <c r="R3" s="7">
        <f>Model!AW3</f>
        <v>45473</v>
      </c>
      <c r="S3" s="7">
        <f>Model!AX3</f>
        <v>45657</v>
      </c>
      <c r="T3" s="8">
        <f>Model!AY3</f>
        <v>45838</v>
      </c>
      <c r="U3" s="7">
        <f>Model!AZ3</f>
        <v>46022</v>
      </c>
      <c r="V3" s="7">
        <f>Model!BA3</f>
        <v>46203</v>
      </c>
      <c r="W3" s="7">
        <f>Model!BB3</f>
        <v>46387</v>
      </c>
      <c r="X3" s="7">
        <f>Model!BC3</f>
        <v>46568</v>
      </c>
      <c r="Y3" s="7">
        <f>Model!BD3</f>
        <v>46752</v>
      </c>
      <c r="Z3" s="7">
        <f>Model!BE3</f>
        <v>46934</v>
      </c>
      <c r="AA3" s="7">
        <f>Model!BF3</f>
        <v>47118</v>
      </c>
      <c r="AB3" s="7">
        <f>Model!BG3</f>
        <v>47299</v>
      </c>
      <c r="AC3" s="7">
        <f>Model!BH3</f>
        <v>47483</v>
      </c>
      <c r="AD3" s="7">
        <f>Model!BI3</f>
        <v>47664</v>
      </c>
      <c r="AE3" s="7">
        <f>Model!BJ3</f>
        <v>47848</v>
      </c>
      <c r="AF3" s="7">
        <f>Model!BK3</f>
        <v>48029</v>
      </c>
      <c r="AG3" s="7">
        <f>Model!BL3</f>
        <v>48213</v>
      </c>
      <c r="AH3" s="7">
        <f>Model!BM3</f>
        <v>48395</v>
      </c>
      <c r="AI3" s="7">
        <f>Model!BN3</f>
        <v>48579</v>
      </c>
      <c r="AJ3" s="7">
        <f>Model!BO3</f>
        <v>48760</v>
      </c>
      <c r="AK3" s="7">
        <f>Model!BP3</f>
        <v>48944</v>
      </c>
      <c r="AL3" s="7">
        <f>Model!BQ3</f>
        <v>49125</v>
      </c>
      <c r="AN3" s="7">
        <f>Model!CR3</f>
        <v>42916</v>
      </c>
      <c r="AO3" s="7">
        <f>Model!CS3</f>
        <v>43281</v>
      </c>
      <c r="AP3" s="7">
        <f>Model!CT3</f>
        <v>43646</v>
      </c>
      <c r="AQ3" s="7">
        <f>Model!CU3</f>
        <v>44012</v>
      </c>
      <c r="AR3" s="7">
        <f>Model!CV3</f>
        <v>44377</v>
      </c>
      <c r="AS3" s="7">
        <f>Model!CW3</f>
        <v>44742</v>
      </c>
      <c r="AT3" s="7">
        <f>Model!CX3</f>
        <v>45107</v>
      </c>
      <c r="AU3" s="7">
        <f>Model!CY3</f>
        <v>45473</v>
      </c>
      <c r="AV3" s="8">
        <f>Model!CZ3</f>
        <v>45838</v>
      </c>
      <c r="AW3" s="7">
        <f>Model!DA3</f>
        <v>46203</v>
      </c>
      <c r="AX3" s="7">
        <f>Model!DB3</f>
        <v>46568</v>
      </c>
      <c r="AY3" s="7">
        <f>Model!DC3</f>
        <v>46934</v>
      </c>
      <c r="AZ3" s="7">
        <f>Model!DD3</f>
        <v>47299</v>
      </c>
      <c r="BA3" s="7">
        <f>Model!DE3</f>
        <v>47664</v>
      </c>
      <c r="BB3" s="7">
        <f>Model!DF3</f>
        <v>48029</v>
      </c>
      <c r="BC3" s="7">
        <f>Model!DG3</f>
        <v>48395</v>
      </c>
      <c r="BD3" s="7">
        <f>Model!DH3</f>
        <v>48760</v>
      </c>
      <c r="BE3" s="7">
        <f>Model!DI3</f>
        <v>49125</v>
      </c>
    </row>
    <row r="4" spans="2:57">
      <c r="C4" s="14">
        <f>Model!AH5</f>
        <v>1.9836956521739131</v>
      </c>
      <c r="D4" s="14">
        <f>Model!AI5</f>
        <v>2.0165745856353592</v>
      </c>
      <c r="E4" s="14">
        <f>Model!AJ5</f>
        <v>1.9836956521739131</v>
      </c>
      <c r="F4" s="14">
        <f>Model!AK5</f>
        <v>2.0165745856353592</v>
      </c>
      <c r="G4" s="14">
        <f>Model!AL5</f>
        <v>1.9836956521739131</v>
      </c>
      <c r="H4" s="14">
        <f>Model!AM5</f>
        <v>2.0165745856353592</v>
      </c>
      <c r="I4" s="14">
        <f>Model!AN5</f>
        <v>1.9891304347826086</v>
      </c>
      <c r="J4" s="14">
        <f>Model!AO5</f>
        <v>2.0109890109890109</v>
      </c>
      <c r="K4" s="14">
        <f>Model!AP5</f>
        <v>1.9836956521739131</v>
      </c>
      <c r="L4" s="14">
        <f>Model!AQ5</f>
        <v>2.0165745856353592</v>
      </c>
      <c r="M4" s="14">
        <f>Model!AR5</f>
        <v>1.9836956521739131</v>
      </c>
      <c r="N4" s="14">
        <f>Model!AS5</f>
        <v>2.0165745856353592</v>
      </c>
      <c r="O4" s="14">
        <f>Model!AT5</f>
        <v>1.9836956521739131</v>
      </c>
      <c r="P4" s="14">
        <f>Model!AU5</f>
        <v>2.0165745856353592</v>
      </c>
      <c r="Q4" s="14">
        <f>Model!AV5</f>
        <v>1.9891304347826086</v>
      </c>
      <c r="R4" s="14">
        <f>Model!AW5</f>
        <v>2.0109890109890109</v>
      </c>
      <c r="S4" s="14">
        <f>Model!AX5</f>
        <v>1.9836956521739131</v>
      </c>
      <c r="T4" s="15">
        <f>Model!AY5</f>
        <v>2.0165745856353592</v>
      </c>
      <c r="U4" s="14">
        <f>Model!AZ5</f>
        <v>1.9836956521739131</v>
      </c>
      <c r="V4" s="14">
        <f>Model!BA5</f>
        <v>2.0165745856353592</v>
      </c>
      <c r="W4" s="14">
        <f>Model!BB5</f>
        <v>1.9836956521739131</v>
      </c>
      <c r="X4" s="14">
        <f>Model!BC5</f>
        <v>2.0165745856353592</v>
      </c>
      <c r="Y4" s="14">
        <f>Model!BD5</f>
        <v>1.9891304347826086</v>
      </c>
      <c r="Z4" s="14">
        <f>Model!BE5</f>
        <v>2.0109890109890109</v>
      </c>
      <c r="AA4" s="14">
        <f>Model!BF5</f>
        <v>1.9836956521739131</v>
      </c>
      <c r="AB4" s="14">
        <f>Model!BG5</f>
        <v>2.0165745856353592</v>
      </c>
      <c r="AC4" s="14">
        <f>Model!BH5</f>
        <v>1.9836956521739131</v>
      </c>
      <c r="AD4" s="14">
        <f>Model!BI5</f>
        <v>2.0165745856353592</v>
      </c>
      <c r="AE4" s="14">
        <f>Model!BJ5</f>
        <v>1.9836956521739131</v>
      </c>
      <c r="AF4" s="14">
        <f>Model!BK5</f>
        <v>2.0165745856353592</v>
      </c>
      <c r="AG4" s="14">
        <f>Model!BL5</f>
        <v>1.9891304347826086</v>
      </c>
      <c r="AH4" s="14">
        <f>Model!BM5</f>
        <v>2.0109890109890109</v>
      </c>
      <c r="AI4" s="14">
        <f>Model!BN5</f>
        <v>1.9836956521739131</v>
      </c>
      <c r="AJ4" s="14">
        <f>Model!BO5</f>
        <v>2.0165745856353592</v>
      </c>
      <c r="AK4" s="14">
        <f>Model!BP5</f>
        <v>1.9836956521739131</v>
      </c>
      <c r="AL4" s="14">
        <f>Model!BQ5</f>
        <v>2.0165745856353592</v>
      </c>
      <c r="AN4" s="14">
        <f>Model!CR5</f>
        <v>1</v>
      </c>
      <c r="AO4" s="14">
        <f>Model!CS5</f>
        <v>1</v>
      </c>
      <c r="AP4" s="14">
        <f>Model!CT5</f>
        <v>1</v>
      </c>
      <c r="AQ4" s="14">
        <f>Model!CU5</f>
        <v>1</v>
      </c>
      <c r="AR4" s="14">
        <f>Model!CV5</f>
        <v>1</v>
      </c>
      <c r="AS4" s="14">
        <f>Model!CW5</f>
        <v>1</v>
      </c>
      <c r="AT4" s="14">
        <f>Model!CX5</f>
        <v>1</v>
      </c>
      <c r="AU4" s="14">
        <f>Model!CY5</f>
        <v>1</v>
      </c>
      <c r="AV4" s="15">
        <f>Model!CZ5</f>
        <v>1</v>
      </c>
      <c r="AW4" s="14">
        <f>Model!DA5</f>
        <v>1</v>
      </c>
      <c r="AX4" s="14">
        <f>Model!DB5</f>
        <v>1</v>
      </c>
      <c r="AY4" s="14">
        <f>Model!DC5</f>
        <v>1</v>
      </c>
      <c r="AZ4" s="14">
        <f>Model!DD5</f>
        <v>1</v>
      </c>
      <c r="BA4" s="14">
        <f>Model!DE5</f>
        <v>1</v>
      </c>
      <c r="BB4" s="14">
        <f>Model!DF5</f>
        <v>1</v>
      </c>
      <c r="BC4" s="14">
        <f>Model!DG5</f>
        <v>1</v>
      </c>
      <c r="BD4" s="14">
        <f>Model!DH5</f>
        <v>1</v>
      </c>
      <c r="BE4" s="14">
        <f>Model!DI5</f>
        <v>1</v>
      </c>
    </row>
    <row r="5" spans="2:57" ht="15.95" customHeight="1">
      <c r="B5" s="853" t="s">
        <v>2724</v>
      </c>
      <c r="T5" s="854"/>
    </row>
    <row r="6" spans="2:57" ht="15.95" customHeight="1">
      <c r="B6" s="852" t="s">
        <v>582</v>
      </c>
      <c r="C6" s="855">
        <f>Model!AH379</f>
        <v>16676</v>
      </c>
      <c r="D6" s="855">
        <f>Model!AI379</f>
        <v>16621</v>
      </c>
      <c r="E6" s="855">
        <f>Model!AJ379</f>
        <v>17181</v>
      </c>
      <c r="F6" s="855">
        <f>Model!AK379</f>
        <v>17073</v>
      </c>
      <c r="G6" s="855">
        <f>Model!AL379</f>
        <v>17515</v>
      </c>
      <c r="H6" s="855">
        <f>Model!AM379</f>
        <v>17131</v>
      </c>
      <c r="I6" s="855">
        <f>Model!AN379</f>
        <v>15946</v>
      </c>
      <c r="J6" s="855">
        <f>Model!AO379</f>
        <v>14215.999999999998</v>
      </c>
      <c r="K6" s="855">
        <f>Model!AP379</f>
        <v>12786</v>
      </c>
      <c r="L6" s="855">
        <f>Model!AQ379</f>
        <v>12106</v>
      </c>
      <c r="M6" s="855">
        <f>Model!AR379</f>
        <v>11999</v>
      </c>
      <c r="N6" s="855">
        <f>Model!AS379</f>
        <v>12294</v>
      </c>
      <c r="O6" s="855">
        <f>Model!AT379</f>
        <v>19625</v>
      </c>
      <c r="P6" s="855">
        <f>Model!AU379</f>
        <v>24850</v>
      </c>
      <c r="Q6" s="855">
        <f>Model!AV379</f>
        <v>29618</v>
      </c>
      <c r="R6" s="855">
        <f>Model!AW379</f>
        <v>31426</v>
      </c>
      <c r="S6" s="855">
        <f>Model!AX379</f>
        <v>32683</v>
      </c>
      <c r="T6" s="856">
        <f>Model!AY379</f>
        <v>32427</v>
      </c>
      <c r="U6" s="855">
        <f>Model!AZ379</f>
        <v>32366</v>
      </c>
      <c r="V6" s="855">
        <f>Model!BA379</f>
        <v>36005.951385847191</v>
      </c>
      <c r="W6" s="855">
        <f>Model!BB379</f>
        <v>38718.88828889087</v>
      </c>
      <c r="X6" s="855">
        <f>Model!BC379</f>
        <v>36554.148187312567</v>
      </c>
      <c r="Y6" s="855">
        <f>Model!BD379</f>
        <v>36939.123005261252</v>
      </c>
      <c r="Z6" s="855">
        <f>Model!BE379</f>
        <v>37284.375088631357</v>
      </c>
      <c r="AA6" s="855">
        <f>Model!BF379</f>
        <v>38575.379531258528</v>
      </c>
      <c r="AB6" s="855">
        <f>Model!BG379</f>
        <v>38636.289640495335</v>
      </c>
      <c r="AC6" s="855">
        <f>Model!BH379</f>
        <v>39996.346222583124</v>
      </c>
      <c r="AD6" s="855">
        <f>Model!BI379</f>
        <v>39944.345628955089</v>
      </c>
      <c r="AE6" s="855">
        <f>Model!BJ379</f>
        <v>41243.376195302022</v>
      </c>
      <c r="AF6" s="855">
        <f>Model!BK379</f>
        <v>41264.615331747729</v>
      </c>
      <c r="AG6" s="855">
        <f>Model!BL379</f>
        <v>42549.407901382525</v>
      </c>
      <c r="AH6" s="855">
        <f>Model!BM379</f>
        <v>42806.882766267991</v>
      </c>
      <c r="AI6" s="855">
        <f>Model!BN379</f>
        <v>44138.398596323386</v>
      </c>
      <c r="AJ6" s="855">
        <f>Model!BO379</f>
        <v>44161.86484395407</v>
      </c>
      <c r="AK6" s="855">
        <f>Model!BP379</f>
        <v>45662.372335679473</v>
      </c>
      <c r="AL6" s="855">
        <f>Model!BQ379</f>
        <v>45687.011575321943</v>
      </c>
      <c r="AN6" s="855">
        <f>Model!CR379</f>
        <v>33297</v>
      </c>
      <c r="AO6" s="855">
        <f>Model!CS379</f>
        <v>34254</v>
      </c>
      <c r="AP6" s="855">
        <f>Model!CT379</f>
        <v>34646</v>
      </c>
      <c r="AQ6" s="855">
        <f>Model!CU379</f>
        <v>30162</v>
      </c>
      <c r="AR6" s="855">
        <f>Model!CV379</f>
        <v>24892</v>
      </c>
      <c r="AS6" s="855">
        <f>Model!CW379</f>
        <v>24293</v>
      </c>
      <c r="AT6" s="855">
        <f>Model!CX379</f>
        <v>44475</v>
      </c>
      <c r="AU6" s="855">
        <f>Model!CY379</f>
        <v>61044</v>
      </c>
      <c r="AV6" s="856">
        <f>Model!CZ379</f>
        <v>65110</v>
      </c>
      <c r="AW6" s="855">
        <f>Model!DA379</f>
        <v>68371.951385847191</v>
      </c>
      <c r="AX6" s="855">
        <f>Model!DB379</f>
        <v>75273.036476203444</v>
      </c>
      <c r="AY6" s="855">
        <f>Model!DC379</f>
        <v>74223.498093892616</v>
      </c>
      <c r="AZ6" s="855">
        <f>Model!DD379</f>
        <v>77211.669171753863</v>
      </c>
      <c r="BA6" s="855">
        <f>Model!DE379</f>
        <v>79940.691851538213</v>
      </c>
      <c r="BB6" s="855">
        <f>Model!DF379</f>
        <v>82507.991527049744</v>
      </c>
      <c r="BC6" s="855">
        <f>Model!DG379</f>
        <v>85356.290667650523</v>
      </c>
      <c r="BD6" s="855">
        <f>Model!DH379</f>
        <v>88300.263440277457</v>
      </c>
      <c r="BE6" s="855">
        <f>Model!DI379</f>
        <v>91349.383911001409</v>
      </c>
    </row>
    <row r="7" spans="2:57" ht="15.95" customHeight="1">
      <c r="B7" s="852" t="s">
        <v>481</v>
      </c>
      <c r="C7" s="855">
        <f>Model!AH380</f>
        <v>-7966</v>
      </c>
      <c r="D7" s="855">
        <f>Model!AI380</f>
        <v>-7797</v>
      </c>
      <c r="E7" s="855">
        <f>Model!AJ380</f>
        <v>-7923.9999999999991</v>
      </c>
      <c r="F7" s="855">
        <f>Model!AK380</f>
        <v>-7987.9999999999991</v>
      </c>
      <c r="G7" s="855">
        <f>Model!AL380</f>
        <v>-8328.5752759381867</v>
      </c>
      <c r="H7" s="855">
        <f>Model!AM380</f>
        <v>-8093.4247240618097</v>
      </c>
      <c r="I7" s="855">
        <f>Model!AN380</f>
        <v>-6596</v>
      </c>
      <c r="J7" s="855">
        <f>Model!AO380</f>
        <v>-4955.9999999999982</v>
      </c>
      <c r="K7" s="855">
        <f>Model!AP380</f>
        <v>-3186</v>
      </c>
      <c r="L7" s="855">
        <f>Model!AQ380</f>
        <v>-2404</v>
      </c>
      <c r="M7" s="855">
        <f>Model!AR380</f>
        <v>-2251</v>
      </c>
      <c r="N7" s="855">
        <f>Model!AS380</f>
        <v>-2569</v>
      </c>
      <c r="O7" s="855">
        <f>Model!AT380</f>
        <v>-7988</v>
      </c>
      <c r="P7" s="855">
        <f>Model!AU380</f>
        <v>-13431</v>
      </c>
      <c r="Q7" s="855">
        <f>Model!AV380</f>
        <v>-18214</v>
      </c>
      <c r="R7" s="855">
        <f>Model!AW380</f>
        <v>-20006</v>
      </c>
      <c r="S7" s="855">
        <f>Model!AX380</f>
        <v>-20749</v>
      </c>
      <c r="T7" s="856">
        <f>Model!AY380</f>
        <v>-20338</v>
      </c>
      <c r="U7" s="855">
        <f>Model!AZ380</f>
        <v>-19671</v>
      </c>
      <c r="V7" s="855">
        <f>Model!BA380</f>
        <v>-23068.209731292362</v>
      </c>
      <c r="W7" s="855">
        <f>Model!BB380</f>
        <v>-25196.16649224006</v>
      </c>
      <c r="X7" s="855">
        <f>Model!BC380</f>
        <v>-23009.705874045772</v>
      </c>
      <c r="Y7" s="855">
        <f>Model!BD380</f>
        <v>-22949.431612591681</v>
      </c>
      <c r="Z7" s="855">
        <f>Model!BE380</f>
        <v>-23152.221891939349</v>
      </c>
      <c r="AA7" s="855">
        <f>Model!BF380</f>
        <v>-23948.198182353659</v>
      </c>
      <c r="AB7" s="855">
        <f>Model!BG380</f>
        <v>-23988.985183408047</v>
      </c>
      <c r="AC7" s="855">
        <f>Model!BH380</f>
        <v>-24934.689666652012</v>
      </c>
      <c r="AD7" s="855">
        <f>Model!BI380</f>
        <v>-24914.867020182166</v>
      </c>
      <c r="AE7" s="855">
        <f>Model!BJ380</f>
        <v>-25773.910935578067</v>
      </c>
      <c r="AF7" s="855">
        <f>Model!BK380</f>
        <v>-25836.181579319964</v>
      </c>
      <c r="AG7" s="855">
        <f>Model!BL380</f>
        <v>-26691.318609360656</v>
      </c>
      <c r="AH7" s="855">
        <f>Model!BM380</f>
        <v>-26904.050335287844</v>
      </c>
      <c r="AI7" s="855">
        <f>Model!BN380</f>
        <v>-27793.917937779748</v>
      </c>
      <c r="AJ7" s="855">
        <f>Model!BO380</f>
        <v>-27861.938158656892</v>
      </c>
      <c r="AK7" s="855">
        <f>Model!BP380</f>
        <v>-28863.879566839667</v>
      </c>
      <c r="AL7" s="855">
        <f>Model!BQ380</f>
        <v>-28934.960610460475</v>
      </c>
      <c r="AN7" s="855">
        <f>Model!CR380</f>
        <v>-15763</v>
      </c>
      <c r="AO7" s="855">
        <f>Model!CS380</f>
        <v>-15911.999999999998</v>
      </c>
      <c r="AP7" s="855">
        <f>Model!CT380</f>
        <v>-16421.999999999996</v>
      </c>
      <c r="AQ7" s="855">
        <f>Model!CU380</f>
        <v>-11551.999999999998</v>
      </c>
      <c r="AR7" s="855">
        <f>Model!CV380</f>
        <v>-5590</v>
      </c>
      <c r="AS7" s="855">
        <f>Model!CW380</f>
        <v>-4820</v>
      </c>
      <c r="AT7" s="855">
        <f>Model!CX380</f>
        <v>-21419</v>
      </c>
      <c r="AU7" s="855">
        <f>Model!CY380</f>
        <v>-38220</v>
      </c>
      <c r="AV7" s="856">
        <f>Model!CZ380</f>
        <v>-41087</v>
      </c>
      <c r="AW7" s="855">
        <f>Model!DA380</f>
        <v>-42739.209731292358</v>
      </c>
      <c r="AX7" s="855">
        <f>Model!DB380</f>
        <v>-48205.872366285832</v>
      </c>
      <c r="AY7" s="855">
        <f>Model!DC380</f>
        <v>-46101.65350453103</v>
      </c>
      <c r="AZ7" s="855">
        <f>Model!DD380</f>
        <v>-47937.18336576171</v>
      </c>
      <c r="BA7" s="855">
        <f>Model!DE380</f>
        <v>-49849.556686834178</v>
      </c>
      <c r="BB7" s="855">
        <f>Model!DF380</f>
        <v>-51610.092514898031</v>
      </c>
      <c r="BC7" s="855">
        <f>Model!DG380</f>
        <v>-53595.3689446485</v>
      </c>
      <c r="BD7" s="855">
        <f>Model!DH380</f>
        <v>-55655.856096436641</v>
      </c>
      <c r="BE7" s="855">
        <f>Model!DI380</f>
        <v>-57798.840177300139</v>
      </c>
    </row>
    <row r="8" spans="2:57" ht="15.95" customHeight="1">
      <c r="B8" s="857" t="s">
        <v>2725</v>
      </c>
      <c r="C8" s="858">
        <f>Model!AH381</f>
        <v>8710</v>
      </c>
      <c r="D8" s="858">
        <f>Model!AI381</f>
        <v>8824</v>
      </c>
      <c r="E8" s="858">
        <f>Model!AJ381</f>
        <v>9257</v>
      </c>
      <c r="F8" s="858">
        <f>Model!AK381</f>
        <v>9085</v>
      </c>
      <c r="G8" s="858">
        <f>Model!AL381</f>
        <v>9186.4247240618115</v>
      </c>
      <c r="H8" s="858">
        <f>Model!AM381</f>
        <v>9037.5752759381903</v>
      </c>
      <c r="I8" s="858">
        <f>Model!AN381</f>
        <v>9350</v>
      </c>
      <c r="J8" s="858">
        <f>Model!AO381</f>
        <v>9260</v>
      </c>
      <c r="K8" s="858">
        <f>Model!AP381</f>
        <v>9600</v>
      </c>
      <c r="L8" s="858">
        <f>Model!AQ381</f>
        <v>9702</v>
      </c>
      <c r="M8" s="858">
        <f>Model!AR381</f>
        <v>9748</v>
      </c>
      <c r="N8" s="858">
        <f>Model!AS381</f>
        <v>9725</v>
      </c>
      <c r="O8" s="858">
        <f>Model!AT381</f>
        <v>11637</v>
      </c>
      <c r="P8" s="858">
        <f>Model!AU381</f>
        <v>11419</v>
      </c>
      <c r="Q8" s="858">
        <f>Model!AV381</f>
        <v>11404</v>
      </c>
      <c r="R8" s="858">
        <f>Model!AW381</f>
        <v>11420</v>
      </c>
      <c r="S8" s="858">
        <f>Model!AX381</f>
        <v>11934</v>
      </c>
      <c r="T8" s="859">
        <f>Model!AY381</f>
        <v>12088.999999999998</v>
      </c>
      <c r="U8" s="858">
        <f>Model!AZ381</f>
        <v>12695</v>
      </c>
      <c r="V8" s="858">
        <f>Model!BA381</f>
        <v>12937.741654554829</v>
      </c>
      <c r="W8" s="858">
        <f>Model!BB381</f>
        <v>13522.721796650811</v>
      </c>
      <c r="X8" s="858">
        <f>Model!BC381</f>
        <v>13544.442313266794</v>
      </c>
      <c r="Y8" s="858">
        <f>Model!BD381</f>
        <v>13989.691392669569</v>
      </c>
      <c r="Z8" s="858">
        <f>Model!BE381</f>
        <v>14132.153196692008</v>
      </c>
      <c r="AA8" s="858">
        <f>Model!BF381</f>
        <v>14627.181348904869</v>
      </c>
      <c r="AB8" s="858">
        <f>Model!BG381</f>
        <v>14647.304457087286</v>
      </c>
      <c r="AC8" s="858">
        <f>Model!BH381</f>
        <v>15061.656555931113</v>
      </c>
      <c r="AD8" s="858">
        <f>Model!BI381</f>
        <v>15029.478608772921</v>
      </c>
      <c r="AE8" s="858">
        <f>Model!BJ381</f>
        <v>15469.465259723956</v>
      </c>
      <c r="AF8" s="858">
        <f>Model!BK381</f>
        <v>15428.433752427767</v>
      </c>
      <c r="AG8" s="858">
        <f>Model!BL381</f>
        <v>15858.089292021867</v>
      </c>
      <c r="AH8" s="858">
        <f>Model!BM381</f>
        <v>15902.832430980148</v>
      </c>
      <c r="AI8" s="858">
        <f>Model!BN381</f>
        <v>16344.480658543636</v>
      </c>
      <c r="AJ8" s="858">
        <f>Model!BO381</f>
        <v>16299.926685297176</v>
      </c>
      <c r="AK8" s="858">
        <f>Model!BP381</f>
        <v>16798.492768839806</v>
      </c>
      <c r="AL8" s="858">
        <f>Model!BQ381</f>
        <v>16752.050964861468</v>
      </c>
      <c r="AN8" s="858">
        <f>Model!CR381</f>
        <v>17534</v>
      </c>
      <c r="AO8" s="858">
        <f>Model!CS381</f>
        <v>18342</v>
      </c>
      <c r="AP8" s="858">
        <f>Model!CT381</f>
        <v>18224</v>
      </c>
      <c r="AQ8" s="858">
        <f>Model!CU381</f>
        <v>18610</v>
      </c>
      <c r="AR8" s="858">
        <f>Model!CV381</f>
        <v>19302</v>
      </c>
      <c r="AS8" s="858">
        <f>Model!CW381</f>
        <v>19473</v>
      </c>
      <c r="AT8" s="858">
        <f>Model!CX381</f>
        <v>23056</v>
      </c>
      <c r="AU8" s="858">
        <f>Model!CY381</f>
        <v>22824</v>
      </c>
      <c r="AV8" s="859">
        <f>Model!CZ381</f>
        <v>24023</v>
      </c>
      <c r="AW8" s="858">
        <f>Model!DA381</f>
        <v>25632.741654554829</v>
      </c>
      <c r="AX8" s="858">
        <f>Model!DB381</f>
        <v>27067.164109917605</v>
      </c>
      <c r="AY8" s="858">
        <f>Model!DC381</f>
        <v>28121.844589361579</v>
      </c>
      <c r="AZ8" s="858">
        <f>Model!DD381</f>
        <v>29274.485805992153</v>
      </c>
      <c r="BA8" s="858">
        <f>Model!DE381</f>
        <v>30091.135164704036</v>
      </c>
      <c r="BB8" s="858">
        <f>Model!DF381</f>
        <v>30897.899012151724</v>
      </c>
      <c r="BC8" s="858">
        <f>Model!DG381</f>
        <v>31760.921723002015</v>
      </c>
      <c r="BD8" s="858">
        <f>Model!DH381</f>
        <v>32644.407343840812</v>
      </c>
      <c r="BE8" s="858">
        <f>Model!DI381</f>
        <v>33550.54373370127</v>
      </c>
    </row>
    <row r="9" spans="2:57" ht="15.95" customHeight="1" outlineLevel="1">
      <c r="B9" s="878" t="s">
        <v>2751</v>
      </c>
      <c r="C9" s="877"/>
      <c r="D9" s="877"/>
      <c r="E9" s="877"/>
      <c r="F9" s="877"/>
      <c r="G9" s="877"/>
      <c r="H9" s="877"/>
      <c r="I9" s="877"/>
      <c r="J9" s="877"/>
      <c r="K9" s="877"/>
      <c r="L9" s="877"/>
      <c r="M9" s="877"/>
      <c r="N9" s="879">
        <f>N8/M8-1</f>
        <v>-2.359458350430832E-3</v>
      </c>
      <c r="O9" s="879">
        <f t="shared" ref="O9" si="0">O8/N8-1</f>
        <v>0.1966066838046272</v>
      </c>
      <c r="P9" s="879">
        <f t="shared" ref="P9" si="1">P8/O8-1</f>
        <v>-1.8733350519893444E-2</v>
      </c>
      <c r="Q9" s="879">
        <f t="shared" ref="Q9" si="2">Q8/P8-1</f>
        <v>-1.313600140117388E-3</v>
      </c>
      <c r="R9" s="879">
        <f t="shared" ref="R9" si="3">R8/Q8-1</f>
        <v>1.4030164854437199E-3</v>
      </c>
      <c r="S9" s="879">
        <f t="shared" ref="S9" si="4">S8/R8-1</f>
        <v>4.5008756567425534E-2</v>
      </c>
      <c r="T9" s="880">
        <f t="shared" ref="T9" si="5">T8/S8-1</f>
        <v>1.2988101223395221E-2</v>
      </c>
      <c r="U9" s="879">
        <f t="shared" ref="U9" si="6">U8/T8-1</f>
        <v>5.0128215733311388E-2</v>
      </c>
      <c r="V9" s="879">
        <f t="shared" ref="V9" si="7">V8/U8-1</f>
        <v>1.9121044076788385E-2</v>
      </c>
      <c r="W9" s="879">
        <f t="shared" ref="W9" si="8">W8/V8-1</f>
        <v>4.521501184018728E-2</v>
      </c>
      <c r="X9" s="879">
        <f t="shared" ref="X9" si="9">X8/W8-1</f>
        <v>1.6062237279306224E-3</v>
      </c>
      <c r="Y9" s="879">
        <f t="shared" ref="Y9" si="10">Y8/X8-1</f>
        <v>3.2873193971718839E-2</v>
      </c>
      <c r="Z9" s="879">
        <f t="shared" ref="Z9" si="11">Z8/Y8-1</f>
        <v>1.0183341435043181E-2</v>
      </c>
      <c r="AA9" s="879">
        <f t="shared" ref="AA9" si="12">AA8/Z8-1</f>
        <v>3.5028501695604009E-2</v>
      </c>
      <c r="AB9" s="879">
        <f t="shared" ref="AB9" si="13">AB8/AA8-1</f>
        <v>1.3757338274831277E-3</v>
      </c>
      <c r="AC9" s="879">
        <f t="shared" ref="AC9" si="14">AC8/AB8-1</f>
        <v>2.8288624713015853E-2</v>
      </c>
      <c r="AD9" s="879">
        <f t="shared" ref="AD9" si="15">AD8/AC8-1</f>
        <v>-2.1364148783170611E-3</v>
      </c>
      <c r="AE9" s="879">
        <f t="shared" ref="AE9" si="16">AE8/AD8-1</f>
        <v>2.9274911153219119E-2</v>
      </c>
      <c r="AF9" s="879">
        <f t="shared" ref="AF9" si="17">AF8/AE8-1</f>
        <v>-2.6524192405679159E-3</v>
      </c>
      <c r="AG9" s="879">
        <f t="shared" ref="AG9" si="18">AG8/AF8-1</f>
        <v>2.784829273590339E-2</v>
      </c>
      <c r="AH9" s="879">
        <f t="shared" ref="AH9" si="19">AH8/AG8-1</f>
        <v>2.8214709940366234E-3</v>
      </c>
      <c r="AI9" s="879">
        <f t="shared" ref="AI9" si="20">AI8/AH8-1</f>
        <v>2.777167083161336E-2</v>
      </c>
      <c r="AJ9" s="879">
        <f t="shared" ref="AJ9" si="21">AJ8/AI8-1</f>
        <v>-2.7259338597076521E-3</v>
      </c>
      <c r="AK9" s="879">
        <f t="shared" ref="AK9" si="22">AK8/AJ8-1</f>
        <v>3.0587013866286039E-2</v>
      </c>
      <c r="AL9" s="879">
        <f t="shared" ref="AL9" si="23">AL8/AK8-1</f>
        <v>-2.7646411268804627E-3</v>
      </c>
      <c r="AM9" s="879"/>
      <c r="AN9" s="879" t="e">
        <f t="shared" ref="AN9" si="24">AN8/AM8-1</f>
        <v>#DIV/0!</v>
      </c>
      <c r="AO9" s="879">
        <f t="shared" ref="AO9" si="25">AO8/AN8-1</f>
        <v>4.6081898026691048E-2</v>
      </c>
      <c r="AP9" s="879">
        <f t="shared" ref="AP9" si="26">AP8/AO8-1</f>
        <v>-6.4333224293969815E-3</v>
      </c>
      <c r="AQ9" s="879">
        <f t="shared" ref="AQ9" si="27">AQ8/AP8-1</f>
        <v>2.1180860403863022E-2</v>
      </c>
      <c r="AR9" s="879">
        <f t="shared" ref="AR9" si="28">AR8/AQ8-1</f>
        <v>3.718430951101559E-2</v>
      </c>
      <c r="AS9" s="879">
        <f t="shared" ref="AS9" si="29">AS8/AR8-1</f>
        <v>8.85918557662424E-3</v>
      </c>
      <c r="AT9" s="879">
        <f t="shared" ref="AT9" si="30">AT8/AS8-1</f>
        <v>0.18399835669901909</v>
      </c>
      <c r="AU9" s="879">
        <f t="shared" ref="AU9" si="31">AU8/AT8-1</f>
        <v>-1.0062456627342176E-2</v>
      </c>
      <c r="AV9" s="880">
        <f t="shared" ref="AV9" si="32">AV8/AU8-1</f>
        <v>5.2532422011917213E-2</v>
      </c>
      <c r="AW9" s="879">
        <f t="shared" ref="AW9" si="33">AW8/AV8-1</f>
        <v>6.7008352601874321E-2</v>
      </c>
      <c r="AX9" s="879">
        <f t="shared" ref="AX9" si="34">AX8/AW8-1</f>
        <v>5.5960555241966636E-2</v>
      </c>
      <c r="AY9" s="879">
        <f t="shared" ref="AY9" si="35">AY8/AX8-1</f>
        <v>3.896531144382176E-2</v>
      </c>
      <c r="AZ9" s="879">
        <f t="shared" ref="AZ9" si="36">AZ8/AY8-1</f>
        <v>4.098739728711176E-2</v>
      </c>
      <c r="BA9" s="879">
        <f t="shared" ref="BA9" si="37">BA8/AZ8-1</f>
        <v>2.7896283614475159E-2</v>
      </c>
      <c r="BB9" s="877"/>
      <c r="BC9" s="877"/>
      <c r="BD9" s="877"/>
      <c r="BE9" s="877"/>
    </row>
    <row r="10" spans="2:57" ht="15.95" customHeight="1">
      <c r="T10" s="854"/>
      <c r="AW10" s="876"/>
    </row>
    <row r="11" spans="2:57" ht="15.95" customHeight="1">
      <c r="B11" s="852" t="s">
        <v>2726</v>
      </c>
      <c r="C11" s="855">
        <f>SUM(Model!AH395:AH396)</f>
        <v>1819</v>
      </c>
      <c r="D11" s="855">
        <f>SUM(Model!AI395:AI396)</f>
        <v>1816</v>
      </c>
      <c r="E11" s="855">
        <f>SUM(Model!AJ395:AJ396)</f>
        <v>1954</v>
      </c>
      <c r="F11" s="855">
        <f>SUM(Model!AK395:AK396)</f>
        <v>1956</v>
      </c>
      <c r="G11" s="855">
        <f>SUM(Model!AL395:AL396)</f>
        <v>1866</v>
      </c>
      <c r="H11" s="855">
        <f>SUM(Model!AM395:AM396)</f>
        <v>1798</v>
      </c>
      <c r="I11" s="855">
        <f>SUM(Model!AN395:AN396)</f>
        <v>1804</v>
      </c>
      <c r="J11" s="855">
        <f>SUM(Model!AO395:AO396)</f>
        <v>1739</v>
      </c>
      <c r="K11" s="855">
        <f>SUM(Model!AP395:AP396)</f>
        <v>1595</v>
      </c>
      <c r="L11" s="855">
        <f>SUM(Model!AQ395:AQ396)</f>
        <v>1634</v>
      </c>
      <c r="M11" s="855">
        <f>SUM(Model!AR395:AR396)</f>
        <v>1444</v>
      </c>
      <c r="N11" s="855">
        <f>SUM(Model!AS395:AS396)</f>
        <v>1370</v>
      </c>
      <c r="O11" s="855">
        <f>SUM(Model!AT395:AT396)</f>
        <v>1370</v>
      </c>
      <c r="P11" s="855">
        <f>SUM(Model!AU395:AU396)</f>
        <v>1363</v>
      </c>
      <c r="Q11" s="855">
        <f>SUM(Model!AV395:AV396)</f>
        <v>1451</v>
      </c>
      <c r="R11" s="855">
        <f>SUM(Model!AW395:AW396)</f>
        <v>1486</v>
      </c>
      <c r="S11" s="855">
        <f>SUM(Model!AX395:AX396)</f>
        <v>1534</v>
      </c>
      <c r="T11" s="856">
        <f>SUM(Model!AY395:AY396)</f>
        <v>1477</v>
      </c>
      <c r="U11" s="855">
        <f>SUM(Model!AZ395:AZ396)</f>
        <v>1611</v>
      </c>
      <c r="V11" s="855">
        <f>SUM(Model!BA395:BA396)</f>
        <v>1509.7871197218788</v>
      </c>
      <c r="W11" s="855">
        <f>SUM(Model!BB395:BB396)</f>
        <v>1537.2842382298006</v>
      </c>
      <c r="X11" s="855">
        <f>SUM(Model!BC395:BC396)</f>
        <v>1504.5745188718547</v>
      </c>
      <c r="Y11" s="855">
        <f>SUM(Model!BD395:BD396)</f>
        <v>1548.4616206991941</v>
      </c>
      <c r="Z11" s="855">
        <f>SUM(Model!BE395:BE396)</f>
        <v>1552.6544834053402</v>
      </c>
      <c r="AA11" s="855">
        <f>SUM(Model!BF395:BF396)</f>
        <v>1595.1503749052977</v>
      </c>
      <c r="AB11" s="855">
        <f>SUM(Model!BG395:BG396)</f>
        <v>1588.3911071290022</v>
      </c>
      <c r="AC11" s="855">
        <f>SUM(Model!BH395:BH396)</f>
        <v>1632.7017637474007</v>
      </c>
      <c r="AD11" s="855">
        <f>SUM(Model!BI395:BI396)</f>
        <v>1621.5612510237052</v>
      </c>
      <c r="AE11" s="855">
        <f>SUM(Model!BJ395:BJ396)</f>
        <v>1682.671329528469</v>
      </c>
      <c r="AF11" s="855">
        <f>SUM(Model!BK395:BK396)</f>
        <v>1669.4700421540824</v>
      </c>
      <c r="AG11" s="855">
        <f>SUM(Model!BL395:BL396)</f>
        <v>1731.4061224264824</v>
      </c>
      <c r="AH11" s="855">
        <f>SUM(Model!BM395:BM396)</f>
        <v>1728.5140974441613</v>
      </c>
      <c r="AI11" s="855">
        <f>SUM(Model!BN395:BN396)</f>
        <v>1792.6245775292434</v>
      </c>
      <c r="AJ11" s="855">
        <f>SUM(Model!BO395:BO396)</f>
        <v>1779.8150286437051</v>
      </c>
      <c r="AK11" s="855">
        <f>SUM(Model!BP395:BP396)</f>
        <v>1851.0076259359289</v>
      </c>
      <c r="AL11" s="855">
        <f>SUM(Model!BQ395:BQ396)</f>
        <v>1837.7991184013399</v>
      </c>
      <c r="AN11" s="855">
        <f>SUM(Model!CR395:CR396)</f>
        <v>3635</v>
      </c>
      <c r="AO11" s="855">
        <f>SUM(Model!CS395:CS396)</f>
        <v>3910</v>
      </c>
      <c r="AP11" s="855">
        <f>SUM(Model!CT395:CT396)</f>
        <v>3664</v>
      </c>
      <c r="AQ11" s="855">
        <f>SUM(Model!CU395:CU396)</f>
        <v>3543</v>
      </c>
      <c r="AR11" s="855">
        <f>SUM(Model!CV395:CV396)</f>
        <v>3229</v>
      </c>
      <c r="AS11" s="855">
        <f>SUM(Model!CW395:CW396)</f>
        <v>2814</v>
      </c>
      <c r="AT11" s="855">
        <f>SUM(Model!CX395:CX396)</f>
        <v>2733</v>
      </c>
      <c r="AU11" s="855">
        <f>SUM(Model!CY395:CY396)</f>
        <v>2937</v>
      </c>
      <c r="AV11" s="856">
        <f>SUM(Model!CZ395:CZ396)</f>
        <v>3011</v>
      </c>
      <c r="AW11" s="855">
        <f>SUM(Model!DA395:DA396)</f>
        <v>3120.7871197218788</v>
      </c>
      <c r="AX11" s="855">
        <f>SUM(Model!DB395:DB396)</f>
        <v>3041.8587571016556</v>
      </c>
      <c r="AY11" s="855">
        <f>SUM(Model!DC395:DC396)</f>
        <v>3101.1161041045343</v>
      </c>
      <c r="AZ11" s="855">
        <f>SUM(Model!DD395:DD396)</f>
        <v>3183.5414820342999</v>
      </c>
      <c r="BA11" s="855">
        <f>SUM(Model!DE395:DE396)</f>
        <v>3254.2630147711061</v>
      </c>
      <c r="BB11" s="855">
        <f>SUM(Model!DF395:DF396)</f>
        <v>3352.1413716825518</v>
      </c>
      <c r="BC11" s="855">
        <f>SUM(Model!DG395:DG396)</f>
        <v>3459.9202198706439</v>
      </c>
      <c r="BD11" s="855">
        <f>SUM(Model!DH395:DH396)</f>
        <v>3572.4396061729485</v>
      </c>
      <c r="BE11" s="855">
        <f>SUM(Model!DI395:DI396)</f>
        <v>3688.8067443372688</v>
      </c>
    </row>
    <row r="12" spans="2:57" ht="15.95" customHeight="1">
      <c r="B12" s="852" t="s">
        <v>2727</v>
      </c>
      <c r="C12" s="855">
        <f>Model!AH397</f>
        <v>600</v>
      </c>
      <c r="D12" s="855">
        <f>Model!AI397</f>
        <v>549</v>
      </c>
      <c r="E12" s="855">
        <f>Model!AJ397</f>
        <v>556</v>
      </c>
      <c r="F12" s="855">
        <f>Model!AK397</f>
        <v>469</v>
      </c>
      <c r="G12" s="855">
        <f>Model!AL397</f>
        <v>494</v>
      </c>
      <c r="H12" s="855">
        <f>Model!AM397</f>
        <v>480</v>
      </c>
      <c r="I12" s="855">
        <f>Model!AN397</f>
        <v>508</v>
      </c>
      <c r="J12" s="855">
        <f>Model!AO397</f>
        <v>432</v>
      </c>
      <c r="K12" s="855">
        <f>Model!AP397</f>
        <v>535</v>
      </c>
      <c r="L12" s="855">
        <f>Model!AQ397</f>
        <v>317</v>
      </c>
      <c r="M12" s="855">
        <f>Model!AR397</f>
        <v>368</v>
      </c>
      <c r="N12" s="855">
        <f>Model!AS397</f>
        <v>438</v>
      </c>
      <c r="O12" s="855">
        <f>Model!AT397</f>
        <v>513</v>
      </c>
      <c r="P12" s="855">
        <f>Model!AU397</f>
        <v>582</v>
      </c>
      <c r="Q12" s="855">
        <f>Model!AV397</f>
        <v>639</v>
      </c>
      <c r="R12" s="855">
        <f>Model!AW397</f>
        <v>538</v>
      </c>
      <c r="S12" s="855">
        <f>Model!AX397</f>
        <v>519</v>
      </c>
      <c r="T12" s="856">
        <f>Model!AY397</f>
        <v>680.00000000000011</v>
      </c>
      <c r="U12" s="855">
        <f>Model!AZ397</f>
        <v>603</v>
      </c>
      <c r="V12" s="855">
        <f>Model!BA397</f>
        <v>614.79999999999995</v>
      </c>
      <c r="W12" s="855">
        <f>Model!BB397</f>
        <v>572.84999999999991</v>
      </c>
      <c r="X12" s="855">
        <f>Model!BC397</f>
        <v>648.02000000000021</v>
      </c>
      <c r="Y12" s="855">
        <f>Model!BD397</f>
        <v>561.39300000000003</v>
      </c>
      <c r="Z12" s="855">
        <f>Model!BE397</f>
        <v>627.74249999999995</v>
      </c>
      <c r="AA12" s="855">
        <f>Model!BF397</f>
        <v>567.00693000000001</v>
      </c>
      <c r="AB12" s="855">
        <f>Model!BG397</f>
        <v>595.16488500000025</v>
      </c>
      <c r="AC12" s="855">
        <f>Model!BH397</f>
        <v>572.67699930000003</v>
      </c>
      <c r="AD12" s="855">
        <f>Model!BI397</f>
        <v>597.92486985000016</v>
      </c>
      <c r="AE12" s="855">
        <f>Model!BJ397</f>
        <v>588.52915399938581</v>
      </c>
      <c r="AF12" s="855">
        <f>Model!BK397</f>
        <v>616.15551235475175</v>
      </c>
      <c r="AG12" s="855">
        <f>Model!BL397</f>
        <v>606.34675685473019</v>
      </c>
      <c r="AH12" s="855">
        <f>Model!BM397</f>
        <v>638.3396553372188</v>
      </c>
      <c r="AI12" s="855">
        <f>Model!BN397</f>
        <v>628.17658493907072</v>
      </c>
      <c r="AJ12" s="855">
        <f>Model!BO397</f>
        <v>657.71120415776727</v>
      </c>
      <c r="AK12" s="855">
        <f>Model!BP397</f>
        <v>649.06063163887382</v>
      </c>
      <c r="AL12" s="855">
        <f>Model!BQ397</f>
        <v>679.60138127918958</v>
      </c>
      <c r="AN12" s="855">
        <f>Model!CR397</f>
        <v>1149</v>
      </c>
      <c r="AO12" s="855">
        <f>Model!CS397</f>
        <v>1025</v>
      </c>
      <c r="AP12" s="855">
        <f>Model!CT397</f>
        <v>974</v>
      </c>
      <c r="AQ12" s="855">
        <f>Model!CU397</f>
        <v>940</v>
      </c>
      <c r="AR12" s="855">
        <f>Model!CV397</f>
        <v>852</v>
      </c>
      <c r="AS12" s="855">
        <f>Model!CW397</f>
        <v>806</v>
      </c>
      <c r="AT12" s="855">
        <f>Model!CX397</f>
        <v>1095</v>
      </c>
      <c r="AU12" s="855">
        <f>Model!CY397</f>
        <v>1177</v>
      </c>
      <c r="AV12" s="856">
        <f>Model!CZ397</f>
        <v>1199</v>
      </c>
      <c r="AW12" s="855">
        <f>Model!DA397</f>
        <v>1217.8</v>
      </c>
      <c r="AX12" s="855">
        <f>Model!DB397</f>
        <v>1220.8700000000001</v>
      </c>
      <c r="AY12" s="855">
        <f>Model!DC397</f>
        <v>1189.1354999999999</v>
      </c>
      <c r="AZ12" s="855">
        <f>Model!DD397</f>
        <v>1162.1718150000002</v>
      </c>
      <c r="BA12" s="855">
        <f>Model!DE397</f>
        <v>1170.6018691500003</v>
      </c>
      <c r="BB12" s="855">
        <f>Model!DF397</f>
        <v>1204.6846663541376</v>
      </c>
      <c r="BC12" s="855">
        <f>Model!DG397</f>
        <v>1244.6864121919489</v>
      </c>
      <c r="BD12" s="855">
        <f>Model!DH397</f>
        <v>1285.8877890968379</v>
      </c>
      <c r="BE12" s="855">
        <f>Model!DI397</f>
        <v>1328.6620129180633</v>
      </c>
    </row>
    <row r="13" spans="2:57" ht="15.95" customHeight="1">
      <c r="B13" s="852" t="s">
        <v>2728</v>
      </c>
      <c r="C13" s="855">
        <f>Model!AH398</f>
        <v>943</v>
      </c>
      <c r="D13" s="855">
        <f>Model!AI398</f>
        <v>970</v>
      </c>
      <c r="E13" s="855">
        <f>Model!AJ398</f>
        <v>568</v>
      </c>
      <c r="F13" s="855">
        <f>Model!AK398</f>
        <v>551</v>
      </c>
      <c r="G13" s="855">
        <f>Model!AL398</f>
        <v>135.58768656716418</v>
      </c>
      <c r="H13" s="855">
        <f>Model!AM398</f>
        <v>119.41231343283583</v>
      </c>
      <c r="I13" s="855">
        <f>Model!AN398</f>
        <v>98</v>
      </c>
      <c r="J13" s="855">
        <f>Model!AO398</f>
        <v>75</v>
      </c>
      <c r="K13" s="855">
        <f>Model!AP398</f>
        <v>80</v>
      </c>
      <c r="L13" s="855">
        <f>Model!AQ398</f>
        <v>85</v>
      </c>
      <c r="M13" s="855">
        <f>Model!AR398</f>
        <v>98</v>
      </c>
      <c r="N13" s="855">
        <f>Model!AS398</f>
        <v>110</v>
      </c>
      <c r="O13" s="855">
        <f>Model!AT398</f>
        <v>28</v>
      </c>
      <c r="P13" s="855">
        <f>Model!AU398</f>
        <v>54</v>
      </c>
      <c r="Q13" s="855">
        <f>Model!AV398</f>
        <v>55</v>
      </c>
      <c r="R13" s="855">
        <f>Model!AW398</f>
        <v>56</v>
      </c>
      <c r="S13" s="855">
        <f>Model!AX398</f>
        <v>60</v>
      </c>
      <c r="T13" s="856">
        <f>Model!AY398</f>
        <v>62</v>
      </c>
      <c r="U13" s="855">
        <f>Model!AZ398</f>
        <v>67</v>
      </c>
      <c r="V13" s="855">
        <f>Model!BA398</f>
        <v>69.680000000000007</v>
      </c>
      <c r="W13" s="855">
        <f>Model!BB398</f>
        <v>72.467200000000005</v>
      </c>
      <c r="X13" s="855">
        <f>Model!BC398</f>
        <v>75.365888000000012</v>
      </c>
      <c r="Y13" s="855">
        <f>Model!BD398</f>
        <v>78.380523520000011</v>
      </c>
      <c r="Z13" s="855">
        <f>Model!BE398</f>
        <v>81.515744460800008</v>
      </c>
      <c r="AA13" s="855">
        <f>Model!BF398</f>
        <v>84.776374239232013</v>
      </c>
      <c r="AB13" s="855">
        <f>Model!BG398</f>
        <v>88.167429208801295</v>
      </c>
      <c r="AC13" s="855">
        <f>Model!BH398</f>
        <v>91.694126377153353</v>
      </c>
      <c r="AD13" s="855">
        <f>Model!BI398</f>
        <v>95.361891432239489</v>
      </c>
      <c r="AE13" s="855">
        <f>Model!BJ398</f>
        <v>98.181504289372697</v>
      </c>
      <c r="AF13" s="855">
        <f>Model!BK398</f>
        <v>97.778114353804469</v>
      </c>
      <c r="AG13" s="855">
        <f>Model!BL398</f>
        <v>100.64816011730974</v>
      </c>
      <c r="AH13" s="855">
        <f>Model!BM398</f>
        <v>100.79203761353988</v>
      </c>
      <c r="AI13" s="855">
        <f>Model!BN398</f>
        <v>103.75035852702639</v>
      </c>
      <c r="AJ13" s="855">
        <f>Model!BO398</f>
        <v>103.33149697762298</v>
      </c>
      <c r="AK13" s="855">
        <f>Model!BP398</f>
        <v>106.66359345217994</v>
      </c>
      <c r="AL13" s="855">
        <f>Model!BQ398</f>
        <v>106.23675937638444</v>
      </c>
      <c r="AN13" s="855">
        <f>Model!CR398</f>
        <v>1913</v>
      </c>
      <c r="AO13" s="855">
        <f>Model!CS398</f>
        <v>1119</v>
      </c>
      <c r="AP13" s="855">
        <f>Model!CT398</f>
        <v>255</v>
      </c>
      <c r="AQ13" s="855">
        <f>Model!CU398</f>
        <v>173</v>
      </c>
      <c r="AR13" s="855">
        <f>Model!CV398</f>
        <v>165</v>
      </c>
      <c r="AS13" s="855">
        <f>Model!CW398</f>
        <v>208</v>
      </c>
      <c r="AT13" s="855">
        <f>Model!CX398</f>
        <v>82</v>
      </c>
      <c r="AU13" s="855">
        <f>Model!CY398</f>
        <v>111</v>
      </c>
      <c r="AV13" s="856">
        <f>Model!CZ398</f>
        <v>122</v>
      </c>
      <c r="AW13" s="855">
        <f>Model!DA398</f>
        <v>136.68</v>
      </c>
      <c r="AX13" s="855">
        <f>Model!DB398</f>
        <v>147.83308800000003</v>
      </c>
      <c r="AY13" s="855">
        <f>Model!DC398</f>
        <v>159.89626798080002</v>
      </c>
      <c r="AZ13" s="855">
        <f>Model!DD398</f>
        <v>172.94380344803329</v>
      </c>
      <c r="BA13" s="855">
        <f>Model!DE398</f>
        <v>187.05601780939284</v>
      </c>
      <c r="BB13" s="855">
        <f>Model!DF398</f>
        <v>195.95961864317718</v>
      </c>
      <c r="BC13" s="855">
        <f>Model!DG398</f>
        <v>201.4401977308496</v>
      </c>
      <c r="BD13" s="855">
        <f>Model!DH398</f>
        <v>207.08185550464935</v>
      </c>
      <c r="BE13" s="855">
        <f>Model!DI398</f>
        <v>212.90035282856439</v>
      </c>
    </row>
    <row r="14" spans="2:57" ht="15.95" customHeight="1">
      <c r="B14" s="852" t="s">
        <v>655</v>
      </c>
      <c r="C14" s="855">
        <f>Model!AH405</f>
        <v>202</v>
      </c>
      <c r="D14" s="855">
        <f>Model!AI405</f>
        <v>212</v>
      </c>
      <c r="E14" s="855">
        <f>Model!AJ405</f>
        <v>196</v>
      </c>
      <c r="F14" s="855">
        <f>Model!AK405</f>
        <v>84</v>
      </c>
      <c r="G14" s="855">
        <f>Model!AL405</f>
        <v>222.8472204428499</v>
      </c>
      <c r="H14" s="855">
        <f>Model!AM405</f>
        <v>88.152779557150097</v>
      </c>
      <c r="I14" s="855">
        <f>Model!AN405</f>
        <v>231</v>
      </c>
      <c r="J14" s="855">
        <f>Model!AO405</f>
        <v>123</v>
      </c>
      <c r="K14" s="855">
        <f>Model!AP405</f>
        <v>60</v>
      </c>
      <c r="L14" s="855">
        <f>Model!AQ405</f>
        <v>403</v>
      </c>
      <c r="M14" s="855">
        <f>Model!AR405</f>
        <v>449</v>
      </c>
      <c r="N14" s="855">
        <f>Model!AS405</f>
        <v>423</v>
      </c>
      <c r="O14" s="855">
        <f>Model!AT405</f>
        <v>75</v>
      </c>
      <c r="P14" s="855">
        <f>Model!AU405</f>
        <v>94</v>
      </c>
      <c r="Q14" s="855">
        <f>Model!AV405</f>
        <v>100</v>
      </c>
      <c r="R14" s="855">
        <f>Model!AW405</f>
        <v>25</v>
      </c>
      <c r="S14" s="855">
        <f>Model!AX405</f>
        <v>50</v>
      </c>
      <c r="T14" s="856">
        <f>Model!AY405</f>
        <v>60</v>
      </c>
      <c r="U14" s="855">
        <f>Model!AZ405</f>
        <v>45</v>
      </c>
      <c r="V14" s="855">
        <f>Model!BA405</f>
        <v>45.9</v>
      </c>
      <c r="W14" s="855">
        <f>Model!BB405</f>
        <v>46.817999999999998</v>
      </c>
      <c r="X14" s="855">
        <f>Model!BC405</f>
        <v>47.754359999999998</v>
      </c>
      <c r="Y14" s="855">
        <f>Model!BD405</f>
        <v>48.7094472</v>
      </c>
      <c r="Z14" s="855">
        <f>Model!BE405</f>
        <v>49.683636143999998</v>
      </c>
      <c r="AA14" s="855">
        <f>Model!BF405</f>
        <v>50.677308866879997</v>
      </c>
      <c r="AB14" s="855">
        <f>Model!BG405</f>
        <v>51.690855044217599</v>
      </c>
      <c r="AC14" s="855">
        <f>Model!BH405</f>
        <v>52.724672145101955</v>
      </c>
      <c r="AD14" s="855">
        <f>Model!BI405</f>
        <v>53.779165588003998</v>
      </c>
      <c r="AE14" s="855">
        <f>Model!BJ405</f>
        <v>55.631000353424284</v>
      </c>
      <c r="AF14" s="855">
        <f>Model!BK405</f>
        <v>55.7535609574918</v>
      </c>
      <c r="AG14" s="855">
        <f>Model!BL405</f>
        <v>57.6135282728278</v>
      </c>
      <c r="AH14" s="855">
        <f>Model!BM405</f>
        <v>58.087332178007536</v>
      </c>
      <c r="AI14" s="855">
        <f>Model!BN405</f>
        <v>60.023597473623568</v>
      </c>
      <c r="AJ14" s="855">
        <f>Model!BO405</f>
        <v>60.185410922193405</v>
      </c>
      <c r="AK14" s="855">
        <f>Model!BP405</f>
        <v>62.365073767428441</v>
      </c>
      <c r="AL14" s="855">
        <f>Model!BQ405</f>
        <v>62.533918254363492</v>
      </c>
      <c r="AN14" s="855">
        <f>Model!CR405</f>
        <v>414</v>
      </c>
      <c r="AO14" s="855">
        <f>Model!CS405</f>
        <v>280</v>
      </c>
      <c r="AP14" s="855">
        <f>Model!CT405</f>
        <v>311</v>
      </c>
      <c r="AQ14" s="855">
        <f>Model!CU405</f>
        <v>354</v>
      </c>
      <c r="AR14" s="855">
        <f>Model!CV405</f>
        <v>463</v>
      </c>
      <c r="AS14" s="855">
        <f>Model!CW405</f>
        <v>872</v>
      </c>
      <c r="AT14" s="855">
        <f>Model!CX405</f>
        <v>169</v>
      </c>
      <c r="AU14" s="855">
        <f>Model!CY405</f>
        <v>125</v>
      </c>
      <c r="AV14" s="856">
        <f>Model!CZ405</f>
        <v>110</v>
      </c>
      <c r="AW14" s="855">
        <f>Model!DA405</f>
        <v>90.9</v>
      </c>
      <c r="AX14" s="855">
        <f>Model!DB405</f>
        <v>94.572360000000003</v>
      </c>
      <c r="AY14" s="855">
        <f>Model!DC405</f>
        <v>98.39308334399999</v>
      </c>
      <c r="AZ14" s="855">
        <f>Model!DD405</f>
        <v>102.3681639110976</v>
      </c>
      <c r="BA14" s="855">
        <f>Model!DE405</f>
        <v>106.50383773310595</v>
      </c>
      <c r="BB14" s="855">
        <f>Model!DF405</f>
        <v>111.38456131091608</v>
      </c>
      <c r="BC14" s="855">
        <f>Model!DG405</f>
        <v>115.70086045083534</v>
      </c>
      <c r="BD14" s="855">
        <f>Model!DH405</f>
        <v>120.20900839581697</v>
      </c>
      <c r="BE14" s="855">
        <f>Model!DI405</f>
        <v>124.89899202179194</v>
      </c>
    </row>
    <row r="15" spans="2:57" ht="15.95" customHeight="1">
      <c r="B15" s="857" t="s">
        <v>2729</v>
      </c>
      <c r="C15" s="858">
        <f>Model!AH406</f>
        <v>3728</v>
      </c>
      <c r="D15" s="858">
        <f>Model!AI406</f>
        <v>3629</v>
      </c>
      <c r="E15" s="858">
        <f>Model!AJ406</f>
        <v>3392</v>
      </c>
      <c r="F15" s="858">
        <f>Model!AK406</f>
        <v>3188</v>
      </c>
      <c r="G15" s="858">
        <f>Model!AL406</f>
        <v>2789.4349070100143</v>
      </c>
      <c r="H15" s="858">
        <f>Model!AM406</f>
        <v>2565.5650929899857</v>
      </c>
      <c r="I15" s="858">
        <f>Model!AN406</f>
        <v>2673</v>
      </c>
      <c r="J15" s="858">
        <f>Model!AO406</f>
        <v>2478</v>
      </c>
      <c r="K15" s="858">
        <f>Model!AP406</f>
        <v>2361</v>
      </c>
      <c r="L15" s="858">
        <f>Model!AQ406</f>
        <v>2493</v>
      </c>
      <c r="M15" s="858">
        <f>Model!AR406</f>
        <v>2359</v>
      </c>
      <c r="N15" s="858">
        <f>Model!AS406</f>
        <v>2341</v>
      </c>
      <c r="O15" s="858">
        <f>Model!AT406</f>
        <v>1986</v>
      </c>
      <c r="P15" s="858">
        <f>Model!AU406</f>
        <v>2093</v>
      </c>
      <c r="Q15" s="858">
        <f>Model!AV406</f>
        <v>2245</v>
      </c>
      <c r="R15" s="858">
        <f>Model!AW406</f>
        <v>2105</v>
      </c>
      <c r="S15" s="858">
        <f>Model!AX406</f>
        <v>2163</v>
      </c>
      <c r="T15" s="859">
        <f>Model!AY406</f>
        <v>2279</v>
      </c>
      <c r="U15" s="858">
        <f>Model!AZ406</f>
        <v>2326</v>
      </c>
      <c r="V15" s="858">
        <f>Model!BA406</f>
        <v>2240.1671197218784</v>
      </c>
      <c r="W15" s="858">
        <f>Model!BB406</f>
        <v>2229.419438229801</v>
      </c>
      <c r="X15" s="858">
        <f>Model!BC406</f>
        <v>2275.7147668718549</v>
      </c>
      <c r="Y15" s="858">
        <f>Model!BD406</f>
        <v>2236.9445914191942</v>
      </c>
      <c r="Z15" s="858">
        <f>Model!BE406</f>
        <v>2311.59636401014</v>
      </c>
      <c r="AA15" s="858">
        <f>Model!BF406</f>
        <v>2297.61098801141</v>
      </c>
      <c r="AB15" s="858">
        <f>Model!BG406</f>
        <v>2323.4142763820214</v>
      </c>
      <c r="AC15" s="858">
        <f>Model!BH406</f>
        <v>2349.797561569656</v>
      </c>
      <c r="AD15" s="858">
        <f>Model!BI406</f>
        <v>2368.627177893949</v>
      </c>
      <c r="AE15" s="858">
        <f>Model!BJ406</f>
        <v>2425.0129881706521</v>
      </c>
      <c r="AF15" s="858">
        <f>Model!BK406</f>
        <v>2439.1572298201309</v>
      </c>
      <c r="AG15" s="858">
        <f>Model!BL406</f>
        <v>2496.0145676713501</v>
      </c>
      <c r="AH15" s="858">
        <f>Model!BM406</f>
        <v>2525.7331225729276</v>
      </c>
      <c r="AI15" s="858">
        <f>Model!BN406</f>
        <v>2584.5751184689643</v>
      </c>
      <c r="AJ15" s="858">
        <f>Model!BO406</f>
        <v>2601.0431407012888</v>
      </c>
      <c r="AK15" s="858">
        <f>Model!BP406</f>
        <v>2669.0969247944113</v>
      </c>
      <c r="AL15" s="858">
        <f>Model!BQ406</f>
        <v>2686.1711773112775</v>
      </c>
      <c r="AN15" s="858">
        <f>Model!CR406</f>
        <v>7357</v>
      </c>
      <c r="AO15" s="858">
        <f>Model!CS406</f>
        <v>6580</v>
      </c>
      <c r="AP15" s="858">
        <f>Model!CT406</f>
        <v>5355</v>
      </c>
      <c r="AQ15" s="858">
        <f>Model!CU406</f>
        <v>5151</v>
      </c>
      <c r="AR15" s="858">
        <f>Model!CV406</f>
        <v>4854</v>
      </c>
      <c r="AS15" s="858">
        <f>Model!CW406</f>
        <v>4700</v>
      </c>
      <c r="AT15" s="858">
        <f>Model!CX406</f>
        <v>4079</v>
      </c>
      <c r="AU15" s="858">
        <f>Model!CY406</f>
        <v>4350</v>
      </c>
      <c r="AV15" s="859">
        <f>Model!CZ406</f>
        <v>4442</v>
      </c>
      <c r="AW15" s="858">
        <f>Model!DA406</f>
        <v>4566.1671197218784</v>
      </c>
      <c r="AX15" s="858">
        <f>Model!DB406</f>
        <v>4505.1342051016563</v>
      </c>
      <c r="AY15" s="858">
        <f>Model!DC406</f>
        <v>4548.5409554293346</v>
      </c>
      <c r="AZ15" s="858">
        <f>Model!DD406</f>
        <v>4621.0252643934309</v>
      </c>
      <c r="BA15" s="858">
        <f>Model!DE406</f>
        <v>4718.424739463605</v>
      </c>
      <c r="BB15" s="858">
        <f>Model!DF406</f>
        <v>4864.1702179907825</v>
      </c>
      <c r="BC15" s="858">
        <f>Model!DG406</f>
        <v>5021.7476902442777</v>
      </c>
      <c r="BD15" s="858">
        <f>Model!DH406</f>
        <v>5185.6182591702527</v>
      </c>
      <c r="BE15" s="858">
        <f>Model!DI406</f>
        <v>5355.2681021056887</v>
      </c>
    </row>
    <row r="16" spans="2:57" ht="15.95" customHeight="1">
      <c r="B16" s="852" t="s">
        <v>2730</v>
      </c>
      <c r="C16" s="855">
        <f>Model!AH407</f>
        <v>397</v>
      </c>
      <c r="D16" s="855">
        <f>Model!AI407</f>
        <v>0</v>
      </c>
      <c r="E16" s="855">
        <f>Model!AJ407</f>
        <v>0</v>
      </c>
      <c r="F16" s="855">
        <f>Model!AK407</f>
        <v>0</v>
      </c>
      <c r="G16" s="855">
        <f>Model!AL407</f>
        <v>0</v>
      </c>
      <c r="H16" s="855">
        <f>Model!AM407</f>
        <v>0</v>
      </c>
      <c r="I16" s="855">
        <f>Model!AN407</f>
        <v>0</v>
      </c>
      <c r="J16" s="855">
        <f>Model!AO407</f>
        <v>0</v>
      </c>
      <c r="K16" s="855">
        <f>Model!AP407</f>
        <v>0</v>
      </c>
      <c r="L16" s="855">
        <f>Model!AQ407</f>
        <v>0</v>
      </c>
      <c r="M16" s="855">
        <f>Model!AR407</f>
        <v>0</v>
      </c>
      <c r="N16" s="855">
        <f>Model!AS407</f>
        <v>516</v>
      </c>
      <c r="O16" s="855">
        <f>Model!AT407</f>
        <v>0</v>
      </c>
      <c r="P16" s="855">
        <f>Model!AU407</f>
        <v>0</v>
      </c>
      <c r="Q16" s="855">
        <f>Model!AV407</f>
        <v>0</v>
      </c>
      <c r="R16" s="855">
        <f>Model!AW407</f>
        <v>0</v>
      </c>
      <c r="S16" s="855">
        <f>Model!AX407</f>
        <v>0</v>
      </c>
      <c r="T16" s="856">
        <f>Model!AY407</f>
        <v>0</v>
      </c>
      <c r="U16" s="855">
        <f>Model!AZ407</f>
        <v>0</v>
      </c>
      <c r="V16" s="855">
        <f>Model!BA407</f>
        <v>0</v>
      </c>
      <c r="W16" s="855">
        <f>Model!BB407</f>
        <v>0</v>
      </c>
      <c r="X16" s="855">
        <f>Model!BC407</f>
        <v>0</v>
      </c>
      <c r="Y16" s="855">
        <f>Model!BD407</f>
        <v>0</v>
      </c>
      <c r="Z16" s="855">
        <f>Model!BE407</f>
        <v>0</v>
      </c>
      <c r="AA16" s="855">
        <f>Model!BF407</f>
        <v>0</v>
      </c>
      <c r="AB16" s="855">
        <f>Model!BG407</f>
        <v>0</v>
      </c>
      <c r="AC16" s="855">
        <f>Model!BH407</f>
        <v>0</v>
      </c>
      <c r="AD16" s="855">
        <f>Model!BI407</f>
        <v>0</v>
      </c>
      <c r="AE16" s="855">
        <f>Model!BJ407</f>
        <v>0</v>
      </c>
      <c r="AF16" s="855">
        <f>Model!BK407</f>
        <v>0</v>
      </c>
      <c r="AG16" s="855">
        <f>Model!BL407</f>
        <v>0</v>
      </c>
      <c r="AH16" s="855">
        <f>Model!BM407</f>
        <v>0</v>
      </c>
      <c r="AI16" s="855">
        <f>Model!BN407</f>
        <v>0</v>
      </c>
      <c r="AJ16" s="855">
        <f>Model!BO407</f>
        <v>0</v>
      </c>
      <c r="AK16" s="855">
        <f>Model!BP407</f>
        <v>0</v>
      </c>
      <c r="AL16" s="855">
        <f>Model!BQ407</f>
        <v>0</v>
      </c>
      <c r="AN16" s="855">
        <f>Model!CR407</f>
        <v>397</v>
      </c>
      <c r="AO16" s="855">
        <f>Model!CS407</f>
        <v>0</v>
      </c>
      <c r="AP16" s="855">
        <f>Model!CT407</f>
        <v>0</v>
      </c>
      <c r="AQ16" s="855">
        <f>Model!CU407</f>
        <v>0</v>
      </c>
      <c r="AR16" s="855">
        <f>Model!CV407</f>
        <v>0</v>
      </c>
      <c r="AS16" s="855">
        <f>Model!CW407</f>
        <v>516</v>
      </c>
      <c r="AT16" s="855">
        <f>Model!CX407</f>
        <v>0</v>
      </c>
      <c r="AU16" s="855">
        <f>Model!CY407</f>
        <v>0</v>
      </c>
      <c r="AV16" s="856">
        <f>Model!CZ407</f>
        <v>0</v>
      </c>
      <c r="AW16" s="855">
        <f>Model!DA407</f>
        <v>0</v>
      </c>
      <c r="AX16" s="855">
        <f>Model!DB407</f>
        <v>0</v>
      </c>
      <c r="AY16" s="855">
        <f>Model!DC407</f>
        <v>0</v>
      </c>
      <c r="AZ16" s="855">
        <f>Model!DD407</f>
        <v>0</v>
      </c>
      <c r="BA16" s="855">
        <f>Model!DE407</f>
        <v>0</v>
      </c>
      <c r="BB16" s="855">
        <f>Model!DF407</f>
        <v>0</v>
      </c>
      <c r="BC16" s="855">
        <f>Model!DG407</f>
        <v>0</v>
      </c>
      <c r="BD16" s="855">
        <f>Model!DH407</f>
        <v>0</v>
      </c>
      <c r="BE16" s="855">
        <f>Model!DI407</f>
        <v>0</v>
      </c>
    </row>
    <row r="17" spans="2:57" ht="15.95" customHeight="1">
      <c r="B17" s="857" t="s">
        <v>2731</v>
      </c>
      <c r="C17" s="858">
        <f>Model!AH408</f>
        <v>4125</v>
      </c>
      <c r="D17" s="858">
        <f>Model!AI408</f>
        <v>3629</v>
      </c>
      <c r="E17" s="858">
        <f>Model!AJ408</f>
        <v>3392</v>
      </c>
      <c r="F17" s="858">
        <f>Model!AK408</f>
        <v>3188</v>
      </c>
      <c r="G17" s="858">
        <f>Model!AL408</f>
        <v>2789.4349070100143</v>
      </c>
      <c r="H17" s="858">
        <f>Model!AM408</f>
        <v>2565.5650929899857</v>
      </c>
      <c r="I17" s="858">
        <f>Model!AN408</f>
        <v>2673</v>
      </c>
      <c r="J17" s="858">
        <f>Model!AO408</f>
        <v>2478</v>
      </c>
      <c r="K17" s="858">
        <f>Model!AP408</f>
        <v>2361</v>
      </c>
      <c r="L17" s="858">
        <f>Model!AQ408</f>
        <v>2493</v>
      </c>
      <c r="M17" s="858">
        <f>Model!AR408</f>
        <v>2359</v>
      </c>
      <c r="N17" s="858">
        <f>Model!AS408</f>
        <v>2857</v>
      </c>
      <c r="O17" s="858">
        <f>Model!AT408</f>
        <v>1986</v>
      </c>
      <c r="P17" s="858">
        <f>Model!AU408</f>
        <v>2093</v>
      </c>
      <c r="Q17" s="858">
        <f>Model!AV408</f>
        <v>2245</v>
      </c>
      <c r="R17" s="858">
        <f>Model!AW408</f>
        <v>2105</v>
      </c>
      <c r="S17" s="858">
        <f>Model!AX408</f>
        <v>2163</v>
      </c>
      <c r="T17" s="859">
        <f>Model!AY408</f>
        <v>2279</v>
      </c>
      <c r="U17" s="858">
        <f>Model!AZ408</f>
        <v>2326</v>
      </c>
      <c r="V17" s="858">
        <f>Model!BA408</f>
        <v>2240.1671197218784</v>
      </c>
      <c r="W17" s="858">
        <f>Model!BB408</f>
        <v>2229.419438229801</v>
      </c>
      <c r="X17" s="858">
        <f>Model!BC408</f>
        <v>2275.7147668718549</v>
      </c>
      <c r="Y17" s="858">
        <f>Model!BD408</f>
        <v>2236.9445914191942</v>
      </c>
      <c r="Z17" s="858">
        <f>Model!BE408</f>
        <v>2311.59636401014</v>
      </c>
      <c r="AA17" s="858">
        <f>Model!BF408</f>
        <v>2297.61098801141</v>
      </c>
      <c r="AB17" s="858">
        <f>Model!BG408</f>
        <v>2323.4142763820214</v>
      </c>
      <c r="AC17" s="858">
        <f>Model!BH408</f>
        <v>2349.797561569656</v>
      </c>
      <c r="AD17" s="858">
        <f>Model!BI408</f>
        <v>2368.627177893949</v>
      </c>
      <c r="AE17" s="858">
        <f>Model!BJ408</f>
        <v>2425.0129881706521</v>
      </c>
      <c r="AF17" s="858">
        <f>Model!BK408</f>
        <v>2439.1572298201309</v>
      </c>
      <c r="AG17" s="858">
        <f>Model!BL408</f>
        <v>2496.0145676713501</v>
      </c>
      <c r="AH17" s="858">
        <f>Model!BM408</f>
        <v>2525.7331225729276</v>
      </c>
      <c r="AI17" s="858">
        <f>Model!BN408</f>
        <v>2584.5751184689643</v>
      </c>
      <c r="AJ17" s="858">
        <f>Model!BO408</f>
        <v>2601.0431407012888</v>
      </c>
      <c r="AK17" s="858">
        <f>Model!BP408</f>
        <v>2669.0969247944113</v>
      </c>
      <c r="AL17" s="858">
        <f>Model!BQ408</f>
        <v>2686.1711773112775</v>
      </c>
      <c r="AN17" s="858">
        <f>Model!CR408</f>
        <v>7754</v>
      </c>
      <c r="AO17" s="858">
        <f>Model!CS408</f>
        <v>6580</v>
      </c>
      <c r="AP17" s="858">
        <f>Model!CT408</f>
        <v>5355</v>
      </c>
      <c r="AQ17" s="858">
        <f>Model!CU408</f>
        <v>5151</v>
      </c>
      <c r="AR17" s="858">
        <f>Model!CV408</f>
        <v>4854</v>
      </c>
      <c r="AS17" s="858">
        <f>Model!CW408</f>
        <v>5216</v>
      </c>
      <c r="AT17" s="858">
        <f>Model!CX408</f>
        <v>4079</v>
      </c>
      <c r="AU17" s="858">
        <f>Model!CY408</f>
        <v>4350</v>
      </c>
      <c r="AV17" s="859">
        <f>Model!CZ408</f>
        <v>4442</v>
      </c>
      <c r="AW17" s="858">
        <f>Model!DA408</f>
        <v>4566.1671197218784</v>
      </c>
      <c r="AX17" s="858">
        <f>Model!DB408</f>
        <v>4505.1342051016563</v>
      </c>
      <c r="AY17" s="858">
        <f>Model!DC408</f>
        <v>4548.5409554293346</v>
      </c>
      <c r="AZ17" s="858">
        <f>Model!DD408</f>
        <v>4621.0252643934309</v>
      </c>
      <c r="BA17" s="858">
        <f>Model!DE408</f>
        <v>4718.424739463605</v>
      </c>
      <c r="BB17" s="858">
        <f>Model!DF408</f>
        <v>4864.1702179907825</v>
      </c>
      <c r="BC17" s="858">
        <f>Model!DG408</f>
        <v>5021.7476902442777</v>
      </c>
      <c r="BD17" s="858">
        <f>Model!DH408</f>
        <v>5185.6182591702527</v>
      </c>
      <c r="BE17" s="858">
        <f>Model!DI408</f>
        <v>5355.2681021056887</v>
      </c>
    </row>
    <row r="18" spans="2:57" ht="15.95" customHeight="1">
      <c r="T18" s="854"/>
    </row>
    <row r="19" spans="2:57" ht="15.95" customHeight="1">
      <c r="B19" s="2" t="s">
        <v>636</v>
      </c>
      <c r="C19" s="79">
        <f>Model!AH426</f>
        <v>12835</v>
      </c>
      <c r="D19" s="79">
        <f>Model!AI426</f>
        <v>12453</v>
      </c>
      <c r="E19" s="79">
        <f>Model!AJ426</f>
        <v>12649</v>
      </c>
      <c r="F19" s="79">
        <f>Model!AK426</f>
        <v>12273</v>
      </c>
      <c r="G19" s="79">
        <f>Model!AL426</f>
        <v>11975.859631071826</v>
      </c>
      <c r="H19" s="79">
        <f>Model!AM426</f>
        <v>11603.140368928176</v>
      </c>
      <c r="I19" s="79">
        <f>Model!AN426</f>
        <v>12023</v>
      </c>
      <c r="J19" s="79">
        <f>Model!AO426</f>
        <v>11738</v>
      </c>
      <c r="K19" s="79">
        <f>Model!AP426</f>
        <v>11961</v>
      </c>
      <c r="L19" s="79">
        <f>Model!AQ426</f>
        <v>12195</v>
      </c>
      <c r="M19" s="79">
        <f>Model!AR426</f>
        <v>12107</v>
      </c>
      <c r="N19" s="79">
        <f>Model!AS426</f>
        <v>12582</v>
      </c>
      <c r="O19" s="79">
        <f>Model!AT426</f>
        <v>13623</v>
      </c>
      <c r="P19" s="79">
        <f>Model!AU426</f>
        <v>13512</v>
      </c>
      <c r="Q19" s="79">
        <f>Model!AV426</f>
        <v>13649</v>
      </c>
      <c r="R19" s="79">
        <f>Model!AW426</f>
        <v>13525</v>
      </c>
      <c r="S19" s="79">
        <f>Model!AX426</f>
        <v>14097</v>
      </c>
      <c r="T19" s="80">
        <f>Model!AY426</f>
        <v>14367.999999999998</v>
      </c>
      <c r="U19" s="79">
        <f>Model!AZ426</f>
        <v>15021</v>
      </c>
      <c r="V19" s="79">
        <f>Model!BA426</f>
        <v>15177.908774276708</v>
      </c>
      <c r="W19" s="79">
        <f>Model!BB426</f>
        <v>15752.141234880612</v>
      </c>
      <c r="X19" s="79">
        <f>Model!BC426</f>
        <v>15820.15708013865</v>
      </c>
      <c r="Y19" s="79">
        <f>Model!BD426</f>
        <v>16226.635984088764</v>
      </c>
      <c r="Z19" s="79">
        <f>Model!BE426</f>
        <v>16443.749560702148</v>
      </c>
      <c r="AA19" s="79">
        <f>Model!BF426</f>
        <v>16924.792336916278</v>
      </c>
      <c r="AB19" s="79">
        <f>Model!BG426</f>
        <v>16970.718733469308</v>
      </c>
      <c r="AC19" s="79">
        <f>Model!BH426</f>
        <v>17411.454117500769</v>
      </c>
      <c r="AD19" s="79">
        <f>Model!BI426</f>
        <v>17398.105786666871</v>
      </c>
      <c r="AE19" s="79">
        <f>Model!BJ426</f>
        <v>17894.478247894607</v>
      </c>
      <c r="AF19" s="79">
        <f>Model!BK426</f>
        <v>17867.590982247897</v>
      </c>
      <c r="AG19" s="79">
        <f>Model!BL426</f>
        <v>18354.103859693216</v>
      </c>
      <c r="AH19" s="79">
        <f>Model!BM426</f>
        <v>18428.565553553075</v>
      </c>
      <c r="AI19" s="79">
        <f>Model!BN426</f>
        <v>18929.0557770126</v>
      </c>
      <c r="AJ19" s="79">
        <f>Model!BO426</f>
        <v>18900.969825998465</v>
      </c>
      <c r="AK19" s="79">
        <f>Model!BP426</f>
        <v>19467.589693634218</v>
      </c>
      <c r="AL19" s="79">
        <f>Model!BQ426</f>
        <v>19438.222142172744</v>
      </c>
      <c r="AN19" s="79">
        <f>Model!CR426</f>
        <v>25288</v>
      </c>
      <c r="AO19" s="79">
        <f>Model!CS426</f>
        <v>24922</v>
      </c>
      <c r="AP19" s="79">
        <f>Model!CT426</f>
        <v>23579</v>
      </c>
      <c r="AQ19" s="79">
        <f>Model!CU426</f>
        <v>23761</v>
      </c>
      <c r="AR19" s="79">
        <f>Model!CV426</f>
        <v>24156</v>
      </c>
      <c r="AS19" s="79">
        <f>Model!CW426</f>
        <v>24689</v>
      </c>
      <c r="AT19" s="79">
        <f>Model!CX426</f>
        <v>27135</v>
      </c>
      <c r="AU19" s="79">
        <f>Model!CY426</f>
        <v>27174</v>
      </c>
      <c r="AV19" s="80">
        <f>Model!CZ426</f>
        <v>28465</v>
      </c>
      <c r="AW19" s="79">
        <f>Model!DA426</f>
        <v>30198.908774276708</v>
      </c>
      <c r="AX19" s="79">
        <f>Model!DB426</f>
        <v>31572.298315019259</v>
      </c>
      <c r="AY19" s="79">
        <f>Model!DC426</f>
        <v>32670.385544790915</v>
      </c>
      <c r="AZ19" s="79">
        <f>Model!DD426</f>
        <v>33895.511070385583</v>
      </c>
      <c r="BA19" s="79">
        <f>Model!DE426</f>
        <v>34809.55990416764</v>
      </c>
      <c r="BB19" s="79">
        <f>Model!DF426</f>
        <v>35762.069230142508</v>
      </c>
      <c r="BC19" s="79">
        <f>Model!DG426</f>
        <v>36782.669413246294</v>
      </c>
      <c r="BD19" s="79">
        <f>Model!DH426</f>
        <v>37830.025603011061</v>
      </c>
      <c r="BE19" s="79">
        <f>Model!DI426</f>
        <v>38905.811835806962</v>
      </c>
    </row>
    <row r="20" spans="2:57" ht="15.95" customHeight="1" outlineLevel="1">
      <c r="B20" s="878" t="s">
        <v>2751</v>
      </c>
      <c r="C20" s="877"/>
      <c r="D20" s="877"/>
      <c r="E20" s="877"/>
      <c r="F20" s="877"/>
      <c r="G20" s="877"/>
      <c r="H20" s="877"/>
      <c r="I20" s="877"/>
      <c r="J20" s="877"/>
      <c r="K20" s="877"/>
      <c r="L20" s="877"/>
      <c r="M20" s="877"/>
      <c r="N20" s="879">
        <f>N19/M19-1</f>
        <v>3.923350128025116E-2</v>
      </c>
      <c r="O20" s="879">
        <f t="shared" ref="O20:BA20" si="38">O19/N19-1</f>
        <v>8.2737243681449746E-2</v>
      </c>
      <c r="P20" s="879">
        <f t="shared" si="38"/>
        <v>-8.1479850253247665E-3</v>
      </c>
      <c r="Q20" s="879">
        <f t="shared" si="38"/>
        <v>1.0139135583185244E-2</v>
      </c>
      <c r="R20" s="879">
        <f t="shared" si="38"/>
        <v>-9.0849146457615548E-3</v>
      </c>
      <c r="S20" s="879">
        <f t="shared" si="38"/>
        <v>4.2292051756007476E-2</v>
      </c>
      <c r="T20" s="880">
        <f t="shared" si="38"/>
        <v>1.9223948357806497E-2</v>
      </c>
      <c r="U20" s="879">
        <f t="shared" si="38"/>
        <v>4.5448218262806428E-2</v>
      </c>
      <c r="V20" s="879">
        <f t="shared" si="38"/>
        <v>1.0445960606930926E-2</v>
      </c>
      <c r="W20" s="879">
        <f t="shared" si="38"/>
        <v>3.7833437342640108E-2</v>
      </c>
      <c r="X20" s="879">
        <f t="shared" si="38"/>
        <v>4.3178793437572693E-3</v>
      </c>
      <c r="Y20" s="879">
        <f t="shared" si="38"/>
        <v>2.5693733753151315E-2</v>
      </c>
      <c r="Z20" s="879">
        <f t="shared" si="38"/>
        <v>1.3380073160344397E-2</v>
      </c>
      <c r="AA20" s="879">
        <f t="shared" si="38"/>
        <v>2.925383741940113E-2</v>
      </c>
      <c r="AB20" s="879">
        <f t="shared" si="38"/>
        <v>2.7135574628502912E-3</v>
      </c>
      <c r="AC20" s="879">
        <f t="shared" si="38"/>
        <v>2.5970342856620032E-2</v>
      </c>
      <c r="AD20" s="879">
        <f t="shared" si="38"/>
        <v>-7.6664078392407742E-4</v>
      </c>
      <c r="AE20" s="879">
        <f t="shared" si="38"/>
        <v>2.8530258828989075E-2</v>
      </c>
      <c r="AF20" s="879">
        <f t="shared" si="38"/>
        <v>-1.5025453815550316E-3</v>
      </c>
      <c r="AG20" s="879">
        <f t="shared" si="38"/>
        <v>2.7228789708063417E-2</v>
      </c>
      <c r="AH20" s="879">
        <f t="shared" si="38"/>
        <v>4.0569506650434128E-3</v>
      </c>
      <c r="AI20" s="879">
        <f t="shared" si="38"/>
        <v>2.715839287681443E-2</v>
      </c>
      <c r="AJ20" s="879">
        <f t="shared" si="38"/>
        <v>-1.4837481248399786E-3</v>
      </c>
      <c r="AK20" s="879">
        <f t="shared" si="38"/>
        <v>2.9978348881143813E-2</v>
      </c>
      <c r="AL20" s="879">
        <f t="shared" si="38"/>
        <v>-1.5085355672498357E-3</v>
      </c>
      <c r="AM20" s="879"/>
      <c r="AN20" s="879" t="e">
        <f t="shared" si="38"/>
        <v>#DIV/0!</v>
      </c>
      <c r="AO20" s="879">
        <f t="shared" si="38"/>
        <v>-1.4473267953179381E-2</v>
      </c>
      <c r="AP20" s="879">
        <f t="shared" si="38"/>
        <v>-5.3888130968622105E-2</v>
      </c>
      <c r="AQ20" s="879">
        <f t="shared" si="38"/>
        <v>7.7187327706857989E-3</v>
      </c>
      <c r="AR20" s="879">
        <f t="shared" si="38"/>
        <v>1.6623879466352465E-2</v>
      </c>
      <c r="AS20" s="879">
        <f t="shared" si="38"/>
        <v>2.2064911409173771E-2</v>
      </c>
      <c r="AT20" s="879">
        <f t="shared" si="38"/>
        <v>9.9072461420065538E-2</v>
      </c>
      <c r="AU20" s="879">
        <f t="shared" si="38"/>
        <v>1.4372581536761242E-3</v>
      </c>
      <c r="AV20" s="880">
        <f t="shared" si="38"/>
        <v>4.7508647972326568E-2</v>
      </c>
      <c r="AW20" s="879">
        <f t="shared" si="38"/>
        <v>6.0913710671937737E-2</v>
      </c>
      <c r="AX20" s="879">
        <f t="shared" si="38"/>
        <v>4.5478118133606138E-2</v>
      </c>
      <c r="AY20" s="879">
        <f t="shared" si="38"/>
        <v>3.4780085339852551E-2</v>
      </c>
      <c r="AZ20" s="879">
        <f t="shared" si="38"/>
        <v>3.7499573548497755E-2</v>
      </c>
      <c r="BA20" s="879">
        <f t="shared" si="38"/>
        <v>2.6966663281282166E-2</v>
      </c>
      <c r="BB20" s="877"/>
      <c r="BC20" s="877"/>
      <c r="BD20" s="877"/>
      <c r="BE20" s="877"/>
    </row>
    <row r="21" spans="2:57" ht="15.95" customHeight="1">
      <c r="T21" s="854"/>
      <c r="AW21" s="876"/>
    </row>
    <row r="22" spans="2:57" ht="15.95" customHeight="1">
      <c r="B22" s="852" t="s">
        <v>2732</v>
      </c>
      <c r="C22" s="855">
        <f>Model!AH432</f>
        <v>-2996</v>
      </c>
      <c r="D22" s="855">
        <f>Model!AI432</f>
        <v>-3047</v>
      </c>
      <c r="E22" s="855">
        <f>Model!AJ432</f>
        <v>-2739</v>
      </c>
      <c r="F22" s="855">
        <f>Model!AK432</f>
        <v>-2700</v>
      </c>
      <c r="G22" s="855">
        <f>Model!AL432</f>
        <v>-2762</v>
      </c>
      <c r="H22" s="855">
        <f>Model!AM432</f>
        <v>-2815</v>
      </c>
      <c r="I22" s="855">
        <f>Model!AN432</f>
        <v>-2885</v>
      </c>
      <c r="J22" s="855">
        <f>Model!AO432</f>
        <v>-2846</v>
      </c>
      <c r="K22" s="855">
        <f>Model!AP432</f>
        <v>-2963</v>
      </c>
      <c r="L22" s="855">
        <f>Model!AQ432</f>
        <v>-3022</v>
      </c>
      <c r="M22" s="855">
        <f>-[5]CBA!C178</f>
        <v>-3358</v>
      </c>
      <c r="N22" s="855">
        <f>-[5]CBA!D178</f>
        <v>-3174</v>
      </c>
      <c r="O22" s="855">
        <f>-[5]CBA!E178</f>
        <v>-3517</v>
      </c>
      <c r="P22" s="855">
        <f>-[5]CBA!F178</f>
        <v>-3640</v>
      </c>
      <c r="Q22" s="855">
        <f>-[5]CBA!G178</f>
        <v>-3719</v>
      </c>
      <c r="R22" s="855">
        <f>-[5]CBA!H178</f>
        <v>-3729</v>
      </c>
      <c r="S22" s="855">
        <f>-[5]CBA!I178</f>
        <v>-3970</v>
      </c>
      <c r="T22" s="856">
        <f>-[5]CBA!J178</f>
        <v>-4000</v>
      </c>
      <c r="U22" s="855">
        <f>-[5]CBA!K178</f>
        <v>-4139</v>
      </c>
      <c r="V22" s="855">
        <f>-[5]CBA!L178</f>
        <v>-4111.8900000000003</v>
      </c>
      <c r="W22" s="855">
        <f>-[5]CBA!M178</f>
        <v>-4361.7201321364701</v>
      </c>
      <c r="X22" s="855">
        <f>-[5]CBA!N178</f>
        <v>-4343.1997001244999</v>
      </c>
      <c r="Y22" s="855">
        <f>-[5]CBA!O178</f>
        <v>-4560.2066290226157</v>
      </c>
      <c r="Z22" s="855">
        <f>-[5]CBA!P178</f>
        <v>-4502.1711240070617</v>
      </c>
      <c r="AA22" s="855">
        <f>-[5]CBA!Q178</f>
        <v>-4730.9559110735199</v>
      </c>
      <c r="AB22" s="855">
        <f>-[5]CBA!R178</f>
        <v>-4673.2992924071505</v>
      </c>
      <c r="AC22" s="855">
        <f>-[5]CBA!S178</f>
        <v>-4912.0262562490352</v>
      </c>
      <c r="AD22" s="855">
        <f>-[5]CBA!T178</f>
        <v>-4851.0614933323759</v>
      </c>
      <c r="AE22" s="855"/>
      <c r="AN22" s="855"/>
      <c r="AO22" s="855"/>
      <c r="AP22" s="855"/>
      <c r="AQ22" s="855"/>
      <c r="AR22" s="855"/>
      <c r="AS22" s="855">
        <f>-[5]CBA!V178</f>
        <v>-6532</v>
      </c>
      <c r="AT22" s="855">
        <f>-[5]CBA!W178</f>
        <v>-7157</v>
      </c>
      <c r="AU22" s="855">
        <f>-[5]CBA!X178</f>
        <v>-7448</v>
      </c>
      <c r="AV22" s="856">
        <f>-[5]CBA!Y178</f>
        <v>-7970</v>
      </c>
      <c r="AW22" s="855">
        <f>-[5]CBA!Z178</f>
        <v>-8250.89</v>
      </c>
      <c r="AX22" s="855">
        <f>-[5]CBA!AA178</f>
        <v>-8704.91983226097</v>
      </c>
      <c r="AY22" s="855">
        <f>-[5]CBA!AB178</f>
        <v>-9062.3777530296775</v>
      </c>
      <c r="AZ22" s="855">
        <f>-[5]CBA!AC178</f>
        <v>-9404.2552034806704</v>
      </c>
      <c r="BA22" s="855">
        <f>-[5]CBA!AD178</f>
        <v>-9763.0877495814111</v>
      </c>
      <c r="BB22" s="855"/>
      <c r="BC22" s="855"/>
      <c r="BD22" s="855"/>
      <c r="BE22" s="855"/>
    </row>
    <row r="23" spans="2:57" ht="15.95" customHeight="1">
      <c r="B23" s="852" t="s">
        <v>2733</v>
      </c>
      <c r="M23" s="855">
        <f>-[5]CBA!C179</f>
        <v>-960</v>
      </c>
      <c r="N23" s="855">
        <f>-[5]CBA!D179</f>
        <v>-1007</v>
      </c>
      <c r="O23" s="855">
        <f>-[5]CBA!E179</f>
        <v>-1020</v>
      </c>
      <c r="P23" s="855">
        <f>-[5]CBA!F179</f>
        <v>-1010</v>
      </c>
      <c r="Q23" s="855">
        <f>-[5]CBA!G179</f>
        <v>-1106</v>
      </c>
      <c r="R23" s="855">
        <f>-[5]CBA!H179</f>
        <v>-1119</v>
      </c>
      <c r="S23" s="855">
        <f>-[5]CBA!I179</f>
        <v>-1187</v>
      </c>
      <c r="T23" s="856">
        <f>-[5]CBA!J179</f>
        <v>-1202</v>
      </c>
      <c r="U23" s="855">
        <f>-[5]CBA!K179</f>
        <v>-1321</v>
      </c>
      <c r="V23" s="855">
        <f>-[5]CBA!L179</f>
        <v>-1393.141071215633</v>
      </c>
      <c r="W23" s="855">
        <f>-[5]CBA!M179</f>
        <v>-1442.4260502193413</v>
      </c>
      <c r="X23" s="855">
        <f>-[5]CBA!N179</f>
        <v>-1504.0323512312557</v>
      </c>
      <c r="Y23" s="855">
        <f>-[5]CBA!O179</f>
        <v>-1540.7510115192306</v>
      </c>
      <c r="Z23" s="855">
        <f>-[5]CBA!P179</f>
        <v>-1562.4976307015504</v>
      </c>
      <c r="AA23" s="855">
        <f>-[5]CBA!Q179</f>
        <v>-1570.7536916995987</v>
      </c>
      <c r="AB23" s="855">
        <f>-[5]CBA!R179</f>
        <v>-1594.1524991383546</v>
      </c>
      <c r="AC23" s="855">
        <f>-[5]CBA!S179</f>
        <v>-1603.7788001060123</v>
      </c>
      <c r="AD23" s="855">
        <f>-[5]CBA!T179</f>
        <v>-1626.1171828341267</v>
      </c>
      <c r="AS23" s="855">
        <f>-[5]CBA!V179</f>
        <v>-1967</v>
      </c>
      <c r="AT23" s="855">
        <f>-[5]CBA!W179</f>
        <v>-2030</v>
      </c>
      <c r="AU23" s="855">
        <f>-[5]CBA!X179</f>
        <v>-2225</v>
      </c>
      <c r="AV23" s="856">
        <f>-[5]CBA!Y179</f>
        <v>-2389</v>
      </c>
      <c r="AW23" s="855">
        <f>-[5]CBA!Z179</f>
        <v>-2714.141071215633</v>
      </c>
      <c r="AX23" s="855">
        <f>-[5]CBA!AA179</f>
        <v>-2946.4584014505972</v>
      </c>
      <c r="AY23" s="855">
        <f>-[5]CBA!AB179</f>
        <v>-3103.2486422207812</v>
      </c>
      <c r="AZ23" s="855">
        <f>-[5]CBA!AC179</f>
        <v>-3164.9061908379535</v>
      </c>
      <c r="BA23" s="855">
        <f>-[5]CBA!AD179</f>
        <v>-3229.8959829401392</v>
      </c>
      <c r="BB23" s="855"/>
      <c r="BC23" s="855"/>
      <c r="BD23" s="855"/>
      <c r="BE23" s="855"/>
    </row>
    <row r="24" spans="2:57" ht="15.95" customHeight="1">
      <c r="B24" s="852" t="s">
        <v>2734</v>
      </c>
      <c r="M24" s="855">
        <f>-[5]CBA!C180</f>
        <v>-486</v>
      </c>
      <c r="N24" s="855">
        <f>-[5]CBA!D180</f>
        <v>-489</v>
      </c>
      <c r="O24" s="855">
        <f>-[5]CBA!E180</f>
        <v>-477</v>
      </c>
      <c r="P24" s="855">
        <f>-[5]CBA!F180</f>
        <v>-471</v>
      </c>
      <c r="Q24" s="855">
        <f>-[5]CBA!G180</f>
        <v>-501</v>
      </c>
      <c r="R24" s="855">
        <f>-[5]CBA!H180</f>
        <v>-494</v>
      </c>
      <c r="S24" s="855">
        <f>-[5]CBA!I180</f>
        <v>-460</v>
      </c>
      <c r="T24" s="856">
        <f>-[5]CBA!J180</f>
        <v>-497</v>
      </c>
      <c r="U24" s="855">
        <f>-[5]CBA!K180</f>
        <v>-465</v>
      </c>
      <c r="V24" s="855">
        <f>-[5]CBA!L180</f>
        <v>-463.25</v>
      </c>
      <c r="W24" s="855">
        <f>-[5]CBA!M180</f>
        <v>-464.94874999999996</v>
      </c>
      <c r="X24" s="855">
        <f>-[5]CBA!N180</f>
        <v>-462.14806666666669</v>
      </c>
      <c r="Y24" s="855">
        <f>-[5]CBA!O180</f>
        <v>-462.53979411111118</v>
      </c>
      <c r="Z24" s="855">
        <f>-[5]CBA!P180</f>
        <v>-458.16519205222227</v>
      </c>
      <c r="AA24" s="855">
        <f>-[5]CBA!Q180</f>
        <v>-457.7468439727445</v>
      </c>
      <c r="AB24" s="855">
        <f>-[5]CBA!R180</f>
        <v>-453.42431241247198</v>
      </c>
      <c r="AC24" s="855">
        <f>-[5]CBA!S180</f>
        <v>-452.99577457873511</v>
      </c>
      <c r="AD24" s="855">
        <f>-[5]CBA!T180</f>
        <v>-447.9890895195872</v>
      </c>
      <c r="AS24" s="855">
        <f>-[5]CBA!V180</f>
        <v>-975</v>
      </c>
      <c r="AT24" s="855">
        <f>-[5]CBA!W180</f>
        <v>-948</v>
      </c>
      <c r="AU24" s="855">
        <f>-[5]CBA!X180</f>
        <v>-995</v>
      </c>
      <c r="AV24" s="856">
        <f>-[5]CBA!Y180</f>
        <v>-957</v>
      </c>
      <c r="AW24" s="855">
        <f>-[5]CBA!Z180</f>
        <v>-928.25</v>
      </c>
      <c r="AX24" s="855">
        <f>-[5]CBA!AA180</f>
        <v>-927.09681666666665</v>
      </c>
      <c r="AY24" s="855">
        <f>-[5]CBA!AB180</f>
        <v>-920.70498616333339</v>
      </c>
      <c r="AZ24" s="855">
        <f>-[5]CBA!AC180</f>
        <v>-911.17115638521648</v>
      </c>
      <c r="BA24" s="855">
        <f>-[5]CBA!AD180</f>
        <v>-900.9848640983223</v>
      </c>
      <c r="BB24" s="855"/>
      <c r="BC24" s="855"/>
      <c r="BD24" s="855"/>
      <c r="BE24" s="855"/>
    </row>
    <row r="25" spans="2:57" ht="15.95" customHeight="1">
      <c r="B25" s="852" t="s">
        <v>271</v>
      </c>
      <c r="M25" s="855">
        <f>-[5]CBA!C181</f>
        <v>-784</v>
      </c>
      <c r="N25" s="855">
        <f>-[5]CBA!D181</f>
        <v>-932</v>
      </c>
      <c r="O25" s="855">
        <f>-[5]CBA!E181</f>
        <v>-759</v>
      </c>
      <c r="P25" s="855">
        <f>-[5]CBA!F181</f>
        <v>-752</v>
      </c>
      <c r="Q25" s="855">
        <f>-[5]CBA!G181</f>
        <v>-685</v>
      </c>
      <c r="R25" s="855">
        <f>-[5]CBA!H181</f>
        <v>-776</v>
      </c>
      <c r="S25" s="855">
        <f>-[5]CBA!I181</f>
        <v>-755</v>
      </c>
      <c r="T25" s="856">
        <f>-[5]CBA!J181</f>
        <v>-795</v>
      </c>
      <c r="U25" s="855">
        <f>-[5]CBA!K181</f>
        <v>-795</v>
      </c>
      <c r="V25" s="855">
        <f>-[5]CBA!L181</f>
        <v>-808.25</v>
      </c>
      <c r="W25" s="855">
        <f>-[5]CBA!M181</f>
        <v>-820.37374999999997</v>
      </c>
      <c r="X25" s="855">
        <f>-[5]CBA!N181</f>
        <v>-831.31206666666674</v>
      </c>
      <c r="Y25" s="855">
        <f>-[5]CBA!O181</f>
        <v>-841.01070744444451</v>
      </c>
      <c r="Z25" s="855">
        <f>-[5]CBA!P181</f>
        <v>-849.42081451888896</v>
      </c>
      <c r="AA25" s="855">
        <f>-[5]CBA!Q181</f>
        <v>-857.91502266407781</v>
      </c>
      <c r="AB25" s="855">
        <f>-[5]CBA!R181</f>
        <v>-866.49417289071857</v>
      </c>
      <c r="AC25" s="855">
        <f>-[5]CBA!S181</f>
        <v>-875.15911461962571</v>
      </c>
      <c r="AD25" s="855">
        <f>-[5]CBA!T181</f>
        <v>-883.91070576582194</v>
      </c>
      <c r="AS25" s="855">
        <f>-[5]CBA!V181</f>
        <v>-1716</v>
      </c>
      <c r="AT25" s="855">
        <f>-[5]CBA!W181</f>
        <v>-1511</v>
      </c>
      <c r="AU25" s="855">
        <f>-[5]CBA!X181</f>
        <v>-1461</v>
      </c>
      <c r="AV25" s="856">
        <f>-[5]CBA!Y181</f>
        <v>-1550</v>
      </c>
      <c r="AW25" s="855">
        <f>-[5]CBA!Z181</f>
        <v>-1603.25</v>
      </c>
      <c r="AX25" s="855">
        <f>-[5]CBA!AA181</f>
        <v>-1651.6858166666666</v>
      </c>
      <c r="AY25" s="855">
        <f>-[5]CBA!AB181</f>
        <v>-1690.4315219633336</v>
      </c>
      <c r="AZ25" s="855">
        <f>-[5]CBA!AC181</f>
        <v>-1724.4091955547965</v>
      </c>
      <c r="BA25" s="855">
        <f>-[5]CBA!AD181</f>
        <v>-1759.0698203854477</v>
      </c>
      <c r="BB25" s="855"/>
      <c r="BC25" s="855"/>
      <c r="BD25" s="855"/>
      <c r="BE25" s="855"/>
    </row>
    <row r="26" spans="2:57" ht="15.95" customHeight="1">
      <c r="B26" s="857" t="s">
        <v>2735</v>
      </c>
      <c r="C26" s="855">
        <f>Model!AH441</f>
        <v>-5081</v>
      </c>
      <c r="D26" s="855">
        <f>Model!AI441</f>
        <v>-5195</v>
      </c>
      <c r="E26" s="855">
        <f>Model!AJ441</f>
        <v>-4871</v>
      </c>
      <c r="F26" s="855">
        <f>Model!AK441</f>
        <v>-4894</v>
      </c>
      <c r="G26" s="855">
        <f>Model!AL441</f>
        <v>-4804.1434022539706</v>
      </c>
      <c r="H26" s="855">
        <f>Model!AM441</f>
        <v>-4888.8565977460285</v>
      </c>
      <c r="I26" s="855">
        <f>Model!AN441</f>
        <v>-5253</v>
      </c>
      <c r="J26" s="855">
        <f>Model!AO441</f>
        <v>-5282</v>
      </c>
      <c r="K26" s="855">
        <f>Model!AP441</f>
        <v>-5349</v>
      </c>
      <c r="L26" s="855">
        <f>Model!AQ441</f>
        <v>-5435</v>
      </c>
      <c r="M26" s="858">
        <f>Model!AR441</f>
        <v>-5397</v>
      </c>
      <c r="N26" s="858">
        <f>Model!AS441</f>
        <v>-5391</v>
      </c>
      <c r="O26" s="858">
        <f>Model!AT441</f>
        <v>-5773</v>
      </c>
      <c r="P26" s="858">
        <f>Model!AU441</f>
        <v>-5873</v>
      </c>
      <c r="Q26" s="858">
        <f>Model!AV441</f>
        <v>-6011</v>
      </c>
      <c r="R26" s="858">
        <f>Model!AW441</f>
        <v>-6118</v>
      </c>
      <c r="S26" s="858">
        <f>Model!AX441</f>
        <v>-6372</v>
      </c>
      <c r="T26" s="859">
        <f>Model!AY441</f>
        <v>-6494</v>
      </c>
      <c r="U26" s="858">
        <f>Model!AZ441</f>
        <v>-6720</v>
      </c>
      <c r="V26" s="858">
        <f>Model!BA441</f>
        <v>-6776.5310712156333</v>
      </c>
      <c r="W26" s="858">
        <f>Model!BB441</f>
        <v>-7089.4686823558104</v>
      </c>
      <c r="X26" s="858">
        <f>Model!BC441</f>
        <v>-7140.6921846890891</v>
      </c>
      <c r="Y26" s="858">
        <f>Model!BD441</f>
        <v>-7404.5081420974029</v>
      </c>
      <c r="Z26" s="858">
        <f>Model!BE441</f>
        <v>-7372.2547612797234</v>
      </c>
      <c r="AA26" s="858">
        <f>Model!BF441</f>
        <v>-7617.3714694099408</v>
      </c>
      <c r="AB26" s="858">
        <f>Model!BG441</f>
        <v>-7587.3702768486964</v>
      </c>
      <c r="AC26" s="858">
        <f>Model!BH441</f>
        <v>-7843.9599455534089</v>
      </c>
      <c r="AD26" s="858">
        <f>Model!BI441</f>
        <v>-7809.0784714519114</v>
      </c>
      <c r="AE26" s="858">
        <f>Model!BJ441</f>
        <v>-8056.8625491886896</v>
      </c>
      <c r="AF26" s="858">
        <f>Model!BK441</f>
        <v>-8096.2637560382645</v>
      </c>
      <c r="AG26" s="858">
        <f>Model!BL441</f>
        <v>-8319.011560507628</v>
      </c>
      <c r="AH26" s="858">
        <f>Model!BM441</f>
        <v>-8396.8399645404315</v>
      </c>
      <c r="AI26" s="858">
        <f>Model!BN441</f>
        <v>-8592.875021339376</v>
      </c>
      <c r="AJ26" s="858">
        <f>Model!BO441</f>
        <v>-8582.7447849099335</v>
      </c>
      <c r="AK26" s="858">
        <f>Model!BP441</f>
        <v>-8802.3317114488455</v>
      </c>
      <c r="AL26" s="858">
        <f>Model!BQ441</f>
        <v>-8790.9161403822345</v>
      </c>
      <c r="AM26" s="857"/>
      <c r="AN26" s="858">
        <f>Model!CR441</f>
        <v>-10276</v>
      </c>
      <c r="AO26" s="858">
        <f>Model!CS441</f>
        <v>-9765</v>
      </c>
      <c r="AP26" s="858">
        <f>Model!CT441</f>
        <v>-9693</v>
      </c>
      <c r="AQ26" s="858">
        <f>Model!CU441</f>
        <v>-10535</v>
      </c>
      <c r="AR26" s="858">
        <f>Model!CV441</f>
        <v>-10784</v>
      </c>
      <c r="AS26" s="858">
        <f>Model!CW441</f>
        <v>-10788</v>
      </c>
      <c r="AT26" s="858">
        <f>Model!CX441</f>
        <v>-11646</v>
      </c>
      <c r="AU26" s="858">
        <f>Model!CY441</f>
        <v>-12129</v>
      </c>
      <c r="AV26" s="859">
        <f>Model!CZ441</f>
        <v>-12866</v>
      </c>
      <c r="AW26" s="858">
        <f>Model!DA441</f>
        <v>-13496.531071215633</v>
      </c>
      <c r="AX26" s="858">
        <f>Model!DB441</f>
        <v>-14230.160867044899</v>
      </c>
      <c r="AY26" s="858">
        <f>Model!DC441</f>
        <v>-14776.762903377126</v>
      </c>
      <c r="AZ26" s="858">
        <f>Model!DD441</f>
        <v>-15204.741746258638</v>
      </c>
      <c r="BA26" s="858">
        <f>Model!DE441</f>
        <v>-15653.03841700532</v>
      </c>
      <c r="BB26" s="858">
        <f>Model!DF441</f>
        <v>-16153.126305226953</v>
      </c>
      <c r="BC26" s="858">
        <f>Model!DG441</f>
        <v>-16715.85152504806</v>
      </c>
      <c r="BD26" s="858">
        <f>Model!DH441</f>
        <v>-17175.619806249309</v>
      </c>
      <c r="BE26" s="858">
        <f>Model!DI441</f>
        <v>-17593.247851831082</v>
      </c>
    </row>
    <row r="27" spans="2:57" ht="15.95" customHeight="1">
      <c r="B27" s="852" t="s">
        <v>2730</v>
      </c>
      <c r="C27" s="855">
        <f>Model!AH442</f>
        <v>-393</v>
      </c>
      <c r="D27" s="855">
        <f>Model!AI442</f>
        <v>0</v>
      </c>
      <c r="E27" s="855">
        <f>Model!AJ442</f>
        <v>-585</v>
      </c>
      <c r="F27" s="855">
        <f>Model!AK442</f>
        <v>-645</v>
      </c>
      <c r="G27" s="855">
        <f>Model!AL442</f>
        <v>-276</v>
      </c>
      <c r="H27" s="855">
        <f>Model!AM442</f>
        <v>-855</v>
      </c>
      <c r="I27" s="855">
        <f>Model!AN442</f>
        <v>0</v>
      </c>
      <c r="J27" s="855">
        <f>Model!AO442</f>
        <v>-461</v>
      </c>
      <c r="K27" s="855">
        <f>Model!AP442</f>
        <v>-242</v>
      </c>
      <c r="L27" s="855">
        <f>Model!AQ442</f>
        <v>-333</v>
      </c>
      <c r="M27" s="855">
        <f>Model!AR442</f>
        <v>-93</v>
      </c>
      <c r="N27" s="855">
        <f>Model!AS442</f>
        <v>-547</v>
      </c>
      <c r="O27" s="855">
        <f>Model!AT442</f>
        <v>0</v>
      </c>
      <c r="P27" s="855">
        <f>Model!AU442</f>
        <v>-212</v>
      </c>
      <c r="Q27" s="855">
        <f>Model!AV442</f>
        <v>0</v>
      </c>
      <c r="R27" s="855">
        <f>Model!AW442</f>
        <v>-89</v>
      </c>
      <c r="S27" s="855">
        <f>Model!AX442</f>
        <v>0</v>
      </c>
      <c r="T27" s="856">
        <f>Model!AY442</f>
        <v>-130</v>
      </c>
      <c r="U27" s="855">
        <f>Model!AZ442</f>
        <v>-170</v>
      </c>
      <c r="V27" s="855">
        <f>Model!BA442</f>
        <v>0</v>
      </c>
      <c r="W27" s="855">
        <f>Model!BB442</f>
        <v>0</v>
      </c>
      <c r="X27" s="855">
        <f>Model!BC442</f>
        <v>0</v>
      </c>
      <c r="Y27" s="855">
        <f>Model!BD442</f>
        <v>0</v>
      </c>
      <c r="Z27" s="855">
        <f>Model!BE442</f>
        <v>0</v>
      </c>
      <c r="AA27" s="855">
        <f>Model!BF442</f>
        <v>0</v>
      </c>
      <c r="AB27" s="855">
        <f>Model!BG442</f>
        <v>0</v>
      </c>
      <c r="AC27" s="855">
        <f>Model!BH442</f>
        <v>0</v>
      </c>
      <c r="AD27" s="855">
        <f>Model!BI442</f>
        <v>0</v>
      </c>
      <c r="AE27" s="855">
        <f>Model!BJ442</f>
        <v>0</v>
      </c>
      <c r="AF27" s="855">
        <f>Model!BK442</f>
        <v>0</v>
      </c>
      <c r="AG27" s="855">
        <f>Model!BL442</f>
        <v>0</v>
      </c>
      <c r="AH27" s="855">
        <f>Model!BM442</f>
        <v>0</v>
      </c>
      <c r="AI27" s="855">
        <f>Model!BN442</f>
        <v>0</v>
      </c>
      <c r="AJ27" s="855">
        <f>Model!BO442</f>
        <v>0</v>
      </c>
      <c r="AK27" s="855">
        <f>Model!BP442</f>
        <v>0</v>
      </c>
      <c r="AL27" s="855">
        <f>Model!BQ442</f>
        <v>0</v>
      </c>
      <c r="AN27" s="855">
        <f>Model!CR442</f>
        <v>-393</v>
      </c>
      <c r="AO27" s="855">
        <f>Model!CS442</f>
        <v>-1230</v>
      </c>
      <c r="AP27" s="855">
        <f>Model!CT442</f>
        <v>-1131</v>
      </c>
      <c r="AQ27" s="855">
        <f>Model!CU442</f>
        <v>-461</v>
      </c>
      <c r="AR27" s="855">
        <f>Model!CV442</f>
        <v>-575</v>
      </c>
      <c r="AS27" s="855">
        <f>Model!CW442</f>
        <v>-640</v>
      </c>
      <c r="AT27" s="855">
        <f>Model!CX442</f>
        <v>-212</v>
      </c>
      <c r="AU27" s="855">
        <f>Model!CY442</f>
        <v>-89</v>
      </c>
      <c r="AV27" s="856">
        <f>Model!CZ442</f>
        <v>-130</v>
      </c>
      <c r="AW27" s="855">
        <f>Model!DA442</f>
        <v>-170</v>
      </c>
      <c r="AX27" s="855">
        <f>Model!DB442</f>
        <v>0</v>
      </c>
      <c r="AY27" s="855">
        <f>Model!DC442</f>
        <v>0</v>
      </c>
      <c r="AZ27" s="855">
        <f>Model!DD442</f>
        <v>0</v>
      </c>
      <c r="BA27" s="855">
        <f>Model!DE442</f>
        <v>0</v>
      </c>
      <c r="BB27" s="855">
        <f>Model!DF442</f>
        <v>0</v>
      </c>
      <c r="BC27" s="855">
        <f>Model!DG442</f>
        <v>0</v>
      </c>
      <c r="BD27" s="855">
        <f>Model!DH442</f>
        <v>0</v>
      </c>
      <c r="BE27" s="855">
        <f>Model!DI442</f>
        <v>0</v>
      </c>
    </row>
    <row r="28" spans="2:57" ht="15.95" customHeight="1">
      <c r="B28" s="857" t="s">
        <v>2736</v>
      </c>
      <c r="C28" s="855">
        <f>Model!AH443</f>
        <v>-5474</v>
      </c>
      <c r="D28" s="855">
        <f>Model!AI443</f>
        <v>-5195</v>
      </c>
      <c r="E28" s="855">
        <f>Model!AJ443</f>
        <v>-5456</v>
      </c>
      <c r="F28" s="855">
        <f>Model!AK443</f>
        <v>-5539</v>
      </c>
      <c r="G28" s="855">
        <f>Model!AL443</f>
        <v>-5080.1434022539706</v>
      </c>
      <c r="H28" s="855">
        <f>Model!AM443</f>
        <v>-5743.8565977460285</v>
      </c>
      <c r="I28" s="855">
        <f>Model!AN443</f>
        <v>-5253</v>
      </c>
      <c r="J28" s="855">
        <f>Model!AO443</f>
        <v>-5743</v>
      </c>
      <c r="K28" s="855">
        <f>Model!AP443</f>
        <v>-5591</v>
      </c>
      <c r="L28" s="855">
        <f>Model!AQ443</f>
        <v>-5768</v>
      </c>
      <c r="M28" s="858">
        <f>Model!AR443</f>
        <v>-5490</v>
      </c>
      <c r="N28" s="858">
        <f>Model!AS443</f>
        <v>-5938</v>
      </c>
      <c r="O28" s="858">
        <f>Model!AT443</f>
        <v>-5773</v>
      </c>
      <c r="P28" s="858">
        <f>Model!AU443</f>
        <v>-6085</v>
      </c>
      <c r="Q28" s="858">
        <f>Model!AV443</f>
        <v>-6011</v>
      </c>
      <c r="R28" s="858">
        <f>Model!AW443</f>
        <v>-6207</v>
      </c>
      <c r="S28" s="858">
        <f>Model!AX443</f>
        <v>-6372</v>
      </c>
      <c r="T28" s="859">
        <f>Model!AY443</f>
        <v>-6624</v>
      </c>
      <c r="U28" s="858">
        <f>Model!AZ443</f>
        <v>-6890</v>
      </c>
      <c r="V28" s="858">
        <f>Model!BA443</f>
        <v>-6776.5310712156333</v>
      </c>
      <c r="W28" s="858">
        <f>Model!BB443</f>
        <v>-7089.4686823558104</v>
      </c>
      <c r="X28" s="858">
        <f>Model!BC443</f>
        <v>-7140.6921846890891</v>
      </c>
      <c r="Y28" s="858">
        <f>Model!BD443</f>
        <v>-7404.5081420974029</v>
      </c>
      <c r="Z28" s="858">
        <f>Model!BE443</f>
        <v>-7372.2547612797234</v>
      </c>
      <c r="AA28" s="858">
        <f>Model!BF443</f>
        <v>-7617.3714694099408</v>
      </c>
      <c r="AB28" s="858">
        <f>Model!BG443</f>
        <v>-7587.3702768486964</v>
      </c>
      <c r="AC28" s="858">
        <f>Model!BH443</f>
        <v>-7843.9599455534089</v>
      </c>
      <c r="AD28" s="858">
        <f>Model!BI443</f>
        <v>-7809.0784714519114</v>
      </c>
      <c r="AE28" s="858">
        <f>Model!BJ443</f>
        <v>-8056.8625491886896</v>
      </c>
      <c r="AF28" s="858">
        <f>Model!BK443</f>
        <v>-8096.2637560382645</v>
      </c>
      <c r="AG28" s="858">
        <f>Model!BL443</f>
        <v>-8319.011560507628</v>
      </c>
      <c r="AH28" s="858">
        <f>Model!BM443</f>
        <v>-8396.8399645404315</v>
      </c>
      <c r="AI28" s="858">
        <f>Model!BN443</f>
        <v>-8592.875021339376</v>
      </c>
      <c r="AJ28" s="858">
        <f>Model!BO443</f>
        <v>-8582.7447849099335</v>
      </c>
      <c r="AK28" s="858">
        <f>Model!BP443</f>
        <v>-8802.3317114488455</v>
      </c>
      <c r="AL28" s="858">
        <f>Model!BQ443</f>
        <v>-8790.9161403822345</v>
      </c>
      <c r="AM28" s="857"/>
      <c r="AN28" s="858">
        <f>Model!CR443</f>
        <v>-10669</v>
      </c>
      <c r="AO28" s="858">
        <f>Model!CS443</f>
        <v>-10995</v>
      </c>
      <c r="AP28" s="858">
        <f>Model!CT443</f>
        <v>-10824</v>
      </c>
      <c r="AQ28" s="858">
        <f>Model!CU443</f>
        <v>-10996</v>
      </c>
      <c r="AR28" s="858">
        <f>Model!CV443</f>
        <v>-11359</v>
      </c>
      <c r="AS28" s="858">
        <f>Model!CW443</f>
        <v>-11428</v>
      </c>
      <c r="AT28" s="858">
        <f>Model!CX443</f>
        <v>-11858</v>
      </c>
      <c r="AU28" s="858">
        <f>Model!CY443</f>
        <v>-12218</v>
      </c>
      <c r="AV28" s="859">
        <f>Model!CZ443</f>
        <v>-12996</v>
      </c>
      <c r="AW28" s="858">
        <f>Model!DA443</f>
        <v>-13666.531071215633</v>
      </c>
      <c r="AX28" s="858">
        <f>Model!DB443</f>
        <v>-14230.160867044899</v>
      </c>
      <c r="AY28" s="858">
        <f>Model!DC443</f>
        <v>-14776.762903377126</v>
      </c>
      <c r="AZ28" s="858">
        <f>Model!DD443</f>
        <v>-15204.741746258638</v>
      </c>
      <c r="BA28" s="858">
        <f>Model!DE443</f>
        <v>-15653.03841700532</v>
      </c>
      <c r="BB28" s="858">
        <f>Model!DF443</f>
        <v>-16153.126305226953</v>
      </c>
      <c r="BC28" s="858">
        <f>Model!DG443</f>
        <v>-16715.85152504806</v>
      </c>
      <c r="BD28" s="858">
        <f>Model!DH443</f>
        <v>-17175.619806249309</v>
      </c>
      <c r="BE28" s="858">
        <f>Model!DI443</f>
        <v>-17593.247851831082</v>
      </c>
    </row>
    <row r="29" spans="2:57" ht="15.95" customHeight="1" outlineLevel="1">
      <c r="B29" s="878" t="s">
        <v>2753</v>
      </c>
      <c r="C29" s="855"/>
      <c r="D29" s="855"/>
      <c r="E29" s="855"/>
      <c r="F29" s="855"/>
      <c r="G29" s="855"/>
      <c r="H29" s="855"/>
      <c r="I29" s="855"/>
      <c r="J29" s="855"/>
      <c r="K29" s="855"/>
      <c r="L29" s="855"/>
      <c r="M29" s="858"/>
      <c r="N29" s="879">
        <f>(N26/M26)-1</f>
        <v>-1.1117287381878782E-3</v>
      </c>
      <c r="O29" s="879">
        <f t="shared" ref="O29:AD29" si="39">(O26/N26)-1</f>
        <v>7.0858838805416324E-2</v>
      </c>
      <c r="P29" s="879">
        <f t="shared" si="39"/>
        <v>1.7322016282695252E-2</v>
      </c>
      <c r="Q29" s="879">
        <f t="shared" si="39"/>
        <v>2.3497360803677925E-2</v>
      </c>
      <c r="R29" s="879">
        <f t="shared" si="39"/>
        <v>1.7800698719015129E-2</v>
      </c>
      <c r="S29" s="879">
        <f t="shared" si="39"/>
        <v>4.1516835567178889E-2</v>
      </c>
      <c r="T29" s="880">
        <f t="shared" si="39"/>
        <v>1.9146264908976862E-2</v>
      </c>
      <c r="U29" s="879">
        <f t="shared" si="39"/>
        <v>3.4801355097012543E-2</v>
      </c>
      <c r="V29" s="879">
        <f t="shared" si="39"/>
        <v>8.4123617880407231E-3</v>
      </c>
      <c r="W29" s="879">
        <f t="shared" si="39"/>
        <v>4.6179617248333527E-2</v>
      </c>
      <c r="X29" s="879">
        <f t="shared" si="39"/>
        <v>7.2252949590938531E-3</v>
      </c>
      <c r="Y29" s="879">
        <f t="shared" si="39"/>
        <v>3.6945431981227461E-2</v>
      </c>
      <c r="Z29" s="879">
        <f t="shared" si="39"/>
        <v>-4.3559113176345754E-3</v>
      </c>
      <c r="AA29" s="879">
        <f t="shared" si="39"/>
        <v>3.3248540109819702E-2</v>
      </c>
      <c r="AB29" s="879">
        <f t="shared" si="39"/>
        <v>-3.9385229776076613E-3</v>
      </c>
      <c r="AC29" s="879">
        <f t="shared" si="39"/>
        <v>3.381799745395897E-2</v>
      </c>
      <c r="AD29" s="879">
        <f t="shared" si="39"/>
        <v>-4.4469214967461923E-3</v>
      </c>
      <c r="AE29" s="858"/>
      <c r="AF29" s="858"/>
      <c r="AG29" s="858"/>
      <c r="AH29" s="858"/>
      <c r="AI29" s="858"/>
      <c r="AJ29" s="858"/>
      <c r="AK29" s="858"/>
      <c r="AL29" s="858"/>
      <c r="AM29" s="857"/>
      <c r="AN29" s="858"/>
      <c r="AO29" s="858"/>
      <c r="AP29" s="858"/>
      <c r="AQ29" s="858"/>
      <c r="AR29" s="858"/>
      <c r="AS29" s="879">
        <f t="shared" ref="AS29:BA29" si="40">(AS26/AR26)-1</f>
        <v>3.7091988130555364E-4</v>
      </c>
      <c r="AT29" s="879">
        <f t="shared" si="40"/>
        <v>7.953281423804226E-2</v>
      </c>
      <c r="AU29" s="879">
        <f t="shared" si="40"/>
        <v>4.1473467284904642E-2</v>
      </c>
      <c r="AV29" s="880">
        <f t="shared" si="40"/>
        <v>6.0763459477285897E-2</v>
      </c>
      <c r="AW29" s="879">
        <f t="shared" si="40"/>
        <v>4.9007544785919066E-2</v>
      </c>
      <c r="AX29" s="879">
        <f t="shared" si="40"/>
        <v>5.4356915266463801E-2</v>
      </c>
      <c r="AY29" s="879">
        <f t="shared" si="40"/>
        <v>3.8411514911126821E-2</v>
      </c>
      <c r="AZ29" s="879">
        <f t="shared" si="40"/>
        <v>2.8962963382440199E-2</v>
      </c>
      <c r="BA29" s="879">
        <f t="shared" si="40"/>
        <v>2.9484004281558507E-2</v>
      </c>
      <c r="BB29" s="858"/>
      <c r="BC29" s="858"/>
      <c r="BD29" s="858"/>
      <c r="BE29" s="858"/>
    </row>
    <row r="30" spans="2:57" ht="15.95" customHeight="1" outlineLevel="1">
      <c r="B30" s="878" t="s">
        <v>2752</v>
      </c>
      <c r="C30" s="877"/>
      <c r="D30" s="877"/>
      <c r="E30" s="877"/>
      <c r="F30" s="877"/>
      <c r="G30" s="877"/>
      <c r="H30" s="877"/>
      <c r="I30" s="877"/>
      <c r="J30" s="877"/>
      <c r="K30" s="877"/>
      <c r="L30" s="877"/>
      <c r="M30" s="877"/>
      <c r="N30" s="879">
        <f>N28/M28-1</f>
        <v>8.1602914389799608E-2</v>
      </c>
      <c r="O30" s="879">
        <f t="shared" ref="O30" si="41">O28/N28-1</f>
        <v>-2.778713371505559E-2</v>
      </c>
      <c r="P30" s="879">
        <f t="shared" ref="P30" si="42">P28/O28-1</f>
        <v>5.4044690802009354E-2</v>
      </c>
      <c r="Q30" s="879">
        <f t="shared" ref="Q30" si="43">Q28/P28-1</f>
        <v>-1.2161051766639286E-2</v>
      </c>
      <c r="R30" s="879">
        <f t="shared" ref="R30" si="44">R28/Q28-1</f>
        <v>3.2606887373149318E-2</v>
      </c>
      <c r="S30" s="879">
        <f t="shared" ref="S30" si="45">S28/R28-1</f>
        <v>2.658289028516192E-2</v>
      </c>
      <c r="T30" s="880">
        <f t="shared" ref="T30" si="46">T28/S28-1</f>
        <v>3.9548022598870025E-2</v>
      </c>
      <c r="U30" s="879">
        <f t="shared" ref="U30" si="47">U28/T28-1</f>
        <v>4.0157004830917886E-2</v>
      </c>
      <c r="V30" s="879">
        <f t="shared" ref="V30" si="48">V28/U28-1</f>
        <v>-1.6468639881620728E-2</v>
      </c>
      <c r="W30" s="879">
        <f t="shared" ref="W30" si="49">W28/V28-1</f>
        <v>4.6179617248333527E-2</v>
      </c>
      <c r="X30" s="879">
        <f t="shared" ref="X30" si="50">X28/W28-1</f>
        <v>7.2252949590938531E-3</v>
      </c>
      <c r="Y30" s="879">
        <f t="shared" ref="Y30" si="51">Y28/X28-1</f>
        <v>3.6945431981227461E-2</v>
      </c>
      <c r="Z30" s="879">
        <f t="shared" ref="Z30" si="52">Z28/Y28-1</f>
        <v>-4.3559113176345754E-3</v>
      </c>
      <c r="AA30" s="879">
        <f t="shared" ref="AA30" si="53">AA28/Z28-1</f>
        <v>3.3248540109819702E-2</v>
      </c>
      <c r="AB30" s="879">
        <f t="shared" ref="AB30" si="54">AB28/AA28-1</f>
        <v>-3.9385229776076613E-3</v>
      </c>
      <c r="AC30" s="879">
        <f t="shared" ref="AC30" si="55">AC28/AB28-1</f>
        <v>3.381799745395897E-2</v>
      </c>
      <c r="AD30" s="879">
        <f t="shared" ref="AD30" si="56">AD28/AC28-1</f>
        <v>-4.4469214967461923E-3</v>
      </c>
      <c r="AE30" s="879">
        <f t="shared" ref="AE30" si="57">AE28/AD28-1</f>
        <v>3.1730258396380107E-2</v>
      </c>
      <c r="AF30" s="879">
        <f t="shared" ref="AF30" si="58">AF28/AE28-1</f>
        <v>4.8903908449502431E-3</v>
      </c>
      <c r="AG30" s="879">
        <f t="shared" ref="AG30" si="59">AG28/AF28-1</f>
        <v>2.7512419454373216E-2</v>
      </c>
      <c r="AH30" s="879">
        <f t="shared" ref="AH30" si="60">AH28/AG28-1</f>
        <v>9.3554869429770537E-3</v>
      </c>
      <c r="AI30" s="879">
        <f t="shared" ref="AI30" si="61">AI28/AH28-1</f>
        <v>2.3346289512101492E-2</v>
      </c>
      <c r="AJ30" s="879">
        <f t="shared" ref="AJ30" si="62">AJ28/AI28-1</f>
        <v>-1.1789111798187202E-3</v>
      </c>
      <c r="AK30" s="879">
        <f t="shared" ref="AK30" si="63">AK28/AJ28-1</f>
        <v>2.5584697208401952E-2</v>
      </c>
      <c r="AL30" s="879">
        <f t="shared" ref="AL30" si="64">AL28/AK28-1</f>
        <v>-1.2968803540729379E-3</v>
      </c>
      <c r="AM30" s="879"/>
      <c r="AN30" s="879" t="e">
        <f t="shared" ref="AN30" si="65">AN28/AM28-1</f>
        <v>#DIV/0!</v>
      </c>
      <c r="AO30" s="879">
        <f t="shared" ref="AO30" si="66">AO28/AN28-1</f>
        <v>3.0555815915268569E-2</v>
      </c>
      <c r="AP30" s="879">
        <f t="shared" ref="AP30" si="67">AP28/AO28-1</f>
        <v>-1.5552523874488355E-2</v>
      </c>
      <c r="AQ30" s="879">
        <f t="shared" ref="AQ30" si="68">AQ28/AP28-1</f>
        <v>1.5890613451589042E-2</v>
      </c>
      <c r="AR30" s="879">
        <f t="shared" ref="AR30" si="69">AR28/AQ28-1</f>
        <v>3.3012004365223779E-2</v>
      </c>
      <c r="AS30" s="879">
        <f t="shared" ref="AS30" si="70">AS28/AR28-1</f>
        <v>6.0744783871820029E-3</v>
      </c>
      <c r="AT30" s="879">
        <f t="shared" ref="AT30" si="71">AT28/AS28-1</f>
        <v>3.762688134406722E-2</v>
      </c>
      <c r="AU30" s="879">
        <f t="shared" ref="AU30" si="72">AU28/AT28-1</f>
        <v>3.0359251138471821E-2</v>
      </c>
      <c r="AV30" s="880">
        <f t="shared" ref="AV30" si="73">AV28/AU28-1</f>
        <v>6.3676542805696457E-2</v>
      </c>
      <c r="AW30" s="879">
        <f t="shared" ref="AW30" si="74">AW28/AV28-1</f>
        <v>5.1595188613083431E-2</v>
      </c>
      <c r="AX30" s="879">
        <f t="shared" ref="AX30" si="75">AX28/AW28-1</f>
        <v>4.1241613756425544E-2</v>
      </c>
      <c r="AY30" s="879">
        <f t="shared" ref="AY30" si="76">AY28/AX28-1</f>
        <v>3.8411514911126821E-2</v>
      </c>
      <c r="AZ30" s="879">
        <f t="shared" ref="AZ30" si="77">AZ28/AY28-1</f>
        <v>2.8962963382440199E-2</v>
      </c>
      <c r="BA30" s="879">
        <f t="shared" ref="BA30" si="78">BA28/AZ28-1</f>
        <v>2.9484004281558507E-2</v>
      </c>
      <c r="BB30" s="877"/>
      <c r="BC30" s="877"/>
      <c r="BD30" s="877"/>
      <c r="BE30" s="877"/>
    </row>
    <row r="31" spans="2:57" ht="15.95" customHeight="1">
      <c r="T31" s="854"/>
      <c r="AW31" s="876"/>
    </row>
    <row r="32" spans="2:57" ht="15.95" customHeight="1">
      <c r="B32" s="2" t="s">
        <v>2681</v>
      </c>
      <c r="C32" s="79">
        <f>Model!AH461</f>
        <v>7361</v>
      </c>
      <c r="D32" s="79">
        <f>Model!AI461</f>
        <v>7258</v>
      </c>
      <c r="E32" s="79">
        <f>Model!AJ461</f>
        <v>7193</v>
      </c>
      <c r="F32" s="79">
        <f>Model!AK461</f>
        <v>6734</v>
      </c>
      <c r="G32" s="79">
        <f>Model!AL461</f>
        <v>6895.7162288178552</v>
      </c>
      <c r="H32" s="79">
        <f>Model!AM461</f>
        <v>5859.2837711821476</v>
      </c>
      <c r="I32" s="79">
        <f>Model!AN461</f>
        <v>6770</v>
      </c>
      <c r="J32" s="79">
        <f>Model!AO461</f>
        <v>5995</v>
      </c>
      <c r="K32" s="79">
        <f>Model!AP461</f>
        <v>6370</v>
      </c>
      <c r="L32" s="79">
        <f>Model!AQ461</f>
        <v>6427</v>
      </c>
      <c r="M32" s="79">
        <f>Model!AR461</f>
        <v>6617</v>
      </c>
      <c r="N32" s="79">
        <f>Model!AS461</f>
        <v>6644</v>
      </c>
      <c r="O32" s="79">
        <f>Model!AT461</f>
        <v>7850</v>
      </c>
      <c r="P32" s="79">
        <f>Model!AU461</f>
        <v>7427</v>
      </c>
      <c r="Q32" s="79">
        <f>Model!AV461</f>
        <v>7638</v>
      </c>
      <c r="R32" s="79">
        <f>Model!AW461</f>
        <v>7318</v>
      </c>
      <c r="S32" s="79">
        <f>Model!AX461</f>
        <v>7725</v>
      </c>
      <c r="T32" s="80">
        <f>Model!AY461</f>
        <v>7743.9999999999982</v>
      </c>
      <c r="U32" s="79">
        <f>Model!AZ461</f>
        <v>8131</v>
      </c>
      <c r="V32" s="79">
        <f>Model!BA461</f>
        <v>8401.3777030610745</v>
      </c>
      <c r="W32" s="79">
        <f>Model!BB461</f>
        <v>8662.6725525248003</v>
      </c>
      <c r="X32" s="79">
        <f>Model!BC461</f>
        <v>8679.4648954495606</v>
      </c>
      <c r="Y32" s="79">
        <f>Model!BD461</f>
        <v>8822.1278419913615</v>
      </c>
      <c r="Z32" s="79">
        <f>Model!BE461</f>
        <v>9071.494799422424</v>
      </c>
      <c r="AA32" s="79">
        <f>Model!BF461</f>
        <v>9307.4208675063383</v>
      </c>
      <c r="AB32" s="79">
        <f>Model!BG461</f>
        <v>9383.3484566206116</v>
      </c>
      <c r="AC32" s="79">
        <f>Model!BH461</f>
        <v>9567.4941719473609</v>
      </c>
      <c r="AD32" s="79">
        <f>Model!BI461</f>
        <v>9589.0273152149603</v>
      </c>
      <c r="AE32" s="79">
        <f>Model!BJ461</f>
        <v>9837.6156987059185</v>
      </c>
      <c r="AF32" s="79">
        <f>Model!BK461</f>
        <v>9771.3272262096325</v>
      </c>
      <c r="AG32" s="79">
        <f>Model!BL461</f>
        <v>10035.092299185588</v>
      </c>
      <c r="AH32" s="79">
        <f>Model!BM461</f>
        <v>10031.725589012643</v>
      </c>
      <c r="AI32" s="79">
        <f>Model!BN461</f>
        <v>10336.180755673224</v>
      </c>
      <c r="AJ32" s="79">
        <f>Model!BO461</f>
        <v>10318.225041088532</v>
      </c>
      <c r="AK32" s="79">
        <f>Model!BP461</f>
        <v>10665.257982185372</v>
      </c>
      <c r="AL32" s="79">
        <f>Model!BQ461</f>
        <v>10647.30600179051</v>
      </c>
      <c r="AN32" s="79">
        <f>Model!CR461</f>
        <v>14619</v>
      </c>
      <c r="AO32" s="79">
        <f>Model!CS461</f>
        <v>13927</v>
      </c>
      <c r="AP32" s="79">
        <f>Model!CT461</f>
        <v>12755</v>
      </c>
      <c r="AQ32" s="79">
        <f>Model!CU461</f>
        <v>12765</v>
      </c>
      <c r="AR32" s="79">
        <f>Model!CV461</f>
        <v>12797</v>
      </c>
      <c r="AS32" s="79">
        <f>Model!CW461</f>
        <v>13261</v>
      </c>
      <c r="AT32" s="79">
        <f>Model!CX461</f>
        <v>15277</v>
      </c>
      <c r="AU32" s="79">
        <f>Model!CY461</f>
        <v>14956</v>
      </c>
      <c r="AV32" s="80">
        <f>Model!CZ461</f>
        <v>15469</v>
      </c>
      <c r="AW32" s="79">
        <f>Model!DA461</f>
        <v>16532.377703061073</v>
      </c>
      <c r="AX32" s="79">
        <f>Model!DB461</f>
        <v>17342.137447974361</v>
      </c>
      <c r="AY32" s="79">
        <f>Model!DC461</f>
        <v>17893.622641413789</v>
      </c>
      <c r="AZ32" s="79">
        <f>Model!DD461</f>
        <v>18690.769324126944</v>
      </c>
      <c r="BA32" s="79">
        <f>Model!DE461</f>
        <v>19156.521487162317</v>
      </c>
      <c r="BB32" s="79">
        <f>Model!DF461</f>
        <v>19608.942924915555</v>
      </c>
      <c r="BC32" s="79">
        <f>Model!DG461</f>
        <v>20066.817888198235</v>
      </c>
      <c r="BD32" s="79">
        <f>Model!DH461</f>
        <v>20654.405796761752</v>
      </c>
      <c r="BE32" s="79">
        <f>Model!DI461</f>
        <v>21312.563983975881</v>
      </c>
    </row>
    <row r="33" spans="2:57" ht="15.95" customHeight="1" outlineLevel="1">
      <c r="B33" s="878" t="s">
        <v>2751</v>
      </c>
      <c r="C33" s="877"/>
      <c r="D33" s="877"/>
      <c r="E33" s="877"/>
      <c r="F33" s="877"/>
      <c r="G33" s="877"/>
      <c r="H33" s="877"/>
      <c r="I33" s="877"/>
      <c r="J33" s="877"/>
      <c r="K33" s="877"/>
      <c r="L33" s="877"/>
      <c r="M33" s="877"/>
      <c r="N33" s="879">
        <f>N32/M32-1</f>
        <v>4.0803989723439127E-3</v>
      </c>
      <c r="O33" s="879">
        <f t="shared" ref="O33" si="79">O32/N32-1</f>
        <v>0.18151715833835036</v>
      </c>
      <c r="P33" s="879">
        <f t="shared" ref="P33" si="80">P32/O32-1</f>
        <v>-5.3885350318471303E-2</v>
      </c>
      <c r="Q33" s="879">
        <f t="shared" ref="Q33" si="81">Q32/P32-1</f>
        <v>2.8409855931062378E-2</v>
      </c>
      <c r="R33" s="879">
        <f t="shared" ref="R33" si="82">R32/Q32-1</f>
        <v>-4.1895784236711142E-2</v>
      </c>
      <c r="S33" s="879">
        <f t="shared" ref="S33" si="83">S32/R32-1</f>
        <v>5.5616288603443476E-2</v>
      </c>
      <c r="T33" s="880">
        <f t="shared" ref="T33" si="84">T32/S32-1</f>
        <v>2.4595469255661584E-3</v>
      </c>
      <c r="U33" s="879">
        <f t="shared" ref="U33" si="85">U32/T32-1</f>
        <v>4.9974173553719359E-2</v>
      </c>
      <c r="V33" s="879">
        <f t="shared" ref="V33" si="86">V32/U32-1</f>
        <v>3.3252699921421103E-2</v>
      </c>
      <c r="W33" s="879">
        <f t="shared" ref="W33" si="87">W32/V32-1</f>
        <v>3.1101428682169807E-2</v>
      </c>
      <c r="X33" s="879">
        <f t="shared" ref="X33" si="88">X32/W32-1</f>
        <v>1.9384713923955577E-3</v>
      </c>
      <c r="Y33" s="879">
        <f t="shared" ref="Y33" si="89">Y32/X32-1</f>
        <v>1.6436836632244045E-2</v>
      </c>
      <c r="Z33" s="879">
        <f t="shared" ref="Z33" si="90">Z32/Y32-1</f>
        <v>2.8266078422048091E-2</v>
      </c>
      <c r="AA33" s="879">
        <f t="shared" ref="AA33" si="91">AA32/Z32-1</f>
        <v>2.6007408183592373E-2</v>
      </c>
      <c r="AB33" s="879">
        <f t="shared" ref="AB33" si="92">AB32/AA32-1</f>
        <v>8.1577474786111992E-3</v>
      </c>
      <c r="AC33" s="879">
        <f t="shared" ref="AC33" si="93">AC32/AB32-1</f>
        <v>1.9624733769406433E-2</v>
      </c>
      <c r="AD33" s="879">
        <f t="shared" ref="AD33" si="94">AD32/AC32-1</f>
        <v>2.2506565335296269E-3</v>
      </c>
      <c r="AE33" s="879">
        <f t="shared" ref="AE33" si="95">AE32/AD32-1</f>
        <v>2.5924254391946677E-2</v>
      </c>
      <c r="AF33" s="879">
        <f t="shared" ref="AF33" si="96">AF32/AE32-1</f>
        <v>-6.738266113099578E-3</v>
      </c>
      <c r="AG33" s="879">
        <f t="shared" ref="AG33" si="97">AG32/AF32-1</f>
        <v>2.6993781588693366E-2</v>
      </c>
      <c r="AH33" s="879">
        <f t="shared" ref="AH33" si="98">AH32/AG32-1</f>
        <v>-3.354936927901786E-4</v>
      </c>
      <c r="AI33" s="879">
        <f t="shared" ref="AI33" si="99">AI32/AH32-1</f>
        <v>3.0349231940119958E-2</v>
      </c>
      <c r="AJ33" s="879">
        <f t="shared" ref="AJ33" si="100">AJ32/AI32-1</f>
        <v>-1.7371711088582931E-3</v>
      </c>
      <c r="AK33" s="879">
        <f t="shared" ref="AK33" si="101">AK32/AJ32-1</f>
        <v>3.3633007587536623E-2</v>
      </c>
      <c r="AL33" s="879">
        <f t="shared" ref="AL33" si="102">AL32/AK32-1</f>
        <v>-1.6832204551309182E-3</v>
      </c>
      <c r="AM33" s="879"/>
      <c r="AN33" s="879" t="e">
        <f t="shared" ref="AN33" si="103">AN32/AM32-1</f>
        <v>#DIV/0!</v>
      </c>
      <c r="AO33" s="879">
        <f t="shared" ref="AO33" si="104">AO32/AN32-1</f>
        <v>-4.7335659073808101E-2</v>
      </c>
      <c r="AP33" s="879">
        <f t="shared" ref="AP33" si="105">AP32/AO32-1</f>
        <v>-8.4153083937675066E-2</v>
      </c>
      <c r="AQ33" s="879">
        <f t="shared" ref="AQ33" si="106">AQ32/AP32-1</f>
        <v>7.8400627205010842E-4</v>
      </c>
      <c r="AR33" s="879">
        <f t="shared" ref="AR33" si="107">AR32/AQ32-1</f>
        <v>2.5068546807678338E-3</v>
      </c>
      <c r="AS33" s="879">
        <f t="shared" ref="AS33" si="108">AS32/AR32-1</f>
        <v>3.6258498085488755E-2</v>
      </c>
      <c r="AT33" s="879">
        <f t="shared" ref="AT33" si="109">AT32/AS32-1</f>
        <v>0.15202473418294238</v>
      </c>
      <c r="AU33" s="879">
        <f t="shared" ref="AU33" si="110">AU32/AT32-1</f>
        <v>-2.1011978791647623E-2</v>
      </c>
      <c r="AV33" s="880">
        <f t="shared" ref="AV33" si="111">AV32/AU32-1</f>
        <v>3.4300615137737411E-2</v>
      </c>
      <c r="AW33" s="879">
        <f t="shared" ref="AW33" si="112">AW32/AV32-1</f>
        <v>6.8742498096908244E-2</v>
      </c>
      <c r="AX33" s="879">
        <f t="shared" ref="AX33" si="113">AX32/AW32-1</f>
        <v>4.8980234994471239E-2</v>
      </c>
      <c r="AY33" s="879">
        <f t="shared" ref="AY33" si="114">AY32/AX32-1</f>
        <v>3.1800301150527677E-2</v>
      </c>
      <c r="AZ33" s="879">
        <f t="shared" ref="AZ33" si="115">AZ32/AY32-1</f>
        <v>4.4549206087994841E-2</v>
      </c>
      <c r="BA33" s="879">
        <f t="shared" ref="BA33" si="116">BA32/AZ32-1</f>
        <v>2.491883319292576E-2</v>
      </c>
      <c r="BB33" s="877"/>
      <c r="BC33" s="877"/>
      <c r="BD33" s="877"/>
      <c r="BE33" s="877"/>
    </row>
    <row r="34" spans="2:57" ht="15.95" customHeight="1">
      <c r="T34" s="854"/>
    </row>
    <row r="35" spans="2:57" ht="15.95" customHeight="1">
      <c r="B35" s="852" t="s">
        <v>639</v>
      </c>
      <c r="C35" s="855">
        <f>Model!AH472</f>
        <v>-599</v>
      </c>
      <c r="D35" s="855">
        <f>Model!AI472</f>
        <v>-496</v>
      </c>
      <c r="E35" s="855">
        <f>Model!AJ472</f>
        <v>-596</v>
      </c>
      <c r="F35" s="855">
        <f>Model!AK472</f>
        <v>-483</v>
      </c>
      <c r="G35" s="855">
        <f>Model!AL472</f>
        <v>-577</v>
      </c>
      <c r="H35" s="855">
        <f>Model!AM472</f>
        <v>-624</v>
      </c>
      <c r="I35" s="855">
        <f>Model!AN472</f>
        <v>-649</v>
      </c>
      <c r="J35" s="855">
        <f>Model!AO472</f>
        <v>-1869</v>
      </c>
      <c r="K35" s="855">
        <f>Model!AP472</f>
        <v>-882</v>
      </c>
      <c r="L35" s="855">
        <f>Model!AQ472</f>
        <v>328</v>
      </c>
      <c r="M35" s="855">
        <f>Model!AR472</f>
        <v>75</v>
      </c>
      <c r="N35" s="855">
        <f>Model!AS472</f>
        <v>282</v>
      </c>
      <c r="O35" s="855">
        <f>Model!AT472</f>
        <v>-511</v>
      </c>
      <c r="P35" s="855">
        <f>Model!AU472</f>
        <v>-597</v>
      </c>
      <c r="Q35" s="855">
        <f>Model!AV472</f>
        <v>-415</v>
      </c>
      <c r="R35" s="855">
        <f>Model!AW472</f>
        <v>-387</v>
      </c>
      <c r="S35" s="855">
        <f>Model!AX472</f>
        <v>-320</v>
      </c>
      <c r="T35" s="856">
        <f>Model!AY472</f>
        <v>-406</v>
      </c>
      <c r="U35" s="855">
        <f>Model!AZ472</f>
        <v>-319</v>
      </c>
      <c r="V35" s="855">
        <f>Model!BA472</f>
        <v>-398.98216418378195</v>
      </c>
      <c r="W35" s="855">
        <f>Model!BB472</f>
        <v>-436.05551444817377</v>
      </c>
      <c r="X35" s="855">
        <f>Model!BC472</f>
        <v>-469.66538917092953</v>
      </c>
      <c r="Y35" s="855">
        <f>Model!BD472</f>
        <v>-546.73993403828672</v>
      </c>
      <c r="Z35" s="855">
        <f>Model!BE472</f>
        <v>-557.29643846965223</v>
      </c>
      <c r="AA35" s="855">
        <f>Model!BF472</f>
        <v>-514.52491278756179</v>
      </c>
      <c r="AB35" s="855">
        <f>Model!BG472</f>
        <v>-428.51542511175859</v>
      </c>
      <c r="AC35" s="855">
        <f>Model!BH472</f>
        <v>-378.40203092634636</v>
      </c>
      <c r="AD35" s="855">
        <f>Model!BI472</f>
        <v>-369.5447010210296</v>
      </c>
      <c r="AE35" s="855">
        <f>Model!BJ472</f>
        <v>-528.6206273002183</v>
      </c>
      <c r="AF35" s="855">
        <f>Model!BK472</f>
        <v>-620.68860828773177</v>
      </c>
      <c r="AG35" s="855">
        <f>Model!BL472</f>
        <v>-721.56025332984518</v>
      </c>
      <c r="AH35" s="855">
        <f>Model!BM472</f>
        <v>-725.13013605797335</v>
      </c>
      <c r="AI35" s="855">
        <f>Model!BN472</f>
        <v>-745.31313284054545</v>
      </c>
      <c r="AJ35" s="855">
        <f>Model!BO472</f>
        <v>-745.26440684666022</v>
      </c>
      <c r="AK35" s="855">
        <f>Model!BP472</f>
        <v>-767.99918399634225</v>
      </c>
      <c r="AL35" s="855">
        <f>Model!BQ472</f>
        <v>-767.97719982865874</v>
      </c>
      <c r="AN35" s="855">
        <f>Model!CR472</f>
        <v>-1095</v>
      </c>
      <c r="AO35" s="855">
        <f>Model!CS472</f>
        <v>-1079</v>
      </c>
      <c r="AP35" s="855">
        <f>Model!CT472</f>
        <v>-1201</v>
      </c>
      <c r="AQ35" s="855">
        <f>Model!CU472</f>
        <v>-2518</v>
      </c>
      <c r="AR35" s="855">
        <f>Model!CV472</f>
        <v>-554</v>
      </c>
      <c r="AS35" s="855">
        <f>Model!CW472</f>
        <v>357</v>
      </c>
      <c r="AT35" s="855">
        <f>Model!CX472</f>
        <v>-1108</v>
      </c>
      <c r="AU35" s="855">
        <f>Model!CY472</f>
        <v>-802</v>
      </c>
      <c r="AV35" s="856">
        <f>Model!CZ472</f>
        <v>-726</v>
      </c>
      <c r="AW35" s="855">
        <f>Model!DA472</f>
        <v>-717.98216418378195</v>
      </c>
      <c r="AX35" s="855">
        <f>Model!DB472</f>
        <v>-905.7209036191033</v>
      </c>
      <c r="AY35" s="855">
        <f>Model!DC472</f>
        <v>-1104.0363725079389</v>
      </c>
      <c r="AZ35" s="855">
        <f>Model!DD472</f>
        <v>-943.04033789932032</v>
      </c>
      <c r="BA35" s="855">
        <f>Model!DE472</f>
        <v>-747.94673194737595</v>
      </c>
      <c r="BB35" s="855">
        <f>Model!DF472</f>
        <v>-1149.3092355879501</v>
      </c>
      <c r="BC35" s="855">
        <f>Model!DG472</f>
        <v>-1446.6903893878184</v>
      </c>
      <c r="BD35" s="855">
        <f>Model!DH472</f>
        <v>-1490.5775396872057</v>
      </c>
      <c r="BE35" s="855">
        <f>Model!DI472</f>
        <v>-1535.976383825001</v>
      </c>
    </row>
    <row r="36" spans="2:57" s="881" customFormat="1" ht="15.95" customHeight="1">
      <c r="B36" s="881" t="s">
        <v>2737</v>
      </c>
      <c r="C36" s="885">
        <f t="shared" ref="C36:AD36" si="117">(-C35/C59)*10000</f>
        <v>8.3578207714868551</v>
      </c>
      <c r="D36" s="885">
        <f t="shared" si="117"/>
        <v>6.7441243855844348</v>
      </c>
      <c r="E36" s="885">
        <f t="shared" si="117"/>
        <v>8.0536296060072505</v>
      </c>
      <c r="F36" s="885">
        <f t="shared" si="117"/>
        <v>6.4661231374754005</v>
      </c>
      <c r="G36" s="885">
        <f t="shared" si="117"/>
        <v>7.6097880073961335</v>
      </c>
      <c r="H36" s="885">
        <f t="shared" si="117"/>
        <v>8.2117364664266308</v>
      </c>
      <c r="I36" s="885">
        <f t="shared" si="117"/>
        <v>8.4241624188898534</v>
      </c>
      <c r="J36" s="885">
        <f t="shared" si="117"/>
        <v>23.985400860343109</v>
      </c>
      <c r="K36" s="885">
        <f t="shared" si="117"/>
        <v>11.113617205189884</v>
      </c>
      <c r="L36" s="885">
        <f t="shared" si="117"/>
        <v>-4.0124483764263763</v>
      </c>
      <c r="M36" s="885">
        <f t="shared" si="117"/>
        <v>-0.88266031465074901</v>
      </c>
      <c r="N36" s="885">
        <f t="shared" si="117"/>
        <v>-3.1897421511983022</v>
      </c>
      <c r="O36" s="885">
        <f t="shared" si="117"/>
        <v>5.6047417650878328</v>
      </c>
      <c r="P36" s="885">
        <f t="shared" si="117"/>
        <v>6.4064523813867345</v>
      </c>
      <c r="Q36" s="885">
        <f t="shared" si="117"/>
        <v>4.4719875775728202</v>
      </c>
      <c r="R36" s="885">
        <f t="shared" si="117"/>
        <v>4.0817531920997503</v>
      </c>
      <c r="S36" s="886">
        <f t="shared" si="117"/>
        <v>3.2805943616834781</v>
      </c>
      <c r="T36" s="887">
        <f t="shared" si="117"/>
        <v>4.0042251479146955</v>
      </c>
      <c r="U36" s="885">
        <f t="shared" si="117"/>
        <v>3.0467247231682881</v>
      </c>
      <c r="V36" s="885">
        <f t="shared" si="117"/>
        <v>3.6619516050500605</v>
      </c>
      <c r="W36" s="885">
        <f t="shared" si="117"/>
        <v>3.9050181127550943</v>
      </c>
      <c r="X36" s="885">
        <f t="shared" si="117"/>
        <v>4.0973432055961005</v>
      </c>
      <c r="Y36" s="885">
        <f t="shared" si="117"/>
        <v>4.6563910105847359</v>
      </c>
      <c r="Z36" s="885">
        <f t="shared" si="117"/>
        <v>4.636871775863999</v>
      </c>
      <c r="AA36" s="885">
        <f t="shared" si="117"/>
        <v>4.1817856202494132</v>
      </c>
      <c r="AB36" s="885">
        <f t="shared" si="117"/>
        <v>3.4101541727308495</v>
      </c>
      <c r="AC36" s="885">
        <f t="shared" si="117"/>
        <v>2.9482169538323566</v>
      </c>
      <c r="AD36" s="885">
        <f t="shared" si="117"/>
        <v>2.8274854100030242</v>
      </c>
      <c r="AN36" s="885">
        <f t="shared" ref="AN36:BE36" si="118">(-AN35/AN59)*10000</f>
        <v>14.888742343175313</v>
      </c>
      <c r="AO36" s="885">
        <f t="shared" si="118"/>
        <v>14.445024565912954</v>
      </c>
      <c r="AP36" s="885">
        <f t="shared" si="118"/>
        <v>15.804960731055104</v>
      </c>
      <c r="AQ36" s="885">
        <f t="shared" si="118"/>
        <v>32.314199767974294</v>
      </c>
      <c r="AR36" s="885">
        <f t="shared" si="118"/>
        <v>6.7771231723786967</v>
      </c>
      <c r="AS36" s="885">
        <f t="shared" si="118"/>
        <v>-4.0380778297084889</v>
      </c>
      <c r="AT36" s="885">
        <f t="shared" si="118"/>
        <v>11.890032225421276</v>
      </c>
      <c r="AU36" s="886">
        <f t="shared" si="118"/>
        <v>8.4588270285891483</v>
      </c>
      <c r="AV36" s="887">
        <f t="shared" si="118"/>
        <v>7.1602646733647033</v>
      </c>
      <c r="AW36" s="885">
        <f t="shared" si="118"/>
        <v>6.5898082033537442</v>
      </c>
      <c r="AX36" s="885">
        <f t="shared" si="118"/>
        <v>7.9014751271346038</v>
      </c>
      <c r="AY36" s="885">
        <f t="shared" si="118"/>
        <v>9.1859103016465919</v>
      </c>
      <c r="AZ36" s="885">
        <f t="shared" si="118"/>
        <v>7.5047775526450513</v>
      </c>
      <c r="BA36" s="885">
        <f t="shared" si="118"/>
        <v>5.722740621628617</v>
      </c>
      <c r="BB36" s="885">
        <f t="shared" si="118"/>
        <v>8.4684443769270779</v>
      </c>
      <c r="BC36" s="885">
        <f t="shared" si="118"/>
        <v>10.252418820286049</v>
      </c>
      <c r="BD36" s="885">
        <f t="shared" si="118"/>
        <v>10.159759050908111</v>
      </c>
      <c r="BE36" s="885">
        <f t="shared" si="118"/>
        <v>10.068984049464447</v>
      </c>
    </row>
    <row r="37" spans="2:57" ht="15.95" customHeight="1">
      <c r="T37" s="854"/>
    </row>
    <row r="38" spans="2:57" s="857" customFormat="1" ht="15.95" customHeight="1">
      <c r="B38" s="857" t="s">
        <v>2738</v>
      </c>
      <c r="C38" s="858">
        <f>Model!AH490</f>
        <v>6762</v>
      </c>
      <c r="D38" s="858">
        <f>Model!AI490</f>
        <v>6762</v>
      </c>
      <c r="E38" s="858">
        <f>Model!AJ490</f>
        <v>6597</v>
      </c>
      <c r="F38" s="858">
        <f>Model!AK490</f>
        <v>6251</v>
      </c>
      <c r="G38" s="858">
        <f>Model!AL490</f>
        <v>6318.7162288178552</v>
      </c>
      <c r="H38" s="858">
        <f>Model!AM490</f>
        <v>5235.2837711821476</v>
      </c>
      <c r="I38" s="858">
        <f>Model!AN490</f>
        <v>6121</v>
      </c>
      <c r="J38" s="858">
        <f>Model!AO490</f>
        <v>4126</v>
      </c>
      <c r="K38" s="858">
        <f>Model!AP490</f>
        <v>5488</v>
      </c>
      <c r="L38" s="858">
        <f>Model!AQ490</f>
        <v>6755</v>
      </c>
      <c r="M38" s="858">
        <f>Model!AR490</f>
        <v>6692</v>
      </c>
      <c r="N38" s="858">
        <f>Model!AS490</f>
        <v>6926</v>
      </c>
      <c r="O38" s="858">
        <f>Model!AT490</f>
        <v>7339</v>
      </c>
      <c r="P38" s="858">
        <f>Model!AU490</f>
        <v>6830</v>
      </c>
      <c r="Q38" s="858">
        <f>Model!AV490</f>
        <v>7223</v>
      </c>
      <c r="R38" s="858">
        <f>Model!AW490</f>
        <v>6931</v>
      </c>
      <c r="S38" s="858">
        <f>Model!AX490</f>
        <v>7405</v>
      </c>
      <c r="T38" s="859">
        <f>Model!AY490</f>
        <v>7337.9999999999982</v>
      </c>
      <c r="U38" s="858">
        <f>Model!AZ490</f>
        <v>7812</v>
      </c>
      <c r="V38" s="858">
        <f>Model!BA490</f>
        <v>8002.3955388772929</v>
      </c>
      <c r="W38" s="858">
        <f>Model!BB490</f>
        <v>8226.6170380766271</v>
      </c>
      <c r="X38" s="858">
        <f>Model!BC490</f>
        <v>8209.7995062786304</v>
      </c>
      <c r="Y38" s="858">
        <f>Model!BD490</f>
        <v>8275.3879079530743</v>
      </c>
      <c r="Z38" s="858">
        <f>Model!BE490</f>
        <v>8514.1983609527724</v>
      </c>
      <c r="AA38" s="858">
        <f>Model!BF490</f>
        <v>8792.8959547187769</v>
      </c>
      <c r="AB38" s="858">
        <f>Model!BG490</f>
        <v>8954.8330315088533</v>
      </c>
      <c r="AC38" s="858">
        <f>Model!BH490</f>
        <v>9189.092141021014</v>
      </c>
      <c r="AD38" s="858">
        <f>Model!BI490</f>
        <v>9219.4826141939302</v>
      </c>
      <c r="AE38" s="858">
        <f>Model!BJ490</f>
        <v>9308.9950714056995</v>
      </c>
      <c r="AF38" s="858">
        <f>Model!BK490</f>
        <v>9150.6386179219007</v>
      </c>
      <c r="AG38" s="858">
        <f>Model!BL490</f>
        <v>9313.5320458557435</v>
      </c>
      <c r="AH38" s="858">
        <f>Model!BM490</f>
        <v>9306.5954529546707</v>
      </c>
      <c r="AI38" s="858">
        <f>Model!BN490</f>
        <v>9590.8676228326785</v>
      </c>
      <c r="AJ38" s="858">
        <f>Model!BO490</f>
        <v>9572.960634241872</v>
      </c>
      <c r="AK38" s="858">
        <f>Model!BP490</f>
        <v>9897.2587981890301</v>
      </c>
      <c r="AL38" s="858">
        <f>Model!BQ490</f>
        <v>9879.3288019618522</v>
      </c>
      <c r="AN38" s="858">
        <f>Model!CR490</f>
        <v>13524</v>
      </c>
      <c r="AO38" s="858">
        <f>Model!CS490</f>
        <v>12848</v>
      </c>
      <c r="AP38" s="858">
        <f>Model!CT490</f>
        <v>11554</v>
      </c>
      <c r="AQ38" s="858">
        <f>Model!CU490</f>
        <v>10247</v>
      </c>
      <c r="AR38" s="858">
        <f>Model!CV490</f>
        <v>12243</v>
      </c>
      <c r="AS38" s="858">
        <f>Model!CW490</f>
        <v>13618</v>
      </c>
      <c r="AT38" s="858">
        <f>Model!CX490</f>
        <v>14169</v>
      </c>
      <c r="AU38" s="858">
        <f>Model!CY490</f>
        <v>14154</v>
      </c>
      <c r="AV38" s="859">
        <f>Model!CZ490</f>
        <v>14743</v>
      </c>
      <c r="AW38" s="858">
        <f>Model!DA490</f>
        <v>15814.39553887729</v>
      </c>
      <c r="AX38" s="858">
        <f>Model!DB490</f>
        <v>16436.416544355259</v>
      </c>
      <c r="AY38" s="858">
        <f>Model!DC490</f>
        <v>16789.586268905849</v>
      </c>
      <c r="AZ38" s="858">
        <f>Model!DD490</f>
        <v>17747.728986227623</v>
      </c>
      <c r="BA38" s="858">
        <f>Model!DE490</f>
        <v>18408.574755214941</v>
      </c>
      <c r="BB38" s="858">
        <f>Model!DF490</f>
        <v>18459.633689327606</v>
      </c>
      <c r="BC38" s="858">
        <f>Model!DG490</f>
        <v>18620.127498810416</v>
      </c>
      <c r="BD38" s="858">
        <f>Model!DH490</f>
        <v>19163.828257074547</v>
      </c>
      <c r="BE38" s="858">
        <f>Model!DI490</f>
        <v>19776.58760015088</v>
      </c>
    </row>
    <row r="39" spans="2:57" ht="15.95" customHeight="1">
      <c r="T39" s="854"/>
    </row>
    <row r="40" spans="2:57" ht="15.95" customHeight="1">
      <c r="B40" s="852" t="s">
        <v>646</v>
      </c>
      <c r="C40" s="855">
        <f>Model!AH497</f>
        <v>-1925</v>
      </c>
      <c r="D40" s="855">
        <f>Model!AI497</f>
        <v>-1924</v>
      </c>
      <c r="E40" s="855">
        <f>Model!AJ497</f>
        <v>-1993</v>
      </c>
      <c r="F40" s="855">
        <f>Model!AK497</f>
        <v>-1927</v>
      </c>
      <c r="G40" s="855">
        <f>Model!AL497</f>
        <v>-1800.1230724469015</v>
      </c>
      <c r="H40" s="855">
        <f>Model!AM497</f>
        <v>-1520.8769275530988</v>
      </c>
      <c r="I40" s="855">
        <f>Model!AN497</f>
        <v>-1794</v>
      </c>
      <c r="J40" s="855">
        <f>Model!AO497</f>
        <v>-1228</v>
      </c>
      <c r="K40" s="855">
        <f>Model!AP497</f>
        <v>-1620</v>
      </c>
      <c r="L40" s="855">
        <f>Model!AQ497</f>
        <v>-1970</v>
      </c>
      <c r="M40" s="855">
        <f>Model!AR497</f>
        <v>-1946</v>
      </c>
      <c r="N40" s="855">
        <f>Model!AS497</f>
        <v>-2077</v>
      </c>
      <c r="O40" s="855">
        <f>Model!AT497</f>
        <v>-2159</v>
      </c>
      <c r="P40" s="855">
        <f>Model!AU497</f>
        <v>-1938</v>
      </c>
      <c r="Q40" s="855">
        <f>Model!AV497</f>
        <v>-2204</v>
      </c>
      <c r="R40" s="855">
        <f>Model!AW497</f>
        <v>-2114</v>
      </c>
      <c r="S40" s="855">
        <f>Model!AX497</f>
        <v>-2273</v>
      </c>
      <c r="T40" s="856">
        <f>Model!AY497</f>
        <v>-2218</v>
      </c>
      <c r="U40" s="855">
        <f>Model!AZ497</f>
        <v>-2367</v>
      </c>
      <c r="V40" s="855">
        <f>Model!BA497</f>
        <v>-2376.7114750465557</v>
      </c>
      <c r="W40" s="855">
        <f>Model!BB497</f>
        <v>-2467.9851114229882</v>
      </c>
      <c r="X40" s="855">
        <f>Model!BC497</f>
        <v>-2462.9398518835892</v>
      </c>
      <c r="Y40" s="855">
        <f>Model!BD497</f>
        <v>-2482.6163723859222</v>
      </c>
      <c r="Z40" s="855">
        <f>Model!BE497</f>
        <v>-2554.2595082858315</v>
      </c>
      <c r="AA40" s="855">
        <f>Model!BF497</f>
        <v>-2637.8687864156332</v>
      </c>
      <c r="AB40" s="855">
        <f>Model!BG497</f>
        <v>-2686.4499094526559</v>
      </c>
      <c r="AC40" s="855">
        <f>Model!BH497</f>
        <v>-2756.727642306304</v>
      </c>
      <c r="AD40" s="855">
        <f>Model!BI497</f>
        <v>-2765.8447842581791</v>
      </c>
      <c r="AE40" s="855">
        <f>Model!BJ497</f>
        <v>-2792.6985214217098</v>
      </c>
      <c r="AF40" s="855">
        <f>Model!BK497</f>
        <v>-2745.1915853765699</v>
      </c>
      <c r="AG40" s="855">
        <f>Model!BL497</f>
        <v>-2794.0596137567231</v>
      </c>
      <c r="AH40" s="855">
        <f>Model!BM497</f>
        <v>-2791.9786358864012</v>
      </c>
      <c r="AI40" s="855">
        <f>Model!BN497</f>
        <v>-2877.2602868498034</v>
      </c>
      <c r="AJ40" s="855">
        <f>Model!BO497</f>
        <v>-2871.8881902725616</v>
      </c>
      <c r="AK40" s="855">
        <f>Model!BP497</f>
        <v>-2969.1776394567091</v>
      </c>
      <c r="AL40" s="855">
        <f>Model!BQ497</f>
        <v>-2963.7986405885554</v>
      </c>
      <c r="AN40" s="855">
        <f>Model!CR497</f>
        <v>-3849</v>
      </c>
      <c r="AO40" s="855">
        <f>Model!CS497</f>
        <v>-3920</v>
      </c>
      <c r="AP40" s="855">
        <f>Model!CT497</f>
        <v>-3321</v>
      </c>
      <c r="AQ40" s="855">
        <f>Model!CU497</f>
        <v>-3022</v>
      </c>
      <c r="AR40" s="855">
        <f>Model!CV497</f>
        <v>-3590</v>
      </c>
      <c r="AS40" s="855">
        <f>Model!CW497</f>
        <v>-4023</v>
      </c>
      <c r="AT40" s="855">
        <f>Model!CX497</f>
        <v>-4097</v>
      </c>
      <c r="AU40" s="855">
        <f>Model!CY497</f>
        <v>-4318</v>
      </c>
      <c r="AV40" s="856">
        <f>Model!CZ497</f>
        <v>-4491</v>
      </c>
      <c r="AW40" s="855">
        <f>Model!DA497</f>
        <v>-4743.7114750465553</v>
      </c>
      <c r="AX40" s="855">
        <f>Model!DB497</f>
        <v>-4930.9249633065774</v>
      </c>
      <c r="AY40" s="855">
        <f>Model!DC497</f>
        <v>-5036.8758806717542</v>
      </c>
      <c r="AZ40" s="855">
        <f>Model!DD497</f>
        <v>-5324.3186958682891</v>
      </c>
      <c r="BA40" s="855">
        <f>Model!DE497</f>
        <v>-5522.5724265644831</v>
      </c>
      <c r="BB40" s="855">
        <f>Model!DF497</f>
        <v>-5537.8901067982797</v>
      </c>
      <c r="BC40" s="855">
        <f>Model!DG497</f>
        <v>-5586.0382496431248</v>
      </c>
      <c r="BD40" s="855">
        <f>Model!DH497</f>
        <v>-5749.148477122365</v>
      </c>
      <c r="BE40" s="855">
        <f>Model!DI497</f>
        <v>-5932.9762800452645</v>
      </c>
    </row>
    <row r="41" spans="2:57" s="881" customFormat="1" ht="15.95" customHeight="1">
      <c r="B41" s="881" t="s">
        <v>2739</v>
      </c>
      <c r="C41" s="882">
        <f>-C40/C38</f>
        <v>0.28467908902691513</v>
      </c>
      <c r="D41" s="882">
        <f t="shared" ref="D41:BE41" si="119">-D40/D38</f>
        <v>0.28453120378586216</v>
      </c>
      <c r="E41" s="882">
        <f t="shared" si="119"/>
        <v>0.30210701834167047</v>
      </c>
      <c r="F41" s="882">
        <f t="shared" si="119"/>
        <v>0.30827067669172931</v>
      </c>
      <c r="G41" s="882">
        <f t="shared" si="119"/>
        <v>0.2848874687926411</v>
      </c>
      <c r="H41" s="882">
        <f t="shared" si="119"/>
        <v>0.29050515579018532</v>
      </c>
      <c r="I41" s="882">
        <f t="shared" si="119"/>
        <v>0.29308936448292761</v>
      </c>
      <c r="J41" s="882">
        <f t="shared" si="119"/>
        <v>0.29762481822588466</v>
      </c>
      <c r="K41" s="882">
        <f t="shared" si="119"/>
        <v>0.29518950437317787</v>
      </c>
      <c r="L41" s="882">
        <f t="shared" si="119"/>
        <v>0.29163582531458176</v>
      </c>
      <c r="M41" s="882">
        <f t="shared" si="119"/>
        <v>0.29079497907949792</v>
      </c>
      <c r="N41" s="882">
        <f t="shared" si="119"/>
        <v>0.29988449321397631</v>
      </c>
      <c r="O41" s="882">
        <f t="shared" si="119"/>
        <v>0.29418176863332879</v>
      </c>
      <c r="P41" s="882">
        <f t="shared" si="119"/>
        <v>0.28374816983894585</v>
      </c>
      <c r="Q41" s="882">
        <f t="shared" si="119"/>
        <v>0.30513636992939219</v>
      </c>
      <c r="R41" s="882">
        <f t="shared" si="119"/>
        <v>0.30500649256961476</v>
      </c>
      <c r="S41" s="883">
        <f t="shared" si="119"/>
        <v>0.30695476029709656</v>
      </c>
      <c r="T41" s="884">
        <f t="shared" si="119"/>
        <v>0.3022621967838649</v>
      </c>
      <c r="U41" s="882">
        <f t="shared" si="119"/>
        <v>0.30299539170506912</v>
      </c>
      <c r="V41" s="882">
        <f t="shared" si="119"/>
        <v>0.29699999999999999</v>
      </c>
      <c r="W41" s="882">
        <f t="shared" si="119"/>
        <v>0.3</v>
      </c>
      <c r="X41" s="882">
        <f t="shared" si="119"/>
        <v>0.3</v>
      </c>
      <c r="Y41" s="882">
        <f t="shared" si="119"/>
        <v>0.3</v>
      </c>
      <c r="Z41" s="882">
        <f t="shared" si="119"/>
        <v>0.3</v>
      </c>
      <c r="AA41" s="882">
        <f t="shared" si="119"/>
        <v>0.3</v>
      </c>
      <c r="AB41" s="882">
        <f t="shared" si="119"/>
        <v>0.3</v>
      </c>
      <c r="AC41" s="882">
        <f t="shared" si="119"/>
        <v>0.3</v>
      </c>
      <c r="AD41" s="882">
        <f t="shared" si="119"/>
        <v>0.3</v>
      </c>
      <c r="AE41" s="882">
        <f t="shared" si="119"/>
        <v>0.3</v>
      </c>
      <c r="AF41" s="882">
        <f t="shared" si="119"/>
        <v>0.3</v>
      </c>
      <c r="AG41" s="882">
        <f t="shared" si="119"/>
        <v>0.3</v>
      </c>
      <c r="AH41" s="882">
        <f t="shared" si="119"/>
        <v>0.3</v>
      </c>
      <c r="AI41" s="882">
        <f t="shared" si="119"/>
        <v>0.3</v>
      </c>
      <c r="AJ41" s="882">
        <f t="shared" si="119"/>
        <v>0.3</v>
      </c>
      <c r="AK41" s="882">
        <f t="shared" si="119"/>
        <v>0.3</v>
      </c>
      <c r="AL41" s="882">
        <f t="shared" si="119"/>
        <v>0.3</v>
      </c>
      <c r="AN41" s="882">
        <f t="shared" si="119"/>
        <v>0.28460514640638862</v>
      </c>
      <c r="AO41" s="882">
        <f t="shared" si="119"/>
        <v>0.30510585305105853</v>
      </c>
      <c r="AP41" s="882">
        <f t="shared" si="119"/>
        <v>0.28743292366280077</v>
      </c>
      <c r="AQ41" s="882">
        <f t="shared" si="119"/>
        <v>0.29491558504928272</v>
      </c>
      <c r="AR41" s="882">
        <f t="shared" si="119"/>
        <v>0.29322878379482153</v>
      </c>
      <c r="AS41" s="882">
        <f t="shared" si="119"/>
        <v>0.29541782934351596</v>
      </c>
      <c r="AT41" s="882">
        <f t="shared" si="119"/>
        <v>0.28915237490295714</v>
      </c>
      <c r="AU41" s="883">
        <f t="shared" si="119"/>
        <v>0.30507277094814189</v>
      </c>
      <c r="AV41" s="884">
        <f t="shared" si="119"/>
        <v>0.30461914128739065</v>
      </c>
      <c r="AW41" s="882">
        <f t="shared" si="119"/>
        <v>0.29996160544896333</v>
      </c>
      <c r="AX41" s="882">
        <f t="shared" si="119"/>
        <v>0.3</v>
      </c>
      <c r="AY41" s="882">
        <f t="shared" si="119"/>
        <v>0.3</v>
      </c>
      <c r="AZ41" s="882">
        <f t="shared" si="119"/>
        <v>0.3000000000000001</v>
      </c>
      <c r="BA41" s="882">
        <f t="shared" si="119"/>
        <v>0.30000000000000004</v>
      </c>
      <c r="BB41" s="882">
        <f t="shared" si="119"/>
        <v>0.29999999999999988</v>
      </c>
      <c r="BC41" s="882">
        <f t="shared" si="119"/>
        <v>0.3</v>
      </c>
      <c r="BD41" s="882">
        <f t="shared" si="119"/>
        <v>0.30000000000000004</v>
      </c>
      <c r="BE41" s="882">
        <f t="shared" si="119"/>
        <v>0.30000000000000004</v>
      </c>
    </row>
    <row r="42" spans="2:57" ht="15.95" customHeight="1">
      <c r="T42" s="854"/>
    </row>
    <row r="43" spans="2:57" ht="15.95" customHeight="1">
      <c r="B43" s="852" t="s">
        <v>2551</v>
      </c>
      <c r="C43" s="855">
        <f>Model!AH498</f>
        <v>-9</v>
      </c>
      <c r="D43" s="855">
        <f>Model!AI498</f>
        <v>-11</v>
      </c>
      <c r="E43" s="855">
        <f>Model!AJ498</f>
        <v>-6</v>
      </c>
      <c r="F43" s="855">
        <f>Model!AK498</f>
        <v>-7</v>
      </c>
      <c r="G43" s="855">
        <f>Model!AL498</f>
        <v>-6</v>
      </c>
      <c r="H43" s="855">
        <f>Model!AM498</f>
        <v>-6</v>
      </c>
      <c r="I43" s="855">
        <f>Model!AN498</f>
        <v>0</v>
      </c>
      <c r="J43" s="855">
        <f>Model!AO498</f>
        <v>0</v>
      </c>
      <c r="K43" s="855">
        <f>Model!AP498</f>
        <v>0</v>
      </c>
      <c r="L43" s="855">
        <f>Model!AQ498</f>
        <v>0</v>
      </c>
      <c r="M43" s="855">
        <f>Model!AR498</f>
        <v>0</v>
      </c>
      <c r="N43" s="855">
        <f>Model!AS498</f>
        <v>0</v>
      </c>
      <c r="O43" s="855">
        <f>Model!AT498</f>
        <v>0</v>
      </c>
      <c r="P43" s="855">
        <f>Model!AU498</f>
        <v>0</v>
      </c>
      <c r="Q43" s="855">
        <f>Model!AV498</f>
        <v>0</v>
      </c>
      <c r="R43" s="855">
        <f>Model!AW498</f>
        <v>0</v>
      </c>
      <c r="S43" s="855">
        <f>Model!AX498</f>
        <v>0</v>
      </c>
      <c r="T43" s="856">
        <f>Model!AY498</f>
        <v>0</v>
      </c>
      <c r="U43" s="855">
        <f>Model!AZ498</f>
        <v>0</v>
      </c>
      <c r="V43" s="855">
        <f>Model!BA498</f>
        <v>0</v>
      </c>
      <c r="W43" s="855">
        <f>Model!BB498</f>
        <v>0</v>
      </c>
      <c r="X43" s="855">
        <f>Model!BC498</f>
        <v>0</v>
      </c>
      <c r="Y43" s="855">
        <f>Model!BD498</f>
        <v>0</v>
      </c>
      <c r="Z43" s="855">
        <f>Model!BE498</f>
        <v>0</v>
      </c>
      <c r="AA43" s="855">
        <f>Model!BF498</f>
        <v>0</v>
      </c>
      <c r="AB43" s="855">
        <f>Model!BG498</f>
        <v>0</v>
      </c>
      <c r="AC43" s="855">
        <f>Model!BH498</f>
        <v>0</v>
      </c>
      <c r="AD43" s="855">
        <f>Model!BI498</f>
        <v>0</v>
      </c>
      <c r="AE43" s="855">
        <f>Model!BJ498</f>
        <v>0</v>
      </c>
      <c r="AF43" s="855">
        <f>Model!BK498</f>
        <v>0</v>
      </c>
      <c r="AG43" s="855">
        <f>Model!BL498</f>
        <v>0</v>
      </c>
      <c r="AH43" s="855">
        <f>Model!BM498</f>
        <v>0</v>
      </c>
      <c r="AI43" s="855">
        <f>Model!BN498</f>
        <v>0</v>
      </c>
      <c r="AJ43" s="855">
        <f>Model!BO498</f>
        <v>0</v>
      </c>
      <c r="AK43" s="855">
        <f>Model!BP498</f>
        <v>0</v>
      </c>
      <c r="AL43" s="855">
        <f>Model!BQ498</f>
        <v>0</v>
      </c>
      <c r="AM43" s="855"/>
      <c r="AN43" s="855">
        <f>Model!CR498</f>
        <v>-20</v>
      </c>
      <c r="AO43" s="855">
        <f>Model!CS498</f>
        <v>-13</v>
      </c>
      <c r="AP43" s="855">
        <f>Model!CT498</f>
        <v>-12</v>
      </c>
      <c r="AQ43" s="855">
        <f>Model!CU498</f>
        <v>0</v>
      </c>
      <c r="AR43" s="855">
        <f>Model!CV498</f>
        <v>0</v>
      </c>
      <c r="AS43" s="855">
        <f>Model!CW498</f>
        <v>0</v>
      </c>
      <c r="AT43" s="855">
        <f>Model!CX498</f>
        <v>0</v>
      </c>
      <c r="AU43" s="855">
        <f>Model!CY498</f>
        <v>0</v>
      </c>
      <c r="AV43" s="856">
        <f>Model!CZ498</f>
        <v>0</v>
      </c>
      <c r="AW43" s="855">
        <f>Model!DA498</f>
        <v>0</v>
      </c>
      <c r="AX43" s="855">
        <f>Model!DB498</f>
        <v>0</v>
      </c>
      <c r="AY43" s="855">
        <f>Model!DC498</f>
        <v>0</v>
      </c>
      <c r="AZ43" s="855">
        <f>Model!DD498</f>
        <v>0</v>
      </c>
      <c r="BA43" s="855">
        <f>Model!DE498</f>
        <v>0</v>
      </c>
      <c r="BB43" s="855">
        <f>Model!DF498</f>
        <v>0</v>
      </c>
      <c r="BC43" s="855">
        <f>Model!DG498</f>
        <v>0</v>
      </c>
      <c r="BD43" s="855">
        <f>Model!DH498</f>
        <v>0</v>
      </c>
      <c r="BE43" s="855">
        <f>Model!DI498</f>
        <v>0</v>
      </c>
    </row>
    <row r="44" spans="2:57" ht="15.95" customHeight="1">
      <c r="B44" s="2" t="s">
        <v>2740</v>
      </c>
      <c r="C44" s="79">
        <f>Model!AH515</f>
        <v>4828</v>
      </c>
      <c r="D44" s="79">
        <f>Model!AI515</f>
        <v>4827</v>
      </c>
      <c r="E44" s="79">
        <f>Model!AJ515</f>
        <v>4598</v>
      </c>
      <c r="F44" s="79">
        <f>Model!AK515</f>
        <v>4317</v>
      </c>
      <c r="G44" s="79">
        <f>Model!AL515</f>
        <v>4512.5931563709537</v>
      </c>
      <c r="H44" s="79">
        <f>Model!AM515</f>
        <v>3708.406843629049</v>
      </c>
      <c r="I44" s="79">
        <f>Model!AN515</f>
        <v>4327</v>
      </c>
      <c r="J44" s="79">
        <f>Model!AO515</f>
        <v>2898</v>
      </c>
      <c r="K44" s="79">
        <f>Model!AP515</f>
        <v>3868</v>
      </c>
      <c r="L44" s="79">
        <f>Model!AQ515</f>
        <v>4785</v>
      </c>
      <c r="M44" s="79">
        <f>Model!AR515</f>
        <v>4746</v>
      </c>
      <c r="N44" s="79">
        <f>Model!AS515</f>
        <v>4849</v>
      </c>
      <c r="O44" s="79">
        <f>Model!AT515</f>
        <v>5180</v>
      </c>
      <c r="P44" s="79">
        <f>Model!AU515</f>
        <v>4892</v>
      </c>
      <c r="Q44" s="79">
        <f>Model!AV515</f>
        <v>5019</v>
      </c>
      <c r="R44" s="79">
        <f>Model!AW515</f>
        <v>4817</v>
      </c>
      <c r="S44" s="79">
        <f>Model!AX515</f>
        <v>5132</v>
      </c>
      <c r="T44" s="80">
        <f>Model!AY515</f>
        <v>5119.9999999999982</v>
      </c>
      <c r="U44" s="79">
        <f>Model!AZ515</f>
        <v>5445</v>
      </c>
      <c r="V44" s="79">
        <f>Model!BA515</f>
        <v>5625.6840638307367</v>
      </c>
      <c r="W44" s="79">
        <f>Model!BB515</f>
        <v>5758.6319266536393</v>
      </c>
      <c r="X44" s="79">
        <f>Model!BC515</f>
        <v>5746.8596543950407</v>
      </c>
      <c r="Y44" s="79">
        <f>Model!BD515</f>
        <v>5792.7715355671517</v>
      </c>
      <c r="Z44" s="79">
        <f>Model!BE515</f>
        <v>5959.9388526669409</v>
      </c>
      <c r="AA44" s="79">
        <f>Model!BF515</f>
        <v>6155.0271683031442</v>
      </c>
      <c r="AB44" s="79">
        <f>Model!BG515</f>
        <v>6268.383122056197</v>
      </c>
      <c r="AC44" s="79">
        <f>Model!BH515</f>
        <v>6432.36449871471</v>
      </c>
      <c r="AD44" s="79">
        <f>Model!BI515</f>
        <v>6453.6378299357511</v>
      </c>
      <c r="AE44" s="79">
        <f>Model!BJ515</f>
        <v>6516.2965499839902</v>
      </c>
      <c r="AF44" s="79">
        <f>Model!BK515</f>
        <v>6405.4470325453312</v>
      </c>
      <c r="AG44" s="79">
        <f>Model!BL515</f>
        <v>6519.4724320990208</v>
      </c>
      <c r="AH44" s="79">
        <f>Model!BM515</f>
        <v>6514.6168170682695</v>
      </c>
      <c r="AI44" s="79">
        <f>Model!BN515</f>
        <v>6713.6073359828752</v>
      </c>
      <c r="AJ44" s="79">
        <f>Model!BO515</f>
        <v>6701.0724439693104</v>
      </c>
      <c r="AK44" s="79">
        <f>Model!BP515</f>
        <v>6928.0811587323205</v>
      </c>
      <c r="AL44" s="79">
        <f>Model!BQ515</f>
        <v>6915.5301613732972</v>
      </c>
      <c r="AN44" s="79">
        <f>Model!CR515</f>
        <v>9655</v>
      </c>
      <c r="AO44" s="79">
        <f>Model!CS515</f>
        <v>8915</v>
      </c>
      <c r="AP44" s="79">
        <f>Model!CT515</f>
        <v>8221</v>
      </c>
      <c r="AQ44" s="79">
        <f>Model!CU515</f>
        <v>7225</v>
      </c>
      <c r="AR44" s="79">
        <f>Model!CV515</f>
        <v>8653</v>
      </c>
      <c r="AS44" s="79">
        <f>Model!CW515</f>
        <v>9595</v>
      </c>
      <c r="AT44" s="79">
        <f>Model!CX515</f>
        <v>10072</v>
      </c>
      <c r="AU44" s="79">
        <f>Model!CY515</f>
        <v>9836</v>
      </c>
      <c r="AV44" s="80">
        <f>Model!CZ515</f>
        <v>10252</v>
      </c>
      <c r="AW44" s="79">
        <f>Model!DA515</f>
        <v>11070.684063830735</v>
      </c>
      <c r="AX44" s="79">
        <f>Model!DB515</f>
        <v>11505.491581048682</v>
      </c>
      <c r="AY44" s="79">
        <f>Model!DC515</f>
        <v>11752.710388234094</v>
      </c>
      <c r="AZ44" s="79">
        <f>Model!DD515</f>
        <v>12423.410290359334</v>
      </c>
      <c r="BA44" s="79">
        <f>Model!DE515</f>
        <v>12886.002328650458</v>
      </c>
      <c r="BB44" s="79">
        <f>Model!DF515</f>
        <v>12921.743582529325</v>
      </c>
      <c r="BC44" s="79">
        <f>Model!DG515</f>
        <v>13034.089249167291</v>
      </c>
      <c r="BD44" s="79">
        <f>Model!DH515</f>
        <v>13414.679779952181</v>
      </c>
      <c r="BE44" s="79">
        <f>Model!DI515</f>
        <v>13843.611320105616</v>
      </c>
    </row>
    <row r="45" spans="2:57" ht="15.95" customHeight="1">
      <c r="T45" s="854"/>
    </row>
    <row r="46" spans="2:57" ht="15.95" customHeight="1">
      <c r="B46" s="852" t="s">
        <v>2741</v>
      </c>
      <c r="C46" s="852">
        <v>56</v>
      </c>
      <c r="D46" s="852">
        <v>73</v>
      </c>
      <c r="E46" s="852">
        <v>-617</v>
      </c>
      <c r="F46" s="852">
        <v>-65</v>
      </c>
      <c r="G46" s="852">
        <v>-50</v>
      </c>
      <c r="H46" s="852">
        <v>-259</v>
      </c>
      <c r="I46" s="852">
        <v>-90</v>
      </c>
      <c r="J46" s="852">
        <v>-8</v>
      </c>
      <c r="K46" s="852">
        <v>-8</v>
      </c>
      <c r="L46" s="852">
        <v>-9</v>
      </c>
      <c r="M46" s="852">
        <v>-5</v>
      </c>
      <c r="N46" s="852">
        <v>-14</v>
      </c>
      <c r="O46" s="852">
        <v>0</v>
      </c>
      <c r="P46" s="852">
        <v>0</v>
      </c>
      <c r="Q46" s="852">
        <v>0</v>
      </c>
      <c r="R46" s="852">
        <v>0</v>
      </c>
      <c r="S46" s="852">
        <v>0</v>
      </c>
      <c r="T46" s="854">
        <v>0</v>
      </c>
      <c r="U46" s="852">
        <v>0</v>
      </c>
      <c r="V46" s="852">
        <v>0</v>
      </c>
      <c r="W46" s="852">
        <v>0</v>
      </c>
      <c r="X46" s="852">
        <v>0</v>
      </c>
      <c r="Y46" s="852">
        <v>0</v>
      </c>
      <c r="Z46" s="852">
        <v>0</v>
      </c>
      <c r="AA46" s="852">
        <v>0</v>
      </c>
      <c r="AB46" s="852">
        <v>0</v>
      </c>
      <c r="AC46" s="852">
        <v>0</v>
      </c>
      <c r="AD46" s="852">
        <v>0</v>
      </c>
      <c r="AE46" s="852">
        <v>0</v>
      </c>
      <c r="AF46" s="852">
        <v>0</v>
      </c>
      <c r="AG46" s="852">
        <v>0</v>
      </c>
      <c r="AH46" s="852">
        <v>0</v>
      </c>
      <c r="AI46" s="852">
        <v>0</v>
      </c>
      <c r="AJ46" s="852">
        <v>0</v>
      </c>
      <c r="AK46" s="852">
        <v>0</v>
      </c>
      <c r="AL46" s="852">
        <v>0</v>
      </c>
      <c r="AN46" s="852">
        <v>129</v>
      </c>
      <c r="AO46" s="852">
        <v>-682</v>
      </c>
      <c r="AP46" s="852">
        <v>-309</v>
      </c>
      <c r="AQ46" s="852">
        <v>-98</v>
      </c>
      <c r="AR46" s="852">
        <v>-17</v>
      </c>
      <c r="AS46" s="852">
        <v>-19</v>
      </c>
      <c r="AT46" s="852">
        <v>0</v>
      </c>
      <c r="AU46" s="852">
        <v>0</v>
      </c>
      <c r="AV46" s="854">
        <v>0</v>
      </c>
      <c r="AW46" s="852">
        <v>0</v>
      </c>
      <c r="AX46" s="852">
        <v>0</v>
      </c>
      <c r="AY46" s="852">
        <v>0</v>
      </c>
      <c r="AZ46" s="852">
        <v>0</v>
      </c>
      <c r="BA46" s="852">
        <v>0</v>
      </c>
      <c r="BB46" s="852">
        <v>0</v>
      </c>
      <c r="BC46" s="852">
        <v>0</v>
      </c>
      <c r="BD46" s="852">
        <v>0</v>
      </c>
      <c r="BE46" s="852">
        <v>0</v>
      </c>
    </row>
    <row r="47" spans="2:57" s="857" customFormat="1" ht="15.95" customHeight="1">
      <c r="B47" s="857" t="s">
        <v>356</v>
      </c>
      <c r="C47" s="858">
        <f>C44+C46</f>
        <v>4884</v>
      </c>
      <c r="D47" s="858">
        <f t="shared" ref="D47:AL47" si="120">D44+D46</f>
        <v>4900</v>
      </c>
      <c r="E47" s="858">
        <f t="shared" si="120"/>
        <v>3981</v>
      </c>
      <c r="F47" s="858">
        <f t="shared" si="120"/>
        <v>4252</v>
      </c>
      <c r="G47" s="858">
        <f t="shared" si="120"/>
        <v>4462.5931563709537</v>
      </c>
      <c r="H47" s="858">
        <f t="shared" si="120"/>
        <v>3449.406843629049</v>
      </c>
      <c r="I47" s="858">
        <f t="shared" si="120"/>
        <v>4237</v>
      </c>
      <c r="J47" s="858">
        <f t="shared" si="120"/>
        <v>2890</v>
      </c>
      <c r="K47" s="858">
        <f t="shared" si="120"/>
        <v>3860</v>
      </c>
      <c r="L47" s="858">
        <f t="shared" si="120"/>
        <v>4776</v>
      </c>
      <c r="M47" s="858">
        <f t="shared" si="120"/>
        <v>4741</v>
      </c>
      <c r="N47" s="858">
        <f t="shared" si="120"/>
        <v>4835</v>
      </c>
      <c r="O47" s="858">
        <f t="shared" si="120"/>
        <v>5180</v>
      </c>
      <c r="P47" s="858">
        <f t="shared" si="120"/>
        <v>4892</v>
      </c>
      <c r="Q47" s="858">
        <f t="shared" si="120"/>
        <v>5019</v>
      </c>
      <c r="R47" s="858">
        <f t="shared" si="120"/>
        <v>4817</v>
      </c>
      <c r="S47" s="858">
        <f t="shared" si="120"/>
        <v>5132</v>
      </c>
      <c r="T47" s="859">
        <f t="shared" si="120"/>
        <v>5119.9999999999982</v>
      </c>
      <c r="U47" s="858">
        <f t="shared" si="120"/>
        <v>5445</v>
      </c>
      <c r="V47" s="858">
        <f t="shared" si="120"/>
        <v>5625.6840638307367</v>
      </c>
      <c r="W47" s="858">
        <f t="shared" si="120"/>
        <v>5758.6319266536393</v>
      </c>
      <c r="X47" s="858">
        <f t="shared" si="120"/>
        <v>5746.8596543950407</v>
      </c>
      <c r="Y47" s="858">
        <f t="shared" si="120"/>
        <v>5792.7715355671517</v>
      </c>
      <c r="Z47" s="858">
        <f t="shared" si="120"/>
        <v>5959.9388526669409</v>
      </c>
      <c r="AA47" s="858">
        <f t="shared" si="120"/>
        <v>6155.0271683031442</v>
      </c>
      <c r="AB47" s="858">
        <f t="shared" si="120"/>
        <v>6268.383122056197</v>
      </c>
      <c r="AC47" s="858">
        <f t="shared" si="120"/>
        <v>6432.36449871471</v>
      </c>
      <c r="AD47" s="858">
        <f t="shared" si="120"/>
        <v>6453.6378299357511</v>
      </c>
      <c r="AE47" s="858">
        <f t="shared" si="120"/>
        <v>6516.2965499839902</v>
      </c>
      <c r="AF47" s="858">
        <f t="shared" si="120"/>
        <v>6405.4470325453312</v>
      </c>
      <c r="AG47" s="858">
        <f t="shared" si="120"/>
        <v>6519.4724320990208</v>
      </c>
      <c r="AH47" s="858">
        <f t="shared" si="120"/>
        <v>6514.6168170682695</v>
      </c>
      <c r="AI47" s="858">
        <f t="shared" si="120"/>
        <v>6713.6073359828752</v>
      </c>
      <c r="AJ47" s="858">
        <f t="shared" si="120"/>
        <v>6701.0724439693104</v>
      </c>
      <c r="AK47" s="858">
        <f t="shared" si="120"/>
        <v>6928.0811587323205</v>
      </c>
      <c r="AL47" s="858">
        <f t="shared" si="120"/>
        <v>6915.5301613732972</v>
      </c>
      <c r="AN47" s="858">
        <f t="shared" ref="AN47:BE47" si="121">AN44+AN46</f>
        <v>9784</v>
      </c>
      <c r="AO47" s="858">
        <f t="shared" si="121"/>
        <v>8233</v>
      </c>
      <c r="AP47" s="858">
        <f t="shared" si="121"/>
        <v>7912</v>
      </c>
      <c r="AQ47" s="858">
        <f t="shared" si="121"/>
        <v>7127</v>
      </c>
      <c r="AR47" s="858">
        <f t="shared" si="121"/>
        <v>8636</v>
      </c>
      <c r="AS47" s="858">
        <f t="shared" si="121"/>
        <v>9576</v>
      </c>
      <c r="AT47" s="858">
        <f t="shared" si="121"/>
        <v>10072</v>
      </c>
      <c r="AU47" s="858">
        <f t="shared" si="121"/>
        <v>9836</v>
      </c>
      <c r="AV47" s="859">
        <f t="shared" si="121"/>
        <v>10252</v>
      </c>
      <c r="AW47" s="858">
        <f t="shared" si="121"/>
        <v>11070.684063830735</v>
      </c>
      <c r="AX47" s="858">
        <f t="shared" si="121"/>
        <v>11505.491581048682</v>
      </c>
      <c r="AY47" s="858">
        <f t="shared" si="121"/>
        <v>11752.710388234094</v>
      </c>
      <c r="AZ47" s="858">
        <f t="shared" si="121"/>
        <v>12423.410290359334</v>
      </c>
      <c r="BA47" s="858">
        <f t="shared" si="121"/>
        <v>12886.002328650458</v>
      </c>
      <c r="BB47" s="858">
        <f t="shared" si="121"/>
        <v>12921.743582529325</v>
      </c>
      <c r="BC47" s="858">
        <f t="shared" si="121"/>
        <v>13034.089249167291</v>
      </c>
      <c r="BD47" s="858">
        <f t="shared" si="121"/>
        <v>13414.679779952181</v>
      </c>
      <c r="BE47" s="858">
        <f t="shared" si="121"/>
        <v>13843.611320105616</v>
      </c>
    </row>
    <row r="48" spans="2:57" ht="15.95" customHeight="1" outlineLevel="1">
      <c r="B48" s="878" t="s">
        <v>2751</v>
      </c>
      <c r="C48" s="877"/>
      <c r="D48" s="877"/>
      <c r="E48" s="877"/>
      <c r="F48" s="877"/>
      <c r="G48" s="877"/>
      <c r="H48" s="877"/>
      <c r="I48" s="877"/>
      <c r="J48" s="877"/>
      <c r="K48" s="877"/>
      <c r="L48" s="877"/>
      <c r="M48" s="877"/>
      <c r="N48" s="879">
        <f>N47/M47-1</f>
        <v>1.982704070871133E-2</v>
      </c>
      <c r="O48" s="879">
        <f t="shared" ref="O48" si="122">O47/N47-1</f>
        <v>7.1354705274043528E-2</v>
      </c>
      <c r="P48" s="879">
        <f t="shared" ref="P48" si="123">P47/O47-1</f>
        <v>-5.5598455598455554E-2</v>
      </c>
      <c r="Q48" s="879">
        <f t="shared" ref="Q48" si="124">Q47/P47-1</f>
        <v>2.5960752248569197E-2</v>
      </c>
      <c r="R48" s="879">
        <f t="shared" ref="R48" si="125">R47/Q47-1</f>
        <v>-4.0247061167563269E-2</v>
      </c>
      <c r="S48" s="879">
        <f t="shared" ref="S48" si="126">S47/R47-1</f>
        <v>6.539339838073488E-2</v>
      </c>
      <c r="T48" s="880">
        <f t="shared" ref="T48" si="127">T47/S47-1</f>
        <v>-2.3382696804368219E-3</v>
      </c>
      <c r="U48" s="879">
        <f t="shared" ref="U48" si="128">U47/T47-1</f>
        <v>6.3476562500000444E-2</v>
      </c>
      <c r="V48" s="879">
        <f t="shared" ref="V48" si="129">V47/U47-1</f>
        <v>3.318348279719685E-2</v>
      </c>
      <c r="W48" s="879">
        <f t="shared" ref="W48" si="130">W47/V47-1</f>
        <v>2.3632301656907106E-2</v>
      </c>
      <c r="X48" s="879">
        <f t="shared" ref="X48" si="131">X47/W47-1</f>
        <v>-2.0442828103166555E-3</v>
      </c>
      <c r="Y48" s="879">
        <f t="shared" ref="Y48" si="132">Y47/X47-1</f>
        <v>7.9890381761800189E-3</v>
      </c>
      <c r="Z48" s="879">
        <f t="shared" ref="Z48" si="133">Z47/Y47-1</f>
        <v>2.8857916469412936E-2</v>
      </c>
      <c r="AA48" s="879">
        <f t="shared" ref="AA48" si="134">AA47/Z47-1</f>
        <v>3.273327469608267E-2</v>
      </c>
      <c r="AB48" s="879">
        <f t="shared" ref="AB48" si="135">AB47/AA47-1</f>
        <v>1.8416808025934817E-2</v>
      </c>
      <c r="AC48" s="879">
        <f t="shared" ref="AC48" si="136">AC47/AB47-1</f>
        <v>2.6160075647182701E-2</v>
      </c>
      <c r="AD48" s="879">
        <f t="shared" ref="AD48" si="137">AD47/AC47-1</f>
        <v>3.3072334792736413E-3</v>
      </c>
      <c r="AE48" s="879">
        <f t="shared" ref="AE48" si="138">AE47/AD47-1</f>
        <v>9.7090542883566666E-3</v>
      </c>
      <c r="AF48" s="879">
        <f t="shared" ref="AF48" si="139">AF47/AE47-1</f>
        <v>-1.7011122282169833E-2</v>
      </c>
      <c r="AG48" s="879">
        <f t="shared" ref="AG48" si="140">AG47/AF47-1</f>
        <v>1.7801317999249555E-2</v>
      </c>
      <c r="AH48" s="879">
        <f t="shared" ref="AH48" si="141">AH47/AG47-1</f>
        <v>-7.4478649634968086E-4</v>
      </c>
      <c r="AI48" s="879">
        <f t="shared" ref="AI48" si="142">AI47/AH47-1</f>
        <v>3.0545237655920321E-2</v>
      </c>
      <c r="AJ48" s="879">
        <f t="shared" ref="AJ48" si="143">AJ47/AI47-1</f>
        <v>-1.867087451835614E-3</v>
      </c>
      <c r="AK48" s="879">
        <f t="shared" ref="AK48" si="144">AK47/AJ47-1</f>
        <v>3.3876475244989823E-2</v>
      </c>
      <c r="AL48" s="879">
        <f t="shared" ref="AL48" si="145">AL47/AK47-1</f>
        <v>-1.8116123456787259E-3</v>
      </c>
      <c r="AM48" s="879"/>
      <c r="AN48" s="879" t="e">
        <f t="shared" ref="AN48" si="146">AN47/AM47-1</f>
        <v>#DIV/0!</v>
      </c>
      <c r="AO48" s="879">
        <f t="shared" ref="AO48" si="147">AO47/AN47-1</f>
        <v>-0.15852412101390023</v>
      </c>
      <c r="AP48" s="879">
        <f t="shared" ref="AP48" si="148">AP47/AO47-1</f>
        <v>-3.8989432770557553E-2</v>
      </c>
      <c r="AQ48" s="879">
        <f t="shared" ref="AQ48" si="149">AQ47/AP47-1</f>
        <v>-9.9216380182002073E-2</v>
      </c>
      <c r="AR48" s="879">
        <f t="shared" ref="AR48" si="150">AR47/AQ47-1</f>
        <v>0.21173004069033263</v>
      </c>
      <c r="AS48" s="879">
        <f t="shared" ref="AS48" si="151">AS47/AR47-1</f>
        <v>0.10884668828161193</v>
      </c>
      <c r="AT48" s="879">
        <f t="shared" ref="AT48" si="152">AT47/AS47-1</f>
        <v>5.1796157059315062E-2</v>
      </c>
      <c r="AU48" s="879">
        <f t="shared" ref="AU48" si="153">AU47/AT47-1</f>
        <v>-2.3431294678316172E-2</v>
      </c>
      <c r="AV48" s="880">
        <f t="shared" ref="AV48" si="154">AV47/AU47-1</f>
        <v>4.2293615290768694E-2</v>
      </c>
      <c r="AW48" s="879">
        <f t="shared" ref="AW48" si="155">AW47/AV47-1</f>
        <v>7.9856034318253499E-2</v>
      </c>
      <c r="AX48" s="879">
        <f t="shared" ref="AX48" si="156">AX47/AW47-1</f>
        <v>3.9275578158581625E-2</v>
      </c>
      <c r="AY48" s="879">
        <f t="shared" ref="AY48" si="157">AY47/AX47-1</f>
        <v>2.1487026907448303E-2</v>
      </c>
      <c r="AZ48" s="879">
        <f t="shared" ref="AZ48" si="158">AZ47/AY47-1</f>
        <v>5.7067678856163484E-2</v>
      </c>
      <c r="BA48" s="879">
        <f t="shared" ref="BA48" si="159">BA47/AZ47-1</f>
        <v>3.7235511625185458E-2</v>
      </c>
      <c r="BB48" s="877"/>
      <c r="BC48" s="877"/>
      <c r="BD48" s="877"/>
      <c r="BE48" s="877"/>
    </row>
    <row r="49" spans="2:57" ht="15.95" customHeight="1">
      <c r="T49" s="854"/>
      <c r="AW49" s="873"/>
    </row>
    <row r="50" spans="2:57" ht="15.95" customHeight="1">
      <c r="B50" s="852" t="s">
        <v>2136</v>
      </c>
      <c r="C50" s="855">
        <f>C51-C47</f>
        <v>11</v>
      </c>
      <c r="D50" s="855">
        <f t="shared" ref="D50:AL50" si="160">D51-D47</f>
        <v>133</v>
      </c>
      <c r="E50" s="855">
        <f t="shared" si="160"/>
        <v>925</v>
      </c>
      <c r="F50" s="855">
        <f t="shared" si="160"/>
        <v>171</v>
      </c>
      <c r="G50" s="855">
        <f t="shared" si="160"/>
        <v>136.40684362904631</v>
      </c>
      <c r="H50" s="855">
        <f t="shared" si="160"/>
        <v>522.59315637095096</v>
      </c>
      <c r="I50" s="855">
        <f t="shared" si="160"/>
        <v>1921</v>
      </c>
      <c r="J50" s="855">
        <f t="shared" si="160"/>
        <v>544</v>
      </c>
      <c r="K50" s="855">
        <f t="shared" si="160"/>
        <v>1009</v>
      </c>
      <c r="L50" s="855">
        <f t="shared" si="160"/>
        <v>536</v>
      </c>
      <c r="M50" s="855">
        <f t="shared" si="160"/>
        <v>1129</v>
      </c>
      <c r="N50" s="855">
        <f t="shared" si="160"/>
        <v>66</v>
      </c>
      <c r="O50" s="855">
        <f t="shared" si="160"/>
        <v>-8</v>
      </c>
      <c r="P50" s="855">
        <f t="shared" si="160"/>
        <v>-66</v>
      </c>
      <c r="Q50" s="855">
        <f t="shared" si="160"/>
        <v>-260</v>
      </c>
      <c r="R50" s="855">
        <f t="shared" si="160"/>
        <v>-182</v>
      </c>
      <c r="S50" s="855">
        <f t="shared" si="160"/>
        <v>2</v>
      </c>
      <c r="T50" s="856">
        <f t="shared" si="160"/>
        <v>-138</v>
      </c>
      <c r="U50" s="855">
        <f t="shared" si="160"/>
        <v>-78</v>
      </c>
      <c r="V50" s="855">
        <f t="shared" si="160"/>
        <v>0</v>
      </c>
      <c r="W50" s="855">
        <f t="shared" si="160"/>
        <v>0</v>
      </c>
      <c r="X50" s="855">
        <f t="shared" si="160"/>
        <v>0</v>
      </c>
      <c r="Y50" s="855">
        <f t="shared" si="160"/>
        <v>0</v>
      </c>
      <c r="Z50" s="855">
        <f t="shared" si="160"/>
        <v>0</v>
      </c>
      <c r="AA50" s="855">
        <f t="shared" si="160"/>
        <v>0</v>
      </c>
      <c r="AB50" s="855">
        <f t="shared" si="160"/>
        <v>0</v>
      </c>
      <c r="AC50" s="855">
        <f t="shared" si="160"/>
        <v>0</v>
      </c>
      <c r="AD50" s="855">
        <f t="shared" si="160"/>
        <v>0</v>
      </c>
      <c r="AE50" s="855">
        <f t="shared" si="160"/>
        <v>0</v>
      </c>
      <c r="AF50" s="855">
        <f t="shared" si="160"/>
        <v>0</v>
      </c>
      <c r="AG50" s="855">
        <f t="shared" si="160"/>
        <v>0</v>
      </c>
      <c r="AH50" s="855">
        <f t="shared" si="160"/>
        <v>0</v>
      </c>
      <c r="AI50" s="855">
        <f t="shared" si="160"/>
        <v>0</v>
      </c>
      <c r="AJ50" s="855">
        <f t="shared" si="160"/>
        <v>0</v>
      </c>
      <c r="AK50" s="855">
        <f t="shared" si="160"/>
        <v>0</v>
      </c>
      <c r="AL50" s="855">
        <f t="shared" si="160"/>
        <v>0</v>
      </c>
      <c r="AN50" s="855">
        <f t="shared" ref="AN50:BE50" si="161">AN51-AN47</f>
        <v>144</v>
      </c>
      <c r="AO50" s="855">
        <f t="shared" si="161"/>
        <v>1096</v>
      </c>
      <c r="AP50" s="855">
        <f t="shared" si="161"/>
        <v>659</v>
      </c>
      <c r="AQ50" s="855">
        <f t="shared" si="161"/>
        <v>2465</v>
      </c>
      <c r="AR50" s="855">
        <f t="shared" si="161"/>
        <v>1545</v>
      </c>
      <c r="AS50" s="855">
        <f t="shared" si="161"/>
        <v>1195</v>
      </c>
      <c r="AT50" s="855">
        <f t="shared" si="161"/>
        <v>-74</v>
      </c>
      <c r="AU50" s="855">
        <f t="shared" si="161"/>
        <v>-442</v>
      </c>
      <c r="AV50" s="856">
        <f t="shared" si="161"/>
        <v>-136.00000000000182</v>
      </c>
      <c r="AW50" s="855">
        <f t="shared" si="161"/>
        <v>-77.999999999998181</v>
      </c>
      <c r="AX50" s="855">
        <f t="shared" si="161"/>
        <v>0</v>
      </c>
      <c r="AY50" s="855">
        <f t="shared" si="161"/>
        <v>0</v>
      </c>
      <c r="AZ50" s="855">
        <f t="shared" si="161"/>
        <v>0</v>
      </c>
      <c r="BA50" s="855">
        <f t="shared" si="161"/>
        <v>0</v>
      </c>
      <c r="BB50" s="855">
        <f t="shared" si="161"/>
        <v>0</v>
      </c>
      <c r="BC50" s="855">
        <f t="shared" si="161"/>
        <v>0</v>
      </c>
      <c r="BD50" s="855">
        <f t="shared" si="161"/>
        <v>0</v>
      </c>
      <c r="BE50" s="855">
        <f t="shared" si="161"/>
        <v>0</v>
      </c>
    </row>
    <row r="51" spans="2:57" ht="15.95" customHeight="1">
      <c r="B51" s="2" t="s">
        <v>2742</v>
      </c>
      <c r="C51" s="79">
        <f>Model!AH525</f>
        <v>4895</v>
      </c>
      <c r="D51" s="79">
        <f>Model!AI525</f>
        <v>5033</v>
      </c>
      <c r="E51" s="79">
        <f>Model!AJ525</f>
        <v>4906</v>
      </c>
      <c r="F51" s="79">
        <f>Model!AK525</f>
        <v>4423</v>
      </c>
      <c r="G51" s="79">
        <f>Model!AL525</f>
        <v>4599</v>
      </c>
      <c r="H51" s="79">
        <f>Model!AM525</f>
        <v>3972</v>
      </c>
      <c r="I51" s="79">
        <f>Model!AN525</f>
        <v>6158</v>
      </c>
      <c r="J51" s="79">
        <f>Model!AO525</f>
        <v>3434</v>
      </c>
      <c r="K51" s="79">
        <f>Model!AP525</f>
        <v>4869</v>
      </c>
      <c r="L51" s="79">
        <f>Model!AQ525</f>
        <v>5312</v>
      </c>
      <c r="M51" s="79">
        <f>Model!AR525</f>
        <v>5870</v>
      </c>
      <c r="N51" s="79">
        <f>Model!AS525</f>
        <v>4901</v>
      </c>
      <c r="O51" s="79">
        <f>Model!AT525</f>
        <v>5172</v>
      </c>
      <c r="P51" s="79">
        <f>Model!AU525</f>
        <v>4826</v>
      </c>
      <c r="Q51" s="79">
        <f>Model!AV525</f>
        <v>4759</v>
      </c>
      <c r="R51" s="79">
        <f>Model!AW525</f>
        <v>4635</v>
      </c>
      <c r="S51" s="79">
        <f>Model!AX525</f>
        <v>5134</v>
      </c>
      <c r="T51" s="80">
        <f>Model!AY525</f>
        <v>4981.9999999999982</v>
      </c>
      <c r="U51" s="79">
        <f>Model!AZ525</f>
        <v>5367</v>
      </c>
      <c r="V51" s="79">
        <f>Model!BA525</f>
        <v>5625.6840638307367</v>
      </c>
      <c r="W51" s="79">
        <f>Model!BB525</f>
        <v>5758.6319266536393</v>
      </c>
      <c r="X51" s="79">
        <f>Model!BC525</f>
        <v>5746.8596543950407</v>
      </c>
      <c r="Y51" s="79">
        <f>Model!BD525</f>
        <v>5792.7715355671517</v>
      </c>
      <c r="Z51" s="79">
        <f>Model!BE525</f>
        <v>5959.9388526669409</v>
      </c>
      <c r="AA51" s="79">
        <f>Model!BF525</f>
        <v>6155.0271683031442</v>
      </c>
      <c r="AB51" s="79">
        <f>Model!BG525</f>
        <v>6268.383122056197</v>
      </c>
      <c r="AC51" s="79">
        <f>Model!BH525</f>
        <v>6432.36449871471</v>
      </c>
      <c r="AD51" s="79">
        <f>Model!BI525</f>
        <v>6453.6378299357511</v>
      </c>
      <c r="AE51" s="79">
        <f>Model!BJ525</f>
        <v>6516.2965499839902</v>
      </c>
      <c r="AF51" s="79">
        <f>Model!BK525</f>
        <v>6405.4470325453312</v>
      </c>
      <c r="AG51" s="79">
        <f>Model!BL525</f>
        <v>6519.4724320990208</v>
      </c>
      <c r="AH51" s="79">
        <f>Model!BM525</f>
        <v>6514.6168170682695</v>
      </c>
      <c r="AI51" s="79">
        <f>Model!BN525</f>
        <v>6713.6073359828752</v>
      </c>
      <c r="AJ51" s="79">
        <f>Model!BO525</f>
        <v>6701.0724439693104</v>
      </c>
      <c r="AK51" s="79">
        <f>Model!BP525</f>
        <v>6928.0811587323205</v>
      </c>
      <c r="AL51" s="79">
        <f>Model!BQ525</f>
        <v>6915.5301613732972</v>
      </c>
      <c r="AN51" s="79">
        <f>Model!CR525</f>
        <v>9928</v>
      </c>
      <c r="AO51" s="79">
        <f>Model!CS525</f>
        <v>9329</v>
      </c>
      <c r="AP51" s="79">
        <f>Model!CT525</f>
        <v>8571</v>
      </c>
      <c r="AQ51" s="79">
        <f>Model!CU525</f>
        <v>9592</v>
      </c>
      <c r="AR51" s="79">
        <f>Model!CV525</f>
        <v>10181</v>
      </c>
      <c r="AS51" s="79">
        <f>Model!CW525</f>
        <v>10771</v>
      </c>
      <c r="AT51" s="79">
        <f>Model!CX525</f>
        <v>9998</v>
      </c>
      <c r="AU51" s="79">
        <f>Model!CY525</f>
        <v>9394</v>
      </c>
      <c r="AV51" s="80">
        <f>Model!CZ525</f>
        <v>10115.999999999998</v>
      </c>
      <c r="AW51" s="79">
        <f>Model!DA525</f>
        <v>10992.684063830737</v>
      </c>
      <c r="AX51" s="79">
        <f>Model!DB525</f>
        <v>11505.49158104868</v>
      </c>
      <c r="AY51" s="79">
        <f>Model!DC525</f>
        <v>11752.710388234093</v>
      </c>
      <c r="AZ51" s="79">
        <f>Model!DD525</f>
        <v>12423.410290359341</v>
      </c>
      <c r="BA51" s="79">
        <f>Model!DE525</f>
        <v>12886.002328650462</v>
      </c>
      <c r="BB51" s="79">
        <f>Model!DF525</f>
        <v>12921.743582529321</v>
      </c>
      <c r="BC51" s="79">
        <f>Model!DG525</f>
        <v>13034.089249167289</v>
      </c>
      <c r="BD51" s="79">
        <f>Model!DH525</f>
        <v>13414.679779952185</v>
      </c>
      <c r="BE51" s="79">
        <f>Model!DI525</f>
        <v>13843.611320105618</v>
      </c>
    </row>
    <row r="52" spans="2:57" ht="15.95" customHeight="1">
      <c r="T52" s="854"/>
      <c r="AS52" s="874"/>
      <c r="AT52" s="874"/>
      <c r="AU52" s="874"/>
      <c r="AV52" s="875"/>
      <c r="AW52" s="874"/>
    </row>
    <row r="53" spans="2:57" ht="15.95" customHeight="1">
      <c r="B53" s="853" t="s">
        <v>2706</v>
      </c>
      <c r="T53" s="854"/>
      <c r="AW53" s="874"/>
    </row>
    <row r="54" spans="2:57" ht="15.95" customHeight="1">
      <c r="B54" s="852" t="s">
        <v>2743</v>
      </c>
      <c r="C54" s="860">
        <f>Model!AH730</f>
        <v>2.8135198135198136</v>
      </c>
      <c r="D54" s="860">
        <f>Model!AI730</f>
        <v>2.7998839907192576</v>
      </c>
      <c r="E54" s="860">
        <f>Model!AJ730</f>
        <v>2.642528735632184</v>
      </c>
      <c r="F54" s="860">
        <f>Model!AK730</f>
        <v>2.4612314709236034</v>
      </c>
      <c r="G54" s="860">
        <f>Model!AL730</f>
        <v>2.5596104120084822</v>
      </c>
      <c r="H54" s="860">
        <f>Model!AM730</f>
        <v>2.0963294763307232</v>
      </c>
      <c r="I54" s="860">
        <f>Model!AN730</f>
        <v>2.4460146975692481</v>
      </c>
      <c r="J54" s="860">
        <f>Model!AO730</f>
        <v>1.6382136800452234</v>
      </c>
      <c r="K54" s="860">
        <f>Model!AP730</f>
        <v>2.1853107344632767</v>
      </c>
      <c r="L54" s="860">
        <f>Model!AQ730</f>
        <v>2.7003386004514671</v>
      </c>
      <c r="M54" s="861">
        <f>Model!AR730</f>
        <v>2.7275862068965515</v>
      </c>
      <c r="N54" s="861">
        <f>Model!AS730</f>
        <v>2.845657276995305</v>
      </c>
      <c r="O54" s="861">
        <f>Model!AT730</f>
        <v>3.056047197640118</v>
      </c>
      <c r="P54" s="861">
        <f>Model!AU730</f>
        <v>2.9032640949554898</v>
      </c>
      <c r="Q54" s="861">
        <f>Model!AV730</f>
        <v>2.9982078853046596</v>
      </c>
      <c r="R54" s="861">
        <f>Model!AW730</f>
        <v>2.8792588164973103</v>
      </c>
      <c r="S54" s="861">
        <f>Model!AX730</f>
        <v>3.0693779904306222</v>
      </c>
      <c r="T54" s="862">
        <f>Model!AY730</f>
        <v>3.0622009569377981</v>
      </c>
      <c r="U54" s="861">
        <f>Model!AZ730</f>
        <v>3.2565789473684212</v>
      </c>
      <c r="V54" s="861">
        <f>Model!BA730</f>
        <v>3.3643602855503421</v>
      </c>
      <c r="W54" s="861">
        <f>Model!BB730</f>
        <v>3.451402689551009</v>
      </c>
      <c r="X54" s="861">
        <f>Model!BC730</f>
        <v>3.459167793579172</v>
      </c>
      <c r="Y54" s="861">
        <f>Model!BD730</f>
        <v>3.5012400238140935</v>
      </c>
      <c r="Z54" s="861">
        <f>Model!BE730</f>
        <v>3.6166279110201796</v>
      </c>
      <c r="AA54" s="861">
        <f>Model!BF730</f>
        <v>3.7493238207442463</v>
      </c>
      <c r="AB54" s="861">
        <f>Model!BG730</f>
        <v>3.8255475708357549</v>
      </c>
      <c r="AC54" s="861">
        <f>Model!BH730</f>
        <v>3.9256241846807143</v>
      </c>
      <c r="AD54" s="861">
        <f>Model!BI730</f>
        <v>3.938607140411337</v>
      </c>
      <c r="AE54" s="861">
        <f>Model!BJ730</f>
        <v>3.9768472909581001</v>
      </c>
      <c r="AF54" s="861">
        <f>Model!BK730</f>
        <v>3.909196655394096</v>
      </c>
      <c r="AG54" s="861">
        <f>Model!BL730</f>
        <v>3.9787855081783698</v>
      </c>
      <c r="AH54" s="861">
        <f>Model!BM730</f>
        <v>3.9758221624600067</v>
      </c>
      <c r="AI54" s="861">
        <f>Model!BN730</f>
        <v>4.0972645952900226</v>
      </c>
      <c r="AJ54" s="861">
        <f>Model!BO730</f>
        <v>4.0896146439773062</v>
      </c>
      <c r="AK54" s="861">
        <f>Model!BP730</f>
        <v>4.228156373225552</v>
      </c>
      <c r="AL54" s="861">
        <f>Model!BQ730</f>
        <v>4.2204965929403562</v>
      </c>
      <c r="AM54" s="861"/>
      <c r="AN54" s="861">
        <f>Model!CR730</f>
        <v>5.6132647990162656</v>
      </c>
      <c r="AO54" s="861">
        <f>Model!CS730</f>
        <v>5.1030337721808818</v>
      </c>
      <c r="AP54" s="861">
        <f>Model!CT730</f>
        <v>4.6551528878822195</v>
      </c>
      <c r="AQ54" s="861">
        <f>Model!CU730</f>
        <v>4.0842283776144717</v>
      </c>
      <c r="AR54" s="861">
        <f>Model!CV730</f>
        <v>4.8859401468097117</v>
      </c>
      <c r="AS54" s="861">
        <f>Model!CW730</f>
        <v>5.5720092915214865</v>
      </c>
      <c r="AT54" s="861">
        <f>Model!CX730</f>
        <v>5.9597633136094679</v>
      </c>
      <c r="AU54" s="861">
        <f>Model!CY730</f>
        <v>5.8792588164973099</v>
      </c>
      <c r="AV54" s="862">
        <f>Model!CZ730</f>
        <v>6.1315789473684212</v>
      </c>
      <c r="AW54" s="861">
        <f>Model!DA730</f>
        <v>6.620941479503661</v>
      </c>
      <c r="AX54" s="861">
        <f>Model!DB730</f>
        <v>6.9106757534050773</v>
      </c>
      <c r="AY54" s="861">
        <f>Model!DC730</f>
        <v>7.1177158852006777</v>
      </c>
      <c r="AZ54" s="861">
        <f>Model!DD730</f>
        <v>7.5748582869478245</v>
      </c>
      <c r="BA54" s="861">
        <f>Model!DE730</f>
        <v>7.8642313250920495</v>
      </c>
      <c r="BB54" s="860">
        <f>Model!DF730</f>
        <v>7.8860439463521983</v>
      </c>
      <c r="BC54" s="860">
        <f>Model!DG730</f>
        <v>7.954607670638377</v>
      </c>
      <c r="BD54" s="860">
        <f>Model!DH730</f>
        <v>8.1868792392673271</v>
      </c>
      <c r="BE54" s="860">
        <f>Model!DI730</f>
        <v>8.4486529661659073</v>
      </c>
    </row>
    <row r="55" spans="2:57" ht="15.95" customHeight="1">
      <c r="B55" s="852" t="s">
        <v>2744</v>
      </c>
      <c r="C55" s="860">
        <f>Model!AH732</f>
        <v>2.7293857221914775</v>
      </c>
      <c r="D55" s="860">
        <f>Model!AI732</f>
        <v>2.7193175564116676</v>
      </c>
      <c r="E55" s="860">
        <f>Model!AJ732</f>
        <v>2.5632121540965818</v>
      </c>
      <c r="F55" s="860">
        <f>Model!AK732</f>
        <v>2.3877878950187466</v>
      </c>
      <c r="G55" s="860">
        <f>Model!AL732</f>
        <v>2.4642407353190912</v>
      </c>
      <c r="H55" s="860">
        <f>Model!AM732</f>
        <v>2.0328284290526297</v>
      </c>
      <c r="I55" s="860">
        <f>Model!AN732</f>
        <v>2.3681144067796609</v>
      </c>
      <c r="J55" s="860">
        <f>Model!AO732</f>
        <v>1.5970619097586569</v>
      </c>
      <c r="K55" s="860">
        <f>Model!AP732</f>
        <v>2.0704663212435235</v>
      </c>
      <c r="L55" s="860">
        <f>Model!AQ732</f>
        <v>2.5716527196652721</v>
      </c>
      <c r="M55" s="861">
        <f>Model!AR732</f>
        <v>2.6305285868392665</v>
      </c>
      <c r="N55" s="861">
        <f>Model!AS732</f>
        <v>2.7398015435501653</v>
      </c>
      <c r="O55" s="861">
        <f>Model!AT732</f>
        <v>2.9668691330756487</v>
      </c>
      <c r="P55" s="861">
        <f>Model!AU732</f>
        <v>2.877952755905512</v>
      </c>
      <c r="Q55" s="861">
        <f>Model!AV732</f>
        <v>2.9670022371364655</v>
      </c>
      <c r="R55" s="861">
        <f>Model!AW732</f>
        <v>2.8740824392998308</v>
      </c>
      <c r="S55" s="861">
        <f>Model!AX732</f>
        <v>3.0657108721624851</v>
      </c>
      <c r="T55" s="862">
        <f>Model!AY732</f>
        <v>3.0567164179104465</v>
      </c>
      <c r="U55" s="861">
        <f>Model!AZ732</f>
        <v>3.252688172043011</v>
      </c>
      <c r="V55" s="861">
        <f>Model!BA732</f>
        <v>3.3603407392115723</v>
      </c>
      <c r="W55" s="861">
        <f>Model!BB732</f>
        <v>3.4472791498980206</v>
      </c>
      <c r="X55" s="861">
        <f>Model!BC732</f>
        <v>3.4550349766214907</v>
      </c>
      <c r="Y55" s="861">
        <f>Model!BD732</f>
        <v>3.4970569413483656</v>
      </c>
      <c r="Z55" s="861">
        <f>Model!BE732</f>
        <v>3.612306969668901</v>
      </c>
      <c r="AA55" s="861">
        <f>Model!BF732</f>
        <v>3.7448443418664152</v>
      </c>
      <c r="AB55" s="861">
        <f>Model!BG732</f>
        <v>3.8209770241561425</v>
      </c>
      <c r="AC55" s="861">
        <f>Model!BH732</f>
        <v>3.9209340721542141</v>
      </c>
      <c r="AD55" s="861">
        <f>Model!BI732</f>
        <v>3.9339015165876674</v>
      </c>
      <c r="AE55" s="861">
        <f>Model!BJ732</f>
        <v>3.9720959799772664</v>
      </c>
      <c r="AF55" s="861">
        <f>Model!BK732</f>
        <v>3.9045261695453579</v>
      </c>
      <c r="AG55" s="861">
        <f>Model!BL732</f>
        <v>3.9740318815258271</v>
      </c>
      <c r="AH55" s="861">
        <f>Model!BM732</f>
        <v>3.9710720762444036</v>
      </c>
      <c r="AI55" s="861">
        <f>Model!BN732</f>
        <v>4.0923694165620779</v>
      </c>
      <c r="AJ55" s="861">
        <f>Model!BO732</f>
        <v>4.0847286049761387</v>
      </c>
      <c r="AK55" s="861">
        <f>Model!BP732</f>
        <v>4.2231048124451149</v>
      </c>
      <c r="AL55" s="861">
        <f>Model!BQ732</f>
        <v>4.2154541836297943</v>
      </c>
      <c r="AM55" s="861"/>
      <c r="AN55" s="861">
        <f>Model!CR732</f>
        <v>5.4336818932305997</v>
      </c>
      <c r="AO55" s="861">
        <f>Model!CS732</f>
        <v>4.9406368051807883</v>
      </c>
      <c r="AP55" s="861">
        <f>Model!CT732</f>
        <v>4.5015806111696524</v>
      </c>
      <c r="AQ55" s="861">
        <f>Model!CU732</f>
        <v>3.9656992084432718</v>
      </c>
      <c r="AR55" s="861">
        <f>Model!CV732</f>
        <v>4.6085832471561528</v>
      </c>
      <c r="AS55" s="861">
        <f>Model!CW732</f>
        <v>5.3720676486633936</v>
      </c>
      <c r="AT55" s="861">
        <f>Model!CX732</f>
        <v>5.8277777777777775</v>
      </c>
      <c r="AU55" s="861">
        <f>Model!CY732</f>
        <v>5.8267937219730941</v>
      </c>
      <c r="AV55" s="862">
        <f>Model!CZ732</f>
        <v>6.122409578628063</v>
      </c>
      <c r="AW55" s="861">
        <f>Model!DA732</f>
        <v>6.6130311551553884</v>
      </c>
      <c r="AX55" s="861">
        <f>Model!DB732</f>
        <v>6.9024192710234704</v>
      </c>
      <c r="AY55" s="861">
        <f>Model!DC732</f>
        <v>7.1092120430439261</v>
      </c>
      <c r="AZ55" s="861">
        <f>Model!DD732</f>
        <v>7.5658082770470516</v>
      </c>
      <c r="BA55" s="861">
        <f>Model!DE732</f>
        <v>7.8548355887418797</v>
      </c>
      <c r="BB55" s="860">
        <f>Model!DF732</f>
        <v>7.8766221495226265</v>
      </c>
      <c r="BC55" s="860">
        <f>Model!DG732</f>
        <v>7.9451039577702307</v>
      </c>
      <c r="BD55" s="860">
        <f>Model!DH732</f>
        <v>8.1770980215382139</v>
      </c>
      <c r="BE55" s="860">
        <f>Model!DI732</f>
        <v>8.4385589960749083</v>
      </c>
    </row>
    <row r="56" spans="2:57" ht="15.95" customHeight="1">
      <c r="B56" s="852" t="s">
        <v>621</v>
      </c>
      <c r="C56" s="860">
        <f>Model!AH735</f>
        <v>1.99</v>
      </c>
      <c r="D56" s="860">
        <f>Model!AI735</f>
        <v>2.2999999999999998</v>
      </c>
      <c r="E56" s="860">
        <f>Model!AJ735</f>
        <v>2</v>
      </c>
      <c r="F56" s="860">
        <f>Model!AK735</f>
        <v>2.31</v>
      </c>
      <c r="G56" s="860">
        <f>Model!AL735</f>
        <v>2</v>
      </c>
      <c r="H56" s="860">
        <f>Model!AM735</f>
        <v>2.31</v>
      </c>
      <c r="I56" s="860">
        <f>Model!AN735</f>
        <v>2</v>
      </c>
      <c r="J56" s="860">
        <f>Model!AO735</f>
        <v>0.98</v>
      </c>
      <c r="K56" s="860">
        <f>Model!AP735</f>
        <v>1.5</v>
      </c>
      <c r="L56" s="860">
        <f>Model!AQ735</f>
        <v>2</v>
      </c>
      <c r="M56" s="861">
        <f>Model!AR735</f>
        <v>1.75</v>
      </c>
      <c r="N56" s="861">
        <f>Model!AS735</f>
        <v>2.1</v>
      </c>
      <c r="O56" s="861">
        <f>Model!AT735</f>
        <v>2.1</v>
      </c>
      <c r="P56" s="861">
        <f>Model!AU735</f>
        <v>2.4</v>
      </c>
      <c r="Q56" s="861">
        <f>Model!AV735</f>
        <v>2.15</v>
      </c>
      <c r="R56" s="861">
        <f>Model!AW735</f>
        <v>2.5</v>
      </c>
      <c r="S56" s="861">
        <f>Model!AX735</f>
        <v>2.25</v>
      </c>
      <c r="T56" s="862">
        <f>Model!AY735</f>
        <v>2.6</v>
      </c>
      <c r="U56" s="861">
        <f>Model!AZ735</f>
        <v>2.35</v>
      </c>
      <c r="V56" s="861">
        <f>Model!BA735</f>
        <v>2.65</v>
      </c>
      <c r="W56" s="861">
        <f>Model!BB735</f>
        <v>2.4</v>
      </c>
      <c r="X56" s="861">
        <f>Model!BC735</f>
        <v>2.7</v>
      </c>
      <c r="Y56" s="861">
        <f>Model!BD735</f>
        <v>2.4499999999999997</v>
      </c>
      <c r="Z56" s="861">
        <f>Model!BE735</f>
        <v>2.8</v>
      </c>
      <c r="AA56" s="861">
        <f>Model!BF735</f>
        <v>2.5999999999999996</v>
      </c>
      <c r="AB56" s="861">
        <f>Model!BG735</f>
        <v>2.9499999999999997</v>
      </c>
      <c r="AC56" s="861">
        <f>Model!BH735</f>
        <v>2.7499999999999996</v>
      </c>
      <c r="AD56" s="861">
        <f>Model!BI735</f>
        <v>3.0999999999999996</v>
      </c>
      <c r="AE56" s="861">
        <f>Model!BJ735</f>
        <v>2.7999999999999994</v>
      </c>
      <c r="AF56" s="861">
        <f>Model!BK735</f>
        <v>3.1499999999999995</v>
      </c>
      <c r="AG56" s="861">
        <f>Model!BL735</f>
        <v>2.8499999999999992</v>
      </c>
      <c r="AH56" s="861">
        <f>Model!BM735</f>
        <v>3.1999999999999993</v>
      </c>
      <c r="AI56" s="861">
        <f>Model!BN735</f>
        <v>2.899999999999999</v>
      </c>
      <c r="AJ56" s="861">
        <f>Model!BO735</f>
        <v>3.2499999999999991</v>
      </c>
      <c r="AK56" s="861">
        <f>Model!BP735</f>
        <v>2.9499999999999988</v>
      </c>
      <c r="AL56" s="861">
        <f>Model!BQ735</f>
        <v>3.2999999999999989</v>
      </c>
      <c r="AM56" s="861"/>
      <c r="AN56" s="861">
        <f>Model!CR735</f>
        <v>4.29</v>
      </c>
      <c r="AO56" s="861">
        <f>Model!CS735</f>
        <v>4.3100000000000005</v>
      </c>
      <c r="AP56" s="861">
        <f>Model!CT735</f>
        <v>4.3100000000000005</v>
      </c>
      <c r="AQ56" s="861">
        <f>Model!CU735</f>
        <v>2.98</v>
      </c>
      <c r="AR56" s="861">
        <f>Model!CV735</f>
        <v>3.5</v>
      </c>
      <c r="AS56" s="861">
        <f>Model!CW735</f>
        <v>3.85</v>
      </c>
      <c r="AT56" s="861">
        <f>Model!CX735</f>
        <v>4.5</v>
      </c>
      <c r="AU56" s="861">
        <f>Model!CY735</f>
        <v>4.6500000000000004</v>
      </c>
      <c r="AV56" s="862">
        <f>Model!CZ735</f>
        <v>4.8499999999999996</v>
      </c>
      <c r="AW56" s="861">
        <f>Model!DA735</f>
        <v>5</v>
      </c>
      <c r="AX56" s="861">
        <f>Model!DB735</f>
        <v>5.0999999999999996</v>
      </c>
      <c r="AY56" s="861">
        <f>Model!DC735</f>
        <v>5.25</v>
      </c>
      <c r="AZ56" s="861">
        <f>Model!DD735</f>
        <v>5.5499999999999989</v>
      </c>
      <c r="BA56" s="861">
        <f>Model!DE735</f>
        <v>5.85</v>
      </c>
      <c r="BB56" s="860">
        <f>Model!DF735</f>
        <v>5.9499999999999993</v>
      </c>
      <c r="BC56" s="860">
        <f>Model!DG735</f>
        <v>6.0499999999999989</v>
      </c>
      <c r="BD56" s="860">
        <f>Model!DH735</f>
        <v>6.1499999999999986</v>
      </c>
      <c r="BE56" s="860">
        <f>Model!DI735</f>
        <v>6.2499999999999982</v>
      </c>
    </row>
    <row r="57" spans="2:57" ht="15.95" customHeight="1">
      <c r="C57" s="860"/>
      <c r="D57" s="860"/>
      <c r="E57" s="860"/>
      <c r="F57" s="860"/>
      <c r="G57" s="860"/>
      <c r="H57" s="860"/>
      <c r="I57" s="860"/>
      <c r="J57" s="860"/>
      <c r="K57" s="860"/>
      <c r="L57" s="860"/>
      <c r="M57" s="861"/>
      <c r="N57" s="861"/>
      <c r="O57" s="861"/>
      <c r="P57" s="861"/>
      <c r="Q57" s="861"/>
      <c r="R57" s="861"/>
      <c r="S57" s="861"/>
      <c r="T57" s="862"/>
      <c r="U57" s="861"/>
      <c r="V57" s="861"/>
      <c r="W57" s="861"/>
      <c r="X57" s="861"/>
      <c r="Y57" s="861"/>
      <c r="Z57" s="861"/>
      <c r="AA57" s="861"/>
      <c r="AB57" s="861"/>
      <c r="AC57" s="861"/>
      <c r="AD57" s="861"/>
      <c r="AE57" s="861"/>
      <c r="AF57" s="861"/>
      <c r="AG57" s="861"/>
      <c r="AH57" s="861"/>
      <c r="AI57" s="861"/>
      <c r="AJ57" s="861"/>
      <c r="AK57" s="861"/>
      <c r="AL57" s="861"/>
      <c r="AM57" s="861"/>
      <c r="AN57" s="861"/>
      <c r="AO57" s="861"/>
      <c r="AP57" s="861"/>
      <c r="AQ57" s="861"/>
      <c r="AR57" s="861"/>
      <c r="AS57" s="861"/>
      <c r="AT57" s="861"/>
      <c r="AU57" s="861"/>
      <c r="AV57" s="862"/>
      <c r="AW57" s="861"/>
      <c r="AX57" s="861"/>
      <c r="AY57" s="861"/>
      <c r="AZ57" s="861"/>
      <c r="BA57" s="861"/>
      <c r="BB57" s="860"/>
      <c r="BC57" s="860"/>
      <c r="BD57" s="860"/>
      <c r="BE57" s="860"/>
    </row>
    <row r="58" spans="2:57" ht="15.95" customHeight="1">
      <c r="B58" s="853" t="s">
        <v>1515</v>
      </c>
      <c r="C58" s="860"/>
      <c r="D58" s="860"/>
      <c r="E58" s="860"/>
      <c r="F58" s="860"/>
      <c r="G58" s="860"/>
      <c r="H58" s="860"/>
      <c r="I58" s="860"/>
      <c r="J58" s="860"/>
      <c r="K58" s="860"/>
      <c r="L58" s="860"/>
      <c r="M58" s="861"/>
      <c r="N58" s="861"/>
      <c r="O58" s="861"/>
      <c r="P58" s="861"/>
      <c r="Q58" s="861"/>
      <c r="R58" s="861"/>
      <c r="S58" s="861"/>
      <c r="T58" s="862"/>
      <c r="U58" s="861"/>
      <c r="V58" s="861"/>
      <c r="W58" s="861"/>
      <c r="X58" s="861"/>
      <c r="Y58" s="861"/>
      <c r="Z58" s="861"/>
      <c r="AA58" s="861"/>
      <c r="AB58" s="861"/>
      <c r="AC58" s="861"/>
      <c r="AD58" s="861"/>
      <c r="AE58" s="861"/>
      <c r="AF58" s="861"/>
      <c r="AG58" s="861"/>
      <c r="AH58" s="861"/>
      <c r="AI58" s="861"/>
      <c r="AJ58" s="861"/>
      <c r="AK58" s="861"/>
      <c r="AL58" s="861"/>
      <c r="AM58" s="861"/>
      <c r="AN58" s="861"/>
      <c r="AO58" s="861"/>
      <c r="AP58" s="861"/>
      <c r="AQ58" s="861"/>
      <c r="AR58" s="861"/>
      <c r="AS58" s="861"/>
      <c r="AT58" s="861"/>
      <c r="AU58" s="861"/>
      <c r="AV58" s="862"/>
      <c r="AW58" s="861"/>
      <c r="AX58" s="861"/>
      <c r="AY58" s="861"/>
      <c r="AZ58" s="861"/>
      <c r="BA58" s="861"/>
      <c r="BB58" s="860"/>
      <c r="BC58" s="860"/>
      <c r="BD58" s="860"/>
      <c r="BE58" s="860"/>
    </row>
    <row r="59" spans="2:57" ht="15.95" customHeight="1">
      <c r="B59" s="852" t="s">
        <v>2745</v>
      </c>
      <c r="C59" s="855">
        <f>Model!AH178</f>
        <v>716694</v>
      </c>
      <c r="D59" s="855">
        <f>Model!AI178</f>
        <v>735455</v>
      </c>
      <c r="E59" s="855">
        <f>Model!AJ178</f>
        <v>740039</v>
      </c>
      <c r="F59" s="855">
        <f>Model!AK178</f>
        <v>746970</v>
      </c>
      <c r="G59" s="855">
        <f>Model!AL178</f>
        <v>758234</v>
      </c>
      <c r="H59" s="855">
        <f>Model!AM178</f>
        <v>759888</v>
      </c>
      <c r="I59" s="855">
        <f>Model!AN178</f>
        <v>770403</v>
      </c>
      <c r="J59" s="855">
        <f>Model!AO178</f>
        <v>779224</v>
      </c>
      <c r="K59" s="855">
        <f>Model!AP178</f>
        <v>793621</v>
      </c>
      <c r="L59" s="855">
        <f>Model!AQ178</f>
        <v>817456</v>
      </c>
      <c r="M59" s="855">
        <f>Model!AR178</f>
        <v>849704</v>
      </c>
      <c r="N59" s="855">
        <f>Model!AS178</f>
        <v>884084</v>
      </c>
      <c r="O59" s="855">
        <f>Model!AT178</f>
        <v>911728</v>
      </c>
      <c r="P59" s="855">
        <f>Model!AU178</f>
        <v>931873</v>
      </c>
      <c r="Q59" s="855">
        <f>Model!AV178</f>
        <v>927999</v>
      </c>
      <c r="R59" s="855">
        <f>Model!AW178</f>
        <v>948122</v>
      </c>
      <c r="S59" s="855">
        <f>Model!AX178</f>
        <v>975433</v>
      </c>
      <c r="T59" s="856">
        <f>Model!AY178</f>
        <v>1013929</v>
      </c>
      <c r="U59" s="855">
        <f>Model!AZ178</f>
        <v>1047026</v>
      </c>
      <c r="V59" s="855">
        <f>Model!BA178</f>
        <v>1089534.2353338602</v>
      </c>
      <c r="W59" s="855">
        <f>Model!BB178</f>
        <v>1116654.2685778351</v>
      </c>
      <c r="X59" s="855">
        <f>Model!BC178</f>
        <v>1146268.1196182598</v>
      </c>
      <c r="Y59" s="855">
        <f>Model!BD178</f>
        <v>1174171.0109727851</v>
      </c>
      <c r="Z59" s="855">
        <f>Model!BE178</f>
        <v>1201880.2015844183</v>
      </c>
      <c r="AA59" s="855">
        <f>Model!BF178</f>
        <v>1230395.2414396463</v>
      </c>
      <c r="AB59" s="855">
        <f>Model!BG178</f>
        <v>1256586.6626745607</v>
      </c>
      <c r="AC59" s="855">
        <f>Model!BH178</f>
        <v>1283494.5217802424</v>
      </c>
      <c r="AD59" s="855">
        <f>Model!BI178</f>
        <v>1306972.9722164485</v>
      </c>
      <c r="AE59" s="855">
        <f>Model!BJ178</f>
        <v>1330998.3050450103</v>
      </c>
      <c r="AF59" s="855">
        <f>Model!BK178</f>
        <v>1357166.8944526939</v>
      </c>
      <c r="AG59" s="855">
        <f>Model!BL178</f>
        <v>1383854.7630887353</v>
      </c>
      <c r="AH59" s="855">
        <f>Model!BM178</f>
        <v>1411072.2696241303</v>
      </c>
      <c r="AI59" s="855">
        <f>Model!BN178</f>
        <v>1438829.9799868825</v>
      </c>
      <c r="AJ59" s="855">
        <f>Model!BO178</f>
        <v>1467138.6715160073</v>
      </c>
      <c r="AK59" s="855">
        <f>Model!BP178</f>
        <v>1496009.3371988763</v>
      </c>
      <c r="AL59" s="855">
        <f>Model!BQ178</f>
        <v>1525453.1899935794</v>
      </c>
      <c r="AN59" s="855">
        <f>Model!CR178</f>
        <v>735455</v>
      </c>
      <c r="AO59" s="855">
        <f>Model!CS178</f>
        <v>746970</v>
      </c>
      <c r="AP59" s="855">
        <f>Model!CT178</f>
        <v>759888</v>
      </c>
      <c r="AQ59" s="855">
        <f>Model!CU178</f>
        <v>779224</v>
      </c>
      <c r="AR59" s="855">
        <f>Model!CV178</f>
        <v>817456</v>
      </c>
      <c r="AS59" s="855">
        <f>Model!CW178</f>
        <v>884084</v>
      </c>
      <c r="AT59" s="855">
        <f>Model!CX178</f>
        <v>931873</v>
      </c>
      <c r="AU59" s="855">
        <f>Model!CY178</f>
        <v>948122</v>
      </c>
      <c r="AV59" s="856">
        <f>Model!CZ178</f>
        <v>1013929</v>
      </c>
      <c r="AW59" s="855">
        <f>Model!DA178</f>
        <v>1089534.2353338602</v>
      </c>
      <c r="AX59" s="855">
        <f>Model!DB178</f>
        <v>1146268.1196182598</v>
      </c>
      <c r="AY59" s="855">
        <f>Model!DC178</f>
        <v>1201880.2015844183</v>
      </c>
      <c r="AZ59" s="855">
        <f>Model!DD178</f>
        <v>1256586.6626745607</v>
      </c>
      <c r="BA59" s="855">
        <f>Model!DE178</f>
        <v>1306972.9722164485</v>
      </c>
      <c r="BB59" s="855">
        <f>Model!DF178</f>
        <v>1357166.8944526939</v>
      </c>
      <c r="BC59" s="855">
        <f>Model!DG178</f>
        <v>1411072.2696241303</v>
      </c>
      <c r="BD59" s="855">
        <f>Model!DH178</f>
        <v>1467138.6715160073</v>
      </c>
      <c r="BE59" s="855">
        <f>Model!DI178</f>
        <v>1525453.1899935794</v>
      </c>
    </row>
    <row r="60" spans="2:57" ht="15.95" customHeight="1" outlineLevel="1">
      <c r="B60" s="878" t="s">
        <v>2751</v>
      </c>
      <c r="C60" s="877"/>
      <c r="D60" s="877"/>
      <c r="E60" s="877"/>
      <c r="F60" s="877"/>
      <c r="G60" s="877"/>
      <c r="H60" s="877"/>
      <c r="I60" s="877"/>
      <c r="J60" s="877"/>
      <c r="K60" s="877"/>
      <c r="L60" s="877"/>
      <c r="M60" s="877"/>
      <c r="N60" s="879">
        <f>N59/M59-1</f>
        <v>4.046114882359042E-2</v>
      </c>
      <c r="O60" s="879">
        <f t="shared" ref="O60" si="162">O59/N59-1</f>
        <v>3.1268521995647447E-2</v>
      </c>
      <c r="P60" s="879">
        <f t="shared" ref="P60" si="163">P59/O59-1</f>
        <v>2.2095405647298394E-2</v>
      </c>
      <c r="Q60" s="879">
        <f t="shared" ref="Q60" si="164">Q59/P59-1</f>
        <v>-4.1572188484911843E-3</v>
      </c>
      <c r="R60" s="879">
        <f t="shared" ref="R60" si="165">R59/Q59-1</f>
        <v>2.1684290608071866E-2</v>
      </c>
      <c r="S60" s="879">
        <f t="shared" ref="S60" si="166">S59/R59-1</f>
        <v>2.88053647104487E-2</v>
      </c>
      <c r="T60" s="880">
        <f t="shared" ref="T60" si="167">T59/S59-1</f>
        <v>3.9465550171052133E-2</v>
      </c>
      <c r="U60" s="879">
        <f t="shared" ref="U60" si="168">U59/T59-1</f>
        <v>3.2642325054318411E-2</v>
      </c>
      <c r="V60" s="879">
        <f t="shared" ref="V60" si="169">V59/U59-1</f>
        <v>4.0599025557970903E-2</v>
      </c>
      <c r="W60" s="879">
        <f t="shared" ref="W60" si="170">W59/V59-1</f>
        <v>2.4891400714604162E-2</v>
      </c>
      <c r="X60" s="879">
        <f t="shared" ref="X60" si="171">X59/W59-1</f>
        <v>2.6520161050511026E-2</v>
      </c>
      <c r="Y60" s="879">
        <f t="shared" ref="Y60" si="172">Y59/X59-1</f>
        <v>2.4342377561558326E-2</v>
      </c>
      <c r="Z60" s="879">
        <f t="shared" ref="Z60" si="173">Z59/Y59-1</f>
        <v>2.3598939466812796E-2</v>
      </c>
      <c r="AA60" s="879">
        <f t="shared" ref="AA60" si="174">AA59/Z59-1</f>
        <v>2.3725359497258625E-2</v>
      </c>
      <c r="AB60" s="879">
        <f t="shared" ref="AB60" si="175">AB59/AA59-1</f>
        <v>2.1286998155380266E-2</v>
      </c>
      <c r="AC60" s="879">
        <f t="shared" ref="AC60" si="176">AC59/AB59-1</f>
        <v>2.141345273266726E-2</v>
      </c>
      <c r="AD60" s="879">
        <f t="shared" ref="AD60" si="177">AD59/AC59-1</f>
        <v>1.8292598868003607E-2</v>
      </c>
      <c r="AE60" s="879">
        <f t="shared" ref="AE60" si="178">AE59/AD59-1</f>
        <v>1.8382425145194947E-2</v>
      </c>
      <c r="AF60" s="879">
        <f t="shared" ref="AF60" si="179">AF59/AE59-1</f>
        <v>1.9660873577745486E-2</v>
      </c>
      <c r="AG60" s="879">
        <f t="shared" ref="AG60" si="180">AG59/AF59-1</f>
        <v>1.9664397020827673E-2</v>
      </c>
      <c r="AH60" s="879">
        <f t="shared" ref="AH60" si="181">AH59/AG59-1</f>
        <v>1.9667892369460871E-2</v>
      </c>
      <c r="AI60" s="879">
        <f t="shared" ref="AI60" si="182">AI59/AH59-1</f>
        <v>1.9671359830596202E-2</v>
      </c>
      <c r="AJ60" s="879">
        <f t="shared" ref="AJ60" si="183">AJ59/AI59-1</f>
        <v>1.9674799610015725E-2</v>
      </c>
      <c r="AK60" s="879">
        <f t="shared" ref="AK60" si="184">AK59/AJ59-1</f>
        <v>1.9678211912331767E-2</v>
      </c>
      <c r="AL60" s="879">
        <f t="shared" ref="AL60" si="185">AL59/AK59-1</f>
        <v>1.9681596940988033E-2</v>
      </c>
      <c r="AM60" s="879"/>
      <c r="AN60" s="879" t="e">
        <f t="shared" ref="AN60" si="186">AN59/AM59-1</f>
        <v>#DIV/0!</v>
      </c>
      <c r="AO60" s="879">
        <f t="shared" ref="AO60" si="187">AO59/AN59-1</f>
        <v>1.5656974254033118E-2</v>
      </c>
      <c r="AP60" s="879">
        <f t="shared" ref="AP60" si="188">AP59/AO59-1</f>
        <v>1.729386722358317E-2</v>
      </c>
      <c r="AQ60" s="879">
        <f t="shared" ref="AQ60" si="189">AQ59/AP59-1</f>
        <v>2.5445855178657828E-2</v>
      </c>
      <c r="AR60" s="879">
        <f t="shared" ref="AR60" si="190">AR59/AQ59-1</f>
        <v>4.906419720131816E-2</v>
      </c>
      <c r="AS60" s="879">
        <f t="shared" ref="AS60" si="191">AS59/AR59-1</f>
        <v>8.1506527568456333E-2</v>
      </c>
      <c r="AT60" s="879">
        <f t="shared" ref="AT60" si="192">AT59/AS59-1</f>
        <v>5.405481832043102E-2</v>
      </c>
      <c r="AU60" s="879">
        <f t="shared" ref="AU60" si="193">AU59/AT59-1</f>
        <v>1.7436925417948501E-2</v>
      </c>
      <c r="AV60" s="880">
        <f t="shared" ref="AV60" si="194">AV59/AU59-1</f>
        <v>6.9407734447676672E-2</v>
      </c>
      <c r="AW60" s="879">
        <f t="shared" ref="AW60" si="195">AW59/AV59-1</f>
        <v>7.456659720144132E-2</v>
      </c>
      <c r="AX60" s="879">
        <f t="shared" ref="AX60" si="196">AX59/AW59-1</f>
        <v>5.20716857208392E-2</v>
      </c>
      <c r="AY60" s="879">
        <f t="shared" ref="AY60" si="197">AY59/AX59-1</f>
        <v>4.8515771322924728E-2</v>
      </c>
      <c r="AZ60" s="879">
        <f t="shared" ref="AZ60" si="198">AZ59/AY59-1</f>
        <v>4.5517399336492792E-2</v>
      </c>
      <c r="BA60" s="879">
        <f t="shared" ref="BA60" si="199">BA59/AZ59-1</f>
        <v>4.0097759301888525E-2</v>
      </c>
      <c r="BB60" s="877"/>
      <c r="BC60" s="877"/>
      <c r="BD60" s="877"/>
      <c r="BE60" s="877"/>
    </row>
    <row r="61" spans="2:57" ht="15.95" customHeight="1">
      <c r="B61" s="852" t="s">
        <v>1553</v>
      </c>
      <c r="C61" s="855">
        <f>Model!AH204</f>
        <v>593076</v>
      </c>
      <c r="D61" s="855">
        <f>Model!AI204</f>
        <v>610385</v>
      </c>
      <c r="E61" s="855">
        <f>Model!AJ204</f>
        <v>612627</v>
      </c>
      <c r="F61" s="855">
        <f>Model!AK204</f>
        <v>607538</v>
      </c>
      <c r="G61" s="855">
        <f>Model!AL204</f>
        <v>618767</v>
      </c>
      <c r="H61" s="855">
        <f>Model!AM204</f>
        <v>616941</v>
      </c>
      <c r="I61" s="855">
        <f>Model!AN204</f>
        <v>642478</v>
      </c>
      <c r="J61" s="855">
        <f>Model!AO204</f>
        <v>685122</v>
      </c>
      <c r="K61" s="855">
        <f>Model!AP204</f>
        <v>721347</v>
      </c>
      <c r="L61" s="855">
        <f>Model!AQ204</f>
        <v>747063</v>
      </c>
      <c r="M61" s="855">
        <f>Model!AR204</f>
        <v>790967</v>
      </c>
      <c r="N61" s="855">
        <f>Model!AS204</f>
        <v>824422</v>
      </c>
      <c r="O61" s="855">
        <f>Model!AT204</f>
        <v>845271</v>
      </c>
      <c r="P61" s="855">
        <f>Model!AU204</f>
        <v>862696</v>
      </c>
      <c r="Q61" s="855">
        <f>Model!AV204</f>
        <v>870315</v>
      </c>
      <c r="R61" s="855">
        <f>Model!AW204</f>
        <v>882922</v>
      </c>
      <c r="S61" s="855">
        <f>Model!AX204</f>
        <v>902502</v>
      </c>
      <c r="T61" s="856">
        <f>Model!AY204</f>
        <v>937857</v>
      </c>
      <c r="U61" s="855">
        <f>Model!AZ204</f>
        <v>982534</v>
      </c>
      <c r="V61" s="855">
        <f>Model!BA204</f>
        <v>1010941.8909999999</v>
      </c>
      <c r="W61" s="855">
        <f>Model!BB204</f>
        <v>1036215.438275</v>
      </c>
      <c r="X61" s="855">
        <f>Model!BC204</f>
        <v>1062120.8242318749</v>
      </c>
      <c r="Y61" s="855">
        <f>Model!BD204</f>
        <v>1088673.8448376716</v>
      </c>
      <c r="Z61" s="855">
        <f>Model!BE204</f>
        <v>1115890.6909586133</v>
      </c>
      <c r="AA61" s="855">
        <f>Model!BF204</f>
        <v>1143787.9582325784</v>
      </c>
      <c r="AB61" s="855">
        <f>Model!BG204</f>
        <v>1172382.6571883927</v>
      </c>
      <c r="AC61" s="855">
        <f>Model!BH204</f>
        <v>1201692.2236181023</v>
      </c>
      <c r="AD61" s="855">
        <f>Model!BI204</f>
        <v>1222863.2900774197</v>
      </c>
      <c r="AE61" s="855">
        <f>Model!BJ204</f>
        <v>1244564.8568835929</v>
      </c>
      <c r="AF61" s="855">
        <f>Model!BK204</f>
        <v>1268953.8042537693</v>
      </c>
      <c r="AG61" s="855">
        <f>Model!BL204</f>
        <v>1293825.2696581453</v>
      </c>
      <c r="AH61" s="855">
        <f>Model!BM204</f>
        <v>1319188.8537681722</v>
      </c>
      <c r="AI61" s="855">
        <f>Model!BN204</f>
        <v>1345054.3489379641</v>
      </c>
      <c r="AJ61" s="855">
        <f>Model!BO204</f>
        <v>1371431.7430395172</v>
      </c>
      <c r="AK61" s="855">
        <f>Model!BP204</f>
        <v>1398331.2233747737</v>
      </c>
      <c r="AL61" s="855">
        <f>Model!BQ204</f>
        <v>1425763.1806660658</v>
      </c>
      <c r="AN61" s="855">
        <f>Model!CR204</f>
        <v>610385</v>
      </c>
      <c r="AO61" s="855">
        <f>Model!CS204</f>
        <v>607538</v>
      </c>
      <c r="AP61" s="855">
        <f>Model!CT204</f>
        <v>616941</v>
      </c>
      <c r="AQ61" s="855">
        <f>Model!CU204</f>
        <v>685122</v>
      </c>
      <c r="AR61" s="855">
        <f>Model!CV204</f>
        <v>747063</v>
      </c>
      <c r="AS61" s="855">
        <f>Model!CW204</f>
        <v>824422</v>
      </c>
      <c r="AT61" s="855">
        <f>Model!CX204</f>
        <v>862696</v>
      </c>
      <c r="AU61" s="855">
        <f>Model!CY204</f>
        <v>882922</v>
      </c>
      <c r="AV61" s="856">
        <f>Model!CZ204</f>
        <v>937857</v>
      </c>
      <c r="AW61" s="855">
        <f>Model!DA204</f>
        <v>1010941.8909999999</v>
      </c>
      <c r="AX61" s="855">
        <f>Model!DB204</f>
        <v>1062120.8242318749</v>
      </c>
      <c r="AY61" s="855">
        <f>Model!DC204</f>
        <v>1115890.6909586133</v>
      </c>
      <c r="AZ61" s="855">
        <f>Model!DD204</f>
        <v>1172382.6571883927</v>
      </c>
      <c r="BA61" s="855">
        <f>Model!DE204</f>
        <v>1222863.2900774197</v>
      </c>
      <c r="BB61" s="855">
        <f>Model!DF204</f>
        <v>1268953.8042537693</v>
      </c>
      <c r="BC61" s="855">
        <f>Model!DG204</f>
        <v>1319188.8537681722</v>
      </c>
      <c r="BD61" s="855">
        <f>Model!DH204</f>
        <v>1371431.7430395172</v>
      </c>
      <c r="BE61" s="855">
        <f>Model!DI204</f>
        <v>1425763.1806660658</v>
      </c>
    </row>
    <row r="62" spans="2:57" ht="15.95" customHeight="1">
      <c r="B62" s="852" t="s">
        <v>2746</v>
      </c>
      <c r="C62" s="855">
        <f>Model!AH613</f>
        <v>436481</v>
      </c>
      <c r="D62" s="855">
        <f>Model!AI613</f>
        <v>437063</v>
      </c>
      <c r="E62" s="855">
        <f>Model!AJ613</f>
        <v>440836</v>
      </c>
      <c r="F62" s="855">
        <f>Model!AK613</f>
        <v>458612</v>
      </c>
      <c r="G62" s="855">
        <f>Model!AL613</f>
        <v>445144</v>
      </c>
      <c r="H62" s="855">
        <f>Model!AM613</f>
        <v>452762</v>
      </c>
      <c r="I62" s="855">
        <f>Model!AN613</f>
        <v>449154</v>
      </c>
      <c r="J62" s="855">
        <f>Model!AO613</f>
        <v>454948</v>
      </c>
      <c r="K62" s="855">
        <f>Model!AP613</f>
        <v>453616</v>
      </c>
      <c r="L62" s="855">
        <f>Model!AQ613</f>
        <v>450680</v>
      </c>
      <c r="M62" s="855">
        <f>Model!AR613</f>
        <v>471927</v>
      </c>
      <c r="N62" s="855">
        <f>Model!AS613</f>
        <v>497892</v>
      </c>
      <c r="O62" s="855">
        <f>Model!AT613</f>
        <v>504380</v>
      </c>
      <c r="P62" s="855">
        <f>Model!AU613</f>
        <v>467992</v>
      </c>
      <c r="Q62" s="855">
        <f>Model!AV613</f>
        <v>463644</v>
      </c>
      <c r="R62" s="855">
        <f>Model!AW613</f>
        <v>467551</v>
      </c>
      <c r="S62" s="855">
        <f>Model!AX613</f>
        <v>482369</v>
      </c>
      <c r="T62" s="856">
        <f>Model!AY613</f>
        <v>496145</v>
      </c>
      <c r="U62" s="855">
        <f>Model!AZ613</f>
        <v>505310</v>
      </c>
      <c r="V62" s="855">
        <f>Model!BA613</f>
        <v>518234.12151094631</v>
      </c>
      <c r="W62" s="855">
        <f>Model!BB613</f>
        <v>523019.04880899587</v>
      </c>
      <c r="X62" s="855">
        <f>Model!BC613</f>
        <v>527565.19719904941</v>
      </c>
      <c r="Y62" s="855">
        <f>Model!BD613</f>
        <v>533740.5014964944</v>
      </c>
      <c r="Z62" s="855">
        <f>Model!BE613</f>
        <v>539746.22347784275</v>
      </c>
      <c r="AA62" s="855">
        <f>Model!BF613</f>
        <v>547794.07887515996</v>
      </c>
      <c r="AB62" s="855">
        <f>Model!BG613</f>
        <v>555331.82043711841</v>
      </c>
      <c r="AC62" s="855">
        <f>Model!BH613</f>
        <v>563439.86912961397</v>
      </c>
      <c r="AD62" s="855">
        <f>Model!BI613</f>
        <v>570876.10491962149</v>
      </c>
      <c r="AE62" s="855">
        <f>Model!BJ613</f>
        <v>580229.20145479531</v>
      </c>
      <c r="AF62" s="855">
        <f>Model!BK613</f>
        <v>590577.13428234181</v>
      </c>
      <c r="AG62" s="855">
        <f>Model!BL613</f>
        <v>601119.28817997617</v>
      </c>
      <c r="AH62" s="855">
        <f>Model!BM613</f>
        <v>611859.42076739471</v>
      </c>
      <c r="AI62" s="855">
        <f>Model!BN613</f>
        <v>622801.36361164378</v>
      </c>
      <c r="AJ62" s="855">
        <f>Model!BO613</f>
        <v>633949.02369596169</v>
      </c>
      <c r="AK62" s="855">
        <f>Model!BP613</f>
        <v>645306.38491794129</v>
      </c>
      <c r="AL62" s="855">
        <f>Model!BQ613</f>
        <v>656877.50961760664</v>
      </c>
      <c r="AN62" s="855">
        <f>Model!CR613</f>
        <v>437063</v>
      </c>
      <c r="AO62" s="855">
        <f>Model!CS613</f>
        <v>458612</v>
      </c>
      <c r="AP62" s="855">
        <f>Model!CT613</f>
        <v>452762</v>
      </c>
      <c r="AQ62" s="855">
        <f>Model!CU613</f>
        <v>454948</v>
      </c>
      <c r="AR62" s="855">
        <f>Model!CV613</f>
        <v>450680</v>
      </c>
      <c r="AS62" s="855">
        <f>Model!CW613</f>
        <v>497892</v>
      </c>
      <c r="AT62" s="855">
        <f>Model!CX613</f>
        <v>467992</v>
      </c>
      <c r="AU62" s="855">
        <f>Model!CY613</f>
        <v>467551</v>
      </c>
      <c r="AV62" s="856">
        <f>Model!CZ613</f>
        <v>496145</v>
      </c>
      <c r="AW62" s="855">
        <f>Model!DA613</f>
        <v>518234.12151094631</v>
      </c>
      <c r="AX62" s="855">
        <f>Model!DB613</f>
        <v>527565.19719904941</v>
      </c>
      <c r="AY62" s="855">
        <f>Model!DC613</f>
        <v>539746.22347784275</v>
      </c>
      <c r="AZ62" s="855">
        <f>Model!DD613</f>
        <v>555331.82043711841</v>
      </c>
      <c r="BA62" s="855">
        <f>Model!DE613</f>
        <v>570876.10491962149</v>
      </c>
      <c r="BB62" s="855">
        <f>Model!DF613</f>
        <v>590577.13428234181</v>
      </c>
      <c r="BC62" s="855">
        <f>Model!DG613</f>
        <v>611859.42076739471</v>
      </c>
      <c r="BD62" s="855">
        <f>Model!DH613</f>
        <v>633949.02369596169</v>
      </c>
      <c r="BE62" s="855">
        <f>Model!DI613</f>
        <v>656877.50961760664</v>
      </c>
    </row>
    <row r="63" spans="2:57" ht="15.95" customHeight="1">
      <c r="B63" s="852" t="s">
        <v>2747</v>
      </c>
      <c r="C63" s="855">
        <f>Model!AH538</f>
        <v>61205</v>
      </c>
      <c r="D63" s="855">
        <f>Model!AI538</f>
        <v>63114</v>
      </c>
      <c r="E63" s="855">
        <f>Model!AJ538</f>
        <v>65537</v>
      </c>
      <c r="F63" s="855">
        <f>Model!AK538</f>
        <v>67306</v>
      </c>
      <c r="G63" s="855">
        <f>Model!AL538</f>
        <v>68025</v>
      </c>
      <c r="H63" s="855">
        <f>Model!AM538</f>
        <v>69594</v>
      </c>
      <c r="I63" s="855">
        <f>Model!AN538</f>
        <v>71102</v>
      </c>
      <c r="J63" s="855">
        <f>Model!AO538</f>
        <v>71933</v>
      </c>
      <c r="K63" s="855">
        <f>Model!AP538</f>
        <v>74915</v>
      </c>
      <c r="L63" s="855">
        <f>Model!AQ538</f>
        <v>78713</v>
      </c>
      <c r="M63" s="855">
        <f>Model!AR538</f>
        <v>74658</v>
      </c>
      <c r="N63" s="855">
        <f>Model!AS538</f>
        <v>72833</v>
      </c>
      <c r="O63" s="855">
        <f>Model!AT538</f>
        <v>72538</v>
      </c>
      <c r="P63" s="855">
        <f>Model!AU538</f>
        <v>72538</v>
      </c>
      <c r="Q63" s="855">
        <f>Model!AV538</f>
        <v>72834</v>
      </c>
      <c r="R63" s="855">
        <f>Model!AW538</f>
        <v>73083</v>
      </c>
      <c r="S63" s="855">
        <f>Model!AX538</f>
        <v>75264</v>
      </c>
      <c r="T63" s="856">
        <f>Model!AY538</f>
        <v>78776</v>
      </c>
      <c r="U63" s="855">
        <f>Model!AZ538</f>
        <v>77232</v>
      </c>
      <c r="V63" s="855">
        <f>Model!BA538</f>
        <v>79480.078282640126</v>
      </c>
      <c r="W63" s="855">
        <f>Model!BB538</f>
        <v>79308.266996693652</v>
      </c>
      <c r="X63" s="855">
        <f>Model!BC538</f>
        <v>79731.280911012946</v>
      </c>
      <c r="Y63" s="855">
        <f>Model!BD538</f>
        <v>79723.128404927484</v>
      </c>
      <c r="Z63" s="855">
        <f>Model!BE538</f>
        <v>80251.911455016147</v>
      </c>
      <c r="AA63" s="855">
        <f>Model!BF538</f>
        <v>80421.604129395637</v>
      </c>
      <c r="AB63" s="855">
        <f>Model!BG538</f>
        <v>82306.897204458684</v>
      </c>
      <c r="AC63" s="855">
        <f>Model!BH538</f>
        <v>83788.28322303087</v>
      </c>
      <c r="AD63" s="855">
        <f>Model!BI538</f>
        <v>85624.373735476169</v>
      </c>
      <c r="AE63" s="855">
        <f>Model!BJ538</f>
        <v>86954.133318028704</v>
      </c>
      <c r="AF63" s="855">
        <f>Model!BK538</f>
        <v>88771.663648460613</v>
      </c>
      <c r="AG63" s="855">
        <f>Model!BL538</f>
        <v>90129.729790682031</v>
      </c>
      <c r="AH63" s="855">
        <f>Model!BM538</f>
        <v>91974.502821670569</v>
      </c>
      <c r="AI63" s="855">
        <f>Model!BN538</f>
        <v>93444.776783809531</v>
      </c>
      <c r="AJ63" s="855">
        <f>Model!BO538</f>
        <v>95394.078357732797</v>
      </c>
      <c r="AK63" s="855">
        <f>Model!BP538</f>
        <v>96996.899058654904</v>
      </c>
      <c r="AL63" s="855">
        <f>Model!BQ538</f>
        <v>99078.73126601585</v>
      </c>
      <c r="AN63" s="855">
        <f>Model!CR538</f>
        <v>63114</v>
      </c>
      <c r="AO63" s="855">
        <f>Model!CS538</f>
        <v>67306</v>
      </c>
      <c r="AP63" s="855">
        <f>Model!CT538</f>
        <v>69594</v>
      </c>
      <c r="AQ63" s="855">
        <f>Model!CU538</f>
        <v>71933</v>
      </c>
      <c r="AR63" s="855">
        <f>Model!CV538</f>
        <v>78713</v>
      </c>
      <c r="AS63" s="855">
        <f>Model!CW538</f>
        <v>72833</v>
      </c>
      <c r="AT63" s="855">
        <f>Model!CX538</f>
        <v>72538</v>
      </c>
      <c r="AU63" s="855">
        <f>Model!CY538</f>
        <v>73083</v>
      </c>
      <c r="AV63" s="856">
        <f>Model!CZ538</f>
        <v>78776</v>
      </c>
      <c r="AW63" s="855">
        <f>Model!DA538</f>
        <v>79480.078282640126</v>
      </c>
      <c r="AX63" s="855">
        <f>Model!DB538</f>
        <v>79731.280911012946</v>
      </c>
      <c r="AY63" s="855">
        <f>Model!DC538</f>
        <v>80251.911455016161</v>
      </c>
      <c r="AZ63" s="855">
        <f>Model!DD538</f>
        <v>82306.897204458684</v>
      </c>
      <c r="BA63" s="855">
        <f>Model!DE538</f>
        <v>85624.373735476169</v>
      </c>
      <c r="BB63" s="855">
        <f>Model!DF538</f>
        <v>88771.663648460613</v>
      </c>
      <c r="BC63" s="855">
        <f>Model!DG538</f>
        <v>91974.502821670569</v>
      </c>
      <c r="BD63" s="855">
        <f>Model!DH538</f>
        <v>95394.078357732797</v>
      </c>
      <c r="BE63" s="855">
        <f>Model!DI538</f>
        <v>99078.731266015835</v>
      </c>
    </row>
    <row r="64" spans="2:57" ht="15.95" customHeight="1">
      <c r="Q64" s="874"/>
      <c r="R64" s="874"/>
      <c r="S64" s="874"/>
      <c r="T64" s="875"/>
      <c r="U64" s="874"/>
      <c r="V64" s="874"/>
      <c r="AV64" s="875"/>
      <c r="AW64" s="874"/>
    </row>
    <row r="65" spans="2:59" ht="15.95" customHeight="1">
      <c r="B65" s="853" t="s">
        <v>721</v>
      </c>
      <c r="Q65" s="874"/>
      <c r="R65" s="874"/>
      <c r="S65" s="874"/>
      <c r="T65" s="875"/>
      <c r="U65" s="874"/>
      <c r="V65" s="874"/>
      <c r="AV65" s="875"/>
      <c r="AW65" s="874"/>
    </row>
    <row r="66" spans="2:59" ht="15.95" customHeight="1">
      <c r="B66" s="852" t="s">
        <v>2748</v>
      </c>
      <c r="C66" s="855">
        <f>Model!AH239</f>
        <v>823058</v>
      </c>
      <c r="D66" s="855">
        <f>Model!AI239</f>
        <v>846619</v>
      </c>
      <c r="E66" s="855">
        <f>Model!AJ239</f>
        <v>851522</v>
      </c>
      <c r="F66" s="855">
        <f>Model!AK239</f>
        <v>857050</v>
      </c>
      <c r="G66" s="855">
        <f>Model!AL239</f>
        <v>870903.72488873766</v>
      </c>
      <c r="H66" s="855">
        <f>Model!AM239</f>
        <v>871940.34217183117</v>
      </c>
      <c r="I66" s="855">
        <f>Model!AN239</f>
        <v>881850</v>
      </c>
      <c r="J66" s="855">
        <f>Model!AO239</f>
        <v>913139</v>
      </c>
      <c r="K66" s="855">
        <f>Model!AP239</f>
        <v>922924</v>
      </c>
      <c r="L66" s="855">
        <f>Model!AQ239</f>
        <v>936883</v>
      </c>
      <c r="M66" s="855">
        <f>Model!AR239</f>
        <v>1008070</v>
      </c>
      <c r="N66" s="855">
        <f>Model!AS239</f>
        <v>1046062</v>
      </c>
      <c r="O66" s="855">
        <f>Model!AT239</f>
        <v>1100027</v>
      </c>
      <c r="P66" s="855">
        <f>Model!AU239</f>
        <v>1122667</v>
      </c>
      <c r="Q66" s="855">
        <f>Model!AV239</f>
        <v>1140693</v>
      </c>
      <c r="R66" s="855">
        <f>Model!AW239</f>
        <v>1148062</v>
      </c>
      <c r="S66" s="855">
        <f>Model!AX239</f>
        <v>1135859</v>
      </c>
      <c r="T66" s="856">
        <f>Model!AY239</f>
        <v>1171804</v>
      </c>
      <c r="U66" s="855">
        <f>Model!AZ239</f>
        <v>1232326</v>
      </c>
      <c r="V66" s="855">
        <f>Model!BA239</f>
        <v>1281431.5893694169</v>
      </c>
      <c r="W66" s="855">
        <f>Model!BB239</f>
        <v>1311298.5321265664</v>
      </c>
      <c r="X66" s="855">
        <f>Model!BC239</f>
        <v>1344337.9212039346</v>
      </c>
      <c r="Y66" s="855">
        <f>Model!BD239</f>
        <v>1375812.5490959843</v>
      </c>
      <c r="Z66" s="855">
        <f>Model!BE239</f>
        <v>1406930.1270036707</v>
      </c>
      <c r="AA66" s="855">
        <f>Model!BF239</f>
        <v>1438982.7098466593</v>
      </c>
      <c r="AB66" s="855">
        <f>Model!BG239</f>
        <v>1468332.8118876943</v>
      </c>
      <c r="AC66" s="855">
        <f>Model!BH239</f>
        <v>1498514.558777326</v>
      </c>
      <c r="AD66" s="855">
        <f>Model!BI239</f>
        <v>1524738.182590402</v>
      </c>
      <c r="AE66" s="855">
        <f>Model!BJ239</f>
        <v>1551592.8793127215</v>
      </c>
      <c r="AF66" s="855">
        <f>Model!BK239</f>
        <v>1581120.7225957701</v>
      </c>
      <c r="AG66" s="855">
        <f>Model!BL239</f>
        <v>1611223.1929155162</v>
      </c>
      <c r="AH66" s="855">
        <f>Model!BM239</f>
        <v>1641911.6229259616</v>
      </c>
      <c r="AI66" s="855">
        <f>Model!BN239</f>
        <v>1673197.5705298202</v>
      </c>
      <c r="AJ66" s="855">
        <f>Model!BO239</f>
        <v>1705092.8233758672</v>
      </c>
      <c r="AK66" s="855">
        <f>Model!BP239</f>
        <v>1737609.4034463202</v>
      </c>
      <c r="AL66" s="855">
        <f>Model!BQ239</f>
        <v>1770759.5717360487</v>
      </c>
      <c r="AN66" s="855">
        <f>Model!CR239</f>
        <v>834741</v>
      </c>
      <c r="AO66" s="855">
        <f>Model!CS239</f>
        <v>854264</v>
      </c>
      <c r="AP66" s="855">
        <f>Model!CT239</f>
        <v>871418</v>
      </c>
      <c r="AQ66" s="855">
        <f>Model!CU239</f>
        <v>897409</v>
      </c>
      <c r="AR66" s="855">
        <f>Model!CV239</f>
        <v>929846</v>
      </c>
      <c r="AS66" s="855">
        <f>Model!CW239</f>
        <v>1026910</v>
      </c>
      <c r="AT66" s="855">
        <f>Model!CX239</f>
        <v>1111254</v>
      </c>
      <c r="AU66" s="855">
        <f>Model!CY239</f>
        <v>1144357</v>
      </c>
      <c r="AV66" s="856">
        <f>Model!CZ239</f>
        <v>1153684</v>
      </c>
      <c r="AW66" s="855">
        <f>Model!DA239</f>
        <v>1257080.5984766376</v>
      </c>
      <c r="AX66" s="855">
        <f>Model!DB239</f>
        <v>1327954.0049765273</v>
      </c>
      <c r="AY66" s="855">
        <f>Model!DC239</f>
        <v>1391456.3587544933</v>
      </c>
      <c r="AZ66" s="855">
        <f>Model!DD239</f>
        <v>1453778.3777248797</v>
      </c>
      <c r="BA66" s="855">
        <f>Model!DE239</f>
        <v>1511734.139000904</v>
      </c>
      <c r="BB66" s="855">
        <f>Model!DF239</f>
        <v>1566478.1482554092</v>
      </c>
      <c r="BC66" s="855">
        <f>Model!DG239</f>
        <v>1626651.2560901663</v>
      </c>
      <c r="BD66" s="855">
        <f>Model!DH239</f>
        <v>1689276.2733344028</v>
      </c>
      <c r="BE66" s="855">
        <f>Model!DI239</f>
        <v>1754320.7211594982</v>
      </c>
    </row>
    <row r="67" spans="2:59" ht="15.95" customHeight="1" outlineLevel="1">
      <c r="B67" s="878" t="s">
        <v>2751</v>
      </c>
      <c r="C67" s="877"/>
      <c r="D67" s="877"/>
      <c r="E67" s="877"/>
      <c r="F67" s="877"/>
      <c r="G67" s="877"/>
      <c r="H67" s="877"/>
      <c r="I67" s="877"/>
      <c r="J67" s="877"/>
      <c r="K67" s="877"/>
      <c r="L67" s="877"/>
      <c r="M67" s="877"/>
      <c r="N67" s="879">
        <f>N66/M66-1</f>
        <v>3.7687858978047162E-2</v>
      </c>
      <c r="O67" s="879">
        <f t="shared" ref="O67" si="200">O66/N66-1</f>
        <v>5.1588720362655272E-2</v>
      </c>
      <c r="P67" s="879">
        <f t="shared" ref="P67" si="201">P66/O66-1</f>
        <v>2.058131300413546E-2</v>
      </c>
      <c r="Q67" s="879">
        <f t="shared" ref="Q67" si="202">Q66/P66-1</f>
        <v>1.6056408534320443E-2</v>
      </c>
      <c r="R67" s="879">
        <f t="shared" ref="R67" si="203">R66/Q66-1</f>
        <v>6.4601080220532126E-3</v>
      </c>
      <c r="S67" s="879">
        <f t="shared" ref="S67" si="204">S66/R66-1</f>
        <v>-1.0629216888983328E-2</v>
      </c>
      <c r="T67" s="880">
        <f t="shared" ref="T67" si="205">T66/S66-1</f>
        <v>3.1645653201673785E-2</v>
      </c>
      <c r="U67" s="879">
        <f t="shared" ref="U67" si="206">U66/T66-1</f>
        <v>5.1648569214646889E-2</v>
      </c>
      <c r="V67" s="879">
        <f t="shared" ref="V67" si="207">V66/U66-1</f>
        <v>3.9847888764350525E-2</v>
      </c>
      <c r="W67" s="879">
        <f t="shared" ref="W67" si="208">W66/V66-1</f>
        <v>2.330748126152149E-2</v>
      </c>
      <c r="X67" s="879">
        <f t="shared" ref="X67" si="209">X66/W66-1</f>
        <v>2.5195932328077486E-2</v>
      </c>
      <c r="Y67" s="879">
        <f t="shared" ref="Y67" si="210">Y66/X66-1</f>
        <v>2.3412735291928888E-2</v>
      </c>
      <c r="Z67" s="879">
        <f t="shared" ref="Z67" si="211">Z66/Y66-1</f>
        <v>2.261759999800339E-2</v>
      </c>
      <c r="AA67" s="879">
        <f t="shared" ref="AA67" si="212">AA66/Z66-1</f>
        <v>2.2781929413403734E-2</v>
      </c>
      <c r="AB67" s="879">
        <f t="shared" ref="AB67" si="213">AB66/AA66-1</f>
        <v>2.0396424390785484E-2</v>
      </c>
      <c r="AC67" s="879">
        <f t="shared" ref="AC67" si="214">AC66/AB66-1</f>
        <v>2.0555113013397852E-2</v>
      </c>
      <c r="AD67" s="879">
        <f t="shared" ref="AD67" si="215">AD66/AC66-1</f>
        <v>1.7499745771220487E-2</v>
      </c>
      <c r="AE67" s="879">
        <f t="shared" ref="AE67" si="216">AE66/AD66-1</f>
        <v>1.7612660999080987E-2</v>
      </c>
      <c r="AF67" s="879">
        <f t="shared" ref="AF67" si="217">AF66/AE66-1</f>
        <v>1.9030664342909231E-2</v>
      </c>
      <c r="AG67" s="879">
        <f t="shared" ref="AG67" si="218">AG66/AF66-1</f>
        <v>1.9038691916152928E-2</v>
      </c>
      <c r="AH67" s="879">
        <f t="shared" ref="AH67" si="219">AH66/AG66-1</f>
        <v>1.9046666002190848E-2</v>
      </c>
      <c r="AI67" s="879">
        <f t="shared" ref="AI67" si="220">AI66/AH66-1</f>
        <v>1.9054586840737242E-2</v>
      </c>
      <c r="AJ67" s="879">
        <f t="shared" ref="AJ67" si="221">AJ66/AI66-1</f>
        <v>1.9062454672311935E-2</v>
      </c>
      <c r="AK67" s="879">
        <f t="shared" ref="AK67" si="222">AK66/AJ66-1</f>
        <v>1.9070269738203693E-2</v>
      </c>
      <c r="AL67" s="879">
        <f t="shared" ref="AL67" si="223">AL66/AK66-1</f>
        <v>1.9078032280430479E-2</v>
      </c>
      <c r="AM67" s="879"/>
      <c r="AN67" s="879" t="e">
        <f t="shared" ref="AN67" si="224">AN66/AM66-1</f>
        <v>#DIV/0!</v>
      </c>
      <c r="AO67" s="879">
        <f t="shared" ref="AO67" si="225">AO66/AN66-1</f>
        <v>2.338809283358545E-2</v>
      </c>
      <c r="AP67" s="879">
        <f t="shared" ref="AP67" si="226">AP66/AO66-1</f>
        <v>2.0080443516290014E-2</v>
      </c>
      <c r="AQ67" s="879">
        <f t="shared" ref="AQ67" si="227">AQ66/AP66-1</f>
        <v>2.982609952973192E-2</v>
      </c>
      <c r="AR67" s="879">
        <f t="shared" ref="AR67" si="228">AR66/AQ66-1</f>
        <v>3.614516903663767E-2</v>
      </c>
      <c r="AS67" s="879">
        <f t="shared" ref="AS67" si="229">AS66/AR66-1</f>
        <v>0.10438717809185616</v>
      </c>
      <c r="AT67" s="879">
        <f t="shared" ref="AT67" si="230">AT66/AS66-1</f>
        <v>8.2133779980718913E-2</v>
      </c>
      <c r="AU67" s="879">
        <f t="shared" ref="AU67" si="231">AU66/AT66-1</f>
        <v>2.97888691514272E-2</v>
      </c>
      <c r="AV67" s="880">
        <f t="shared" ref="AV67" si="232">AV66/AU66-1</f>
        <v>8.1504285812905586E-3</v>
      </c>
      <c r="AW67" s="879">
        <f t="shared" ref="AW67" si="233">AW66/AV66-1</f>
        <v>8.9622980362592974E-2</v>
      </c>
      <c r="AX67" s="879">
        <f t="shared" ref="AX67" si="234">AX66/AW66-1</f>
        <v>5.6379365480444088E-2</v>
      </c>
      <c r="AY67" s="879">
        <f t="shared" ref="AY67" si="235">AY66/AX66-1</f>
        <v>4.7819693709262534E-2</v>
      </c>
      <c r="AZ67" s="879">
        <f t="shared" ref="AZ67" si="236">AZ66/AY66-1</f>
        <v>4.4789057578616065E-2</v>
      </c>
      <c r="BA67" s="879">
        <f t="shared" ref="BA67" si="237">BA66/AZ66-1</f>
        <v>3.9865609617006026E-2</v>
      </c>
      <c r="BB67" s="877"/>
      <c r="BC67" s="877"/>
      <c r="BD67" s="877"/>
      <c r="BE67" s="877"/>
    </row>
    <row r="68" spans="2:59" ht="15.95" customHeight="1">
      <c r="B68" s="852" t="s">
        <v>2750</v>
      </c>
      <c r="C68" s="855">
        <f>Model!AH237</f>
        <v>674387</v>
      </c>
      <c r="D68" s="855">
        <f>Model!AI237</f>
        <v>686017</v>
      </c>
      <c r="E68" s="855">
        <f>Model!AJ237</f>
        <v>697558</v>
      </c>
      <c r="F68" s="855">
        <f>Model!AK237</f>
        <v>702297</v>
      </c>
      <c r="G68" s="855">
        <f>Model!AL237</f>
        <v>706975</v>
      </c>
      <c r="H68" s="855">
        <f>Model!AM237</f>
        <v>712135</v>
      </c>
      <c r="I68" s="855">
        <f>Model!AN237</f>
        <v>717276</v>
      </c>
      <c r="J68" s="855">
        <f>Model!AO237</f>
        <v>728809</v>
      </c>
      <c r="K68" s="855">
        <f>Model!AP237</f>
        <v>728465</v>
      </c>
      <c r="L68" s="855">
        <f>Model!AQ237</f>
        <v>742305</v>
      </c>
      <c r="M68" s="855">
        <f>Model!AR237</f>
        <v>772004</v>
      </c>
      <c r="N68" s="855">
        <f>Model!AS237</f>
        <v>797286</v>
      </c>
      <c r="O68" s="855">
        <f>Model!AT237</f>
        <v>825880</v>
      </c>
      <c r="P68" s="855">
        <f>Model!AU237</f>
        <v>847500</v>
      </c>
      <c r="Q68" s="855">
        <f>Model!AV237</f>
        <v>850249</v>
      </c>
      <c r="R68" s="855">
        <f>Model!AW237</f>
        <v>855234</v>
      </c>
      <c r="S68" s="855">
        <f>Model!AX237</f>
        <v>871589</v>
      </c>
      <c r="T68" s="856">
        <f>Model!AY237</f>
        <v>901398</v>
      </c>
      <c r="U68" s="855">
        <f>Model!AZ237</f>
        <v>932343</v>
      </c>
      <c r="V68" s="855">
        <f>Model!BA237</f>
        <v>969494.90015422076</v>
      </c>
      <c r="W68" s="855">
        <f>Model!BB237</f>
        <v>992091.38437270606</v>
      </c>
      <c r="X68" s="855">
        <f>Model!BC237</f>
        <v>1017088.0517566294</v>
      </c>
      <c r="Y68" s="855">
        <f>Model!BD237</f>
        <v>1040900.8650809911</v>
      </c>
      <c r="Z68" s="855">
        <f>Model!BE237</f>
        <v>1064443.5444849685</v>
      </c>
      <c r="AA68" s="855">
        <f>Model!BF237</f>
        <v>1088693.6221799783</v>
      </c>
      <c r="AB68" s="855">
        <f>Model!BG237</f>
        <v>1110899.0793295025</v>
      </c>
      <c r="AC68" s="855">
        <f>Model!BH237</f>
        <v>1133733.7354516</v>
      </c>
      <c r="AD68" s="855">
        <f>Model!BI237</f>
        <v>1153573.7875942593</v>
      </c>
      <c r="AE68" s="855">
        <f>Model!BJ237</f>
        <v>1173891.2916525828</v>
      </c>
      <c r="AF68" s="855">
        <f>Model!BK237</f>
        <v>1196231.2227990874</v>
      </c>
      <c r="AG68" s="855">
        <f>Model!BL237</f>
        <v>1219005.9005104422</v>
      </c>
      <c r="AH68" s="855">
        <f>Model!BM237</f>
        <v>1242223.8987521646</v>
      </c>
      <c r="AI68" s="855">
        <f>Model!BN237</f>
        <v>1265893.9619065768</v>
      </c>
      <c r="AJ68" s="855">
        <f>Model!BO237</f>
        <v>1290025.0081753742</v>
      </c>
      <c r="AK68" s="855">
        <f>Model!BP237</f>
        <v>1314626.1330503069</v>
      </c>
      <c r="AL68" s="855">
        <f>Model!BQ237</f>
        <v>1339706.6128533382</v>
      </c>
      <c r="AN68" s="855">
        <f>Model!CR237</f>
        <v>680154</v>
      </c>
      <c r="AO68" s="855">
        <f>Model!CS237</f>
        <v>699909</v>
      </c>
      <c r="AP68" s="855">
        <f>Model!CT237</f>
        <v>709534</v>
      </c>
      <c r="AQ68" s="855">
        <f>Model!CU237</f>
        <v>723011</v>
      </c>
      <c r="AR68" s="855">
        <f>Model!CV237</f>
        <v>735441.87671232875</v>
      </c>
      <c r="AS68" s="855">
        <f>Model!CW237</f>
        <v>784748.89863013697</v>
      </c>
      <c r="AT68" s="855">
        <f>Model!CX237</f>
        <v>836778.84931506857</v>
      </c>
      <c r="AU68" s="855">
        <f>Model!CY237</f>
        <v>852755.12021857931</v>
      </c>
      <c r="AV68" s="856">
        <f>Model!CZ237</f>
        <v>886616.00273972598</v>
      </c>
      <c r="AW68" s="855">
        <f>Model!DA237</f>
        <v>951071.62911883998</v>
      </c>
      <c r="AX68" s="855">
        <f>Model!DB237</f>
        <v>1004692.4440950126</v>
      </c>
      <c r="AY68" s="855">
        <f>Model!DC237</f>
        <v>1052736.5290436463</v>
      </c>
      <c r="AZ68" s="855">
        <f>Model!DD237</f>
        <v>1099887.6060580947</v>
      </c>
      <c r="BA68" s="855">
        <f>Model!DE237</f>
        <v>1143735.2959837897</v>
      </c>
      <c r="BB68" s="855">
        <f>Model!DF237</f>
        <v>1185153.0651620536</v>
      </c>
      <c r="BC68" s="855">
        <f>Model!DG237</f>
        <v>1230678.3367849695</v>
      </c>
      <c r="BD68" s="855">
        <f>Model!DH237</f>
        <v>1278058.6537242718</v>
      </c>
      <c r="BE68" s="855">
        <f>Model!DI237</f>
        <v>1327269.4434167664</v>
      </c>
    </row>
    <row r="69" spans="2:59" ht="15.95" customHeight="1" outlineLevel="1">
      <c r="B69" s="878" t="s">
        <v>2751</v>
      </c>
      <c r="C69" s="877"/>
      <c r="D69" s="877"/>
      <c r="E69" s="877"/>
      <c r="F69" s="877"/>
      <c r="G69" s="877"/>
      <c r="H69" s="877"/>
      <c r="I69" s="877"/>
      <c r="J69" s="877"/>
      <c r="K69" s="877"/>
      <c r="L69" s="877"/>
      <c r="M69" s="877"/>
      <c r="N69" s="879">
        <f>N68/M68-1</f>
        <v>3.2748534981684063E-2</v>
      </c>
      <c r="O69" s="879">
        <f t="shared" ref="O69" si="238">O68/N68-1</f>
        <v>3.5864169193990714E-2</v>
      </c>
      <c r="P69" s="879">
        <f t="shared" ref="P69" si="239">P68/O68-1</f>
        <v>2.6178137259650347E-2</v>
      </c>
      <c r="Q69" s="879">
        <f t="shared" ref="Q69" si="240">Q68/P68-1</f>
        <v>3.2436578171091135E-3</v>
      </c>
      <c r="R69" s="879">
        <f t="shared" ref="R69" si="241">R68/Q68-1</f>
        <v>5.8629883716416753E-3</v>
      </c>
      <c r="S69" s="879">
        <f t="shared" ref="S69" si="242">S68/R68-1</f>
        <v>1.9123421192328571E-2</v>
      </c>
      <c r="T69" s="880">
        <f t="shared" ref="T69" si="243">T68/S68-1</f>
        <v>3.4200752877789897E-2</v>
      </c>
      <c r="U69" s="879">
        <f t="shared" ref="U69" si="244">U68/T68-1</f>
        <v>3.4330007388523098E-2</v>
      </c>
      <c r="V69" s="879">
        <f t="shared" ref="V69" si="245">V68/U68-1</f>
        <v>3.9847888764350303E-2</v>
      </c>
      <c r="W69" s="879">
        <f t="shared" ref="W69" si="246">W68/V68-1</f>
        <v>2.3307481261521712E-2</v>
      </c>
      <c r="X69" s="879">
        <f t="shared" ref="X69" si="247">X68/W68-1</f>
        <v>2.5195932328077486E-2</v>
      </c>
      <c r="Y69" s="879">
        <f t="shared" ref="Y69" si="248">Y68/X68-1</f>
        <v>2.3412735291928888E-2</v>
      </c>
      <c r="Z69" s="879">
        <f t="shared" ref="Z69" si="249">Z68/Y68-1</f>
        <v>2.261759999800339E-2</v>
      </c>
      <c r="AA69" s="879">
        <f t="shared" ref="AA69" si="250">AA68/Z68-1</f>
        <v>2.2781929413403734E-2</v>
      </c>
      <c r="AB69" s="879">
        <f t="shared" ref="AB69" si="251">AB68/AA68-1</f>
        <v>2.0396424390785484E-2</v>
      </c>
      <c r="AC69" s="879">
        <f t="shared" ref="AC69" si="252">AC68/AB68-1</f>
        <v>2.0555113013397852E-2</v>
      </c>
      <c r="AD69" s="879">
        <f t="shared" ref="AD69" si="253">AD68/AC68-1</f>
        <v>1.7499745771220487E-2</v>
      </c>
      <c r="AE69" s="879">
        <f t="shared" ref="AE69" si="254">AE68/AD68-1</f>
        <v>1.7612660999080987E-2</v>
      </c>
      <c r="AF69" s="879">
        <f t="shared" ref="AF69" si="255">AF68/AE68-1</f>
        <v>1.9030664342909231E-2</v>
      </c>
      <c r="AG69" s="879">
        <f t="shared" ref="AG69" si="256">AG68/AF68-1</f>
        <v>1.9038691916152928E-2</v>
      </c>
      <c r="AH69" s="879">
        <f t="shared" ref="AH69" si="257">AH68/AG68-1</f>
        <v>1.9046666002190848E-2</v>
      </c>
      <c r="AI69" s="879">
        <f t="shared" ref="AI69" si="258">AI68/AH68-1</f>
        <v>1.9054586840737242E-2</v>
      </c>
      <c r="AJ69" s="879">
        <f t="shared" ref="AJ69" si="259">AJ68/AI68-1</f>
        <v>1.9062454672311935E-2</v>
      </c>
      <c r="AK69" s="879">
        <f t="shared" ref="AK69" si="260">AK68/AJ68-1</f>
        <v>1.9070269738203693E-2</v>
      </c>
      <c r="AL69" s="879">
        <f t="shared" ref="AL69" si="261">AL68/AK68-1</f>
        <v>1.9078032280430479E-2</v>
      </c>
      <c r="AM69" s="879"/>
      <c r="AN69" s="879" t="e">
        <f t="shared" ref="AN69" si="262">AN68/AM68-1</f>
        <v>#DIV/0!</v>
      </c>
      <c r="AO69" s="879">
        <f t="shared" ref="AO69" si="263">AO68/AN68-1</f>
        <v>2.904489277428346E-2</v>
      </c>
      <c r="AP69" s="879">
        <f t="shared" ref="AP69" si="264">AP68/AO68-1</f>
        <v>1.3751787732405152E-2</v>
      </c>
      <c r="AQ69" s="879">
        <f t="shared" ref="AQ69" si="265">AQ68/AP68-1</f>
        <v>1.8994156728218803E-2</v>
      </c>
      <c r="AR69" s="879">
        <f t="shared" ref="AR69" si="266">AR68/AQ68-1</f>
        <v>1.7193205514616894E-2</v>
      </c>
      <c r="AS69" s="879">
        <f t="shared" ref="AS69" si="267">AS68/AR68-1</f>
        <v>6.7044077144786884E-2</v>
      </c>
      <c r="AT69" s="879">
        <f t="shared" ref="AT69" si="268">AT68/AS68-1</f>
        <v>6.6301400073011107E-2</v>
      </c>
      <c r="AU69" s="879">
        <f t="shared" ref="AU69" si="269">AU68/AT68-1</f>
        <v>1.9092584518105138E-2</v>
      </c>
      <c r="AV69" s="880">
        <f t="shared" ref="AV69" si="270">AV68/AU68-1</f>
        <v>3.9707627334406803E-2</v>
      </c>
      <c r="AW69" s="879">
        <f t="shared" ref="AW69" si="271">AW68/AV68-1</f>
        <v>7.269846943878755E-2</v>
      </c>
      <c r="AX69" s="879">
        <f t="shared" ref="AX69" si="272">AX68/AW68-1</f>
        <v>5.637936548044431E-2</v>
      </c>
      <c r="AY69" s="879">
        <f t="shared" ref="AY69" si="273">AY68/AX68-1</f>
        <v>4.7819693709262312E-2</v>
      </c>
      <c r="AZ69" s="879">
        <f t="shared" ref="AZ69" si="274">AZ68/AY68-1</f>
        <v>4.4789057578616065E-2</v>
      </c>
      <c r="BA69" s="879">
        <f t="shared" ref="BA69" si="275">BA68/AZ68-1</f>
        <v>3.9865609617005804E-2</v>
      </c>
      <c r="BB69" s="877"/>
      <c r="BC69" s="877"/>
      <c r="BD69" s="877"/>
      <c r="BE69" s="877"/>
    </row>
    <row r="70" spans="2:59" ht="15.95" customHeight="1">
      <c r="B70" s="852" t="s">
        <v>924</v>
      </c>
      <c r="C70" s="863">
        <f>Model!AH323</f>
        <v>2.0992432040554593E-2</v>
      </c>
      <c r="D70" s="863">
        <f>Model!AI323</f>
        <v>2.1018018900646467E-2</v>
      </c>
      <c r="E70" s="863">
        <f>Model!AJ323</f>
        <v>2.1564998499362213E-2</v>
      </c>
      <c r="F70" s="863">
        <f>Model!AK323</f>
        <v>2.1376325897552353E-2</v>
      </c>
      <c r="G70" s="863">
        <f>Model!AL323</f>
        <v>2.0924322934170993E-2</v>
      </c>
      <c r="H70" s="863">
        <f>Model!AM323</f>
        <v>2.090159582687582E-2</v>
      </c>
      <c r="I70" s="863">
        <f>Model!AN323</f>
        <v>2.1090173572849563E-2</v>
      </c>
      <c r="J70" s="863">
        <f>Model!AO323</f>
        <v>2.0393125517318002E-2</v>
      </c>
      <c r="K70" s="863">
        <f>Model!AP323</f>
        <v>2.0633853124276284E-2</v>
      </c>
      <c r="L70" s="863">
        <f>Model!AQ323</f>
        <v>2.0882870785182625E-2</v>
      </c>
      <c r="M70" s="863">
        <f>Model!AR323</f>
        <v>1.9182264344134139E-2</v>
      </c>
      <c r="N70" s="863">
        <f>Model!AS323</f>
        <v>1.8747634313552995E-2</v>
      </c>
      <c r="O70" s="863">
        <f>Model!AT323</f>
        <v>2.0985181549496353E-2</v>
      </c>
      <c r="P70" s="863">
        <f>Model!AU323</f>
        <v>2.0511215875562538E-2</v>
      </c>
      <c r="Q70" s="863">
        <f>Model!AV323</f>
        <v>1.9886195039560049E-2</v>
      </c>
      <c r="R70" s="863">
        <f>Model!AW323</f>
        <v>2.000370581509928E-2</v>
      </c>
      <c r="S70" s="863">
        <f>Model!AX323</f>
        <v>2.0841868500441934E-2</v>
      </c>
      <c r="T70" s="864">
        <f>Model!AY323</f>
        <v>2.0804136328042792E-2</v>
      </c>
      <c r="U70" s="863">
        <f>Model!AZ323</f>
        <v>2.043535258068711E-2</v>
      </c>
      <c r="V70" s="863">
        <f>Model!BA323</f>
        <v>2.0359979598231919E-2</v>
      </c>
      <c r="W70" s="863">
        <f>Model!BB323</f>
        <v>2.0456794373185858E-2</v>
      </c>
      <c r="X70" s="863">
        <f>Model!BC323</f>
        <v>2.0317345597955949E-2</v>
      </c>
      <c r="Y70" s="863">
        <f>Model!BD323</f>
        <v>2.0226099071897582E-2</v>
      </c>
      <c r="Z70" s="863">
        <f>Model!BE323</f>
        <v>2.0199727217929356E-2</v>
      </c>
      <c r="AA70" s="863">
        <f>Model!BF323</f>
        <v>2.016415892062659E-2</v>
      </c>
      <c r="AB70" s="863">
        <f>Model!BG323</f>
        <v>2.0116271785994056E-2</v>
      </c>
      <c r="AC70" s="863">
        <f>Model!BH323</f>
        <v>1.9938239805234344E-2</v>
      </c>
      <c r="AD70" s="863">
        <f>Model!BI323</f>
        <v>1.9877553368743538E-2</v>
      </c>
      <c r="AE70" s="863">
        <f>Model!BJ323</f>
        <v>1.9777553368743539E-2</v>
      </c>
      <c r="AF70" s="863">
        <f>Model!BK323</f>
        <v>1.967755336874354E-2</v>
      </c>
      <c r="AG70" s="863">
        <f>Model!BL323</f>
        <v>1.957755336874354E-2</v>
      </c>
      <c r="AH70" s="863">
        <f>Model!BM323</f>
        <v>1.9477553368743541E-2</v>
      </c>
      <c r="AI70" s="863">
        <f>Model!BN323</f>
        <v>1.9377553368743541E-2</v>
      </c>
      <c r="AJ70" s="863">
        <f>Model!BO323</f>
        <v>1.9277553368743542E-2</v>
      </c>
      <c r="AK70" s="863">
        <f>Model!BP323</f>
        <v>1.9177553368743543E-2</v>
      </c>
      <c r="AL70" s="863">
        <f>Model!BQ323</f>
        <v>1.9077553368743543E-2</v>
      </c>
      <c r="AN70" s="863">
        <f>Model!CR323</f>
        <v>2.1005317817143286E-2</v>
      </c>
      <c r="AO70" s="863">
        <f>Model!CS323</f>
        <v>2.1471114315949169E-2</v>
      </c>
      <c r="AP70" s="863">
        <f>Model!CT323</f>
        <v>2.0913040584426765E-2</v>
      </c>
      <c r="AQ70" s="863">
        <f>Model!CU323</f>
        <v>2.0577225681397797E-2</v>
      </c>
      <c r="AR70" s="863">
        <f>Model!CV323</f>
        <v>2.0749673078869164E-2</v>
      </c>
      <c r="AS70" s="863">
        <f>Model!CW323</f>
        <v>1.8959833155804982E-2</v>
      </c>
      <c r="AT70" s="863">
        <f>Model!CX323</f>
        <v>2.0745995625128785E-2</v>
      </c>
      <c r="AU70" s="863">
        <f>Model!CY323</f>
        <v>1.994446762541207E-2</v>
      </c>
      <c r="AV70" s="864">
        <f>Model!CZ323</f>
        <v>2.0820197749844758E-2</v>
      </c>
      <c r="AW70" s="863">
        <f>Model!DA323</f>
        <v>2.039396460737081E-2</v>
      </c>
      <c r="AX70" s="863">
        <f>Model!DB323</f>
        <v>2.0384690890932745E-2</v>
      </c>
      <c r="AY70" s="863">
        <f>Model!DC323</f>
        <v>2.0211602625635289E-2</v>
      </c>
      <c r="AZ70" s="863">
        <f>Model!DD323</f>
        <v>2.0138499304353807E-2</v>
      </c>
      <c r="BA70" s="863">
        <f>Model!DE323</f>
        <v>1.9906463494078049E-2</v>
      </c>
      <c r="BB70" s="863">
        <f>Model!DF323</f>
        <v>1.9727553368743538E-2</v>
      </c>
      <c r="BC70" s="863">
        <f>Model!DG323</f>
        <v>1.9527553368743539E-2</v>
      </c>
      <c r="BD70" s="863">
        <f>Model!DH323</f>
        <v>1.932755336874354E-2</v>
      </c>
      <c r="BE70" s="863">
        <f>Model!DI323</f>
        <v>1.9127553368743541E-2</v>
      </c>
    </row>
    <row r="71" spans="2:59" ht="15.95" customHeight="1">
      <c r="B71" s="852" t="s">
        <v>2711</v>
      </c>
      <c r="C71" s="865">
        <f>Model!AH793</f>
        <v>0.42649006622516555</v>
      </c>
      <c r="D71" s="865">
        <f>Model!AI793</f>
        <v>0.41716855376214568</v>
      </c>
      <c r="E71" s="865">
        <f>Model!AJ793</f>
        <v>0.43133844572693492</v>
      </c>
      <c r="F71" s="865">
        <f>Model!AK793</f>
        <v>0.45131589668377742</v>
      </c>
      <c r="G71" s="865">
        <f>Model!AL793</f>
        <v>0.42419864283256498</v>
      </c>
      <c r="H71" s="865">
        <f>Model!AM793</f>
        <v>0.49502603735859219</v>
      </c>
      <c r="I71" s="865">
        <f>Model!AN793</f>
        <v>0.43691258421359064</v>
      </c>
      <c r="J71" s="865">
        <f>Model!AO793</f>
        <v>0.48926563298688019</v>
      </c>
      <c r="K71" s="865">
        <f>Model!AP793</f>
        <v>0.46743583312432069</v>
      </c>
      <c r="L71" s="865">
        <f>Model!AQ793</f>
        <v>0.47298072980729805</v>
      </c>
      <c r="M71" s="865">
        <f>Model!AR793</f>
        <v>0.45345667795490213</v>
      </c>
      <c r="N71" s="865">
        <f>Model!AS793</f>
        <v>0.47194404705134319</v>
      </c>
      <c r="O71" s="865">
        <f>Model!AT793</f>
        <v>0.42376862658738895</v>
      </c>
      <c r="P71" s="865">
        <f>Model!AU793</f>
        <v>0.45034043812907043</v>
      </c>
      <c r="Q71" s="865">
        <f>Model!AV793</f>
        <v>0.44039856399736244</v>
      </c>
      <c r="R71" s="865">
        <f>Model!AW793</f>
        <v>0.45892791127541588</v>
      </c>
      <c r="S71" s="865">
        <f>Model!AX793</f>
        <v>0.45201106618429454</v>
      </c>
      <c r="T71" s="866">
        <f>Model!AY793</f>
        <v>0.46102449888641434</v>
      </c>
      <c r="U71" s="865">
        <f>Model!AZ793</f>
        <v>0.45869116570135143</v>
      </c>
      <c r="V71" s="865">
        <f>Model!BA793</f>
        <v>0.44647330353575432</v>
      </c>
      <c r="W71" s="865">
        <f>Model!BB793</f>
        <v>0.45006380889077541</v>
      </c>
      <c r="X71" s="865">
        <f>Model!BC793</f>
        <v>0.45136670568548537</v>
      </c>
      <c r="Y71" s="865">
        <f>Model!BD793</f>
        <v>0.45631812714341952</v>
      </c>
      <c r="Z71" s="865">
        <f>Model!BE793</f>
        <v>0.44833173444201541</v>
      </c>
      <c r="AA71" s="865">
        <f>Model!BF793</f>
        <v>0.45007178332078945</v>
      </c>
      <c r="AB71" s="865">
        <f>Model!BG793</f>
        <v>0.44708597178533388</v>
      </c>
      <c r="AC71" s="865">
        <f>Model!BH793</f>
        <v>0.45050573562774476</v>
      </c>
      <c r="AD71" s="865">
        <f>Model!BI793</f>
        <v>0.44884647600179783</v>
      </c>
      <c r="AE71" s="865">
        <f>Model!BJ793</f>
        <v>0.45024294296686901</v>
      </c>
      <c r="AF71" s="865">
        <f>Model!BK793</f>
        <v>0.45312564878400213</v>
      </c>
      <c r="AG71" s="865">
        <f>Model!BL793</f>
        <v>0.45325076201495779</v>
      </c>
      <c r="AH71" s="865">
        <f>Model!BM793</f>
        <v>0.45564262395460831</v>
      </c>
      <c r="AI71" s="865">
        <f>Model!BN793</f>
        <v>0.45395159286151732</v>
      </c>
      <c r="AJ71" s="865">
        <f>Model!BO793</f>
        <v>0.45409017970624371</v>
      </c>
      <c r="AK71" s="865">
        <f>Model!BP793</f>
        <v>0.45215313502971322</v>
      </c>
      <c r="AL71" s="865">
        <f>Model!BQ793</f>
        <v>0.45224898018372028</v>
      </c>
      <c r="AN71" s="865">
        <f>Model!CR793</f>
        <v>0.42189971527997472</v>
      </c>
      <c r="AO71" s="865">
        <f>Model!CS793</f>
        <v>0.44117647058823528</v>
      </c>
      <c r="AP71" s="865">
        <f>Model!CT793</f>
        <v>0.45905254675770812</v>
      </c>
      <c r="AQ71" s="865">
        <f>Model!CU793</f>
        <v>0.46277513572661083</v>
      </c>
      <c r="AR71" s="865">
        <f>Model!CV793</f>
        <v>0.47023513826792518</v>
      </c>
      <c r="AS71" s="865">
        <f>Model!CW793</f>
        <v>0.46287820486856496</v>
      </c>
      <c r="AT71" s="865">
        <f>Model!CX793</f>
        <v>0.43700018426386583</v>
      </c>
      <c r="AU71" s="865">
        <f>Model!CY793</f>
        <v>0.44962096121292411</v>
      </c>
      <c r="AV71" s="866">
        <f>Model!CZ793</f>
        <v>0.45656068856490428</v>
      </c>
      <c r="AW71" s="865">
        <f>Model!DA793</f>
        <v>0.45255049357467914</v>
      </c>
      <c r="AX71" s="865">
        <f>Model!DB793</f>
        <v>0.4507166606960466</v>
      </c>
      <c r="AY71" s="865">
        <f>Model!DC793</f>
        <v>0.45229839369719915</v>
      </c>
      <c r="AZ71" s="865">
        <f>Model!DD793</f>
        <v>0.44857685475475778</v>
      </c>
      <c r="BA71" s="865">
        <f>Model!DE793</f>
        <v>0.44967642395074436</v>
      </c>
      <c r="BB71" s="865">
        <f>Model!DF793</f>
        <v>0.45168321221223096</v>
      </c>
      <c r="BC71" s="865">
        <f>Model!DG793</f>
        <v>0.45444911399030469</v>
      </c>
      <c r="BD71" s="865">
        <f>Model!DH793</f>
        <v>0.45402083483872202</v>
      </c>
      <c r="BE71" s="865">
        <f>Model!DI793</f>
        <v>0.45220102143297614</v>
      </c>
    </row>
    <row r="72" spans="2:59" ht="15.95" customHeight="1">
      <c r="B72" s="852" t="s">
        <v>2703</v>
      </c>
      <c r="C72" s="863">
        <f>Model!AH788</f>
        <v>1.0006313297645501E-2</v>
      </c>
      <c r="D72" s="863">
        <f>Model!AI788</f>
        <v>9.8542669993215998E-3</v>
      </c>
      <c r="E72" s="863">
        <f>Model!AJ788</f>
        <v>9.3893521243532969E-3</v>
      </c>
      <c r="F72" s="863">
        <f>Model!AK788</f>
        <v>8.8720814551000744E-3</v>
      </c>
      <c r="G72" s="863">
        <f>Model!AL788</f>
        <v>9.1547554477074428E-3</v>
      </c>
      <c r="H72" s="863">
        <f>Model!AM788</f>
        <v>7.6838685818341346E-3</v>
      </c>
      <c r="I72" s="863">
        <f>Model!AN788</f>
        <v>8.7523527223757318E-3</v>
      </c>
      <c r="J72" s="863">
        <f>Model!AO788</f>
        <v>5.7341275727963697E-3</v>
      </c>
      <c r="K72" s="863">
        <f>Model!AP788</f>
        <v>7.4414462719799438E-3</v>
      </c>
      <c r="L72" s="863">
        <f>Model!AQ788</f>
        <v>9.2752479189421762E-3</v>
      </c>
      <c r="M72" s="863">
        <f>Model!AR788</f>
        <v>8.3674425033639019E-3</v>
      </c>
      <c r="N72" s="863">
        <f>Model!AS788</f>
        <v>8.3377062419121069E-3</v>
      </c>
      <c r="O72" s="863">
        <f>Model!AT788</f>
        <v>8.3700852100970641E-3</v>
      </c>
      <c r="P72" s="863">
        <f>Model!AU788</f>
        <v>7.9566488255296015E-3</v>
      </c>
      <c r="Q72" s="863">
        <f>Model!AV788</f>
        <v>7.9078551066272471E-3</v>
      </c>
      <c r="R72" s="863">
        <f>Model!AW788</f>
        <v>7.6211821574331748E-3</v>
      </c>
      <c r="S72" s="863">
        <f>Model!AX788</f>
        <v>8.0361584658821712E-3</v>
      </c>
      <c r="T72" s="864">
        <f>Model!AY788</f>
        <v>7.8363861203814313E-3</v>
      </c>
      <c r="U72" s="863">
        <f>Model!AZ788</f>
        <v>7.8603339143647772E-3</v>
      </c>
      <c r="V72" s="863">
        <f>Model!BA788</f>
        <v>7.9394036757761931E-3</v>
      </c>
      <c r="W72" s="863">
        <f>Model!BB788</f>
        <v>7.8124359295184903E-3</v>
      </c>
      <c r="X72" s="863">
        <f>Model!BC788</f>
        <v>7.7309010205622196E-3</v>
      </c>
      <c r="Y72" s="863">
        <f>Model!BD788</f>
        <v>7.5107633430352254E-3</v>
      </c>
      <c r="Z72" s="863">
        <f>Model!BE788</f>
        <v>7.6396357720791581E-3</v>
      </c>
      <c r="AA72" s="863">
        <f>Model!BF788</f>
        <v>7.6092722275813186E-3</v>
      </c>
      <c r="AB72" s="863">
        <f>Model!BG788</f>
        <v>7.7203857412002103E-3</v>
      </c>
      <c r="AC72" s="863">
        <f>Model!BH788</f>
        <v>7.636219485347668E-3</v>
      </c>
      <c r="AD72" s="863">
        <f>Model!BI788</f>
        <v>7.6545080619810938E-3</v>
      </c>
      <c r="AE72" s="863">
        <f>Model!BJ788</f>
        <v>7.4712244832721231E-3</v>
      </c>
      <c r="AF72" s="863">
        <f>Model!BK788</f>
        <v>7.3264296672105747E-3</v>
      </c>
      <c r="AG72" s="863">
        <f>Model!BL788</f>
        <v>7.2179470608479479E-3</v>
      </c>
      <c r="AH72" s="863">
        <f>Model!BM788</f>
        <v>7.155541055320294E-3</v>
      </c>
      <c r="AI72" s="863">
        <f>Model!BN788</f>
        <v>7.138014641599702E-3</v>
      </c>
      <c r="AJ72" s="863">
        <f>Model!BO788</f>
        <v>7.1072936220274502E-3</v>
      </c>
      <c r="AK72" s="863">
        <f>Model!BP788</f>
        <v>7.0929930026001039E-3</v>
      </c>
      <c r="AL72" s="863">
        <f>Model!BQ788</f>
        <v>7.0627503110751175E-3</v>
      </c>
      <c r="AN72" s="863">
        <f>Model!CR788</f>
        <v>9.929153867433713E-3</v>
      </c>
      <c r="AO72" s="863">
        <f>Model!CS788</f>
        <v>9.1315361159167337E-3</v>
      </c>
      <c r="AP72" s="863">
        <f>Model!CT788</f>
        <v>8.4270757093976092E-3</v>
      </c>
      <c r="AQ72" s="863">
        <f>Model!CU788</f>
        <v>7.2266115343721654E-3</v>
      </c>
      <c r="AR72" s="863">
        <f>Model!CV788</f>
        <v>8.3175610792355116E-3</v>
      </c>
      <c r="AS72" s="863">
        <f>Model!CW788</f>
        <v>8.3523462737393351E-3</v>
      </c>
      <c r="AT72" s="863">
        <f>Model!CX788</f>
        <v>8.1640460986526723E-3</v>
      </c>
      <c r="AU72" s="863">
        <f>Model!CY788</f>
        <v>7.7648136160538075E-3</v>
      </c>
      <c r="AV72" s="864">
        <f>Model!CZ788</f>
        <v>7.9325714930377714E-3</v>
      </c>
      <c r="AW72" s="863">
        <f>Model!DA788</f>
        <v>7.8977796922258953E-3</v>
      </c>
      <c r="AX72" s="863">
        <f>Model!DB788</f>
        <v>7.7699071224040473E-3</v>
      </c>
      <c r="AY72" s="863">
        <f>Model!DC788</f>
        <v>7.5746422533014054E-3</v>
      </c>
      <c r="AZ72" s="863">
        <f>Model!DD788</f>
        <v>7.663661336021076E-3</v>
      </c>
      <c r="BA72" s="863">
        <f>Model!DE788</f>
        <v>7.6442778886761011E-3</v>
      </c>
      <c r="BB72" s="863">
        <f>Model!DF788</f>
        <v>7.3975934360461688E-3</v>
      </c>
      <c r="BC72" s="863">
        <f>Model!DG788</f>
        <v>7.1858793163980085E-3</v>
      </c>
      <c r="BD72" s="863">
        <f>Model!DH788</f>
        <v>7.1215300224602533E-3</v>
      </c>
      <c r="BE72" s="863">
        <f>Model!DI788</f>
        <v>7.0767537847744189E-3</v>
      </c>
    </row>
    <row r="73" spans="2:59" ht="15.95" customHeight="1">
      <c r="B73" s="852" t="s">
        <v>2702</v>
      </c>
      <c r="C73" s="867">
        <f>Model!AH783</f>
        <v>0.15807226857951495</v>
      </c>
      <c r="D73" s="867">
        <f>Model!AI783</f>
        <v>0.15659345127751934</v>
      </c>
      <c r="E73" s="867">
        <f>Model!AJ783</f>
        <v>0.14154302620570533</v>
      </c>
      <c r="F73" s="867">
        <f>Model!AK783</f>
        <v>0.13080434663863699</v>
      </c>
      <c r="G73" s="867">
        <f>Model!AL783</f>
        <v>0.13297895633018622</v>
      </c>
      <c r="H73" s="867">
        <f>Model!AM783</f>
        <v>0.10854603373334175</v>
      </c>
      <c r="I73" s="867">
        <f>Model!AN783</f>
        <v>0.12240062844939202</v>
      </c>
      <c r="J73" s="867">
        <f>Model!AO783</f>
        <v>8.1445687287347537E-2</v>
      </c>
      <c r="K73" s="867">
        <f>Model!AP783</f>
        <v>0.10438940971944949</v>
      </c>
      <c r="L73" s="867">
        <f>Model!AQ783</f>
        <v>0.12561097374692712</v>
      </c>
      <c r="M73" s="867">
        <f>Model!AR783</f>
        <v>0.12278603932464807</v>
      </c>
      <c r="N73" s="867">
        <f>Model!AS783</f>
        <v>0.13258807004401163</v>
      </c>
      <c r="O73" s="867">
        <f>Model!AT783</f>
        <v>0.14172576966830158</v>
      </c>
      <c r="P73" s="867">
        <f>Model!AU783</f>
        <v>0.13705882258121588</v>
      </c>
      <c r="Q73" s="867">
        <f>Model!AV783</f>
        <v>0.13820595897023524</v>
      </c>
      <c r="R73" s="867">
        <f>Model!AW783</f>
        <v>0.13276501878944211</v>
      </c>
      <c r="S73" s="867">
        <f>Model!AX783</f>
        <v>0.13724555229395657</v>
      </c>
      <c r="T73" s="868">
        <f>Model!AY783</f>
        <v>0.13405429600692073</v>
      </c>
      <c r="U73" s="867">
        <f>Model!AZ783</f>
        <v>0.13847011468754111</v>
      </c>
      <c r="V73" s="867">
        <f>Model!BA783</f>
        <v>0.14478286082677286</v>
      </c>
      <c r="W73" s="867">
        <f>Model!BB783</f>
        <v>0.14388175776096404</v>
      </c>
      <c r="X73" s="867">
        <f>Model!BC783</f>
        <v>0.1457369727055754</v>
      </c>
      <c r="Y73" s="867">
        <f>Model!BD783</f>
        <v>0.14452504904155211</v>
      </c>
      <c r="Z73" s="867">
        <f>Model!BE783</f>
        <v>0.14984051948819932</v>
      </c>
      <c r="AA73" s="867">
        <f>Model!BF783</f>
        <v>0.15198149599659122</v>
      </c>
      <c r="AB73" s="867">
        <f>Model!BG783</f>
        <v>0.15535891983704231</v>
      </c>
      <c r="AC73" s="867">
        <f>Model!BH783</f>
        <v>0.15364507815888898</v>
      </c>
      <c r="AD73" s="867">
        <f>Model!BI783</f>
        <v>0.15363954814699407</v>
      </c>
      <c r="AE73" s="867">
        <f>Model!BJ783</f>
        <v>0.14980253746744407</v>
      </c>
      <c r="AF73" s="867">
        <f>Model!BK783</f>
        <v>0.14701383540092988</v>
      </c>
      <c r="AG73" s="867">
        <f>Model!BL783</f>
        <v>0.14497462299337249</v>
      </c>
      <c r="AH73" s="867">
        <f>Model!BM783</f>
        <v>0.14388268347190342</v>
      </c>
      <c r="AI73" s="867">
        <f>Model!BN783</f>
        <v>0.14365015020151667</v>
      </c>
      <c r="AJ73" s="867">
        <f>Model!BO783</f>
        <v>0.14311898233953216</v>
      </c>
      <c r="AK73" s="867">
        <f>Model!BP783</f>
        <v>0.14286745311076815</v>
      </c>
      <c r="AL73" s="867">
        <f>Model!BQ783</f>
        <v>0.14224799223165371</v>
      </c>
      <c r="AN73" s="867">
        <f>Model!CR783</f>
        <v>0.15703783221105364</v>
      </c>
      <c r="AO73" s="867">
        <f>Model!CS783</f>
        <v>0.13648402455640779</v>
      </c>
      <c r="AP73" s="867">
        <f>Model!CT783</f>
        <v>0.12091661886481636</v>
      </c>
      <c r="AQ73" s="867">
        <f>Model!CU783</f>
        <v>0.10197312708180432</v>
      </c>
      <c r="AR73" s="867">
        <f>Model!CV783</f>
        <v>0.11507873177997659</v>
      </c>
      <c r="AS73" s="867">
        <f>Model!CW783</f>
        <v>0.12726983326922311</v>
      </c>
      <c r="AT73" s="867">
        <f>Model!CX783</f>
        <v>0.13948592953689343</v>
      </c>
      <c r="AU73" s="867">
        <f>Model!CY783</f>
        <v>0.13563716094157233</v>
      </c>
      <c r="AV73" s="868">
        <f>Model!CZ783</f>
        <v>0.13559109045097359</v>
      </c>
      <c r="AW73" s="867">
        <f>Model!DA783</f>
        <v>0.14160241022314687</v>
      </c>
      <c r="AX73" s="867">
        <f>Model!DB783</f>
        <v>0.14480059284899846</v>
      </c>
      <c r="AY73" s="867">
        <f>Model!DC783</f>
        <v>0.14716997126982742</v>
      </c>
      <c r="AZ73" s="867">
        <f>Model!DD783</f>
        <v>0.15365100819182595</v>
      </c>
      <c r="BA73" s="867">
        <f>Model!DE783</f>
        <v>0.1536173373561506</v>
      </c>
      <c r="BB73" s="867">
        <f>Model!DF783</f>
        <v>0.14838500498007351</v>
      </c>
      <c r="BC73" s="867">
        <f>Model!DG783</f>
        <v>0.14441278956068077</v>
      </c>
      <c r="BD73" s="867">
        <f>Model!DH783</f>
        <v>0.1433627883256802</v>
      </c>
      <c r="BE73" s="867">
        <f>Model!DI783</f>
        <v>0.14253510476134398</v>
      </c>
    </row>
    <row r="74" spans="2:59" ht="15.95" customHeight="1">
      <c r="B74" s="852" t="s">
        <v>2171</v>
      </c>
      <c r="C74" s="869">
        <f>C73/C72</f>
        <v>15.797253581567306</v>
      </c>
      <c r="D74" s="869">
        <f t="shared" ref="D74:BE74" si="276">D73/D72</f>
        <v>15.890928395617832</v>
      </c>
      <c r="E74" s="869">
        <f t="shared" si="276"/>
        <v>15.074844816883921</v>
      </c>
      <c r="F74" s="869">
        <f t="shared" si="276"/>
        <v>14.743366289028458</v>
      </c>
      <c r="G74" s="869">
        <f t="shared" si="276"/>
        <v>14.525669974448869</v>
      </c>
      <c r="H74" s="869">
        <f t="shared" si="276"/>
        <v>14.126482328180563</v>
      </c>
      <c r="I74" s="869">
        <f t="shared" si="276"/>
        <v>13.984882960266219</v>
      </c>
      <c r="J74" s="869">
        <f t="shared" si="276"/>
        <v>14.203675494374956</v>
      </c>
      <c r="K74" s="869">
        <f t="shared" si="276"/>
        <v>14.028107696284506</v>
      </c>
      <c r="L74" s="869">
        <f t="shared" si="276"/>
        <v>13.542600137986694</v>
      </c>
      <c r="M74" s="869">
        <f t="shared" si="276"/>
        <v>14.674261493315944</v>
      </c>
      <c r="N74" s="869">
        <f t="shared" si="276"/>
        <v>15.902223728813558</v>
      </c>
      <c r="O74" s="869">
        <f t="shared" si="276"/>
        <v>16.932416589658356</v>
      </c>
      <c r="P74" s="869">
        <f t="shared" si="276"/>
        <v>17.225697097683977</v>
      </c>
      <c r="Q74" s="869">
        <f t="shared" si="276"/>
        <v>17.477047455562321</v>
      </c>
      <c r="R74" s="869">
        <f t="shared" si="276"/>
        <v>17.420528212929838</v>
      </c>
      <c r="S74" s="869">
        <f t="shared" si="276"/>
        <v>17.078502480586714</v>
      </c>
      <c r="T74" s="870">
        <f t="shared" si="276"/>
        <v>17.106647623993766</v>
      </c>
      <c r="U74" s="869">
        <f t="shared" si="276"/>
        <v>17.616314547971896</v>
      </c>
      <c r="V74" s="869">
        <f t="shared" si="276"/>
        <v>18.235986824617306</v>
      </c>
      <c r="W74" s="869">
        <f t="shared" si="276"/>
        <v>18.417016031750293</v>
      </c>
      <c r="X74" s="869">
        <f t="shared" si="276"/>
        <v>18.851227343093946</v>
      </c>
      <c r="Y74" s="869">
        <f t="shared" si="276"/>
        <v>19.242391544072685</v>
      </c>
      <c r="Z74" s="869">
        <f t="shared" si="276"/>
        <v>19.613568494433551</v>
      </c>
      <c r="AA74" s="869">
        <f t="shared" si="276"/>
        <v>19.973197363829893</v>
      </c>
      <c r="AB74" s="869">
        <f t="shared" si="276"/>
        <v>20.123206928374309</v>
      </c>
      <c r="AC74" s="869">
        <f t="shared" si="276"/>
        <v>20.120568620860393</v>
      </c>
      <c r="AD74" s="869">
        <f t="shared" si="276"/>
        <v>20.071772986967108</v>
      </c>
      <c r="AE74" s="869">
        <f t="shared" si="276"/>
        <v>20.050600514393331</v>
      </c>
      <c r="AF74" s="869">
        <f t="shared" si="276"/>
        <v>20.066231722511457</v>
      </c>
      <c r="AG74" s="869">
        <f t="shared" si="276"/>
        <v>20.085298738162429</v>
      </c>
      <c r="AH74" s="869">
        <f t="shared" si="276"/>
        <v>20.107869182711717</v>
      </c>
      <c r="AI74" s="869">
        <f t="shared" si="276"/>
        <v>20.124664548085487</v>
      </c>
      <c r="AJ74" s="869">
        <f t="shared" si="276"/>
        <v>20.136917081344045</v>
      </c>
      <c r="AK74" s="869">
        <f t="shared" si="276"/>
        <v>20.142054709259789</v>
      </c>
      <c r="AL74" s="869">
        <f t="shared" si="276"/>
        <v>20.140594806048043</v>
      </c>
      <c r="AM74" s="869"/>
      <c r="AN74" s="869">
        <f t="shared" si="276"/>
        <v>15.815832276113332</v>
      </c>
      <c r="AO74" s="869">
        <f t="shared" si="276"/>
        <v>14.946447434896433</v>
      </c>
      <c r="AP74" s="869">
        <f t="shared" si="276"/>
        <v>14.348585800644221</v>
      </c>
      <c r="AQ74" s="869">
        <f t="shared" si="276"/>
        <v>14.110780217919041</v>
      </c>
      <c r="AR74" s="869">
        <f t="shared" si="276"/>
        <v>13.835634110011702</v>
      </c>
      <c r="AS74" s="869">
        <f t="shared" si="276"/>
        <v>15.237614569378309</v>
      </c>
      <c r="AT74" s="869">
        <f t="shared" si="276"/>
        <v>17.085392200310217</v>
      </c>
      <c r="AU74" s="869">
        <f t="shared" si="276"/>
        <v>17.468179875063779</v>
      </c>
      <c r="AV74" s="870">
        <f t="shared" si="276"/>
        <v>17.092955363841178</v>
      </c>
      <c r="AW74" s="869">
        <f t="shared" si="276"/>
        <v>17.929394809851669</v>
      </c>
      <c r="AX74" s="869">
        <f t="shared" si="276"/>
        <v>18.636077699239788</v>
      </c>
      <c r="AY74" s="869">
        <f t="shared" si="276"/>
        <v>19.429296638489223</v>
      </c>
      <c r="AZ74" s="869">
        <f t="shared" si="276"/>
        <v>20.04929516778472</v>
      </c>
      <c r="BA74" s="869">
        <f t="shared" si="276"/>
        <v>20.095729066013234</v>
      </c>
      <c r="BB74" s="869">
        <f t="shared" si="276"/>
        <v>20.058550968351355</v>
      </c>
      <c r="BC74" s="869">
        <f t="shared" si="276"/>
        <v>20.096745742881343</v>
      </c>
      <c r="BD74" s="869">
        <f t="shared" si="276"/>
        <v>20.130897134960485</v>
      </c>
      <c r="BE74" s="869">
        <f t="shared" si="276"/>
        <v>20.141311835379543</v>
      </c>
      <c r="BF74" s="871"/>
      <c r="BG74" s="871"/>
    </row>
    <row r="75" spans="2:59" ht="15.95" customHeight="1">
      <c r="T75" s="854"/>
    </row>
    <row r="76" spans="2:59" ht="15.95" customHeight="1">
      <c r="B76" s="853" t="s">
        <v>1762</v>
      </c>
      <c r="T76" s="854"/>
    </row>
    <row r="77" spans="2:59" ht="15.95" customHeight="1">
      <c r="B77" s="852" t="s">
        <v>543</v>
      </c>
      <c r="C77" s="867">
        <f>Model!AH834</f>
        <v>9.9259761593288143E-2</v>
      </c>
      <c r="D77" s="867">
        <f>Model!AI834</f>
        <v>0.10103577745084805</v>
      </c>
      <c r="E77" s="867">
        <f>Model!AJ834</f>
        <v>0.10398424811040841</v>
      </c>
      <c r="F77" s="867">
        <f>Model!AK834</f>
        <v>0.10132748379894116</v>
      </c>
      <c r="G77" s="867">
        <f>Model!AL834</f>
        <v>0.10788868321262333</v>
      </c>
      <c r="H77" s="867">
        <f>Model!AM834</f>
        <v>0.10682654463051228</v>
      </c>
      <c r="I77" s="867">
        <f>Model!AN834</f>
        <v>0.11661924417905663</v>
      </c>
      <c r="J77" s="867">
        <f>Model!AO834</f>
        <v>0.11555826160352392</v>
      </c>
      <c r="K77" s="867">
        <f>Model!AP834</f>
        <v>0.12582228140100879</v>
      </c>
      <c r="L77" s="867">
        <f>Model!AQ834</f>
        <v>0.1305493920298216</v>
      </c>
      <c r="M77" s="867">
        <f>Model!AR834</f>
        <v>0.11752665136769035</v>
      </c>
      <c r="N77" s="867">
        <f>Model!AS834</f>
        <v>0.11452885364697565</v>
      </c>
      <c r="O77" s="867">
        <f>Model!AT834</f>
        <v>0.11410444506126333</v>
      </c>
      <c r="P77" s="867">
        <f>Model!AU834</f>
        <v>0.12160250602574403</v>
      </c>
      <c r="Q77" s="867">
        <f>Model!AV834</f>
        <v>0.12343737867846882</v>
      </c>
      <c r="R77" s="867">
        <f>Model!AW834</f>
        <v>0.12338974785638358</v>
      </c>
      <c r="S77" s="867">
        <f>Model!AX834</f>
        <v>0.12204557092184613</v>
      </c>
      <c r="T77" s="868">
        <f>Model!AY834</f>
        <v>0.12288141571516391</v>
      </c>
      <c r="U77" s="867">
        <f>Model!AZ834</f>
        <v>0.12254259761334627</v>
      </c>
      <c r="V77" s="867">
        <f>Model!BA834</f>
        <v>0.12345864424231444</v>
      </c>
      <c r="W77" s="867">
        <f>Model!BB834</f>
        <v>0.12170965135907187</v>
      </c>
      <c r="X77" s="867">
        <f>Model!BC834</f>
        <v>0.12123661212591444</v>
      </c>
      <c r="Y77" s="867">
        <f>Model!BD834</f>
        <v>0.11964976901698805</v>
      </c>
      <c r="Z77" s="867">
        <f>Model!BE834</f>
        <v>0.11913308256494996</v>
      </c>
      <c r="AA77" s="867">
        <f>Model!BF834</f>
        <v>0.11753124479965724</v>
      </c>
      <c r="AB77" s="867">
        <f>Model!BG834</f>
        <v>0.11917226205994526</v>
      </c>
      <c r="AC77" s="867">
        <f>Model!BH834</f>
        <v>0.11993030866607958</v>
      </c>
      <c r="AD77" s="867">
        <f>Model!BI834</f>
        <v>0.1214298097338349</v>
      </c>
      <c r="AE77" s="867">
        <f>Model!BJ834</f>
        <v>0.12165032241509691</v>
      </c>
      <c r="AF77" s="867">
        <f>Model!BK834</f>
        <v>0.12246004101286136</v>
      </c>
      <c r="AG77" s="867">
        <f>Model!BL834</f>
        <v>0.12245633427518375</v>
      </c>
      <c r="AH77" s="867">
        <f>Model!BM834</f>
        <v>0.12319189556268111</v>
      </c>
      <c r="AI77" s="867">
        <f>Model!BN834</f>
        <v>0.12327508916144471</v>
      </c>
      <c r="AJ77" s="867">
        <f>Model!BO834</f>
        <v>0.12405417570836925</v>
      </c>
      <c r="AK77" s="867">
        <f>Model!BP834</f>
        <v>0.12425419262643081</v>
      </c>
      <c r="AL77" s="867">
        <f>Model!BQ834</f>
        <v>0.12511616670646639</v>
      </c>
      <c r="AN77" s="867">
        <f>Model!CR834</f>
        <v>0.10103577745084805</v>
      </c>
      <c r="AO77" s="867">
        <f>Model!CS834</f>
        <v>0.10132748379894116</v>
      </c>
      <c r="AP77" s="867">
        <f>Model!CT834</f>
        <v>0.10682654463051228</v>
      </c>
      <c r="AQ77" s="867">
        <f>Model!CU834</f>
        <v>0.11555826160352392</v>
      </c>
      <c r="AR77" s="867">
        <f>Model!CV834</f>
        <v>0.1305493920298216</v>
      </c>
      <c r="AS77" s="867">
        <f>Model!CW834</f>
        <v>0.11452885364697565</v>
      </c>
      <c r="AT77" s="867">
        <f>Model!CX834</f>
        <v>0.12160250602574403</v>
      </c>
      <c r="AU77" s="867">
        <f>Model!CY834</f>
        <v>0.12338974785638358</v>
      </c>
      <c r="AV77" s="868">
        <f>Model!CZ834</f>
        <v>0.12288141571516391</v>
      </c>
      <c r="AW77" s="867">
        <f>Model!DA834</f>
        <v>0.12345864424231444</v>
      </c>
      <c r="AX77" s="867">
        <f>Model!DB834</f>
        <v>0.12123661212591444</v>
      </c>
      <c r="AY77" s="867">
        <f>Model!DC834</f>
        <v>0.11913308256494999</v>
      </c>
      <c r="AZ77" s="867">
        <f>Model!DD834</f>
        <v>0.11917226205994526</v>
      </c>
      <c r="BA77" s="867">
        <f>Model!DE834</f>
        <v>0.1214298097338349</v>
      </c>
      <c r="BB77" s="867">
        <f>Model!DF834</f>
        <v>0.12246004101286136</v>
      </c>
      <c r="BC77" s="867">
        <f>Model!DG834</f>
        <v>0.12319189556268111</v>
      </c>
      <c r="BD77" s="867">
        <f>Model!DH834</f>
        <v>0.12405417570836925</v>
      </c>
      <c r="BE77" s="867">
        <f>Model!DI834</f>
        <v>0.12511616670646639</v>
      </c>
    </row>
    <row r="78" spans="2:59" ht="15.95" customHeight="1">
      <c r="B78" s="852" t="s">
        <v>652</v>
      </c>
      <c r="C78" s="867">
        <f>Model!AH837</f>
        <v>0.13698419862491151</v>
      </c>
      <c r="D78" s="867">
        <f>Model!AI837</f>
        <v>0.14248746748180469</v>
      </c>
      <c r="E78" s="867">
        <f>Model!AJ837</f>
        <v>0.1474130969340072</v>
      </c>
      <c r="F78" s="867">
        <f>Model!AK837</f>
        <v>0.1503318709497353</v>
      </c>
      <c r="G78" s="867">
        <f>Model!AL837</f>
        <v>0.15826339341875886</v>
      </c>
      <c r="H78" s="867">
        <f>Model!AM837</f>
        <v>0.1548385244344711</v>
      </c>
      <c r="I78" s="867">
        <f>Model!AN837</f>
        <v>0.17355517261340209</v>
      </c>
      <c r="J78" s="867">
        <f>Model!AO837</f>
        <v>0.17549917792802694</v>
      </c>
      <c r="K78" s="867">
        <f>Model!AP837</f>
        <v>0.18897481570314981</v>
      </c>
      <c r="L78" s="867">
        <f>Model!AQ837</f>
        <v>0.19818052720333718</v>
      </c>
      <c r="M78" s="867">
        <f>Model!AR837</f>
        <v>0.18001724843037165</v>
      </c>
      <c r="N78" s="867">
        <f>Model!AS837</f>
        <v>0.17584134711945562</v>
      </c>
      <c r="O78" s="867">
        <f>Model!AT837</f>
        <v>0.17794718267972559</v>
      </c>
      <c r="P78" s="867">
        <f>Model!AU837</f>
        <v>0.20038804082121062</v>
      </c>
      <c r="Q78" s="867">
        <f>Model!AV837</f>
        <v>0.20541622451708638</v>
      </c>
      <c r="R78" s="867">
        <f>Model!AW837</f>
        <v>0.20915579263010881</v>
      </c>
      <c r="S78" s="867">
        <f>Model!AX837</f>
        <v>0.20669860625371864</v>
      </c>
      <c r="T78" s="868">
        <f>Model!AY837</f>
        <v>0.20901752511866489</v>
      </c>
      <c r="U78" s="867">
        <f>Model!AZ837</f>
        <v>0.20633076725178603</v>
      </c>
      <c r="V78" s="867">
        <f>Model!BA837</f>
        <v>0.20517684409083492</v>
      </c>
      <c r="W78" s="867">
        <f>Model!BB837</f>
        <v>0.2026896709565873</v>
      </c>
      <c r="X78" s="867">
        <f>Model!BC837</f>
        <v>0.20152762199453078</v>
      </c>
      <c r="Y78" s="867">
        <f>Model!BD837</f>
        <v>0.19906752991885435</v>
      </c>
      <c r="Z78" s="867">
        <f>Model!BE837</f>
        <v>0.19772087292838966</v>
      </c>
      <c r="AA78" s="867">
        <f>Model!BF837</f>
        <v>0.19503226035869389</v>
      </c>
      <c r="AB78" s="867">
        <f>Model!BG837</f>
        <v>0.19568438927452891</v>
      </c>
      <c r="AC78" s="867">
        <f>Model!BH837</f>
        <v>0.19540529781750715</v>
      </c>
      <c r="AD78" s="867">
        <f>Model!BI837</f>
        <v>0.19597993296393748</v>
      </c>
      <c r="AE78" s="867">
        <f>Model!BJ837</f>
        <v>0.19502978503462001</v>
      </c>
      <c r="AF78" s="867">
        <f>Model!BK837</f>
        <v>0.19459154735105227</v>
      </c>
      <c r="AG78" s="867">
        <f>Model!BL837</f>
        <v>0.19336031031507345</v>
      </c>
      <c r="AH78" s="867">
        <f>Model!BM837</f>
        <v>0.19288845592240908</v>
      </c>
      <c r="AI78" s="867">
        <f>Model!BN837</f>
        <v>0.19178404129498042</v>
      </c>
      <c r="AJ78" s="867">
        <f>Model!BO837</f>
        <v>0.19139502406105241</v>
      </c>
      <c r="AK78" s="867">
        <f>Model!BP837</f>
        <v>0.19044614274560576</v>
      </c>
      <c r="AL78" s="867">
        <f>Model!BQ837</f>
        <v>0.19017812930748484</v>
      </c>
      <c r="AN78" s="867">
        <f>Model!CR837</f>
        <v>0.14248746748180469</v>
      </c>
      <c r="AO78" s="867">
        <f>Model!CS837</f>
        <v>0.1503318709497353</v>
      </c>
      <c r="AP78" s="867">
        <f>Model!CT837</f>
        <v>0.1548385244344711</v>
      </c>
      <c r="AQ78" s="867">
        <f>Model!CU837</f>
        <v>0.17549917792802694</v>
      </c>
      <c r="AR78" s="867">
        <f>Model!CV837</f>
        <v>0.19818052720333718</v>
      </c>
      <c r="AS78" s="867">
        <f>Model!CW837</f>
        <v>0.17584134711945562</v>
      </c>
      <c r="AT78" s="867">
        <f>Model!CX837</f>
        <v>0.20038804082121062</v>
      </c>
      <c r="AU78" s="867">
        <f>Model!CY837</f>
        <v>0.20915579263010881</v>
      </c>
      <c r="AV78" s="868">
        <f>Model!CZ837</f>
        <v>0.20901752511866489</v>
      </c>
      <c r="AW78" s="867">
        <f>Model!DA837</f>
        <v>0.20517684409083492</v>
      </c>
      <c r="AX78" s="867">
        <f>Model!DB837</f>
        <v>0.20152762199453078</v>
      </c>
      <c r="AY78" s="867">
        <f>Model!DC837</f>
        <v>0.19772087292838969</v>
      </c>
      <c r="AZ78" s="867">
        <f>Model!DD837</f>
        <v>0.19568438927452891</v>
      </c>
      <c r="BA78" s="867">
        <f>Model!DE837</f>
        <v>0.19597993296393748</v>
      </c>
      <c r="BB78" s="867">
        <f>Model!DF837</f>
        <v>0.19459154735105227</v>
      </c>
      <c r="BC78" s="867">
        <f>Model!DG837</f>
        <v>0.19288845592240908</v>
      </c>
      <c r="BD78" s="867">
        <f>Model!DH837</f>
        <v>0.19139502406105241</v>
      </c>
      <c r="BE78" s="867">
        <f>Model!DI837</f>
        <v>0.19017812930748484</v>
      </c>
    </row>
  </sheetData>
  <pageMargins left="0.7" right="0.7" top="0.75" bottom="0.75" header="0.3" footer="0.3"/>
  <customProperties>
    <customPr name="Qube.Worksheet.Visibility" r:id="rId1"/>
  </customPropertie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B1:BU490"/>
  <sheetViews>
    <sheetView workbookViewId="0"/>
  </sheetViews>
  <sheetFormatPr defaultColWidth="9" defaultRowHeight="10.5" outlineLevelRow="2" outlineLevelCol="1"/>
  <cols>
    <col min="1" max="1" width="2.75" style="246" customWidth="1"/>
    <col min="2" max="2" width="19.75" style="246" customWidth="1"/>
    <col min="3" max="18" width="7" style="246" hidden="1" customWidth="1" outlineLevel="1"/>
    <col min="19" max="19" width="7.75" style="246" customWidth="1" collapsed="1"/>
    <col min="20" max="57" width="7.75" style="246" customWidth="1"/>
    <col min="58" max="58" width="7" style="246" customWidth="1"/>
    <col min="59" max="16384" width="9" style="246"/>
  </cols>
  <sheetData>
    <row r="1" spans="2:73">
      <c r="B1" s="243"/>
      <c r="C1" s="244" t="s">
        <v>2263</v>
      </c>
      <c r="D1" s="245" t="s">
        <v>2264</v>
      </c>
      <c r="E1" s="245" t="s">
        <v>2265</v>
      </c>
      <c r="F1" s="244" t="s">
        <v>2266</v>
      </c>
      <c r="G1" s="245" t="s">
        <v>2267</v>
      </c>
      <c r="H1" s="245" t="s">
        <v>2268</v>
      </c>
      <c r="I1" s="244" t="s">
        <v>2269</v>
      </c>
      <c r="J1" s="245" t="s">
        <v>2270</v>
      </c>
      <c r="K1" s="245" t="s">
        <v>2271</v>
      </c>
      <c r="L1" s="244" t="s">
        <v>2272</v>
      </c>
      <c r="M1" s="245" t="s">
        <v>2273</v>
      </c>
      <c r="N1" s="245" t="s">
        <v>2274</v>
      </c>
      <c r="O1" s="244" t="s">
        <v>2275</v>
      </c>
      <c r="P1" s="245" t="s">
        <v>2276</v>
      </c>
      <c r="Q1" s="245" t="s">
        <v>2277</v>
      </c>
      <c r="R1" s="244" t="s">
        <v>2278</v>
      </c>
      <c r="S1" s="245" t="s">
        <v>2279</v>
      </c>
      <c r="T1" s="245" t="s">
        <v>2280</v>
      </c>
      <c r="U1" s="244" t="s">
        <v>2281</v>
      </c>
      <c r="V1" s="245" t="s">
        <v>2282</v>
      </c>
      <c r="W1" s="245" t="s">
        <v>2283</v>
      </c>
      <c r="X1" s="244" t="s">
        <v>2284</v>
      </c>
      <c r="Y1" s="245" t="s">
        <v>2285</v>
      </c>
      <c r="Z1" s="245" t="s">
        <v>2286</v>
      </c>
      <c r="AA1" s="244" t="s">
        <v>2287</v>
      </c>
      <c r="AB1" s="245" t="s">
        <v>2288</v>
      </c>
      <c r="AC1" s="245" t="s">
        <v>2289</v>
      </c>
      <c r="AD1" s="244" t="s">
        <v>2290</v>
      </c>
      <c r="AE1" s="245" t="s">
        <v>2291</v>
      </c>
      <c r="AF1" s="606" t="s">
        <v>2292</v>
      </c>
      <c r="AG1" s="244" t="s">
        <v>2293</v>
      </c>
      <c r="AH1" s="245" t="s">
        <v>2382</v>
      </c>
      <c r="AI1" s="245" t="s">
        <v>2383</v>
      </c>
      <c r="AJ1" s="244" t="s">
        <v>2384</v>
      </c>
      <c r="AK1" s="753" t="s">
        <v>2440</v>
      </c>
      <c r="AL1" s="245" t="s">
        <v>2441</v>
      </c>
      <c r="AM1" s="244" t="s">
        <v>2442</v>
      </c>
      <c r="AN1" s="245" t="s">
        <v>2508</v>
      </c>
      <c r="AO1" s="245" t="s">
        <v>2509</v>
      </c>
      <c r="AP1" s="244" t="s">
        <v>2510</v>
      </c>
      <c r="AQ1" s="245" t="s">
        <v>2515</v>
      </c>
      <c r="AR1" s="245" t="s">
        <v>2516</v>
      </c>
      <c r="AS1" s="244" t="s">
        <v>2517</v>
      </c>
      <c r="AT1" s="245" t="s">
        <v>2530</v>
      </c>
      <c r="AU1" s="245" t="s">
        <v>2531</v>
      </c>
      <c r="AV1" s="244" t="s">
        <v>2532</v>
      </c>
      <c r="AW1" s="245" t="s">
        <v>2547</v>
      </c>
      <c r="AX1" s="245" t="s">
        <v>2548</v>
      </c>
      <c r="AY1" s="244" t="s">
        <v>2549</v>
      </c>
      <c r="AZ1" s="245" t="s">
        <v>2602</v>
      </c>
      <c r="BA1" s="245" t="s">
        <v>2603</v>
      </c>
      <c r="BB1" s="244" t="s">
        <v>2604</v>
      </c>
      <c r="BC1" s="245" t="s">
        <v>2613</v>
      </c>
      <c r="BD1" s="245" t="s">
        <v>2614</v>
      </c>
      <c r="BE1" s="244" t="s">
        <v>2615</v>
      </c>
      <c r="BG1" s="272" t="s">
        <v>2285</v>
      </c>
      <c r="BH1" s="272" t="s">
        <v>2286</v>
      </c>
      <c r="BI1" s="272" t="s">
        <v>2287</v>
      </c>
      <c r="BJ1" s="272" t="s">
        <v>2288</v>
      </c>
      <c r="BK1" s="272" t="s">
        <v>2289</v>
      </c>
      <c r="BL1" s="272" t="s">
        <v>2290</v>
      </c>
      <c r="BM1" s="272" t="s">
        <v>2291</v>
      </c>
      <c r="BN1" s="272" t="s">
        <v>2292</v>
      </c>
      <c r="BO1" s="272" t="s">
        <v>2293</v>
      </c>
      <c r="BP1" s="272" t="s">
        <v>2382</v>
      </c>
      <c r="BQ1" s="272" t="s">
        <v>2383</v>
      </c>
      <c r="BR1" s="272" t="s">
        <v>2384</v>
      </c>
      <c r="BS1" s="272" t="s">
        <v>2440</v>
      </c>
      <c r="BT1" s="272" t="s">
        <v>2441</v>
      </c>
      <c r="BU1" s="272" t="s">
        <v>2442</v>
      </c>
    </row>
    <row r="2" spans="2:73">
      <c r="B2" s="247" t="s">
        <v>1112</v>
      </c>
      <c r="C2" s="248"/>
      <c r="D2" s="249"/>
      <c r="E2" s="249"/>
      <c r="F2" s="248"/>
      <c r="G2" s="249"/>
      <c r="H2" s="249"/>
      <c r="I2" s="248"/>
      <c r="J2" s="249"/>
      <c r="K2" s="249"/>
      <c r="L2" s="248"/>
      <c r="M2" s="250" t="s">
        <v>2294</v>
      </c>
      <c r="N2" s="249"/>
      <c r="O2" s="248"/>
      <c r="P2" s="249"/>
      <c r="Q2" s="249"/>
      <c r="R2" s="248"/>
      <c r="S2" s="249"/>
      <c r="T2" s="249"/>
      <c r="U2" s="248"/>
      <c r="V2" s="249"/>
      <c r="W2" s="249"/>
      <c r="X2" s="248"/>
      <c r="Y2" s="249"/>
      <c r="Z2" s="249"/>
      <c r="AA2" s="248"/>
      <c r="AB2" s="249"/>
      <c r="AC2" s="249"/>
      <c r="AD2" s="248"/>
      <c r="AE2" s="249"/>
      <c r="AF2" s="607"/>
      <c r="AG2" s="248"/>
      <c r="AH2" s="249"/>
      <c r="AI2" s="249"/>
      <c r="AJ2" s="248"/>
      <c r="AK2" s="249"/>
      <c r="AL2" s="249"/>
      <c r="AM2" s="248"/>
      <c r="AN2" s="249"/>
      <c r="AO2" s="249"/>
      <c r="AP2" s="248"/>
      <c r="AQ2" s="249"/>
      <c r="AR2" s="249"/>
      <c r="AS2" s="248"/>
      <c r="AT2" s="249"/>
      <c r="AU2" s="249"/>
      <c r="AV2" s="248"/>
      <c r="AW2" s="249"/>
      <c r="AX2" s="249"/>
      <c r="AY2" s="248"/>
      <c r="AZ2" s="249"/>
      <c r="BA2" s="249"/>
      <c r="BB2" s="248"/>
      <c r="BC2" s="249"/>
      <c r="BD2" s="249"/>
      <c r="BE2" s="248"/>
      <c r="BG2" s="272"/>
      <c r="BH2" s="272"/>
      <c r="BI2" s="272"/>
      <c r="BJ2" s="272"/>
      <c r="BK2" s="272"/>
      <c r="BL2" s="272"/>
      <c r="BM2" s="272"/>
      <c r="BN2" s="272"/>
      <c r="BO2" s="272"/>
      <c r="BP2" s="272"/>
      <c r="BQ2" s="272"/>
      <c r="BR2" s="272"/>
      <c r="BS2" s="272"/>
      <c r="BT2" s="272"/>
      <c r="BU2" s="272"/>
    </row>
    <row r="3" spans="2:73" s="251" customFormat="1">
      <c r="B3" s="251" t="s">
        <v>2295</v>
      </c>
      <c r="C3" s="252"/>
      <c r="D3" s="253">
        <f>D29+D161</f>
        <v>893</v>
      </c>
      <c r="E3" s="253">
        <f>F3-D3</f>
        <v>981</v>
      </c>
      <c r="F3" s="254">
        <f>F29+F161</f>
        <v>1874</v>
      </c>
      <c r="G3" s="253">
        <f>G29+G161</f>
        <v>1141</v>
      </c>
      <c r="H3" s="253">
        <f>I3-G3</f>
        <v>1166</v>
      </c>
      <c r="I3" s="254">
        <f>I29+I161</f>
        <v>2307</v>
      </c>
      <c r="J3" s="253">
        <f>J29+J161</f>
        <v>1005</v>
      </c>
      <c r="K3" s="253">
        <f>L3-J3</f>
        <v>808</v>
      </c>
      <c r="L3" s="254">
        <f>L29+L161</f>
        <v>1813</v>
      </c>
      <c r="M3" s="253">
        <f>M29+M161</f>
        <v>947</v>
      </c>
      <c r="N3" s="253">
        <f>O3-M3</f>
        <v>951</v>
      </c>
      <c r="O3" s="254">
        <f>O29+O161</f>
        <v>1898</v>
      </c>
      <c r="P3" s="253">
        <f>P29+P161</f>
        <v>1017</v>
      </c>
      <c r="Q3" s="253">
        <f>R3-P3</f>
        <v>1024</v>
      </c>
      <c r="R3" s="254">
        <f>R29+R161</f>
        <v>2041</v>
      </c>
      <c r="S3" s="253">
        <f>S29+S161</f>
        <v>977</v>
      </c>
      <c r="T3" s="253">
        <f>U3-S3</f>
        <v>980</v>
      </c>
      <c r="U3" s="254">
        <f>U29+U161</f>
        <v>1957</v>
      </c>
      <c r="V3" s="253">
        <f>V29+V161</f>
        <v>1042</v>
      </c>
      <c r="W3" s="253">
        <f>X3-V3</f>
        <v>920</v>
      </c>
      <c r="X3" s="254">
        <f>X29+X161</f>
        <v>1962</v>
      </c>
      <c r="Y3" s="253">
        <f>Y29+Y161</f>
        <v>1089</v>
      </c>
      <c r="Z3" s="253">
        <f>AA3-Y3</f>
        <v>1094</v>
      </c>
      <c r="AA3" s="254">
        <f t="shared" ref="AA3:AE4" si="0">AA29+AA161</f>
        <v>2183</v>
      </c>
      <c r="AB3" s="253">
        <f t="shared" si="0"/>
        <v>1164</v>
      </c>
      <c r="AC3" s="253">
        <f t="shared" si="0"/>
        <v>1229</v>
      </c>
      <c r="AD3" s="254">
        <f t="shared" si="0"/>
        <v>2393</v>
      </c>
      <c r="AE3" s="253">
        <f t="shared" si="0"/>
        <v>1303.8022085394364</v>
      </c>
      <c r="AF3" s="258">
        <f>AG3-AE3</f>
        <v>1249.9035475073151</v>
      </c>
      <c r="AG3" s="254">
        <f>AG29+AG161</f>
        <v>2553.7057560467515</v>
      </c>
      <c r="AH3" s="253">
        <f>AH29+AH161</f>
        <v>1201.6496547989711</v>
      </c>
      <c r="AI3" s="253">
        <f>AJ3-AH3</f>
        <v>1232.5018275348582</v>
      </c>
      <c r="AJ3" s="254">
        <f>AJ29+AJ161</f>
        <v>2434.1514823338293</v>
      </c>
      <c r="AK3" s="253">
        <f>AK29+AK161</f>
        <v>1192.0454853120345</v>
      </c>
      <c r="AL3" s="253">
        <f>AM3-AK3</f>
        <v>1239.72153783674</v>
      </c>
      <c r="AM3" s="254">
        <f>AM29+AM161</f>
        <v>2431.7670231487746</v>
      </c>
      <c r="AN3" s="253">
        <f>AN29+AN161</f>
        <v>1177.4696236631921</v>
      </c>
      <c r="AO3" s="253">
        <f>AP3-AN3</f>
        <v>1178.2535918911603</v>
      </c>
      <c r="AP3" s="254">
        <f>AP29+AP161</f>
        <v>2355.7232155543525</v>
      </c>
      <c r="AQ3" s="253">
        <f>AQ29+AQ161</f>
        <v>1336.8152905527882</v>
      </c>
      <c r="AR3" s="253">
        <f>AS3-AQ3</f>
        <v>1374.9482644513296</v>
      </c>
      <c r="AS3" s="254">
        <f>AS29+AS161</f>
        <v>2711.7635550041177</v>
      </c>
      <c r="AT3" s="253">
        <f>AT29+AT161</f>
        <v>1414.2018978502756</v>
      </c>
      <c r="AU3" s="253">
        <f>AV3-AT3</f>
        <v>1454.5978972257881</v>
      </c>
      <c r="AV3" s="254">
        <f>AV29+AV161</f>
        <v>2868.7997950760637</v>
      </c>
      <c r="AW3" s="253">
        <f>AW29+AW161</f>
        <v>1496.1827966976443</v>
      </c>
      <c r="AX3" s="253">
        <f>AY3-AW3</f>
        <v>1538.9796332827286</v>
      </c>
      <c r="AY3" s="254">
        <f>AY29+AY161</f>
        <v>3035.162429980373</v>
      </c>
      <c r="AZ3" s="253">
        <f>AZ29+AZ161</f>
        <v>1583.0380306698644</v>
      </c>
      <c r="BA3" s="253">
        <f>BB3-AZ3</f>
        <v>1628.3824411274059</v>
      </c>
      <c r="BB3" s="254">
        <f>BB29+BB161</f>
        <v>3211.4204717972702</v>
      </c>
      <c r="BC3" s="253">
        <f>BC29+BC161</f>
        <v>1675.0657992968293</v>
      </c>
      <c r="BD3" s="253">
        <f>BE3-BC3</f>
        <v>1723.1140631385003</v>
      </c>
      <c r="BE3" s="254">
        <f>BE29+BE161</f>
        <v>3398.1798624353296</v>
      </c>
      <c r="BG3" s="272">
        <v>1194.7892836373655</v>
      </c>
      <c r="BH3" s="272">
        <v>1242.7108153483448</v>
      </c>
      <c r="BI3" s="272">
        <v>2437.5000989857103</v>
      </c>
      <c r="BJ3" s="272">
        <v>1298.5158087968698</v>
      </c>
      <c r="BK3" s="272">
        <v>1356.5637951900835</v>
      </c>
      <c r="BL3" s="272">
        <v>2655.0796039869533</v>
      </c>
      <c r="BM3" s="272">
        <v>1416.9731561465308</v>
      </c>
      <c r="BN3" s="272">
        <v>1479.7737556784625</v>
      </c>
      <c r="BO3" s="272">
        <v>2896.7469118249933</v>
      </c>
      <c r="BP3" s="272">
        <v>1545.0939441973994</v>
      </c>
      <c r="BQ3" s="272">
        <v>1612.966160534306</v>
      </c>
      <c r="BR3" s="272">
        <v>3158.0601047317055</v>
      </c>
      <c r="BS3" s="272">
        <v>1683.5294638372345</v>
      </c>
      <c r="BT3" s="272">
        <v>1756.8190497668791</v>
      </c>
      <c r="BU3" s="272">
        <v>3440.3485136041136</v>
      </c>
    </row>
    <row r="4" spans="2:73" s="251" customFormat="1">
      <c r="B4" s="251" t="s">
        <v>2296</v>
      </c>
      <c r="C4" s="252"/>
      <c r="D4" s="253">
        <f>D30+D162</f>
        <v>382</v>
      </c>
      <c r="E4" s="253">
        <f>F4-D4</f>
        <v>435</v>
      </c>
      <c r="F4" s="254">
        <f>F30+F162</f>
        <v>817</v>
      </c>
      <c r="G4" s="253">
        <f>G30+G162</f>
        <v>393</v>
      </c>
      <c r="H4" s="253">
        <f>I4-G4</f>
        <v>439</v>
      </c>
      <c r="I4" s="254">
        <f>I30+I162</f>
        <v>832</v>
      </c>
      <c r="J4" s="253">
        <f>J30+J162</f>
        <v>432</v>
      </c>
      <c r="K4" s="253">
        <f>L4-J4</f>
        <v>478</v>
      </c>
      <c r="L4" s="254">
        <f>L30+L162</f>
        <v>910</v>
      </c>
      <c r="M4" s="253">
        <f>M30+M162</f>
        <v>463</v>
      </c>
      <c r="N4" s="253">
        <f>O4-M4</f>
        <v>482</v>
      </c>
      <c r="O4" s="254">
        <f>O30+O162</f>
        <v>945</v>
      </c>
      <c r="P4" s="253">
        <f>P30+P162</f>
        <v>458</v>
      </c>
      <c r="Q4" s="253">
        <f>R4-P4</f>
        <v>398</v>
      </c>
      <c r="R4" s="254">
        <f>R30+R162</f>
        <v>856</v>
      </c>
      <c r="S4" s="253">
        <f>S30+S162</f>
        <v>501</v>
      </c>
      <c r="T4" s="253">
        <f>U4-S4</f>
        <v>459</v>
      </c>
      <c r="U4" s="254">
        <f>U30+U162</f>
        <v>960</v>
      </c>
      <c r="V4" s="253">
        <f>V30+V162</f>
        <v>445</v>
      </c>
      <c r="W4" s="253">
        <f>X4-V4</f>
        <v>480.84099537477744</v>
      </c>
      <c r="X4" s="254">
        <f>X30+X162</f>
        <v>925.84099537477744</v>
      </c>
      <c r="Y4" s="253">
        <f>Y30+Y162</f>
        <v>463</v>
      </c>
      <c r="Z4" s="253">
        <f>AA4-Y4</f>
        <v>506</v>
      </c>
      <c r="AA4" s="254">
        <f t="shared" si="0"/>
        <v>969</v>
      </c>
      <c r="AB4" s="253">
        <f t="shared" si="0"/>
        <v>497</v>
      </c>
      <c r="AC4" s="253">
        <f t="shared" si="0"/>
        <v>450</v>
      </c>
      <c r="AD4" s="254">
        <f t="shared" si="0"/>
        <v>947</v>
      </c>
      <c r="AE4" s="253">
        <f t="shared" si="0"/>
        <v>593.63755458515288</v>
      </c>
      <c r="AF4" s="258">
        <f>AG4-AE4</f>
        <v>363.58078602620094</v>
      </c>
      <c r="AG4" s="254">
        <f>AG30+AG162</f>
        <v>957.21834061135382</v>
      </c>
      <c r="AH4" s="253">
        <f>AH30+AH162</f>
        <v>166.61744966442953</v>
      </c>
      <c r="AI4" s="253">
        <f>AJ4-AH4</f>
        <v>40.926174496644308</v>
      </c>
      <c r="AJ4" s="254">
        <f>AJ30+AJ162</f>
        <v>207.54362416107384</v>
      </c>
      <c r="AK4" s="253">
        <f>AK30+AK162</f>
        <v>319.55704697986579</v>
      </c>
      <c r="AL4" s="253">
        <f>AM4-AK4</f>
        <v>300.21476510067106</v>
      </c>
      <c r="AM4" s="254">
        <f>AM30+AM162</f>
        <v>619.77181208053685</v>
      </c>
      <c r="AN4" s="253">
        <f>AN30+AN162</f>
        <v>188.21959731543623</v>
      </c>
      <c r="AO4" s="253">
        <f>AP4-AN4</f>
        <v>302.82596510067117</v>
      </c>
      <c r="AP4" s="254">
        <f>AP30+AP162</f>
        <v>491.04556241610737</v>
      </c>
      <c r="AQ4" s="253">
        <f>AQ30+AQ162</f>
        <v>310.91578222818788</v>
      </c>
      <c r="AR4" s="253">
        <f>AS4-AQ4</f>
        <v>319.22861150389252</v>
      </c>
      <c r="AS4" s="254">
        <f>AS30+AS162</f>
        <v>630.1443937320804</v>
      </c>
      <c r="AT4" s="253">
        <f>AT30+AT162</f>
        <v>327.7708589002898</v>
      </c>
      <c r="AU4" s="253">
        <f>AV4-AT4</f>
        <v>336.54912376594905</v>
      </c>
      <c r="AV4" s="254">
        <f>AV30+AV162</f>
        <v>664.31998266623884</v>
      </c>
      <c r="AW4" s="253">
        <f>AW30+AW162</f>
        <v>345.57020498897583</v>
      </c>
      <c r="AX4" s="253">
        <f>AY4-AW4</f>
        <v>354.8411073677334</v>
      </c>
      <c r="AY4" s="254">
        <f>AY30+AY162</f>
        <v>700.41131235670923</v>
      </c>
      <c r="AZ4" s="253">
        <f>AZ30+AZ162</f>
        <v>364.36904819612118</v>
      </c>
      <c r="BA4" s="253">
        <f>BB4-AZ4</f>
        <v>374.16146407098654</v>
      </c>
      <c r="BB4" s="254">
        <f>BB30+BB162</f>
        <v>738.53051226710772</v>
      </c>
      <c r="BC4" s="253">
        <f>BC30+BC162</f>
        <v>384.22601792952196</v>
      </c>
      <c r="BD4" s="253">
        <f>BE4-BC4</f>
        <v>394.57060632479124</v>
      </c>
      <c r="BE4" s="254">
        <f>BE30+BE162</f>
        <v>778.7966242543132</v>
      </c>
      <c r="BG4" s="272">
        <v>571.04</v>
      </c>
      <c r="BH4" s="272">
        <v>616.84960000000001</v>
      </c>
      <c r="BI4" s="272">
        <v>1187.8896</v>
      </c>
      <c r="BJ4" s="272">
        <v>639.41818400000011</v>
      </c>
      <c r="BK4" s="272">
        <v>664.99491136000006</v>
      </c>
      <c r="BL4" s="272">
        <v>1304.4130953600002</v>
      </c>
      <c r="BM4" s="272">
        <v>693.86096037440007</v>
      </c>
      <c r="BN4" s="272">
        <v>723.98363271457606</v>
      </c>
      <c r="BO4" s="272">
        <v>1417.8445930889761</v>
      </c>
      <c r="BP4" s="272">
        <v>747.99336911949104</v>
      </c>
      <c r="BQ4" s="272">
        <v>775.36405529888179</v>
      </c>
      <c r="BR4" s="272">
        <v>1523.3574244183728</v>
      </c>
      <c r="BS4" s="272">
        <v>801.10208693908169</v>
      </c>
      <c r="BT4" s="272">
        <v>830.42875717219101</v>
      </c>
      <c r="BU4" s="272">
        <v>1631.5308441112727</v>
      </c>
    </row>
    <row r="5" spans="2:73" s="251" customFormat="1">
      <c r="B5" s="255" t="s">
        <v>2297</v>
      </c>
      <c r="C5" s="256">
        <f t="shared" ref="C5:AM5" si="1">C3+C4</f>
        <v>0</v>
      </c>
      <c r="D5" s="255">
        <f t="shared" si="1"/>
        <v>1275</v>
      </c>
      <c r="E5" s="255">
        <f t="shared" si="1"/>
        <v>1416</v>
      </c>
      <c r="F5" s="256">
        <f t="shared" si="1"/>
        <v>2691</v>
      </c>
      <c r="G5" s="255">
        <f t="shared" si="1"/>
        <v>1534</v>
      </c>
      <c r="H5" s="255">
        <f t="shared" si="1"/>
        <v>1605</v>
      </c>
      <c r="I5" s="256">
        <f t="shared" si="1"/>
        <v>3139</v>
      </c>
      <c r="J5" s="255">
        <f t="shared" si="1"/>
        <v>1437</v>
      </c>
      <c r="K5" s="255">
        <f t="shared" si="1"/>
        <v>1286</v>
      </c>
      <c r="L5" s="256">
        <f t="shared" si="1"/>
        <v>2723</v>
      </c>
      <c r="M5" s="255">
        <f t="shared" si="1"/>
        <v>1410</v>
      </c>
      <c r="N5" s="255">
        <f t="shared" si="1"/>
        <v>1433</v>
      </c>
      <c r="O5" s="256">
        <f t="shared" si="1"/>
        <v>2843</v>
      </c>
      <c r="P5" s="255">
        <f>P3+P4</f>
        <v>1475</v>
      </c>
      <c r="Q5" s="255">
        <f t="shared" si="1"/>
        <v>1422</v>
      </c>
      <c r="R5" s="256">
        <f t="shared" si="1"/>
        <v>2897</v>
      </c>
      <c r="S5" s="255">
        <f t="shared" si="1"/>
        <v>1478</v>
      </c>
      <c r="T5" s="255">
        <f t="shared" si="1"/>
        <v>1439</v>
      </c>
      <c r="U5" s="256">
        <f t="shared" si="1"/>
        <v>2917</v>
      </c>
      <c r="V5" s="255">
        <f t="shared" si="1"/>
        <v>1487</v>
      </c>
      <c r="W5" s="255">
        <f t="shared" si="1"/>
        <v>1400.8409953747773</v>
      </c>
      <c r="X5" s="256">
        <f t="shared" si="1"/>
        <v>2887.8409953747773</v>
      </c>
      <c r="Y5" s="255">
        <f t="shared" si="1"/>
        <v>1552</v>
      </c>
      <c r="Z5" s="255">
        <f t="shared" si="1"/>
        <v>1600</v>
      </c>
      <c r="AA5" s="256">
        <f t="shared" si="1"/>
        <v>3152</v>
      </c>
      <c r="AB5" s="255">
        <f t="shared" si="1"/>
        <v>1661</v>
      </c>
      <c r="AC5" s="255">
        <f>AC3+AC4</f>
        <v>1679</v>
      </c>
      <c r="AD5" s="256">
        <f t="shared" si="1"/>
        <v>3340</v>
      </c>
      <c r="AE5" s="255">
        <f>AE3+AE4</f>
        <v>1897.4397631245893</v>
      </c>
      <c r="AF5" s="286">
        <f t="shared" si="1"/>
        <v>1613.4843335335161</v>
      </c>
      <c r="AG5" s="256">
        <f t="shared" si="1"/>
        <v>3510.9240966581056</v>
      </c>
      <c r="AH5" s="255">
        <f t="shared" si="1"/>
        <v>1368.2671044634008</v>
      </c>
      <c r="AI5" s="255">
        <f t="shared" si="1"/>
        <v>1273.4280020315025</v>
      </c>
      <c r="AJ5" s="256">
        <f t="shared" si="1"/>
        <v>2641.695106494903</v>
      </c>
      <c r="AK5" s="255">
        <f t="shared" si="1"/>
        <v>1511.6025322919004</v>
      </c>
      <c r="AL5" s="255">
        <f t="shared" si="1"/>
        <v>1539.936302937411</v>
      </c>
      <c r="AM5" s="256">
        <f t="shared" si="1"/>
        <v>3051.5388352293112</v>
      </c>
      <c r="AN5" s="255">
        <f t="shared" ref="AN5:BB5" si="2">AN3+AN4</f>
        <v>1365.6892209786283</v>
      </c>
      <c r="AO5" s="255">
        <f t="shared" si="2"/>
        <v>1481.0795569918314</v>
      </c>
      <c r="AP5" s="256">
        <f t="shared" si="2"/>
        <v>2846.7687779704597</v>
      </c>
      <c r="AQ5" s="255">
        <f t="shared" si="2"/>
        <v>1647.7310727809761</v>
      </c>
      <c r="AR5" s="255">
        <f t="shared" si="2"/>
        <v>1694.1768759552222</v>
      </c>
      <c r="AS5" s="256">
        <f t="shared" si="2"/>
        <v>3341.9079487361983</v>
      </c>
      <c r="AT5" s="255">
        <f t="shared" si="2"/>
        <v>1741.9727567505654</v>
      </c>
      <c r="AU5" s="255">
        <f t="shared" si="2"/>
        <v>1791.147020991737</v>
      </c>
      <c r="AV5" s="256">
        <f t="shared" si="2"/>
        <v>3533.1197777423026</v>
      </c>
      <c r="AW5" s="255">
        <f t="shared" si="2"/>
        <v>1841.7530016866201</v>
      </c>
      <c r="AX5" s="255">
        <f t="shared" si="2"/>
        <v>1893.8207406504621</v>
      </c>
      <c r="AY5" s="256">
        <f t="shared" si="2"/>
        <v>3735.573742337082</v>
      </c>
      <c r="AZ5" s="255">
        <f t="shared" si="2"/>
        <v>1947.4070788659856</v>
      </c>
      <c r="BA5" s="255">
        <f t="shared" si="2"/>
        <v>2002.5439051983924</v>
      </c>
      <c r="BB5" s="256">
        <f t="shared" si="2"/>
        <v>3949.9509840643777</v>
      </c>
      <c r="BC5" s="255">
        <f>BC3+BC4</f>
        <v>2059.2918172263512</v>
      </c>
      <c r="BD5" s="255">
        <f>BD3+BD4</f>
        <v>2117.6846694632914</v>
      </c>
      <c r="BE5" s="256">
        <f>BE3+BE4</f>
        <v>4176.976486689643</v>
      </c>
      <c r="BG5" s="272">
        <v>1765.8292836373655</v>
      </c>
      <c r="BH5" s="272">
        <v>1859.5604153483448</v>
      </c>
      <c r="BI5" s="272">
        <v>3625.3896989857103</v>
      </c>
      <c r="BJ5" s="272">
        <v>1937.9339927968699</v>
      </c>
      <c r="BK5" s="272">
        <v>2021.5587065500836</v>
      </c>
      <c r="BL5" s="272">
        <v>3959.4926993469535</v>
      </c>
      <c r="BM5" s="272">
        <v>2110.8341165209308</v>
      </c>
      <c r="BN5" s="272">
        <v>2203.7573883930386</v>
      </c>
      <c r="BO5" s="272">
        <v>4314.5915049139694</v>
      </c>
      <c r="BP5" s="272">
        <v>2293.0873133168907</v>
      </c>
      <c r="BQ5" s="272">
        <v>2388.330215833188</v>
      </c>
      <c r="BR5" s="272">
        <v>4681.4175291500778</v>
      </c>
      <c r="BS5" s="272">
        <v>2484.6315507763161</v>
      </c>
      <c r="BT5" s="272">
        <v>2587.24780693907</v>
      </c>
      <c r="BU5" s="272">
        <v>5071.8793577153865</v>
      </c>
    </row>
    <row r="6" spans="2:73" s="251" customFormat="1">
      <c r="B6" s="251" t="s">
        <v>2298</v>
      </c>
      <c r="C6" s="252"/>
      <c r="D6" s="251">
        <f>D32+D164</f>
        <v>-217</v>
      </c>
      <c r="E6" s="251">
        <f>F6-D6</f>
        <v>-220</v>
      </c>
      <c r="F6" s="252">
        <f>F32+F164</f>
        <v>-437</v>
      </c>
      <c r="G6" s="251">
        <f>G32+G164</f>
        <v>-246</v>
      </c>
      <c r="H6" s="251">
        <f>I6-G6</f>
        <v>-262</v>
      </c>
      <c r="I6" s="252">
        <f>I32+I164</f>
        <v>-508</v>
      </c>
      <c r="J6" s="251">
        <f>J32+J164</f>
        <v>-243</v>
      </c>
      <c r="K6" s="251">
        <f>L6-J6</f>
        <v>-234</v>
      </c>
      <c r="L6" s="252">
        <f>L32+L164</f>
        <v>-477</v>
      </c>
      <c r="M6" s="251">
        <f>M32+M164</f>
        <v>-250</v>
      </c>
      <c r="N6" s="251">
        <f>O6-M6</f>
        <v>-246</v>
      </c>
      <c r="O6" s="252">
        <f>O32+O164</f>
        <v>-496</v>
      </c>
      <c r="P6" s="251">
        <f>P32+P164</f>
        <v>-250</v>
      </c>
      <c r="Q6" s="251">
        <f>R6-P6</f>
        <v>-271</v>
      </c>
      <c r="R6" s="252">
        <f>R32+R164</f>
        <v>-521</v>
      </c>
      <c r="S6" s="251">
        <f>S32+S164</f>
        <v>-292</v>
      </c>
      <c r="T6" s="251">
        <f>U6-S6</f>
        <v>-248</v>
      </c>
      <c r="U6" s="252">
        <f>U32+U164</f>
        <v>-540</v>
      </c>
      <c r="V6" s="251">
        <f>V32+V164</f>
        <v>-249</v>
      </c>
      <c r="W6" s="251">
        <f>X6-V6</f>
        <v>-264</v>
      </c>
      <c r="X6" s="252">
        <f>X32+X164</f>
        <v>-513</v>
      </c>
      <c r="Y6" s="251">
        <f>Y32+Y164</f>
        <v>-263</v>
      </c>
      <c r="Z6" s="251">
        <f>AA6-Y6</f>
        <v>-275</v>
      </c>
      <c r="AA6" s="252">
        <f>AA32+AA164</f>
        <v>-538</v>
      </c>
      <c r="AB6" s="251">
        <f>AB32+AB164</f>
        <v>-275</v>
      </c>
      <c r="AC6" s="251">
        <f>AC32+AC164</f>
        <v>-335</v>
      </c>
      <c r="AD6" s="252">
        <f>AD32+AD164</f>
        <v>-610</v>
      </c>
      <c r="AE6" s="251">
        <f>AE32+AE164</f>
        <v>-378.43976312458949</v>
      </c>
      <c r="AF6" s="260">
        <f>AG6-AE6</f>
        <v>-321.48433353351561</v>
      </c>
      <c r="AG6" s="252">
        <f>AG32+AG164</f>
        <v>-699.9240966581051</v>
      </c>
      <c r="AH6" s="251">
        <f>AH32+AH164</f>
        <v>-290.26710446340064</v>
      </c>
      <c r="AI6" s="251">
        <f>AJ6-AH6</f>
        <v>-268.42800203150296</v>
      </c>
      <c r="AJ6" s="252">
        <f>AJ32+AJ164</f>
        <v>-558.6951064949036</v>
      </c>
      <c r="AK6" s="251">
        <f>AK32+AK164</f>
        <v>-320.60253229190045</v>
      </c>
      <c r="AL6" s="251">
        <f>AM6-AK6</f>
        <v>-323.93630293741143</v>
      </c>
      <c r="AM6" s="252">
        <f>AM32+AM164</f>
        <v>-644.53883522931187</v>
      </c>
      <c r="AN6" s="251">
        <f>AN32+AN164</f>
        <v>-286.87922097862833</v>
      </c>
      <c r="AO6" s="251">
        <f>AP6-AN6</f>
        <v>-311.36245699183127</v>
      </c>
      <c r="AP6" s="252">
        <f>AP32+AP164</f>
        <v>-598.24167797045959</v>
      </c>
      <c r="AQ6" s="251">
        <f>AQ32+AQ164</f>
        <v>-347.60153221342159</v>
      </c>
      <c r="AR6" s="251">
        <f>AS6-AQ6</f>
        <v>-357.17214336201766</v>
      </c>
      <c r="AS6" s="252">
        <f>AS32+AS164</f>
        <v>-704.77367557543926</v>
      </c>
      <c r="AT6" s="251">
        <f>AT32+AT164</f>
        <v>-367.01398901444435</v>
      </c>
      <c r="AU6" s="251">
        <f>AV6-AT6</f>
        <v>-377.13229011178731</v>
      </c>
      <c r="AV6" s="252">
        <f>AV32+AV164</f>
        <v>-744.14627912623166</v>
      </c>
      <c r="AW6" s="251">
        <f>AW32+AW164</f>
        <v>-387.53776946241373</v>
      </c>
      <c r="AX6" s="251">
        <f>AY6-AW6</f>
        <v>-398.23595456878434</v>
      </c>
      <c r="AY6" s="252">
        <f>AY32+AY164</f>
        <v>-785.77372403119807</v>
      </c>
      <c r="AZ6" s="251">
        <f>AZ32+AZ164</f>
        <v>-409.2382601728516</v>
      </c>
      <c r="BA6" s="251">
        <f>BB6-AZ6</f>
        <v>-420.5505390664282</v>
      </c>
      <c r="BB6" s="252">
        <f>BB32+BB164</f>
        <v>-829.7887992392798</v>
      </c>
      <c r="BC6" s="251">
        <f>BC32+BC164</f>
        <v>-432.18494631223649</v>
      </c>
      <c r="BD6" s="251">
        <f>BE6-BC6</f>
        <v>-444.14767993997776</v>
      </c>
      <c r="BE6" s="252">
        <f>BE32+BE164</f>
        <v>-876.33262625221425</v>
      </c>
      <c r="BG6" s="272">
        <v>-286.35745367947573</v>
      </c>
      <c r="BH6" s="272">
        <v>-302.97514805907724</v>
      </c>
      <c r="BI6" s="272">
        <v>-589.33260173855297</v>
      </c>
      <c r="BJ6" s="272">
        <v>-315.33802532174639</v>
      </c>
      <c r="BK6" s="272">
        <v>-328.71038526642565</v>
      </c>
      <c r="BL6" s="272">
        <v>-644.04841058817203</v>
      </c>
      <c r="BM6" s="272">
        <v>-343.17508482660918</v>
      </c>
      <c r="BN6" s="272">
        <v>-358.25428164931697</v>
      </c>
      <c r="BO6" s="272">
        <v>-701.42936647592614</v>
      </c>
      <c r="BP6" s="272">
        <v>-372.22683100210747</v>
      </c>
      <c r="BQ6" s="272">
        <v>-387.33042436240294</v>
      </c>
      <c r="BR6" s="272">
        <v>-759.55725536451041</v>
      </c>
      <c r="BS6" s="272">
        <v>-402.40613178931602</v>
      </c>
      <c r="BT6" s="272">
        <v>-418.68831796972717</v>
      </c>
      <c r="BU6" s="272">
        <v>-821.09444975904319</v>
      </c>
    </row>
    <row r="7" spans="2:73" s="251" customFormat="1">
      <c r="B7" s="255" t="s">
        <v>2299</v>
      </c>
      <c r="C7" s="256">
        <f t="shared" ref="C7:AM7" si="3">C5+C6</f>
        <v>0</v>
      </c>
      <c r="D7" s="255">
        <f t="shared" si="3"/>
        <v>1058</v>
      </c>
      <c r="E7" s="255">
        <f t="shared" si="3"/>
        <v>1196</v>
      </c>
      <c r="F7" s="256">
        <f t="shared" si="3"/>
        <v>2254</v>
      </c>
      <c r="G7" s="255">
        <f t="shared" si="3"/>
        <v>1288</v>
      </c>
      <c r="H7" s="255">
        <f t="shared" si="3"/>
        <v>1343</v>
      </c>
      <c r="I7" s="256">
        <f t="shared" si="3"/>
        <v>2631</v>
      </c>
      <c r="J7" s="255">
        <f t="shared" si="3"/>
        <v>1194</v>
      </c>
      <c r="K7" s="255">
        <f t="shared" si="3"/>
        <v>1052</v>
      </c>
      <c r="L7" s="256">
        <f t="shared" si="3"/>
        <v>2246</v>
      </c>
      <c r="M7" s="255">
        <f>M5+M6</f>
        <v>1160</v>
      </c>
      <c r="N7" s="255">
        <f t="shared" si="3"/>
        <v>1187</v>
      </c>
      <c r="O7" s="256">
        <f t="shared" si="3"/>
        <v>2347</v>
      </c>
      <c r="P7" s="255">
        <f>P5+P6</f>
        <v>1225</v>
      </c>
      <c r="Q7" s="255">
        <f t="shared" si="3"/>
        <v>1151</v>
      </c>
      <c r="R7" s="256">
        <f t="shared" si="3"/>
        <v>2376</v>
      </c>
      <c r="S7" s="255">
        <f t="shared" si="3"/>
        <v>1186</v>
      </c>
      <c r="T7" s="255">
        <f t="shared" si="3"/>
        <v>1191</v>
      </c>
      <c r="U7" s="256">
        <f t="shared" si="3"/>
        <v>2377</v>
      </c>
      <c r="V7" s="255">
        <f t="shared" si="3"/>
        <v>1238</v>
      </c>
      <c r="W7" s="255">
        <f t="shared" si="3"/>
        <v>1136.8409953747773</v>
      </c>
      <c r="X7" s="256">
        <f t="shared" si="3"/>
        <v>2374.8409953747773</v>
      </c>
      <c r="Y7" s="255">
        <f t="shared" si="3"/>
        <v>1289</v>
      </c>
      <c r="Z7" s="255">
        <f t="shared" si="3"/>
        <v>1325</v>
      </c>
      <c r="AA7" s="256">
        <f t="shared" si="3"/>
        <v>2614</v>
      </c>
      <c r="AB7" s="255">
        <f t="shared" si="3"/>
        <v>1386</v>
      </c>
      <c r="AC7" s="255">
        <f>AC5+AC6</f>
        <v>1344</v>
      </c>
      <c r="AD7" s="256">
        <f t="shared" si="3"/>
        <v>2730</v>
      </c>
      <c r="AE7" s="255">
        <f>AE5+AE6</f>
        <v>1518.9999999999998</v>
      </c>
      <c r="AF7" s="286">
        <f t="shared" si="3"/>
        <v>1292.0000000000005</v>
      </c>
      <c r="AG7" s="256">
        <f t="shared" si="3"/>
        <v>2811.0000000000005</v>
      </c>
      <c r="AH7" s="255">
        <f t="shared" si="3"/>
        <v>1078</v>
      </c>
      <c r="AI7" s="255">
        <f t="shared" si="3"/>
        <v>1004.9999999999995</v>
      </c>
      <c r="AJ7" s="256">
        <f t="shared" si="3"/>
        <v>2082.9999999999995</v>
      </c>
      <c r="AK7" s="255">
        <f t="shared" si="3"/>
        <v>1191</v>
      </c>
      <c r="AL7" s="255">
        <f t="shared" si="3"/>
        <v>1215.9999999999995</v>
      </c>
      <c r="AM7" s="256">
        <f t="shared" si="3"/>
        <v>2406.9999999999991</v>
      </c>
      <c r="AN7" s="255">
        <f t="shared" ref="AN7:BB7" si="4">AN5+AN6</f>
        <v>1078.81</v>
      </c>
      <c r="AO7" s="255">
        <f t="shared" si="4"/>
        <v>1169.7171000000001</v>
      </c>
      <c r="AP7" s="256">
        <f t="shared" si="4"/>
        <v>2248.5271000000002</v>
      </c>
      <c r="AQ7" s="255">
        <f t="shared" si="4"/>
        <v>1300.1295405675546</v>
      </c>
      <c r="AR7" s="255">
        <f t="shared" si="4"/>
        <v>1337.0047325932046</v>
      </c>
      <c r="AS7" s="256">
        <f t="shared" si="4"/>
        <v>2637.1342731607592</v>
      </c>
      <c r="AT7" s="255">
        <f t="shared" si="4"/>
        <v>1374.958767736121</v>
      </c>
      <c r="AU7" s="255">
        <f t="shared" si="4"/>
        <v>1414.0147308799496</v>
      </c>
      <c r="AV7" s="256">
        <f t="shared" si="4"/>
        <v>2788.9734986160711</v>
      </c>
      <c r="AW7" s="255">
        <f t="shared" si="4"/>
        <v>1454.2152322242064</v>
      </c>
      <c r="AX7" s="255">
        <f t="shared" si="4"/>
        <v>1495.5847860816777</v>
      </c>
      <c r="AY7" s="256">
        <f t="shared" si="4"/>
        <v>2949.8000183058839</v>
      </c>
      <c r="AZ7" s="255">
        <f t="shared" si="4"/>
        <v>1538.168818693134</v>
      </c>
      <c r="BA7" s="255">
        <f t="shared" si="4"/>
        <v>1581.9933661319642</v>
      </c>
      <c r="BB7" s="256">
        <f t="shared" si="4"/>
        <v>3120.1621848250979</v>
      </c>
      <c r="BC7" s="255">
        <f>BC5+BC6</f>
        <v>1627.1068709141148</v>
      </c>
      <c r="BD7" s="255">
        <f>BD5+BD6</f>
        <v>1673.5369895233137</v>
      </c>
      <c r="BE7" s="256">
        <f>BE5+BE6</f>
        <v>3300.6438604374289</v>
      </c>
      <c r="BG7" s="272">
        <v>1479.4718299578899</v>
      </c>
      <c r="BH7" s="272">
        <v>1556.5852672892674</v>
      </c>
      <c r="BI7" s="272">
        <v>3036.0570972471573</v>
      </c>
      <c r="BJ7" s="272">
        <v>1622.5959674751234</v>
      </c>
      <c r="BK7" s="272">
        <v>1692.8483212836579</v>
      </c>
      <c r="BL7" s="272">
        <v>3315.4442887587816</v>
      </c>
      <c r="BM7" s="272">
        <v>1767.6590316943216</v>
      </c>
      <c r="BN7" s="272">
        <v>1845.5031067437217</v>
      </c>
      <c r="BO7" s="272">
        <v>3613.1621384380433</v>
      </c>
      <c r="BP7" s="272">
        <v>1920.8604823147832</v>
      </c>
      <c r="BQ7" s="272">
        <v>2000.9997914707851</v>
      </c>
      <c r="BR7" s="272">
        <v>3921.8602737855672</v>
      </c>
      <c r="BS7" s="272">
        <v>2082.225418987</v>
      </c>
      <c r="BT7" s="272">
        <v>2168.559488969343</v>
      </c>
      <c r="BU7" s="272">
        <v>4250.784907956343</v>
      </c>
    </row>
    <row r="8" spans="2:73" s="251" customFormat="1">
      <c r="B8" s="251" t="s">
        <v>2300</v>
      </c>
      <c r="C8" s="252"/>
      <c r="D8" s="251">
        <f>D34+D166</f>
        <v>-644.30999999999995</v>
      </c>
      <c r="E8" s="251">
        <f>F8-D8</f>
        <v>-715.69</v>
      </c>
      <c r="F8" s="252">
        <f>F34+F166</f>
        <v>-1360</v>
      </c>
      <c r="G8" s="251">
        <f>G34+G166</f>
        <v>-660.5</v>
      </c>
      <c r="H8" s="251">
        <f>I8-G8</f>
        <v>-711.75</v>
      </c>
      <c r="I8" s="252">
        <f>I34+I166</f>
        <v>-1372.25</v>
      </c>
      <c r="J8" s="251">
        <f>J34+J166</f>
        <v>-674</v>
      </c>
      <c r="K8" s="251">
        <f>L8-J8</f>
        <v>-685</v>
      </c>
      <c r="L8" s="252">
        <f>L34+L166</f>
        <v>-1359</v>
      </c>
      <c r="M8" s="251">
        <f>M34+M166</f>
        <v>-692.35</v>
      </c>
      <c r="N8" s="251">
        <f>O8-M8</f>
        <v>-702.71224999999993</v>
      </c>
      <c r="O8" s="252">
        <f>O34+O166</f>
        <v>-1395.0622499999999</v>
      </c>
      <c r="P8" s="251">
        <f>P34+P166</f>
        <v>-716.73823261416862</v>
      </c>
      <c r="Q8" s="251">
        <f>R8-P8</f>
        <v>-753.51648383438908</v>
      </c>
      <c r="R8" s="252">
        <f>R34+R166</f>
        <v>-1470.2547164485577</v>
      </c>
      <c r="S8" s="251">
        <f>S34+S166</f>
        <v>-777.82803062321398</v>
      </c>
      <c r="T8" s="251">
        <f>U8-S8</f>
        <v>-793.6902953540208</v>
      </c>
      <c r="U8" s="252">
        <f>U34+U166</f>
        <v>-1571.5183259772348</v>
      </c>
      <c r="V8" s="251">
        <f>V34+V166</f>
        <v>-798.29779578239516</v>
      </c>
      <c r="W8" s="251">
        <f>X8-V8</f>
        <v>-811.58502114808255</v>
      </c>
      <c r="X8" s="252">
        <f>X34+X166</f>
        <v>-1609.8828169304777</v>
      </c>
      <c r="Y8" s="251">
        <f>Y34+Y166</f>
        <v>-807.77156841968952</v>
      </c>
      <c r="Z8" s="251">
        <f>AA8-Y8</f>
        <v>-850.43871121460063</v>
      </c>
      <c r="AA8" s="252">
        <f>AA34+AA166</f>
        <v>-1658.2102796342901</v>
      </c>
      <c r="AB8" s="251">
        <f>AB34+AB166</f>
        <v>-856.05010782336933</v>
      </c>
      <c r="AC8" s="251">
        <f>AC34+AC166</f>
        <v>-1015.1488075971151</v>
      </c>
      <c r="AD8" s="252">
        <f>AD34+AD166</f>
        <v>-1871.1989154204846</v>
      </c>
      <c r="AE8" s="251">
        <f>AE34+AE166</f>
        <v>-900.87244462055878</v>
      </c>
      <c r="AF8" s="260">
        <f>AG8-AE8</f>
        <v>-937.44670832402244</v>
      </c>
      <c r="AG8" s="252">
        <f>AG34+AG166</f>
        <v>-1838.3191529445812</v>
      </c>
      <c r="AH8" s="251">
        <f>AH34+AH166</f>
        <v>-803.18735362249174</v>
      </c>
      <c r="AI8" s="251">
        <f>AJ8-AH8</f>
        <v>-752.70743699177171</v>
      </c>
      <c r="AJ8" s="252">
        <f>AJ34+AJ166</f>
        <v>-1555.8947906142635</v>
      </c>
      <c r="AK8" s="251">
        <f>AK34+AK166</f>
        <v>-749.90211624370397</v>
      </c>
      <c r="AL8" s="251">
        <f>AM8-AK8</f>
        <v>-783.13176237322421</v>
      </c>
      <c r="AM8" s="252">
        <f>AM34+AM166</f>
        <v>-1533.0338786169282</v>
      </c>
      <c r="AN8" s="251">
        <f>AN34+AN166</f>
        <v>-754.96904466754108</v>
      </c>
      <c r="AO8" s="251">
        <f>AP8-AN8</f>
        <v>-918.91219332538708</v>
      </c>
      <c r="AP8" s="252">
        <f>AP34+AP166</f>
        <v>-1673.8812379929282</v>
      </c>
      <c r="AQ8" s="251">
        <f>AQ34+AQ166</f>
        <v>-947.40516300584761</v>
      </c>
      <c r="AR8" s="251">
        <f>AS8-AQ8</f>
        <v>-976.82865625585907</v>
      </c>
      <c r="AS8" s="252">
        <f>AS34+AS166</f>
        <v>-1924.2338192617067</v>
      </c>
      <c r="AT8" s="251">
        <f>AT34+AT166</f>
        <v>-1007.2145680463238</v>
      </c>
      <c r="AU8" s="251">
        <f>AV8-AT8</f>
        <v>-1038.5959324506723</v>
      </c>
      <c r="AV8" s="252">
        <f>AV34+AV166</f>
        <v>-2045.8105004969962</v>
      </c>
      <c r="AW8" s="251">
        <f>AW34+AW166</f>
        <v>-1071.0069646604261</v>
      </c>
      <c r="AX8" s="251">
        <f>AY8-AW8</f>
        <v>-1104.4831045878173</v>
      </c>
      <c r="AY8" s="252">
        <f>AY34+AY166</f>
        <v>-2175.4900692482433</v>
      </c>
      <c r="AZ8" s="251">
        <f>AZ34+AZ166</f>
        <v>-1139.0610621164199</v>
      </c>
      <c r="BA8" s="251">
        <f>BB8-AZ8</f>
        <v>-1174.7788640631359</v>
      </c>
      <c r="BB8" s="252">
        <f>BB34+BB166</f>
        <v>-2313.8399261795557</v>
      </c>
      <c r="BC8" s="251">
        <f>BC34+BC166</f>
        <v>-1211.6759029173177</v>
      </c>
      <c r="BD8" s="251">
        <f>BE8-BC8</f>
        <v>-1249.7929874253919</v>
      </c>
      <c r="BE8" s="252">
        <f>BE34+BE166</f>
        <v>-2461.4688903427095</v>
      </c>
      <c r="BG8" s="272">
        <v>-888.1350489248191</v>
      </c>
      <c r="BH8" s="272">
        <v>-912.21957563718775</v>
      </c>
      <c r="BI8" s="272">
        <v>-1800.3546245620068</v>
      </c>
      <c r="BJ8" s="272">
        <v>-936.99875428448945</v>
      </c>
      <c r="BK8" s="272">
        <v>-962.49372399194613</v>
      </c>
      <c r="BL8" s="272">
        <v>-1899.4924782764356</v>
      </c>
      <c r="BM8" s="272">
        <v>-990.10332269200205</v>
      </c>
      <c r="BN8" s="272">
        <v>-1018.5763033813672</v>
      </c>
      <c r="BO8" s="272">
        <v>-2008.6796260733693</v>
      </c>
      <c r="BP8" s="272">
        <v>-1049.6140546429415</v>
      </c>
      <c r="BQ8" s="272">
        <v>-1081.6495496439807</v>
      </c>
      <c r="BR8" s="272">
        <v>-2131.2636042869221</v>
      </c>
      <c r="BS8" s="272">
        <v>-1115.1137179504155</v>
      </c>
      <c r="BT8" s="272">
        <v>-1149.6731905232421</v>
      </c>
      <c r="BU8" s="272">
        <v>-2264.7869084736576</v>
      </c>
    </row>
    <row r="9" spans="2:73" s="251" customFormat="1">
      <c r="B9" s="255" t="s">
        <v>2301</v>
      </c>
      <c r="C9" s="256">
        <f t="shared" ref="C9:AM9" si="5">C6+C8</f>
        <v>0</v>
      </c>
      <c r="D9" s="255">
        <f t="shared" si="5"/>
        <v>-861.31</v>
      </c>
      <c r="E9" s="255">
        <f t="shared" si="5"/>
        <v>-935.69</v>
      </c>
      <c r="F9" s="256">
        <f t="shared" si="5"/>
        <v>-1797</v>
      </c>
      <c r="G9" s="255">
        <f t="shared" si="5"/>
        <v>-906.5</v>
      </c>
      <c r="H9" s="255">
        <f t="shared" si="5"/>
        <v>-973.75</v>
      </c>
      <c r="I9" s="256">
        <f t="shared" si="5"/>
        <v>-1880.25</v>
      </c>
      <c r="J9" s="255">
        <f t="shared" si="5"/>
        <v>-917</v>
      </c>
      <c r="K9" s="255">
        <f t="shared" si="5"/>
        <v>-919</v>
      </c>
      <c r="L9" s="256">
        <f t="shared" si="5"/>
        <v>-1836</v>
      </c>
      <c r="M9" s="255">
        <f>M6+M8</f>
        <v>-942.35</v>
      </c>
      <c r="N9" s="255">
        <f t="shared" si="5"/>
        <v>-948.71224999999993</v>
      </c>
      <c r="O9" s="256">
        <f t="shared" si="5"/>
        <v>-1891.0622499999999</v>
      </c>
      <c r="P9" s="255">
        <f>P6+P8</f>
        <v>-966.73823261416862</v>
      </c>
      <c r="Q9" s="255">
        <f t="shared" si="5"/>
        <v>-1024.516483834389</v>
      </c>
      <c r="R9" s="256">
        <f t="shared" si="5"/>
        <v>-1991.2547164485577</v>
      </c>
      <c r="S9" s="255">
        <f t="shared" si="5"/>
        <v>-1069.8280306232141</v>
      </c>
      <c r="T9" s="255">
        <f t="shared" si="5"/>
        <v>-1041.6902953540207</v>
      </c>
      <c r="U9" s="256">
        <f t="shared" si="5"/>
        <v>-2111.5183259772348</v>
      </c>
      <c r="V9" s="255">
        <f t="shared" si="5"/>
        <v>-1047.297795782395</v>
      </c>
      <c r="W9" s="255">
        <f t="shared" si="5"/>
        <v>-1075.5850211480824</v>
      </c>
      <c r="X9" s="256">
        <f t="shared" si="5"/>
        <v>-2122.8828169304779</v>
      </c>
      <c r="Y9" s="255">
        <f t="shared" si="5"/>
        <v>-1070.7715684196896</v>
      </c>
      <c r="Z9" s="255">
        <f t="shared" si="5"/>
        <v>-1125.4387112146005</v>
      </c>
      <c r="AA9" s="256">
        <f t="shared" si="5"/>
        <v>-2196.2102796342901</v>
      </c>
      <c r="AB9" s="255">
        <f t="shared" si="5"/>
        <v>-1131.0501078233692</v>
      </c>
      <c r="AC9" s="255">
        <f>AC6+AC8</f>
        <v>-1350.1488075971151</v>
      </c>
      <c r="AD9" s="256">
        <f t="shared" si="5"/>
        <v>-2481.1989154204848</v>
      </c>
      <c r="AE9" s="255">
        <f>AE6+AE8</f>
        <v>-1279.3122077451483</v>
      </c>
      <c r="AF9" s="286">
        <f t="shared" si="5"/>
        <v>-1258.931041857538</v>
      </c>
      <c r="AG9" s="256">
        <f t="shared" si="5"/>
        <v>-2538.2432496026863</v>
      </c>
      <c r="AH9" s="255">
        <f t="shared" si="5"/>
        <v>-1093.4544580858924</v>
      </c>
      <c r="AI9" s="255">
        <f t="shared" si="5"/>
        <v>-1021.1354390232747</v>
      </c>
      <c r="AJ9" s="256">
        <f t="shared" si="5"/>
        <v>-2114.5898971091669</v>
      </c>
      <c r="AK9" s="255">
        <f t="shared" si="5"/>
        <v>-1070.5046485356045</v>
      </c>
      <c r="AL9" s="255">
        <f t="shared" si="5"/>
        <v>-1107.0680653106356</v>
      </c>
      <c r="AM9" s="256">
        <f t="shared" si="5"/>
        <v>-2177.5727138462398</v>
      </c>
      <c r="AN9" s="255">
        <f t="shared" ref="AN9:BB9" si="6">AN6+AN8</f>
        <v>-1041.8482656461695</v>
      </c>
      <c r="AO9" s="255">
        <f t="shared" si="6"/>
        <v>-1230.2746503172184</v>
      </c>
      <c r="AP9" s="256">
        <f t="shared" si="6"/>
        <v>-2272.1229159633876</v>
      </c>
      <c r="AQ9" s="255">
        <f t="shared" si="6"/>
        <v>-1295.0066952192692</v>
      </c>
      <c r="AR9" s="255">
        <f t="shared" si="6"/>
        <v>-1334.0007996178767</v>
      </c>
      <c r="AS9" s="256">
        <f t="shared" si="6"/>
        <v>-2629.0074948371457</v>
      </c>
      <c r="AT9" s="255">
        <f t="shared" si="6"/>
        <v>-1374.2285570607683</v>
      </c>
      <c r="AU9" s="255">
        <f t="shared" si="6"/>
        <v>-1415.7282225624597</v>
      </c>
      <c r="AV9" s="256">
        <f t="shared" si="6"/>
        <v>-2789.9567796232277</v>
      </c>
      <c r="AW9" s="255">
        <f t="shared" si="6"/>
        <v>-1458.5447341228398</v>
      </c>
      <c r="AX9" s="255">
        <f t="shared" si="6"/>
        <v>-1502.7190591566016</v>
      </c>
      <c r="AY9" s="256">
        <f t="shared" si="6"/>
        <v>-2961.2637932794414</v>
      </c>
      <c r="AZ9" s="255">
        <f t="shared" si="6"/>
        <v>-1548.2993222892715</v>
      </c>
      <c r="BA9" s="255">
        <f t="shared" si="6"/>
        <v>-1595.3294031295641</v>
      </c>
      <c r="BB9" s="256">
        <f t="shared" si="6"/>
        <v>-3143.6287254188355</v>
      </c>
      <c r="BC9" s="255">
        <f>BC6+BC8</f>
        <v>-1643.8608492295541</v>
      </c>
      <c r="BD9" s="255">
        <f>BD6+BD8</f>
        <v>-1693.9406673653696</v>
      </c>
      <c r="BE9" s="256">
        <f>BE6+BE8</f>
        <v>-3337.8015165949237</v>
      </c>
      <c r="BG9" s="272">
        <v>-1174.4925026042947</v>
      </c>
      <c r="BH9" s="272">
        <v>-1215.1947236962651</v>
      </c>
      <c r="BI9" s="272">
        <v>-2389.6872263005598</v>
      </c>
      <c r="BJ9" s="272">
        <v>-1252.3367796062357</v>
      </c>
      <c r="BK9" s="272">
        <v>-1291.2041092583718</v>
      </c>
      <c r="BL9" s="272">
        <v>-2543.5408888646075</v>
      </c>
      <c r="BM9" s="272">
        <v>-1333.2784075186112</v>
      </c>
      <c r="BN9" s="272">
        <v>-1376.8305850306842</v>
      </c>
      <c r="BO9" s="272">
        <v>-2710.1089925492952</v>
      </c>
      <c r="BP9" s="272">
        <v>-1421.840885645049</v>
      </c>
      <c r="BQ9" s="272">
        <v>-1468.9799740063836</v>
      </c>
      <c r="BR9" s="272">
        <v>-2890.8208596514323</v>
      </c>
      <c r="BS9" s="272">
        <v>-1517.5198497397316</v>
      </c>
      <c r="BT9" s="272">
        <v>-1568.3615084929693</v>
      </c>
      <c r="BU9" s="272">
        <v>-3085.8813582327007</v>
      </c>
    </row>
    <row r="10" spans="2:73" s="251" customFormat="1">
      <c r="B10" s="255" t="s">
        <v>2302</v>
      </c>
      <c r="C10" s="256">
        <f t="shared" ref="C10:AM10" si="7">C5+C9</f>
        <v>0</v>
      </c>
      <c r="D10" s="255">
        <f t="shared" si="7"/>
        <v>413.69000000000005</v>
      </c>
      <c r="E10" s="255">
        <f t="shared" si="7"/>
        <v>480.30999999999995</v>
      </c>
      <c r="F10" s="256">
        <f t="shared" si="7"/>
        <v>894</v>
      </c>
      <c r="G10" s="255">
        <f t="shared" si="7"/>
        <v>627.5</v>
      </c>
      <c r="H10" s="255">
        <f t="shared" si="7"/>
        <v>631.25</v>
      </c>
      <c r="I10" s="256">
        <f t="shared" si="7"/>
        <v>1258.75</v>
      </c>
      <c r="J10" s="255">
        <f t="shared" si="7"/>
        <v>520</v>
      </c>
      <c r="K10" s="255">
        <f t="shared" si="7"/>
        <v>367</v>
      </c>
      <c r="L10" s="256">
        <f t="shared" si="7"/>
        <v>887</v>
      </c>
      <c r="M10" s="255">
        <f>M5+M9</f>
        <v>467.65</v>
      </c>
      <c r="N10" s="255">
        <f t="shared" si="7"/>
        <v>484.28775000000007</v>
      </c>
      <c r="O10" s="256">
        <f t="shared" si="7"/>
        <v>951.93775000000005</v>
      </c>
      <c r="P10" s="255">
        <f>P5+P9</f>
        <v>508.26176738583138</v>
      </c>
      <c r="Q10" s="255">
        <f t="shared" si="7"/>
        <v>397.48351616561104</v>
      </c>
      <c r="R10" s="256">
        <f t="shared" si="7"/>
        <v>905.7452835514423</v>
      </c>
      <c r="S10" s="255">
        <f t="shared" si="7"/>
        <v>408.17196937678591</v>
      </c>
      <c r="T10" s="255">
        <f t="shared" si="7"/>
        <v>397.30970464597931</v>
      </c>
      <c r="U10" s="256">
        <f t="shared" si="7"/>
        <v>805.48167402276522</v>
      </c>
      <c r="V10" s="255">
        <f t="shared" si="7"/>
        <v>439.70220421760496</v>
      </c>
      <c r="W10" s="255">
        <f t="shared" si="7"/>
        <v>325.25597422669489</v>
      </c>
      <c r="X10" s="256">
        <f t="shared" si="7"/>
        <v>764.95817844429939</v>
      </c>
      <c r="Y10" s="255">
        <f t="shared" si="7"/>
        <v>481.22843158031037</v>
      </c>
      <c r="Z10" s="255">
        <f t="shared" si="7"/>
        <v>474.56128878539948</v>
      </c>
      <c r="AA10" s="256">
        <f t="shared" si="7"/>
        <v>955.78972036570985</v>
      </c>
      <c r="AB10" s="255">
        <f t="shared" si="7"/>
        <v>529.94989217663078</v>
      </c>
      <c r="AC10" s="255">
        <f>AC5+AC9</f>
        <v>328.85119240288486</v>
      </c>
      <c r="AD10" s="256">
        <f t="shared" si="7"/>
        <v>858.80108457951519</v>
      </c>
      <c r="AE10" s="255">
        <f>AE5+AE9</f>
        <v>618.12755537944099</v>
      </c>
      <c r="AF10" s="286">
        <f t="shared" si="7"/>
        <v>354.55329167597802</v>
      </c>
      <c r="AG10" s="256">
        <f t="shared" si="7"/>
        <v>972.68084705541924</v>
      </c>
      <c r="AH10" s="255">
        <f t="shared" si="7"/>
        <v>274.81264637750837</v>
      </c>
      <c r="AI10" s="255">
        <f t="shared" si="7"/>
        <v>252.29256300822783</v>
      </c>
      <c r="AJ10" s="256">
        <f t="shared" si="7"/>
        <v>527.10520938573609</v>
      </c>
      <c r="AK10" s="255">
        <f t="shared" si="7"/>
        <v>441.09788375629591</v>
      </c>
      <c r="AL10" s="255">
        <f t="shared" si="7"/>
        <v>432.86823762677545</v>
      </c>
      <c r="AM10" s="256">
        <f t="shared" si="7"/>
        <v>873.96612138307137</v>
      </c>
      <c r="AN10" s="255">
        <f t="shared" ref="AN10:BB10" si="8">AN5+AN9</f>
        <v>323.84095533245886</v>
      </c>
      <c r="AO10" s="255">
        <f t="shared" si="8"/>
        <v>250.80490667461299</v>
      </c>
      <c r="AP10" s="256">
        <f t="shared" si="8"/>
        <v>574.64586200707208</v>
      </c>
      <c r="AQ10" s="255">
        <f t="shared" si="8"/>
        <v>352.72437756170689</v>
      </c>
      <c r="AR10" s="255">
        <f t="shared" si="8"/>
        <v>360.17607633734542</v>
      </c>
      <c r="AS10" s="256">
        <f t="shared" si="8"/>
        <v>712.90045389905254</v>
      </c>
      <c r="AT10" s="255">
        <f t="shared" si="8"/>
        <v>367.74419968979714</v>
      </c>
      <c r="AU10" s="255">
        <f t="shared" si="8"/>
        <v>375.41879842927733</v>
      </c>
      <c r="AV10" s="256">
        <f t="shared" si="8"/>
        <v>743.16299811907493</v>
      </c>
      <c r="AW10" s="255">
        <f t="shared" si="8"/>
        <v>383.20826756378028</v>
      </c>
      <c r="AX10" s="255">
        <f t="shared" si="8"/>
        <v>391.1016814938605</v>
      </c>
      <c r="AY10" s="256">
        <f t="shared" si="8"/>
        <v>774.30994905764055</v>
      </c>
      <c r="AZ10" s="255">
        <f t="shared" si="8"/>
        <v>399.10775657671411</v>
      </c>
      <c r="BA10" s="255">
        <f t="shared" si="8"/>
        <v>407.21450206882832</v>
      </c>
      <c r="BB10" s="256">
        <f t="shared" si="8"/>
        <v>806.32225864554221</v>
      </c>
      <c r="BC10" s="255">
        <f>BC5+BC9</f>
        <v>415.43096799679711</v>
      </c>
      <c r="BD10" s="255">
        <f>BD5+BD9</f>
        <v>423.74400209792179</v>
      </c>
      <c r="BE10" s="256">
        <f>BE5+BE9</f>
        <v>839.17497009471936</v>
      </c>
      <c r="BG10" s="272">
        <v>591.33678103307079</v>
      </c>
      <c r="BH10" s="272">
        <v>644.3656916520797</v>
      </c>
      <c r="BI10" s="272">
        <v>1235.7024726851505</v>
      </c>
      <c r="BJ10" s="272">
        <v>685.59721319063419</v>
      </c>
      <c r="BK10" s="272">
        <v>730.3545972917118</v>
      </c>
      <c r="BL10" s="272">
        <v>1415.951810482346</v>
      </c>
      <c r="BM10" s="272">
        <v>777.55570900231965</v>
      </c>
      <c r="BN10" s="272">
        <v>826.92680336235435</v>
      </c>
      <c r="BO10" s="272">
        <v>1604.4825123646742</v>
      </c>
      <c r="BP10" s="272">
        <v>871.24642767184173</v>
      </c>
      <c r="BQ10" s="272">
        <v>919.35024182680445</v>
      </c>
      <c r="BR10" s="272">
        <v>1790.5966694986455</v>
      </c>
      <c r="BS10" s="272">
        <v>967.11170103658446</v>
      </c>
      <c r="BT10" s="272">
        <v>1018.8862984461007</v>
      </c>
      <c r="BU10" s="272">
        <v>1985.9979994826858</v>
      </c>
    </row>
    <row r="11" spans="2:73" s="251" customFormat="1">
      <c r="B11" s="251" t="s">
        <v>77</v>
      </c>
      <c r="C11" s="252"/>
      <c r="D11" s="251">
        <f>D37+D169</f>
        <v>-122.907</v>
      </c>
      <c r="E11" s="251">
        <f>F11-D11</f>
        <v>-134.49299999999999</v>
      </c>
      <c r="F11" s="252">
        <f>F37+F169</f>
        <v>-257.39999999999998</v>
      </c>
      <c r="G11" s="251">
        <f>G37+G169</f>
        <v>-155.75</v>
      </c>
      <c r="H11" s="251">
        <f>I11-G11</f>
        <v>-145.57499999999999</v>
      </c>
      <c r="I11" s="252">
        <f>I37+I169</f>
        <v>-301.32499999999999</v>
      </c>
      <c r="J11" s="251">
        <f>J37+J169</f>
        <v>-113</v>
      </c>
      <c r="K11" s="251">
        <f>L11-J11</f>
        <v>-86</v>
      </c>
      <c r="L11" s="252">
        <f>L37+L169</f>
        <v>-199</v>
      </c>
      <c r="M11" s="251">
        <f>M37+M169</f>
        <v>-105.3085</v>
      </c>
      <c r="N11" s="251">
        <f>O11-M11</f>
        <v>-87.407447500000004</v>
      </c>
      <c r="O11" s="252">
        <f>+O169+O37</f>
        <v>-192.7159475</v>
      </c>
      <c r="P11" s="251">
        <f>+P169+P37</f>
        <v>-116.80363307272638</v>
      </c>
      <c r="Q11" s="251">
        <f>+Q169+Q37</f>
        <v>-85.631729926422651</v>
      </c>
      <c r="R11" s="252">
        <f t="shared" ref="R11:AM11" si="9">+R169+R37</f>
        <v>-202.43536299914905</v>
      </c>
      <c r="S11" s="251">
        <f t="shared" si="9"/>
        <v>-86.815096646004079</v>
      </c>
      <c r="T11" s="251">
        <f t="shared" si="9"/>
        <v>-95.233498477918701</v>
      </c>
      <c r="U11" s="252">
        <f t="shared" si="9"/>
        <v>-182.04859512392278</v>
      </c>
      <c r="V11" s="251">
        <f t="shared" si="9"/>
        <v>-87.327141052848475</v>
      </c>
      <c r="W11" s="251">
        <f t="shared" si="9"/>
        <v>-97.288275059870742</v>
      </c>
      <c r="X11" s="252">
        <f t="shared" si="9"/>
        <v>-158.61541611271923</v>
      </c>
      <c r="Y11" s="251">
        <f t="shared" si="9"/>
        <v>-78.228950192818658</v>
      </c>
      <c r="Z11" s="251">
        <f t="shared" si="9"/>
        <v>-73.535753440631666</v>
      </c>
      <c r="AA11" s="252">
        <f t="shared" si="9"/>
        <v>-151.76470363345032</v>
      </c>
      <c r="AB11" s="251">
        <f t="shared" si="9"/>
        <v>-92.326706908768529</v>
      </c>
      <c r="AC11" s="251">
        <f>+AC169+AC37</f>
        <v>-15.298955990554504</v>
      </c>
      <c r="AD11" s="252">
        <f t="shared" si="9"/>
        <v>-107.62566289932303</v>
      </c>
      <c r="AE11" s="251">
        <f>+AE169+AE37</f>
        <v>-113.03206378991186</v>
      </c>
      <c r="AF11" s="260">
        <f t="shared" si="9"/>
        <v>-31.591117183664515</v>
      </c>
      <c r="AG11" s="252">
        <f t="shared" si="9"/>
        <v>-144.62318097357638</v>
      </c>
      <c r="AH11" s="251">
        <f t="shared" si="9"/>
        <v>-72.794715327824704</v>
      </c>
      <c r="AI11" s="251">
        <f t="shared" si="9"/>
        <v>-60.968333088705826</v>
      </c>
      <c r="AJ11" s="252">
        <f t="shared" si="9"/>
        <v>-133.76304841653052</v>
      </c>
      <c r="AK11" s="251">
        <f t="shared" si="9"/>
        <v>-113.02019385356256</v>
      </c>
      <c r="AL11" s="251">
        <f t="shared" si="9"/>
        <v>-111.6197909016806</v>
      </c>
      <c r="AM11" s="252">
        <f t="shared" si="9"/>
        <v>-224.63998475524315</v>
      </c>
      <c r="AN11" s="251">
        <f t="shared" ref="AN11:BB11" si="10">+AN169+AN37</f>
        <v>-95.765415312908772</v>
      </c>
      <c r="AO11" s="251">
        <f t="shared" si="10"/>
        <v>-78.175619656260324</v>
      </c>
      <c r="AP11" s="252">
        <f t="shared" si="10"/>
        <v>-173.9410349691691</v>
      </c>
      <c r="AQ11" s="251">
        <f t="shared" si="10"/>
        <v>-83.982423105033803</v>
      </c>
      <c r="AR11" s="251">
        <f t="shared" si="10"/>
        <v>-86.183992969443466</v>
      </c>
      <c r="AS11" s="252">
        <f t="shared" si="10"/>
        <v>-170.1664160744773</v>
      </c>
      <c r="AT11" s="251">
        <f t="shared" si="10"/>
        <v>-88.442891729718681</v>
      </c>
      <c r="AU11" s="251">
        <f t="shared" si="10"/>
        <v>-90.758345852321781</v>
      </c>
      <c r="AV11" s="252">
        <f t="shared" si="10"/>
        <v>-179.20123758204048</v>
      </c>
      <c r="AW11" s="251">
        <f t="shared" si="10"/>
        <v>-93.133917767982652</v>
      </c>
      <c r="AX11" s="251">
        <f t="shared" si="10"/>
        <v>-95.568754283946689</v>
      </c>
      <c r="AY11" s="252">
        <f t="shared" si="10"/>
        <v>-188.70267205192934</v>
      </c>
      <c r="AZ11" s="251">
        <f t="shared" si="10"/>
        <v>-98.066640678351106</v>
      </c>
      <c r="BA11" s="251">
        <f t="shared" si="10"/>
        <v>-100.62663660707261</v>
      </c>
      <c r="BB11" s="252">
        <f t="shared" si="10"/>
        <v>-198.69327728542373</v>
      </c>
      <c r="BC11" s="251">
        <f>+BC169+BC37</f>
        <v>-103.2527659468054</v>
      </c>
      <c r="BD11" s="251">
        <f>+BD169+BD37</f>
        <v>-105.94399305777937</v>
      </c>
      <c r="BE11" s="252">
        <f>+BE169+BE37</f>
        <v>-209.19675900458478</v>
      </c>
      <c r="BG11" s="272">
        <v>-121.70782486648008</v>
      </c>
      <c r="BH11" s="272">
        <v>-134.83735063132775</v>
      </c>
      <c r="BI11" s="272">
        <v>-256.54517549780786</v>
      </c>
      <c r="BJ11" s="272">
        <v>-144.10229450498491</v>
      </c>
      <c r="BK11" s="272">
        <v>-154.29115581050328</v>
      </c>
      <c r="BL11" s="272">
        <v>-298.39345031548817</v>
      </c>
      <c r="BM11" s="272">
        <v>-165.16868505092344</v>
      </c>
      <c r="BN11" s="272">
        <v>-176.55953429644464</v>
      </c>
      <c r="BO11" s="272">
        <v>-341.72821934736811</v>
      </c>
      <c r="BP11" s="272">
        <v>-186.30678691860376</v>
      </c>
      <c r="BQ11" s="272">
        <v>-197.04118127005074</v>
      </c>
      <c r="BR11" s="272">
        <v>-383.34796818865448</v>
      </c>
      <c r="BS11" s="272">
        <v>-207.75132761624633</v>
      </c>
      <c r="BT11" s="272">
        <v>-219.52230670441512</v>
      </c>
      <c r="BU11" s="272">
        <v>-427.27363432066136</v>
      </c>
    </row>
    <row r="12" spans="2:73" s="251" customFormat="1">
      <c r="B12" s="255" t="s">
        <v>2303</v>
      </c>
      <c r="C12" s="256">
        <f t="shared" ref="C12:AM12" si="11">C10+C11</f>
        <v>0</v>
      </c>
      <c r="D12" s="255">
        <f t="shared" si="11"/>
        <v>290.78300000000007</v>
      </c>
      <c r="E12" s="255">
        <f t="shared" si="11"/>
        <v>345.81699999999995</v>
      </c>
      <c r="F12" s="256">
        <f t="shared" si="11"/>
        <v>636.6</v>
      </c>
      <c r="G12" s="255">
        <f t="shared" si="11"/>
        <v>471.75</v>
      </c>
      <c r="H12" s="255">
        <f t="shared" si="11"/>
        <v>485.67500000000001</v>
      </c>
      <c r="I12" s="256">
        <f t="shared" si="11"/>
        <v>957.42499999999995</v>
      </c>
      <c r="J12" s="255">
        <f t="shared" si="11"/>
        <v>407</v>
      </c>
      <c r="K12" s="255">
        <f t="shared" si="11"/>
        <v>281</v>
      </c>
      <c r="L12" s="256">
        <f t="shared" si="11"/>
        <v>688</v>
      </c>
      <c r="M12" s="255">
        <f>M10+M11</f>
        <v>362.3415</v>
      </c>
      <c r="N12" s="255">
        <f>N10+N11</f>
        <v>396.88030250000008</v>
      </c>
      <c r="O12" s="256">
        <f t="shared" si="11"/>
        <v>759.22180250000008</v>
      </c>
      <c r="P12" s="255">
        <f>P10+P11</f>
        <v>391.45813431310501</v>
      </c>
      <c r="Q12" s="255">
        <f t="shared" si="11"/>
        <v>311.85178623918841</v>
      </c>
      <c r="R12" s="256">
        <f t="shared" si="11"/>
        <v>703.30992055229331</v>
      </c>
      <c r="S12" s="257">
        <f t="shared" si="11"/>
        <v>321.35687273078184</v>
      </c>
      <c r="T12" s="255">
        <f t="shared" si="11"/>
        <v>302.07620616806059</v>
      </c>
      <c r="U12" s="256">
        <f>U10+U11</f>
        <v>623.4330788988425</v>
      </c>
      <c r="V12" s="255">
        <f t="shared" si="11"/>
        <v>352.37506316475651</v>
      </c>
      <c r="W12" s="255">
        <f t="shared" si="11"/>
        <v>227.96769916682416</v>
      </c>
      <c r="X12" s="256">
        <f t="shared" si="11"/>
        <v>606.34276233158016</v>
      </c>
      <c r="Y12" s="255">
        <f t="shared" si="11"/>
        <v>402.9994813874917</v>
      </c>
      <c r="Z12" s="255">
        <f t="shared" si="11"/>
        <v>401.02553534476783</v>
      </c>
      <c r="AA12" s="256">
        <f t="shared" si="11"/>
        <v>804.02501673225947</v>
      </c>
      <c r="AB12" s="255">
        <f t="shared" si="11"/>
        <v>437.62318526786225</v>
      </c>
      <c r="AC12" s="255">
        <f>AC10+AC11</f>
        <v>313.55223641233033</v>
      </c>
      <c r="AD12" s="256">
        <f t="shared" si="11"/>
        <v>751.17542168019213</v>
      </c>
      <c r="AE12" s="255">
        <f>AE10+AE11</f>
        <v>505.09549158952916</v>
      </c>
      <c r="AF12" s="255">
        <f t="shared" si="11"/>
        <v>322.96217449231352</v>
      </c>
      <c r="AG12" s="256">
        <f t="shared" si="11"/>
        <v>828.05766608184285</v>
      </c>
      <c r="AH12" s="255">
        <f t="shared" si="11"/>
        <v>202.01793104968368</v>
      </c>
      <c r="AI12" s="255">
        <f t="shared" si="11"/>
        <v>191.324229919522</v>
      </c>
      <c r="AJ12" s="256">
        <f t="shared" si="11"/>
        <v>393.34216096920557</v>
      </c>
      <c r="AK12" s="255">
        <f t="shared" si="11"/>
        <v>328.07768990273337</v>
      </c>
      <c r="AL12" s="255">
        <f t="shared" si="11"/>
        <v>321.24844672509482</v>
      </c>
      <c r="AM12" s="256">
        <f t="shared" si="11"/>
        <v>649.32613662782819</v>
      </c>
      <c r="AN12" s="255">
        <f t="shared" ref="AN12:BB12" si="12">AN10+AN11</f>
        <v>228.07554001955009</v>
      </c>
      <c r="AO12" s="255">
        <f t="shared" si="12"/>
        <v>172.62928701835267</v>
      </c>
      <c r="AP12" s="256">
        <f t="shared" si="12"/>
        <v>400.70482703790299</v>
      </c>
      <c r="AQ12" s="255">
        <f t="shared" si="12"/>
        <v>268.74195445667306</v>
      </c>
      <c r="AR12" s="255">
        <f t="shared" si="12"/>
        <v>273.99208336790196</v>
      </c>
      <c r="AS12" s="256">
        <f t="shared" si="12"/>
        <v>542.73403782457524</v>
      </c>
      <c r="AT12" s="255">
        <f t="shared" si="12"/>
        <v>279.30130796007847</v>
      </c>
      <c r="AU12" s="255">
        <f t="shared" si="12"/>
        <v>284.66045257695555</v>
      </c>
      <c r="AV12" s="256">
        <f t="shared" si="12"/>
        <v>563.96176053703448</v>
      </c>
      <c r="AW12" s="255">
        <f t="shared" si="12"/>
        <v>290.07434979579762</v>
      </c>
      <c r="AX12" s="255">
        <f t="shared" si="12"/>
        <v>295.53292720991379</v>
      </c>
      <c r="AY12" s="256">
        <f t="shared" si="12"/>
        <v>585.60727700571124</v>
      </c>
      <c r="AZ12" s="255">
        <f t="shared" si="12"/>
        <v>301.04111589836299</v>
      </c>
      <c r="BA12" s="255">
        <f t="shared" si="12"/>
        <v>306.58786546175571</v>
      </c>
      <c r="BB12" s="256">
        <f t="shared" si="12"/>
        <v>607.62898136011847</v>
      </c>
      <c r="BC12" s="255">
        <f>BC10+BC11</f>
        <v>312.17820204999168</v>
      </c>
      <c r="BD12" s="255">
        <f>BD10+BD11</f>
        <v>317.80000904014241</v>
      </c>
      <c r="BE12" s="256">
        <f>BE10+BE11</f>
        <v>629.97821109013455</v>
      </c>
      <c r="BG12" s="272">
        <v>469.62895616659068</v>
      </c>
      <c r="BH12" s="272">
        <v>509.52834102075195</v>
      </c>
      <c r="BI12" s="272">
        <v>979.15729718734269</v>
      </c>
      <c r="BJ12" s="272">
        <v>541.49491868564928</v>
      </c>
      <c r="BK12" s="272">
        <v>576.06344148120854</v>
      </c>
      <c r="BL12" s="272">
        <v>1117.5583601668577</v>
      </c>
      <c r="BM12" s="272">
        <v>612.38702395139626</v>
      </c>
      <c r="BN12" s="272">
        <v>650.36726906590968</v>
      </c>
      <c r="BO12" s="272">
        <v>1262.7542930173061</v>
      </c>
      <c r="BP12" s="272">
        <v>684.939640753238</v>
      </c>
      <c r="BQ12" s="272">
        <v>722.30906055675371</v>
      </c>
      <c r="BR12" s="272">
        <v>1407.248701309991</v>
      </c>
      <c r="BS12" s="272">
        <v>759.36037342033819</v>
      </c>
      <c r="BT12" s="272">
        <v>799.3639917416856</v>
      </c>
      <c r="BU12" s="272">
        <v>1558.7243651620245</v>
      </c>
    </row>
    <row r="13" spans="2:73" s="251" customFormat="1">
      <c r="B13" s="251" t="s">
        <v>2304</v>
      </c>
      <c r="C13" s="252"/>
      <c r="D13" s="253">
        <f>D39+D171</f>
        <v>85</v>
      </c>
      <c r="E13" s="253">
        <f>F13-D13</f>
        <v>64</v>
      </c>
      <c r="F13" s="254">
        <f t="shared" ref="F13:L13" si="13">F39+F171</f>
        <v>149</v>
      </c>
      <c r="G13" s="504">
        <f t="shared" si="13"/>
        <v>42</v>
      </c>
      <c r="H13" s="258">
        <f t="shared" si="13"/>
        <v>-59</v>
      </c>
      <c r="I13" s="254">
        <f t="shared" si="13"/>
        <v>-17</v>
      </c>
      <c r="J13" s="504">
        <f t="shared" si="13"/>
        <v>-183</v>
      </c>
      <c r="K13" s="258">
        <f t="shared" si="13"/>
        <v>-84</v>
      </c>
      <c r="L13" s="504">
        <f t="shared" si="13"/>
        <v>-267</v>
      </c>
      <c r="M13" s="504">
        <f>M39+M171</f>
        <v>142</v>
      </c>
      <c r="N13" s="258">
        <f>N39+N171</f>
        <v>94</v>
      </c>
      <c r="O13" s="253">
        <f>SUM(M13:N13)</f>
        <v>236</v>
      </c>
      <c r="P13" s="504">
        <f>P39+P171</f>
        <v>35</v>
      </c>
      <c r="Q13" s="258">
        <f>Q39+Q171</f>
        <v>86</v>
      </c>
      <c r="R13" s="258">
        <f>+SUM(P13:Q13)</f>
        <v>121</v>
      </c>
      <c r="S13" s="504">
        <f>S39+S171</f>
        <v>56</v>
      </c>
      <c r="T13" s="258">
        <f>T39+T171</f>
        <v>93</v>
      </c>
      <c r="U13" s="258">
        <f>+SUM(S13:T13)</f>
        <v>149</v>
      </c>
      <c r="V13" s="504">
        <f>V39+V171</f>
        <v>84</v>
      </c>
      <c r="W13" s="258">
        <f>W39+W171</f>
        <v>70</v>
      </c>
      <c r="X13" s="258">
        <f>+SUM(V13:W13)</f>
        <v>154</v>
      </c>
      <c r="Y13" s="504">
        <f>Y39+Y171</f>
        <v>54.471428571428575</v>
      </c>
      <c r="Z13" s="253">
        <f>AA13-Y13</f>
        <v>147.52857142857141</v>
      </c>
      <c r="AA13" s="254">
        <f t="shared" ref="AA13:AC14" si="14">AA39+AA171</f>
        <v>202</v>
      </c>
      <c r="AB13" s="504">
        <f t="shared" si="14"/>
        <v>66</v>
      </c>
      <c r="AC13" s="258">
        <f t="shared" si="14"/>
        <v>165</v>
      </c>
      <c r="AD13" s="254">
        <f>AD261</f>
        <v>132.8785</v>
      </c>
      <c r="AE13" s="504">
        <f>AE39+AE171</f>
        <v>58</v>
      </c>
      <c r="AF13" s="258">
        <f>AF39+AF171</f>
        <v>83</v>
      </c>
      <c r="AG13" s="254">
        <f>AE13+AF13</f>
        <v>141</v>
      </c>
      <c r="AH13" s="504">
        <f>AH39+AH171</f>
        <v>-13</v>
      </c>
      <c r="AI13" s="258">
        <f>AI39+AI171</f>
        <v>21.497644904671635</v>
      </c>
      <c r="AJ13" s="254">
        <f>AH13+AI13</f>
        <v>8.4976449046716347</v>
      </c>
      <c r="AK13" s="253">
        <f>AK261</f>
        <v>13</v>
      </c>
      <c r="AL13" s="253">
        <f>AM13-AK13</f>
        <v>13.017499999999998</v>
      </c>
      <c r="AM13" s="254">
        <f>AM261</f>
        <v>26.017499999999998</v>
      </c>
      <c r="AN13" s="253">
        <f>AN261</f>
        <v>11.459999999999999</v>
      </c>
      <c r="AO13" s="253">
        <f>AP13-AN13</f>
        <v>8.4931250000000009</v>
      </c>
      <c r="AP13" s="254">
        <f>AP261</f>
        <v>19.953125</v>
      </c>
      <c r="AQ13" s="253" t="e">
        <f>AQ261</f>
        <v>#N/A</v>
      </c>
      <c r="AR13" s="253" t="e">
        <f>AS13-AQ13</f>
        <v>#N/A</v>
      </c>
      <c r="AS13" s="254" t="e">
        <f>AS261</f>
        <v>#N/A</v>
      </c>
      <c r="AT13" s="253" t="e">
        <f>AT261</f>
        <v>#N/A</v>
      </c>
      <c r="AU13" s="253" t="e">
        <f>AV13-AT13</f>
        <v>#N/A</v>
      </c>
      <c r="AV13" s="254" t="e">
        <f>AV261</f>
        <v>#N/A</v>
      </c>
      <c r="AW13" s="253" t="e">
        <f>AW261</f>
        <v>#N/A</v>
      </c>
      <c r="AX13" s="253" t="e">
        <f>AY13-AW13</f>
        <v>#N/A</v>
      </c>
      <c r="AY13" s="254" t="e">
        <f>AY261</f>
        <v>#N/A</v>
      </c>
      <c r="AZ13" s="253" t="e">
        <f>AZ261</f>
        <v>#N/A</v>
      </c>
      <c r="BA13" s="253" t="e">
        <f>BB13-AZ13</f>
        <v>#N/A</v>
      </c>
      <c r="BB13" s="254" t="e">
        <f>BB261</f>
        <v>#N/A</v>
      </c>
      <c r="BC13" s="253" t="e">
        <f>BC261</f>
        <v>#N/A</v>
      </c>
      <c r="BD13" s="253" t="e">
        <f>BE13-BC13</f>
        <v>#N/A</v>
      </c>
      <c r="BE13" s="254" t="e">
        <f>BE261</f>
        <v>#N/A</v>
      </c>
      <c r="BG13" s="272">
        <v>70.774099921270405</v>
      </c>
      <c r="BH13" s="272">
        <v>73.580282919182949</v>
      </c>
      <c r="BI13" s="272">
        <v>144.35438284045335</v>
      </c>
      <c r="BJ13" s="272">
        <v>79.735302367234596</v>
      </c>
      <c r="BK13" s="272">
        <v>84.288568225258018</v>
      </c>
      <c r="BL13" s="272">
        <v>164.02387059249261</v>
      </c>
      <c r="BM13" s="272">
        <v>93.566786876808578</v>
      </c>
      <c r="BN13" s="272">
        <v>98.991518661241003</v>
      </c>
      <c r="BO13" s="272">
        <v>192.55830553804958</v>
      </c>
      <c r="BP13" s="272">
        <v>112.20182556831743</v>
      </c>
      <c r="BQ13" s="272">
        <v>118.74614867180439</v>
      </c>
      <c r="BR13" s="272">
        <v>230.94797424012182</v>
      </c>
      <c r="BS13" s="272">
        <v>125.65005806762085</v>
      </c>
      <c r="BT13" s="272">
        <v>132.91298462513183</v>
      </c>
      <c r="BU13" s="272">
        <v>258.56304269275267</v>
      </c>
    </row>
    <row r="14" spans="2:73" s="251" customFormat="1">
      <c r="B14" s="251" t="s">
        <v>2305</v>
      </c>
      <c r="C14" s="252"/>
      <c r="D14" s="251">
        <f>D40+D172</f>
        <v>-24</v>
      </c>
      <c r="E14" s="251">
        <f>F14-D14</f>
        <v>-29</v>
      </c>
      <c r="F14" s="252">
        <f>F40+F172</f>
        <v>-53</v>
      </c>
      <c r="G14" s="251">
        <f>G40+G172</f>
        <v>-14</v>
      </c>
      <c r="H14" s="251">
        <f>I14-G14</f>
        <v>18</v>
      </c>
      <c r="I14" s="252">
        <f>I40+I172</f>
        <v>4</v>
      </c>
      <c r="J14" s="251">
        <f>J40+J172</f>
        <v>51</v>
      </c>
      <c r="K14" s="251">
        <f>L14-J14</f>
        <v>20</v>
      </c>
      <c r="L14" s="259">
        <f>L40+L172</f>
        <v>71</v>
      </c>
      <c r="M14" s="259">
        <f>M40+M172</f>
        <v>-33</v>
      </c>
      <c r="N14" s="260">
        <f>N40+N172</f>
        <v>-28</v>
      </c>
      <c r="O14" s="251">
        <f>SUM(M14:N14)</f>
        <v>-61</v>
      </c>
      <c r="P14" s="259">
        <f>P40+P172</f>
        <v>-6</v>
      </c>
      <c r="Q14" s="260">
        <f>Q40+Q172</f>
        <v>-34</v>
      </c>
      <c r="R14" s="260">
        <f>+SUM(P14:Q14)</f>
        <v>-40</v>
      </c>
      <c r="S14" s="259">
        <f>S40+S172</f>
        <v>-20</v>
      </c>
      <c r="T14" s="260">
        <f>T40+T172</f>
        <v>-40</v>
      </c>
      <c r="U14" s="260">
        <f>+SUM(S14:T14)</f>
        <v>-60</v>
      </c>
      <c r="V14" s="251">
        <f>V40+V172</f>
        <v>-27</v>
      </c>
      <c r="W14" s="260">
        <f>W40+W172</f>
        <v>-22</v>
      </c>
      <c r="X14" s="260">
        <f>+SUM(V14:W14)</f>
        <v>-49</v>
      </c>
      <c r="Y14" s="251">
        <f>Y40+Y172</f>
        <v>13.471428571428573</v>
      </c>
      <c r="Z14" s="251">
        <f>AA14-Y14</f>
        <v>-97.471428571428575</v>
      </c>
      <c r="AA14" s="252">
        <f t="shared" si="14"/>
        <v>-84</v>
      </c>
      <c r="AB14" s="251">
        <f t="shared" si="14"/>
        <v>-19</v>
      </c>
      <c r="AC14" s="251">
        <f t="shared" si="14"/>
        <v>-34</v>
      </c>
      <c r="AD14" s="252">
        <f>AB14-AC26*AC13</f>
        <v>-53</v>
      </c>
      <c r="AE14" s="251">
        <f>AE15-AE13</f>
        <v>-14</v>
      </c>
      <c r="AF14" s="251">
        <f>AF15-AF13</f>
        <v>-27</v>
      </c>
      <c r="AG14" s="252">
        <f>AE14-AF26*AF13</f>
        <v>-41</v>
      </c>
      <c r="AH14" s="251">
        <f>AH15-AH13</f>
        <v>22</v>
      </c>
      <c r="AI14" s="251">
        <f>AI15-AI13</f>
        <v>13.502355095328365</v>
      </c>
      <c r="AJ14" s="252">
        <f>AH14-AI26*AI13</f>
        <v>35.502355095328369</v>
      </c>
      <c r="AK14" s="251">
        <f>-AK26*AK13</f>
        <v>8.1651091092831454</v>
      </c>
      <c r="AL14" s="251">
        <f>AM14-AK14</f>
        <v>8.1761006023148735</v>
      </c>
      <c r="AM14" s="252">
        <f>AK14-AL26*AL13</f>
        <v>16.341209711598019</v>
      </c>
      <c r="AN14" s="251">
        <f>-AN26*AN13</f>
        <v>7.1978577224911406</v>
      </c>
      <c r="AO14" s="251">
        <f>AP14-AN14</f>
        <v>5.3344071002908011</v>
      </c>
      <c r="AP14" s="252">
        <f>AN14-AO26*AO13</f>
        <v>12.532264822781942</v>
      </c>
      <c r="AQ14" s="251" t="e">
        <f>-AQ26*AQ13</f>
        <v>#N/A</v>
      </c>
      <c r="AR14" s="251" t="e">
        <f>AS14-AQ14</f>
        <v>#N/A</v>
      </c>
      <c r="AS14" s="252" t="e">
        <f>AQ14-AR26*AR13</f>
        <v>#N/A</v>
      </c>
      <c r="AT14" s="251" t="e">
        <f>-AT26*AT13</f>
        <v>#N/A</v>
      </c>
      <c r="AU14" s="251" t="e">
        <f>AV14-AT14</f>
        <v>#N/A</v>
      </c>
      <c r="AV14" s="252" t="e">
        <f>AT14-AU26*AU13</f>
        <v>#N/A</v>
      </c>
      <c r="AW14" s="251" t="e">
        <f>-AW26*AW13</f>
        <v>#N/A</v>
      </c>
      <c r="AX14" s="251" t="e">
        <f>AY14-AW14</f>
        <v>#N/A</v>
      </c>
      <c r="AY14" s="252" t="e">
        <f>AW14-AX26*AX13</f>
        <v>#N/A</v>
      </c>
      <c r="AZ14" s="251" t="e">
        <f>-AZ26*AZ13</f>
        <v>#N/A</v>
      </c>
      <c r="BA14" s="251" t="e">
        <f>BB14-AZ14</f>
        <v>#N/A</v>
      </c>
      <c r="BB14" s="252" t="e">
        <f>AZ14-BA26*BA13</f>
        <v>#N/A</v>
      </c>
      <c r="BC14" s="251" t="e">
        <f>-BC26*BC13</f>
        <v>#N/A</v>
      </c>
      <c r="BD14" s="251" t="e">
        <f>BE14-BC14</f>
        <v>#N/A</v>
      </c>
      <c r="BE14" s="252" t="e">
        <f>BC14-BD26*BD13</f>
        <v>#N/A</v>
      </c>
      <c r="BG14" s="272">
        <v>-21.23222997638112</v>
      </c>
      <c r="BH14" s="272">
        <v>-22.074084875754885</v>
      </c>
      <c r="BI14" s="272">
        <v>-43.306314852136005</v>
      </c>
      <c r="BJ14" s="272">
        <v>-23.920590710170377</v>
      </c>
      <c r="BK14" s="272">
        <v>-25.286570467577402</v>
      </c>
      <c r="BL14" s="272">
        <v>-49.207161177747778</v>
      </c>
      <c r="BM14" s="272">
        <v>-28.070036063042572</v>
      </c>
      <c r="BN14" s="272">
        <v>-29.697455598372301</v>
      </c>
      <c r="BO14" s="272">
        <v>-57.767491661414873</v>
      </c>
      <c r="BP14" s="272">
        <v>-33.660547670495227</v>
      </c>
      <c r="BQ14" s="272">
        <v>-35.623844601541315</v>
      </c>
      <c r="BR14" s="272">
        <v>-69.284392272036541</v>
      </c>
      <c r="BS14" s="272">
        <v>-37.695017420286256</v>
      </c>
      <c r="BT14" s="272">
        <v>-39.873895387539541</v>
      </c>
      <c r="BU14" s="272">
        <v>-77.568912807825797</v>
      </c>
    </row>
    <row r="15" spans="2:73" s="251" customFormat="1">
      <c r="B15" s="251" t="s">
        <v>2306</v>
      </c>
      <c r="C15" s="252"/>
      <c r="D15" s="253">
        <f>D41+D173</f>
        <v>61</v>
      </c>
      <c r="E15" s="253">
        <f>F15-D15</f>
        <v>35</v>
      </c>
      <c r="F15" s="254">
        <f>F41+F173</f>
        <v>96</v>
      </c>
      <c r="G15" s="253">
        <f>G41+G173</f>
        <v>28</v>
      </c>
      <c r="H15" s="253">
        <f t="shared" ref="H15:AM15" si="15">H13+H14</f>
        <v>-41</v>
      </c>
      <c r="I15" s="254">
        <f t="shared" si="15"/>
        <v>-13</v>
      </c>
      <c r="J15" s="253">
        <f t="shared" si="15"/>
        <v>-132</v>
      </c>
      <c r="K15" s="253">
        <f t="shared" si="15"/>
        <v>-64</v>
      </c>
      <c r="L15" s="504">
        <f t="shared" si="15"/>
        <v>-196</v>
      </c>
      <c r="M15" s="504">
        <f>M13+M14</f>
        <v>109</v>
      </c>
      <c r="N15" s="258">
        <f>N13+N14</f>
        <v>66</v>
      </c>
      <c r="O15" s="253">
        <f>SUM(M15:N15)</f>
        <v>175</v>
      </c>
      <c r="P15" s="504">
        <f>P13+P14</f>
        <v>29</v>
      </c>
      <c r="Q15" s="258">
        <f>Q13+Q14</f>
        <v>52</v>
      </c>
      <c r="R15" s="258">
        <f t="shared" si="15"/>
        <v>81</v>
      </c>
      <c r="S15" s="504">
        <f t="shared" si="15"/>
        <v>36</v>
      </c>
      <c r="T15" s="253">
        <f t="shared" si="15"/>
        <v>53</v>
      </c>
      <c r="U15" s="254">
        <f t="shared" si="15"/>
        <v>89</v>
      </c>
      <c r="V15" s="253">
        <f t="shared" si="15"/>
        <v>57</v>
      </c>
      <c r="W15" s="253">
        <f t="shared" si="15"/>
        <v>48</v>
      </c>
      <c r="X15" s="254">
        <f t="shared" si="15"/>
        <v>105</v>
      </c>
      <c r="Y15" s="253">
        <f t="shared" si="15"/>
        <v>67.94285714285715</v>
      </c>
      <c r="Z15" s="253">
        <f t="shared" si="15"/>
        <v>50.057142857142836</v>
      </c>
      <c r="AA15" s="254">
        <f t="shared" si="15"/>
        <v>118</v>
      </c>
      <c r="AB15" s="253">
        <f>AB13+AB14</f>
        <v>47</v>
      </c>
      <c r="AC15" s="253">
        <f>AC13+AC14</f>
        <v>131</v>
      </c>
      <c r="AD15" s="254">
        <f t="shared" si="15"/>
        <v>79.878500000000003</v>
      </c>
      <c r="AE15" s="253">
        <f>100-AF15</f>
        <v>44</v>
      </c>
      <c r="AF15" s="253">
        <v>56</v>
      </c>
      <c r="AG15" s="254">
        <f>+AE15+AF15</f>
        <v>100</v>
      </c>
      <c r="AH15" s="253">
        <v>9</v>
      </c>
      <c r="AI15" s="253">
        <v>35</v>
      </c>
      <c r="AJ15" s="254">
        <f>+AH15+AI15</f>
        <v>44</v>
      </c>
      <c r="AK15" s="253">
        <f t="shared" si="15"/>
        <v>21.165109109283144</v>
      </c>
      <c r="AL15" s="253">
        <f t="shared" si="15"/>
        <v>21.193600602314874</v>
      </c>
      <c r="AM15" s="254">
        <f t="shared" si="15"/>
        <v>42.358709711598017</v>
      </c>
      <c r="AN15" s="253">
        <f t="shared" ref="AN15:BB15" si="16">AN13+AN14</f>
        <v>18.657857722491141</v>
      </c>
      <c r="AO15" s="253">
        <f t="shared" si="16"/>
        <v>13.827532100290803</v>
      </c>
      <c r="AP15" s="254">
        <f t="shared" si="16"/>
        <v>32.48538982278194</v>
      </c>
      <c r="AQ15" s="253" t="e">
        <f t="shared" si="16"/>
        <v>#N/A</v>
      </c>
      <c r="AR15" s="253" t="e">
        <f t="shared" si="16"/>
        <v>#N/A</v>
      </c>
      <c r="AS15" s="254" t="e">
        <f t="shared" si="16"/>
        <v>#N/A</v>
      </c>
      <c r="AT15" s="253" t="e">
        <f t="shared" si="16"/>
        <v>#N/A</v>
      </c>
      <c r="AU15" s="253" t="e">
        <f t="shared" si="16"/>
        <v>#N/A</v>
      </c>
      <c r="AV15" s="254" t="e">
        <f t="shared" si="16"/>
        <v>#N/A</v>
      </c>
      <c r="AW15" s="253" t="e">
        <f t="shared" si="16"/>
        <v>#N/A</v>
      </c>
      <c r="AX15" s="253" t="e">
        <f t="shared" si="16"/>
        <v>#N/A</v>
      </c>
      <c r="AY15" s="254" t="e">
        <f t="shared" si="16"/>
        <v>#N/A</v>
      </c>
      <c r="AZ15" s="253" t="e">
        <f t="shared" si="16"/>
        <v>#N/A</v>
      </c>
      <c r="BA15" s="253" t="e">
        <f t="shared" si="16"/>
        <v>#N/A</v>
      </c>
      <c r="BB15" s="254" t="e">
        <f t="shared" si="16"/>
        <v>#N/A</v>
      </c>
      <c r="BC15" s="253" t="e">
        <f>BC13+BC14</f>
        <v>#N/A</v>
      </c>
      <c r="BD15" s="253" t="e">
        <f>BD13+BD14</f>
        <v>#N/A</v>
      </c>
      <c r="BE15" s="254" t="e">
        <f>BE13+BE14</f>
        <v>#N/A</v>
      </c>
      <c r="BG15" s="272">
        <v>49.541869944889285</v>
      </c>
      <c r="BH15" s="272">
        <v>51.506198043428064</v>
      </c>
      <c r="BI15" s="272">
        <v>101.04806798831734</v>
      </c>
      <c r="BJ15" s="272">
        <v>55.814711657064223</v>
      </c>
      <c r="BK15" s="272">
        <v>59.001997757680613</v>
      </c>
      <c r="BL15" s="272">
        <v>114.81670941474484</v>
      </c>
      <c r="BM15" s="272">
        <v>65.496750813765999</v>
      </c>
      <c r="BN15" s="272">
        <v>69.294063062868702</v>
      </c>
      <c r="BO15" s="272">
        <v>134.7908138766347</v>
      </c>
      <c r="BP15" s="272">
        <v>78.541277897822198</v>
      </c>
      <c r="BQ15" s="272">
        <v>83.122304070263084</v>
      </c>
      <c r="BR15" s="272">
        <v>161.66358196808528</v>
      </c>
      <c r="BS15" s="272">
        <v>87.955040647334584</v>
      </c>
      <c r="BT15" s="272">
        <v>93.039089237592293</v>
      </c>
      <c r="BU15" s="272">
        <v>180.99412988492688</v>
      </c>
    </row>
    <row r="16" spans="2:73" s="251" customFormat="1">
      <c r="B16" s="255" t="s">
        <v>2307</v>
      </c>
      <c r="C16" s="256">
        <f t="shared" ref="C16:AM16" si="17">C12+C15</f>
        <v>0</v>
      </c>
      <c r="D16" s="255">
        <f t="shared" si="17"/>
        <v>351.78300000000007</v>
      </c>
      <c r="E16" s="255">
        <f t="shared" si="17"/>
        <v>380.81699999999995</v>
      </c>
      <c r="F16" s="256">
        <f t="shared" si="17"/>
        <v>732.6</v>
      </c>
      <c r="G16" s="255">
        <f t="shared" si="17"/>
        <v>499.75</v>
      </c>
      <c r="H16" s="255">
        <f t="shared" si="17"/>
        <v>444.67500000000001</v>
      </c>
      <c r="I16" s="256">
        <f t="shared" si="17"/>
        <v>944.42499999999995</v>
      </c>
      <c r="J16" s="255">
        <f t="shared" si="17"/>
        <v>275</v>
      </c>
      <c r="K16" s="255">
        <f t="shared" si="17"/>
        <v>217</v>
      </c>
      <c r="L16" s="256">
        <f t="shared" si="17"/>
        <v>492</v>
      </c>
      <c r="M16" s="255">
        <f>M12+M15</f>
        <v>471.3415</v>
      </c>
      <c r="N16" s="255">
        <f t="shared" si="17"/>
        <v>462.88030250000008</v>
      </c>
      <c r="O16" s="256">
        <f t="shared" si="17"/>
        <v>934.22180250000008</v>
      </c>
      <c r="P16" s="255">
        <f>P12+P15</f>
        <v>420.45813431310501</v>
      </c>
      <c r="Q16" s="255">
        <f t="shared" si="17"/>
        <v>363.85178623918841</v>
      </c>
      <c r="R16" s="256">
        <f t="shared" si="17"/>
        <v>784.30992055229331</v>
      </c>
      <c r="S16" s="255">
        <f t="shared" si="17"/>
        <v>357.35687273078184</v>
      </c>
      <c r="T16" s="255">
        <f t="shared" si="17"/>
        <v>355.07620616806059</v>
      </c>
      <c r="U16" s="256">
        <f t="shared" si="17"/>
        <v>712.4330788988425</v>
      </c>
      <c r="V16" s="255">
        <f t="shared" si="17"/>
        <v>409.37506316475651</v>
      </c>
      <c r="W16" s="255">
        <f t="shared" si="17"/>
        <v>275.96769916682416</v>
      </c>
      <c r="X16" s="256">
        <f t="shared" si="17"/>
        <v>711.34276233158016</v>
      </c>
      <c r="Y16" s="255">
        <f t="shared" si="17"/>
        <v>470.94233853034882</v>
      </c>
      <c r="Z16" s="255">
        <f t="shared" si="17"/>
        <v>451.08267820191065</v>
      </c>
      <c r="AA16" s="256">
        <f t="shared" si="17"/>
        <v>922.02501673225947</v>
      </c>
      <c r="AB16" s="255">
        <f>AB12+AB15</f>
        <v>484.62318526786225</v>
      </c>
      <c r="AC16" s="255">
        <f>AC12+AC15</f>
        <v>444.55223641233033</v>
      </c>
      <c r="AD16" s="256">
        <f t="shared" si="17"/>
        <v>831.05392168019216</v>
      </c>
      <c r="AE16" s="255">
        <f t="shared" si="17"/>
        <v>549.09549158952916</v>
      </c>
      <c r="AF16" s="255">
        <f t="shared" si="17"/>
        <v>378.96217449231352</v>
      </c>
      <c r="AG16" s="256">
        <f t="shared" si="17"/>
        <v>928.05766608184285</v>
      </c>
      <c r="AH16" s="255">
        <f>AH12+AH15</f>
        <v>211.01793104968368</v>
      </c>
      <c r="AI16" s="255">
        <f t="shared" si="17"/>
        <v>226.324229919522</v>
      </c>
      <c r="AJ16" s="256">
        <f t="shared" si="17"/>
        <v>437.34216096920557</v>
      </c>
      <c r="AK16" s="255">
        <f t="shared" si="17"/>
        <v>349.24279901201652</v>
      </c>
      <c r="AL16" s="255">
        <f t="shared" si="17"/>
        <v>342.44204732740968</v>
      </c>
      <c r="AM16" s="256">
        <f t="shared" si="17"/>
        <v>691.68484633942626</v>
      </c>
      <c r="AN16" s="255">
        <f t="shared" ref="AN16:BB16" si="18">AN12+AN15</f>
        <v>246.73339774204123</v>
      </c>
      <c r="AO16" s="255">
        <f t="shared" si="18"/>
        <v>186.45681911864347</v>
      </c>
      <c r="AP16" s="256">
        <f t="shared" si="18"/>
        <v>433.19021686068493</v>
      </c>
      <c r="AQ16" s="255" t="e">
        <f t="shared" si="18"/>
        <v>#N/A</v>
      </c>
      <c r="AR16" s="255" t="e">
        <f t="shared" si="18"/>
        <v>#N/A</v>
      </c>
      <c r="AS16" s="256" t="e">
        <f t="shared" si="18"/>
        <v>#N/A</v>
      </c>
      <c r="AT16" s="255" t="e">
        <f t="shared" si="18"/>
        <v>#N/A</v>
      </c>
      <c r="AU16" s="255" t="e">
        <f t="shared" si="18"/>
        <v>#N/A</v>
      </c>
      <c r="AV16" s="256" t="e">
        <f t="shared" si="18"/>
        <v>#N/A</v>
      </c>
      <c r="AW16" s="255" t="e">
        <f t="shared" si="18"/>
        <v>#N/A</v>
      </c>
      <c r="AX16" s="255" t="e">
        <f t="shared" si="18"/>
        <v>#N/A</v>
      </c>
      <c r="AY16" s="256" t="e">
        <f t="shared" si="18"/>
        <v>#N/A</v>
      </c>
      <c r="AZ16" s="255" t="e">
        <f t="shared" si="18"/>
        <v>#N/A</v>
      </c>
      <c r="BA16" s="255" t="e">
        <f t="shared" si="18"/>
        <v>#N/A</v>
      </c>
      <c r="BB16" s="256" t="e">
        <f t="shared" si="18"/>
        <v>#N/A</v>
      </c>
      <c r="BC16" s="255" t="e">
        <f>BC12+BC15</f>
        <v>#N/A</v>
      </c>
      <c r="BD16" s="255" t="e">
        <f>BD12+BD15</f>
        <v>#N/A</v>
      </c>
      <c r="BE16" s="256" t="e">
        <f>BE12+BE15</f>
        <v>#N/A</v>
      </c>
      <c r="BG16" s="272">
        <v>519.17082611147998</v>
      </c>
      <c r="BH16" s="272">
        <v>561.03453906417997</v>
      </c>
      <c r="BI16" s="272">
        <v>1080.2053651756601</v>
      </c>
      <c r="BJ16" s="272">
        <v>597.30963034271349</v>
      </c>
      <c r="BK16" s="272">
        <v>635.06543923888921</v>
      </c>
      <c r="BL16" s="272">
        <v>1232.3750695816025</v>
      </c>
      <c r="BM16" s="272">
        <v>677.88377476516223</v>
      </c>
      <c r="BN16" s="272">
        <v>719.66133212877844</v>
      </c>
      <c r="BO16" s="272">
        <v>1397.5451068939408</v>
      </c>
      <c r="BP16" s="272">
        <v>763.48091865106016</v>
      </c>
      <c r="BQ16" s="272">
        <v>805.43136462701682</v>
      </c>
      <c r="BR16" s="272">
        <v>1568.9122832780763</v>
      </c>
      <c r="BS16" s="272">
        <v>847.3154140676728</v>
      </c>
      <c r="BT16" s="272">
        <v>892.40308097927789</v>
      </c>
      <c r="BU16" s="272">
        <v>1739.7184950469514</v>
      </c>
    </row>
    <row r="17" spans="2:73">
      <c r="B17" s="243"/>
      <c r="C17" s="244"/>
      <c r="D17" s="245"/>
      <c r="E17" s="245"/>
      <c r="F17" s="244"/>
      <c r="G17" s="245"/>
      <c r="H17" s="245"/>
      <c r="I17" s="244"/>
      <c r="J17" s="245"/>
      <c r="K17" s="245"/>
      <c r="L17" s="244"/>
      <c r="M17" s="245"/>
      <c r="N17" s="245"/>
      <c r="O17" s="261"/>
      <c r="P17" s="245"/>
      <c r="Q17" s="245"/>
      <c r="R17" s="244"/>
      <c r="S17" s="245"/>
      <c r="T17" s="245"/>
      <c r="U17" s="244"/>
      <c r="V17" s="245"/>
      <c r="W17" s="245"/>
      <c r="X17" s="244"/>
      <c r="Y17" s="503"/>
      <c r="Z17" s="503"/>
      <c r="AA17" s="502"/>
      <c r="AB17" s="543"/>
      <c r="AC17" s="543"/>
      <c r="AD17" s="544"/>
      <c r="AE17" s="503"/>
      <c r="AF17" s="608"/>
      <c r="AG17" s="502"/>
      <c r="AH17" s="503"/>
      <c r="AI17" s="503"/>
      <c r="AJ17" s="544"/>
      <c r="AK17" s="543"/>
      <c r="AL17" s="503"/>
      <c r="AM17" s="544"/>
      <c r="AN17" s="503"/>
      <c r="AO17" s="503"/>
      <c r="AP17" s="544"/>
      <c r="AQ17" s="503"/>
      <c r="AR17" s="503"/>
      <c r="AS17" s="544"/>
      <c r="AT17" s="503"/>
      <c r="AU17" s="503"/>
      <c r="AV17" s="544"/>
      <c r="AW17" s="503"/>
      <c r="AX17" s="503"/>
      <c r="AY17" s="544"/>
      <c r="AZ17" s="503"/>
      <c r="BA17" s="503"/>
      <c r="BB17" s="544"/>
      <c r="BC17" s="503"/>
      <c r="BD17" s="503"/>
      <c r="BE17" s="544"/>
      <c r="BG17" s="272">
        <v>505.94559251376415</v>
      </c>
      <c r="BH17" s="272">
        <v>551.62621105851849</v>
      </c>
      <c r="BI17" s="272">
        <v>1057.571803572283</v>
      </c>
      <c r="BJ17" s="272">
        <v>587.47080335462101</v>
      </c>
      <c r="BK17" s="272">
        <v>624.77830914699416</v>
      </c>
      <c r="BL17" s="272">
        <v>1212.2491125016152</v>
      </c>
      <c r="BM17" s="272">
        <v>667.11661242905643</v>
      </c>
      <c r="BN17" s="272">
        <v>708.40134725715745</v>
      </c>
      <c r="BO17" s="272">
        <v>1375.5179596862135</v>
      </c>
      <c r="BP17" s="272">
        <v>751.68003750933269</v>
      </c>
      <c r="BQ17" s="272">
        <v>793.0873649488625</v>
      </c>
      <c r="BR17" s="272">
        <v>1544.7674024581956</v>
      </c>
      <c r="BS17" s="272">
        <v>834.40390122491442</v>
      </c>
      <c r="BT17" s="272">
        <v>878.89864297571103</v>
      </c>
      <c r="BU17" s="272">
        <v>1713.3025442006258</v>
      </c>
    </row>
    <row r="18" spans="2:73">
      <c r="B18" s="243"/>
      <c r="C18" s="244"/>
      <c r="D18" s="245"/>
      <c r="E18" s="245"/>
      <c r="F18" s="244"/>
      <c r="G18" s="245"/>
      <c r="H18" s="245"/>
      <c r="I18" s="244"/>
      <c r="J18" s="245"/>
      <c r="K18" s="245"/>
      <c r="L18" s="244"/>
      <c r="M18" s="262"/>
      <c r="N18" s="245"/>
      <c r="O18" s="244"/>
      <c r="P18" s="245"/>
      <c r="Q18" s="245"/>
      <c r="R18" s="244"/>
      <c r="S18" s="245"/>
      <c r="T18" s="245"/>
      <c r="U18" s="244"/>
      <c r="V18" s="245"/>
      <c r="W18" s="245"/>
      <c r="X18" s="244"/>
      <c r="Y18" s="542">
        <f>1003+386</f>
        <v>1389</v>
      </c>
      <c r="Z18" s="542">
        <f>930+433</f>
        <v>1363</v>
      </c>
      <c r="AA18" s="515"/>
      <c r="AB18" s="514"/>
      <c r="AC18" s="514"/>
      <c r="AD18" s="515"/>
      <c r="AE18" s="514"/>
      <c r="AF18" s="609"/>
      <c r="AG18" s="515"/>
      <c r="AH18" s="514"/>
      <c r="AI18" s="514"/>
      <c r="AJ18" s="515"/>
      <c r="AK18" s="514"/>
      <c r="AL18" s="514"/>
      <c r="AM18" s="515"/>
      <c r="AN18" s="514"/>
      <c r="AO18" s="514"/>
      <c r="AP18" s="515"/>
      <c r="AQ18" s="514"/>
      <c r="AR18" s="514"/>
      <c r="AS18" s="515"/>
      <c r="AT18" s="514"/>
      <c r="AU18" s="514"/>
      <c r="AV18" s="515"/>
      <c r="AW18" s="514"/>
      <c r="AX18" s="514"/>
      <c r="AY18" s="515"/>
      <c r="AZ18" s="514"/>
      <c r="BA18" s="514"/>
      <c r="BB18" s="515"/>
      <c r="BC18" s="514"/>
      <c r="BD18" s="514"/>
      <c r="BE18" s="515"/>
      <c r="BI18" s="516"/>
      <c r="BL18" s="516"/>
      <c r="BO18" s="516"/>
      <c r="BQ18" s="516"/>
      <c r="BR18" s="516"/>
    </row>
    <row r="19" spans="2:73">
      <c r="B19" s="246" t="s">
        <v>2308</v>
      </c>
      <c r="C19" s="244"/>
      <c r="D19" s="245"/>
      <c r="E19" s="245"/>
      <c r="F19" s="244"/>
      <c r="G19" s="263">
        <f t="shared" ref="G19:O20" si="19">G3/D3-1</f>
        <v>0.27771556550951848</v>
      </c>
      <c r="H19" s="263">
        <f t="shared" si="19"/>
        <v>0.18858307849133538</v>
      </c>
      <c r="I19" s="264">
        <f t="shared" si="19"/>
        <v>0.23105656350053372</v>
      </c>
      <c r="J19" s="263">
        <f t="shared" si="19"/>
        <v>-0.11919368974583699</v>
      </c>
      <c r="K19" s="263">
        <f t="shared" si="19"/>
        <v>-0.307032590051458</v>
      </c>
      <c r="L19" s="264">
        <f>L3/I3-1</f>
        <v>-0.21413090593844819</v>
      </c>
      <c r="M19" s="263">
        <f t="shared" si="19"/>
        <v>-5.7711442786069655E-2</v>
      </c>
      <c r="N19" s="263">
        <f t="shared" si="19"/>
        <v>0.17698019801980203</v>
      </c>
      <c r="O19" s="264">
        <f t="shared" si="19"/>
        <v>4.6883618312189679E-2</v>
      </c>
      <c r="P19" s="263">
        <f>P3/M3-1</f>
        <v>7.3917634635691565E-2</v>
      </c>
      <c r="Q19" s="263">
        <f t="shared" ref="Q19:AM20" si="20">Q3/N3-1</f>
        <v>7.6761303890641397E-2</v>
      </c>
      <c r="R19" s="264">
        <f t="shared" si="20"/>
        <v>7.5342465753424737E-2</v>
      </c>
      <c r="S19" s="263">
        <f t="shared" si="20"/>
        <v>-3.9331366764995046E-2</v>
      </c>
      <c r="T19" s="263">
        <f t="shared" si="20"/>
        <v>-4.296875E-2</v>
      </c>
      <c r="U19" s="264">
        <f>U3/R3-1</f>
        <v>-4.1156295933366005E-2</v>
      </c>
      <c r="V19" s="263">
        <f t="shared" si="20"/>
        <v>6.6530194472876225E-2</v>
      </c>
      <c r="W19" s="263">
        <f t="shared" si="20"/>
        <v>-6.1224489795918324E-2</v>
      </c>
      <c r="X19" s="264">
        <f t="shared" si="20"/>
        <v>2.5549310168624384E-3</v>
      </c>
      <c r="Y19" s="263">
        <f t="shared" si="20"/>
        <v>4.5105566218810011E-2</v>
      </c>
      <c r="Z19" s="263">
        <f t="shared" si="20"/>
        <v>0.1891304347826086</v>
      </c>
      <c r="AA19" s="264">
        <f t="shared" si="20"/>
        <v>0.1126401630988787</v>
      </c>
      <c r="AB19" s="263">
        <f t="shared" si="20"/>
        <v>6.887052341597788E-2</v>
      </c>
      <c r="AC19" s="263">
        <f t="shared" si="20"/>
        <v>0.12340036563071299</v>
      </c>
      <c r="AD19" s="264">
        <f t="shared" si="20"/>
        <v>9.6197892808062235E-2</v>
      </c>
      <c r="AE19" s="263">
        <f t="shared" si="20"/>
        <v>0.12010499015415488</v>
      </c>
      <c r="AF19" s="277">
        <f t="shared" si="20"/>
        <v>1.7008582186586851E-2</v>
      </c>
      <c r="AG19" s="264">
        <f t="shared" si="20"/>
        <v>6.7156605117739909E-2</v>
      </c>
      <c r="AH19" s="263">
        <f t="shared" si="20"/>
        <v>-7.8349732092339419E-2</v>
      </c>
      <c r="AI19" s="263">
        <f t="shared" si="20"/>
        <v>-1.3922450261991237E-2</v>
      </c>
      <c r="AJ19" s="264">
        <f t="shared" si="20"/>
        <v>-4.6815994140999795E-2</v>
      </c>
      <c r="AK19" s="263">
        <f t="shared" si="20"/>
        <v>-7.9924872017238524E-3</v>
      </c>
      <c r="AL19" s="263">
        <f t="shared" si="20"/>
        <v>5.8577684353799953E-3</v>
      </c>
      <c r="AM19" s="264">
        <f t="shared" si="20"/>
        <v>-9.795853718884695E-4</v>
      </c>
      <c r="AN19" s="263">
        <f t="shared" ref="AN19:BB20" si="21">AN3/AK3-1</f>
        <v>-1.2227605262081886E-2</v>
      </c>
      <c r="AO19" s="263">
        <f t="shared" si="21"/>
        <v>-4.9582058607159918E-2</v>
      </c>
      <c r="AP19" s="264">
        <f t="shared" si="21"/>
        <v>-3.127100864126231E-2</v>
      </c>
      <c r="AQ19" s="263">
        <f t="shared" si="21"/>
        <v>0.13532889824695449</v>
      </c>
      <c r="AR19" s="263">
        <f t="shared" si="21"/>
        <v>0.16693746907612961</v>
      </c>
      <c r="AS19" s="264">
        <f t="shared" si="21"/>
        <v>0.15113844321731196</v>
      </c>
      <c r="AT19" s="263">
        <f t="shared" si="21"/>
        <v>5.7888780779495219E-2</v>
      </c>
      <c r="AU19" s="263">
        <f t="shared" si="21"/>
        <v>5.7929185289195217E-2</v>
      </c>
      <c r="AV19" s="264">
        <f t="shared" si="21"/>
        <v>5.7909267119605978E-2</v>
      </c>
      <c r="AW19" s="263">
        <f t="shared" si="21"/>
        <v>5.7969727640719171E-2</v>
      </c>
      <c r="AX19" s="263">
        <f t="shared" si="21"/>
        <v>5.8010352014033373E-2</v>
      </c>
      <c r="AY19" s="264">
        <f t="shared" si="21"/>
        <v>5.7990325846317248E-2</v>
      </c>
      <c r="AZ19" s="263">
        <f t="shared" si="21"/>
        <v>5.8051218182648467E-2</v>
      </c>
      <c r="BA19" s="263">
        <f t="shared" si="21"/>
        <v>5.8092261854028715E-2</v>
      </c>
      <c r="BB19" s="264">
        <f t="shared" si="21"/>
        <v>5.8072029383296364E-2</v>
      </c>
      <c r="BC19" s="263">
        <f t="shared" ref="BC19:BE20" si="22">BC3/AZ3-1</f>
        <v>5.8133643566366633E-2</v>
      </c>
      <c r="BD19" s="263">
        <f t="shared" si="22"/>
        <v>5.8175290778440969E-2</v>
      </c>
      <c r="BE19" s="264">
        <f t="shared" si="22"/>
        <v>5.8154761196231419E-2</v>
      </c>
    </row>
    <row r="20" spans="2:73">
      <c r="B20" s="246" t="s">
        <v>2309</v>
      </c>
      <c r="C20" s="244"/>
      <c r="D20" s="245"/>
      <c r="E20" s="245"/>
      <c r="F20" s="244"/>
      <c r="G20" s="263">
        <f t="shared" si="19"/>
        <v>2.8795811518324665E-2</v>
      </c>
      <c r="H20" s="263">
        <f t="shared" si="19"/>
        <v>9.1954022988505191E-3</v>
      </c>
      <c r="I20" s="264">
        <f t="shared" si="19"/>
        <v>1.8359853121175052E-2</v>
      </c>
      <c r="J20" s="263">
        <f t="shared" si="19"/>
        <v>9.92366412213741E-2</v>
      </c>
      <c r="K20" s="263">
        <f t="shared" si="19"/>
        <v>8.8838268792710728E-2</v>
      </c>
      <c r="L20" s="264">
        <f>L4/I4-1</f>
        <v>9.375E-2</v>
      </c>
      <c r="M20" s="263">
        <f>M4/J4-1</f>
        <v>7.17592592592593E-2</v>
      </c>
      <c r="N20" s="263">
        <f>N4/K4-1</f>
        <v>8.3682008368199945E-3</v>
      </c>
      <c r="O20" s="264">
        <f>O4/L4-1</f>
        <v>3.8461538461538547E-2</v>
      </c>
      <c r="P20" s="263">
        <f>P4/M4-1</f>
        <v>-1.0799136069114423E-2</v>
      </c>
      <c r="Q20" s="263">
        <f t="shared" si="20"/>
        <v>-0.17427385892116187</v>
      </c>
      <c r="R20" s="264">
        <f t="shared" si="20"/>
        <v>-9.4179894179894141E-2</v>
      </c>
      <c r="S20" s="263">
        <f t="shared" si="20"/>
        <v>9.3886462882096122E-2</v>
      </c>
      <c r="T20" s="263">
        <f t="shared" si="20"/>
        <v>0.1532663316582914</v>
      </c>
      <c r="U20" s="264">
        <f>U4/R4-1</f>
        <v>0.12149532710280364</v>
      </c>
      <c r="V20" s="263">
        <f t="shared" si="20"/>
        <v>-0.11177644710578838</v>
      </c>
      <c r="W20" s="263">
        <f t="shared" si="20"/>
        <v>4.7583867918905121E-2</v>
      </c>
      <c r="X20" s="264">
        <f t="shared" si="20"/>
        <v>-3.5582296484606868E-2</v>
      </c>
      <c r="Y20" s="263">
        <f t="shared" si="20"/>
        <v>4.0449438202247112E-2</v>
      </c>
      <c r="Z20" s="263">
        <f t="shared" si="20"/>
        <v>5.2322919358431808E-2</v>
      </c>
      <c r="AA20" s="264">
        <f t="shared" si="20"/>
        <v>4.6616000847696348E-2</v>
      </c>
      <c r="AB20" s="263">
        <f t="shared" si="20"/>
        <v>7.343412526997839E-2</v>
      </c>
      <c r="AC20" s="263">
        <f t="shared" si="20"/>
        <v>-0.11067193675889331</v>
      </c>
      <c r="AD20" s="264">
        <f t="shared" si="20"/>
        <v>-2.270381836945301E-2</v>
      </c>
      <c r="AE20" s="263">
        <f t="shared" si="20"/>
        <v>0.19444175972867783</v>
      </c>
      <c r="AF20" s="277">
        <f t="shared" si="20"/>
        <v>-0.19204269771955351</v>
      </c>
      <c r="AG20" s="264">
        <f t="shared" si="20"/>
        <v>1.0790222398472826E-2</v>
      </c>
      <c r="AH20" s="263">
        <f t="shared" si="20"/>
        <v>-0.71932798324919744</v>
      </c>
      <c r="AI20" s="263">
        <f t="shared" si="20"/>
        <v>-0.88743581600130261</v>
      </c>
      <c r="AJ20" s="264">
        <f t="shared" si="20"/>
        <v>-0.7831804768507461</v>
      </c>
      <c r="AK20" s="263">
        <f t="shared" si="20"/>
        <v>0.91790864416337725</v>
      </c>
      <c r="AL20" s="263">
        <f t="shared" si="20"/>
        <v>6.3355198425713306</v>
      </c>
      <c r="AM20" s="264">
        <f t="shared" si="20"/>
        <v>1.9862242918121842</v>
      </c>
      <c r="AN20" s="263">
        <f t="shared" si="21"/>
        <v>-0.41099844583525857</v>
      </c>
      <c r="AO20" s="263">
        <f t="shared" si="21"/>
        <v>8.6977734060631473E-3</v>
      </c>
      <c r="AP20" s="264">
        <f t="shared" si="21"/>
        <v>-0.20769942607151359</v>
      </c>
      <c r="AQ20" s="263">
        <f t="shared" si="21"/>
        <v>0.65187784196098209</v>
      </c>
      <c r="AR20" s="263">
        <f t="shared" si="21"/>
        <v>5.4165257585387261E-2</v>
      </c>
      <c r="AS20" s="264">
        <f t="shared" si="21"/>
        <v>0.2832707226424378</v>
      </c>
      <c r="AT20" s="263">
        <f t="shared" si="21"/>
        <v>5.4211068191230005E-2</v>
      </c>
      <c r="AU20" s="263">
        <f t="shared" si="21"/>
        <v>5.4257393096625028E-2</v>
      </c>
      <c r="AV20" s="264">
        <f t="shared" si="21"/>
        <v>5.4234536201696271E-2</v>
      </c>
      <c r="AW20" s="263">
        <f t="shared" si="21"/>
        <v>5.4304236039790066E-2</v>
      </c>
      <c r="AX20" s="263">
        <f t="shared" si="21"/>
        <v>5.4351600732454708E-2</v>
      </c>
      <c r="AY20" s="264">
        <f t="shared" si="21"/>
        <v>5.432823132252973E-2</v>
      </c>
      <c r="AZ20" s="263">
        <f t="shared" si="21"/>
        <v>5.4399490858145771E-2</v>
      </c>
      <c r="BA20" s="263">
        <f t="shared" si="21"/>
        <v>5.4447910070438477E-2</v>
      </c>
      <c r="BB20" s="264">
        <f t="shared" si="21"/>
        <v>5.4424020911565396E-2</v>
      </c>
      <c r="BC20" s="263">
        <f t="shared" si="22"/>
        <v>5.4496861991177648E-2</v>
      </c>
      <c r="BD20" s="263">
        <f t="shared" si="22"/>
        <v>5.4546350208669825E-2</v>
      </c>
      <c r="BE20" s="264">
        <f t="shared" si="22"/>
        <v>5.4521934190096433E-2</v>
      </c>
    </row>
    <row r="21" spans="2:73" s="265" customFormat="1">
      <c r="B21" s="265" t="s">
        <v>2310</v>
      </c>
      <c r="C21" s="266"/>
      <c r="D21" s="267">
        <f t="shared" ref="D21:AM21" si="23">-D9/D5</f>
        <v>0.6755372549019607</v>
      </c>
      <c r="E21" s="267">
        <f t="shared" si="23"/>
        <v>0.66079802259887011</v>
      </c>
      <c r="F21" s="268">
        <f t="shared" si="23"/>
        <v>0.66778149386845043</v>
      </c>
      <c r="G21" s="267">
        <f t="shared" si="23"/>
        <v>0.59093872229465449</v>
      </c>
      <c r="H21" s="267">
        <f t="shared" si="23"/>
        <v>0.60669781931464173</v>
      </c>
      <c r="I21" s="268">
        <f t="shared" si="23"/>
        <v>0.59899649569926727</v>
      </c>
      <c r="J21" s="267">
        <f t="shared" si="23"/>
        <v>0.63813500347947116</v>
      </c>
      <c r="K21" s="267">
        <f t="shared" si="23"/>
        <v>0.71461897356143078</v>
      </c>
      <c r="L21" s="268">
        <f t="shared" si="23"/>
        <v>0.67425633492471537</v>
      </c>
      <c r="M21" s="267">
        <f t="shared" si="23"/>
        <v>0.66833333333333333</v>
      </c>
      <c r="N21" s="267">
        <f t="shared" si="23"/>
        <v>0.66204623168178645</v>
      </c>
      <c r="O21" s="268">
        <f t="shared" si="23"/>
        <v>0.66516435103763627</v>
      </c>
      <c r="P21" s="267">
        <f t="shared" si="23"/>
        <v>0.65541575092486004</v>
      </c>
      <c r="Q21" s="267">
        <f t="shared" si="23"/>
        <v>0.7204757270284029</v>
      </c>
      <c r="R21" s="268">
        <f t="shared" si="23"/>
        <v>0.68735060975096918</v>
      </c>
      <c r="S21" s="267">
        <f t="shared" si="23"/>
        <v>0.72383493276266175</v>
      </c>
      <c r="T21" s="267">
        <f t="shared" si="23"/>
        <v>0.72389874590272463</v>
      </c>
      <c r="U21" s="268">
        <f t="shared" si="23"/>
        <v>0.72386641274502395</v>
      </c>
      <c r="V21" s="267">
        <f t="shared" si="23"/>
        <v>0.70430248539502016</v>
      </c>
      <c r="W21" s="267">
        <f t="shared" si="23"/>
        <v>0.76781378093544672</v>
      </c>
      <c r="X21" s="268">
        <f t="shared" si="23"/>
        <v>0.73511070046118487</v>
      </c>
      <c r="Y21" s="267">
        <f t="shared" si="23"/>
        <v>0.68993013429103711</v>
      </c>
      <c r="Z21" s="267">
        <f t="shared" si="23"/>
        <v>0.70339919450912536</v>
      </c>
      <c r="AA21" s="268">
        <f t="shared" si="23"/>
        <v>0.69676722069615804</v>
      </c>
      <c r="AB21" s="267">
        <f>-AB9/AB5</f>
        <v>0.68094527864140231</v>
      </c>
      <c r="AC21" s="267">
        <f>-AC9/AC5</f>
        <v>0.80413865848547661</v>
      </c>
      <c r="AD21" s="268">
        <f t="shared" si="23"/>
        <v>0.74287392677260022</v>
      </c>
      <c r="AE21" s="267">
        <f t="shared" si="23"/>
        <v>0.6742307358619144</v>
      </c>
      <c r="AF21" s="603">
        <f t="shared" si="23"/>
        <v>0.78025612997461868</v>
      </c>
      <c r="AG21" s="268">
        <f t="shared" si="23"/>
        <v>0.72295588845646896</v>
      </c>
      <c r="AH21" s="267">
        <f>-AH9/AH5</f>
        <v>0.79915277837123566</v>
      </c>
      <c r="AI21" s="267">
        <f t="shared" si="23"/>
        <v>0.80187920902811549</v>
      </c>
      <c r="AJ21" s="268">
        <f t="shared" si="23"/>
        <v>0.8004670531092748</v>
      </c>
      <c r="AK21" s="267">
        <f t="shared" si="23"/>
        <v>0.70819188620470175</v>
      </c>
      <c r="AL21" s="267">
        <f t="shared" si="23"/>
        <v>0.71890510224281079</v>
      </c>
      <c r="AM21" s="268">
        <f t="shared" si="23"/>
        <v>0.71359823073744488</v>
      </c>
      <c r="AN21" s="267">
        <f t="shared" ref="AN21:BB21" si="24">-AN9/AN5</f>
        <v>0.76287360963396911</v>
      </c>
      <c r="AO21" s="267">
        <f t="shared" si="24"/>
        <v>0.83066074641931187</v>
      </c>
      <c r="AP21" s="268">
        <f t="shared" si="24"/>
        <v>0.79814101290771045</v>
      </c>
      <c r="AQ21" s="267">
        <f t="shared" si="24"/>
        <v>0.7859332852378681</v>
      </c>
      <c r="AR21" s="267">
        <f t="shared" si="24"/>
        <v>0.78740349874373738</v>
      </c>
      <c r="AS21" s="268">
        <f t="shared" si="24"/>
        <v>0.78667860849708671</v>
      </c>
      <c r="AT21" s="267">
        <f t="shared" si="24"/>
        <v>0.78889210622571482</v>
      </c>
      <c r="AU21" s="267">
        <f t="shared" si="24"/>
        <v>0.79040313607455159</v>
      </c>
      <c r="AV21" s="268">
        <f t="shared" si="24"/>
        <v>0.78965813647168137</v>
      </c>
      <c r="AW21" s="267">
        <f t="shared" si="24"/>
        <v>0.79193286656090689</v>
      </c>
      <c r="AX21" s="267">
        <f t="shared" si="24"/>
        <v>0.79348537424955512</v>
      </c>
      <c r="AY21" s="268">
        <f t="shared" si="24"/>
        <v>0.79271994010397717</v>
      </c>
      <c r="AZ21" s="267">
        <f t="shared" si="24"/>
        <v>0.79505684203986637</v>
      </c>
      <c r="BA21" s="267">
        <f t="shared" si="24"/>
        <v>0.79665139874749191</v>
      </c>
      <c r="BB21" s="268">
        <f t="shared" si="24"/>
        <v>0.79586524949333382</v>
      </c>
      <c r="BC21" s="267">
        <f>-BC9/BC5</f>
        <v>0.79826512953548334</v>
      </c>
      <c r="BD21" s="267">
        <f>-BD9/BD5</f>
        <v>0.79990221952859675</v>
      </c>
      <c r="BE21" s="268">
        <f>-BE9/BE5</f>
        <v>0.79909511754044227</v>
      </c>
    </row>
    <row r="22" spans="2:73">
      <c r="B22" s="246" t="s">
        <v>2311</v>
      </c>
      <c r="C22" s="244"/>
      <c r="D22" s="245"/>
      <c r="E22" s="245"/>
      <c r="F22" s="244"/>
      <c r="G22" s="263">
        <f t="shared" ref="G22:AM23" si="25">G9/D9-1</f>
        <v>5.2466591587233546E-2</v>
      </c>
      <c r="H22" s="263">
        <f t="shared" si="25"/>
        <v>4.0675864869775147E-2</v>
      </c>
      <c r="I22" s="264">
        <f t="shared" si="25"/>
        <v>4.6327212020033315E-2</v>
      </c>
      <c r="J22" s="263">
        <f t="shared" si="25"/>
        <v>1.158301158301156E-2</v>
      </c>
      <c r="K22" s="263">
        <f t="shared" si="25"/>
        <v>-5.6225930680359415E-2</v>
      </c>
      <c r="L22" s="264">
        <f t="shared" si="25"/>
        <v>-2.3534104507379361E-2</v>
      </c>
      <c r="M22" s="263">
        <f t="shared" si="25"/>
        <v>2.7644492911668594E-2</v>
      </c>
      <c r="N22" s="263">
        <f t="shared" si="25"/>
        <v>3.2331066376496187E-2</v>
      </c>
      <c r="O22" s="264">
        <f t="shared" si="25"/>
        <v>2.9990332244008711E-2</v>
      </c>
      <c r="P22" s="263">
        <f t="shared" si="25"/>
        <v>2.5880227743586337E-2</v>
      </c>
      <c r="Q22" s="263">
        <f t="shared" si="25"/>
        <v>7.9902239940918829E-2</v>
      </c>
      <c r="R22" s="264">
        <f>R9/O9-1</f>
        <v>5.2982109102203134E-2</v>
      </c>
      <c r="S22" s="263">
        <f t="shared" si="25"/>
        <v>0.10663672391468282</v>
      </c>
      <c r="T22" s="263">
        <f t="shared" si="25"/>
        <v>1.6762845489177947E-2</v>
      </c>
      <c r="U22" s="264">
        <f t="shared" si="25"/>
        <v>6.039589437516546E-2</v>
      </c>
      <c r="V22" s="263">
        <f t="shared" si="25"/>
        <v>-2.1059678935215764E-2</v>
      </c>
      <c r="W22" s="263">
        <f t="shared" si="25"/>
        <v>3.2538198680772457E-2</v>
      </c>
      <c r="X22" s="264">
        <f t="shared" si="25"/>
        <v>5.3821417571564556E-3</v>
      </c>
      <c r="Y22" s="263">
        <f t="shared" si="25"/>
        <v>2.2413656107963309E-2</v>
      </c>
      <c r="Z22" s="263">
        <f t="shared" si="25"/>
        <v>4.6350301544088257E-2</v>
      </c>
      <c r="AA22" s="264">
        <f t="shared" si="25"/>
        <v>3.4541455665385135E-2</v>
      </c>
      <c r="AB22" s="263">
        <f t="shared" si="25"/>
        <v>5.6294490049490609E-2</v>
      </c>
      <c r="AC22" s="263">
        <f t="shared" si="25"/>
        <v>0.19966444564538044</v>
      </c>
      <c r="AD22" s="264">
        <f t="shared" si="25"/>
        <v>0.12976382017192378</v>
      </c>
      <c r="AE22" s="263">
        <f t="shared" si="25"/>
        <v>0.13108358232430528</v>
      </c>
      <c r="AF22" s="277">
        <f t="shared" si="25"/>
        <v>-6.756126822932873E-2</v>
      </c>
      <c r="AG22" s="264">
        <f t="shared" si="25"/>
        <v>2.299063320867778E-2</v>
      </c>
      <c r="AH22" s="263">
        <f t="shared" si="25"/>
        <v>-0.14527943103649377</v>
      </c>
      <c r="AI22" s="263">
        <f t="shared" si="25"/>
        <v>-0.18888691669990021</v>
      </c>
      <c r="AJ22" s="264">
        <f t="shared" si="25"/>
        <v>-0.16690809777976723</v>
      </c>
      <c r="AK22" s="263">
        <f t="shared" si="25"/>
        <v>-2.0988354275368604E-2</v>
      </c>
      <c r="AL22" s="263">
        <f t="shared" si="25"/>
        <v>8.4153994664563081E-2</v>
      </c>
      <c r="AM22" s="264">
        <f t="shared" si="25"/>
        <v>2.9784884919376475E-2</v>
      </c>
      <c r="AN22" s="263">
        <f t="shared" ref="AN22:BB23" si="26">AN9/AK9-1</f>
        <v>-2.676904105800515E-2</v>
      </c>
      <c r="AO22" s="263">
        <f t="shared" si="26"/>
        <v>0.11129088523749608</v>
      </c>
      <c r="AP22" s="264">
        <f t="shared" si="26"/>
        <v>4.3419997649650988E-2</v>
      </c>
      <c r="AQ22" s="263">
        <f t="shared" si="26"/>
        <v>0.24298973077052377</v>
      </c>
      <c r="AR22" s="263">
        <f t="shared" si="26"/>
        <v>8.4311376548247274E-2</v>
      </c>
      <c r="AS22" s="264">
        <f t="shared" si="26"/>
        <v>0.1570709825451666</v>
      </c>
      <c r="AT22" s="263">
        <f t="shared" si="26"/>
        <v>6.1174866611855894E-2</v>
      </c>
      <c r="AU22" s="263">
        <f t="shared" si="26"/>
        <v>6.1264898018047464E-2</v>
      </c>
      <c r="AV22" s="264">
        <f t="shared" si="26"/>
        <v>6.122054999925064E-2</v>
      </c>
      <c r="AW22" s="263">
        <f t="shared" si="26"/>
        <v>6.1355279388465744E-2</v>
      </c>
      <c r="AX22" s="263">
        <f t="shared" si="26"/>
        <v>6.1446000162862502E-2</v>
      </c>
      <c r="AY22" s="264">
        <f t="shared" si="26"/>
        <v>6.1401314496114967E-2</v>
      </c>
      <c r="AZ22" s="263">
        <f t="shared" si="26"/>
        <v>6.1537082865277704E-2</v>
      </c>
      <c r="BA22" s="263">
        <f t="shared" si="26"/>
        <v>6.1628514930089473E-2</v>
      </c>
      <c r="BB22" s="264">
        <f t="shared" si="26"/>
        <v>6.1583480861539419E-2</v>
      </c>
      <c r="BC22" s="263">
        <f t="shared" ref="BC22:BE23" si="27">BC9/AZ9-1</f>
        <v>6.1720318264421925E-2</v>
      </c>
      <c r="BD22" s="263">
        <f t="shared" si="27"/>
        <v>6.1812478377418101E-2</v>
      </c>
      <c r="BE22" s="264">
        <f t="shared" si="27"/>
        <v>6.1767087699015066E-2</v>
      </c>
    </row>
    <row r="23" spans="2:73">
      <c r="B23" s="246" t="s">
        <v>2312</v>
      </c>
      <c r="C23" s="244"/>
      <c r="D23" s="245"/>
      <c r="E23" s="245"/>
      <c r="F23" s="244"/>
      <c r="G23" s="263">
        <f t="shared" si="25"/>
        <v>0.5168362783726943</v>
      </c>
      <c r="H23" s="263">
        <f t="shared" si="25"/>
        <v>0.31425537673585824</v>
      </c>
      <c r="I23" s="264">
        <f t="shared" si="25"/>
        <v>0.40799776286353473</v>
      </c>
      <c r="J23" s="263">
        <f t="shared" si="25"/>
        <v>-0.17131474103585653</v>
      </c>
      <c r="K23" s="263">
        <f t="shared" si="25"/>
        <v>-0.41861386138613865</v>
      </c>
      <c r="L23" s="264">
        <f t="shared" si="25"/>
        <v>-0.29533267130089369</v>
      </c>
      <c r="M23" s="263">
        <f>M10/J10-1</f>
        <v>-0.10067307692307692</v>
      </c>
      <c r="N23" s="263">
        <f>N10/K10-1</f>
        <v>0.31958514986376052</v>
      </c>
      <c r="O23" s="264">
        <f>O10/L10-1</f>
        <v>7.3210541149943742E-2</v>
      </c>
      <c r="P23" s="263">
        <f t="shared" si="25"/>
        <v>8.6842226848778736E-2</v>
      </c>
      <c r="Q23" s="263">
        <f t="shared" si="25"/>
        <v>-0.17924102733217806</v>
      </c>
      <c r="R23" s="264">
        <f t="shared" si="25"/>
        <v>-4.8524671333349034E-2</v>
      </c>
      <c r="S23" s="263">
        <f t="shared" si="25"/>
        <v>-0.19692568757206041</v>
      </c>
      <c r="T23" s="263">
        <f t="shared" si="25"/>
        <v>-4.3727981806240823E-4</v>
      </c>
      <c r="U23" s="264">
        <f t="shared" si="25"/>
        <v>-0.11069735757887889</v>
      </c>
      <c r="V23" s="263">
        <f t="shared" si="25"/>
        <v>7.7247428060679191E-2</v>
      </c>
      <c r="W23" s="263">
        <f t="shared" si="25"/>
        <v>-0.18135406605153914</v>
      </c>
      <c r="X23" s="264">
        <f t="shared" si="25"/>
        <v>-5.0309643143191529E-2</v>
      </c>
      <c r="Y23" s="263">
        <f t="shared" si="25"/>
        <v>9.4441708420807569E-2</v>
      </c>
      <c r="Z23" s="263">
        <f t="shared" si="25"/>
        <v>0.45903942245390605</v>
      </c>
      <c r="AA23" s="264">
        <f t="shared" si="25"/>
        <v>0.24946663399233904</v>
      </c>
      <c r="AB23" s="263">
        <f t="shared" si="25"/>
        <v>0.10124393614135307</v>
      </c>
      <c r="AC23" s="263">
        <f t="shared" si="25"/>
        <v>-0.30704168213013672</v>
      </c>
      <c r="AD23" s="264">
        <f t="shared" si="25"/>
        <v>-0.10147486807985784</v>
      </c>
      <c r="AE23" s="263">
        <f t="shared" si="25"/>
        <v>0.16638868033474541</v>
      </c>
      <c r="AF23" s="277">
        <f t="shared" si="25"/>
        <v>7.8157233018649963E-2</v>
      </c>
      <c r="AG23" s="264">
        <f t="shared" si="25"/>
        <v>0.13260318893479472</v>
      </c>
      <c r="AH23" s="263">
        <f t="shared" si="25"/>
        <v>-0.55541110570808783</v>
      </c>
      <c r="AI23" s="263">
        <f t="shared" si="25"/>
        <v>-0.28842132076778193</v>
      </c>
      <c r="AJ23" s="264">
        <f t="shared" si="25"/>
        <v>-0.45809027598165108</v>
      </c>
      <c r="AK23" s="263">
        <f t="shared" si="25"/>
        <v>0.60508582691046375</v>
      </c>
      <c r="AL23" s="263">
        <f t="shared" si="25"/>
        <v>0.71573918971467521</v>
      </c>
      <c r="AM23" s="264">
        <f t="shared" si="25"/>
        <v>0.6580487269354649</v>
      </c>
      <c r="AN23" s="263">
        <f t="shared" si="26"/>
        <v>-0.26582972338316824</v>
      </c>
      <c r="AO23" s="263">
        <f t="shared" si="26"/>
        <v>-0.42059757479628201</v>
      </c>
      <c r="AP23" s="264">
        <f t="shared" si="26"/>
        <v>-0.34248496829867747</v>
      </c>
      <c r="AQ23" s="263">
        <f t="shared" si="26"/>
        <v>8.9190146439618756E-2</v>
      </c>
      <c r="AR23" s="263">
        <f t="shared" si="26"/>
        <v>0.4360806617098103</v>
      </c>
      <c r="AS23" s="264">
        <f t="shared" si="26"/>
        <v>0.24059094658594971</v>
      </c>
      <c r="AT23" s="263">
        <f t="shared" si="26"/>
        <v>4.2582319464048446E-2</v>
      </c>
      <c r="AU23" s="263">
        <f t="shared" si="26"/>
        <v>4.2320195852362463E-2</v>
      </c>
      <c r="AV23" s="264">
        <f t="shared" si="26"/>
        <v>4.2449887715049206E-2</v>
      </c>
      <c r="AW23" s="263">
        <f t="shared" si="26"/>
        <v>4.2051153728672075E-2</v>
      </c>
      <c r="AX23" s="263">
        <f t="shared" si="26"/>
        <v>4.1774368066274548E-2</v>
      </c>
      <c r="AY23" s="264">
        <f t="shared" si="26"/>
        <v>4.1911331723185397E-2</v>
      </c>
      <c r="AZ23" s="263">
        <f t="shared" si="26"/>
        <v>4.1490464477746514E-2</v>
      </c>
      <c r="BA23" s="263">
        <f t="shared" si="26"/>
        <v>4.1198545895847261E-2</v>
      </c>
      <c r="BB23" s="264">
        <f t="shared" si="26"/>
        <v>4.1343017259253489E-2</v>
      </c>
      <c r="BC23" s="263">
        <f t="shared" si="27"/>
        <v>4.0899258786882164E-2</v>
      </c>
      <c r="BD23" s="263">
        <f t="shared" si="27"/>
        <v>4.0591629092570081E-2</v>
      </c>
      <c r="BE23" s="264">
        <f t="shared" si="27"/>
        <v>4.0743897488781933E-2</v>
      </c>
    </row>
    <row r="24" spans="2:73" s="243" customFormat="1">
      <c r="B24" s="243" t="s">
        <v>2313</v>
      </c>
      <c r="C24" s="244"/>
      <c r="D24" s="245"/>
      <c r="E24" s="245"/>
      <c r="F24" s="244"/>
      <c r="G24" s="269">
        <f t="shared" ref="G24:AM24" si="28">G16/D16-1</f>
        <v>0.42062009818552881</v>
      </c>
      <c r="H24" s="269">
        <f t="shared" si="28"/>
        <v>0.16768684171137327</v>
      </c>
      <c r="I24" s="270">
        <f t="shared" si="28"/>
        <v>0.28914141414141414</v>
      </c>
      <c r="J24" s="269">
        <f t="shared" si="28"/>
        <v>-0.44972486243121557</v>
      </c>
      <c r="K24" s="269">
        <f t="shared" si="28"/>
        <v>-0.51200314836678473</v>
      </c>
      <c r="L24" s="270">
        <f t="shared" si="28"/>
        <v>-0.47904809804907744</v>
      </c>
      <c r="M24" s="269">
        <f t="shared" si="28"/>
        <v>0.713969090909091</v>
      </c>
      <c r="N24" s="269">
        <f t="shared" si="28"/>
        <v>1.1330889516129035</v>
      </c>
      <c r="O24" s="270">
        <f t="shared" si="28"/>
        <v>0.89882480182926838</v>
      </c>
      <c r="P24" s="269">
        <f t="shared" si="28"/>
        <v>-0.10795435090458827</v>
      </c>
      <c r="Q24" s="269">
        <f t="shared" si="28"/>
        <v>-0.21393979334605984</v>
      </c>
      <c r="R24" s="270">
        <f t="shared" si="28"/>
        <v>-0.16046711984941797</v>
      </c>
      <c r="S24" s="269">
        <f t="shared" si="28"/>
        <v>-0.15007739518563623</v>
      </c>
      <c r="T24" s="269">
        <f t="shared" si="28"/>
        <v>-2.411855706916588E-2</v>
      </c>
      <c r="U24" s="270">
        <f>U16/R16-1</f>
        <v>-9.1643417697479523E-2</v>
      </c>
      <c r="V24" s="269">
        <f t="shared" si="28"/>
        <v>0.14556370508973826</v>
      </c>
      <c r="W24" s="269">
        <f t="shared" si="28"/>
        <v>-0.22279303886612356</v>
      </c>
      <c r="X24" s="270">
        <f t="shared" si="28"/>
        <v>-1.5304126093464987E-3</v>
      </c>
      <c r="Y24" s="269">
        <f t="shared" si="28"/>
        <v>0.15039332119947435</v>
      </c>
      <c r="Z24" s="269">
        <f t="shared" si="28"/>
        <v>0.63454882424202985</v>
      </c>
      <c r="AA24" s="270">
        <f t="shared" si="28"/>
        <v>0.29617543827974369</v>
      </c>
      <c r="AB24" s="269">
        <f t="shared" si="28"/>
        <v>2.9049940126867124E-2</v>
      </c>
      <c r="AC24" s="269">
        <f t="shared" si="28"/>
        <v>-1.447726127638449E-2</v>
      </c>
      <c r="AD24" s="270">
        <f t="shared" si="28"/>
        <v>-9.8664454218907349E-2</v>
      </c>
      <c r="AE24" s="269">
        <f t="shared" si="28"/>
        <v>0.13303595098536536</v>
      </c>
      <c r="AF24" s="610">
        <f t="shared" si="28"/>
        <v>-0.14754185570934986</v>
      </c>
      <c r="AG24" s="270">
        <f t="shared" si="28"/>
        <v>0.11672376709989196</v>
      </c>
      <c r="AH24" s="269">
        <f t="shared" si="28"/>
        <v>-0.6156990281620669</v>
      </c>
      <c r="AI24" s="269">
        <f t="shared" si="28"/>
        <v>-0.40277883875159015</v>
      </c>
      <c r="AJ24" s="270">
        <f t="shared" si="28"/>
        <v>-0.52875540286670342</v>
      </c>
      <c r="AK24" s="269">
        <f t="shared" si="28"/>
        <v>0.65503849495040356</v>
      </c>
      <c r="AL24" s="269">
        <f t="shared" si="28"/>
        <v>0.51305959352729347</v>
      </c>
      <c r="AM24" s="270">
        <f t="shared" si="28"/>
        <v>0.58156452331640085</v>
      </c>
      <c r="AN24" s="269">
        <f t="shared" ref="AN24:BB24" si="29">AN16/AK16-1</f>
        <v>-0.29351901187359397</v>
      </c>
      <c r="AO24" s="269">
        <f t="shared" si="29"/>
        <v>-0.45550839748259175</v>
      </c>
      <c r="AP24" s="270">
        <f t="shared" si="29"/>
        <v>-0.37371735241383597</v>
      </c>
      <c r="AQ24" s="269" t="e">
        <f t="shared" si="29"/>
        <v>#N/A</v>
      </c>
      <c r="AR24" s="269" t="e">
        <f t="shared" si="29"/>
        <v>#N/A</v>
      </c>
      <c r="AS24" s="270" t="e">
        <f t="shared" si="29"/>
        <v>#N/A</v>
      </c>
      <c r="AT24" s="269" t="e">
        <f t="shared" si="29"/>
        <v>#N/A</v>
      </c>
      <c r="AU24" s="269" t="e">
        <f t="shared" si="29"/>
        <v>#N/A</v>
      </c>
      <c r="AV24" s="270" t="e">
        <f t="shared" si="29"/>
        <v>#N/A</v>
      </c>
      <c r="AW24" s="269" t="e">
        <f t="shared" si="29"/>
        <v>#N/A</v>
      </c>
      <c r="AX24" s="269" t="e">
        <f t="shared" si="29"/>
        <v>#N/A</v>
      </c>
      <c r="AY24" s="270" t="e">
        <f t="shared" si="29"/>
        <v>#N/A</v>
      </c>
      <c r="AZ24" s="269" t="e">
        <f t="shared" si="29"/>
        <v>#N/A</v>
      </c>
      <c r="BA24" s="269" t="e">
        <f t="shared" si="29"/>
        <v>#N/A</v>
      </c>
      <c r="BB24" s="270" t="e">
        <f t="shared" si="29"/>
        <v>#N/A</v>
      </c>
      <c r="BC24" s="269" t="e">
        <f>BC16/AZ16-1</f>
        <v>#N/A</v>
      </c>
      <c r="BD24" s="269" t="e">
        <f>BD16/BA16-1</f>
        <v>#N/A</v>
      </c>
      <c r="BE24" s="270" t="e">
        <f>BE16/BB16-1</f>
        <v>#N/A</v>
      </c>
    </row>
    <row r="25" spans="2:73" s="265" customFormat="1">
      <c r="B25" s="265" t="s">
        <v>2314</v>
      </c>
      <c r="C25" s="266"/>
      <c r="D25" s="267">
        <f t="shared" ref="D25:AM25" si="30">-D11/D10</f>
        <v>0.29709927723657809</v>
      </c>
      <c r="E25" s="267">
        <f t="shared" si="30"/>
        <v>0.28001290833003689</v>
      </c>
      <c r="F25" s="268">
        <f t="shared" si="30"/>
        <v>0.28791946308724831</v>
      </c>
      <c r="G25" s="267">
        <f t="shared" si="30"/>
        <v>0.24820717131474104</v>
      </c>
      <c r="H25" s="267">
        <f t="shared" si="30"/>
        <v>0.2306138613861386</v>
      </c>
      <c r="I25" s="268">
        <f t="shared" si="30"/>
        <v>0.23938430983118172</v>
      </c>
      <c r="J25" s="267">
        <f t="shared" si="30"/>
        <v>0.21730769230769231</v>
      </c>
      <c r="K25" s="267">
        <f t="shared" si="30"/>
        <v>0.23433242506811988</v>
      </c>
      <c r="L25" s="268">
        <f t="shared" si="30"/>
        <v>0.22435174746335965</v>
      </c>
      <c r="M25" s="267">
        <f t="shared" si="30"/>
        <v>0.22518657115364055</v>
      </c>
      <c r="N25" s="267">
        <f t="shared" si="30"/>
        <v>0.18048659603717002</v>
      </c>
      <c r="O25" s="268">
        <f t="shared" si="30"/>
        <v>0.20244595563102732</v>
      </c>
      <c r="P25" s="267">
        <f>-P11/P10</f>
        <v>0.22980999273954533</v>
      </c>
      <c r="Q25" s="267">
        <f t="shared" si="30"/>
        <v>0.21543466947380099</v>
      </c>
      <c r="R25" s="268">
        <f t="shared" si="30"/>
        <v>0.22350142658805425</v>
      </c>
      <c r="S25" s="267">
        <f>-S11/S10</f>
        <v>0.21269245112190582</v>
      </c>
      <c r="T25" s="267">
        <f t="shared" si="30"/>
        <v>0.23969587796194408</v>
      </c>
      <c r="U25" s="268">
        <f t="shared" si="30"/>
        <v>0.22601208816425233</v>
      </c>
      <c r="V25" s="267">
        <f t="shared" si="30"/>
        <v>0.19860519282189223</v>
      </c>
      <c r="W25" s="267">
        <f t="shared" si="30"/>
        <v>0.29911295339363503</v>
      </c>
      <c r="X25" s="268">
        <f t="shared" si="30"/>
        <v>0.20735174886984864</v>
      </c>
      <c r="Y25" s="267">
        <f t="shared" si="30"/>
        <v>0.16256094831288731</v>
      </c>
      <c r="Z25" s="267">
        <f t="shared" si="30"/>
        <v>0.15495522955283683</v>
      </c>
      <c r="AA25" s="268">
        <f t="shared" si="30"/>
        <v>0.15878461590419829</v>
      </c>
      <c r="AB25" s="267">
        <f>-AB11/AB10</f>
        <v>0.1742178048750245</v>
      </c>
      <c r="AC25" s="267">
        <f>-AC11/AC10</f>
        <v>4.6522428210664116E-2</v>
      </c>
      <c r="AD25" s="268">
        <f t="shared" si="30"/>
        <v>0.12532082787484897</v>
      </c>
      <c r="AE25" s="267">
        <f t="shared" si="30"/>
        <v>0.18286203681783206</v>
      </c>
      <c r="AF25" s="603">
        <f t="shared" si="30"/>
        <v>8.9101181473546315E-2</v>
      </c>
      <c r="AG25" s="268">
        <f t="shared" si="30"/>
        <v>0.14868513285872931</v>
      </c>
      <c r="AH25" s="267">
        <f>-AH11/AH10</f>
        <v>0.26488852055166001</v>
      </c>
      <c r="AI25" s="267">
        <f t="shared" si="30"/>
        <v>0.24165727424441563</v>
      </c>
      <c r="AJ25" s="268">
        <f t="shared" si="30"/>
        <v>0.2537691641720099</v>
      </c>
      <c r="AK25" s="267">
        <f t="shared" si="30"/>
        <v>0.25622474742138091</v>
      </c>
      <c r="AL25" s="267">
        <f t="shared" si="30"/>
        <v>0.25786089437664084</v>
      </c>
      <c r="AM25" s="268">
        <f t="shared" si="30"/>
        <v>0.25703511756238928</v>
      </c>
      <c r="AN25" s="267">
        <f t="shared" ref="AN25:BB25" si="31">-AN11/AN10</f>
        <v>0.29571743084377605</v>
      </c>
      <c r="AO25" s="267">
        <f t="shared" si="31"/>
        <v>0.31169892444601616</v>
      </c>
      <c r="AP25" s="268">
        <f t="shared" si="31"/>
        <v>0.30269257375602304</v>
      </c>
      <c r="AQ25" s="267">
        <f t="shared" si="31"/>
        <v>0.23809645277591174</v>
      </c>
      <c r="AR25" s="267">
        <f t="shared" si="31"/>
        <v>0.23928294695709457</v>
      </c>
      <c r="AS25" s="268">
        <f t="shared" si="31"/>
        <v>0.23869590087057657</v>
      </c>
      <c r="AT25" s="267">
        <f t="shared" si="31"/>
        <v>0.24050111953994874</v>
      </c>
      <c r="AU25" s="267">
        <f t="shared" si="31"/>
        <v>0.24175226768624147</v>
      </c>
      <c r="AV25" s="268">
        <f t="shared" si="31"/>
        <v>0.24113315387821227</v>
      </c>
      <c r="AW25" s="267">
        <f t="shared" si="31"/>
        <v>0.24303733935615485</v>
      </c>
      <c r="AX25" s="267">
        <f t="shared" si="31"/>
        <v>0.24435781998919104</v>
      </c>
      <c r="AY25" s="268">
        <f t="shared" si="31"/>
        <v>0.24370431024628625</v>
      </c>
      <c r="AZ25" s="267">
        <f t="shared" si="31"/>
        <v>0.24571469499741813</v>
      </c>
      <c r="BA25" s="267">
        <f t="shared" si="31"/>
        <v>0.24710965865863113</v>
      </c>
      <c r="BB25" s="268">
        <f t="shared" si="31"/>
        <v>0.24641918929435003</v>
      </c>
      <c r="BC25" s="267">
        <f>-BC11/BC10</f>
        <v>0.24854373867381369</v>
      </c>
      <c r="BD25" s="267">
        <f>-BD11/BD10</f>
        <v>0.25001886170248866</v>
      </c>
      <c r="BE25" s="268">
        <f>-BE11/BE10</f>
        <v>0.24928860661915633</v>
      </c>
    </row>
    <row r="26" spans="2:73" s="265" customFormat="1">
      <c r="B26" s="265" t="s">
        <v>2315</v>
      </c>
      <c r="C26" s="266"/>
      <c r="D26" s="267">
        <f t="shared" ref="D26:Z26" si="32">-D14/D13</f>
        <v>0.28235294117647058</v>
      </c>
      <c r="E26" s="267">
        <f t="shared" si="32"/>
        <v>0.453125</v>
      </c>
      <c r="F26" s="268">
        <f t="shared" si="32"/>
        <v>0.35570469798657717</v>
      </c>
      <c r="G26" s="267">
        <f t="shared" si="32"/>
        <v>0.33333333333333331</v>
      </c>
      <c r="H26" s="267">
        <f t="shared" si="32"/>
        <v>0.30508474576271188</v>
      </c>
      <c r="I26" s="268">
        <f t="shared" si="32"/>
        <v>0.23529411764705882</v>
      </c>
      <c r="J26" s="267">
        <f t="shared" si="32"/>
        <v>0.27868852459016391</v>
      </c>
      <c r="K26" s="267">
        <f t="shared" si="32"/>
        <v>0.23809523809523808</v>
      </c>
      <c r="L26" s="268">
        <f t="shared" si="32"/>
        <v>0.26591760299625467</v>
      </c>
      <c r="M26" s="267">
        <f t="shared" si="32"/>
        <v>0.23239436619718309</v>
      </c>
      <c r="N26" s="267">
        <f t="shared" si="32"/>
        <v>0.2978723404255319</v>
      </c>
      <c r="O26" s="268">
        <f t="shared" si="32"/>
        <v>0.25847457627118642</v>
      </c>
      <c r="P26" s="267">
        <f t="shared" si="32"/>
        <v>0.17142857142857143</v>
      </c>
      <c r="Q26" s="267">
        <f t="shared" si="32"/>
        <v>0.39534883720930231</v>
      </c>
      <c r="R26" s="268">
        <f t="shared" si="32"/>
        <v>0.33057851239669422</v>
      </c>
      <c r="S26" s="267">
        <f t="shared" si="32"/>
        <v>0.35714285714285715</v>
      </c>
      <c r="T26" s="267">
        <f t="shared" si="32"/>
        <v>0.43010752688172044</v>
      </c>
      <c r="U26" s="268">
        <f t="shared" si="32"/>
        <v>0.40268456375838924</v>
      </c>
      <c r="V26" s="267">
        <f t="shared" si="32"/>
        <v>0.32142857142857145</v>
      </c>
      <c r="W26" s="398">
        <f t="shared" si="32"/>
        <v>0.31428571428571428</v>
      </c>
      <c r="X26" s="268">
        <f>-X14/X13</f>
        <v>0.31818181818181818</v>
      </c>
      <c r="Y26" s="267">
        <f t="shared" si="32"/>
        <v>-0.24731182795698928</v>
      </c>
      <c r="Z26" s="398">
        <f t="shared" si="32"/>
        <v>0.66069526483974061</v>
      </c>
      <c r="AA26" s="268">
        <f t="shared" ref="AA26:AJ26" si="33">-AA14/AA13</f>
        <v>0.41584158415841582</v>
      </c>
      <c r="AB26" s="267">
        <f t="shared" si="33"/>
        <v>0.2878787878787879</v>
      </c>
      <c r="AC26" s="267">
        <f t="shared" si="33"/>
        <v>0.20606060606060606</v>
      </c>
      <c r="AD26" s="268">
        <f t="shared" si="33"/>
        <v>0.39886061326700706</v>
      </c>
      <c r="AE26" s="267">
        <f t="shared" si="33"/>
        <v>0.2413793103448276</v>
      </c>
      <c r="AF26" s="603">
        <f t="shared" si="33"/>
        <v>0.3253012048192771</v>
      </c>
      <c r="AG26" s="268">
        <f t="shared" si="33"/>
        <v>0.29078014184397161</v>
      </c>
      <c r="AH26" s="267">
        <f t="shared" si="33"/>
        <v>1.6923076923076923</v>
      </c>
      <c r="AI26" s="267">
        <f t="shared" si="33"/>
        <v>-0.62808531609870344</v>
      </c>
      <c r="AJ26" s="268">
        <f t="shared" si="33"/>
        <v>-4.1779052306375757</v>
      </c>
      <c r="AK26" s="271">
        <f>AI26</f>
        <v>-0.62808531609870344</v>
      </c>
      <c r="AL26" s="271">
        <f>AK26</f>
        <v>-0.62808531609870344</v>
      </c>
      <c r="AM26" s="268">
        <f>-AM14/AM13</f>
        <v>-0.62808531609870355</v>
      </c>
      <c r="AN26" s="271">
        <f>AL26</f>
        <v>-0.62808531609870344</v>
      </c>
      <c r="AO26" s="271">
        <f>AN26</f>
        <v>-0.62808531609870344</v>
      </c>
      <c r="AP26" s="268">
        <f>-AP14/AP13</f>
        <v>-0.62808531609870344</v>
      </c>
      <c r="AQ26" s="271">
        <f>AO26</f>
        <v>-0.62808531609870344</v>
      </c>
      <c r="AR26" s="271">
        <f>AQ26</f>
        <v>-0.62808531609870344</v>
      </c>
      <c r="AS26" s="268" t="e">
        <f>-AS14/AS13</f>
        <v>#N/A</v>
      </c>
      <c r="AT26" s="271">
        <f>AR26</f>
        <v>-0.62808531609870344</v>
      </c>
      <c r="AU26" s="271">
        <f>AT26</f>
        <v>-0.62808531609870344</v>
      </c>
      <c r="AV26" s="268" t="e">
        <f>-AV14/AV13</f>
        <v>#N/A</v>
      </c>
      <c r="AW26" s="271">
        <f>AU26</f>
        <v>-0.62808531609870344</v>
      </c>
      <c r="AX26" s="271">
        <f>AW26</f>
        <v>-0.62808531609870344</v>
      </c>
      <c r="AY26" s="268" t="e">
        <f>-AY14/AY13</f>
        <v>#N/A</v>
      </c>
      <c r="AZ26" s="271">
        <f>AX26</f>
        <v>-0.62808531609870344</v>
      </c>
      <c r="BA26" s="271">
        <f>AZ26</f>
        <v>-0.62808531609870344</v>
      </c>
      <c r="BB26" s="268" t="e">
        <f>-BB14/BB13</f>
        <v>#N/A</v>
      </c>
      <c r="BC26" s="271">
        <f>BA26</f>
        <v>-0.62808531609870344</v>
      </c>
      <c r="BD26" s="271">
        <f>BC26</f>
        <v>-0.62808531609870344</v>
      </c>
      <c r="BE26" s="268" t="e">
        <f>-BE14/BE13</f>
        <v>#N/A</v>
      </c>
    </row>
    <row r="27" spans="2:73">
      <c r="B27" s="243"/>
      <c r="C27" s="244"/>
      <c r="D27" s="245"/>
      <c r="E27" s="245"/>
      <c r="F27" s="244"/>
      <c r="G27" s="245"/>
      <c r="H27" s="245"/>
      <c r="I27" s="244"/>
      <c r="J27" s="245"/>
      <c r="K27" s="245"/>
      <c r="L27" s="244"/>
      <c r="M27" s="245"/>
      <c r="N27" s="245"/>
      <c r="O27" s="244"/>
      <c r="P27" s="245"/>
      <c r="Q27" s="245"/>
      <c r="R27" s="244"/>
      <c r="S27" s="245"/>
      <c r="T27" s="245"/>
      <c r="U27" s="244"/>
      <c r="V27" s="245"/>
      <c r="W27" s="245"/>
      <c r="X27" s="244"/>
      <c r="Y27" s="245"/>
      <c r="Z27" s="245"/>
      <c r="AA27" s="244"/>
      <c r="AB27" s="245"/>
      <c r="AC27" s="245"/>
      <c r="AD27" s="244"/>
      <c r="AE27" s="245"/>
      <c r="AF27" s="606"/>
      <c r="AG27" s="244"/>
      <c r="AH27" s="245"/>
      <c r="AI27" s="245"/>
      <c r="AJ27" s="244"/>
      <c r="AK27" s="245"/>
      <c r="AL27" s="262"/>
      <c r="AM27" s="244"/>
      <c r="AN27" s="245"/>
      <c r="AO27" s="262"/>
      <c r="AP27" s="244"/>
      <c r="AQ27" s="245"/>
      <c r="AR27" s="262"/>
      <c r="AS27" s="244"/>
      <c r="AT27" s="245"/>
      <c r="AU27" s="262"/>
      <c r="AV27" s="244"/>
      <c r="AW27" s="245"/>
      <c r="AX27" s="262"/>
      <c r="AY27" s="244"/>
      <c r="AZ27" s="245"/>
      <c r="BA27" s="262"/>
      <c r="BB27" s="244"/>
      <c r="BC27" s="245"/>
      <c r="BD27" s="262"/>
      <c r="BE27" s="244"/>
    </row>
    <row r="28" spans="2:73">
      <c r="B28" s="247" t="s">
        <v>2316</v>
      </c>
      <c r="C28" s="248"/>
      <c r="D28" s="249"/>
      <c r="E28" s="249"/>
      <c r="F28" s="248"/>
      <c r="G28" s="249"/>
      <c r="H28" s="249"/>
      <c r="I28" s="248"/>
      <c r="J28" s="249"/>
      <c r="K28" s="249"/>
      <c r="L28" s="248"/>
      <c r="M28" s="249"/>
      <c r="N28" s="249"/>
      <c r="O28" s="248"/>
      <c r="P28" s="249"/>
      <c r="Q28" s="249"/>
      <c r="R28" s="248"/>
      <c r="S28" s="249"/>
      <c r="T28" s="249"/>
      <c r="U28" s="248"/>
      <c r="V28" s="249"/>
      <c r="W28" s="249"/>
      <c r="X28" s="248"/>
      <c r="Y28" s="249"/>
      <c r="Z28" s="249"/>
      <c r="AA28" s="248"/>
      <c r="AB28" s="249"/>
      <c r="AC28" s="249"/>
      <c r="AD28" s="248"/>
      <c r="AE28" s="249"/>
      <c r="AF28" s="607"/>
      <c r="AG28" s="248"/>
      <c r="AH28" s="249"/>
      <c r="AI28" s="249"/>
      <c r="AJ28" s="248"/>
      <c r="AK28" s="249"/>
      <c r="AL28" s="249"/>
      <c r="AM28" s="248"/>
      <c r="AN28" s="249"/>
      <c r="AO28" s="249"/>
      <c r="AP28" s="248"/>
      <c r="AQ28" s="249"/>
      <c r="AR28" s="249"/>
      <c r="AS28" s="248"/>
      <c r="AT28" s="249"/>
      <c r="AU28" s="249"/>
      <c r="AV28" s="248"/>
      <c r="AW28" s="249"/>
      <c r="AX28" s="249"/>
      <c r="AY28" s="248"/>
      <c r="AZ28" s="249"/>
      <c r="BA28" s="249"/>
      <c r="BB28" s="248"/>
      <c r="BC28" s="249"/>
      <c r="BD28" s="249"/>
      <c r="BE28" s="248"/>
    </row>
    <row r="29" spans="2:73" s="251" customFormat="1">
      <c r="B29" s="251" t="s">
        <v>2295</v>
      </c>
      <c r="C29" s="252">
        <f>C49+C65+C81+C145</f>
        <v>1497</v>
      </c>
      <c r="D29" s="251">
        <f>D49+D65+D81+D145</f>
        <v>872</v>
      </c>
      <c r="E29" s="251">
        <f>F29-D29</f>
        <v>956</v>
      </c>
      <c r="F29" s="252">
        <f t="shared" ref="F29:AB29" si="34">F49+F65+F81+F145</f>
        <v>1828</v>
      </c>
      <c r="G29" s="251">
        <f t="shared" si="34"/>
        <v>1106</v>
      </c>
      <c r="H29" s="251">
        <f t="shared" si="34"/>
        <v>1127</v>
      </c>
      <c r="I29" s="252">
        <f t="shared" si="34"/>
        <v>2233</v>
      </c>
      <c r="J29" s="251">
        <f t="shared" si="34"/>
        <v>966</v>
      </c>
      <c r="K29" s="251">
        <f t="shared" si="34"/>
        <v>769</v>
      </c>
      <c r="L29" s="252">
        <f t="shared" si="34"/>
        <v>1735</v>
      </c>
      <c r="M29" s="251">
        <f t="shared" si="34"/>
        <v>908</v>
      </c>
      <c r="N29" s="251">
        <f t="shared" si="34"/>
        <v>916</v>
      </c>
      <c r="O29" s="252">
        <f t="shared" si="34"/>
        <v>1824</v>
      </c>
      <c r="P29" s="251">
        <f t="shared" si="34"/>
        <v>982</v>
      </c>
      <c r="Q29" s="251">
        <f t="shared" si="34"/>
        <v>993</v>
      </c>
      <c r="R29" s="252">
        <f t="shared" si="34"/>
        <v>1975</v>
      </c>
      <c r="S29" s="251">
        <f t="shared" si="34"/>
        <v>945</v>
      </c>
      <c r="T29" s="251">
        <f t="shared" si="34"/>
        <v>943</v>
      </c>
      <c r="U29" s="252">
        <f t="shared" si="34"/>
        <v>1888</v>
      </c>
      <c r="V29" s="251">
        <f t="shared" si="34"/>
        <v>998</v>
      </c>
      <c r="W29" s="251">
        <f t="shared" si="34"/>
        <v>1077</v>
      </c>
      <c r="X29" s="252">
        <f t="shared" si="34"/>
        <v>1882</v>
      </c>
      <c r="Y29" s="251">
        <f t="shared" si="34"/>
        <v>1044</v>
      </c>
      <c r="Z29" s="251">
        <f t="shared" si="34"/>
        <v>1043</v>
      </c>
      <c r="AA29" s="252">
        <f t="shared" si="34"/>
        <v>2087</v>
      </c>
      <c r="AB29" s="251">
        <f t="shared" si="34"/>
        <v>1111</v>
      </c>
      <c r="AC29" s="251">
        <f>AC49+AC65+AC81+AC145</f>
        <v>1190</v>
      </c>
      <c r="AD29" s="252">
        <f t="shared" ref="AD29:AM29" si="35">AD49+AD65+AD81+AD145</f>
        <v>2301</v>
      </c>
      <c r="AE29" s="251">
        <f t="shared" si="35"/>
        <v>1235.8022085394364</v>
      </c>
      <c r="AF29" s="260">
        <f t="shared" si="35"/>
        <v>1192.9035475073149</v>
      </c>
      <c r="AG29" s="252">
        <f t="shared" si="35"/>
        <v>2428.7057560467515</v>
      </c>
      <c r="AH29" s="251">
        <f>AH49+AH65+AH81+AH145</f>
        <v>1156.6496547989711</v>
      </c>
      <c r="AI29" s="251">
        <f t="shared" si="35"/>
        <v>1185.5018275348584</v>
      </c>
      <c r="AJ29" s="252">
        <f t="shared" si="35"/>
        <v>2342.1514823338293</v>
      </c>
      <c r="AK29" s="251">
        <f t="shared" si="35"/>
        <v>1141.0454853120345</v>
      </c>
      <c r="AL29" s="251">
        <f t="shared" si="35"/>
        <v>1188.7215378367403</v>
      </c>
      <c r="AM29" s="252">
        <f t="shared" si="35"/>
        <v>2329.7670231487746</v>
      </c>
      <c r="AN29" s="251">
        <f t="shared" ref="AN29:BB29" si="36">AN49+AN65+AN81+AN145</f>
        <v>1124.9396236631922</v>
      </c>
      <c r="AO29" s="251">
        <f t="shared" si="36"/>
        <v>1124.1476918911603</v>
      </c>
      <c r="AP29" s="252">
        <f t="shared" si="36"/>
        <v>2249.0873155543522</v>
      </c>
      <c r="AQ29" s="251">
        <f t="shared" si="36"/>
        <v>1281.0862135527882</v>
      </c>
      <c r="AR29" s="251">
        <f t="shared" si="36"/>
        <v>1317.5473151413294</v>
      </c>
      <c r="AS29" s="252">
        <f t="shared" si="36"/>
        <v>2598.6335286941176</v>
      </c>
      <c r="AT29" s="251">
        <f t="shared" si="36"/>
        <v>1355.0789200609756</v>
      </c>
      <c r="AU29" s="251">
        <f t="shared" si="36"/>
        <v>1393.7012301028089</v>
      </c>
      <c r="AV29" s="252">
        <f t="shared" si="36"/>
        <v>2748.7801501637846</v>
      </c>
      <c r="AW29" s="251">
        <f t="shared" si="36"/>
        <v>1433.4592295609759</v>
      </c>
      <c r="AX29" s="251">
        <f t="shared" si="36"/>
        <v>1474.3743591319603</v>
      </c>
      <c r="AY29" s="252">
        <f t="shared" si="36"/>
        <v>2907.8335886929362</v>
      </c>
      <c r="AZ29" s="251">
        <f t="shared" si="36"/>
        <v>1516.4945982945728</v>
      </c>
      <c r="BA29" s="251">
        <f t="shared" si="36"/>
        <v>1559.8427057808562</v>
      </c>
      <c r="BB29" s="252">
        <f t="shared" si="36"/>
        <v>3076.3373040754286</v>
      </c>
      <c r="BC29" s="251">
        <f t="shared" ref="BC29:BE30" si="37">BC49+BC65+BC81+BC145</f>
        <v>1604.4698718898826</v>
      </c>
      <c r="BD29" s="251">
        <f t="shared" si="37"/>
        <v>1650.4002579093444</v>
      </c>
      <c r="BE29" s="252">
        <f t="shared" si="37"/>
        <v>3254.8701297992275</v>
      </c>
    </row>
    <row r="30" spans="2:73" s="251" customFormat="1">
      <c r="B30" s="251" t="s">
        <v>2296</v>
      </c>
      <c r="C30" s="252">
        <f>C50+C66+C82+C146</f>
        <v>467</v>
      </c>
      <c r="D30" s="251">
        <f>D50+D66+D82+D146</f>
        <v>267</v>
      </c>
      <c r="E30" s="251">
        <f>F30-D30</f>
        <v>306</v>
      </c>
      <c r="F30" s="252">
        <f t="shared" ref="F30:AB30" si="38">F50+F66+F82+F146</f>
        <v>573</v>
      </c>
      <c r="G30" s="251">
        <f t="shared" si="38"/>
        <v>261</v>
      </c>
      <c r="H30" s="251">
        <f t="shared" si="38"/>
        <v>296</v>
      </c>
      <c r="I30" s="252">
        <f t="shared" si="38"/>
        <v>557</v>
      </c>
      <c r="J30" s="251">
        <f t="shared" si="38"/>
        <v>307</v>
      </c>
      <c r="K30" s="251">
        <f t="shared" si="38"/>
        <v>329</v>
      </c>
      <c r="L30" s="252">
        <f t="shared" si="38"/>
        <v>636</v>
      </c>
      <c r="M30" s="251">
        <f t="shared" si="38"/>
        <v>353</v>
      </c>
      <c r="N30" s="251">
        <f t="shared" si="38"/>
        <v>331</v>
      </c>
      <c r="O30" s="252">
        <f t="shared" si="38"/>
        <v>684</v>
      </c>
      <c r="P30" s="251">
        <f t="shared" si="38"/>
        <v>340</v>
      </c>
      <c r="Q30" s="251">
        <f t="shared" si="38"/>
        <v>285</v>
      </c>
      <c r="R30" s="252">
        <f t="shared" si="38"/>
        <v>625</v>
      </c>
      <c r="S30" s="251">
        <f t="shared" si="38"/>
        <v>364</v>
      </c>
      <c r="T30" s="251">
        <f t="shared" si="38"/>
        <v>327</v>
      </c>
      <c r="U30" s="252">
        <f t="shared" si="38"/>
        <v>691</v>
      </c>
      <c r="V30" s="251">
        <f t="shared" si="38"/>
        <v>368</v>
      </c>
      <c r="W30" s="251">
        <f t="shared" si="38"/>
        <v>348</v>
      </c>
      <c r="X30" s="252">
        <f t="shared" si="38"/>
        <v>716</v>
      </c>
      <c r="Y30" s="251">
        <f t="shared" si="38"/>
        <v>358</v>
      </c>
      <c r="Z30" s="251">
        <f t="shared" si="38"/>
        <v>367</v>
      </c>
      <c r="AA30" s="252">
        <f t="shared" si="38"/>
        <v>725</v>
      </c>
      <c r="AB30" s="251">
        <f t="shared" si="38"/>
        <v>355</v>
      </c>
      <c r="AC30" s="251">
        <f>AC50+AC66+AC82+AC146</f>
        <v>303</v>
      </c>
      <c r="AD30" s="252">
        <f t="shared" ref="AD30:AM30" si="39">AD50+AD66+AD82+AD146</f>
        <v>658</v>
      </c>
      <c r="AE30" s="251">
        <f t="shared" si="39"/>
        <v>436.63755458515288</v>
      </c>
      <c r="AF30" s="260">
        <f t="shared" si="39"/>
        <v>227.58078602620088</v>
      </c>
      <c r="AG30" s="252">
        <f t="shared" si="39"/>
        <v>664.21834061135382</v>
      </c>
      <c r="AH30" s="251">
        <f t="shared" si="39"/>
        <v>140.61744966442953</v>
      </c>
      <c r="AI30" s="251">
        <f t="shared" si="39"/>
        <v>16.926174496644297</v>
      </c>
      <c r="AJ30" s="252">
        <f t="shared" si="39"/>
        <v>157.54362416107384</v>
      </c>
      <c r="AK30" s="251">
        <f t="shared" si="39"/>
        <v>295.55704697986579</v>
      </c>
      <c r="AL30" s="251">
        <f t="shared" si="39"/>
        <v>268.21476510067112</v>
      </c>
      <c r="AM30" s="252">
        <f t="shared" si="39"/>
        <v>563.77181208053685</v>
      </c>
      <c r="AN30" s="251">
        <f t="shared" ref="AN30:BB30" si="40">AN50+AN66+AN82+AN146</f>
        <v>154.93959731543623</v>
      </c>
      <c r="AO30" s="251">
        <f t="shared" si="40"/>
        <v>268.21476510067112</v>
      </c>
      <c r="AP30" s="252">
        <f t="shared" si="40"/>
        <v>423.15436241610735</v>
      </c>
      <c r="AQ30" s="251">
        <f t="shared" si="40"/>
        <v>274.92013422818786</v>
      </c>
      <c r="AR30" s="251">
        <f t="shared" si="40"/>
        <v>281.79313758389253</v>
      </c>
      <c r="AS30" s="252">
        <f t="shared" si="40"/>
        <v>556.71327181208039</v>
      </c>
      <c r="AT30" s="251">
        <f t="shared" si="40"/>
        <v>288.8379660234898</v>
      </c>
      <c r="AU30" s="251">
        <f t="shared" si="40"/>
        <v>296.05891517407701</v>
      </c>
      <c r="AV30" s="252">
        <f t="shared" si="40"/>
        <v>584.89688119756681</v>
      </c>
      <c r="AW30" s="251">
        <f t="shared" si="40"/>
        <v>303.46038805342891</v>
      </c>
      <c r="AX30" s="251">
        <f t="shared" si="40"/>
        <v>311.04689775476459</v>
      </c>
      <c r="AY30" s="252">
        <f t="shared" si="40"/>
        <v>614.5072858081935</v>
      </c>
      <c r="AZ30" s="251">
        <f t="shared" si="40"/>
        <v>318.82307019863367</v>
      </c>
      <c r="BA30" s="251">
        <f t="shared" si="40"/>
        <v>326.79364695359948</v>
      </c>
      <c r="BB30" s="252">
        <f t="shared" si="40"/>
        <v>645.61671715223315</v>
      </c>
      <c r="BC30" s="251">
        <f t="shared" si="37"/>
        <v>334.96348812743946</v>
      </c>
      <c r="BD30" s="251">
        <f t="shared" si="37"/>
        <v>343.33757533062544</v>
      </c>
      <c r="BE30" s="252">
        <f t="shared" si="37"/>
        <v>678.30106345806485</v>
      </c>
    </row>
    <row r="31" spans="2:73" s="251" customFormat="1">
      <c r="B31" s="255" t="s">
        <v>2297</v>
      </c>
      <c r="C31" s="256">
        <f t="shared" ref="C31:AM31" si="41">C29+C30</f>
        <v>1964</v>
      </c>
      <c r="D31" s="255">
        <f t="shared" si="41"/>
        <v>1139</v>
      </c>
      <c r="E31" s="255">
        <f t="shared" si="41"/>
        <v>1262</v>
      </c>
      <c r="F31" s="256">
        <f t="shared" si="41"/>
        <v>2401</v>
      </c>
      <c r="G31" s="255">
        <f t="shared" si="41"/>
        <v>1367</v>
      </c>
      <c r="H31" s="255">
        <f t="shared" si="41"/>
        <v>1423</v>
      </c>
      <c r="I31" s="256">
        <f t="shared" si="41"/>
        <v>2790</v>
      </c>
      <c r="J31" s="255">
        <f t="shared" si="41"/>
        <v>1273</v>
      </c>
      <c r="K31" s="255">
        <f t="shared" si="41"/>
        <v>1098</v>
      </c>
      <c r="L31" s="256">
        <f t="shared" si="41"/>
        <v>2371</v>
      </c>
      <c r="M31" s="255">
        <f t="shared" si="41"/>
        <v>1261</v>
      </c>
      <c r="N31" s="255">
        <f t="shared" si="41"/>
        <v>1247</v>
      </c>
      <c r="O31" s="256">
        <f t="shared" si="41"/>
        <v>2508</v>
      </c>
      <c r="P31" s="255">
        <f t="shared" si="41"/>
        <v>1322</v>
      </c>
      <c r="Q31" s="255">
        <f t="shared" si="41"/>
        <v>1278</v>
      </c>
      <c r="R31" s="256">
        <f t="shared" si="41"/>
        <v>2600</v>
      </c>
      <c r="S31" s="255">
        <f t="shared" si="41"/>
        <v>1309</v>
      </c>
      <c r="T31" s="255">
        <f t="shared" si="41"/>
        <v>1270</v>
      </c>
      <c r="U31" s="256">
        <f t="shared" si="41"/>
        <v>2579</v>
      </c>
      <c r="V31" s="255">
        <f t="shared" si="41"/>
        <v>1366</v>
      </c>
      <c r="W31" s="255">
        <f t="shared" si="41"/>
        <v>1425</v>
      </c>
      <c r="X31" s="256">
        <f t="shared" si="41"/>
        <v>2598</v>
      </c>
      <c r="Y31" s="255">
        <f t="shared" si="41"/>
        <v>1402</v>
      </c>
      <c r="Z31" s="255">
        <f t="shared" si="41"/>
        <v>1410</v>
      </c>
      <c r="AA31" s="256">
        <f t="shared" si="41"/>
        <v>2812</v>
      </c>
      <c r="AB31" s="255">
        <f t="shared" si="41"/>
        <v>1466</v>
      </c>
      <c r="AC31" s="255">
        <f>AC29+AC30</f>
        <v>1493</v>
      </c>
      <c r="AD31" s="256">
        <f t="shared" si="41"/>
        <v>2959</v>
      </c>
      <c r="AE31" s="255">
        <f t="shared" si="41"/>
        <v>1672.4397631245893</v>
      </c>
      <c r="AF31" s="286">
        <f t="shared" si="41"/>
        <v>1420.4843335335158</v>
      </c>
      <c r="AG31" s="256">
        <f t="shared" si="41"/>
        <v>3092.9240966581056</v>
      </c>
      <c r="AH31" s="255">
        <f t="shared" si="41"/>
        <v>1297.2671044634008</v>
      </c>
      <c r="AI31" s="255">
        <f t="shared" si="41"/>
        <v>1202.4280020315027</v>
      </c>
      <c r="AJ31" s="256">
        <f t="shared" si="41"/>
        <v>2499.695106494903</v>
      </c>
      <c r="AK31" s="255">
        <f t="shared" si="41"/>
        <v>1436.6025322919004</v>
      </c>
      <c r="AL31" s="255">
        <f t="shared" si="41"/>
        <v>1456.9363029374113</v>
      </c>
      <c r="AM31" s="256">
        <f t="shared" si="41"/>
        <v>2893.5388352293112</v>
      </c>
      <c r="AN31" s="255">
        <f t="shared" ref="AN31:BB31" si="42">AN29+AN30</f>
        <v>1279.8792209786284</v>
      </c>
      <c r="AO31" s="255">
        <f t="shared" si="42"/>
        <v>1392.3624569918316</v>
      </c>
      <c r="AP31" s="256">
        <f t="shared" si="42"/>
        <v>2672.2416779704595</v>
      </c>
      <c r="AQ31" s="255">
        <f t="shared" si="42"/>
        <v>1556.0063477809761</v>
      </c>
      <c r="AR31" s="255">
        <f t="shared" si="42"/>
        <v>1599.3404527252219</v>
      </c>
      <c r="AS31" s="256">
        <f t="shared" si="42"/>
        <v>3155.3468005061977</v>
      </c>
      <c r="AT31" s="255">
        <f t="shared" si="42"/>
        <v>1643.9168860844654</v>
      </c>
      <c r="AU31" s="255">
        <f t="shared" si="42"/>
        <v>1689.7601452768859</v>
      </c>
      <c r="AV31" s="256">
        <f t="shared" si="42"/>
        <v>3333.6770313613515</v>
      </c>
      <c r="AW31" s="255">
        <f t="shared" si="42"/>
        <v>1736.9196176144048</v>
      </c>
      <c r="AX31" s="255">
        <f t="shared" si="42"/>
        <v>1785.4212568867249</v>
      </c>
      <c r="AY31" s="256">
        <f t="shared" si="42"/>
        <v>3522.3408745011297</v>
      </c>
      <c r="AZ31" s="255">
        <f t="shared" si="42"/>
        <v>1835.3176684932064</v>
      </c>
      <c r="BA31" s="255">
        <f t="shared" si="42"/>
        <v>1886.6363527344556</v>
      </c>
      <c r="BB31" s="256">
        <f t="shared" si="42"/>
        <v>3721.9540212276615</v>
      </c>
      <c r="BC31" s="255">
        <f>BC29+BC30</f>
        <v>1939.433360017322</v>
      </c>
      <c r="BD31" s="255">
        <f>BD29+BD30</f>
        <v>1993.7378332399699</v>
      </c>
      <c r="BE31" s="256">
        <f>BE29+BE30</f>
        <v>3933.1711932572925</v>
      </c>
    </row>
    <row r="32" spans="2:73" s="251" customFormat="1">
      <c r="B32" s="251" t="s">
        <v>2298</v>
      </c>
      <c r="C32" s="252">
        <f>C52+C68+C84+C148</f>
        <v>-364</v>
      </c>
      <c r="D32" s="251">
        <f>D52+D68+D84+D148</f>
        <v>-217</v>
      </c>
      <c r="E32" s="251">
        <f>F32-D32</f>
        <v>-220</v>
      </c>
      <c r="F32" s="252">
        <f t="shared" ref="F32:AM32" si="43">F52+F68+F84+F148</f>
        <v>-437</v>
      </c>
      <c r="G32" s="251">
        <f t="shared" si="43"/>
        <v>-246</v>
      </c>
      <c r="H32" s="251">
        <f t="shared" si="43"/>
        <v>-262</v>
      </c>
      <c r="I32" s="252">
        <f t="shared" si="43"/>
        <v>-508</v>
      </c>
      <c r="J32" s="251">
        <f t="shared" si="43"/>
        <v>-243</v>
      </c>
      <c r="K32" s="251">
        <f t="shared" si="43"/>
        <v>-234</v>
      </c>
      <c r="L32" s="252">
        <f t="shared" si="43"/>
        <v>-477</v>
      </c>
      <c r="M32" s="251">
        <f t="shared" si="43"/>
        <v>-250</v>
      </c>
      <c r="N32" s="251">
        <f t="shared" si="43"/>
        <v>-246</v>
      </c>
      <c r="O32" s="252">
        <f t="shared" si="43"/>
        <v>-496</v>
      </c>
      <c r="P32" s="251">
        <f t="shared" si="43"/>
        <v>-250</v>
      </c>
      <c r="Q32" s="251">
        <f t="shared" si="43"/>
        <v>-271</v>
      </c>
      <c r="R32" s="252">
        <f t="shared" si="43"/>
        <v>-521</v>
      </c>
      <c r="S32" s="251">
        <f t="shared" si="43"/>
        <v>-292</v>
      </c>
      <c r="T32" s="251">
        <f t="shared" si="43"/>
        <v>-248</v>
      </c>
      <c r="U32" s="252">
        <f t="shared" si="43"/>
        <v>-540</v>
      </c>
      <c r="V32" s="251">
        <f t="shared" si="43"/>
        <v>-249</v>
      </c>
      <c r="W32" s="251">
        <f t="shared" si="43"/>
        <v>-264</v>
      </c>
      <c r="X32" s="252">
        <f t="shared" si="43"/>
        <v>-513</v>
      </c>
      <c r="Y32" s="251">
        <f t="shared" si="43"/>
        <v>-263</v>
      </c>
      <c r="Z32" s="251">
        <f t="shared" si="43"/>
        <v>-275</v>
      </c>
      <c r="AA32" s="252">
        <f t="shared" si="43"/>
        <v>-538</v>
      </c>
      <c r="AB32" s="251">
        <f t="shared" si="43"/>
        <v>-275</v>
      </c>
      <c r="AC32" s="251">
        <f>AC52+AC68+AC84+AC148</f>
        <v>-335</v>
      </c>
      <c r="AD32" s="252">
        <f t="shared" si="43"/>
        <v>-610</v>
      </c>
      <c r="AE32" s="251">
        <f t="shared" si="43"/>
        <v>-378.43976312458949</v>
      </c>
      <c r="AF32" s="260">
        <f t="shared" si="43"/>
        <v>-321.48433353351572</v>
      </c>
      <c r="AG32" s="252">
        <f t="shared" si="43"/>
        <v>-699.9240966581051</v>
      </c>
      <c r="AH32" s="251">
        <f t="shared" si="43"/>
        <v>-290.26710446340064</v>
      </c>
      <c r="AI32" s="251">
        <f t="shared" si="43"/>
        <v>-268.42800203150284</v>
      </c>
      <c r="AJ32" s="252">
        <f t="shared" si="43"/>
        <v>-558.6951064949036</v>
      </c>
      <c r="AK32" s="251">
        <f>AK52+AK68+AK84+AK148</f>
        <v>-320.60253229190045</v>
      </c>
      <c r="AL32" s="251">
        <f t="shared" si="43"/>
        <v>-323.93630293741137</v>
      </c>
      <c r="AM32" s="252">
        <f t="shared" si="43"/>
        <v>-644.53883522931187</v>
      </c>
      <c r="AN32" s="251">
        <f t="shared" ref="AN32:BB32" si="44">AN52+AN68+AN84+AN148</f>
        <v>-286.87922097862833</v>
      </c>
      <c r="AO32" s="251">
        <f t="shared" si="44"/>
        <v>-311.36245699183132</v>
      </c>
      <c r="AP32" s="252">
        <f t="shared" si="44"/>
        <v>-598.24167797045959</v>
      </c>
      <c r="AQ32" s="251">
        <f t="shared" si="44"/>
        <v>-347.60153221342159</v>
      </c>
      <c r="AR32" s="251">
        <f t="shared" si="44"/>
        <v>-357.17214336201766</v>
      </c>
      <c r="AS32" s="252">
        <f t="shared" si="44"/>
        <v>-704.77367557543926</v>
      </c>
      <c r="AT32" s="251">
        <f t="shared" si="44"/>
        <v>-367.01398901444435</v>
      </c>
      <c r="AU32" s="251">
        <f t="shared" si="44"/>
        <v>-377.13229011178737</v>
      </c>
      <c r="AV32" s="252">
        <f t="shared" si="44"/>
        <v>-744.14627912623166</v>
      </c>
      <c r="AW32" s="251">
        <f t="shared" si="44"/>
        <v>-387.53776946241373</v>
      </c>
      <c r="AX32" s="251">
        <f t="shared" si="44"/>
        <v>-398.23595456878434</v>
      </c>
      <c r="AY32" s="252">
        <f t="shared" si="44"/>
        <v>-785.77372403119807</v>
      </c>
      <c r="AZ32" s="251">
        <f t="shared" si="44"/>
        <v>-409.2382601728516</v>
      </c>
      <c r="BA32" s="251">
        <f t="shared" si="44"/>
        <v>-420.5505390664282</v>
      </c>
      <c r="BB32" s="252">
        <f t="shared" si="44"/>
        <v>-829.7887992392798</v>
      </c>
      <c r="BC32" s="251">
        <f>BC52+BC68+BC84+BC148</f>
        <v>-432.18494631223649</v>
      </c>
      <c r="BD32" s="251">
        <f>BD52+BD68+BD84+BD148</f>
        <v>-444.14767993997771</v>
      </c>
      <c r="BE32" s="252">
        <f>BE52+BE68+BE84+BE148</f>
        <v>-876.33262625221425</v>
      </c>
    </row>
    <row r="33" spans="2:57" s="251" customFormat="1">
      <c r="B33" s="255" t="s">
        <v>2299</v>
      </c>
      <c r="C33" s="256">
        <f t="shared" ref="C33:AM33" si="45">C31+C32</f>
        <v>1600</v>
      </c>
      <c r="D33" s="255">
        <f t="shared" si="45"/>
        <v>922</v>
      </c>
      <c r="E33" s="255">
        <f t="shared" si="45"/>
        <v>1042</v>
      </c>
      <c r="F33" s="256">
        <f t="shared" si="45"/>
        <v>1964</v>
      </c>
      <c r="G33" s="255">
        <f t="shared" si="45"/>
        <v>1121</v>
      </c>
      <c r="H33" s="255">
        <f t="shared" si="45"/>
        <v>1161</v>
      </c>
      <c r="I33" s="256">
        <f t="shared" si="45"/>
        <v>2282</v>
      </c>
      <c r="J33" s="255">
        <f t="shared" si="45"/>
        <v>1030</v>
      </c>
      <c r="K33" s="255">
        <f t="shared" si="45"/>
        <v>864</v>
      </c>
      <c r="L33" s="256">
        <f t="shared" si="45"/>
        <v>1894</v>
      </c>
      <c r="M33" s="255">
        <f t="shared" si="45"/>
        <v>1011</v>
      </c>
      <c r="N33" s="255">
        <f t="shared" si="45"/>
        <v>1001</v>
      </c>
      <c r="O33" s="256">
        <f t="shared" si="45"/>
        <v>2012</v>
      </c>
      <c r="P33" s="255">
        <f t="shared" si="45"/>
        <v>1072</v>
      </c>
      <c r="Q33" s="255">
        <f t="shared" si="45"/>
        <v>1007</v>
      </c>
      <c r="R33" s="256">
        <f t="shared" si="45"/>
        <v>2079</v>
      </c>
      <c r="S33" s="255">
        <f t="shared" si="45"/>
        <v>1017</v>
      </c>
      <c r="T33" s="255">
        <f t="shared" si="45"/>
        <v>1022</v>
      </c>
      <c r="U33" s="256">
        <f t="shared" si="45"/>
        <v>2039</v>
      </c>
      <c r="V33" s="255">
        <f t="shared" si="45"/>
        <v>1117</v>
      </c>
      <c r="W33" s="255">
        <f t="shared" si="45"/>
        <v>1161</v>
      </c>
      <c r="X33" s="256">
        <f t="shared" si="45"/>
        <v>2085</v>
      </c>
      <c r="Y33" s="255">
        <f t="shared" si="45"/>
        <v>1139</v>
      </c>
      <c r="Z33" s="255">
        <f t="shared" si="45"/>
        <v>1135</v>
      </c>
      <c r="AA33" s="256">
        <f t="shared" si="45"/>
        <v>2274</v>
      </c>
      <c r="AB33" s="255">
        <f t="shared" si="45"/>
        <v>1191</v>
      </c>
      <c r="AC33" s="255">
        <f>AC31+AC32</f>
        <v>1158</v>
      </c>
      <c r="AD33" s="256">
        <f t="shared" si="45"/>
        <v>2349</v>
      </c>
      <c r="AE33" s="255">
        <f t="shared" si="45"/>
        <v>1293.9999999999998</v>
      </c>
      <c r="AF33" s="286">
        <f t="shared" si="45"/>
        <v>1099</v>
      </c>
      <c r="AG33" s="256">
        <f t="shared" si="45"/>
        <v>2393.0000000000005</v>
      </c>
      <c r="AH33" s="255">
        <f t="shared" si="45"/>
        <v>1007.0000000000001</v>
      </c>
      <c r="AI33" s="255">
        <f t="shared" si="45"/>
        <v>933.99999999999989</v>
      </c>
      <c r="AJ33" s="256">
        <f t="shared" si="45"/>
        <v>1940.9999999999995</v>
      </c>
      <c r="AK33" s="255">
        <f t="shared" si="45"/>
        <v>1116</v>
      </c>
      <c r="AL33" s="255">
        <f t="shared" si="45"/>
        <v>1133</v>
      </c>
      <c r="AM33" s="256">
        <f t="shared" si="45"/>
        <v>2248.9999999999991</v>
      </c>
      <c r="AN33" s="255">
        <f t="shared" ref="AN33:BB33" si="46">AN31+AN32</f>
        <v>993</v>
      </c>
      <c r="AO33" s="255">
        <f t="shared" si="46"/>
        <v>1081.0000000000002</v>
      </c>
      <c r="AP33" s="256">
        <f t="shared" si="46"/>
        <v>2074</v>
      </c>
      <c r="AQ33" s="255">
        <f t="shared" si="46"/>
        <v>1208.4048155675546</v>
      </c>
      <c r="AR33" s="255">
        <f t="shared" si="46"/>
        <v>1242.1683093632041</v>
      </c>
      <c r="AS33" s="256">
        <f t="shared" si="46"/>
        <v>2450.5731249307582</v>
      </c>
      <c r="AT33" s="255">
        <f t="shared" si="46"/>
        <v>1276.902897070021</v>
      </c>
      <c r="AU33" s="255">
        <f t="shared" si="46"/>
        <v>1312.6278551650985</v>
      </c>
      <c r="AV33" s="256">
        <f t="shared" si="46"/>
        <v>2589.53075223512</v>
      </c>
      <c r="AW33" s="255">
        <f t="shared" si="46"/>
        <v>1349.3818481519911</v>
      </c>
      <c r="AX33" s="255">
        <f t="shared" si="46"/>
        <v>1387.1853023179406</v>
      </c>
      <c r="AY33" s="256">
        <f t="shared" si="46"/>
        <v>2736.5671504699317</v>
      </c>
      <c r="AZ33" s="255">
        <f t="shared" si="46"/>
        <v>1426.0794083203548</v>
      </c>
      <c r="BA33" s="255">
        <f t="shared" si="46"/>
        <v>1466.0858136680274</v>
      </c>
      <c r="BB33" s="256">
        <f t="shared" si="46"/>
        <v>2892.1652219883817</v>
      </c>
      <c r="BC33" s="255">
        <f>BC31+BC32</f>
        <v>1507.2484137050856</v>
      </c>
      <c r="BD33" s="255">
        <f>BD31+BD32</f>
        <v>1549.5901532999922</v>
      </c>
      <c r="BE33" s="256">
        <f>BE31+BE32</f>
        <v>3056.8385670050784</v>
      </c>
    </row>
    <row r="34" spans="2:57" s="251" customFormat="1">
      <c r="B34" s="251" t="s">
        <v>2300</v>
      </c>
      <c r="C34" s="252">
        <f>C54+C70+C86+C150</f>
        <v>-1020</v>
      </c>
      <c r="D34" s="251">
        <f>D54+D70+D86+D150</f>
        <v>-565</v>
      </c>
      <c r="E34" s="251">
        <f>F34-D34</f>
        <v>-609</v>
      </c>
      <c r="F34" s="252">
        <f t="shared" ref="F34:AM34" si="47">F54+F70+F86+F150</f>
        <v>-1174</v>
      </c>
      <c r="G34" s="251">
        <f t="shared" si="47"/>
        <v>-578</v>
      </c>
      <c r="H34" s="251">
        <f t="shared" si="47"/>
        <v>-625</v>
      </c>
      <c r="I34" s="252">
        <f t="shared" si="47"/>
        <v>-1203</v>
      </c>
      <c r="J34" s="251">
        <f t="shared" si="47"/>
        <v>-580</v>
      </c>
      <c r="K34" s="251">
        <f t="shared" si="47"/>
        <v>-595</v>
      </c>
      <c r="L34" s="252">
        <f t="shared" si="47"/>
        <v>-1175</v>
      </c>
      <c r="M34" s="251">
        <f t="shared" si="47"/>
        <v>-601</v>
      </c>
      <c r="N34" s="251">
        <f t="shared" si="47"/>
        <v>-609</v>
      </c>
      <c r="O34" s="252">
        <f t="shared" si="47"/>
        <v>-1210</v>
      </c>
      <c r="P34" s="251">
        <f t="shared" si="47"/>
        <v>-619</v>
      </c>
      <c r="Q34" s="251">
        <f t="shared" si="47"/>
        <v>-661</v>
      </c>
      <c r="R34" s="252">
        <f t="shared" si="47"/>
        <v>-1280</v>
      </c>
      <c r="S34" s="251">
        <f t="shared" si="47"/>
        <v>-680</v>
      </c>
      <c r="T34" s="251">
        <f t="shared" si="47"/>
        <v>-689</v>
      </c>
      <c r="U34" s="252">
        <f t="shared" si="47"/>
        <v>-1369</v>
      </c>
      <c r="V34" s="251">
        <f t="shared" si="47"/>
        <v>-743</v>
      </c>
      <c r="W34" s="251">
        <f t="shared" si="47"/>
        <v>-751</v>
      </c>
      <c r="X34" s="252">
        <f t="shared" si="47"/>
        <v>-1494</v>
      </c>
      <c r="Y34" s="251">
        <f t="shared" si="47"/>
        <v>-744</v>
      </c>
      <c r="Z34" s="251">
        <f t="shared" si="47"/>
        <v>-779</v>
      </c>
      <c r="AA34" s="252">
        <f t="shared" si="47"/>
        <v>-1523</v>
      </c>
      <c r="AB34" s="251">
        <f t="shared" si="47"/>
        <v>-783</v>
      </c>
      <c r="AC34" s="251">
        <f>AC54+AC70+AC86+AC150</f>
        <v>-943</v>
      </c>
      <c r="AD34" s="252">
        <f t="shared" si="47"/>
        <v>-1726</v>
      </c>
      <c r="AE34" s="251">
        <f t="shared" si="47"/>
        <v>-826</v>
      </c>
      <c r="AF34" s="260">
        <f t="shared" si="47"/>
        <v>-855</v>
      </c>
      <c r="AG34" s="252">
        <f t="shared" si="47"/>
        <v>-1681</v>
      </c>
      <c r="AH34" s="251">
        <f t="shared" si="47"/>
        <v>-727</v>
      </c>
      <c r="AI34" s="251">
        <f>AI54+AI70+AI86+AI150</f>
        <v>-676</v>
      </c>
      <c r="AJ34" s="252">
        <f t="shared" si="47"/>
        <v>-1403</v>
      </c>
      <c r="AK34" s="251">
        <f t="shared" si="47"/>
        <v>-677</v>
      </c>
      <c r="AL34" s="251">
        <f t="shared" si="47"/>
        <v>-707</v>
      </c>
      <c r="AM34" s="252">
        <f t="shared" si="47"/>
        <v>-1384</v>
      </c>
      <c r="AN34" s="251">
        <f t="shared" ref="AN34:BB34" si="48">AN54+AN70+AN86+AN150</f>
        <v>-676</v>
      </c>
      <c r="AO34" s="251">
        <f t="shared" si="48"/>
        <v>-837</v>
      </c>
      <c r="AP34" s="252">
        <f t="shared" si="48"/>
        <v>-1513</v>
      </c>
      <c r="AQ34" s="251">
        <f t="shared" si="48"/>
        <v>-862.43999999999994</v>
      </c>
      <c r="AR34" s="251">
        <f t="shared" si="48"/>
        <v>-888.69659999999999</v>
      </c>
      <c r="AS34" s="252">
        <f t="shared" si="48"/>
        <v>-1751.1365999999998</v>
      </c>
      <c r="AT34" s="251">
        <f t="shared" si="48"/>
        <v>-915.79743899999994</v>
      </c>
      <c r="AU34" s="251">
        <f t="shared" si="48"/>
        <v>-943.77113593499985</v>
      </c>
      <c r="AV34" s="252">
        <f t="shared" si="48"/>
        <v>-1859.568574935</v>
      </c>
      <c r="AW34" s="251">
        <f t="shared" si="48"/>
        <v>-972.6473257317748</v>
      </c>
      <c r="AX34" s="251">
        <f t="shared" si="48"/>
        <v>-1002.4566967294052</v>
      </c>
      <c r="AY34" s="252">
        <f t="shared" si="48"/>
        <v>-1975.10402246118</v>
      </c>
      <c r="AZ34" s="251">
        <f t="shared" si="48"/>
        <v>-1033.2310295161496</v>
      </c>
      <c r="BA34" s="251">
        <f t="shared" si="48"/>
        <v>-1065.0032372373032</v>
      </c>
      <c r="BB34" s="252">
        <f t="shared" si="48"/>
        <v>-2098.2342667534531</v>
      </c>
      <c r="BC34" s="251">
        <f>BC54+BC70+BC86+BC150</f>
        <v>-1097.8074074308156</v>
      </c>
      <c r="BD34" s="251">
        <f>BD54+BD70+BD86+BD150</f>
        <v>-1131.6788454496689</v>
      </c>
      <c r="BE34" s="252">
        <f>BE54+BE70+BE86+BE150</f>
        <v>-2229.4862528804847</v>
      </c>
    </row>
    <row r="35" spans="2:57" s="251" customFormat="1">
      <c r="B35" s="255" t="s">
        <v>2301</v>
      </c>
      <c r="C35" s="256">
        <f t="shared" ref="C35:AM35" si="49">C32+C34</f>
        <v>-1384</v>
      </c>
      <c r="D35" s="255">
        <f t="shared" si="49"/>
        <v>-782</v>
      </c>
      <c r="E35" s="255">
        <f t="shared" si="49"/>
        <v>-829</v>
      </c>
      <c r="F35" s="256">
        <f t="shared" si="49"/>
        <v>-1611</v>
      </c>
      <c r="G35" s="255">
        <f t="shared" si="49"/>
        <v>-824</v>
      </c>
      <c r="H35" s="255">
        <f t="shared" si="49"/>
        <v>-887</v>
      </c>
      <c r="I35" s="256">
        <f t="shared" si="49"/>
        <v>-1711</v>
      </c>
      <c r="J35" s="255">
        <f t="shared" si="49"/>
        <v>-823</v>
      </c>
      <c r="K35" s="255">
        <f t="shared" si="49"/>
        <v>-829</v>
      </c>
      <c r="L35" s="256">
        <f t="shared" si="49"/>
        <v>-1652</v>
      </c>
      <c r="M35" s="255">
        <f t="shared" si="49"/>
        <v>-851</v>
      </c>
      <c r="N35" s="255">
        <f t="shared" si="49"/>
        <v>-855</v>
      </c>
      <c r="O35" s="256">
        <f t="shared" si="49"/>
        <v>-1706</v>
      </c>
      <c r="P35" s="255">
        <f t="shared" si="49"/>
        <v>-869</v>
      </c>
      <c r="Q35" s="255">
        <f t="shared" si="49"/>
        <v>-932</v>
      </c>
      <c r="R35" s="256">
        <f t="shared" si="49"/>
        <v>-1801</v>
      </c>
      <c r="S35" s="255">
        <f t="shared" si="49"/>
        <v>-972</v>
      </c>
      <c r="T35" s="255">
        <f t="shared" si="49"/>
        <v>-937</v>
      </c>
      <c r="U35" s="256">
        <f t="shared" si="49"/>
        <v>-1909</v>
      </c>
      <c r="V35" s="255">
        <f t="shared" si="49"/>
        <v>-992</v>
      </c>
      <c r="W35" s="255">
        <f t="shared" si="49"/>
        <v>-1015</v>
      </c>
      <c r="X35" s="256">
        <f t="shared" si="49"/>
        <v>-2007</v>
      </c>
      <c r="Y35" s="255">
        <f t="shared" si="49"/>
        <v>-1007</v>
      </c>
      <c r="Z35" s="255">
        <f t="shared" si="49"/>
        <v>-1054</v>
      </c>
      <c r="AA35" s="256">
        <f t="shared" si="49"/>
        <v>-2061</v>
      </c>
      <c r="AB35" s="255">
        <f>AB32+AB34</f>
        <v>-1058</v>
      </c>
      <c r="AC35" s="255">
        <f>AC32+AC34</f>
        <v>-1278</v>
      </c>
      <c r="AD35" s="256">
        <f t="shared" si="49"/>
        <v>-2336</v>
      </c>
      <c r="AE35" s="255">
        <f t="shared" si="49"/>
        <v>-1204.4397631245895</v>
      </c>
      <c r="AF35" s="286">
        <f t="shared" si="49"/>
        <v>-1176.4843335335158</v>
      </c>
      <c r="AG35" s="256">
        <f t="shared" si="49"/>
        <v>-2380.9240966581051</v>
      </c>
      <c r="AH35" s="255">
        <f t="shared" si="49"/>
        <v>-1017.2671044634006</v>
      </c>
      <c r="AI35" s="255">
        <f t="shared" si="49"/>
        <v>-944.42800203150284</v>
      </c>
      <c r="AJ35" s="256">
        <f t="shared" si="49"/>
        <v>-1961.6951064949035</v>
      </c>
      <c r="AK35" s="255">
        <f t="shared" si="49"/>
        <v>-997.60253229190039</v>
      </c>
      <c r="AL35" s="255">
        <f t="shared" si="49"/>
        <v>-1030.9363029374113</v>
      </c>
      <c r="AM35" s="256">
        <f t="shared" si="49"/>
        <v>-2028.5388352293119</v>
      </c>
      <c r="AN35" s="255">
        <f t="shared" ref="AN35:BB35" si="50">AN32+AN34</f>
        <v>-962.87922097862838</v>
      </c>
      <c r="AO35" s="255">
        <f t="shared" si="50"/>
        <v>-1148.3624569918313</v>
      </c>
      <c r="AP35" s="256">
        <f t="shared" si="50"/>
        <v>-2111.2416779704595</v>
      </c>
      <c r="AQ35" s="255">
        <f t="shared" si="50"/>
        <v>-1210.0415322134215</v>
      </c>
      <c r="AR35" s="255">
        <f t="shared" si="50"/>
        <v>-1245.8687433620175</v>
      </c>
      <c r="AS35" s="256">
        <f t="shared" si="50"/>
        <v>-2455.9102755754393</v>
      </c>
      <c r="AT35" s="255">
        <f t="shared" si="50"/>
        <v>-1282.8114280144443</v>
      </c>
      <c r="AU35" s="255">
        <f t="shared" si="50"/>
        <v>-1320.9034260467872</v>
      </c>
      <c r="AV35" s="256">
        <f t="shared" si="50"/>
        <v>-2603.7148540612316</v>
      </c>
      <c r="AW35" s="255">
        <f t="shared" si="50"/>
        <v>-1360.1850951941885</v>
      </c>
      <c r="AX35" s="255">
        <f t="shared" si="50"/>
        <v>-1400.6926512981895</v>
      </c>
      <c r="AY35" s="256">
        <f t="shared" si="50"/>
        <v>-2760.8777464923778</v>
      </c>
      <c r="AZ35" s="255">
        <f t="shared" si="50"/>
        <v>-1442.4692896890012</v>
      </c>
      <c r="BA35" s="255">
        <f t="shared" si="50"/>
        <v>-1485.5537763037314</v>
      </c>
      <c r="BB35" s="256">
        <f t="shared" si="50"/>
        <v>-2928.0230659927329</v>
      </c>
      <c r="BC35" s="255">
        <f>BC32+BC34</f>
        <v>-1529.992353743052</v>
      </c>
      <c r="BD35" s="255">
        <f>BD32+BD34</f>
        <v>-1575.8265253896466</v>
      </c>
      <c r="BE35" s="256">
        <f>BE32+BE34</f>
        <v>-3105.8188791326988</v>
      </c>
    </row>
    <row r="36" spans="2:57" s="251" customFormat="1">
      <c r="B36" s="255" t="s">
        <v>2302</v>
      </c>
      <c r="C36" s="256">
        <f t="shared" ref="C36:AM36" si="51">C31+C35</f>
        <v>580</v>
      </c>
      <c r="D36" s="255">
        <f t="shared" si="51"/>
        <v>357</v>
      </c>
      <c r="E36" s="255">
        <f t="shared" si="51"/>
        <v>433</v>
      </c>
      <c r="F36" s="256">
        <f t="shared" si="51"/>
        <v>790</v>
      </c>
      <c r="G36" s="255">
        <f t="shared" si="51"/>
        <v>543</v>
      </c>
      <c r="H36" s="255">
        <f t="shared" si="51"/>
        <v>536</v>
      </c>
      <c r="I36" s="256">
        <f t="shared" si="51"/>
        <v>1079</v>
      </c>
      <c r="J36" s="255">
        <f t="shared" si="51"/>
        <v>450</v>
      </c>
      <c r="K36" s="255">
        <f t="shared" si="51"/>
        <v>269</v>
      </c>
      <c r="L36" s="256">
        <f t="shared" si="51"/>
        <v>719</v>
      </c>
      <c r="M36" s="255">
        <f t="shared" si="51"/>
        <v>410</v>
      </c>
      <c r="N36" s="255">
        <f t="shared" si="51"/>
        <v>392</v>
      </c>
      <c r="O36" s="256">
        <f t="shared" si="51"/>
        <v>802</v>
      </c>
      <c r="P36" s="255">
        <f t="shared" si="51"/>
        <v>453</v>
      </c>
      <c r="Q36" s="255">
        <f t="shared" si="51"/>
        <v>346</v>
      </c>
      <c r="R36" s="256">
        <f t="shared" si="51"/>
        <v>799</v>
      </c>
      <c r="S36" s="255">
        <f t="shared" si="51"/>
        <v>337</v>
      </c>
      <c r="T36" s="255">
        <f t="shared" si="51"/>
        <v>333</v>
      </c>
      <c r="U36" s="256">
        <f t="shared" si="51"/>
        <v>670</v>
      </c>
      <c r="V36" s="255">
        <f t="shared" si="51"/>
        <v>374</v>
      </c>
      <c r="W36" s="255">
        <f t="shared" si="51"/>
        <v>410</v>
      </c>
      <c r="X36" s="256">
        <f t="shared" si="51"/>
        <v>591</v>
      </c>
      <c r="Y36" s="255">
        <f t="shared" si="51"/>
        <v>395</v>
      </c>
      <c r="Z36" s="255">
        <f t="shared" si="51"/>
        <v>356</v>
      </c>
      <c r="AA36" s="256">
        <f t="shared" si="51"/>
        <v>751</v>
      </c>
      <c r="AB36" s="255">
        <f t="shared" si="51"/>
        <v>408</v>
      </c>
      <c r="AC36" s="255">
        <f>AC31+AC35</f>
        <v>215</v>
      </c>
      <c r="AD36" s="256">
        <f t="shared" si="51"/>
        <v>623</v>
      </c>
      <c r="AE36" s="255">
        <f t="shared" si="51"/>
        <v>467.99999999999977</v>
      </c>
      <c r="AF36" s="286">
        <f t="shared" si="51"/>
        <v>244</v>
      </c>
      <c r="AG36" s="256">
        <f t="shared" si="51"/>
        <v>712.00000000000045</v>
      </c>
      <c r="AH36" s="255">
        <f t="shared" si="51"/>
        <v>280.00000000000011</v>
      </c>
      <c r="AI36" s="255">
        <f t="shared" si="51"/>
        <v>257.99999999999989</v>
      </c>
      <c r="AJ36" s="256">
        <f t="shared" si="51"/>
        <v>537.99999999999955</v>
      </c>
      <c r="AK36" s="255">
        <f t="shared" si="51"/>
        <v>439</v>
      </c>
      <c r="AL36" s="255">
        <f t="shared" si="51"/>
        <v>426</v>
      </c>
      <c r="AM36" s="256">
        <f t="shared" si="51"/>
        <v>864.99999999999932</v>
      </c>
      <c r="AN36" s="255">
        <f t="shared" ref="AN36:BB36" si="52">AN31+AN35</f>
        <v>317</v>
      </c>
      <c r="AO36" s="255">
        <f t="shared" si="52"/>
        <v>244.00000000000023</v>
      </c>
      <c r="AP36" s="256">
        <f t="shared" si="52"/>
        <v>561</v>
      </c>
      <c r="AQ36" s="255">
        <f t="shared" si="52"/>
        <v>345.96481556755452</v>
      </c>
      <c r="AR36" s="255">
        <f t="shared" si="52"/>
        <v>353.47170936320435</v>
      </c>
      <c r="AS36" s="256">
        <f t="shared" si="52"/>
        <v>699.43652493075842</v>
      </c>
      <c r="AT36" s="255">
        <f t="shared" si="52"/>
        <v>361.10545807002109</v>
      </c>
      <c r="AU36" s="255">
        <f t="shared" si="52"/>
        <v>368.85671923009863</v>
      </c>
      <c r="AV36" s="256">
        <f t="shared" si="52"/>
        <v>729.96217730011995</v>
      </c>
      <c r="AW36" s="255">
        <f t="shared" si="52"/>
        <v>376.73452242021631</v>
      </c>
      <c r="AX36" s="255">
        <f t="shared" si="52"/>
        <v>384.7286055885354</v>
      </c>
      <c r="AY36" s="256">
        <f t="shared" si="52"/>
        <v>761.46312800875194</v>
      </c>
      <c r="AZ36" s="255">
        <f t="shared" si="52"/>
        <v>392.84837880420514</v>
      </c>
      <c r="BA36" s="255">
        <f t="shared" si="52"/>
        <v>401.0825764307242</v>
      </c>
      <c r="BB36" s="256">
        <f t="shared" si="52"/>
        <v>793.93095523492866</v>
      </c>
      <c r="BC36" s="255">
        <f>BC31+BC35</f>
        <v>409.44100627426997</v>
      </c>
      <c r="BD36" s="255">
        <f>BD31+BD35</f>
        <v>417.91130785032328</v>
      </c>
      <c r="BE36" s="256">
        <f>BE31+BE35</f>
        <v>827.3523141245937</v>
      </c>
    </row>
    <row r="37" spans="2:57" s="251" customFormat="1">
      <c r="B37" s="251" t="s">
        <v>77</v>
      </c>
      <c r="C37" s="252">
        <f>C57+C73+C89+C153</f>
        <v>-139</v>
      </c>
      <c r="D37" s="251">
        <f>D57+D73+D89+D153</f>
        <v>-112</v>
      </c>
      <c r="E37" s="251">
        <f>F37-D37</f>
        <v>-130</v>
      </c>
      <c r="F37" s="252">
        <f t="shared" ref="F37:AM37" si="53">F57+F73+F89+F153</f>
        <v>-242</v>
      </c>
      <c r="G37" s="251">
        <f t="shared" si="53"/>
        <v>-151</v>
      </c>
      <c r="H37" s="251">
        <f t="shared" si="53"/>
        <v>-139</v>
      </c>
      <c r="I37" s="252">
        <f t="shared" si="53"/>
        <v>-290</v>
      </c>
      <c r="J37" s="251">
        <f t="shared" si="53"/>
        <v>-122</v>
      </c>
      <c r="K37" s="251">
        <f t="shared" si="53"/>
        <v>-83</v>
      </c>
      <c r="L37" s="252">
        <f t="shared" si="53"/>
        <v>-205</v>
      </c>
      <c r="M37" s="251">
        <f t="shared" si="53"/>
        <v>-115</v>
      </c>
      <c r="N37" s="251">
        <f t="shared" si="53"/>
        <v>-95</v>
      </c>
      <c r="O37" s="252">
        <f t="shared" si="53"/>
        <v>-210</v>
      </c>
      <c r="P37" s="251">
        <f t="shared" si="53"/>
        <v>-124</v>
      </c>
      <c r="Q37" s="251">
        <f t="shared" si="53"/>
        <v>-94</v>
      </c>
      <c r="R37" s="252">
        <f t="shared" si="53"/>
        <v>-218</v>
      </c>
      <c r="S37" s="251">
        <f t="shared" si="53"/>
        <v>-88</v>
      </c>
      <c r="T37" s="251">
        <f t="shared" si="53"/>
        <v>-90</v>
      </c>
      <c r="U37" s="252">
        <f t="shared" si="53"/>
        <v>-178</v>
      </c>
      <c r="V37" s="251">
        <f t="shared" si="53"/>
        <v>-101</v>
      </c>
      <c r="W37" s="251">
        <f t="shared" si="53"/>
        <v>-105</v>
      </c>
      <c r="X37" s="252">
        <f t="shared" si="53"/>
        <v>-180</v>
      </c>
      <c r="Y37" s="251">
        <f t="shared" si="53"/>
        <v>-92</v>
      </c>
      <c r="Z37" s="251">
        <f t="shared" si="53"/>
        <v>-90</v>
      </c>
      <c r="AA37" s="252">
        <f t="shared" si="53"/>
        <v>-182</v>
      </c>
      <c r="AB37" s="251">
        <f t="shared" si="53"/>
        <v>-106</v>
      </c>
      <c r="AC37" s="251">
        <f t="shared" si="53"/>
        <v>-42</v>
      </c>
      <c r="AD37" s="252">
        <f t="shared" si="53"/>
        <v>-148</v>
      </c>
      <c r="AE37" s="251">
        <f t="shared" si="53"/>
        <v>-132</v>
      </c>
      <c r="AF37" s="260">
        <f t="shared" si="53"/>
        <v>-51</v>
      </c>
      <c r="AG37" s="252">
        <f t="shared" si="53"/>
        <v>-183</v>
      </c>
      <c r="AH37" s="251">
        <f t="shared" si="53"/>
        <v>-73</v>
      </c>
      <c r="AI37" s="251">
        <f t="shared" si="53"/>
        <v>-61</v>
      </c>
      <c r="AJ37" s="252">
        <f t="shared" si="53"/>
        <v>-134</v>
      </c>
      <c r="AK37" s="251">
        <f t="shared" si="53"/>
        <v>-112</v>
      </c>
      <c r="AL37" s="251">
        <f t="shared" si="53"/>
        <v>-109</v>
      </c>
      <c r="AM37" s="252">
        <f t="shared" si="53"/>
        <v>-221</v>
      </c>
      <c r="AN37" s="251">
        <f t="shared" ref="AN37:BB37" si="54">AN57+AN73+AN89+AN153</f>
        <v>-89</v>
      </c>
      <c r="AO37" s="251">
        <f t="shared" si="54"/>
        <v>-71</v>
      </c>
      <c r="AP37" s="252">
        <f t="shared" si="54"/>
        <v>-160</v>
      </c>
      <c r="AQ37" s="251">
        <f t="shared" si="54"/>
        <v>-76.37614113072344</v>
      </c>
      <c r="AR37" s="251">
        <f t="shared" si="54"/>
        <v>-78.125656545088233</v>
      </c>
      <c r="AS37" s="252">
        <f t="shared" si="54"/>
        <v>-154.5017976758117</v>
      </c>
      <c r="AT37" s="251">
        <f t="shared" si="54"/>
        <v>-79.910133954138729</v>
      </c>
      <c r="AU37" s="251">
        <f t="shared" si="54"/>
        <v>-81.727782730655335</v>
      </c>
      <c r="AV37" s="252">
        <f t="shared" si="54"/>
        <v>-161.63791668479408</v>
      </c>
      <c r="AW37" s="251">
        <f t="shared" si="54"/>
        <v>-83.581104103801408</v>
      </c>
      <c r="AX37" s="251">
        <f t="shared" si="54"/>
        <v>-85.468137714319312</v>
      </c>
      <c r="AY37" s="252">
        <f t="shared" si="54"/>
        <v>-169.04924181812072</v>
      </c>
      <c r="AZ37" s="251">
        <f t="shared" si="54"/>
        <v>-87.391513775189395</v>
      </c>
      <c r="BA37" s="251">
        <f t="shared" si="54"/>
        <v>-89.349086964972543</v>
      </c>
      <c r="BB37" s="252">
        <f t="shared" si="54"/>
        <v>-176.74060074016194</v>
      </c>
      <c r="BC37" s="251">
        <f>BC57+BC73+BC89+BC153</f>
        <v>-91.34362417434717</v>
      </c>
      <c r="BD37" s="251">
        <f>BD57+BD73+BD89+BD153</f>
        <v>-93.372778585871202</v>
      </c>
      <c r="BE37" s="252">
        <f>BE57+BE73+BE89+BE153</f>
        <v>-184.71640276021839</v>
      </c>
    </row>
    <row r="38" spans="2:57" s="251" customFormat="1">
      <c r="B38" s="255" t="s">
        <v>2303</v>
      </c>
      <c r="C38" s="256">
        <f t="shared" ref="C38:AM38" si="55">C36+C37</f>
        <v>441</v>
      </c>
      <c r="D38" s="255">
        <f t="shared" si="55"/>
        <v>245</v>
      </c>
      <c r="E38" s="255">
        <f t="shared" si="55"/>
        <v>303</v>
      </c>
      <c r="F38" s="256">
        <f t="shared" si="55"/>
        <v>548</v>
      </c>
      <c r="G38" s="255">
        <f t="shared" si="55"/>
        <v>392</v>
      </c>
      <c r="H38" s="255">
        <f t="shared" si="55"/>
        <v>397</v>
      </c>
      <c r="I38" s="256">
        <f t="shared" si="55"/>
        <v>789</v>
      </c>
      <c r="J38" s="255">
        <f t="shared" si="55"/>
        <v>328</v>
      </c>
      <c r="K38" s="255">
        <f t="shared" si="55"/>
        <v>186</v>
      </c>
      <c r="L38" s="256">
        <f t="shared" si="55"/>
        <v>514</v>
      </c>
      <c r="M38" s="255">
        <f t="shared" si="55"/>
        <v>295</v>
      </c>
      <c r="N38" s="255">
        <f>N36+N37</f>
        <v>297</v>
      </c>
      <c r="O38" s="256">
        <f t="shared" si="55"/>
        <v>592</v>
      </c>
      <c r="P38" s="255">
        <f t="shared" si="55"/>
        <v>329</v>
      </c>
      <c r="Q38" s="255">
        <f t="shared" si="55"/>
        <v>252</v>
      </c>
      <c r="R38" s="256">
        <f t="shared" si="55"/>
        <v>581</v>
      </c>
      <c r="S38" s="255">
        <f t="shared" si="55"/>
        <v>249</v>
      </c>
      <c r="T38" s="255">
        <f t="shared" si="55"/>
        <v>243</v>
      </c>
      <c r="U38" s="256">
        <f t="shared" si="55"/>
        <v>492</v>
      </c>
      <c r="V38" s="255">
        <f t="shared" si="55"/>
        <v>273</v>
      </c>
      <c r="W38" s="255">
        <f t="shared" si="55"/>
        <v>305</v>
      </c>
      <c r="X38" s="256">
        <f t="shared" si="55"/>
        <v>411</v>
      </c>
      <c r="Y38" s="255">
        <f t="shared" si="55"/>
        <v>303</v>
      </c>
      <c r="Z38" s="255">
        <f t="shared" si="55"/>
        <v>266</v>
      </c>
      <c r="AA38" s="256">
        <f t="shared" si="55"/>
        <v>569</v>
      </c>
      <c r="AB38" s="255">
        <f t="shared" si="55"/>
        <v>302</v>
      </c>
      <c r="AC38" s="255">
        <f>AC36+AC37</f>
        <v>173</v>
      </c>
      <c r="AD38" s="256">
        <f t="shared" si="55"/>
        <v>475</v>
      </c>
      <c r="AE38" s="255">
        <f t="shared" si="55"/>
        <v>335.99999999999977</v>
      </c>
      <c r="AF38" s="286">
        <f t="shared" si="55"/>
        <v>193</v>
      </c>
      <c r="AG38" s="256">
        <f t="shared" si="55"/>
        <v>529.00000000000045</v>
      </c>
      <c r="AH38" s="255">
        <f t="shared" si="55"/>
        <v>207.00000000000011</v>
      </c>
      <c r="AI38" s="255">
        <f t="shared" si="55"/>
        <v>196.99999999999989</v>
      </c>
      <c r="AJ38" s="256">
        <f t="shared" si="55"/>
        <v>403.99999999999955</v>
      </c>
      <c r="AK38" s="255">
        <f t="shared" si="55"/>
        <v>327</v>
      </c>
      <c r="AL38" s="255">
        <f t="shared" si="55"/>
        <v>317</v>
      </c>
      <c r="AM38" s="256">
        <f t="shared" si="55"/>
        <v>643.99999999999932</v>
      </c>
      <c r="AN38" s="255">
        <f t="shared" ref="AN38:BB38" si="56">AN36+AN37</f>
        <v>228</v>
      </c>
      <c r="AO38" s="255">
        <f t="shared" si="56"/>
        <v>173.00000000000023</v>
      </c>
      <c r="AP38" s="256">
        <f t="shared" si="56"/>
        <v>401</v>
      </c>
      <c r="AQ38" s="255">
        <f t="shared" si="56"/>
        <v>269.58867443683107</v>
      </c>
      <c r="AR38" s="255">
        <f t="shared" si="56"/>
        <v>275.34605281811611</v>
      </c>
      <c r="AS38" s="256">
        <f t="shared" si="56"/>
        <v>544.93472725494667</v>
      </c>
      <c r="AT38" s="255">
        <f t="shared" si="56"/>
        <v>281.19532411588239</v>
      </c>
      <c r="AU38" s="255">
        <f t="shared" si="56"/>
        <v>287.12893649944328</v>
      </c>
      <c r="AV38" s="256">
        <f t="shared" si="56"/>
        <v>568.3242606153259</v>
      </c>
      <c r="AW38" s="255">
        <f t="shared" si="56"/>
        <v>293.1534183164149</v>
      </c>
      <c r="AX38" s="255">
        <f t="shared" si="56"/>
        <v>299.26046787421609</v>
      </c>
      <c r="AY38" s="256">
        <f t="shared" si="56"/>
        <v>592.41388619063127</v>
      </c>
      <c r="AZ38" s="255">
        <f t="shared" si="56"/>
        <v>305.45686502901572</v>
      </c>
      <c r="BA38" s="255">
        <f t="shared" si="56"/>
        <v>311.73348946575163</v>
      </c>
      <c r="BB38" s="256">
        <f t="shared" si="56"/>
        <v>617.19035449476678</v>
      </c>
      <c r="BC38" s="255">
        <f>BC36+BC37</f>
        <v>318.09738209992281</v>
      </c>
      <c r="BD38" s="255">
        <f>BD36+BD37</f>
        <v>324.53852926445211</v>
      </c>
      <c r="BE38" s="256">
        <f>BE36+BE37</f>
        <v>642.63591136437526</v>
      </c>
    </row>
    <row r="39" spans="2:57" s="251" customFormat="1">
      <c r="B39" s="251" t="s">
        <v>2304</v>
      </c>
      <c r="C39" s="252"/>
      <c r="D39" s="251">
        <v>76</v>
      </c>
      <c r="E39" s="251">
        <f>F39-D39</f>
        <v>53</v>
      </c>
      <c r="F39" s="252">
        <f>D39+53</f>
        <v>129</v>
      </c>
      <c r="G39" s="251">
        <v>18</v>
      </c>
      <c r="H39" s="251">
        <f>-46-14</f>
        <v>-60</v>
      </c>
      <c r="I39" s="252">
        <f>G39+H39</f>
        <v>-42</v>
      </c>
      <c r="J39" s="251">
        <f>-222+23</f>
        <v>-199</v>
      </c>
      <c r="K39" s="251">
        <f>L39-J39</f>
        <v>-76</v>
      </c>
      <c r="L39" s="252">
        <f>-317+42</f>
        <v>-275</v>
      </c>
      <c r="M39" s="251">
        <f>117</f>
        <v>117</v>
      </c>
      <c r="N39" s="251">
        <v>66</v>
      </c>
      <c r="O39" s="252">
        <f>+N39+M39</f>
        <v>183</v>
      </c>
      <c r="P39" s="251">
        <v>31</v>
      </c>
      <c r="Q39" s="251">
        <v>52</v>
      </c>
      <c r="R39" s="252">
        <f>+Q39+P39</f>
        <v>83</v>
      </c>
      <c r="S39" s="251">
        <v>33</v>
      </c>
      <c r="T39" s="251">
        <v>75</v>
      </c>
      <c r="U39" s="252">
        <f>+T39+S39</f>
        <v>108</v>
      </c>
      <c r="V39" s="251">
        <v>80</v>
      </c>
      <c r="W39" s="251">
        <v>65</v>
      </c>
      <c r="X39" s="252">
        <f>+W39+V39</f>
        <v>145</v>
      </c>
      <c r="Y39" s="251">
        <f>Y41+Y40</f>
        <v>54.471428571428575</v>
      </c>
      <c r="Z39" s="251">
        <f>Z41+Z40</f>
        <v>102.3</v>
      </c>
      <c r="AA39" s="252">
        <v>202</v>
      </c>
      <c r="AB39" s="251">
        <v>66</v>
      </c>
      <c r="AC39" s="251">
        <v>165</v>
      </c>
      <c r="AD39" s="252">
        <f>AB39+AC39</f>
        <v>231</v>
      </c>
      <c r="AE39" s="251">
        <f>121-AF39</f>
        <v>55</v>
      </c>
      <c r="AF39" s="260">
        <v>66</v>
      </c>
      <c r="AG39" s="252">
        <f>AE39+AF39</f>
        <v>121</v>
      </c>
      <c r="AH39" s="251">
        <v>5</v>
      </c>
      <c r="AI39" s="707">
        <v>17.497644904671635</v>
      </c>
      <c r="AJ39" s="252">
        <f>AH39+AI39</f>
        <v>22.497644904671635</v>
      </c>
      <c r="AK39" s="251">
        <f>AK59+AK75+AK91+AK155</f>
        <v>4</v>
      </c>
      <c r="AL39" s="251">
        <f>AL59+AL75+AL91+AL155</f>
        <v>6</v>
      </c>
      <c r="AM39" s="252">
        <f>AK39+AL39</f>
        <v>10</v>
      </c>
      <c r="AN39" s="251">
        <f>AN59+AN75+AN91+AN155</f>
        <v>8</v>
      </c>
      <c r="AP39" s="483"/>
      <c r="AQ39" s="482"/>
      <c r="AR39" s="482"/>
      <c r="AS39" s="483"/>
      <c r="AT39" s="482"/>
      <c r="AU39" s="482"/>
      <c r="AV39" s="483"/>
      <c r="AW39" s="482"/>
      <c r="AX39" s="482"/>
      <c r="AY39" s="483"/>
      <c r="AZ39" s="482"/>
      <c r="BA39" s="482"/>
      <c r="BB39" s="483"/>
      <c r="BC39" s="482"/>
      <c r="BD39" s="482"/>
      <c r="BE39" s="483"/>
    </row>
    <row r="40" spans="2:57" s="251" customFormat="1">
      <c r="B40" s="251" t="s">
        <v>2305</v>
      </c>
      <c r="C40" s="252"/>
      <c r="D40" s="251">
        <f>D41-D39</f>
        <v>-22</v>
      </c>
      <c r="E40" s="251">
        <f>F40-D40</f>
        <v>-28</v>
      </c>
      <c r="F40" s="252">
        <f t="shared" ref="F40:M40" si="57">F41-F39</f>
        <v>-50</v>
      </c>
      <c r="G40" s="251">
        <f t="shared" si="57"/>
        <v>-16</v>
      </c>
      <c r="H40" s="251">
        <f t="shared" si="57"/>
        <v>6</v>
      </c>
      <c r="I40" s="252">
        <f t="shared" si="57"/>
        <v>-10</v>
      </c>
      <c r="J40" s="251">
        <f t="shared" si="57"/>
        <v>46</v>
      </c>
      <c r="K40" s="251">
        <f t="shared" si="57"/>
        <v>1</v>
      </c>
      <c r="L40" s="252">
        <f t="shared" si="57"/>
        <v>47</v>
      </c>
      <c r="M40" s="251">
        <f t="shared" si="57"/>
        <v>-33</v>
      </c>
      <c r="N40" s="272">
        <f>N41-N39</f>
        <v>-27</v>
      </c>
      <c r="O40" s="273">
        <f>+N40+M40</f>
        <v>-60</v>
      </c>
      <c r="P40" s="251">
        <f>P41-P39</f>
        <v>-1</v>
      </c>
      <c r="Q40" s="251">
        <f>Q41-Q39</f>
        <v>-21</v>
      </c>
      <c r="R40" s="273">
        <f>+Q40+P40</f>
        <v>-22</v>
      </c>
      <c r="S40" s="251">
        <f>-(S39-S41)</f>
        <v>-9.3999999999999986</v>
      </c>
      <c r="T40" s="251">
        <f>T41-T39</f>
        <v>-21.6</v>
      </c>
      <c r="U40" s="273">
        <f>+T40+S40</f>
        <v>-31</v>
      </c>
      <c r="V40" s="272">
        <f>+V41-V39</f>
        <v>-22</v>
      </c>
      <c r="W40" s="251">
        <f>W41-W39</f>
        <v>-21</v>
      </c>
      <c r="X40" s="273">
        <f>+W40+V40</f>
        <v>-43</v>
      </c>
      <c r="Y40" s="272">
        <f>Y41/0.7*0.23</f>
        <v>13.471428571428573</v>
      </c>
      <c r="Z40" s="251">
        <f>Z41/0.7*0.23</f>
        <v>25.3</v>
      </c>
      <c r="AA40" s="273">
        <f>AA41-AA39</f>
        <v>-84</v>
      </c>
      <c r="AB40" s="272">
        <f>+AB41-AB39</f>
        <v>-19</v>
      </c>
      <c r="AC40" s="272">
        <f>AC41-AC39</f>
        <v>-34</v>
      </c>
      <c r="AD40" s="273">
        <f>AB40+AC40</f>
        <v>-53</v>
      </c>
      <c r="AE40" s="272">
        <f>AE41-AE39</f>
        <v>-15</v>
      </c>
      <c r="AF40" s="621">
        <f>AF41-AF39</f>
        <v>-23</v>
      </c>
      <c r="AG40" s="273">
        <f>AE40+AF40</f>
        <v>-38</v>
      </c>
      <c r="AH40" s="272">
        <f>AH41-AH39</f>
        <v>-1</v>
      </c>
      <c r="AI40" s="272">
        <f>AI41-AI39</f>
        <v>-3.4976449046716347</v>
      </c>
      <c r="AJ40" s="273">
        <f>AH40+AI40</f>
        <v>-4.4976449046716347</v>
      </c>
      <c r="AK40" s="272">
        <f>AK41-AK39</f>
        <v>28</v>
      </c>
      <c r="AL40" s="272">
        <f>AL41-AL39</f>
        <v>25</v>
      </c>
      <c r="AM40" s="273">
        <f>AK40+AL40</f>
        <v>53</v>
      </c>
      <c r="AN40" s="272">
        <f>AN41-AN39</f>
        <v>27</v>
      </c>
      <c r="AO40" s="272"/>
      <c r="AP40" s="261"/>
      <c r="AQ40" s="262"/>
      <c r="AR40" s="262"/>
      <c r="AS40" s="261"/>
      <c r="AT40" s="262"/>
      <c r="AU40" s="262"/>
      <c r="AV40" s="261"/>
      <c r="AW40" s="262"/>
      <c r="AX40" s="262"/>
      <c r="AY40" s="261"/>
      <c r="AZ40" s="262"/>
      <c r="BA40" s="262"/>
      <c r="BB40" s="261"/>
      <c r="BC40" s="262"/>
      <c r="BD40" s="262"/>
      <c r="BE40" s="261"/>
    </row>
    <row r="41" spans="2:57" s="251" customFormat="1">
      <c r="B41" s="251" t="s">
        <v>2306</v>
      </c>
      <c r="C41" s="252">
        <f>C61+C77+C93+C157</f>
        <v>63</v>
      </c>
      <c r="D41" s="251">
        <f>D61+D77+D93+D157</f>
        <v>54</v>
      </c>
      <c r="E41" s="251">
        <f>F41-D41</f>
        <v>25</v>
      </c>
      <c r="F41" s="252">
        <f t="shared" ref="F41:L41" si="58">F61+F77+F93+F157</f>
        <v>79</v>
      </c>
      <c r="G41" s="251">
        <f t="shared" si="58"/>
        <v>2</v>
      </c>
      <c r="H41" s="251">
        <f t="shared" si="58"/>
        <v>-54</v>
      </c>
      <c r="I41" s="252">
        <f t="shared" si="58"/>
        <v>-52</v>
      </c>
      <c r="J41" s="251">
        <f t="shared" si="58"/>
        <v>-153</v>
      </c>
      <c r="K41" s="251">
        <f t="shared" si="58"/>
        <v>-75</v>
      </c>
      <c r="L41" s="252">
        <f t="shared" si="58"/>
        <v>-228</v>
      </c>
      <c r="M41" s="272">
        <f>M61+M77+M93+M157</f>
        <v>84</v>
      </c>
      <c r="N41" s="272">
        <f>N61+N77+N93+N157</f>
        <v>39</v>
      </c>
      <c r="O41" s="261">
        <f>+N41+M41</f>
        <v>123</v>
      </c>
      <c r="P41" s="272">
        <f>P61+P77+P93+P157</f>
        <v>30</v>
      </c>
      <c r="Q41" s="272">
        <f>Q61+Q77+Q93+Q157</f>
        <v>31</v>
      </c>
      <c r="R41" s="273">
        <f>+Q41+P41</f>
        <v>61</v>
      </c>
      <c r="S41" s="272">
        <f>S61+S77+S93+S157</f>
        <v>23.6</v>
      </c>
      <c r="T41" s="272">
        <f>T61+T77+T93+T157</f>
        <v>53.4</v>
      </c>
      <c r="U41" s="273">
        <f>+T41+S41</f>
        <v>77</v>
      </c>
      <c r="V41" s="272">
        <f>V61+V77+V93+V157</f>
        <v>58</v>
      </c>
      <c r="W41" s="272">
        <f>W61+W77+W93+W157</f>
        <v>44</v>
      </c>
      <c r="X41" s="273">
        <f>+W41+V41</f>
        <v>102</v>
      </c>
      <c r="Y41" s="251">
        <v>41</v>
      </c>
      <c r="Z41" s="251">
        <v>77</v>
      </c>
      <c r="AA41" s="273">
        <v>118</v>
      </c>
      <c r="AB41" s="272">
        <v>47</v>
      </c>
      <c r="AC41" s="272">
        <v>131</v>
      </c>
      <c r="AD41" s="273">
        <f>AB41+AC41</f>
        <v>178</v>
      </c>
      <c r="AE41" s="272">
        <v>40</v>
      </c>
      <c r="AF41" s="621">
        <v>43</v>
      </c>
      <c r="AG41" s="273">
        <f>AE41+AF41</f>
        <v>83</v>
      </c>
      <c r="AH41" s="272">
        <v>4</v>
      </c>
      <c r="AI41" s="621">
        <v>14</v>
      </c>
      <c r="AJ41" s="273">
        <f>AH41+AI41</f>
        <v>18</v>
      </c>
      <c r="AK41" s="251">
        <f>AK61+AK77+AK93+AK157</f>
        <v>32</v>
      </c>
      <c r="AL41" s="251">
        <f>AL61+AL77+AL93+AL157</f>
        <v>31</v>
      </c>
      <c r="AM41" s="273">
        <f>AK41+AL41</f>
        <v>63</v>
      </c>
      <c r="AN41" s="251">
        <f>AN61+AN77+AN93+AN157</f>
        <v>35</v>
      </c>
      <c r="AP41" s="261"/>
      <c r="AQ41" s="262"/>
      <c r="AR41" s="262"/>
      <c r="AS41" s="261"/>
      <c r="AT41" s="262"/>
      <c r="AU41" s="262"/>
      <c r="AV41" s="261"/>
      <c r="AW41" s="262"/>
      <c r="AX41" s="262"/>
      <c r="AY41" s="261"/>
      <c r="AZ41" s="262"/>
      <c r="BA41" s="262"/>
      <c r="BB41" s="261"/>
      <c r="BC41" s="262"/>
      <c r="BD41" s="262"/>
      <c r="BE41" s="261"/>
    </row>
    <row r="42" spans="2:57" s="251" customFormat="1">
      <c r="B42" s="251" t="s">
        <v>2551</v>
      </c>
      <c r="C42" s="252"/>
      <c r="F42" s="252"/>
      <c r="I42" s="252"/>
      <c r="L42" s="252"/>
      <c r="M42" s="272"/>
      <c r="N42" s="272"/>
      <c r="O42" s="261"/>
      <c r="P42" s="272"/>
      <c r="Q42" s="272"/>
      <c r="R42" s="273"/>
      <c r="S42" s="272">
        <v>0</v>
      </c>
      <c r="T42" s="272">
        <v>0</v>
      </c>
      <c r="U42" s="273">
        <v>0</v>
      </c>
      <c r="V42" s="272">
        <v>0</v>
      </c>
      <c r="W42" s="272">
        <v>0</v>
      </c>
      <c r="X42" s="273">
        <v>0</v>
      </c>
      <c r="Y42" s="251">
        <v>0</v>
      </c>
      <c r="Z42" s="251">
        <v>0</v>
      </c>
      <c r="AA42" s="273">
        <v>0</v>
      </c>
      <c r="AB42" s="272">
        <v>0</v>
      </c>
      <c r="AC42" s="272">
        <v>0</v>
      </c>
      <c r="AD42" s="273">
        <v>0</v>
      </c>
      <c r="AE42" s="272">
        <v>0</v>
      </c>
      <c r="AF42" s="621">
        <v>0</v>
      </c>
      <c r="AG42" s="273">
        <v>0</v>
      </c>
      <c r="AH42" s="272">
        <v>0</v>
      </c>
      <c r="AI42" s="621">
        <v>0</v>
      </c>
      <c r="AJ42" s="273">
        <f>AH42+AI42</f>
        <v>0</v>
      </c>
      <c r="AK42" s="272">
        <v>0</v>
      </c>
      <c r="AL42" s="621">
        <v>0</v>
      </c>
      <c r="AM42" s="273">
        <f>AK42+AL42</f>
        <v>0</v>
      </c>
      <c r="AN42" s="272">
        <v>0</v>
      </c>
      <c r="AO42" s="621"/>
      <c r="AP42" s="261"/>
      <c r="AQ42" s="262"/>
      <c r="AR42" s="262"/>
      <c r="AS42" s="261"/>
      <c r="AT42" s="262"/>
      <c r="AU42" s="262"/>
      <c r="AV42" s="261"/>
      <c r="AW42" s="262"/>
      <c r="AX42" s="262"/>
      <c r="AY42" s="261"/>
      <c r="AZ42" s="262"/>
      <c r="BA42" s="262"/>
      <c r="BB42" s="261"/>
      <c r="BC42" s="262"/>
      <c r="BD42" s="262"/>
      <c r="BE42" s="261"/>
    </row>
    <row r="43" spans="2:57" s="251" customFormat="1">
      <c r="B43" s="255" t="s">
        <v>2307</v>
      </c>
      <c r="C43" s="256">
        <f t="shared" ref="C43:J43" si="59">C38+C41</f>
        <v>504</v>
      </c>
      <c r="D43" s="274">
        <f t="shared" si="59"/>
        <v>299</v>
      </c>
      <c r="E43" s="274">
        <f t="shared" si="59"/>
        <v>328</v>
      </c>
      <c r="F43" s="275">
        <f t="shared" si="59"/>
        <v>627</v>
      </c>
      <c r="G43" s="274">
        <f t="shared" si="59"/>
        <v>394</v>
      </c>
      <c r="H43" s="274">
        <f t="shared" si="59"/>
        <v>343</v>
      </c>
      <c r="I43" s="261">
        <f>G43+H43</f>
        <v>737</v>
      </c>
      <c r="J43" s="274">
        <f t="shared" si="59"/>
        <v>175</v>
      </c>
      <c r="K43" s="274">
        <f>K38+K41</f>
        <v>111</v>
      </c>
      <c r="L43" s="261">
        <f>J43+K43</f>
        <v>286</v>
      </c>
      <c r="M43" s="274">
        <f>M38+M41</f>
        <v>379</v>
      </c>
      <c r="N43" s="274">
        <f>N38+N41</f>
        <v>336</v>
      </c>
      <c r="O43" s="261">
        <f>M43+N43</f>
        <v>715</v>
      </c>
      <c r="P43" s="274">
        <f>P38+P41</f>
        <v>359</v>
      </c>
      <c r="Q43" s="274">
        <f>Q38+Q41</f>
        <v>283</v>
      </c>
      <c r="R43" s="261">
        <f>+Q43+P43</f>
        <v>642</v>
      </c>
      <c r="S43" s="274">
        <f>S38+S41</f>
        <v>272.60000000000002</v>
      </c>
      <c r="T43" s="274">
        <f>T38+T41</f>
        <v>296.39999999999998</v>
      </c>
      <c r="U43" s="261">
        <f>+T43+S43</f>
        <v>569</v>
      </c>
      <c r="V43" s="274">
        <f>V38+V41</f>
        <v>331</v>
      </c>
      <c r="W43" s="274">
        <f>W38+W41</f>
        <v>349</v>
      </c>
      <c r="X43" s="261">
        <f>+W43+V43</f>
        <v>680</v>
      </c>
      <c r="Y43" s="274">
        <f t="shared" ref="Y43:AH43" si="60">Y38+Y41</f>
        <v>344</v>
      </c>
      <c r="Z43" s="262">
        <f t="shared" si="60"/>
        <v>343</v>
      </c>
      <c r="AA43" s="261">
        <f t="shared" si="60"/>
        <v>687</v>
      </c>
      <c r="AB43" s="262">
        <f t="shared" si="60"/>
        <v>349</v>
      </c>
      <c r="AC43" s="262">
        <f t="shared" si="60"/>
        <v>304</v>
      </c>
      <c r="AD43" s="261">
        <f t="shared" si="60"/>
        <v>653</v>
      </c>
      <c r="AE43" s="262">
        <f t="shared" si="60"/>
        <v>375.99999999999977</v>
      </c>
      <c r="AF43" s="622">
        <f t="shared" si="60"/>
        <v>236</v>
      </c>
      <c r="AG43" s="261">
        <f t="shared" si="60"/>
        <v>612.00000000000045</v>
      </c>
      <c r="AH43" s="262">
        <f t="shared" si="60"/>
        <v>211.00000000000011</v>
      </c>
      <c r="AI43" s="262">
        <f>AI38+AI41+AI42</f>
        <v>210.99999999999989</v>
      </c>
      <c r="AJ43" s="261">
        <f>AJ38+AJ41+AJ42</f>
        <v>421.99999999999955</v>
      </c>
      <c r="AK43" s="262">
        <f>AK38+AK41</f>
        <v>359</v>
      </c>
      <c r="AL43" s="262">
        <f>AL38+AL41+AL42</f>
        <v>348</v>
      </c>
      <c r="AM43" s="261">
        <f>AM38+AM41+AM42</f>
        <v>706.99999999999932</v>
      </c>
      <c r="AN43" s="262">
        <f>AN38+AN41+AN42</f>
        <v>263</v>
      </c>
      <c r="AO43" s="262"/>
      <c r="AP43" s="261"/>
      <c r="AQ43" s="262"/>
      <c r="AR43" s="262"/>
      <c r="AS43" s="261"/>
      <c r="AT43" s="262"/>
      <c r="AU43" s="262"/>
      <c r="AV43" s="261"/>
      <c r="AW43" s="262"/>
      <c r="AX43" s="262"/>
      <c r="AY43" s="261"/>
      <c r="AZ43" s="262"/>
      <c r="BA43" s="262"/>
      <c r="BB43" s="261"/>
      <c r="BC43" s="262"/>
      <c r="BD43" s="262"/>
      <c r="BE43" s="261"/>
    </row>
    <row r="44" spans="2:57">
      <c r="B44" s="243"/>
      <c r="C44" s="244"/>
      <c r="D44" s="245"/>
      <c r="E44" s="245"/>
      <c r="F44" s="244"/>
      <c r="G44" s="245"/>
      <c r="H44" s="245"/>
      <c r="I44" s="244"/>
      <c r="J44" s="245"/>
      <c r="K44" s="245"/>
      <c r="L44" s="244"/>
      <c r="M44" s="245"/>
      <c r="N44" s="245"/>
      <c r="O44" s="244"/>
      <c r="P44" s="245"/>
      <c r="Q44" s="245"/>
      <c r="R44" s="244"/>
      <c r="S44" s="245"/>
      <c r="T44" s="245"/>
      <c r="U44" s="244"/>
      <c r="V44" s="245"/>
      <c r="W44" s="245"/>
      <c r="X44" s="244"/>
      <c r="Y44" s="245"/>
      <c r="Z44" s="245"/>
      <c r="AA44" s="244"/>
      <c r="AB44" s="245"/>
      <c r="AC44" s="245"/>
      <c r="AD44" s="244"/>
      <c r="AE44" s="245"/>
      <c r="AF44" s="606"/>
      <c r="AG44" s="244"/>
      <c r="AH44" s="245"/>
      <c r="AI44" s="245"/>
      <c r="AJ44" s="244"/>
      <c r="AK44" s="245"/>
      <c r="AL44" s="245"/>
      <c r="AM44" s="244"/>
      <c r="AN44" s="245"/>
      <c r="AO44" s="245"/>
      <c r="AP44" s="244"/>
      <c r="AQ44" s="245"/>
      <c r="AR44" s="245"/>
      <c r="AS44" s="244"/>
      <c r="AT44" s="245"/>
      <c r="AU44" s="245"/>
      <c r="AV44" s="244"/>
      <c r="AW44" s="245"/>
      <c r="AX44" s="245"/>
      <c r="AY44" s="244"/>
      <c r="AZ44" s="245"/>
      <c r="BA44" s="245"/>
      <c r="BB44" s="244"/>
      <c r="BC44" s="245"/>
      <c r="BD44" s="245"/>
      <c r="BE44" s="244"/>
    </row>
    <row r="45" spans="2:57">
      <c r="B45" s="246" t="s">
        <v>2312</v>
      </c>
      <c r="C45" s="244"/>
      <c r="D45" s="245"/>
      <c r="E45" s="245"/>
      <c r="F45" s="264">
        <f t="shared" ref="F45:AM45" si="61">F36/C36-1</f>
        <v>0.36206896551724133</v>
      </c>
      <c r="G45" s="276">
        <f t="shared" si="61"/>
        <v>0.52100840336134446</v>
      </c>
      <c r="H45" s="277">
        <f t="shared" si="61"/>
        <v>0.23787528868360286</v>
      </c>
      <c r="I45" s="264">
        <f t="shared" si="61"/>
        <v>0.36582278481012653</v>
      </c>
      <c r="J45" s="276">
        <f t="shared" si="61"/>
        <v>-0.17127071823204421</v>
      </c>
      <c r="K45" s="277">
        <f t="shared" si="61"/>
        <v>-0.49813432835820892</v>
      </c>
      <c r="L45" s="264">
        <f t="shared" si="61"/>
        <v>-0.33364226135310471</v>
      </c>
      <c r="M45" s="276">
        <f>M36/J36-1</f>
        <v>-8.8888888888888906E-2</v>
      </c>
      <c r="N45" s="277">
        <f t="shared" si="61"/>
        <v>0.45724907063197029</v>
      </c>
      <c r="O45" s="264">
        <f>O36/L36-1</f>
        <v>0.11543810848400549</v>
      </c>
      <c r="P45" s="276">
        <f t="shared" si="61"/>
        <v>0.1048780487804879</v>
      </c>
      <c r="Q45" s="277">
        <f t="shared" si="61"/>
        <v>-0.11734693877551017</v>
      </c>
      <c r="R45" s="264">
        <f>R36/O36-1</f>
        <v>-3.7406483790524137E-3</v>
      </c>
      <c r="S45" s="276">
        <f>S36/P36-1</f>
        <v>-0.25607064017660042</v>
      </c>
      <c r="T45" s="277">
        <f>T36/Q36-1</f>
        <v>-3.7572254335260125E-2</v>
      </c>
      <c r="U45" s="264">
        <f>U36/R36-1</f>
        <v>-0.1614518147684606</v>
      </c>
      <c r="V45" s="276">
        <f t="shared" si="61"/>
        <v>0.10979228486646875</v>
      </c>
      <c r="W45" s="277">
        <f t="shared" si="61"/>
        <v>0.23123123123123124</v>
      </c>
      <c r="X45" s="264">
        <f>X36/U36-1</f>
        <v>-0.11791044776119408</v>
      </c>
      <c r="Y45" s="276">
        <f t="shared" si="61"/>
        <v>5.6149732620320858E-2</v>
      </c>
      <c r="Z45" s="277">
        <f t="shared" si="61"/>
        <v>-0.13170731707317074</v>
      </c>
      <c r="AA45" s="264">
        <f t="shared" si="61"/>
        <v>0.27072758037225042</v>
      </c>
      <c r="AB45" s="276">
        <f t="shared" si="61"/>
        <v>3.2911392405063244E-2</v>
      </c>
      <c r="AC45" s="588">
        <f t="shared" si="61"/>
        <v>-0.3960674157303371</v>
      </c>
      <c r="AD45" s="264">
        <f t="shared" si="61"/>
        <v>-0.17043941411451402</v>
      </c>
      <c r="AE45" s="276">
        <f t="shared" si="61"/>
        <v>0.14705882352941124</v>
      </c>
      <c r="AF45" s="277">
        <f t="shared" si="61"/>
        <v>0.13488372093023249</v>
      </c>
      <c r="AG45" s="264">
        <f t="shared" si="61"/>
        <v>0.14285714285714368</v>
      </c>
      <c r="AH45" s="588">
        <f t="shared" si="61"/>
        <v>-0.40170940170940117</v>
      </c>
      <c r="AI45" s="277">
        <f t="shared" si="61"/>
        <v>5.7377049180327377E-2</v>
      </c>
      <c r="AJ45" s="264">
        <f t="shared" si="61"/>
        <v>-0.24438202247191121</v>
      </c>
      <c r="AK45" s="276">
        <f t="shared" si="61"/>
        <v>0.56785714285714217</v>
      </c>
      <c r="AL45" s="277">
        <f t="shared" si="61"/>
        <v>0.65116279069767513</v>
      </c>
      <c r="AM45" s="264">
        <f t="shared" si="61"/>
        <v>0.60780669144981414</v>
      </c>
      <c r="AN45" s="276">
        <f t="shared" ref="AN45:BB45" si="62">AN36/AK36-1</f>
        <v>-0.27790432801822329</v>
      </c>
      <c r="AO45" s="277">
        <f t="shared" si="62"/>
        <v>-0.42723004694835631</v>
      </c>
      <c r="AP45" s="264">
        <f t="shared" si="62"/>
        <v>-0.3514450867052018</v>
      </c>
      <c r="AQ45" s="276">
        <f t="shared" si="62"/>
        <v>9.1371657941812456E-2</v>
      </c>
      <c r="AR45" s="277">
        <f t="shared" si="62"/>
        <v>0.44865454657050829</v>
      </c>
      <c r="AS45" s="264">
        <f t="shared" si="62"/>
        <v>0.24676742411899899</v>
      </c>
      <c r="AT45" s="276">
        <f t="shared" si="62"/>
        <v>4.3763532651805548E-2</v>
      </c>
      <c r="AU45" s="277">
        <f t="shared" si="62"/>
        <v>4.352543487740812E-2</v>
      </c>
      <c r="AV45" s="264">
        <f t="shared" si="62"/>
        <v>4.3643206039866822E-2</v>
      </c>
      <c r="AW45" s="276">
        <f t="shared" si="62"/>
        <v>4.3281163441081683E-2</v>
      </c>
      <c r="AX45" s="277">
        <f t="shared" si="62"/>
        <v>4.3029950468478795E-2</v>
      </c>
      <c r="AY45" s="264">
        <f t="shared" si="62"/>
        <v>4.3154223175155826E-2</v>
      </c>
      <c r="AZ45" s="276">
        <f t="shared" si="62"/>
        <v>4.277244432092453E-2</v>
      </c>
      <c r="BA45" s="277">
        <f t="shared" si="62"/>
        <v>4.2507810972806315E-2</v>
      </c>
      <c r="BB45" s="264">
        <f t="shared" si="62"/>
        <v>4.2638738544151122E-2</v>
      </c>
      <c r="BC45" s="276">
        <f>BC36/AZ36-1</f>
        <v>4.2236721252538301E-2</v>
      </c>
      <c r="BD45" s="277">
        <f>BD36/BA36-1</f>
        <v>4.1958270960956945E-2</v>
      </c>
      <c r="BE45" s="264">
        <f>BE36/BB36-1</f>
        <v>4.2096052143193674E-2</v>
      </c>
    </row>
    <row r="46" spans="2:57">
      <c r="B46" s="246" t="s">
        <v>2313</v>
      </c>
      <c r="C46" s="244"/>
      <c r="D46" s="245"/>
      <c r="E46" s="245"/>
      <c r="F46" s="264">
        <f>F43/C43-1</f>
        <v>0.24404761904761907</v>
      </c>
      <c r="G46" s="276">
        <f>G43/D43-1</f>
        <v>0.31772575250836121</v>
      </c>
      <c r="H46" s="245"/>
      <c r="I46" s="244"/>
      <c r="J46" s="245"/>
      <c r="K46" s="245"/>
      <c r="L46" s="244"/>
      <c r="M46" s="245"/>
      <c r="N46" s="245"/>
      <c r="O46" s="244"/>
      <c r="P46" s="245"/>
      <c r="Q46" s="245"/>
      <c r="R46" s="244"/>
      <c r="S46" s="245"/>
      <c r="T46" s="245"/>
      <c r="U46" s="244"/>
      <c r="V46" s="245"/>
      <c r="W46" s="245"/>
      <c r="X46" s="244"/>
      <c r="Y46" s="245"/>
      <c r="Z46" s="245"/>
      <c r="AA46" s="244"/>
      <c r="AB46" s="245"/>
      <c r="AC46" s="245"/>
      <c r="AD46" s="244"/>
      <c r="AE46" s="245"/>
      <c r="AF46" s="606"/>
      <c r="AG46" s="244"/>
      <c r="AH46" s="245"/>
      <c r="AI46" s="708"/>
      <c r="AJ46" s="264">
        <f>AJ38/AG38-1</f>
        <v>-0.23629489603024723</v>
      </c>
      <c r="AK46" s="245"/>
      <c r="AL46" s="245"/>
      <c r="AM46" s="264">
        <f>AM38/AJ38-1</f>
        <v>0.59405940594059414</v>
      </c>
      <c r="AN46" s="245"/>
      <c r="AO46" s="245"/>
      <c r="AP46" s="264">
        <f>AP38/AM38-1</f>
        <v>-0.37732919254658315</v>
      </c>
      <c r="AQ46" s="245"/>
      <c r="AR46" s="245"/>
      <c r="AS46" s="264">
        <f>AS38/AP38-1</f>
        <v>0.35893946946370736</v>
      </c>
      <c r="AT46" s="245"/>
      <c r="AU46" s="245"/>
      <c r="AV46" s="264">
        <f>AV38/AS38-1</f>
        <v>4.292171555702029E-2</v>
      </c>
      <c r="AW46" s="245"/>
      <c r="AX46" s="245"/>
      <c r="AY46" s="264">
        <f>AY38/AV38-1</f>
        <v>4.2387114618727573E-2</v>
      </c>
      <c r="AZ46" s="245"/>
      <c r="BA46" s="245"/>
      <c r="BB46" s="264">
        <f>BB38/AY38-1</f>
        <v>4.1822902672748574E-2</v>
      </c>
      <c r="BC46" s="245"/>
      <c r="BD46" s="245"/>
      <c r="BE46" s="264">
        <f>BE38/BB38-1</f>
        <v>4.1228053361978212E-2</v>
      </c>
    </row>
    <row r="47" spans="2:57">
      <c r="B47" s="243"/>
      <c r="C47" s="244"/>
      <c r="D47" s="245"/>
      <c r="E47" s="245"/>
      <c r="F47" s="244"/>
      <c r="G47" s="245"/>
      <c r="H47" s="245"/>
      <c r="I47" s="244"/>
      <c r="J47" s="245"/>
      <c r="K47" s="245"/>
      <c r="L47" s="244"/>
      <c r="M47" s="245"/>
      <c r="N47" s="245"/>
      <c r="O47" s="244"/>
      <c r="P47" s="245"/>
      <c r="Q47" s="245"/>
      <c r="R47" s="244"/>
      <c r="S47" s="245"/>
      <c r="T47" s="245"/>
      <c r="U47" s="244"/>
      <c r="V47" s="245"/>
      <c r="W47" s="517"/>
      <c r="X47" s="244"/>
      <c r="Y47" s="245"/>
      <c r="Z47" s="245"/>
      <c r="AA47" s="244"/>
      <c r="AB47" s="245"/>
      <c r="AC47" s="245"/>
      <c r="AD47" s="244"/>
      <c r="AE47" s="245"/>
      <c r="AF47" s="606"/>
      <c r="AG47" s="244"/>
      <c r="AH47" s="245"/>
      <c r="AI47" s="245"/>
      <c r="AJ47" s="264"/>
      <c r="AK47" s="245"/>
      <c r="AL47" s="245"/>
      <c r="AM47" s="244"/>
      <c r="AN47" s="245"/>
      <c r="AO47" s="245"/>
      <c r="AP47" s="244"/>
      <c r="AQ47" s="245"/>
      <c r="AR47" s="245"/>
      <c r="AS47" s="244"/>
      <c r="AT47" s="245"/>
      <c r="AU47" s="245"/>
      <c r="AV47" s="244"/>
      <c r="AW47" s="245"/>
      <c r="AX47" s="245"/>
      <c r="AY47" s="244"/>
      <c r="AZ47" s="245"/>
      <c r="BA47" s="245"/>
      <c r="BB47" s="244"/>
      <c r="BC47" s="245"/>
      <c r="BD47" s="245"/>
      <c r="BE47" s="244"/>
    </row>
    <row r="48" spans="2:57">
      <c r="B48" s="278" t="s">
        <v>2317</v>
      </c>
      <c r="C48" s="279"/>
      <c r="D48" s="280"/>
      <c r="E48" s="280"/>
      <c r="F48" s="279"/>
      <c r="G48" s="280"/>
      <c r="H48" s="280"/>
      <c r="I48" s="279"/>
      <c r="J48" s="280"/>
      <c r="K48" s="280"/>
      <c r="L48" s="279"/>
      <c r="M48" s="280"/>
      <c r="N48" s="280"/>
      <c r="O48" s="279"/>
      <c r="P48" s="280"/>
      <c r="Q48" s="280"/>
      <c r="R48" s="279"/>
      <c r="S48" s="280"/>
      <c r="T48" s="280"/>
      <c r="U48" s="279"/>
      <c r="V48" s="280"/>
      <c r="W48" s="280"/>
      <c r="X48" s="279"/>
      <c r="Y48" s="280"/>
      <c r="Z48" s="280"/>
      <c r="AA48" s="279"/>
      <c r="AB48" s="280"/>
      <c r="AC48" s="280"/>
      <c r="AD48" s="279"/>
      <c r="AE48" s="280"/>
      <c r="AF48" s="611"/>
      <c r="AG48" s="279"/>
      <c r="AH48" s="280"/>
      <c r="AI48" s="611"/>
      <c r="AJ48" s="279"/>
      <c r="AK48" s="280"/>
      <c r="AL48" s="280"/>
      <c r="AM48" s="279"/>
      <c r="AN48" s="280"/>
      <c r="AO48" s="280"/>
      <c r="AP48" s="279"/>
      <c r="AQ48" s="280"/>
      <c r="AR48" s="280"/>
      <c r="AS48" s="279"/>
      <c r="AT48" s="280"/>
      <c r="AU48" s="280"/>
      <c r="AV48" s="279"/>
      <c r="AW48" s="280"/>
      <c r="AX48" s="280"/>
      <c r="AY48" s="279"/>
      <c r="AZ48" s="280"/>
      <c r="BA48" s="280"/>
      <c r="BB48" s="279"/>
      <c r="BC48" s="280"/>
      <c r="BD48" s="280"/>
      <c r="BE48" s="279"/>
    </row>
    <row r="49" spans="2:57" s="251" customFormat="1">
      <c r="B49" s="251" t="s">
        <v>2295</v>
      </c>
      <c r="C49" s="252">
        <v>567</v>
      </c>
      <c r="D49" s="251">
        <v>351</v>
      </c>
      <c r="E49" s="251">
        <f>F49-D49</f>
        <v>408</v>
      </c>
      <c r="F49" s="252">
        <v>759</v>
      </c>
      <c r="G49" s="251">
        <v>501</v>
      </c>
      <c r="H49" s="251">
        <v>567</v>
      </c>
      <c r="I49" s="252">
        <f t="shared" ref="I49:I54" si="63">G49+H49</f>
        <v>1068</v>
      </c>
      <c r="J49" s="251">
        <v>442</v>
      </c>
      <c r="K49" s="251">
        <f>L49-J49</f>
        <v>331</v>
      </c>
      <c r="L49" s="252">
        <v>773</v>
      </c>
      <c r="M49" s="251">
        <v>390</v>
      </c>
      <c r="N49" s="251">
        <f>O49-M49</f>
        <v>399</v>
      </c>
      <c r="O49" s="252">
        <v>789</v>
      </c>
      <c r="P49" s="251">
        <v>449</v>
      </c>
      <c r="Q49" s="251">
        <f>+R49-P49</f>
        <v>458</v>
      </c>
      <c r="R49" s="252">
        <v>907</v>
      </c>
      <c r="S49" s="251">
        <v>448</v>
      </c>
      <c r="T49" s="251">
        <f>883-S49</f>
        <v>435</v>
      </c>
      <c r="U49" s="252">
        <f t="shared" ref="U49:U54" si="64">S49+T49</f>
        <v>883</v>
      </c>
      <c r="V49" s="395">
        <v>481</v>
      </c>
      <c r="W49" s="395">
        <v>529</v>
      </c>
      <c r="X49" s="536">
        <v>817</v>
      </c>
      <c r="Y49" s="576">
        <v>462</v>
      </c>
      <c r="Z49" s="576">
        <v>457</v>
      </c>
      <c r="AA49" s="252">
        <f>Y49+Z49</f>
        <v>919</v>
      </c>
      <c r="AB49" s="251">
        <v>500</v>
      </c>
      <c r="AC49" s="251">
        <f>1050-AB49</f>
        <v>550</v>
      </c>
      <c r="AD49" s="252">
        <f t="shared" ref="AD49:AD54" si="65">AB49+AC49</f>
        <v>1050</v>
      </c>
      <c r="AE49" s="712">
        <f>AE53-AE52</f>
        <v>540.11235955056179</v>
      </c>
      <c r="AF49" s="719">
        <f>AF53-AF52</f>
        <v>500.56179775280896</v>
      </c>
      <c r="AG49" s="713">
        <f t="shared" ref="AG49:AG54" si="66">AE49+AF49</f>
        <v>1040.6741573033707</v>
      </c>
      <c r="AH49" s="712">
        <f>AH53-AH52</f>
        <v>556.17977528089887</v>
      </c>
      <c r="AI49" s="712">
        <f>AI53-AI52</f>
        <v>530.22471910112358</v>
      </c>
      <c r="AJ49" s="713">
        <f t="shared" ref="AJ49:AJ54" si="67">AH49+AI49</f>
        <v>1086.4044943820224</v>
      </c>
      <c r="AK49" s="712">
        <f>AK53-AK52</f>
        <v>583.37078651685397</v>
      </c>
      <c r="AL49" s="712">
        <f>AL53-AL52</f>
        <v>621.68539325842698</v>
      </c>
      <c r="AM49" s="252">
        <f t="shared" ref="AM49:AM54" si="68">AK49+AL49</f>
        <v>1205.056179775281</v>
      </c>
      <c r="AN49" s="712">
        <f>AN53-AN52</f>
        <v>535.16853932584274</v>
      </c>
      <c r="AO49" s="712">
        <f>AO53-AO52</f>
        <v>561.12359550561803</v>
      </c>
      <c r="AP49" s="252">
        <f t="shared" ref="AP49:AP54" si="69">AN49+AO49</f>
        <v>1096.2921348314608</v>
      </c>
      <c r="AQ49" s="281">
        <f>AO49*(1+AQ$299)*(1-0.5%)</f>
        <v>641.07365599850925</v>
      </c>
      <c r="AR49" s="281">
        <f>AQ49*(1+AR$299)*(1-0.5%)</f>
        <v>660.97868168810157</v>
      </c>
      <c r="AS49" s="252">
        <f t="shared" ref="AS49:AS54" si="70">AQ49+AR49</f>
        <v>1302.0523376866108</v>
      </c>
      <c r="AT49" s="281">
        <f>AR49*(1+AT$299)*(1-0.5%)</f>
        <v>681.51391138952101</v>
      </c>
      <c r="AU49" s="281">
        <f>AT49*(1+AU$299)*(1-0.5%)</f>
        <v>702.69355067259357</v>
      </c>
      <c r="AV49" s="252">
        <f t="shared" ref="AV49:AV54" si="71">AT49+AU49</f>
        <v>1384.2074620621147</v>
      </c>
      <c r="AW49" s="281">
        <f>AU49*(1+AW$299)*(1-0.5%)</f>
        <v>724.54443055918523</v>
      </c>
      <c r="AX49" s="281">
        <f>AW49*(1+AX$299)*(1-0.5%)</f>
        <v>747.08167601215496</v>
      </c>
      <c r="AY49" s="252">
        <f t="shared" ref="AY49:AY54" si="72">AW49+AX49</f>
        <v>1471.6261065713402</v>
      </c>
      <c r="AZ49" s="281">
        <f>AX49*(1+AZ$299)*(1-0.5%)</f>
        <v>770.33399785123675</v>
      </c>
      <c r="BA49" s="281">
        <f>AZ49*(1+BA$299)*(1-0.5%)</f>
        <v>794.31750215835075</v>
      </c>
      <c r="BB49" s="252">
        <f t="shared" ref="BB49:BB54" si="73">AZ49+BA49</f>
        <v>1564.6515000095874</v>
      </c>
      <c r="BC49" s="281">
        <f>BA49*(1+BC$299)*(1-0.5%)</f>
        <v>819.06292015207396</v>
      </c>
      <c r="BD49" s="281">
        <f>BC49*(1+BD$299)*(1-0.5%)</f>
        <v>844.58740513386147</v>
      </c>
      <c r="BE49" s="252">
        <f t="shared" ref="BE49:BE54" si="74">BC49+BD49</f>
        <v>1663.6503252859354</v>
      </c>
    </row>
    <row r="50" spans="2:57" s="251" customFormat="1">
      <c r="B50" s="251" t="s">
        <v>2296</v>
      </c>
      <c r="C50" s="252">
        <v>0</v>
      </c>
      <c r="D50" s="251">
        <v>0</v>
      </c>
      <c r="E50" s="251">
        <f>F50-D50</f>
        <v>0</v>
      </c>
      <c r="F50" s="252">
        <v>0</v>
      </c>
      <c r="G50" s="251">
        <v>0</v>
      </c>
      <c r="H50" s="251">
        <v>0</v>
      </c>
      <c r="I50" s="252">
        <f t="shared" si="63"/>
        <v>0</v>
      </c>
      <c r="J50" s="251">
        <v>0</v>
      </c>
      <c r="K50" s="251">
        <f>L50-J50</f>
        <v>0</v>
      </c>
      <c r="L50" s="252">
        <v>0</v>
      </c>
      <c r="M50" s="251">
        <v>0</v>
      </c>
      <c r="N50" s="251">
        <f>O50-M50</f>
        <v>0</v>
      </c>
      <c r="O50" s="252">
        <v>0</v>
      </c>
      <c r="P50" s="251">
        <v>0</v>
      </c>
      <c r="Q50" s="251">
        <v>0</v>
      </c>
      <c r="R50" s="252">
        <f>+Q50+P50</f>
        <v>0</v>
      </c>
      <c r="S50" s="251">
        <v>0</v>
      </c>
      <c r="T50" s="251">
        <v>0</v>
      </c>
      <c r="U50" s="252">
        <f t="shared" si="64"/>
        <v>0</v>
      </c>
      <c r="V50" s="251">
        <v>0</v>
      </c>
      <c r="W50" s="251">
        <v>0</v>
      </c>
      <c r="X50" s="536">
        <f>V50+W50</f>
        <v>0</v>
      </c>
      <c r="Y50" s="251">
        <v>0</v>
      </c>
      <c r="Z50" s="281">
        <v>0</v>
      </c>
      <c r="AA50" s="252">
        <f>Y50+Z50</f>
        <v>0</v>
      </c>
      <c r="AB50" s="251">
        <v>0</v>
      </c>
      <c r="AC50" s="251">
        <v>0</v>
      </c>
      <c r="AD50" s="252">
        <f t="shared" si="65"/>
        <v>0</v>
      </c>
      <c r="AE50" s="251">
        <v>0</v>
      </c>
      <c r="AF50" s="260">
        <v>0</v>
      </c>
      <c r="AG50" s="252">
        <f t="shared" si="66"/>
        <v>0</v>
      </c>
      <c r="AH50" s="251">
        <v>0</v>
      </c>
      <c r="AI50" s="251">
        <v>0</v>
      </c>
      <c r="AJ50" s="252">
        <f t="shared" si="67"/>
        <v>0</v>
      </c>
      <c r="AK50" s="251">
        <v>0</v>
      </c>
      <c r="AL50" s="251">
        <v>0</v>
      </c>
      <c r="AM50" s="252">
        <f t="shared" si="68"/>
        <v>0</v>
      </c>
      <c r="AN50" s="251">
        <v>0</v>
      </c>
      <c r="AO50" s="251">
        <v>0</v>
      </c>
      <c r="AP50" s="252">
        <f t="shared" si="69"/>
        <v>0</v>
      </c>
      <c r="AQ50" s="281">
        <v>0</v>
      </c>
      <c r="AR50" s="281">
        <v>0</v>
      </c>
      <c r="AS50" s="252">
        <f t="shared" si="70"/>
        <v>0</v>
      </c>
      <c r="AT50" s="281">
        <v>0</v>
      </c>
      <c r="AU50" s="281">
        <v>0</v>
      </c>
      <c r="AV50" s="252">
        <f t="shared" si="71"/>
        <v>0</v>
      </c>
      <c r="AW50" s="281">
        <v>0</v>
      </c>
      <c r="AX50" s="281">
        <v>0</v>
      </c>
      <c r="AY50" s="252">
        <f t="shared" si="72"/>
        <v>0</v>
      </c>
      <c r="AZ50" s="281">
        <v>0</v>
      </c>
      <c r="BA50" s="281">
        <v>0</v>
      </c>
      <c r="BB50" s="252">
        <f t="shared" si="73"/>
        <v>0</v>
      </c>
      <c r="BC50" s="281">
        <v>0</v>
      </c>
      <c r="BD50" s="281">
        <v>0</v>
      </c>
      <c r="BE50" s="252">
        <f t="shared" si="74"/>
        <v>0</v>
      </c>
    </row>
    <row r="51" spans="2:57" s="251" customFormat="1">
      <c r="B51" s="255" t="s">
        <v>2297</v>
      </c>
      <c r="C51" s="256">
        <f t="shared" ref="C51:H51" si="75">C49+C50</f>
        <v>567</v>
      </c>
      <c r="D51" s="255">
        <f t="shared" si="75"/>
        <v>351</v>
      </c>
      <c r="E51" s="255">
        <f t="shared" si="75"/>
        <v>408</v>
      </c>
      <c r="F51" s="256">
        <f t="shared" si="75"/>
        <v>759</v>
      </c>
      <c r="G51" s="255">
        <f t="shared" si="75"/>
        <v>501</v>
      </c>
      <c r="H51" s="255">
        <f t="shared" si="75"/>
        <v>567</v>
      </c>
      <c r="I51" s="256">
        <f t="shared" si="63"/>
        <v>1068</v>
      </c>
      <c r="J51" s="255">
        <f>J49+J50</f>
        <v>442</v>
      </c>
      <c r="K51" s="255">
        <f>K49+K50</f>
        <v>331</v>
      </c>
      <c r="L51" s="256">
        <f>J51+K51</f>
        <v>773</v>
      </c>
      <c r="M51" s="255">
        <f>M49+M50</f>
        <v>390</v>
      </c>
      <c r="N51" s="255">
        <f>N49+N50</f>
        <v>399</v>
      </c>
      <c r="O51" s="256">
        <f>M51+N51</f>
        <v>789</v>
      </c>
      <c r="P51" s="255">
        <f>P49+P50</f>
        <v>449</v>
      </c>
      <c r="Q51" s="255">
        <f>Q49+Q50</f>
        <v>458</v>
      </c>
      <c r="R51" s="256">
        <f>P51+Q51</f>
        <v>907</v>
      </c>
      <c r="S51" s="255">
        <f>S49+S50</f>
        <v>448</v>
      </c>
      <c r="T51" s="255">
        <f>T49+T50</f>
        <v>435</v>
      </c>
      <c r="U51" s="256">
        <f t="shared" si="64"/>
        <v>883</v>
      </c>
      <c r="V51" s="255">
        <f t="shared" ref="V51:AB51" si="76">V49+V50</f>
        <v>481</v>
      </c>
      <c r="W51" s="255">
        <f t="shared" si="76"/>
        <v>529</v>
      </c>
      <c r="X51" s="537">
        <f t="shared" si="76"/>
        <v>817</v>
      </c>
      <c r="Y51" s="255">
        <f t="shared" si="76"/>
        <v>462</v>
      </c>
      <c r="Z51" s="255">
        <f t="shared" si="76"/>
        <v>457</v>
      </c>
      <c r="AA51" s="256">
        <f t="shared" si="76"/>
        <v>919</v>
      </c>
      <c r="AB51" s="255">
        <f t="shared" si="76"/>
        <v>500</v>
      </c>
      <c r="AC51" s="255">
        <f>AC49+AC50</f>
        <v>550</v>
      </c>
      <c r="AD51" s="256">
        <f t="shared" si="65"/>
        <v>1050</v>
      </c>
      <c r="AE51" s="720">
        <f>AE49+AE50</f>
        <v>540.11235955056179</v>
      </c>
      <c r="AF51" s="723">
        <f>AF49+AF50</f>
        <v>500.56179775280896</v>
      </c>
      <c r="AG51" s="721">
        <f t="shared" si="66"/>
        <v>1040.6741573033707</v>
      </c>
      <c r="AH51" s="720">
        <f>AH49+AH50</f>
        <v>556.17977528089887</v>
      </c>
      <c r="AI51" s="720">
        <f>AI49+AI50</f>
        <v>530.22471910112358</v>
      </c>
      <c r="AJ51" s="721">
        <f t="shared" si="67"/>
        <v>1086.4044943820224</v>
      </c>
      <c r="AK51" s="722">
        <f>AK49+AK50</f>
        <v>583.37078651685397</v>
      </c>
      <c r="AL51" s="720">
        <f>AL49+AL50</f>
        <v>621.68539325842698</v>
      </c>
      <c r="AM51" s="256">
        <f t="shared" si="68"/>
        <v>1205.056179775281</v>
      </c>
      <c r="AN51" s="722">
        <f>AN49+AN50</f>
        <v>535.16853932584274</v>
      </c>
      <c r="AO51" s="720">
        <f>AO49+AO50</f>
        <v>561.12359550561803</v>
      </c>
      <c r="AP51" s="256">
        <f t="shared" si="69"/>
        <v>1096.2921348314608</v>
      </c>
      <c r="AQ51" s="255">
        <f>AQ49+AQ50</f>
        <v>641.07365599850925</v>
      </c>
      <c r="AR51" s="255">
        <f>AR49+AR50</f>
        <v>660.97868168810157</v>
      </c>
      <c r="AS51" s="256">
        <f t="shared" si="70"/>
        <v>1302.0523376866108</v>
      </c>
      <c r="AT51" s="255">
        <f>AT49+AT50</f>
        <v>681.51391138952101</v>
      </c>
      <c r="AU51" s="255">
        <f>AU49+AU50</f>
        <v>702.69355067259357</v>
      </c>
      <c r="AV51" s="256">
        <f t="shared" si="71"/>
        <v>1384.2074620621147</v>
      </c>
      <c r="AW51" s="255">
        <f>AW49+AW50</f>
        <v>724.54443055918523</v>
      </c>
      <c r="AX51" s="255">
        <f>AX49+AX50</f>
        <v>747.08167601215496</v>
      </c>
      <c r="AY51" s="256">
        <f t="shared" si="72"/>
        <v>1471.6261065713402</v>
      </c>
      <c r="AZ51" s="255">
        <f>AZ49+AZ50</f>
        <v>770.33399785123675</v>
      </c>
      <c r="BA51" s="255">
        <f>BA49+BA50</f>
        <v>794.31750215835075</v>
      </c>
      <c r="BB51" s="256">
        <f t="shared" si="73"/>
        <v>1564.6515000095874</v>
      </c>
      <c r="BC51" s="255">
        <f>BC49+BC50</f>
        <v>819.06292015207396</v>
      </c>
      <c r="BD51" s="255">
        <f>BD49+BD50</f>
        <v>844.58740513386147</v>
      </c>
      <c r="BE51" s="256">
        <f t="shared" si="74"/>
        <v>1663.6503252859354</v>
      </c>
    </row>
    <row r="52" spans="2:57" s="251" customFormat="1">
      <c r="B52" s="251" t="s">
        <v>2298</v>
      </c>
      <c r="C52" s="252">
        <v>-66</v>
      </c>
      <c r="D52" s="251">
        <v>-46</v>
      </c>
      <c r="E52" s="251">
        <f>F52-D52</f>
        <v>-52</v>
      </c>
      <c r="F52" s="252">
        <v>-98</v>
      </c>
      <c r="G52" s="251">
        <v>-70</v>
      </c>
      <c r="H52" s="251">
        <v>-83</v>
      </c>
      <c r="I52" s="252">
        <f t="shared" si="63"/>
        <v>-153</v>
      </c>
      <c r="J52" s="251">
        <v>-74</v>
      </c>
      <c r="K52" s="251">
        <f>L52-J52</f>
        <v>-60</v>
      </c>
      <c r="L52" s="252">
        <v>-134</v>
      </c>
      <c r="M52" s="251">
        <v>-60</v>
      </c>
      <c r="N52" s="251">
        <f>O52-M52</f>
        <v>-66</v>
      </c>
      <c r="O52" s="252">
        <v>-126</v>
      </c>
      <c r="P52" s="251">
        <v>-71</v>
      </c>
      <c r="Q52" s="251">
        <f>R52-P52</f>
        <v>-80</v>
      </c>
      <c r="R52" s="252">
        <v>-151</v>
      </c>
      <c r="S52" s="251">
        <v>-69</v>
      </c>
      <c r="T52" s="251">
        <f>-140-S52</f>
        <v>-71</v>
      </c>
      <c r="U52" s="252">
        <f t="shared" si="64"/>
        <v>-140</v>
      </c>
      <c r="V52" s="251">
        <v>-75</v>
      </c>
      <c r="W52" s="251">
        <f>-170-V52</f>
        <v>-95</v>
      </c>
      <c r="X52" s="536">
        <f>V52+W52</f>
        <v>-170</v>
      </c>
      <c r="Y52" s="251">
        <v>-94</v>
      </c>
      <c r="Z52" s="251">
        <f>-180-Y52</f>
        <v>-86</v>
      </c>
      <c r="AA52" s="252">
        <f>Y52+Z52</f>
        <v>-180</v>
      </c>
      <c r="AB52" s="251">
        <v>-98</v>
      </c>
      <c r="AC52" s="251">
        <f>-203-AB52</f>
        <v>-105</v>
      </c>
      <c r="AD52" s="252">
        <f t="shared" si="65"/>
        <v>-203</v>
      </c>
      <c r="AE52" s="718">
        <f>AC52/AC53*AE53</f>
        <v>-103.11235955056179</v>
      </c>
      <c r="AF52" s="719">
        <f>AE52/AE53*AF53</f>
        <v>-95.561797752808985</v>
      </c>
      <c r="AG52" s="713">
        <f t="shared" si="66"/>
        <v>-198.67415730337078</v>
      </c>
      <c r="AH52" s="712">
        <f>AF52/AF53*AH53</f>
        <v>-106.17977528089888</v>
      </c>
      <c r="AI52" s="712">
        <f>AH52/AH53*AI53</f>
        <v>-101.22471910112361</v>
      </c>
      <c r="AJ52" s="713">
        <f t="shared" si="67"/>
        <v>-207.40449438202251</v>
      </c>
      <c r="AK52" s="717">
        <f>AJ52/AJ53*AK53</f>
        <v>-111.37078651685395</v>
      </c>
      <c r="AL52" s="712">
        <f>AK52/AK53*AL53</f>
        <v>-118.68539325842698</v>
      </c>
      <c r="AM52" s="252">
        <f t="shared" si="68"/>
        <v>-230.05617977528095</v>
      </c>
      <c r="AN52" s="717">
        <f>AM52/AM53*AN53</f>
        <v>-102.16853932584272</v>
      </c>
      <c r="AO52" s="712">
        <f>AN52/AN53*AO53</f>
        <v>-107.123595505618</v>
      </c>
      <c r="AP52" s="252">
        <f t="shared" si="69"/>
        <v>-209.29213483146071</v>
      </c>
      <c r="AQ52" s="251">
        <f>AO52/AO51*AQ51</f>
        <v>-122.38678887244268</v>
      </c>
      <c r="AR52" s="251">
        <f>AQ52/AQ51*AR51</f>
        <v>-126.18683923136486</v>
      </c>
      <c r="AS52" s="252">
        <f t="shared" si="70"/>
        <v>-248.57362810380755</v>
      </c>
      <c r="AT52" s="251">
        <f>AR52/AR51*AT51</f>
        <v>-130.10720126527221</v>
      </c>
      <c r="AU52" s="251">
        <f>AT52/AT51*AU51</f>
        <v>-134.15058694658606</v>
      </c>
      <c r="AV52" s="252">
        <f t="shared" si="71"/>
        <v>-264.25778821185827</v>
      </c>
      <c r="AW52" s="251">
        <f>AU52/AU51*AW51</f>
        <v>-138.32211856129899</v>
      </c>
      <c r="AX52" s="251">
        <f>AW52/AW51*AX51</f>
        <v>-142.62468360232049</v>
      </c>
      <c r="AY52" s="252">
        <f t="shared" si="72"/>
        <v>-280.94680216361951</v>
      </c>
      <c r="AZ52" s="251">
        <f>AX52/AX51*AZ51</f>
        <v>-147.0637632261452</v>
      </c>
      <c r="BA52" s="251">
        <f>AZ52/AZ51*BA51</f>
        <v>-151.64243223023061</v>
      </c>
      <c r="BB52" s="252">
        <f t="shared" si="73"/>
        <v>-298.70619545637578</v>
      </c>
      <c r="BC52" s="251">
        <f>BA52/BA51*BC51</f>
        <v>-156.36655748357776</v>
      </c>
      <c r="BD52" s="251">
        <f>BC52/BC51*BD51</f>
        <v>-161.23941370737356</v>
      </c>
      <c r="BE52" s="252">
        <f t="shared" si="74"/>
        <v>-317.60597119095132</v>
      </c>
    </row>
    <row r="53" spans="2:57" s="251" customFormat="1">
      <c r="B53" s="255" t="s">
        <v>2299</v>
      </c>
      <c r="C53" s="256">
        <f t="shared" ref="C53:H53" si="77">C51+C52</f>
        <v>501</v>
      </c>
      <c r="D53" s="255">
        <f t="shared" si="77"/>
        <v>305</v>
      </c>
      <c r="E53" s="255">
        <f t="shared" si="77"/>
        <v>356</v>
      </c>
      <c r="F53" s="256">
        <f t="shared" si="77"/>
        <v>661</v>
      </c>
      <c r="G53" s="255">
        <f t="shared" si="77"/>
        <v>431</v>
      </c>
      <c r="H53" s="255">
        <f t="shared" si="77"/>
        <v>484</v>
      </c>
      <c r="I53" s="256">
        <f t="shared" si="63"/>
        <v>915</v>
      </c>
      <c r="J53" s="255">
        <f>J51+J52</f>
        <v>368</v>
      </c>
      <c r="K53" s="255">
        <f>K51+K52</f>
        <v>271</v>
      </c>
      <c r="L53" s="256">
        <f>J53+K53</f>
        <v>639</v>
      </c>
      <c r="M53" s="255">
        <f>M51+M52</f>
        <v>330</v>
      </c>
      <c r="N53" s="255">
        <f>N51+N52</f>
        <v>333</v>
      </c>
      <c r="O53" s="256">
        <f>M53+N53</f>
        <v>663</v>
      </c>
      <c r="P53" s="255">
        <f>P51+P52</f>
        <v>378</v>
      </c>
      <c r="Q53" s="255">
        <f>Q51+Q52</f>
        <v>378</v>
      </c>
      <c r="R53" s="256">
        <f>P53+Q53</f>
        <v>756</v>
      </c>
      <c r="S53" s="255">
        <f>S51+S52</f>
        <v>379</v>
      </c>
      <c r="T53" s="255">
        <f>T51+T52</f>
        <v>364</v>
      </c>
      <c r="U53" s="256">
        <f t="shared" si="64"/>
        <v>743</v>
      </c>
      <c r="V53" s="255">
        <f t="shared" ref="V53:AB53" si="78">V51+V52</f>
        <v>406</v>
      </c>
      <c r="W53" s="255">
        <f t="shared" si="78"/>
        <v>434</v>
      </c>
      <c r="X53" s="537">
        <f t="shared" si="78"/>
        <v>647</v>
      </c>
      <c r="Y53" s="255">
        <f t="shared" si="78"/>
        <v>368</v>
      </c>
      <c r="Z53" s="255">
        <f t="shared" si="78"/>
        <v>371</v>
      </c>
      <c r="AA53" s="256">
        <f t="shared" si="78"/>
        <v>739</v>
      </c>
      <c r="AB53" s="255">
        <f t="shared" si="78"/>
        <v>402</v>
      </c>
      <c r="AC53" s="255">
        <f>AC51+AC52</f>
        <v>445</v>
      </c>
      <c r="AD53" s="256">
        <f t="shared" si="65"/>
        <v>847</v>
      </c>
      <c r="AE53" s="255">
        <v>437</v>
      </c>
      <c r="AF53" s="286">
        <v>405</v>
      </c>
      <c r="AG53" s="256">
        <f t="shared" si="66"/>
        <v>842</v>
      </c>
      <c r="AH53" s="255">
        <v>450</v>
      </c>
      <c r="AI53" s="286">
        <v>429</v>
      </c>
      <c r="AJ53" s="256">
        <f t="shared" si="67"/>
        <v>879</v>
      </c>
      <c r="AK53" s="257">
        <v>472</v>
      </c>
      <c r="AL53" s="286">
        <f>975-AK53</f>
        <v>503</v>
      </c>
      <c r="AM53" s="256">
        <f t="shared" si="68"/>
        <v>975</v>
      </c>
      <c r="AN53" s="257">
        <v>433</v>
      </c>
      <c r="AO53" s="286">
        <f>887-AN53</f>
        <v>454</v>
      </c>
      <c r="AP53" s="256">
        <f t="shared" si="69"/>
        <v>887</v>
      </c>
      <c r="AQ53" s="255">
        <f>AQ51+AQ52</f>
        <v>518.68686712606655</v>
      </c>
      <c r="AR53" s="255">
        <f>AR51+AR52</f>
        <v>534.79184245673673</v>
      </c>
      <c r="AS53" s="256">
        <f t="shared" si="70"/>
        <v>1053.4787095828033</v>
      </c>
      <c r="AT53" s="255">
        <f>AT51+AT52</f>
        <v>551.40671012424878</v>
      </c>
      <c r="AU53" s="255">
        <f>AU51+AU52</f>
        <v>568.54296372600754</v>
      </c>
      <c r="AV53" s="256">
        <f t="shared" si="71"/>
        <v>1119.9496738502562</v>
      </c>
      <c r="AW53" s="255">
        <f>AW51+AW52</f>
        <v>586.22231199788621</v>
      </c>
      <c r="AX53" s="255">
        <f>AX51+AX52</f>
        <v>604.45699240983447</v>
      </c>
      <c r="AY53" s="256">
        <f t="shared" si="72"/>
        <v>1190.6793044077208</v>
      </c>
      <c r="AZ53" s="255">
        <f>AZ51+AZ52</f>
        <v>623.27023462509158</v>
      </c>
      <c r="BA53" s="255">
        <f>BA51+BA52</f>
        <v>642.67506992812014</v>
      </c>
      <c r="BB53" s="256">
        <f t="shared" si="73"/>
        <v>1265.9453045532118</v>
      </c>
      <c r="BC53" s="255">
        <f>BC51+BC52</f>
        <v>662.69636266849625</v>
      </c>
      <c r="BD53" s="255">
        <f>BD51+BD52</f>
        <v>683.34799142648785</v>
      </c>
      <c r="BE53" s="256">
        <f t="shared" si="74"/>
        <v>1346.0443540949841</v>
      </c>
    </row>
    <row r="54" spans="2:57" s="251" customFormat="1">
      <c r="B54" s="251" t="s">
        <v>2300</v>
      </c>
      <c r="C54" s="252">
        <v>-242</v>
      </c>
      <c r="D54" s="251">
        <v>-140</v>
      </c>
      <c r="E54" s="251">
        <f>F54-D54</f>
        <v>-170</v>
      </c>
      <c r="F54" s="252">
        <v>-310</v>
      </c>
      <c r="G54" s="251">
        <v>-191</v>
      </c>
      <c r="H54" s="251">
        <v>-178</v>
      </c>
      <c r="I54" s="252">
        <f t="shared" si="63"/>
        <v>-369</v>
      </c>
      <c r="J54" s="251">
        <v>-180</v>
      </c>
      <c r="K54" s="251">
        <f>L54-J54</f>
        <v>-173</v>
      </c>
      <c r="L54" s="252">
        <v>-353</v>
      </c>
      <c r="M54" s="251">
        <v>-170</v>
      </c>
      <c r="N54" s="251">
        <f>O54-M54</f>
        <v>-188</v>
      </c>
      <c r="O54" s="252">
        <v>-358</v>
      </c>
      <c r="P54" s="251">
        <v>-190</v>
      </c>
      <c r="Q54" s="251">
        <f>R54-P54</f>
        <v>-201</v>
      </c>
      <c r="R54" s="252">
        <v>-391</v>
      </c>
      <c r="S54" s="251">
        <v>-224</v>
      </c>
      <c r="T54" s="251">
        <f>-439-S54</f>
        <v>-215</v>
      </c>
      <c r="U54" s="252">
        <f t="shared" si="64"/>
        <v>-439</v>
      </c>
      <c r="V54" s="251">
        <v>-235</v>
      </c>
      <c r="W54" s="251">
        <v>-241</v>
      </c>
      <c r="X54" s="536">
        <f>V54+W54</f>
        <v>-476</v>
      </c>
      <c r="Y54" s="576">
        <v>-227</v>
      </c>
      <c r="Z54" s="251">
        <v>-241</v>
      </c>
      <c r="AA54" s="252">
        <f>Y54+Z54</f>
        <v>-468</v>
      </c>
      <c r="AB54" s="251">
        <v>-257</v>
      </c>
      <c r="AC54" s="251">
        <f>-526-AB54</f>
        <v>-269</v>
      </c>
      <c r="AD54" s="252">
        <f t="shared" si="65"/>
        <v>-526</v>
      </c>
      <c r="AE54" s="251">
        <v>-285</v>
      </c>
      <c r="AF54" s="260">
        <v>-287</v>
      </c>
      <c r="AG54" s="252">
        <f t="shared" si="66"/>
        <v>-572</v>
      </c>
      <c r="AH54" s="251">
        <v>-284</v>
      </c>
      <c r="AI54" s="260">
        <v>-280</v>
      </c>
      <c r="AJ54" s="252">
        <f t="shared" si="67"/>
        <v>-564</v>
      </c>
      <c r="AK54" s="259">
        <v>-289</v>
      </c>
      <c r="AL54" s="260">
        <f>-622-AK54</f>
        <v>-333</v>
      </c>
      <c r="AM54" s="252">
        <f t="shared" si="68"/>
        <v>-622</v>
      </c>
      <c r="AN54" s="259">
        <v>-296</v>
      </c>
      <c r="AO54" s="260">
        <f>-597-AN54</f>
        <v>-301</v>
      </c>
      <c r="AP54" s="252">
        <f t="shared" si="69"/>
        <v>-597</v>
      </c>
      <c r="AQ54" s="281">
        <f>AO54*1.04</f>
        <v>-313.04000000000002</v>
      </c>
      <c r="AR54" s="281">
        <f>AQ54*1.04</f>
        <v>-325.56160000000006</v>
      </c>
      <c r="AS54" s="252">
        <f t="shared" si="70"/>
        <v>-638.60160000000008</v>
      </c>
      <c r="AT54" s="281">
        <f>AR54*1.04</f>
        <v>-338.58406400000007</v>
      </c>
      <c r="AU54" s="281">
        <f>AT54*1.04</f>
        <v>-352.12742656000006</v>
      </c>
      <c r="AV54" s="252">
        <f t="shared" si="71"/>
        <v>-690.71149056000013</v>
      </c>
      <c r="AW54" s="281">
        <f>AU54*1.04</f>
        <v>-366.21252362240006</v>
      </c>
      <c r="AX54" s="281">
        <f>AW54*1.04</f>
        <v>-380.86102456729606</v>
      </c>
      <c r="AY54" s="252">
        <f t="shared" si="72"/>
        <v>-747.07354818969611</v>
      </c>
      <c r="AZ54" s="281">
        <f>AX54*1.04</f>
        <v>-396.09546554998792</v>
      </c>
      <c r="BA54" s="281">
        <f>AZ54*1.04</f>
        <v>-411.93928417198742</v>
      </c>
      <c r="BB54" s="252">
        <f t="shared" si="73"/>
        <v>-808.03474972197534</v>
      </c>
      <c r="BC54" s="281">
        <f>BA54*1.04</f>
        <v>-428.41685553886691</v>
      </c>
      <c r="BD54" s="281">
        <f>BC54*1.04</f>
        <v>-445.55352976042161</v>
      </c>
      <c r="BE54" s="252">
        <f t="shared" si="74"/>
        <v>-873.97038529928852</v>
      </c>
    </row>
    <row r="55" spans="2:57" s="251" customFormat="1">
      <c r="B55" s="255" t="s">
        <v>2301</v>
      </c>
      <c r="C55" s="256">
        <f t="shared" ref="C55:AM55" si="79">C52+C54</f>
        <v>-308</v>
      </c>
      <c r="D55" s="255">
        <f t="shared" si="79"/>
        <v>-186</v>
      </c>
      <c r="E55" s="255">
        <f t="shared" si="79"/>
        <v>-222</v>
      </c>
      <c r="F55" s="256">
        <f t="shared" si="79"/>
        <v>-408</v>
      </c>
      <c r="G55" s="255">
        <f t="shared" si="79"/>
        <v>-261</v>
      </c>
      <c r="H55" s="255">
        <f t="shared" si="79"/>
        <v>-261</v>
      </c>
      <c r="I55" s="256">
        <f t="shared" si="79"/>
        <v>-522</v>
      </c>
      <c r="J55" s="255">
        <f t="shared" si="79"/>
        <v>-254</v>
      </c>
      <c r="K55" s="255">
        <f t="shared" si="79"/>
        <v>-233</v>
      </c>
      <c r="L55" s="256">
        <f t="shared" si="79"/>
        <v>-487</v>
      </c>
      <c r="M55" s="255">
        <f>M52+M54</f>
        <v>-230</v>
      </c>
      <c r="N55" s="255">
        <f t="shared" si="79"/>
        <v>-254</v>
      </c>
      <c r="O55" s="256">
        <f t="shared" si="79"/>
        <v>-484</v>
      </c>
      <c r="P55" s="255">
        <f>P52+P54</f>
        <v>-261</v>
      </c>
      <c r="Q55" s="255">
        <f t="shared" si="79"/>
        <v>-281</v>
      </c>
      <c r="R55" s="256">
        <f t="shared" si="79"/>
        <v>-542</v>
      </c>
      <c r="S55" s="255">
        <f>S52+S54</f>
        <v>-293</v>
      </c>
      <c r="T55" s="255">
        <f t="shared" si="79"/>
        <v>-286</v>
      </c>
      <c r="U55" s="256">
        <f t="shared" si="79"/>
        <v>-579</v>
      </c>
      <c r="V55" s="255">
        <f>V52+V54</f>
        <v>-310</v>
      </c>
      <c r="W55" s="255">
        <f t="shared" si="79"/>
        <v>-336</v>
      </c>
      <c r="X55" s="537">
        <f>X52+X54</f>
        <v>-646</v>
      </c>
      <c r="Y55" s="255">
        <f t="shared" si="79"/>
        <v>-321</v>
      </c>
      <c r="Z55" s="255">
        <f t="shared" si="79"/>
        <v>-327</v>
      </c>
      <c r="AA55" s="256">
        <f>AA52+AA54</f>
        <v>-648</v>
      </c>
      <c r="AB55" s="255">
        <f t="shared" si="79"/>
        <v>-355</v>
      </c>
      <c r="AC55" s="255">
        <f>AC52+AC54</f>
        <v>-374</v>
      </c>
      <c r="AD55" s="256">
        <f t="shared" si="79"/>
        <v>-729</v>
      </c>
      <c r="AE55" s="720">
        <f t="shared" si="79"/>
        <v>-388.11235955056179</v>
      </c>
      <c r="AF55" s="723">
        <f t="shared" si="79"/>
        <v>-382.56179775280896</v>
      </c>
      <c r="AG55" s="721">
        <f t="shared" si="79"/>
        <v>-770.67415730337075</v>
      </c>
      <c r="AH55" s="720">
        <f>AH52+AH54</f>
        <v>-390.17977528089887</v>
      </c>
      <c r="AI55" s="723">
        <f t="shared" si="79"/>
        <v>-381.22471910112358</v>
      </c>
      <c r="AJ55" s="721">
        <f t="shared" si="79"/>
        <v>-771.40449438202245</v>
      </c>
      <c r="AK55" s="722">
        <f>AK52+AK54</f>
        <v>-400.37078651685397</v>
      </c>
      <c r="AL55" s="723">
        <f>AL52+AL54</f>
        <v>-451.68539325842698</v>
      </c>
      <c r="AM55" s="256">
        <f t="shared" si="79"/>
        <v>-852.05617977528095</v>
      </c>
      <c r="AN55" s="722">
        <f>AN52+AN54</f>
        <v>-398.16853932584274</v>
      </c>
      <c r="AO55" s="723">
        <f>AO52+AO54</f>
        <v>-408.12359550561803</v>
      </c>
      <c r="AP55" s="256">
        <f t="shared" ref="AP55:BB55" si="80">AP52+AP54</f>
        <v>-806.29213483146077</v>
      </c>
      <c r="AQ55" s="255">
        <f t="shared" si="80"/>
        <v>-435.42678887244267</v>
      </c>
      <c r="AR55" s="255">
        <f t="shared" si="80"/>
        <v>-451.7484392313649</v>
      </c>
      <c r="AS55" s="256">
        <f t="shared" si="80"/>
        <v>-887.17522810380763</v>
      </c>
      <c r="AT55" s="255">
        <f t="shared" si="80"/>
        <v>-468.69126526527225</v>
      </c>
      <c r="AU55" s="255">
        <f t="shared" si="80"/>
        <v>-486.27801350658615</v>
      </c>
      <c r="AV55" s="256">
        <f t="shared" si="80"/>
        <v>-954.9692787718584</v>
      </c>
      <c r="AW55" s="255">
        <f t="shared" si="80"/>
        <v>-504.53464218369902</v>
      </c>
      <c r="AX55" s="255">
        <f t="shared" si="80"/>
        <v>-523.4857081696166</v>
      </c>
      <c r="AY55" s="256">
        <f t="shared" si="80"/>
        <v>-1028.0203503533157</v>
      </c>
      <c r="AZ55" s="255">
        <f t="shared" si="80"/>
        <v>-543.15922877613309</v>
      </c>
      <c r="BA55" s="255">
        <f t="shared" si="80"/>
        <v>-563.58171640221804</v>
      </c>
      <c r="BB55" s="256">
        <f t="shared" si="80"/>
        <v>-1106.740945178351</v>
      </c>
      <c r="BC55" s="255">
        <f>BC52+BC54</f>
        <v>-584.78341302244462</v>
      </c>
      <c r="BD55" s="255">
        <f>BD52+BD54</f>
        <v>-606.79294346779511</v>
      </c>
      <c r="BE55" s="256">
        <f>BE52+BE54</f>
        <v>-1191.57635649024</v>
      </c>
    </row>
    <row r="56" spans="2:57" s="251" customFormat="1">
      <c r="B56" s="255" t="s">
        <v>2302</v>
      </c>
      <c r="C56" s="256">
        <f t="shared" ref="C56:AF56" si="81">C51+C55</f>
        <v>259</v>
      </c>
      <c r="D56" s="255">
        <f t="shared" si="81"/>
        <v>165</v>
      </c>
      <c r="E56" s="255">
        <f t="shared" si="81"/>
        <v>186</v>
      </c>
      <c r="F56" s="256">
        <f t="shared" si="81"/>
        <v>351</v>
      </c>
      <c r="G56" s="255">
        <f t="shared" si="81"/>
        <v>240</v>
      </c>
      <c r="H56" s="255">
        <f t="shared" si="81"/>
        <v>306</v>
      </c>
      <c r="I56" s="256">
        <f t="shared" si="81"/>
        <v>546</v>
      </c>
      <c r="J56" s="255">
        <f t="shared" si="81"/>
        <v>188</v>
      </c>
      <c r="K56" s="255">
        <f t="shared" si="81"/>
        <v>98</v>
      </c>
      <c r="L56" s="256">
        <f t="shared" si="81"/>
        <v>286</v>
      </c>
      <c r="M56" s="255">
        <f>M51+M55</f>
        <v>160</v>
      </c>
      <c r="N56" s="255">
        <f t="shared" si="81"/>
        <v>145</v>
      </c>
      <c r="O56" s="256">
        <f t="shared" si="81"/>
        <v>305</v>
      </c>
      <c r="P56" s="255">
        <f>P51+P55</f>
        <v>188</v>
      </c>
      <c r="Q56" s="255">
        <f t="shared" si="81"/>
        <v>177</v>
      </c>
      <c r="R56" s="256">
        <f t="shared" si="81"/>
        <v>365</v>
      </c>
      <c r="S56" s="255">
        <f>S51+S55</f>
        <v>155</v>
      </c>
      <c r="T56" s="255">
        <f>T51+T55</f>
        <v>149</v>
      </c>
      <c r="U56" s="256">
        <f t="shared" si="81"/>
        <v>304</v>
      </c>
      <c r="V56" s="255">
        <f>V51+V55</f>
        <v>171</v>
      </c>
      <c r="W56" s="255">
        <f t="shared" si="81"/>
        <v>193</v>
      </c>
      <c r="X56" s="537">
        <f t="shared" si="81"/>
        <v>171</v>
      </c>
      <c r="Y56" s="255">
        <f t="shared" si="81"/>
        <v>141</v>
      </c>
      <c r="Z56" s="255">
        <f t="shared" si="81"/>
        <v>130</v>
      </c>
      <c r="AA56" s="256">
        <f t="shared" si="81"/>
        <v>271</v>
      </c>
      <c r="AB56" s="255">
        <f t="shared" si="81"/>
        <v>145</v>
      </c>
      <c r="AC56" s="255">
        <f>AC51+AC55</f>
        <v>176</v>
      </c>
      <c r="AD56" s="256">
        <f>AD51+AD55</f>
        <v>321</v>
      </c>
      <c r="AE56" s="255">
        <f t="shared" si="81"/>
        <v>152</v>
      </c>
      <c r="AF56" s="286">
        <f t="shared" si="81"/>
        <v>118</v>
      </c>
      <c r="AG56" s="256">
        <f t="shared" ref="AG56:BB56" si="82">AG51+AG55</f>
        <v>270</v>
      </c>
      <c r="AH56" s="255">
        <f t="shared" si="82"/>
        <v>166</v>
      </c>
      <c r="AI56" s="286">
        <f t="shared" si="82"/>
        <v>149</v>
      </c>
      <c r="AJ56" s="256">
        <f t="shared" si="82"/>
        <v>315</v>
      </c>
      <c r="AK56" s="257">
        <f t="shared" si="82"/>
        <v>183</v>
      </c>
      <c r="AL56" s="286">
        <f t="shared" si="82"/>
        <v>170</v>
      </c>
      <c r="AM56" s="256">
        <f t="shared" si="82"/>
        <v>353</v>
      </c>
      <c r="AN56" s="257">
        <f>AN51+AN55</f>
        <v>137</v>
      </c>
      <c r="AO56" s="286">
        <f>AO51+AO55</f>
        <v>153</v>
      </c>
      <c r="AP56" s="256">
        <f t="shared" si="82"/>
        <v>290</v>
      </c>
      <c r="AQ56" s="255">
        <f t="shared" si="82"/>
        <v>205.64686712606658</v>
      </c>
      <c r="AR56" s="255">
        <f t="shared" si="82"/>
        <v>209.23024245673668</v>
      </c>
      <c r="AS56" s="256">
        <f t="shared" si="82"/>
        <v>414.8771095828032</v>
      </c>
      <c r="AT56" s="255">
        <f t="shared" si="82"/>
        <v>212.82264612424876</v>
      </c>
      <c r="AU56" s="255">
        <f t="shared" si="82"/>
        <v>216.41553716600743</v>
      </c>
      <c r="AV56" s="256">
        <f t="shared" si="82"/>
        <v>429.2381832902563</v>
      </c>
      <c r="AW56" s="255">
        <f t="shared" si="82"/>
        <v>220.00978837548621</v>
      </c>
      <c r="AX56" s="255">
        <f t="shared" si="82"/>
        <v>223.59596784253836</v>
      </c>
      <c r="AY56" s="256">
        <f t="shared" si="82"/>
        <v>443.60575621802445</v>
      </c>
      <c r="AZ56" s="255">
        <f t="shared" si="82"/>
        <v>227.17476907510365</v>
      </c>
      <c r="BA56" s="255">
        <f t="shared" si="82"/>
        <v>230.73578575613271</v>
      </c>
      <c r="BB56" s="256">
        <f t="shared" si="82"/>
        <v>457.91055483123637</v>
      </c>
      <c r="BC56" s="255">
        <f>BC51+BC55</f>
        <v>234.27950712962934</v>
      </c>
      <c r="BD56" s="255">
        <f>BD51+BD55</f>
        <v>237.79446166606635</v>
      </c>
      <c r="BE56" s="256">
        <f>BE51+BE55</f>
        <v>472.07396879569546</v>
      </c>
    </row>
    <row r="57" spans="2:57" s="251" customFormat="1">
      <c r="B57" s="251" t="s">
        <v>77</v>
      </c>
      <c r="C57" s="252">
        <v>-51</v>
      </c>
      <c r="D57" s="251">
        <v>-48</v>
      </c>
      <c r="E57" s="251">
        <f>F57-D57</f>
        <v>-60</v>
      </c>
      <c r="F57" s="252">
        <v>-108</v>
      </c>
      <c r="G57" s="251">
        <v>-68</v>
      </c>
      <c r="H57" s="251">
        <v>-68</v>
      </c>
      <c r="I57" s="252">
        <f>G57+H57</f>
        <v>-136</v>
      </c>
      <c r="J57" s="251">
        <v>-48</v>
      </c>
      <c r="K57" s="251">
        <f>L57-J57</f>
        <v>-31</v>
      </c>
      <c r="L57" s="252">
        <v>-79</v>
      </c>
      <c r="M57" s="251">
        <v>-39</v>
      </c>
      <c r="N57" s="251">
        <f>O57-M57</f>
        <v>-30</v>
      </c>
      <c r="O57" s="252">
        <v>-69</v>
      </c>
      <c r="P57" s="251">
        <v>-46</v>
      </c>
      <c r="Q57" s="251">
        <f>R57-P57</f>
        <v>-44</v>
      </c>
      <c r="R57" s="252">
        <v>-90</v>
      </c>
      <c r="S57" s="251">
        <v>-32</v>
      </c>
      <c r="T57" s="251">
        <f>-70-S57</f>
        <v>-38</v>
      </c>
      <c r="U57" s="252">
        <f>S57+T57</f>
        <v>-70</v>
      </c>
      <c r="V57" s="395">
        <v>-32</v>
      </c>
      <c r="W57" s="395">
        <f>-81-V57</f>
        <v>-49</v>
      </c>
      <c r="X57" s="536">
        <v>-55</v>
      </c>
      <c r="Y57" s="576">
        <v>-21</v>
      </c>
      <c r="Z57" s="576">
        <f>-42-Y57</f>
        <v>-21</v>
      </c>
      <c r="AA57" s="252">
        <v>-42</v>
      </c>
      <c r="AB57" s="251">
        <v>-31</v>
      </c>
      <c r="AC57" s="251">
        <f>-61-AB57</f>
        <v>-30</v>
      </c>
      <c r="AD57" s="252">
        <f>AB57+AC57</f>
        <v>-61</v>
      </c>
      <c r="AE57" s="251">
        <v>-29</v>
      </c>
      <c r="AF57" s="260">
        <v>-20</v>
      </c>
      <c r="AG57" s="252">
        <f>AE57+AF57</f>
        <v>-49</v>
      </c>
      <c r="AH57" s="251">
        <v>-37</v>
      </c>
      <c r="AI57" s="260">
        <v>-44</v>
      </c>
      <c r="AJ57" s="252">
        <f>AH57+AI57</f>
        <v>-81</v>
      </c>
      <c r="AK57" s="259">
        <v>-36</v>
      </c>
      <c r="AL57" s="260">
        <f>-68-AK57</f>
        <v>-32</v>
      </c>
      <c r="AM57" s="252">
        <f>AK57+AL57</f>
        <v>-68</v>
      </c>
      <c r="AN57" s="259">
        <v>-31</v>
      </c>
      <c r="AO57" s="260">
        <f>-68-AN57</f>
        <v>-37</v>
      </c>
      <c r="AP57" s="252">
        <f>AN57+AO57</f>
        <v>-68</v>
      </c>
      <c r="AQ57" s="281">
        <f>-AQ56*0.18</f>
        <v>-37.016436082691982</v>
      </c>
      <c r="AR57" s="281">
        <f>-AR56*0.18</f>
        <v>-37.661443642212603</v>
      </c>
      <c r="AS57" s="252">
        <f>AQ57+AR57</f>
        <v>-74.677879724904585</v>
      </c>
      <c r="AT57" s="281">
        <f>-AT56*0.18</f>
        <v>-38.308076302364775</v>
      </c>
      <c r="AU57" s="281">
        <f>-AU56*0.18</f>
        <v>-38.954796689881334</v>
      </c>
      <c r="AV57" s="252">
        <f>AT57+AU57</f>
        <v>-77.262872992246116</v>
      </c>
      <c r="AW57" s="281">
        <f>-AW56*0.18</f>
        <v>-39.601761907587516</v>
      </c>
      <c r="AX57" s="281">
        <f>-AX56*0.18</f>
        <v>-40.247274211656901</v>
      </c>
      <c r="AY57" s="252">
        <f>AW57+AX57</f>
        <v>-79.849036119244417</v>
      </c>
      <c r="AZ57" s="281">
        <f>-AZ56*0.18</f>
        <v>-40.891458433518658</v>
      </c>
      <c r="BA57" s="281">
        <f>-BA56*0.18</f>
        <v>-41.532441436103888</v>
      </c>
      <c r="BB57" s="252">
        <f>AZ57+BA57</f>
        <v>-82.423899869622545</v>
      </c>
      <c r="BC57" s="281">
        <f>-BC56*0.18</f>
        <v>-42.170311283333277</v>
      </c>
      <c r="BD57" s="281">
        <f>-BD56*0.18</f>
        <v>-42.803003099891939</v>
      </c>
      <c r="BE57" s="252">
        <f>BC57+BD57</f>
        <v>-84.973314383225215</v>
      </c>
    </row>
    <row r="58" spans="2:57" s="251" customFormat="1">
      <c r="B58" s="255" t="s">
        <v>2303</v>
      </c>
      <c r="C58" s="256">
        <f t="shared" ref="C58:AM58" si="83">C56+C57</f>
        <v>208</v>
      </c>
      <c r="D58" s="255">
        <f t="shared" si="83"/>
        <v>117</v>
      </c>
      <c r="E58" s="255">
        <f t="shared" si="83"/>
        <v>126</v>
      </c>
      <c r="F58" s="256">
        <f t="shared" si="83"/>
        <v>243</v>
      </c>
      <c r="G58" s="255">
        <f t="shared" si="83"/>
        <v>172</v>
      </c>
      <c r="H58" s="255">
        <f t="shared" si="83"/>
        <v>238</v>
      </c>
      <c r="I58" s="256">
        <f t="shared" si="83"/>
        <v>410</v>
      </c>
      <c r="J58" s="255">
        <f t="shared" si="83"/>
        <v>140</v>
      </c>
      <c r="K58" s="255">
        <f>K56+K57</f>
        <v>67</v>
      </c>
      <c r="L58" s="256">
        <f t="shared" si="83"/>
        <v>207</v>
      </c>
      <c r="M58" s="255">
        <f>M56+M57</f>
        <v>121</v>
      </c>
      <c r="N58" s="255">
        <f>N56+N57</f>
        <v>115</v>
      </c>
      <c r="O58" s="256">
        <f t="shared" si="83"/>
        <v>236</v>
      </c>
      <c r="P58" s="255">
        <f>P56+P57</f>
        <v>142</v>
      </c>
      <c r="Q58" s="255">
        <f t="shared" si="83"/>
        <v>133</v>
      </c>
      <c r="R58" s="256">
        <f>R56+R57</f>
        <v>275</v>
      </c>
      <c r="S58" s="255">
        <f t="shared" si="83"/>
        <v>123</v>
      </c>
      <c r="T58" s="255">
        <f t="shared" si="83"/>
        <v>111</v>
      </c>
      <c r="U58" s="256">
        <f>U56+U57</f>
        <v>234</v>
      </c>
      <c r="V58" s="255">
        <f t="shared" si="83"/>
        <v>139</v>
      </c>
      <c r="W58" s="255">
        <f t="shared" si="83"/>
        <v>144</v>
      </c>
      <c r="X58" s="537">
        <f t="shared" si="83"/>
        <v>116</v>
      </c>
      <c r="Y58" s="255">
        <f t="shared" si="83"/>
        <v>120</v>
      </c>
      <c r="Z58" s="255">
        <f t="shared" si="83"/>
        <v>109</v>
      </c>
      <c r="AA58" s="256">
        <f t="shared" si="83"/>
        <v>229</v>
      </c>
      <c r="AB58" s="255">
        <f t="shared" si="83"/>
        <v>114</v>
      </c>
      <c r="AC58" s="255">
        <f>AC56+AC57</f>
        <v>146</v>
      </c>
      <c r="AD58" s="256">
        <f t="shared" si="83"/>
        <v>260</v>
      </c>
      <c r="AE58" s="255">
        <f t="shared" si="83"/>
        <v>123</v>
      </c>
      <c r="AF58" s="286">
        <f t="shared" si="83"/>
        <v>98</v>
      </c>
      <c r="AG58" s="256">
        <f t="shared" si="83"/>
        <v>221</v>
      </c>
      <c r="AH58" s="255">
        <f>AH56+AH57</f>
        <v>129</v>
      </c>
      <c r="AI58" s="286">
        <f t="shared" si="83"/>
        <v>105</v>
      </c>
      <c r="AJ58" s="256">
        <f t="shared" si="83"/>
        <v>234</v>
      </c>
      <c r="AK58" s="257">
        <f>AK56+AK57</f>
        <v>147</v>
      </c>
      <c r="AL58" s="286">
        <f>AL56+AL57</f>
        <v>138</v>
      </c>
      <c r="AM58" s="256">
        <f t="shared" si="83"/>
        <v>285</v>
      </c>
      <c r="AN58" s="257">
        <f>AN56+AN57</f>
        <v>106</v>
      </c>
      <c r="AO58" s="286">
        <f>AO56+AO57</f>
        <v>116</v>
      </c>
      <c r="AP58" s="256">
        <f t="shared" ref="AP58:BB58" si="84">AP56+AP57</f>
        <v>222</v>
      </c>
      <c r="AQ58" s="255">
        <f t="shared" si="84"/>
        <v>168.63043104337459</v>
      </c>
      <c r="AR58" s="255">
        <f t="shared" si="84"/>
        <v>171.56879881452409</v>
      </c>
      <c r="AS58" s="256">
        <f t="shared" si="84"/>
        <v>340.19922985789862</v>
      </c>
      <c r="AT58" s="255">
        <f t="shared" si="84"/>
        <v>174.51456982188398</v>
      </c>
      <c r="AU58" s="255">
        <f t="shared" si="84"/>
        <v>177.46074047612609</v>
      </c>
      <c r="AV58" s="256">
        <f t="shared" si="84"/>
        <v>351.97531029801019</v>
      </c>
      <c r="AW58" s="255">
        <f t="shared" si="84"/>
        <v>180.40802646789871</v>
      </c>
      <c r="AX58" s="255">
        <f t="shared" si="84"/>
        <v>183.34869363088146</v>
      </c>
      <c r="AY58" s="256">
        <f t="shared" si="84"/>
        <v>363.75672009878002</v>
      </c>
      <c r="AZ58" s="255">
        <f t="shared" si="84"/>
        <v>186.28331064158499</v>
      </c>
      <c r="BA58" s="255">
        <f t="shared" si="84"/>
        <v>189.20334432002883</v>
      </c>
      <c r="BB58" s="256">
        <f t="shared" si="84"/>
        <v>375.48665496161379</v>
      </c>
      <c r="BC58" s="255">
        <f>BC56+BC57</f>
        <v>192.10919584629607</v>
      </c>
      <c r="BD58" s="255">
        <f>BD56+BD57</f>
        <v>194.9914585661744</v>
      </c>
      <c r="BE58" s="256">
        <f>BE56+BE57</f>
        <v>387.10065441247025</v>
      </c>
    </row>
    <row r="59" spans="2:57" s="251" customFormat="1">
      <c r="B59" s="251" t="s">
        <v>2304</v>
      </c>
      <c r="C59" s="252"/>
      <c r="F59" s="252"/>
      <c r="I59" s="252"/>
      <c r="K59" s="282"/>
      <c r="L59" s="283"/>
      <c r="M59" s="284"/>
      <c r="N59" s="284"/>
      <c r="O59" s="252"/>
      <c r="P59" s="284"/>
      <c r="Q59" s="284"/>
      <c r="R59" s="252"/>
      <c r="S59" s="284"/>
      <c r="T59" s="284"/>
      <c r="U59" s="285"/>
      <c r="V59" s="284"/>
      <c r="X59" s="538"/>
      <c r="AA59" s="540"/>
      <c r="AD59" s="252"/>
      <c r="AF59" s="260"/>
      <c r="AG59" s="252"/>
      <c r="AI59" s="260"/>
      <c r="AJ59" s="252"/>
      <c r="AK59" s="259"/>
      <c r="AM59" s="252"/>
      <c r="AN59" s="259"/>
      <c r="AP59" s="252"/>
      <c r="AS59" s="252"/>
      <c r="AV59" s="252"/>
      <c r="AY59" s="252"/>
      <c r="BB59" s="252"/>
      <c r="BE59" s="252"/>
    </row>
    <row r="60" spans="2:57" s="251" customFormat="1">
      <c r="B60" s="251" t="s">
        <v>2305</v>
      </c>
      <c r="C60" s="252"/>
      <c r="F60" s="252"/>
      <c r="I60" s="252"/>
      <c r="L60" s="252"/>
      <c r="O60" s="252"/>
      <c r="R60" s="252"/>
      <c r="U60" s="252"/>
      <c r="X60" s="536"/>
      <c r="AA60" s="285"/>
      <c r="AD60" s="285"/>
      <c r="AF60" s="260"/>
      <c r="AG60" s="252"/>
      <c r="AI60" s="260"/>
      <c r="AJ60" s="252"/>
      <c r="AM60" s="252"/>
      <c r="AP60" s="252"/>
      <c r="AS60" s="252"/>
      <c r="AV60" s="252"/>
      <c r="AY60" s="252"/>
      <c r="BB60" s="252"/>
      <c r="BE60" s="252"/>
    </row>
    <row r="61" spans="2:57" s="251" customFormat="1">
      <c r="B61" s="251" t="s">
        <v>2306</v>
      </c>
      <c r="C61" s="252">
        <v>19</v>
      </c>
      <c r="D61" s="251">
        <v>5</v>
      </c>
      <c r="E61" s="251">
        <f>F61-D61</f>
        <v>10</v>
      </c>
      <c r="F61" s="252">
        <v>15</v>
      </c>
      <c r="G61" s="251">
        <v>0</v>
      </c>
      <c r="H61" s="251">
        <v>3</v>
      </c>
      <c r="I61" s="252">
        <f>G61+H61</f>
        <v>3</v>
      </c>
      <c r="J61" s="251">
        <v>-52</v>
      </c>
      <c r="K61" s="251">
        <f>L61-J61</f>
        <v>-62</v>
      </c>
      <c r="L61" s="252">
        <v>-114</v>
      </c>
      <c r="M61" s="251">
        <v>16</v>
      </c>
      <c r="N61" s="251">
        <v>14</v>
      </c>
      <c r="O61" s="252">
        <f>M61+N61</f>
        <v>30</v>
      </c>
      <c r="P61" s="251">
        <v>13</v>
      </c>
      <c r="Q61" s="251">
        <f>+R61-P61</f>
        <v>-7</v>
      </c>
      <c r="R61" s="252">
        <v>6</v>
      </c>
      <c r="S61" s="259">
        <v>5.4</v>
      </c>
      <c r="T61" s="251">
        <f>11-S61</f>
        <v>5.6</v>
      </c>
      <c r="U61" s="252">
        <f>S61+T61</f>
        <v>11</v>
      </c>
      <c r="V61" s="395">
        <v>13</v>
      </c>
      <c r="W61" s="395">
        <v>16</v>
      </c>
      <c r="X61" s="536">
        <v>4</v>
      </c>
      <c r="Y61" s="576">
        <v>2</v>
      </c>
      <c r="Z61" s="576">
        <v>7</v>
      </c>
      <c r="AA61" s="252">
        <v>9</v>
      </c>
      <c r="AB61" s="251">
        <v>-1</v>
      </c>
      <c r="AC61" s="251">
        <v>28</v>
      </c>
      <c r="AD61" s="285">
        <f>+AB61+AC61</f>
        <v>27</v>
      </c>
      <c r="AE61" s="251">
        <v>2</v>
      </c>
      <c r="AF61" s="260">
        <f>3-AE61</f>
        <v>1</v>
      </c>
      <c r="AG61" s="252">
        <f>AF61+AE61</f>
        <v>3</v>
      </c>
      <c r="AH61" s="251">
        <v>-5</v>
      </c>
      <c r="AI61" s="260">
        <v>-2</v>
      </c>
      <c r="AJ61" s="252">
        <f>AI61+AH61</f>
        <v>-7</v>
      </c>
      <c r="AK61" s="251">
        <v>2</v>
      </c>
      <c r="AL61" s="260">
        <f>7-AK61</f>
        <v>5</v>
      </c>
      <c r="AM61" s="252">
        <f>AL61+AK61</f>
        <v>7</v>
      </c>
      <c r="AN61" s="251">
        <v>9</v>
      </c>
      <c r="AO61" s="260">
        <f>18-AN61</f>
        <v>9</v>
      </c>
      <c r="AP61" s="252"/>
      <c r="AS61" s="252"/>
      <c r="AV61" s="252"/>
      <c r="AY61" s="252"/>
      <c r="BB61" s="252"/>
      <c r="BE61" s="252"/>
    </row>
    <row r="62" spans="2:57" s="251" customFormat="1">
      <c r="B62" s="255" t="s">
        <v>2307</v>
      </c>
      <c r="C62" s="256">
        <f t="shared" ref="C62:U62" si="85">C58+C61</f>
        <v>227</v>
      </c>
      <c r="D62" s="255">
        <f t="shared" si="85"/>
        <v>122</v>
      </c>
      <c r="E62" s="255">
        <f t="shared" si="85"/>
        <v>136</v>
      </c>
      <c r="F62" s="256">
        <f t="shared" si="85"/>
        <v>258</v>
      </c>
      <c r="G62" s="255">
        <f t="shared" si="85"/>
        <v>172</v>
      </c>
      <c r="H62" s="255">
        <f t="shared" si="85"/>
        <v>241</v>
      </c>
      <c r="I62" s="256">
        <f t="shared" si="85"/>
        <v>413</v>
      </c>
      <c r="J62" s="255">
        <f t="shared" si="85"/>
        <v>88</v>
      </c>
      <c r="K62" s="255">
        <f t="shared" si="85"/>
        <v>5</v>
      </c>
      <c r="L62" s="256">
        <f t="shared" si="85"/>
        <v>93</v>
      </c>
      <c r="M62" s="255">
        <f t="shared" si="85"/>
        <v>137</v>
      </c>
      <c r="N62" s="255">
        <f t="shared" si="85"/>
        <v>129</v>
      </c>
      <c r="O62" s="256">
        <f t="shared" si="85"/>
        <v>266</v>
      </c>
      <c r="P62" s="255">
        <f t="shared" si="85"/>
        <v>155</v>
      </c>
      <c r="Q62" s="286">
        <f t="shared" si="85"/>
        <v>126</v>
      </c>
      <c r="R62" s="256">
        <f t="shared" si="85"/>
        <v>281</v>
      </c>
      <c r="S62" s="257">
        <f t="shared" si="85"/>
        <v>128.4</v>
      </c>
      <c r="T62" s="286">
        <f t="shared" si="85"/>
        <v>116.6</v>
      </c>
      <c r="U62" s="256">
        <f t="shared" si="85"/>
        <v>245</v>
      </c>
      <c r="V62" s="255">
        <f>+V61+V58</f>
        <v>152</v>
      </c>
      <c r="W62" s="255">
        <f>+W61+W58</f>
        <v>160</v>
      </c>
      <c r="X62" s="537">
        <f>X58+X61</f>
        <v>120</v>
      </c>
      <c r="Y62" s="255">
        <f>+Y61+Y58</f>
        <v>122</v>
      </c>
      <c r="Z62" s="255">
        <f>+Z61+Z58</f>
        <v>116</v>
      </c>
      <c r="AA62" s="256">
        <f>AA58+AA61</f>
        <v>238</v>
      </c>
      <c r="AB62" s="255">
        <f>AB58+AB61</f>
        <v>113</v>
      </c>
      <c r="AC62" s="255">
        <f>AC58+AC61</f>
        <v>174</v>
      </c>
      <c r="AD62" s="256">
        <f>AD58+AD61</f>
        <v>287</v>
      </c>
      <c r="AE62" s="255">
        <f t="shared" ref="AE62:AJ62" si="86">AE58+AE61</f>
        <v>125</v>
      </c>
      <c r="AF62" s="286">
        <f t="shared" si="86"/>
        <v>99</v>
      </c>
      <c r="AG62" s="256">
        <f t="shared" si="86"/>
        <v>224</v>
      </c>
      <c r="AH62" s="255">
        <f t="shared" si="86"/>
        <v>124</v>
      </c>
      <c r="AI62" s="255">
        <f t="shared" si="86"/>
        <v>103</v>
      </c>
      <c r="AJ62" s="256">
        <f t="shared" si="86"/>
        <v>227</v>
      </c>
      <c r="AK62" s="255">
        <f>AK58+AK61</f>
        <v>149</v>
      </c>
      <c r="AL62" s="255">
        <f>AL58+AL61</f>
        <v>143</v>
      </c>
      <c r="AM62" s="256">
        <f>AM58+AM61</f>
        <v>292</v>
      </c>
      <c r="AN62" s="255">
        <f>AN58+AN61</f>
        <v>115</v>
      </c>
      <c r="AO62" s="255">
        <f>AO58+AO61</f>
        <v>125</v>
      </c>
      <c r="AP62" s="256"/>
      <c r="AQ62" s="255"/>
      <c r="AR62" s="255"/>
      <c r="AS62" s="256"/>
      <c r="AT62" s="255"/>
      <c r="AU62" s="255"/>
      <c r="AV62" s="256"/>
      <c r="AW62" s="255"/>
      <c r="AX62" s="255"/>
      <c r="AY62" s="256"/>
      <c r="AZ62" s="255"/>
      <c r="BA62" s="255"/>
      <c r="BB62" s="256"/>
      <c r="BC62" s="255"/>
      <c r="BD62" s="255"/>
      <c r="BE62" s="256"/>
    </row>
    <row r="63" spans="2:57">
      <c r="C63" s="287"/>
      <c r="F63" s="287"/>
      <c r="I63" s="287"/>
      <c r="O63" s="287"/>
      <c r="R63" s="287"/>
      <c r="S63" s="516"/>
      <c r="T63" s="516"/>
      <c r="U63" s="518"/>
      <c r="V63" s="516"/>
      <c r="W63" s="516"/>
      <c r="X63" s="518"/>
      <c r="Y63" s="516"/>
      <c r="Z63" s="516"/>
      <c r="AA63" s="518"/>
      <c r="AB63" s="516"/>
      <c r="AC63" s="516"/>
      <c r="AD63" s="518"/>
      <c r="AE63" s="516"/>
      <c r="AF63" s="612"/>
      <c r="AG63" s="518"/>
      <c r="AH63" s="516"/>
      <c r="AI63" s="612"/>
      <c r="AJ63" s="518"/>
      <c r="AK63" s="516"/>
      <c r="AL63" s="516"/>
      <c r="AM63" s="518"/>
      <c r="AN63" s="516"/>
      <c r="AO63" s="516"/>
      <c r="AP63" s="518"/>
      <c r="AQ63" s="516"/>
      <c r="AR63" s="516"/>
      <c r="AS63" s="518"/>
      <c r="AT63" s="516"/>
      <c r="AU63" s="516"/>
      <c r="AV63" s="518"/>
      <c r="AW63" s="516"/>
      <c r="AX63" s="516"/>
      <c r="AY63" s="518"/>
      <c r="AZ63" s="516"/>
      <c r="BA63" s="516"/>
      <c r="BB63" s="518"/>
      <c r="BC63" s="516"/>
      <c r="BD63" s="516"/>
      <c r="BE63" s="518"/>
    </row>
    <row r="64" spans="2:57">
      <c r="B64" s="278" t="s">
        <v>2318</v>
      </c>
      <c r="C64" s="279"/>
      <c r="D64" s="280"/>
      <c r="E64" s="280"/>
      <c r="F64" s="279"/>
      <c r="G64" s="280"/>
      <c r="H64" s="280"/>
      <c r="I64" s="279"/>
      <c r="J64" s="280"/>
      <c r="K64" s="280"/>
      <c r="L64" s="279"/>
      <c r="M64" s="280"/>
      <c r="N64" s="280"/>
      <c r="O64" s="279"/>
      <c r="P64" s="280"/>
      <c r="Q64" s="280"/>
      <c r="R64" s="279"/>
      <c r="S64" s="280"/>
      <c r="T64" s="280"/>
      <c r="U64" s="279"/>
      <c r="V64" s="280"/>
      <c r="W64" s="280"/>
      <c r="X64" s="279"/>
      <c r="Y64" s="280"/>
      <c r="Z64" s="280"/>
      <c r="AA64" s="279"/>
      <c r="AB64" s="280"/>
      <c r="AC64" s="280"/>
      <c r="AD64" s="279"/>
      <c r="AE64" s="280"/>
      <c r="AF64" s="611"/>
      <c r="AG64" s="279"/>
      <c r="AH64" s="280"/>
      <c r="AI64" s="611"/>
      <c r="AJ64" s="279"/>
      <c r="AK64" s="280"/>
      <c r="AL64" s="280"/>
      <c r="AM64" s="279"/>
      <c r="AN64" s="280"/>
      <c r="AO64" s="280"/>
      <c r="AP64" s="279"/>
      <c r="AQ64" s="280"/>
      <c r="AR64" s="280"/>
      <c r="AS64" s="279"/>
      <c r="AT64" s="280"/>
      <c r="AU64" s="280"/>
      <c r="AV64" s="279"/>
      <c r="AW64" s="280"/>
      <c r="AX64" s="280"/>
      <c r="AY64" s="279"/>
      <c r="AZ64" s="280"/>
      <c r="BA64" s="280"/>
      <c r="BB64" s="279"/>
      <c r="BC64" s="280"/>
      <c r="BD64" s="280"/>
      <c r="BE64" s="279"/>
    </row>
    <row r="65" spans="2:57" s="251" customFormat="1">
      <c r="B65" s="251" t="s">
        <v>2295</v>
      </c>
      <c r="C65" s="252">
        <v>637</v>
      </c>
      <c r="D65" s="251">
        <v>400</v>
      </c>
      <c r="E65" s="251">
        <f>F65-D65</f>
        <v>444</v>
      </c>
      <c r="F65" s="252">
        <v>844</v>
      </c>
      <c r="G65" s="251">
        <v>476</v>
      </c>
      <c r="H65" s="251">
        <v>408</v>
      </c>
      <c r="I65" s="252">
        <f t="shared" ref="I65:I70" si="87">G65+H65</f>
        <v>884</v>
      </c>
      <c r="J65" s="251">
        <v>367</v>
      </c>
      <c r="K65" s="251">
        <f>L65-J65</f>
        <v>329</v>
      </c>
      <c r="L65" s="252">
        <v>696</v>
      </c>
      <c r="M65" s="251">
        <v>401</v>
      </c>
      <c r="N65" s="251">
        <f>O65-M65</f>
        <v>410</v>
      </c>
      <c r="O65" s="252">
        <v>811</v>
      </c>
      <c r="P65" s="251">
        <v>426</v>
      </c>
      <c r="Q65" s="251">
        <f>+R65-P65</f>
        <v>434</v>
      </c>
      <c r="R65" s="252">
        <v>860</v>
      </c>
      <c r="S65" s="251">
        <v>414</v>
      </c>
      <c r="T65" s="251">
        <f>845-S65</f>
        <v>431</v>
      </c>
      <c r="U65" s="252">
        <f t="shared" ref="U65:U70" si="88">S65+T65</f>
        <v>845</v>
      </c>
      <c r="V65" s="251">
        <v>445</v>
      </c>
      <c r="W65" s="251">
        <v>468</v>
      </c>
      <c r="X65" s="252">
        <f t="shared" ref="X65:X70" si="89">V65+W65</f>
        <v>913</v>
      </c>
      <c r="Y65" s="251">
        <v>498</v>
      </c>
      <c r="Z65" s="251">
        <f>1003-Y65</f>
        <v>505</v>
      </c>
      <c r="AA65" s="252">
        <f t="shared" ref="AA65:AA70" si="90">Y65+Z65</f>
        <v>1003</v>
      </c>
      <c r="AB65" s="251">
        <v>532</v>
      </c>
      <c r="AC65" s="251">
        <f>1087-AB65</f>
        <v>555</v>
      </c>
      <c r="AD65" s="252">
        <f t="shared" ref="AD65:AD70" si="91">AB65+AC65</f>
        <v>1087</v>
      </c>
      <c r="AE65" s="712">
        <f>AE69-AE68</f>
        <v>624.54216867469881</v>
      </c>
      <c r="AF65" s="719">
        <f>AF69-AF68</f>
        <v>617.85542168674692</v>
      </c>
      <c r="AG65" s="713">
        <f t="shared" ref="AG65:AG70" si="92">AE65+AF65</f>
        <v>1242.3975903614457</v>
      </c>
      <c r="AH65" s="712">
        <f>AH69-AH68</f>
        <v>600.46987951807228</v>
      </c>
      <c r="AI65" s="712">
        <f>AI69-AI68</f>
        <v>647.27710843373495</v>
      </c>
      <c r="AJ65" s="713">
        <f t="shared" ref="AJ65:AJ70" si="93">AH65+AI65</f>
        <v>1247.7469879518071</v>
      </c>
      <c r="AK65" s="712">
        <f>AK69-AK68</f>
        <v>557.67469879518069</v>
      </c>
      <c r="AL65" s="712">
        <f>AL69-AL68</f>
        <v>567.03614457831327</v>
      </c>
      <c r="AM65" s="713">
        <f t="shared" ref="AM65:AM70" si="94">AK65+AL65</f>
        <v>1124.7108433734938</v>
      </c>
      <c r="AN65" s="712">
        <f>AN69-AN68</f>
        <v>589.77108433734941</v>
      </c>
      <c r="AO65" s="712">
        <f>AO69-AO68</f>
        <v>563.02409638554218</v>
      </c>
      <c r="AP65" s="713">
        <f t="shared" ref="AP65:AP70" si="95">AN65+AO65</f>
        <v>1152.7951807228915</v>
      </c>
      <c r="AQ65" s="281">
        <f>AO65*(1+AQ$299)*(1-1%)</f>
        <v>640.01255755427883</v>
      </c>
      <c r="AR65" s="281">
        <f>AQ65*(1+AR$299)*(1-1%)</f>
        <v>656.5686334532279</v>
      </c>
      <c r="AS65" s="252">
        <f t="shared" ref="AS65:AS70" si="96">AQ65+AR65</f>
        <v>1296.5811910075067</v>
      </c>
      <c r="AT65" s="281">
        <f>AR65*(1+AT$299)*(1-1%)</f>
        <v>673.56500867145451</v>
      </c>
      <c r="AU65" s="281">
        <f>AT65*(1+AU$299)*(1-1%)</f>
        <v>691.00767943021549</v>
      </c>
      <c r="AV65" s="252">
        <f t="shared" ref="AV65:AV70" si="97">AT65+AU65</f>
        <v>1364.5726881016699</v>
      </c>
      <c r="AW65" s="281">
        <f>AU65*(1+AW$299)*(1-1%)</f>
        <v>708.91479900179058</v>
      </c>
      <c r="AX65" s="281">
        <f>AW65*(1+AX$299)*(1-1%)</f>
        <v>727.29268311980547</v>
      </c>
      <c r="AY65" s="252">
        <f t="shared" ref="AY65:AY70" si="98">AW65+AX65</f>
        <v>1436.2074821215961</v>
      </c>
      <c r="AZ65" s="281">
        <f>AX65*(1+AZ$299)*(1-1%)</f>
        <v>746.16060044333597</v>
      </c>
      <c r="BA65" s="281">
        <f>AZ65*(1+BA$299)*(1-1%)</f>
        <v>765.52520362250539</v>
      </c>
      <c r="BB65" s="252">
        <f t="shared" ref="BB65:BB70" si="99">AZ65+BA65</f>
        <v>1511.6858040658412</v>
      </c>
      <c r="BC65" s="281">
        <f>BA65*(1+BC$299)*(1-1%)</f>
        <v>785.40695173780875</v>
      </c>
      <c r="BD65" s="281">
        <f>BC65*(1+BD$299)*(1-1%)</f>
        <v>805.81285277548295</v>
      </c>
      <c r="BE65" s="252">
        <f t="shared" ref="BE65:BE70" si="100">BC65+BD65</f>
        <v>1591.2198045132918</v>
      </c>
    </row>
    <row r="66" spans="2:57" s="251" customFormat="1">
      <c r="B66" s="251" t="s">
        <v>2296</v>
      </c>
      <c r="C66" s="252">
        <v>0</v>
      </c>
      <c r="D66" s="251">
        <v>0</v>
      </c>
      <c r="E66" s="251">
        <f>F66-D66</f>
        <v>0</v>
      </c>
      <c r="F66" s="252">
        <v>0</v>
      </c>
      <c r="G66" s="251">
        <v>0</v>
      </c>
      <c r="H66" s="251">
        <v>0</v>
      </c>
      <c r="I66" s="252">
        <f t="shared" si="87"/>
        <v>0</v>
      </c>
      <c r="J66" s="251">
        <v>0</v>
      </c>
      <c r="K66" s="251">
        <f>L66-J66</f>
        <v>0</v>
      </c>
      <c r="L66" s="252">
        <v>0</v>
      </c>
      <c r="M66" s="251">
        <v>0</v>
      </c>
      <c r="N66" s="251">
        <f>O66-M66</f>
        <v>0</v>
      </c>
      <c r="O66" s="252">
        <v>0</v>
      </c>
      <c r="P66" s="251">
        <v>0</v>
      </c>
      <c r="Q66" s="251">
        <f>+R66-P66</f>
        <v>0</v>
      </c>
      <c r="R66" s="252">
        <v>0</v>
      </c>
      <c r="S66" s="251">
        <v>0</v>
      </c>
      <c r="T66" s="251">
        <v>0</v>
      </c>
      <c r="U66" s="252">
        <f t="shared" si="88"/>
        <v>0</v>
      </c>
      <c r="V66" s="251">
        <v>0</v>
      </c>
      <c r="W66" s="251">
        <v>0</v>
      </c>
      <c r="X66" s="252">
        <f t="shared" si="89"/>
        <v>0</v>
      </c>
      <c r="Y66" s="251">
        <v>0</v>
      </c>
      <c r="Z66" s="251">
        <v>0</v>
      </c>
      <c r="AA66" s="252">
        <f t="shared" si="90"/>
        <v>0</v>
      </c>
      <c r="AB66" s="251">
        <v>0</v>
      </c>
      <c r="AC66" s="251">
        <v>0</v>
      </c>
      <c r="AD66" s="252">
        <f t="shared" si="91"/>
        <v>0</v>
      </c>
      <c r="AE66" s="251">
        <v>0</v>
      </c>
      <c r="AF66" s="260">
        <v>0</v>
      </c>
      <c r="AG66" s="252">
        <f t="shared" si="92"/>
        <v>0</v>
      </c>
      <c r="AH66" s="251">
        <v>0</v>
      </c>
      <c r="AI66" s="251">
        <v>0</v>
      </c>
      <c r="AJ66" s="252">
        <f t="shared" si="93"/>
        <v>0</v>
      </c>
      <c r="AK66" s="251">
        <v>0</v>
      </c>
      <c r="AL66" s="251">
        <v>0</v>
      </c>
      <c r="AM66" s="252">
        <f t="shared" si="94"/>
        <v>0</v>
      </c>
      <c r="AN66" s="251">
        <v>0</v>
      </c>
      <c r="AO66" s="251">
        <v>0</v>
      </c>
      <c r="AP66" s="252">
        <f t="shared" si="95"/>
        <v>0</v>
      </c>
      <c r="AQ66" s="281">
        <v>0</v>
      </c>
      <c r="AR66" s="281">
        <v>0</v>
      </c>
      <c r="AS66" s="252">
        <f t="shared" si="96"/>
        <v>0</v>
      </c>
      <c r="AT66" s="281">
        <v>0</v>
      </c>
      <c r="AU66" s="281">
        <v>0</v>
      </c>
      <c r="AV66" s="252">
        <f t="shared" si="97"/>
        <v>0</v>
      </c>
      <c r="AW66" s="281">
        <v>0</v>
      </c>
      <c r="AX66" s="281">
        <v>0</v>
      </c>
      <c r="AY66" s="252">
        <f t="shared" si="98"/>
        <v>0</v>
      </c>
      <c r="AZ66" s="281">
        <v>0</v>
      </c>
      <c r="BA66" s="281">
        <v>0</v>
      </c>
      <c r="BB66" s="252">
        <f t="shared" si="99"/>
        <v>0</v>
      </c>
      <c r="BC66" s="281">
        <v>0</v>
      </c>
      <c r="BD66" s="281">
        <v>0</v>
      </c>
      <c r="BE66" s="252">
        <f t="shared" si="100"/>
        <v>0</v>
      </c>
    </row>
    <row r="67" spans="2:57" s="251" customFormat="1">
      <c r="B67" s="255" t="s">
        <v>2297</v>
      </c>
      <c r="C67" s="256">
        <f t="shared" ref="C67:H67" si="101">C65+C66</f>
        <v>637</v>
      </c>
      <c r="D67" s="255">
        <f t="shared" si="101"/>
        <v>400</v>
      </c>
      <c r="E67" s="255">
        <f t="shared" si="101"/>
        <v>444</v>
      </c>
      <c r="F67" s="256">
        <f t="shared" si="101"/>
        <v>844</v>
      </c>
      <c r="G67" s="255">
        <f t="shared" si="101"/>
        <v>476</v>
      </c>
      <c r="H67" s="255">
        <f t="shared" si="101"/>
        <v>408</v>
      </c>
      <c r="I67" s="256">
        <f t="shared" si="87"/>
        <v>884</v>
      </c>
      <c r="J67" s="255">
        <f>J65+J66</f>
        <v>367</v>
      </c>
      <c r="K67" s="255">
        <f>K65+K66</f>
        <v>329</v>
      </c>
      <c r="L67" s="256">
        <f>J67+K67</f>
        <v>696</v>
      </c>
      <c r="M67" s="255">
        <f>M65+M66</f>
        <v>401</v>
      </c>
      <c r="N67" s="255">
        <f>N65+N66</f>
        <v>410</v>
      </c>
      <c r="O67" s="256">
        <f>M67+N67</f>
        <v>811</v>
      </c>
      <c r="P67" s="255">
        <f>P65+P66</f>
        <v>426</v>
      </c>
      <c r="Q67" s="255">
        <f>Q65+Q66</f>
        <v>434</v>
      </c>
      <c r="R67" s="256">
        <f>P67+Q67</f>
        <v>860</v>
      </c>
      <c r="S67" s="255">
        <f>S65+S66</f>
        <v>414</v>
      </c>
      <c r="T67" s="255">
        <f>T65+T66</f>
        <v>431</v>
      </c>
      <c r="U67" s="256">
        <f t="shared" si="88"/>
        <v>845</v>
      </c>
      <c r="V67" s="255">
        <f>V65+V66</f>
        <v>445</v>
      </c>
      <c r="W67" s="255">
        <f>W65+W66</f>
        <v>468</v>
      </c>
      <c r="X67" s="256">
        <f t="shared" si="89"/>
        <v>913</v>
      </c>
      <c r="Y67" s="255">
        <f>Y65+Y66</f>
        <v>498</v>
      </c>
      <c r="Z67" s="255">
        <f>Z65+Z66</f>
        <v>505</v>
      </c>
      <c r="AA67" s="256">
        <f t="shared" si="90"/>
        <v>1003</v>
      </c>
      <c r="AB67" s="255">
        <f>AB65+AB66</f>
        <v>532</v>
      </c>
      <c r="AC67" s="255">
        <f>AC65+AC66</f>
        <v>555</v>
      </c>
      <c r="AD67" s="256">
        <f t="shared" si="91"/>
        <v>1087</v>
      </c>
      <c r="AE67" s="720">
        <f>AE65+AE66</f>
        <v>624.54216867469881</v>
      </c>
      <c r="AF67" s="723">
        <f>AF65+AF66</f>
        <v>617.85542168674692</v>
      </c>
      <c r="AG67" s="721">
        <f t="shared" si="92"/>
        <v>1242.3975903614457</v>
      </c>
      <c r="AH67" s="720">
        <f>AH65+AH66</f>
        <v>600.46987951807228</v>
      </c>
      <c r="AI67" s="720">
        <f>AI65+AI66</f>
        <v>647.27710843373495</v>
      </c>
      <c r="AJ67" s="721">
        <f t="shared" si="93"/>
        <v>1247.7469879518071</v>
      </c>
      <c r="AK67" s="720">
        <f>AK65+AK66</f>
        <v>557.67469879518069</v>
      </c>
      <c r="AL67" s="720">
        <f>AL65+AL66</f>
        <v>567.03614457831327</v>
      </c>
      <c r="AM67" s="721">
        <f t="shared" si="94"/>
        <v>1124.7108433734938</v>
      </c>
      <c r="AN67" s="720">
        <f>AN65+AN66</f>
        <v>589.77108433734941</v>
      </c>
      <c r="AO67" s="720">
        <f>AO65+AO66</f>
        <v>563.02409638554218</v>
      </c>
      <c r="AP67" s="721">
        <f t="shared" si="95"/>
        <v>1152.7951807228915</v>
      </c>
      <c r="AQ67" s="255">
        <f>AQ65+AQ66</f>
        <v>640.01255755427883</v>
      </c>
      <c r="AR67" s="255">
        <f>AR65+AR66</f>
        <v>656.5686334532279</v>
      </c>
      <c r="AS67" s="256">
        <f t="shared" si="96"/>
        <v>1296.5811910075067</v>
      </c>
      <c r="AT67" s="255">
        <f>AT65+AT66</f>
        <v>673.56500867145451</v>
      </c>
      <c r="AU67" s="255">
        <f>AU65+AU66</f>
        <v>691.00767943021549</v>
      </c>
      <c r="AV67" s="256">
        <f t="shared" si="97"/>
        <v>1364.5726881016699</v>
      </c>
      <c r="AW67" s="255">
        <f>AW65+AW66</f>
        <v>708.91479900179058</v>
      </c>
      <c r="AX67" s="255">
        <f>AX65+AX66</f>
        <v>727.29268311980547</v>
      </c>
      <c r="AY67" s="256">
        <f t="shared" si="98"/>
        <v>1436.2074821215961</v>
      </c>
      <c r="AZ67" s="255">
        <f>AZ65+AZ66</f>
        <v>746.16060044333597</v>
      </c>
      <c r="BA67" s="255">
        <f>BA65+BA66</f>
        <v>765.52520362250539</v>
      </c>
      <c r="BB67" s="256">
        <f t="shared" si="99"/>
        <v>1511.6858040658412</v>
      </c>
      <c r="BC67" s="255">
        <f>BC65+BC66</f>
        <v>785.40695173780875</v>
      </c>
      <c r="BD67" s="255">
        <f>BD65+BD66</f>
        <v>805.81285277548295</v>
      </c>
      <c r="BE67" s="256">
        <f t="shared" si="100"/>
        <v>1591.2198045132918</v>
      </c>
    </row>
    <row r="68" spans="2:57" s="251" customFormat="1">
      <c r="B68" s="251" t="s">
        <v>2298</v>
      </c>
      <c r="C68" s="252">
        <v>-111</v>
      </c>
      <c r="D68" s="251">
        <v>-94</v>
      </c>
      <c r="E68" s="251">
        <f>F68-D68</f>
        <v>-90</v>
      </c>
      <c r="F68" s="252">
        <v>-184</v>
      </c>
      <c r="G68" s="251">
        <v>-97</v>
      </c>
      <c r="H68" s="251">
        <v>-95</v>
      </c>
      <c r="I68" s="252">
        <f t="shared" si="87"/>
        <v>-192</v>
      </c>
      <c r="J68" s="251">
        <v>-80</v>
      </c>
      <c r="K68" s="251">
        <f>L68-J68</f>
        <v>-72</v>
      </c>
      <c r="L68" s="252">
        <v>-152</v>
      </c>
      <c r="M68" s="251">
        <v>-83</v>
      </c>
      <c r="N68" s="251">
        <f>O68-M68</f>
        <v>-77</v>
      </c>
      <c r="O68" s="252">
        <v>-160</v>
      </c>
      <c r="P68" s="251">
        <v>-84</v>
      </c>
      <c r="Q68" s="251">
        <f>+R68-P68</f>
        <v>-87</v>
      </c>
      <c r="R68" s="252">
        <v>-171</v>
      </c>
      <c r="S68" s="251">
        <v>-118</v>
      </c>
      <c r="T68" s="251">
        <f>-192-S68</f>
        <v>-74</v>
      </c>
      <c r="U68" s="252">
        <f t="shared" si="88"/>
        <v>-192</v>
      </c>
      <c r="V68" s="288">
        <v>-66</v>
      </c>
      <c r="W68" s="251">
        <f>-134-V68</f>
        <v>-68</v>
      </c>
      <c r="X68" s="289">
        <f t="shared" si="89"/>
        <v>-134</v>
      </c>
      <c r="Y68" s="576">
        <v>-77</v>
      </c>
      <c r="Z68" s="576">
        <v>-98</v>
      </c>
      <c r="AA68" s="577">
        <f t="shared" si="90"/>
        <v>-175</v>
      </c>
      <c r="AB68" s="576">
        <v>-81</v>
      </c>
      <c r="AC68" s="576">
        <f>-221-AB68</f>
        <v>-140</v>
      </c>
      <c r="AD68" s="252">
        <f t="shared" si="91"/>
        <v>-221</v>
      </c>
      <c r="AE68" s="718">
        <f>AC68/AC69*AE69</f>
        <v>-157.54216867469879</v>
      </c>
      <c r="AF68" s="719">
        <f>AE68/AE69*AF69</f>
        <v>-155.85542168674698</v>
      </c>
      <c r="AG68" s="713">
        <f t="shared" si="92"/>
        <v>-313.39759036144574</v>
      </c>
      <c r="AH68" s="712">
        <f>AF68/AF69*AH69</f>
        <v>-151.46987951807228</v>
      </c>
      <c r="AI68" s="712">
        <f>AH68/AH69*AI69</f>
        <v>-163.27710843373492</v>
      </c>
      <c r="AJ68" s="713">
        <f t="shared" si="93"/>
        <v>-314.74698795180723</v>
      </c>
      <c r="AK68" s="712">
        <f>AI68/AI69*AK69</f>
        <v>-140.67469879518072</v>
      </c>
      <c r="AL68" s="712">
        <f>AK68/AK69*AL69</f>
        <v>-143.03614457831324</v>
      </c>
      <c r="AM68" s="713">
        <f t="shared" si="94"/>
        <v>-283.71084337349396</v>
      </c>
      <c r="AN68" s="712">
        <f>AL68/AL69*AN69</f>
        <v>-148.77108433734938</v>
      </c>
      <c r="AO68" s="712">
        <f>AN68/AN69*AO69</f>
        <v>-142.02409638554215</v>
      </c>
      <c r="AP68" s="713">
        <f t="shared" si="95"/>
        <v>-290.79518072289153</v>
      </c>
      <c r="AQ68" s="288">
        <f>AO68/AO67*AQ67</f>
        <v>-161.44460911279103</v>
      </c>
      <c r="AR68" s="288">
        <f>AQ68/AQ67*AR67</f>
        <v>-165.62091654676018</v>
      </c>
      <c r="AS68" s="289">
        <f t="shared" si="96"/>
        <v>-327.06552565955121</v>
      </c>
      <c r="AT68" s="288">
        <f>AR68/AR67*AT67</f>
        <v>-169.90829047568221</v>
      </c>
      <c r="AU68" s="288">
        <f>AT68/AT67*AU67</f>
        <v>-174.30824345987415</v>
      </c>
      <c r="AV68" s="289">
        <f t="shared" si="97"/>
        <v>-344.21653393555636</v>
      </c>
      <c r="AW68" s="288">
        <f>AU68/AU67*AW67</f>
        <v>-178.82535470315437</v>
      </c>
      <c r="AX68" s="288">
        <f>AW68/AW67*AX67</f>
        <v>-183.46121736355451</v>
      </c>
      <c r="AY68" s="289">
        <f t="shared" si="98"/>
        <v>-362.28657206670891</v>
      </c>
      <c r="AZ68" s="288">
        <f>AX68/AX67*AZ67</f>
        <v>-188.22069200372437</v>
      </c>
      <c r="BA68" s="288">
        <f>AZ68/AZ67*BA67</f>
        <v>-193.10545676964099</v>
      </c>
      <c r="BB68" s="289">
        <f t="shared" si="99"/>
        <v>-381.32614877336539</v>
      </c>
      <c r="BC68" s="288">
        <f>BA68/BA67*BC67</f>
        <v>-198.12067251043823</v>
      </c>
      <c r="BD68" s="288">
        <f>BC68/BC67*BD67</f>
        <v>-203.26810700642812</v>
      </c>
      <c r="BE68" s="289">
        <f t="shared" si="100"/>
        <v>-401.38877951686635</v>
      </c>
    </row>
    <row r="69" spans="2:57" s="251" customFormat="1">
      <c r="B69" s="255" t="s">
        <v>2299</v>
      </c>
      <c r="C69" s="256">
        <f t="shared" ref="C69:H69" si="102">C67+C68</f>
        <v>526</v>
      </c>
      <c r="D69" s="255">
        <f t="shared" si="102"/>
        <v>306</v>
      </c>
      <c r="E69" s="255">
        <f t="shared" si="102"/>
        <v>354</v>
      </c>
      <c r="F69" s="256">
        <f t="shared" si="102"/>
        <v>660</v>
      </c>
      <c r="G69" s="255">
        <f t="shared" si="102"/>
        <v>379</v>
      </c>
      <c r="H69" s="255">
        <f t="shared" si="102"/>
        <v>313</v>
      </c>
      <c r="I69" s="256">
        <f t="shared" si="87"/>
        <v>692</v>
      </c>
      <c r="J69" s="255">
        <f>J67+J68</f>
        <v>287</v>
      </c>
      <c r="K69" s="255">
        <f>K67+K68</f>
        <v>257</v>
      </c>
      <c r="L69" s="256">
        <f>J69+K69</f>
        <v>544</v>
      </c>
      <c r="M69" s="255">
        <f>M67+M68</f>
        <v>318</v>
      </c>
      <c r="N69" s="255">
        <f>N67+N68</f>
        <v>333</v>
      </c>
      <c r="O69" s="256">
        <f>M69+N69</f>
        <v>651</v>
      </c>
      <c r="P69" s="255">
        <f>P67+P68</f>
        <v>342</v>
      </c>
      <c r="Q69" s="255">
        <f>Q67+Q68</f>
        <v>347</v>
      </c>
      <c r="R69" s="256">
        <f>P69+Q69</f>
        <v>689</v>
      </c>
      <c r="S69" s="255">
        <f>S67+S68</f>
        <v>296</v>
      </c>
      <c r="T69" s="255">
        <f>T67+T68</f>
        <v>357</v>
      </c>
      <c r="U69" s="256">
        <f t="shared" si="88"/>
        <v>653</v>
      </c>
      <c r="V69" s="255">
        <f>V67+V68</f>
        <v>379</v>
      </c>
      <c r="W69" s="255">
        <f>W67+W68</f>
        <v>400</v>
      </c>
      <c r="X69" s="256">
        <f t="shared" si="89"/>
        <v>779</v>
      </c>
      <c r="Y69" s="255">
        <f>Y67+Y68</f>
        <v>421</v>
      </c>
      <c r="Z69" s="255">
        <f>Z67+Z68</f>
        <v>407</v>
      </c>
      <c r="AA69" s="256">
        <f t="shared" si="90"/>
        <v>828</v>
      </c>
      <c r="AB69" s="255">
        <f>AB67+AB68</f>
        <v>451</v>
      </c>
      <c r="AC69" s="255">
        <f>AC67+AC68</f>
        <v>415</v>
      </c>
      <c r="AD69" s="256">
        <f t="shared" si="91"/>
        <v>866</v>
      </c>
      <c r="AE69" s="255">
        <v>467</v>
      </c>
      <c r="AF69" s="286">
        <v>462</v>
      </c>
      <c r="AG69" s="256">
        <f t="shared" si="92"/>
        <v>929</v>
      </c>
      <c r="AH69" s="255">
        <v>449</v>
      </c>
      <c r="AI69" s="255">
        <v>484</v>
      </c>
      <c r="AJ69" s="256">
        <f t="shared" si="93"/>
        <v>933</v>
      </c>
      <c r="AK69" s="255">
        <v>417</v>
      </c>
      <c r="AL69" s="255">
        <v>424</v>
      </c>
      <c r="AM69" s="256">
        <f t="shared" si="94"/>
        <v>841</v>
      </c>
      <c r="AN69" s="255">
        <v>441</v>
      </c>
      <c r="AO69" s="255">
        <v>421</v>
      </c>
      <c r="AP69" s="256">
        <f t="shared" si="95"/>
        <v>862</v>
      </c>
      <c r="AQ69" s="255">
        <f>AQ67+AQ68</f>
        <v>478.56794844148783</v>
      </c>
      <c r="AR69" s="255">
        <f>AR67+AR68</f>
        <v>490.94771690646769</v>
      </c>
      <c r="AS69" s="256">
        <f t="shared" si="96"/>
        <v>969.51566534795552</v>
      </c>
      <c r="AT69" s="255">
        <f>AT67+AT68</f>
        <v>503.65671819577233</v>
      </c>
      <c r="AU69" s="255">
        <f>AU67+AU68</f>
        <v>516.69943597034137</v>
      </c>
      <c r="AV69" s="256">
        <f t="shared" si="97"/>
        <v>1020.3561541661137</v>
      </c>
      <c r="AW69" s="255">
        <f>AW67+AW68</f>
        <v>530.08944429863618</v>
      </c>
      <c r="AX69" s="255">
        <f>AX67+AX68</f>
        <v>543.83146575625096</v>
      </c>
      <c r="AY69" s="256">
        <f t="shared" si="98"/>
        <v>1073.9209100548871</v>
      </c>
      <c r="AZ69" s="255">
        <f>AZ67+AZ68</f>
        <v>557.9399084396116</v>
      </c>
      <c r="BA69" s="255">
        <f>BA67+BA68</f>
        <v>572.41974685286436</v>
      </c>
      <c r="BB69" s="256">
        <f t="shared" si="99"/>
        <v>1130.359655292476</v>
      </c>
      <c r="BC69" s="255">
        <f>BC67+BC68</f>
        <v>587.28627922737053</v>
      </c>
      <c r="BD69" s="255">
        <f>BD67+BD68</f>
        <v>602.54474576905477</v>
      </c>
      <c r="BE69" s="256">
        <f t="shared" si="100"/>
        <v>1189.8310249964252</v>
      </c>
    </row>
    <row r="70" spans="2:57" s="251" customFormat="1">
      <c r="B70" s="251" t="s">
        <v>2300</v>
      </c>
      <c r="C70" s="252">
        <v>-359</v>
      </c>
      <c r="D70" s="251">
        <v>-196</v>
      </c>
      <c r="E70" s="251">
        <f>F70-D70</f>
        <v>-211</v>
      </c>
      <c r="F70" s="252">
        <v>-407</v>
      </c>
      <c r="G70" s="251">
        <v>-211</v>
      </c>
      <c r="H70" s="251">
        <v>-205</v>
      </c>
      <c r="I70" s="252">
        <f t="shared" si="87"/>
        <v>-416</v>
      </c>
      <c r="J70" s="251">
        <v>-208</v>
      </c>
      <c r="K70" s="251">
        <f>L70-J70</f>
        <v>-200</v>
      </c>
      <c r="L70" s="252">
        <v>-408</v>
      </c>
      <c r="M70" s="251">
        <v>-231</v>
      </c>
      <c r="N70" s="251">
        <f>O70-M70</f>
        <v>-213</v>
      </c>
      <c r="O70" s="252">
        <v>-444</v>
      </c>
      <c r="P70" s="251">
        <v>-230</v>
      </c>
      <c r="Q70" s="251">
        <f>+R70-P70</f>
        <v>-259</v>
      </c>
      <c r="R70" s="252">
        <v>-489</v>
      </c>
      <c r="S70" s="251">
        <v>-251</v>
      </c>
      <c r="T70" s="251">
        <f>-505-S70</f>
        <v>-254</v>
      </c>
      <c r="U70" s="252">
        <f t="shared" si="88"/>
        <v>-505</v>
      </c>
      <c r="V70" s="251">
        <v>-278</v>
      </c>
      <c r="W70" s="251">
        <v>-298</v>
      </c>
      <c r="X70" s="252">
        <f t="shared" si="89"/>
        <v>-576</v>
      </c>
      <c r="Y70" s="251">
        <v>-272</v>
      </c>
      <c r="Z70" s="251">
        <f>-591-Y70</f>
        <v>-319</v>
      </c>
      <c r="AA70" s="252">
        <f t="shared" si="90"/>
        <v>-591</v>
      </c>
      <c r="AB70" s="251">
        <v>-295</v>
      </c>
      <c r="AC70" s="291">
        <f>-735-AB70</f>
        <v>-440</v>
      </c>
      <c r="AD70" s="252">
        <f t="shared" si="91"/>
        <v>-735</v>
      </c>
      <c r="AE70" s="251">
        <v>-307</v>
      </c>
      <c r="AF70" s="260">
        <f>-609-AE70</f>
        <v>-302</v>
      </c>
      <c r="AG70" s="252">
        <f t="shared" si="92"/>
        <v>-609</v>
      </c>
      <c r="AH70" s="251">
        <v>-327</v>
      </c>
      <c r="AI70" s="251">
        <v>-348</v>
      </c>
      <c r="AJ70" s="252">
        <f t="shared" si="93"/>
        <v>-675</v>
      </c>
      <c r="AK70" s="251">
        <v>-257</v>
      </c>
      <c r="AL70" s="251">
        <v>-233</v>
      </c>
      <c r="AM70" s="252">
        <f t="shared" si="94"/>
        <v>-490</v>
      </c>
      <c r="AN70" s="251">
        <v>-250</v>
      </c>
      <c r="AO70" s="251">
        <v>-395</v>
      </c>
      <c r="AP70" s="252">
        <f t="shared" si="95"/>
        <v>-645</v>
      </c>
      <c r="AQ70" s="281">
        <f>AO70*1.025</f>
        <v>-404.87499999999994</v>
      </c>
      <c r="AR70" s="281">
        <f>AQ70*1.025</f>
        <v>-414.99687499999993</v>
      </c>
      <c r="AS70" s="252">
        <f t="shared" si="96"/>
        <v>-819.87187499999982</v>
      </c>
      <c r="AT70" s="281">
        <f>AR70*1.025</f>
        <v>-425.37179687499992</v>
      </c>
      <c r="AU70" s="281">
        <f>AT70*1.025</f>
        <v>-436.0060917968749</v>
      </c>
      <c r="AV70" s="252">
        <f t="shared" si="97"/>
        <v>-861.37788867187487</v>
      </c>
      <c r="AW70" s="281">
        <f>AU70*1.025</f>
        <v>-446.90624409179674</v>
      </c>
      <c r="AX70" s="281">
        <f>AW70*1.025</f>
        <v>-458.0789001940916</v>
      </c>
      <c r="AY70" s="252">
        <f t="shared" si="98"/>
        <v>-904.98514428588828</v>
      </c>
      <c r="AZ70" s="281">
        <f>AX70*1.025</f>
        <v>-469.53087269894382</v>
      </c>
      <c r="BA70" s="281">
        <f>AZ70*1.025</f>
        <v>-481.26914451641738</v>
      </c>
      <c r="BB70" s="252">
        <f t="shared" si="99"/>
        <v>-950.80001721536121</v>
      </c>
      <c r="BC70" s="281">
        <f>BA70*1.025</f>
        <v>-493.30087312932778</v>
      </c>
      <c r="BD70" s="281">
        <f>BC70*1.025</f>
        <v>-505.63339495756094</v>
      </c>
      <c r="BE70" s="252">
        <f t="shared" si="100"/>
        <v>-998.93426808688878</v>
      </c>
    </row>
    <row r="71" spans="2:57" s="251" customFormat="1">
      <c r="B71" s="255" t="s">
        <v>2301</v>
      </c>
      <c r="C71" s="256">
        <f t="shared" ref="C71:AJ71" si="103">C68+C70</f>
        <v>-470</v>
      </c>
      <c r="D71" s="255">
        <f t="shared" si="103"/>
        <v>-290</v>
      </c>
      <c r="E71" s="255">
        <f t="shared" si="103"/>
        <v>-301</v>
      </c>
      <c r="F71" s="256">
        <f t="shared" si="103"/>
        <v>-591</v>
      </c>
      <c r="G71" s="255">
        <f t="shared" si="103"/>
        <v>-308</v>
      </c>
      <c r="H71" s="255">
        <f t="shared" si="103"/>
        <v>-300</v>
      </c>
      <c r="I71" s="256">
        <f t="shared" si="103"/>
        <v>-608</v>
      </c>
      <c r="J71" s="255">
        <f t="shared" si="103"/>
        <v>-288</v>
      </c>
      <c r="K71" s="255">
        <f t="shared" si="103"/>
        <v>-272</v>
      </c>
      <c r="L71" s="256">
        <f t="shared" si="103"/>
        <v>-560</v>
      </c>
      <c r="M71" s="255">
        <f>M68+M70</f>
        <v>-314</v>
      </c>
      <c r="N71" s="255">
        <f t="shared" si="103"/>
        <v>-290</v>
      </c>
      <c r="O71" s="256">
        <f t="shared" si="103"/>
        <v>-604</v>
      </c>
      <c r="P71" s="255">
        <f t="shared" si="103"/>
        <v>-314</v>
      </c>
      <c r="Q71" s="255">
        <f t="shared" si="103"/>
        <v>-346</v>
      </c>
      <c r="R71" s="256">
        <f t="shared" si="103"/>
        <v>-660</v>
      </c>
      <c r="S71" s="255">
        <f t="shared" si="103"/>
        <v>-369</v>
      </c>
      <c r="T71" s="255">
        <f t="shared" si="103"/>
        <v>-328</v>
      </c>
      <c r="U71" s="256">
        <f t="shared" si="103"/>
        <v>-697</v>
      </c>
      <c r="V71" s="255">
        <f t="shared" si="103"/>
        <v>-344</v>
      </c>
      <c r="W71" s="255">
        <f t="shared" si="103"/>
        <v>-366</v>
      </c>
      <c r="X71" s="256">
        <f t="shared" si="103"/>
        <v>-710</v>
      </c>
      <c r="Y71" s="255">
        <f t="shared" si="103"/>
        <v>-349</v>
      </c>
      <c r="Z71" s="255">
        <f t="shared" si="103"/>
        <v>-417</v>
      </c>
      <c r="AA71" s="256">
        <f t="shared" si="103"/>
        <v>-766</v>
      </c>
      <c r="AB71" s="255">
        <f t="shared" si="103"/>
        <v>-376</v>
      </c>
      <c r="AC71" s="255">
        <f>AC68+AC70</f>
        <v>-580</v>
      </c>
      <c r="AD71" s="256">
        <f t="shared" si="103"/>
        <v>-956</v>
      </c>
      <c r="AE71" s="720">
        <f>AE68+AE70</f>
        <v>-464.54216867469881</v>
      </c>
      <c r="AF71" s="723">
        <f t="shared" si="103"/>
        <v>-457.85542168674698</v>
      </c>
      <c r="AG71" s="721">
        <f t="shared" si="103"/>
        <v>-922.39759036144574</v>
      </c>
      <c r="AH71" s="720">
        <f t="shared" si="103"/>
        <v>-478.46987951807228</v>
      </c>
      <c r="AI71" s="720">
        <f t="shared" si="103"/>
        <v>-511.27710843373495</v>
      </c>
      <c r="AJ71" s="721">
        <f t="shared" si="103"/>
        <v>-989.74698795180723</v>
      </c>
      <c r="AK71" s="720">
        <f t="shared" ref="AK71:BB71" si="104">AK68+AK70</f>
        <v>-397.67469879518069</v>
      </c>
      <c r="AL71" s="720">
        <f t="shared" si="104"/>
        <v>-376.03614457831327</v>
      </c>
      <c r="AM71" s="721">
        <f t="shared" si="104"/>
        <v>-773.71084337349396</v>
      </c>
      <c r="AN71" s="720">
        <f>AN68+AN70</f>
        <v>-398.77108433734941</v>
      </c>
      <c r="AO71" s="720">
        <f>AO68+AO70</f>
        <v>-537.02409638554218</v>
      </c>
      <c r="AP71" s="721">
        <f>AP68+AP70</f>
        <v>-935.79518072289147</v>
      </c>
      <c r="AQ71" s="255">
        <f t="shared" si="104"/>
        <v>-566.319609112791</v>
      </c>
      <c r="AR71" s="255">
        <f t="shared" si="104"/>
        <v>-580.61779154676015</v>
      </c>
      <c r="AS71" s="256">
        <f t="shared" si="104"/>
        <v>-1146.937400659551</v>
      </c>
      <c r="AT71" s="255">
        <f t="shared" si="104"/>
        <v>-595.28008735068215</v>
      </c>
      <c r="AU71" s="255">
        <f t="shared" si="104"/>
        <v>-610.31433525674902</v>
      </c>
      <c r="AV71" s="256">
        <f t="shared" si="104"/>
        <v>-1205.5944226074312</v>
      </c>
      <c r="AW71" s="255">
        <f t="shared" si="104"/>
        <v>-625.73159879495108</v>
      </c>
      <c r="AX71" s="255">
        <f t="shared" si="104"/>
        <v>-641.54011755764611</v>
      </c>
      <c r="AY71" s="256">
        <f t="shared" si="104"/>
        <v>-1267.2717163525972</v>
      </c>
      <c r="AZ71" s="255">
        <f t="shared" si="104"/>
        <v>-657.75156470266825</v>
      </c>
      <c r="BA71" s="255">
        <f t="shared" si="104"/>
        <v>-674.37460128605835</v>
      </c>
      <c r="BB71" s="256">
        <f t="shared" si="104"/>
        <v>-1332.1261659887266</v>
      </c>
      <c r="BC71" s="255">
        <f>BC68+BC70</f>
        <v>-691.42154563976601</v>
      </c>
      <c r="BD71" s="255">
        <f>BD68+BD70</f>
        <v>-708.90150196398906</v>
      </c>
      <c r="BE71" s="256">
        <f>BE68+BE70</f>
        <v>-1400.3230476037552</v>
      </c>
    </row>
    <row r="72" spans="2:57" s="251" customFormat="1">
      <c r="B72" s="255" t="s">
        <v>2302</v>
      </c>
      <c r="C72" s="256">
        <f t="shared" ref="C72:AJ72" si="105">C67+C71</f>
        <v>167</v>
      </c>
      <c r="D72" s="255">
        <f t="shared" si="105"/>
        <v>110</v>
      </c>
      <c r="E72" s="255">
        <f t="shared" si="105"/>
        <v>143</v>
      </c>
      <c r="F72" s="256">
        <f t="shared" si="105"/>
        <v>253</v>
      </c>
      <c r="G72" s="255">
        <f t="shared" si="105"/>
        <v>168</v>
      </c>
      <c r="H72" s="255">
        <f t="shared" si="105"/>
        <v>108</v>
      </c>
      <c r="I72" s="256">
        <f t="shared" si="105"/>
        <v>276</v>
      </c>
      <c r="J72" s="255">
        <f t="shared" si="105"/>
        <v>79</v>
      </c>
      <c r="K72" s="255">
        <f t="shared" si="105"/>
        <v>57</v>
      </c>
      <c r="L72" s="256">
        <f t="shared" si="105"/>
        <v>136</v>
      </c>
      <c r="M72" s="255">
        <f t="shared" si="105"/>
        <v>87</v>
      </c>
      <c r="N72" s="255">
        <f t="shared" si="105"/>
        <v>120</v>
      </c>
      <c r="O72" s="256">
        <f t="shared" si="105"/>
        <v>207</v>
      </c>
      <c r="P72" s="255">
        <f t="shared" si="105"/>
        <v>112</v>
      </c>
      <c r="Q72" s="255">
        <f t="shared" si="105"/>
        <v>88</v>
      </c>
      <c r="R72" s="256">
        <f t="shared" si="105"/>
        <v>200</v>
      </c>
      <c r="S72" s="255">
        <f>S67+S71</f>
        <v>45</v>
      </c>
      <c r="T72" s="255">
        <f>T67+T71</f>
        <v>103</v>
      </c>
      <c r="U72" s="256">
        <f>U67+U71</f>
        <v>148</v>
      </c>
      <c r="V72" s="255">
        <f t="shared" si="105"/>
        <v>101</v>
      </c>
      <c r="W72" s="255">
        <f t="shared" si="105"/>
        <v>102</v>
      </c>
      <c r="X72" s="256">
        <f t="shared" si="105"/>
        <v>203</v>
      </c>
      <c r="Y72" s="255">
        <f t="shared" si="105"/>
        <v>149</v>
      </c>
      <c r="Z72" s="255">
        <f t="shared" si="105"/>
        <v>88</v>
      </c>
      <c r="AA72" s="256">
        <f t="shared" si="105"/>
        <v>237</v>
      </c>
      <c r="AB72" s="255">
        <f t="shared" si="105"/>
        <v>156</v>
      </c>
      <c r="AC72" s="255">
        <f>AC67+AC71</f>
        <v>-25</v>
      </c>
      <c r="AD72" s="256">
        <f t="shared" si="105"/>
        <v>131</v>
      </c>
      <c r="AE72" s="255">
        <f>AE67+AE71</f>
        <v>160</v>
      </c>
      <c r="AF72" s="286">
        <f t="shared" si="105"/>
        <v>159.99999999999994</v>
      </c>
      <c r="AG72" s="256">
        <f t="shared" si="105"/>
        <v>320</v>
      </c>
      <c r="AH72" s="255">
        <f t="shared" si="105"/>
        <v>122</v>
      </c>
      <c r="AI72" s="255">
        <f t="shared" si="105"/>
        <v>136</v>
      </c>
      <c r="AJ72" s="256">
        <f t="shared" si="105"/>
        <v>257.99999999999989</v>
      </c>
      <c r="AK72" s="255">
        <f t="shared" ref="AK72:BB72" si="106">AK67+AK71</f>
        <v>160</v>
      </c>
      <c r="AL72" s="255">
        <f t="shared" si="106"/>
        <v>191</v>
      </c>
      <c r="AM72" s="256">
        <f t="shared" si="106"/>
        <v>350.99999999999989</v>
      </c>
      <c r="AN72" s="255">
        <f>AN67+AN71</f>
        <v>191</v>
      </c>
      <c r="AO72" s="255">
        <f>AO67+AO71</f>
        <v>26</v>
      </c>
      <c r="AP72" s="256">
        <f>AP67+AP71</f>
        <v>217</v>
      </c>
      <c r="AQ72" s="255">
        <f t="shared" si="106"/>
        <v>73.692948441487829</v>
      </c>
      <c r="AR72" s="255">
        <f t="shared" si="106"/>
        <v>75.950841906467758</v>
      </c>
      <c r="AS72" s="256">
        <f t="shared" si="106"/>
        <v>149.6437903479557</v>
      </c>
      <c r="AT72" s="255">
        <f t="shared" si="106"/>
        <v>78.284921320772355</v>
      </c>
      <c r="AU72" s="255">
        <f t="shared" si="106"/>
        <v>80.693344173466471</v>
      </c>
      <c r="AV72" s="256">
        <f t="shared" si="106"/>
        <v>158.97826549423871</v>
      </c>
      <c r="AW72" s="255">
        <f t="shared" si="106"/>
        <v>83.183200206839501</v>
      </c>
      <c r="AX72" s="255">
        <f t="shared" si="106"/>
        <v>85.752565562159361</v>
      </c>
      <c r="AY72" s="256">
        <f t="shared" si="106"/>
        <v>168.93576576899886</v>
      </c>
      <c r="AZ72" s="255">
        <f t="shared" si="106"/>
        <v>88.409035740667719</v>
      </c>
      <c r="BA72" s="255">
        <f t="shared" si="106"/>
        <v>91.150602336447037</v>
      </c>
      <c r="BB72" s="256">
        <f t="shared" si="106"/>
        <v>179.55963807711464</v>
      </c>
      <c r="BC72" s="255">
        <f>BC67+BC71</f>
        <v>93.985406098042745</v>
      </c>
      <c r="BD72" s="255">
        <f>BD67+BD71</f>
        <v>96.91135081149389</v>
      </c>
      <c r="BE72" s="256">
        <f>BE67+BE71</f>
        <v>190.89675690953663</v>
      </c>
    </row>
    <row r="73" spans="2:57" s="251" customFormat="1">
      <c r="B73" s="251" t="s">
        <v>77</v>
      </c>
      <c r="C73" s="252">
        <v>-48</v>
      </c>
      <c r="D73" s="251">
        <v>-36</v>
      </c>
      <c r="E73" s="251">
        <f>F73-D73</f>
        <v>-42</v>
      </c>
      <c r="F73" s="252">
        <v>-78</v>
      </c>
      <c r="G73" s="251">
        <v>-50</v>
      </c>
      <c r="H73" s="251">
        <v>-34</v>
      </c>
      <c r="I73" s="252">
        <f>G73+H73</f>
        <v>-84</v>
      </c>
      <c r="J73" s="251">
        <v>-24</v>
      </c>
      <c r="K73" s="251">
        <f>L73-J73</f>
        <v>-17</v>
      </c>
      <c r="L73" s="252">
        <v>-41</v>
      </c>
      <c r="M73" s="251">
        <v>-26</v>
      </c>
      <c r="N73" s="251">
        <f>O73-M73</f>
        <v>-34</v>
      </c>
      <c r="O73" s="252">
        <v>-60</v>
      </c>
      <c r="P73" s="251">
        <v>-33</v>
      </c>
      <c r="Q73" s="251">
        <f>+R73-P73</f>
        <v>-26</v>
      </c>
      <c r="R73" s="252">
        <v>-59</v>
      </c>
      <c r="S73" s="251">
        <v>-13</v>
      </c>
      <c r="T73" s="251">
        <f>-42-S73</f>
        <v>-29</v>
      </c>
      <c r="U73" s="252">
        <f>S73+T73</f>
        <v>-42</v>
      </c>
      <c r="V73" s="251">
        <v>-30</v>
      </c>
      <c r="W73" s="251">
        <v>-30</v>
      </c>
      <c r="X73" s="252">
        <f>V73+W73</f>
        <v>-60</v>
      </c>
      <c r="Y73" s="251">
        <v>-45</v>
      </c>
      <c r="Z73" s="251">
        <f>-68-Y73</f>
        <v>-23</v>
      </c>
      <c r="AA73" s="252">
        <f>Y73+Z73</f>
        <v>-68</v>
      </c>
      <c r="AB73" s="251">
        <v>-48</v>
      </c>
      <c r="AC73" s="251">
        <f>-39-AB73</f>
        <v>9</v>
      </c>
      <c r="AD73" s="252">
        <f>AB73+AC73</f>
        <v>-39</v>
      </c>
      <c r="AE73" s="251">
        <v>-51</v>
      </c>
      <c r="AF73" s="260">
        <f>-99-AE73</f>
        <v>-48</v>
      </c>
      <c r="AG73" s="252">
        <f>AE73+AF73</f>
        <v>-99</v>
      </c>
      <c r="AH73" s="251">
        <v>-37</v>
      </c>
      <c r="AI73" s="251">
        <f>-78-AH73</f>
        <v>-41</v>
      </c>
      <c r="AJ73" s="252">
        <f>AH73+AI73</f>
        <v>-78</v>
      </c>
      <c r="AK73" s="251">
        <v>-47</v>
      </c>
      <c r="AL73" s="251">
        <v>-57</v>
      </c>
      <c r="AM73" s="252">
        <f>AK73+AL73</f>
        <v>-104</v>
      </c>
      <c r="AN73" s="251">
        <v>-62</v>
      </c>
      <c r="AO73" s="251">
        <v>-14</v>
      </c>
      <c r="AP73" s="252">
        <f>AN73+AO73</f>
        <v>-76</v>
      </c>
      <c r="AQ73" s="281">
        <f>-AQ72*0.29</f>
        <v>-21.370955048031469</v>
      </c>
      <c r="AR73" s="281">
        <f>-AR72*0.29</f>
        <v>-22.025744152875649</v>
      </c>
      <c r="AS73" s="252">
        <f>AQ73+AR73</f>
        <v>-43.396699200907122</v>
      </c>
      <c r="AT73" s="281">
        <f>-AT72*0.29</f>
        <v>-22.702627183023981</v>
      </c>
      <c r="AU73" s="281">
        <f>-AU72*0.29</f>
        <v>-23.401069810305277</v>
      </c>
      <c r="AV73" s="252">
        <f>AT73+AU73</f>
        <v>-46.103696993329258</v>
      </c>
      <c r="AW73" s="281">
        <f>-AW72*0.29</f>
        <v>-24.123128059983454</v>
      </c>
      <c r="AX73" s="281">
        <f>-AX72*0.29</f>
        <v>-24.868244013026214</v>
      </c>
      <c r="AY73" s="252">
        <f>AW73+AX73</f>
        <v>-48.991372073009671</v>
      </c>
      <c r="AZ73" s="281">
        <f>-AZ72*0.29</f>
        <v>-25.638620364793638</v>
      </c>
      <c r="BA73" s="281">
        <f>-BA72*0.29</f>
        <v>-26.433674677569638</v>
      </c>
      <c r="BB73" s="252">
        <f>AZ73+BA73</f>
        <v>-52.07229504236328</v>
      </c>
      <c r="BC73" s="281">
        <f>-BC72*0.29</f>
        <v>-27.255767768432396</v>
      </c>
      <c r="BD73" s="281">
        <f>-BD72*0.29</f>
        <v>-28.104291735333227</v>
      </c>
      <c r="BE73" s="252">
        <f>BC73+BD73</f>
        <v>-55.360059503765626</v>
      </c>
    </row>
    <row r="74" spans="2:57" s="251" customFormat="1">
      <c r="B74" s="255" t="s">
        <v>2303</v>
      </c>
      <c r="C74" s="256">
        <f t="shared" ref="C74:AJ74" si="107">C72+C73</f>
        <v>119</v>
      </c>
      <c r="D74" s="255">
        <f t="shared" si="107"/>
        <v>74</v>
      </c>
      <c r="E74" s="255">
        <f t="shared" si="107"/>
        <v>101</v>
      </c>
      <c r="F74" s="256">
        <f t="shared" si="107"/>
        <v>175</v>
      </c>
      <c r="G74" s="255">
        <f t="shared" si="107"/>
        <v>118</v>
      </c>
      <c r="H74" s="255">
        <f t="shared" si="107"/>
        <v>74</v>
      </c>
      <c r="I74" s="256">
        <f t="shared" si="107"/>
        <v>192</v>
      </c>
      <c r="J74" s="255">
        <f t="shared" si="107"/>
        <v>55</v>
      </c>
      <c r="K74" s="255">
        <f t="shared" si="107"/>
        <v>40</v>
      </c>
      <c r="L74" s="256">
        <f t="shared" si="107"/>
        <v>95</v>
      </c>
      <c r="M74" s="255">
        <f>M72+M73</f>
        <v>61</v>
      </c>
      <c r="N74" s="255">
        <f t="shared" si="107"/>
        <v>86</v>
      </c>
      <c r="O74" s="256">
        <f>O72+O73</f>
        <v>147</v>
      </c>
      <c r="P74" s="255">
        <f t="shared" si="107"/>
        <v>79</v>
      </c>
      <c r="Q74" s="255">
        <f t="shared" si="107"/>
        <v>62</v>
      </c>
      <c r="R74" s="256">
        <f t="shared" si="107"/>
        <v>141</v>
      </c>
      <c r="S74" s="255">
        <f>S72+S73</f>
        <v>32</v>
      </c>
      <c r="T74" s="255">
        <f>T72+T73</f>
        <v>74</v>
      </c>
      <c r="U74" s="256">
        <f>U72+U73</f>
        <v>106</v>
      </c>
      <c r="V74" s="255">
        <f t="shared" si="107"/>
        <v>71</v>
      </c>
      <c r="W74" s="255">
        <f t="shared" si="107"/>
        <v>72</v>
      </c>
      <c r="X74" s="256">
        <f t="shared" si="107"/>
        <v>143</v>
      </c>
      <c r="Y74" s="255">
        <f t="shared" si="107"/>
        <v>104</v>
      </c>
      <c r="Z74" s="255">
        <f t="shared" si="107"/>
        <v>65</v>
      </c>
      <c r="AA74" s="256">
        <f t="shared" si="107"/>
        <v>169</v>
      </c>
      <c r="AB74" s="255">
        <f t="shared" si="107"/>
        <v>108</v>
      </c>
      <c r="AC74" s="255">
        <f>AC72+AC73</f>
        <v>-16</v>
      </c>
      <c r="AD74" s="256">
        <f t="shared" si="107"/>
        <v>92</v>
      </c>
      <c r="AE74" s="255">
        <f>AE72+AE73</f>
        <v>109</v>
      </c>
      <c r="AF74" s="286">
        <f t="shared" si="107"/>
        <v>111.99999999999994</v>
      </c>
      <c r="AG74" s="256">
        <f t="shared" si="107"/>
        <v>221</v>
      </c>
      <c r="AH74" s="255">
        <f t="shared" si="107"/>
        <v>85</v>
      </c>
      <c r="AI74" s="255">
        <f t="shared" si="107"/>
        <v>95</v>
      </c>
      <c r="AJ74" s="256">
        <f t="shared" si="107"/>
        <v>179.99999999999989</v>
      </c>
      <c r="AK74" s="255">
        <f t="shared" ref="AK74:BB74" si="108">AK72+AK73</f>
        <v>113</v>
      </c>
      <c r="AL74" s="255">
        <f t="shared" si="108"/>
        <v>134</v>
      </c>
      <c r="AM74" s="256">
        <f t="shared" si="108"/>
        <v>246.99999999999989</v>
      </c>
      <c r="AN74" s="255">
        <f>AN72+AN73</f>
        <v>129</v>
      </c>
      <c r="AO74" s="255">
        <f>AO72+AO73</f>
        <v>12</v>
      </c>
      <c r="AP74" s="256">
        <f>AP72+AP73</f>
        <v>141</v>
      </c>
      <c r="AQ74" s="255">
        <f t="shared" si="108"/>
        <v>52.32199339345636</v>
      </c>
      <c r="AR74" s="255">
        <f t="shared" si="108"/>
        <v>53.925097753592112</v>
      </c>
      <c r="AS74" s="256">
        <f t="shared" si="108"/>
        <v>106.24709114704858</v>
      </c>
      <c r="AT74" s="255">
        <f t="shared" si="108"/>
        <v>55.582294137748377</v>
      </c>
      <c r="AU74" s="255">
        <f t="shared" si="108"/>
        <v>57.292274363161198</v>
      </c>
      <c r="AV74" s="256">
        <f t="shared" si="108"/>
        <v>112.87456850090945</v>
      </c>
      <c r="AW74" s="255">
        <f t="shared" si="108"/>
        <v>59.060072146856044</v>
      </c>
      <c r="AX74" s="255">
        <f t="shared" si="108"/>
        <v>60.884321549133148</v>
      </c>
      <c r="AY74" s="256">
        <f t="shared" si="108"/>
        <v>119.94439369598919</v>
      </c>
      <c r="AZ74" s="255">
        <f t="shared" si="108"/>
        <v>62.77041537587408</v>
      </c>
      <c r="BA74" s="255">
        <f t="shared" si="108"/>
        <v>64.716927658877395</v>
      </c>
      <c r="BB74" s="256">
        <f t="shared" si="108"/>
        <v>127.48734303475136</v>
      </c>
      <c r="BC74" s="255">
        <f>BC72+BC73</f>
        <v>66.729638329610353</v>
      </c>
      <c r="BD74" s="255">
        <f>BD72+BD73</f>
        <v>68.80705907616067</v>
      </c>
      <c r="BE74" s="256">
        <f>BE72+BE73</f>
        <v>135.53669740577101</v>
      </c>
    </row>
    <row r="75" spans="2:57" s="251" customFormat="1">
      <c r="B75" s="251" t="s">
        <v>2304</v>
      </c>
      <c r="C75" s="252"/>
      <c r="F75" s="252"/>
      <c r="I75" s="252"/>
      <c r="L75" s="283"/>
      <c r="M75" s="282"/>
      <c r="O75" s="285"/>
      <c r="P75" s="284"/>
      <c r="Q75" s="284"/>
      <c r="R75" s="252"/>
      <c r="T75" s="282"/>
      <c r="U75" s="285"/>
      <c r="X75" s="252"/>
      <c r="AA75" s="539"/>
      <c r="AD75" s="252"/>
      <c r="AF75" s="260"/>
      <c r="AG75" s="252"/>
      <c r="AJ75" s="252"/>
      <c r="AK75" s="251">
        <v>4</v>
      </c>
      <c r="AL75" s="251">
        <v>6</v>
      </c>
      <c r="AM75" s="252">
        <f>+AK75+AL75</f>
        <v>10</v>
      </c>
      <c r="AN75" s="251">
        <v>8</v>
      </c>
      <c r="AO75" s="291">
        <v>6</v>
      </c>
      <c r="AP75" s="252">
        <f>+AN75+AO75</f>
        <v>14</v>
      </c>
      <c r="AQ75" s="251" t="e">
        <f>AO75*AQ13/AO13</f>
        <v>#N/A</v>
      </c>
      <c r="AR75" s="251" t="e">
        <f>AQ75*AR13/AQ13</f>
        <v>#N/A</v>
      </c>
      <c r="AS75" s="252" t="e">
        <f>AQ75+AR75</f>
        <v>#N/A</v>
      </c>
      <c r="AT75" s="251" t="e">
        <f>AR75*AT13/AR13</f>
        <v>#N/A</v>
      </c>
      <c r="AU75" s="251" t="e">
        <f>AT75*AU13/AT13</f>
        <v>#N/A</v>
      </c>
      <c r="AV75" s="252" t="e">
        <f>AT75+AU75</f>
        <v>#N/A</v>
      </c>
      <c r="AW75" s="251" t="e">
        <f>AU75*AW13/AU13</f>
        <v>#N/A</v>
      </c>
      <c r="AX75" s="251" t="e">
        <f>AW75*AX13/AW13</f>
        <v>#N/A</v>
      </c>
      <c r="AY75" s="252" t="e">
        <f>AW75+AX75</f>
        <v>#N/A</v>
      </c>
      <c r="AZ75" s="251" t="e">
        <f>AX75*AZ13/AX13</f>
        <v>#N/A</v>
      </c>
      <c r="BA75" s="251" t="e">
        <f>AZ75*BA13/AZ13</f>
        <v>#N/A</v>
      </c>
      <c r="BB75" s="252" t="e">
        <f>AZ75+BA75</f>
        <v>#N/A</v>
      </c>
      <c r="BC75" s="251" t="e">
        <f>BA75*BC13/BA13</f>
        <v>#N/A</v>
      </c>
      <c r="BD75" s="251" t="e">
        <f>BC75*BD13/BC13</f>
        <v>#N/A</v>
      </c>
      <c r="BE75" s="252" t="e">
        <f>BC75+BD75</f>
        <v>#N/A</v>
      </c>
    </row>
    <row r="76" spans="2:57" s="251" customFormat="1">
      <c r="B76" s="251" t="s">
        <v>2305</v>
      </c>
      <c r="C76" s="252"/>
      <c r="F76" s="252"/>
      <c r="I76" s="252"/>
      <c r="L76" s="252"/>
      <c r="O76" s="252"/>
      <c r="R76" s="252"/>
      <c r="U76" s="252"/>
      <c r="X76" s="252"/>
      <c r="AA76" s="252"/>
      <c r="AD76" s="252"/>
      <c r="AF76" s="260"/>
      <c r="AG76" s="252"/>
      <c r="AJ76" s="252"/>
      <c r="AK76" s="251">
        <f>+AK77-AK75</f>
        <v>-1</v>
      </c>
      <c r="AL76" s="251">
        <f>+AL77-AL75</f>
        <v>-1</v>
      </c>
      <c r="AM76" s="252">
        <f>+AK76+AL76</f>
        <v>-2</v>
      </c>
      <c r="AN76" s="251">
        <f>+AN77-AN75</f>
        <v>-1</v>
      </c>
      <c r="AO76" s="251">
        <f>+AO77-AO75</f>
        <v>-1</v>
      </c>
      <c r="AP76" s="252">
        <f>+AN76+AO76</f>
        <v>-2</v>
      </c>
      <c r="AQ76" s="251" t="e">
        <f>AO76/AO75*AQ75</f>
        <v>#N/A</v>
      </c>
      <c r="AR76" s="251" t="e">
        <f>AQ76/AQ75*AR75</f>
        <v>#N/A</v>
      </c>
      <c r="AS76" s="252" t="e">
        <f>AQ76+AR76</f>
        <v>#N/A</v>
      </c>
      <c r="AT76" s="251" t="e">
        <f>AR76/AR75*AT75</f>
        <v>#N/A</v>
      </c>
      <c r="AU76" s="251" t="e">
        <f>AT76/AT75*AU75</f>
        <v>#N/A</v>
      </c>
      <c r="AV76" s="252" t="e">
        <f>AT76+AU76</f>
        <v>#N/A</v>
      </c>
      <c r="AW76" s="251" t="e">
        <f>AU76/AU75*AW75</f>
        <v>#N/A</v>
      </c>
      <c r="AX76" s="251" t="e">
        <f>AW76/AW75*AX75</f>
        <v>#N/A</v>
      </c>
      <c r="AY76" s="252" t="e">
        <f>AW76+AX76</f>
        <v>#N/A</v>
      </c>
      <c r="AZ76" s="251" t="e">
        <f>AX76/AX75*AZ75</f>
        <v>#N/A</v>
      </c>
      <c r="BA76" s="251" t="e">
        <f>AZ76/AZ75*BA75</f>
        <v>#N/A</v>
      </c>
      <c r="BB76" s="252" t="e">
        <f>AZ76+BA76</f>
        <v>#N/A</v>
      </c>
      <c r="BC76" s="251" t="e">
        <f>BA76/BA75*BC75</f>
        <v>#N/A</v>
      </c>
      <c r="BD76" s="251" t="e">
        <f>BC76/BC75*BD75</f>
        <v>#N/A</v>
      </c>
      <c r="BE76" s="252" t="e">
        <f>BC76+BD76</f>
        <v>#N/A</v>
      </c>
    </row>
    <row r="77" spans="2:57" s="251" customFormat="1">
      <c r="B77" s="251" t="s">
        <v>2306</v>
      </c>
      <c r="C77" s="252">
        <v>-7</v>
      </c>
      <c r="D77" s="251">
        <v>-19</v>
      </c>
      <c r="E77" s="251">
        <f>F77-D77</f>
        <v>-14</v>
      </c>
      <c r="F77" s="252">
        <v>-33</v>
      </c>
      <c r="G77" s="251">
        <v>7</v>
      </c>
      <c r="H77" s="251">
        <v>7</v>
      </c>
      <c r="I77" s="252">
        <f>G77+H77</f>
        <v>14</v>
      </c>
      <c r="J77" s="251">
        <v>5</v>
      </c>
      <c r="K77" s="251">
        <f>L77-J77</f>
        <v>-6</v>
      </c>
      <c r="L77" s="252">
        <v>-1</v>
      </c>
      <c r="M77" s="251">
        <v>-2</v>
      </c>
      <c r="N77" s="251">
        <v>-1</v>
      </c>
      <c r="O77" s="252">
        <f>M77+N77</f>
        <v>-3</v>
      </c>
      <c r="P77" s="251">
        <v>-2</v>
      </c>
      <c r="Q77" s="251">
        <f>+R77-P77</f>
        <v>4</v>
      </c>
      <c r="R77" s="252">
        <v>2</v>
      </c>
      <c r="S77" s="251">
        <v>8.1999999999999993</v>
      </c>
      <c r="T77" s="251">
        <f>13-S77</f>
        <v>4.8000000000000007</v>
      </c>
      <c r="U77" s="252">
        <f>S77+T77</f>
        <v>13</v>
      </c>
      <c r="V77" s="251">
        <v>2</v>
      </c>
      <c r="W77" s="251">
        <v>-1</v>
      </c>
      <c r="X77" s="252">
        <f>V77+W77</f>
        <v>1</v>
      </c>
      <c r="Y77" s="251">
        <v>1</v>
      </c>
      <c r="Z77" s="251">
        <f>14-Y77</f>
        <v>13</v>
      </c>
      <c r="AA77" s="252">
        <f>Y77+Z77</f>
        <v>14</v>
      </c>
      <c r="AB77" s="251">
        <v>3</v>
      </c>
      <c r="AC77" s="251">
        <v>-1</v>
      </c>
      <c r="AD77" s="252"/>
      <c r="AE77" s="251">
        <v>6</v>
      </c>
      <c r="AF77" s="260">
        <f>9-AE77</f>
        <v>3</v>
      </c>
      <c r="AG77" s="252">
        <f>AE77+AF77</f>
        <v>9</v>
      </c>
      <c r="AH77" s="251">
        <v>5</v>
      </c>
      <c r="AI77" s="251">
        <v>3</v>
      </c>
      <c r="AJ77" s="252">
        <f>AH77+AI77</f>
        <v>8</v>
      </c>
      <c r="AK77" s="251">
        <v>3</v>
      </c>
      <c r="AL77" s="251">
        <v>5</v>
      </c>
      <c r="AM77" s="252">
        <f>AK77+AL77</f>
        <v>8</v>
      </c>
      <c r="AN77" s="251">
        <v>7</v>
      </c>
      <c r="AO77" s="291">
        <v>5</v>
      </c>
      <c r="AP77" s="252">
        <f>AN77+AO77</f>
        <v>12</v>
      </c>
      <c r="AQ77" s="251" t="e">
        <f>+AQ75+AQ76</f>
        <v>#N/A</v>
      </c>
      <c r="AR77" s="251" t="e">
        <f>+AR75+AR76</f>
        <v>#N/A</v>
      </c>
      <c r="AS77" s="252" t="e">
        <f>AQ77+AR77</f>
        <v>#N/A</v>
      </c>
      <c r="AT77" s="251" t="e">
        <f>+AT75+AT76</f>
        <v>#N/A</v>
      </c>
      <c r="AU77" s="251" t="e">
        <f>+AU75+AU76</f>
        <v>#N/A</v>
      </c>
      <c r="AV77" s="252" t="e">
        <f>AT77+AU77</f>
        <v>#N/A</v>
      </c>
      <c r="AW77" s="251" t="e">
        <f>+AW75+AW76</f>
        <v>#N/A</v>
      </c>
      <c r="AX77" s="251" t="e">
        <f>+AX75+AX76</f>
        <v>#N/A</v>
      </c>
      <c r="AY77" s="252" t="e">
        <f>AW77+AX77</f>
        <v>#N/A</v>
      </c>
      <c r="AZ77" s="251" t="e">
        <f>+AZ75+AZ76</f>
        <v>#N/A</v>
      </c>
      <c r="BA77" s="251" t="e">
        <f>+BA75+BA76</f>
        <v>#N/A</v>
      </c>
      <c r="BB77" s="252" t="e">
        <f>AZ77+BA77</f>
        <v>#N/A</v>
      </c>
      <c r="BC77" s="251" t="e">
        <f>+BC75+BC76</f>
        <v>#N/A</v>
      </c>
      <c r="BD77" s="251" t="e">
        <f>+BD75+BD76</f>
        <v>#N/A</v>
      </c>
      <c r="BE77" s="252" t="e">
        <f>BC77+BD77</f>
        <v>#N/A</v>
      </c>
    </row>
    <row r="78" spans="2:57" s="251" customFormat="1">
      <c r="B78" s="255" t="s">
        <v>2307</v>
      </c>
      <c r="C78" s="256">
        <f t="shared" ref="C78:U78" si="109">C74+C77</f>
        <v>112</v>
      </c>
      <c r="D78" s="255">
        <f t="shared" si="109"/>
        <v>55</v>
      </c>
      <c r="E78" s="255">
        <f t="shared" si="109"/>
        <v>87</v>
      </c>
      <c r="F78" s="256">
        <f t="shared" si="109"/>
        <v>142</v>
      </c>
      <c r="G78" s="255">
        <f t="shared" si="109"/>
        <v>125</v>
      </c>
      <c r="H78" s="255">
        <f t="shared" si="109"/>
        <v>81</v>
      </c>
      <c r="I78" s="256">
        <f t="shared" si="109"/>
        <v>206</v>
      </c>
      <c r="J78" s="255">
        <f t="shared" si="109"/>
        <v>60</v>
      </c>
      <c r="K78" s="255">
        <f t="shared" si="109"/>
        <v>34</v>
      </c>
      <c r="L78" s="256">
        <f t="shared" si="109"/>
        <v>94</v>
      </c>
      <c r="M78" s="255">
        <f t="shared" si="109"/>
        <v>59</v>
      </c>
      <c r="N78" s="255">
        <f t="shared" si="109"/>
        <v>85</v>
      </c>
      <c r="O78" s="256">
        <f t="shared" si="109"/>
        <v>144</v>
      </c>
      <c r="P78" s="255">
        <f t="shared" si="109"/>
        <v>77</v>
      </c>
      <c r="Q78" s="255">
        <f t="shared" si="109"/>
        <v>66</v>
      </c>
      <c r="R78" s="256">
        <f t="shared" si="109"/>
        <v>143</v>
      </c>
      <c r="S78" s="257">
        <f t="shared" si="109"/>
        <v>40.200000000000003</v>
      </c>
      <c r="T78" s="255">
        <f t="shared" si="109"/>
        <v>78.8</v>
      </c>
      <c r="U78" s="256">
        <f t="shared" si="109"/>
        <v>119</v>
      </c>
      <c r="V78" s="255">
        <f>+V77+V74</f>
        <v>73</v>
      </c>
      <c r="W78" s="255">
        <f>+W77+W74</f>
        <v>71</v>
      </c>
      <c r="X78" s="256">
        <f>+W78+V78</f>
        <v>144</v>
      </c>
      <c r="Y78" s="255">
        <f>+Y77+Y74</f>
        <v>105</v>
      </c>
      <c r="Z78" s="255">
        <f>+Z77+Z74</f>
        <v>78</v>
      </c>
      <c r="AA78" s="256">
        <f>+Z78+Y78</f>
        <v>183</v>
      </c>
      <c r="AB78" s="255">
        <f>+AB77+AB74</f>
        <v>111</v>
      </c>
      <c r="AC78" s="255">
        <f>+AC77+AC74</f>
        <v>-17</v>
      </c>
      <c r="AD78" s="256"/>
      <c r="AE78" s="255">
        <f>+AE77+AE74</f>
        <v>115</v>
      </c>
      <c r="AF78" s="286">
        <f>+AF77+AF74</f>
        <v>114.99999999999994</v>
      </c>
      <c r="AG78" s="256">
        <f>+AF78+AE78</f>
        <v>229.99999999999994</v>
      </c>
      <c r="AH78" s="255">
        <f>+AH77+AH74</f>
        <v>90</v>
      </c>
      <c r="AI78" s="255">
        <f>+AI77+AI74</f>
        <v>98</v>
      </c>
      <c r="AJ78" s="256">
        <f>+AI78+AH78</f>
        <v>188</v>
      </c>
      <c r="AK78" s="255">
        <f>+AK77+AK74</f>
        <v>116</v>
      </c>
      <c r="AL78" s="255">
        <f>+AL77+AL74</f>
        <v>139</v>
      </c>
      <c r="AM78" s="256">
        <f>+AL78+AK78</f>
        <v>255</v>
      </c>
      <c r="AN78" s="255">
        <f>+AN77+AN74</f>
        <v>136</v>
      </c>
      <c r="AO78" s="255">
        <f>+AO77+AO74</f>
        <v>17</v>
      </c>
      <c r="AP78" s="256">
        <f>+AO78+AN78</f>
        <v>153</v>
      </c>
      <c r="AQ78" s="255" t="e">
        <f>+AQ74+AQ77</f>
        <v>#N/A</v>
      </c>
      <c r="AR78" s="255" t="e">
        <f>+AR74+AR77</f>
        <v>#N/A</v>
      </c>
      <c r="AS78" s="256" t="e">
        <f>AS74+AS77</f>
        <v>#N/A</v>
      </c>
      <c r="AT78" s="255" t="e">
        <f>+AT74+AT77</f>
        <v>#N/A</v>
      </c>
      <c r="AU78" s="255" t="e">
        <f>+AU74+AU77</f>
        <v>#N/A</v>
      </c>
      <c r="AV78" s="256" t="e">
        <f>AV74+AV77</f>
        <v>#N/A</v>
      </c>
      <c r="AW78" s="255" t="e">
        <f>+AW74+AW77</f>
        <v>#N/A</v>
      </c>
      <c r="AX78" s="255" t="e">
        <f>+AX74+AX77</f>
        <v>#N/A</v>
      </c>
      <c r="AY78" s="256" t="e">
        <f>AY74+AY77</f>
        <v>#N/A</v>
      </c>
      <c r="AZ78" s="255" t="e">
        <f>+AZ74+AZ77</f>
        <v>#N/A</v>
      </c>
      <c r="BA78" s="255" t="e">
        <f>+BA74+BA77</f>
        <v>#N/A</v>
      </c>
      <c r="BB78" s="256" t="e">
        <f>BB74+BB77</f>
        <v>#N/A</v>
      </c>
      <c r="BC78" s="255" t="e">
        <f>+BC74+BC77</f>
        <v>#N/A</v>
      </c>
      <c r="BD78" s="255" t="e">
        <f>+BD74+BD77</f>
        <v>#N/A</v>
      </c>
      <c r="BE78" s="256" t="e">
        <f>BE74+BE77</f>
        <v>#N/A</v>
      </c>
    </row>
    <row r="79" spans="2:57" outlineLevel="1">
      <c r="C79" s="287"/>
      <c r="F79" s="287"/>
      <c r="I79" s="287"/>
      <c r="L79" s="287"/>
      <c r="O79" s="287"/>
      <c r="R79" s="287"/>
      <c r="U79" s="287"/>
      <c r="X79" s="287"/>
      <c r="AA79" s="287"/>
      <c r="AD79" s="287"/>
      <c r="AF79" s="613"/>
      <c r="AG79" s="287"/>
      <c r="AJ79" s="287"/>
      <c r="AM79" s="287"/>
      <c r="AP79" s="287"/>
      <c r="AS79" s="287"/>
      <c r="AV79" s="287"/>
      <c r="AY79" s="287"/>
      <c r="BB79" s="287"/>
      <c r="BE79" s="287"/>
    </row>
    <row r="80" spans="2:57" outlineLevel="1">
      <c r="B80" s="278" t="s">
        <v>2319</v>
      </c>
      <c r="C80" s="279"/>
      <c r="D80" s="280"/>
      <c r="E80" s="280"/>
      <c r="F80" s="279"/>
      <c r="G80" s="280"/>
      <c r="H80" s="280"/>
      <c r="I80" s="279"/>
      <c r="J80" s="280"/>
      <c r="K80" s="280"/>
      <c r="L80" s="279"/>
      <c r="M80" s="280"/>
      <c r="N80" s="280"/>
      <c r="O80" s="279"/>
      <c r="P80" s="280"/>
      <c r="Q80" s="280"/>
      <c r="R80" s="279"/>
      <c r="S80" s="280"/>
      <c r="T80" s="280"/>
      <c r="U80" s="279"/>
      <c r="V80" s="280"/>
      <c r="W80" s="280"/>
      <c r="X80" s="279"/>
      <c r="Y80" s="280"/>
      <c r="Z80" s="280"/>
      <c r="AA80" s="279"/>
      <c r="AB80" s="280"/>
      <c r="AC80" s="280"/>
      <c r="AD80" s="279"/>
      <c r="AE80" s="280"/>
      <c r="AF80" s="611"/>
      <c r="AG80" s="279"/>
      <c r="AH80" s="280"/>
      <c r="AI80" s="280"/>
      <c r="AJ80" s="279"/>
      <c r="AK80" s="280"/>
      <c r="AL80" s="280"/>
      <c r="AM80" s="279"/>
      <c r="AN80" s="280"/>
      <c r="AO80" s="280"/>
      <c r="AP80" s="279"/>
      <c r="AQ80" s="280"/>
      <c r="AR80" s="280"/>
      <c r="AS80" s="279"/>
      <c r="AT80" s="280"/>
      <c r="AU80" s="280"/>
      <c r="AV80" s="279"/>
      <c r="AW80" s="280"/>
      <c r="AX80" s="280"/>
      <c r="AY80" s="279"/>
      <c r="AZ80" s="280"/>
      <c r="BA80" s="280"/>
      <c r="BB80" s="279"/>
      <c r="BC80" s="280"/>
      <c r="BD80" s="280"/>
      <c r="BE80" s="279"/>
    </row>
    <row r="81" spans="2:57" s="251" customFormat="1" outlineLevel="1">
      <c r="B81" s="251" t="s">
        <v>2295</v>
      </c>
      <c r="C81" s="252">
        <v>291</v>
      </c>
      <c r="D81" s="251">
        <v>129</v>
      </c>
      <c r="E81" s="251">
        <f>F81-D81</f>
        <v>100</v>
      </c>
      <c r="F81" s="252">
        <v>229</v>
      </c>
      <c r="G81" s="251">
        <v>131</v>
      </c>
      <c r="H81" s="251">
        <v>148</v>
      </c>
      <c r="I81" s="252">
        <f t="shared" ref="I81:I86" si="110">G81+H81</f>
        <v>279</v>
      </c>
      <c r="J81" s="251">
        <v>158</v>
      </c>
      <c r="K81" s="251">
        <f>L81-J81</f>
        <v>100</v>
      </c>
      <c r="L81" s="252">
        <v>258</v>
      </c>
      <c r="M81" s="251">
        <v>118</v>
      </c>
      <c r="N81" s="251">
        <f>O81-M81</f>
        <v>108</v>
      </c>
      <c r="O81" s="252">
        <f>226+0</f>
        <v>226</v>
      </c>
      <c r="P81" s="251">
        <v>108</v>
      </c>
      <c r="Q81" s="251">
        <f>+R81-P81</f>
        <v>101</v>
      </c>
      <c r="R81" s="252">
        <v>209</v>
      </c>
      <c r="S81" s="251">
        <v>83</v>
      </c>
      <c r="T81" s="251">
        <f>160-S81</f>
        <v>77</v>
      </c>
      <c r="U81" s="252">
        <f t="shared" ref="U81:U86" si="111">S81+T81</f>
        <v>160</v>
      </c>
      <c r="V81" s="251">
        <v>72</v>
      </c>
      <c r="W81" s="251">
        <v>80</v>
      </c>
      <c r="X81" s="252">
        <f t="shared" ref="X81:X86" si="112">V81+W81</f>
        <v>152</v>
      </c>
      <c r="Y81" s="251">
        <v>84</v>
      </c>
      <c r="Z81" s="251">
        <f>165-Y81</f>
        <v>81</v>
      </c>
      <c r="AA81" s="252">
        <f t="shared" ref="AA81:AA86" si="113">Y81+Z81</f>
        <v>165</v>
      </c>
      <c r="AB81" s="251">
        <v>79</v>
      </c>
      <c r="AC81" s="251">
        <f>164-AB81</f>
        <v>85</v>
      </c>
      <c r="AD81" s="252">
        <f t="shared" ref="AD81:AD86" si="114">AB81+AC81</f>
        <v>164</v>
      </c>
      <c r="AE81" s="251">
        <f>AE85-AE84-AE82</f>
        <v>71.147680314176</v>
      </c>
      <c r="AF81" s="260">
        <f>AF85-AF84-AF82</f>
        <v>74.486328067758848</v>
      </c>
      <c r="AG81" s="252">
        <f t="shared" ref="AG81:AG86" si="115">AE81+AF81</f>
        <v>145.63400838193485</v>
      </c>
      <c r="AH81" s="251">
        <f>AH85-AH84-AH82</f>
        <v>0</v>
      </c>
      <c r="AI81" s="251">
        <f>AI85-AI84-AI82</f>
        <v>0</v>
      </c>
      <c r="AJ81" s="252">
        <f t="shared" ref="AJ81:AJ86" si="116">AH81+AI81</f>
        <v>0</v>
      </c>
      <c r="AK81" s="251">
        <v>0</v>
      </c>
      <c r="AL81" s="251">
        <f>AL85-AL84-AL82</f>
        <v>0</v>
      </c>
      <c r="AM81" s="252">
        <f t="shared" ref="AM81:AM86" si="117">AK81+AL81</f>
        <v>0</v>
      </c>
      <c r="AN81" s="251">
        <v>0</v>
      </c>
      <c r="AO81" s="251">
        <f>AO85-AO84-AO82</f>
        <v>0</v>
      </c>
      <c r="AP81" s="252">
        <f t="shared" ref="AP81:AP86" si="118">AN81+AO81</f>
        <v>0</v>
      </c>
      <c r="AQ81" s="281">
        <f>AO81*0.97</f>
        <v>0</v>
      </c>
      <c r="AR81" s="281">
        <f>AQ81*0.97</f>
        <v>0</v>
      </c>
      <c r="AS81" s="252">
        <f t="shared" ref="AS81:AS86" si="119">AQ81+AR81</f>
        <v>0</v>
      </c>
      <c r="AT81" s="281">
        <f>AR81*0.97</f>
        <v>0</v>
      </c>
      <c r="AU81" s="281">
        <f>AT81*0.97</f>
        <v>0</v>
      </c>
      <c r="AV81" s="252">
        <f t="shared" ref="AV81:AV86" si="120">AT81+AU81</f>
        <v>0</v>
      </c>
      <c r="AW81" s="281">
        <f>AU81*0.97</f>
        <v>0</v>
      </c>
      <c r="AX81" s="281">
        <f>AW81*0.97</f>
        <v>0</v>
      </c>
      <c r="AY81" s="252">
        <f t="shared" ref="AY81:AY86" si="121">AW81+AX81</f>
        <v>0</v>
      </c>
      <c r="AZ81" s="281">
        <f>AX81*0.97</f>
        <v>0</v>
      </c>
      <c r="BA81" s="281">
        <f>AZ81*0.97</f>
        <v>0</v>
      </c>
      <c r="BB81" s="252">
        <f t="shared" ref="BB81:BB86" si="122">AZ81+BA81</f>
        <v>0</v>
      </c>
      <c r="BC81" s="281">
        <f>BA81*0.97</f>
        <v>0</v>
      </c>
      <c r="BD81" s="281">
        <f>BC81*0.97</f>
        <v>0</v>
      </c>
      <c r="BE81" s="252">
        <f t="shared" ref="BE81:BE86" si="123">BC81+BD81</f>
        <v>0</v>
      </c>
    </row>
    <row r="82" spans="2:57" s="251" customFormat="1" outlineLevel="1">
      <c r="B82" s="251" t="s">
        <v>2296</v>
      </c>
      <c r="C82" s="252">
        <v>467</v>
      </c>
      <c r="D82" s="251">
        <v>265</v>
      </c>
      <c r="E82" s="251">
        <f>F82-D82</f>
        <v>308</v>
      </c>
      <c r="F82" s="252">
        <v>573</v>
      </c>
      <c r="G82" s="251">
        <v>263</v>
      </c>
      <c r="H82" s="251">
        <v>294</v>
      </c>
      <c r="I82" s="252">
        <f t="shared" si="110"/>
        <v>557</v>
      </c>
      <c r="J82" s="251">
        <v>307</v>
      </c>
      <c r="K82" s="251">
        <f>L82-J82</f>
        <v>308</v>
      </c>
      <c r="L82" s="252">
        <v>615</v>
      </c>
      <c r="M82" s="251">
        <v>353</v>
      </c>
      <c r="N82" s="251">
        <f>O82-M82</f>
        <v>331</v>
      </c>
      <c r="O82" s="252">
        <f>630+54</f>
        <v>684</v>
      </c>
      <c r="P82" s="251">
        <v>340</v>
      </c>
      <c r="Q82" s="251">
        <f>+R82-P82</f>
        <v>285</v>
      </c>
      <c r="R82" s="252">
        <v>625</v>
      </c>
      <c r="S82" s="251">
        <v>366</v>
      </c>
      <c r="T82" s="251">
        <f>691-S82</f>
        <v>325</v>
      </c>
      <c r="U82" s="252">
        <f t="shared" si="111"/>
        <v>691</v>
      </c>
      <c r="V82" s="395">
        <v>368</v>
      </c>
      <c r="W82" s="370">
        <f>716-V82</f>
        <v>348</v>
      </c>
      <c r="X82" s="374">
        <f t="shared" si="112"/>
        <v>716</v>
      </c>
      <c r="Y82" s="370">
        <v>358</v>
      </c>
      <c r="Z82" s="370">
        <f>725-Y82</f>
        <v>367</v>
      </c>
      <c r="AA82" s="374">
        <f t="shared" si="113"/>
        <v>725</v>
      </c>
      <c r="AB82" s="370">
        <v>355</v>
      </c>
      <c r="AC82" s="370">
        <f>658-AB82</f>
        <v>303</v>
      </c>
      <c r="AD82" s="374">
        <f t="shared" si="114"/>
        <v>658</v>
      </c>
      <c r="AE82" s="370">
        <f>AC82/229*330</f>
        <v>436.63755458515288</v>
      </c>
      <c r="AF82" s="614">
        <f>AC82/229*172</f>
        <v>227.58078602620088</v>
      </c>
      <c r="AG82" s="374">
        <f t="shared" si="115"/>
        <v>664.21834061135382</v>
      </c>
      <c r="AH82" s="370">
        <f>AH85-AH84</f>
        <v>140.61744966442953</v>
      </c>
      <c r="AI82" s="370">
        <f>AI85-AI84</f>
        <v>16.926174496644297</v>
      </c>
      <c r="AJ82" s="374">
        <f t="shared" si="116"/>
        <v>157.54362416107384</v>
      </c>
      <c r="AK82" s="370">
        <f>AK85-AK84</f>
        <v>295.55704697986579</v>
      </c>
      <c r="AL82" s="370">
        <f>AL85-AL84</f>
        <v>268.21476510067112</v>
      </c>
      <c r="AM82" s="374">
        <f t="shared" si="117"/>
        <v>563.77181208053685</v>
      </c>
      <c r="AN82" s="370">
        <f>AN85-AN84</f>
        <v>154.93959731543623</v>
      </c>
      <c r="AO82" s="370">
        <f>AO85-AO84</f>
        <v>268.21476510067112</v>
      </c>
      <c r="AP82" s="374">
        <f t="shared" si="118"/>
        <v>423.15436241610735</v>
      </c>
      <c r="AQ82" s="373">
        <f>(AO82)*1.025</f>
        <v>274.92013422818786</v>
      </c>
      <c r="AR82" s="373">
        <f>AQ82*1.025</f>
        <v>281.79313758389253</v>
      </c>
      <c r="AS82" s="374">
        <f t="shared" si="119"/>
        <v>556.71327181208039</v>
      </c>
      <c r="AT82" s="373">
        <f>(AR82)*1.025</f>
        <v>288.8379660234898</v>
      </c>
      <c r="AU82" s="373">
        <f>AT82*1.025</f>
        <v>296.05891517407701</v>
      </c>
      <c r="AV82" s="374">
        <f t="shared" si="120"/>
        <v>584.89688119756681</v>
      </c>
      <c r="AW82" s="373">
        <f>(AU82)*1.025</f>
        <v>303.46038805342891</v>
      </c>
      <c r="AX82" s="373">
        <f>AW82*1.025</f>
        <v>311.04689775476459</v>
      </c>
      <c r="AY82" s="374">
        <f t="shared" si="121"/>
        <v>614.5072858081935</v>
      </c>
      <c r="AZ82" s="373">
        <f>(AX82)*1.025</f>
        <v>318.82307019863367</v>
      </c>
      <c r="BA82" s="373">
        <f>AZ82*1.025</f>
        <v>326.79364695359948</v>
      </c>
      <c r="BB82" s="374">
        <f t="shared" si="122"/>
        <v>645.61671715223315</v>
      </c>
      <c r="BC82" s="373">
        <f>(BA82)*1.025</f>
        <v>334.96348812743946</v>
      </c>
      <c r="BD82" s="373">
        <f>BC82*1.025</f>
        <v>343.33757533062544</v>
      </c>
      <c r="BE82" s="374">
        <f t="shared" si="123"/>
        <v>678.30106345806485</v>
      </c>
    </row>
    <row r="83" spans="2:57" s="251" customFormat="1" outlineLevel="1">
      <c r="B83" s="255" t="s">
        <v>2297</v>
      </c>
      <c r="C83" s="256">
        <f t="shared" ref="C83:H83" si="124">C81+C82</f>
        <v>758</v>
      </c>
      <c r="D83" s="255">
        <f t="shared" si="124"/>
        <v>394</v>
      </c>
      <c r="E83" s="255">
        <f t="shared" si="124"/>
        <v>408</v>
      </c>
      <c r="F83" s="256">
        <f t="shared" si="124"/>
        <v>802</v>
      </c>
      <c r="G83" s="255">
        <f t="shared" si="124"/>
        <v>394</v>
      </c>
      <c r="H83" s="255">
        <f t="shared" si="124"/>
        <v>442</v>
      </c>
      <c r="I83" s="256">
        <f t="shared" si="110"/>
        <v>836</v>
      </c>
      <c r="J83" s="255">
        <f>J81+J82</f>
        <v>465</v>
      </c>
      <c r="K83" s="255">
        <f>K81+K82</f>
        <v>408</v>
      </c>
      <c r="L83" s="256">
        <f>J83+K83</f>
        <v>873</v>
      </c>
      <c r="M83" s="255">
        <f>M81+M82</f>
        <v>471</v>
      </c>
      <c r="N83" s="255">
        <f>N81+N82</f>
        <v>439</v>
      </c>
      <c r="O83" s="256">
        <f>M83+N83</f>
        <v>910</v>
      </c>
      <c r="P83" s="255">
        <f>P81+P82</f>
        <v>448</v>
      </c>
      <c r="Q83" s="255">
        <f>Q81+Q82</f>
        <v>386</v>
      </c>
      <c r="R83" s="256">
        <f>P83+Q83</f>
        <v>834</v>
      </c>
      <c r="S83" s="255">
        <f>S81+S82</f>
        <v>449</v>
      </c>
      <c r="T83" s="255">
        <f>T81+T82</f>
        <v>402</v>
      </c>
      <c r="U83" s="256">
        <f t="shared" si="111"/>
        <v>851</v>
      </c>
      <c r="V83" s="255">
        <f>V81+V82</f>
        <v>440</v>
      </c>
      <c r="W83" s="255">
        <f>W81+W82</f>
        <v>428</v>
      </c>
      <c r="X83" s="256">
        <f t="shared" si="112"/>
        <v>868</v>
      </c>
      <c r="Y83" s="255">
        <f>Y81+Y82</f>
        <v>442</v>
      </c>
      <c r="Z83" s="255">
        <f>Z81+Z82</f>
        <v>448</v>
      </c>
      <c r="AA83" s="256">
        <f t="shared" si="113"/>
        <v>890</v>
      </c>
      <c r="AB83" s="255">
        <f>AB81+AB82</f>
        <v>434</v>
      </c>
      <c r="AC83" s="255">
        <f>AC81+AC82</f>
        <v>388</v>
      </c>
      <c r="AD83" s="256">
        <f t="shared" si="114"/>
        <v>822</v>
      </c>
      <c r="AE83" s="255">
        <f>AE81+AE82</f>
        <v>507.78523489932888</v>
      </c>
      <c r="AF83" s="286">
        <f>AF81+AF82</f>
        <v>302.06711409395973</v>
      </c>
      <c r="AG83" s="256">
        <f t="shared" si="115"/>
        <v>809.85234899328862</v>
      </c>
      <c r="AH83" s="255">
        <f>AH81+AH82</f>
        <v>140.61744966442953</v>
      </c>
      <c r="AI83" s="255">
        <f>AI81+AI82</f>
        <v>16.926174496644297</v>
      </c>
      <c r="AJ83" s="256">
        <f t="shared" si="116"/>
        <v>157.54362416107384</v>
      </c>
      <c r="AK83" s="255">
        <f>AK81+AK82</f>
        <v>295.55704697986579</v>
      </c>
      <c r="AL83" s="255">
        <f>AL81+AL82</f>
        <v>268.21476510067112</v>
      </c>
      <c r="AM83" s="256">
        <f t="shared" si="117"/>
        <v>563.77181208053685</v>
      </c>
      <c r="AN83" s="255">
        <f>AN81+AN82</f>
        <v>154.93959731543623</v>
      </c>
      <c r="AO83" s="255">
        <f>AO81+AO82</f>
        <v>268.21476510067112</v>
      </c>
      <c r="AP83" s="256">
        <f t="shared" si="118"/>
        <v>423.15436241610735</v>
      </c>
      <c r="AQ83" s="255">
        <f>AQ81+AQ82</f>
        <v>274.92013422818786</v>
      </c>
      <c r="AR83" s="255">
        <f>AR81+AR82</f>
        <v>281.79313758389253</v>
      </c>
      <c r="AS83" s="256">
        <f t="shared" si="119"/>
        <v>556.71327181208039</v>
      </c>
      <c r="AT83" s="255">
        <f>AT81+AT82</f>
        <v>288.8379660234898</v>
      </c>
      <c r="AU83" s="255">
        <f>AU81+AU82</f>
        <v>296.05891517407701</v>
      </c>
      <c r="AV83" s="256">
        <f t="shared" si="120"/>
        <v>584.89688119756681</v>
      </c>
      <c r="AW83" s="255">
        <f>AW81+AW82</f>
        <v>303.46038805342891</v>
      </c>
      <c r="AX83" s="255">
        <f>AX81+AX82</f>
        <v>311.04689775476459</v>
      </c>
      <c r="AY83" s="256">
        <f t="shared" si="121"/>
        <v>614.5072858081935</v>
      </c>
      <c r="AZ83" s="255">
        <f>AZ81+AZ82</f>
        <v>318.82307019863367</v>
      </c>
      <c r="BA83" s="255">
        <f>BA81+BA82</f>
        <v>326.79364695359948</v>
      </c>
      <c r="BB83" s="256">
        <f t="shared" si="122"/>
        <v>645.61671715223315</v>
      </c>
      <c r="BC83" s="255">
        <f>BC81+BC82</f>
        <v>334.96348812743946</v>
      </c>
      <c r="BD83" s="255">
        <f>BD81+BD82</f>
        <v>343.33757533062544</v>
      </c>
      <c r="BE83" s="256">
        <f t="shared" si="123"/>
        <v>678.30106345806485</v>
      </c>
    </row>
    <row r="84" spans="2:57" s="251" customFormat="1" outlineLevel="1">
      <c r="B84" s="251" t="s">
        <v>2298</v>
      </c>
      <c r="C84" s="252">
        <v>-192</v>
      </c>
      <c r="D84" s="251">
        <v>-74</v>
      </c>
      <c r="E84" s="251">
        <f>F84-D84</f>
        <v>-81</v>
      </c>
      <c r="F84" s="252">
        <v>-155</v>
      </c>
      <c r="G84" s="251">
        <v>-79</v>
      </c>
      <c r="H84" s="251">
        <v>-84</v>
      </c>
      <c r="I84" s="252">
        <f t="shared" si="110"/>
        <v>-163</v>
      </c>
      <c r="J84" s="251">
        <v>-89</v>
      </c>
      <c r="K84" s="251">
        <f>L84-J84</f>
        <v>-94</v>
      </c>
      <c r="L84" s="252">
        <v>-183</v>
      </c>
      <c r="M84" s="251">
        <v>-107</v>
      </c>
      <c r="N84" s="251">
        <f>O84-M84</f>
        <v>-102</v>
      </c>
      <c r="O84" s="252">
        <f>-187-22</f>
        <v>-209</v>
      </c>
      <c r="P84" s="251">
        <v>-96</v>
      </c>
      <c r="Q84" s="251">
        <f>+R84-P84</f>
        <v>-103</v>
      </c>
      <c r="R84" s="252">
        <v>-199</v>
      </c>
      <c r="S84" s="251">
        <v>-106</v>
      </c>
      <c r="T84" s="251">
        <f>-208-S84</f>
        <v>-102</v>
      </c>
      <c r="U84" s="252">
        <f t="shared" si="111"/>
        <v>-208</v>
      </c>
      <c r="V84" s="395">
        <f>-91-17</f>
        <v>-108</v>
      </c>
      <c r="W84" s="251">
        <f>-209-V84</f>
        <v>-101</v>
      </c>
      <c r="X84" s="252">
        <f t="shared" si="112"/>
        <v>-209</v>
      </c>
      <c r="Y84" s="251">
        <f>-77-15</f>
        <v>-92</v>
      </c>
      <c r="Z84" s="251">
        <f>-33-150-Y84</f>
        <v>-91</v>
      </c>
      <c r="AA84" s="252">
        <f t="shared" si="113"/>
        <v>-183</v>
      </c>
      <c r="AB84" s="251">
        <f>-81-15</f>
        <v>-96</v>
      </c>
      <c r="AC84" s="251">
        <f>-(155+31)-AB84</f>
        <v>-90</v>
      </c>
      <c r="AD84" s="252">
        <f t="shared" si="114"/>
        <v>-186</v>
      </c>
      <c r="AE84" s="291">
        <f>AC84/AC85*AE85</f>
        <v>-117.78523489932886</v>
      </c>
      <c r="AF84" s="260">
        <f>AE84/AE85*AF85</f>
        <v>-70.067114093959731</v>
      </c>
      <c r="AG84" s="252">
        <f t="shared" si="115"/>
        <v>-187.85234899328859</v>
      </c>
      <c r="AH84" s="251">
        <f>AF84/AF85*AH85</f>
        <v>-32.617449664429529</v>
      </c>
      <c r="AI84" s="251">
        <f>AH84/AH85*AI85</f>
        <v>-3.9261744966442955</v>
      </c>
      <c r="AJ84" s="252">
        <f t="shared" si="116"/>
        <v>-36.543624161073822</v>
      </c>
      <c r="AK84" s="251">
        <f>AI84/AI85*AK85</f>
        <v>-68.557046979865774</v>
      </c>
      <c r="AL84" s="251">
        <f>AK84/AK85*AL85</f>
        <v>-62.214765100671144</v>
      </c>
      <c r="AM84" s="252">
        <f t="shared" si="117"/>
        <v>-130.7718120805369</v>
      </c>
      <c r="AN84" s="251">
        <f>AL84/AL85*AN85</f>
        <v>-35.939597315436245</v>
      </c>
      <c r="AO84" s="251">
        <f>AN84/AN85*AO85</f>
        <v>-62.214765100671144</v>
      </c>
      <c r="AP84" s="252">
        <f t="shared" si="118"/>
        <v>-98.154362416107389</v>
      </c>
      <c r="AQ84" s="251">
        <f>AO84/AO83*AQ83</f>
        <v>-63.770134228187914</v>
      </c>
      <c r="AR84" s="251">
        <f>AQ84/AQ83*AR83</f>
        <v>-65.364387583892608</v>
      </c>
      <c r="AS84" s="252">
        <f t="shared" si="119"/>
        <v>-129.13452181208052</v>
      </c>
      <c r="AT84" s="251">
        <f>AR84/AR83*AT83</f>
        <v>-66.998497273489917</v>
      </c>
      <c r="AU84" s="251">
        <f>AT84/AT83*AU83</f>
        <v>-68.673459705327161</v>
      </c>
      <c r="AV84" s="252">
        <f t="shared" si="120"/>
        <v>-135.67195697881709</v>
      </c>
      <c r="AW84" s="251">
        <f>AU84/AU83*AW83</f>
        <v>-70.390296197960339</v>
      </c>
      <c r="AX84" s="251">
        <f>AW84/AW83*AX83</f>
        <v>-72.150053602909338</v>
      </c>
      <c r="AY84" s="252">
        <f t="shared" si="121"/>
        <v>-142.54034980086968</v>
      </c>
      <c r="AZ84" s="251">
        <f>AX84/AX83*AZ83</f>
        <v>-73.95380494298206</v>
      </c>
      <c r="BA84" s="251">
        <f>AZ84/AZ83*BA83</f>
        <v>-75.802650066556595</v>
      </c>
      <c r="BB84" s="252">
        <f t="shared" si="122"/>
        <v>-149.75645500953866</v>
      </c>
      <c r="BC84" s="251">
        <f>BA84/BA83*BC83</f>
        <v>-77.6977163182205</v>
      </c>
      <c r="BD84" s="251">
        <f>BC84/BC83*BD83</f>
        <v>-79.64015922617601</v>
      </c>
      <c r="BE84" s="252">
        <f t="shared" si="123"/>
        <v>-157.33787554439652</v>
      </c>
    </row>
    <row r="85" spans="2:57" s="251" customFormat="1" outlineLevel="1">
      <c r="B85" s="255" t="s">
        <v>2299</v>
      </c>
      <c r="C85" s="256">
        <f t="shared" ref="C85:H85" si="125">C83+C84</f>
        <v>566</v>
      </c>
      <c r="D85" s="255">
        <f t="shared" si="125"/>
        <v>320</v>
      </c>
      <c r="E85" s="255">
        <f t="shared" si="125"/>
        <v>327</v>
      </c>
      <c r="F85" s="256">
        <f t="shared" si="125"/>
        <v>647</v>
      </c>
      <c r="G85" s="255">
        <f t="shared" si="125"/>
        <v>315</v>
      </c>
      <c r="H85" s="255">
        <f t="shared" si="125"/>
        <v>358</v>
      </c>
      <c r="I85" s="256">
        <f t="shared" si="110"/>
        <v>673</v>
      </c>
      <c r="J85" s="255">
        <f>J83+J84</f>
        <v>376</v>
      </c>
      <c r="K85" s="255">
        <f>K83+K84</f>
        <v>314</v>
      </c>
      <c r="L85" s="256">
        <f>J85+K85</f>
        <v>690</v>
      </c>
      <c r="M85" s="255">
        <f>M83+M84</f>
        <v>364</v>
      </c>
      <c r="N85" s="255">
        <f>N83+N84</f>
        <v>337</v>
      </c>
      <c r="O85" s="256">
        <f>M85+N85</f>
        <v>701</v>
      </c>
      <c r="P85" s="255">
        <f>P83+P84</f>
        <v>352</v>
      </c>
      <c r="Q85" s="255">
        <f>Q83+Q84</f>
        <v>283</v>
      </c>
      <c r="R85" s="256">
        <f>P85+Q85</f>
        <v>635</v>
      </c>
      <c r="S85" s="255">
        <f>S83+S84</f>
        <v>343</v>
      </c>
      <c r="T85" s="255">
        <f>T83+T84</f>
        <v>300</v>
      </c>
      <c r="U85" s="256">
        <f t="shared" si="111"/>
        <v>643</v>
      </c>
      <c r="V85" s="255">
        <f>V83+V84</f>
        <v>332</v>
      </c>
      <c r="W85" s="255">
        <f>W83+W84</f>
        <v>327</v>
      </c>
      <c r="X85" s="256">
        <f t="shared" si="112"/>
        <v>659</v>
      </c>
      <c r="Y85" s="255">
        <f>Y83+Y84</f>
        <v>350</v>
      </c>
      <c r="Z85" s="255">
        <f>Z83+Z84</f>
        <v>357</v>
      </c>
      <c r="AA85" s="256">
        <f t="shared" si="113"/>
        <v>707</v>
      </c>
      <c r="AB85" s="255">
        <f>AB83+AB84</f>
        <v>338</v>
      </c>
      <c r="AC85" s="255">
        <f>AC83+AC84</f>
        <v>298</v>
      </c>
      <c r="AD85" s="256">
        <f t="shared" si="114"/>
        <v>636</v>
      </c>
      <c r="AE85" s="255">
        <v>390</v>
      </c>
      <c r="AF85" s="286">
        <f>622-AE85</f>
        <v>232</v>
      </c>
      <c r="AG85" s="256">
        <f t="shared" si="115"/>
        <v>622</v>
      </c>
      <c r="AH85" s="255">
        <v>108</v>
      </c>
      <c r="AI85" s="255">
        <v>13</v>
      </c>
      <c r="AJ85" s="256">
        <f t="shared" si="116"/>
        <v>121</v>
      </c>
      <c r="AK85" s="255">
        <v>227</v>
      </c>
      <c r="AL85" s="255">
        <v>206</v>
      </c>
      <c r="AM85" s="256">
        <f t="shared" si="117"/>
        <v>433</v>
      </c>
      <c r="AN85" s="255">
        <v>119</v>
      </c>
      <c r="AO85" s="762">
        <v>206</v>
      </c>
      <c r="AP85" s="256">
        <f t="shared" si="118"/>
        <v>325</v>
      </c>
      <c r="AQ85" s="255">
        <f>AQ83+AQ84</f>
        <v>211.14999999999995</v>
      </c>
      <c r="AR85" s="255">
        <f>AR83+AR84</f>
        <v>216.42874999999992</v>
      </c>
      <c r="AS85" s="256">
        <f t="shared" si="119"/>
        <v>427.5787499999999</v>
      </c>
      <c r="AT85" s="255">
        <f>AT83+AT84</f>
        <v>221.83946874999987</v>
      </c>
      <c r="AU85" s="255">
        <f>AU83+AU84</f>
        <v>227.38545546874985</v>
      </c>
      <c r="AV85" s="256">
        <f t="shared" si="120"/>
        <v>449.22492421874972</v>
      </c>
      <c r="AW85" s="255">
        <f>AW83+AW84</f>
        <v>233.07009185546858</v>
      </c>
      <c r="AX85" s="255">
        <f>AX83+AX84</f>
        <v>238.89684415185525</v>
      </c>
      <c r="AY85" s="256">
        <f t="shared" si="121"/>
        <v>471.96693600732385</v>
      </c>
      <c r="AZ85" s="255">
        <f>AZ83+AZ84</f>
        <v>244.86926525565161</v>
      </c>
      <c r="BA85" s="255">
        <f>BA83+BA84</f>
        <v>250.99099688704288</v>
      </c>
      <c r="BB85" s="256">
        <f t="shared" si="122"/>
        <v>495.86026214269452</v>
      </c>
      <c r="BC85" s="255">
        <f>BC83+BC84</f>
        <v>257.26577180921896</v>
      </c>
      <c r="BD85" s="255">
        <f>BD83+BD84</f>
        <v>263.69741610444942</v>
      </c>
      <c r="BE85" s="256">
        <f t="shared" si="123"/>
        <v>520.96318791366843</v>
      </c>
    </row>
    <row r="86" spans="2:57" s="251" customFormat="1" outlineLevel="1">
      <c r="B86" s="251" t="s">
        <v>2300</v>
      </c>
      <c r="C86" s="252">
        <v>-287</v>
      </c>
      <c r="D86" s="251">
        <v>-144</v>
      </c>
      <c r="E86" s="251">
        <f>F86-D86</f>
        <v>-172</v>
      </c>
      <c r="F86" s="252">
        <v>-316</v>
      </c>
      <c r="G86" s="251">
        <v>-151</v>
      </c>
      <c r="H86" s="251">
        <v>-170</v>
      </c>
      <c r="I86" s="252">
        <f t="shared" si="110"/>
        <v>-321</v>
      </c>
      <c r="J86" s="290">
        <v>-131</v>
      </c>
      <c r="K86" s="251">
        <f>L86-J86</f>
        <v>-136</v>
      </c>
      <c r="L86" s="252">
        <v>-267</v>
      </c>
      <c r="M86" s="251">
        <v>-138</v>
      </c>
      <c r="N86" s="251">
        <f>O86-M86</f>
        <v>-143</v>
      </c>
      <c r="O86" s="252">
        <f>-267-14</f>
        <v>-281</v>
      </c>
      <c r="P86" s="251">
        <v>-136</v>
      </c>
      <c r="Q86" s="251">
        <f>+R86-P86</f>
        <v>-140</v>
      </c>
      <c r="R86" s="252">
        <v>-276</v>
      </c>
      <c r="S86" s="251">
        <v>-143</v>
      </c>
      <c r="T86" s="251">
        <f>-292-S86</f>
        <v>-149</v>
      </c>
      <c r="U86" s="252">
        <f t="shared" si="111"/>
        <v>-292</v>
      </c>
      <c r="V86" s="251">
        <v>-156</v>
      </c>
      <c r="W86" s="251">
        <v>-162</v>
      </c>
      <c r="X86" s="252">
        <f t="shared" si="112"/>
        <v>-318</v>
      </c>
      <c r="Y86" s="251">
        <v>-158</v>
      </c>
      <c r="Z86" s="251">
        <f>-314-Y86</f>
        <v>-156</v>
      </c>
      <c r="AA86" s="252">
        <f t="shared" si="113"/>
        <v>-314</v>
      </c>
      <c r="AB86" s="251">
        <v>-162</v>
      </c>
      <c r="AC86" s="251">
        <f>-319-AB86</f>
        <v>-157</v>
      </c>
      <c r="AD86" s="252">
        <f t="shared" si="114"/>
        <v>-319</v>
      </c>
      <c r="AE86" s="251">
        <v>-162</v>
      </c>
      <c r="AF86" s="260">
        <f>-339-AE86</f>
        <v>-177</v>
      </c>
      <c r="AG86" s="252">
        <f t="shared" si="115"/>
        <v>-339</v>
      </c>
      <c r="AH86" s="251">
        <v>-22</v>
      </c>
      <c r="AI86" s="251">
        <v>-20</v>
      </c>
      <c r="AJ86" s="252">
        <f t="shared" si="116"/>
        <v>-42</v>
      </c>
      <c r="AK86" s="251">
        <v>-131</v>
      </c>
      <c r="AL86" s="251">
        <v>-141</v>
      </c>
      <c r="AM86" s="252">
        <f t="shared" si="117"/>
        <v>-272</v>
      </c>
      <c r="AN86" s="251">
        <v>-130</v>
      </c>
      <c r="AO86" s="291">
        <v>-141</v>
      </c>
      <c r="AP86" s="252">
        <f t="shared" si="118"/>
        <v>-271</v>
      </c>
      <c r="AQ86" s="281">
        <f>AO86*1.025</f>
        <v>-144.52499999999998</v>
      </c>
      <c r="AR86" s="281">
        <f>AQ86*1.025</f>
        <v>-148.13812499999997</v>
      </c>
      <c r="AS86" s="252">
        <f t="shared" si="119"/>
        <v>-292.66312499999992</v>
      </c>
      <c r="AT86" s="281">
        <f>AR86*1.025</f>
        <v>-151.84157812499996</v>
      </c>
      <c r="AU86" s="281">
        <f>AT86*1.025</f>
        <v>-155.63761757812495</v>
      </c>
      <c r="AV86" s="252">
        <f t="shared" si="120"/>
        <v>-307.4791957031249</v>
      </c>
      <c r="AW86" s="281">
        <f>AU86*1.025</f>
        <v>-159.52855801757806</v>
      </c>
      <c r="AX86" s="281">
        <f>AW86*1.025</f>
        <v>-163.51677196801751</v>
      </c>
      <c r="AY86" s="252">
        <f t="shared" si="121"/>
        <v>-323.04532998559557</v>
      </c>
      <c r="AZ86" s="281">
        <f>AX86*1.025</f>
        <v>-167.60469126721793</v>
      </c>
      <c r="BA86" s="281">
        <f>AZ86*1.025</f>
        <v>-171.79480854889837</v>
      </c>
      <c r="BB86" s="252">
        <f t="shared" si="122"/>
        <v>-339.3994998161163</v>
      </c>
      <c r="BC86" s="281">
        <f>BA86*1.025</f>
        <v>-176.08967876262082</v>
      </c>
      <c r="BD86" s="281">
        <f>BC86*1.025</f>
        <v>-180.49192073168632</v>
      </c>
      <c r="BE86" s="252">
        <f t="shared" si="123"/>
        <v>-356.58159949430717</v>
      </c>
    </row>
    <row r="87" spans="2:57" s="251" customFormat="1" outlineLevel="1">
      <c r="B87" s="255" t="s">
        <v>2301</v>
      </c>
      <c r="C87" s="256">
        <f t="shared" ref="C87:AJ87" si="126">C84+C86</f>
        <v>-479</v>
      </c>
      <c r="D87" s="255">
        <f t="shared" si="126"/>
        <v>-218</v>
      </c>
      <c r="E87" s="255">
        <f t="shared" si="126"/>
        <v>-253</v>
      </c>
      <c r="F87" s="256">
        <f t="shared" si="126"/>
        <v>-471</v>
      </c>
      <c r="G87" s="255">
        <f t="shared" si="126"/>
        <v>-230</v>
      </c>
      <c r="H87" s="255">
        <f t="shared" si="126"/>
        <v>-254</v>
      </c>
      <c r="I87" s="256">
        <f t="shared" si="126"/>
        <v>-484</v>
      </c>
      <c r="J87" s="255">
        <f t="shared" si="126"/>
        <v>-220</v>
      </c>
      <c r="K87" s="255">
        <f t="shared" si="126"/>
        <v>-230</v>
      </c>
      <c r="L87" s="256">
        <f t="shared" si="126"/>
        <v>-450</v>
      </c>
      <c r="M87" s="255">
        <f t="shared" si="126"/>
        <v>-245</v>
      </c>
      <c r="N87" s="255">
        <f t="shared" si="126"/>
        <v>-245</v>
      </c>
      <c r="O87" s="256">
        <f t="shared" si="126"/>
        <v>-490</v>
      </c>
      <c r="P87" s="255">
        <f t="shared" si="126"/>
        <v>-232</v>
      </c>
      <c r="Q87" s="255">
        <f t="shared" si="126"/>
        <v>-243</v>
      </c>
      <c r="R87" s="256">
        <f t="shared" si="126"/>
        <v>-475</v>
      </c>
      <c r="S87" s="255">
        <f t="shared" si="126"/>
        <v>-249</v>
      </c>
      <c r="T87" s="255">
        <f t="shared" si="126"/>
        <v>-251</v>
      </c>
      <c r="U87" s="256">
        <f>U84+U86</f>
        <v>-500</v>
      </c>
      <c r="V87" s="255">
        <f>V84+V86</f>
        <v>-264</v>
      </c>
      <c r="W87" s="255">
        <f t="shared" si="126"/>
        <v>-263</v>
      </c>
      <c r="X87" s="256">
        <f t="shared" si="126"/>
        <v>-527</v>
      </c>
      <c r="Y87" s="255">
        <f t="shared" si="126"/>
        <v>-250</v>
      </c>
      <c r="Z87" s="255">
        <f t="shared" si="126"/>
        <v>-247</v>
      </c>
      <c r="AA87" s="256">
        <f t="shared" si="126"/>
        <v>-497</v>
      </c>
      <c r="AB87" s="255">
        <f t="shared" si="126"/>
        <v>-258</v>
      </c>
      <c r="AC87" s="255">
        <f>AC84+AC86</f>
        <v>-247</v>
      </c>
      <c r="AD87" s="256">
        <f t="shared" si="126"/>
        <v>-505</v>
      </c>
      <c r="AE87" s="255">
        <f>AE84+AE86</f>
        <v>-279.78523489932888</v>
      </c>
      <c r="AF87" s="286">
        <f t="shared" si="126"/>
        <v>-247.06711409395973</v>
      </c>
      <c r="AG87" s="256">
        <f t="shared" si="126"/>
        <v>-526.85234899328862</v>
      </c>
      <c r="AH87" s="255">
        <f t="shared" si="126"/>
        <v>-54.617449664429529</v>
      </c>
      <c r="AI87" s="255">
        <f t="shared" si="126"/>
        <v>-23.926174496644297</v>
      </c>
      <c r="AJ87" s="256">
        <f t="shared" si="126"/>
        <v>-78.543624161073822</v>
      </c>
      <c r="AK87" s="255">
        <f t="shared" ref="AK87:BB87" si="127">AK84+AK86</f>
        <v>-199.55704697986579</v>
      </c>
      <c r="AL87" s="255">
        <f t="shared" si="127"/>
        <v>-203.21476510067114</v>
      </c>
      <c r="AM87" s="256">
        <f t="shared" si="127"/>
        <v>-402.7718120805369</v>
      </c>
      <c r="AN87" s="255">
        <f>AN84+AN86</f>
        <v>-165.93959731543623</v>
      </c>
      <c r="AO87" s="255">
        <f>AO84+AO86</f>
        <v>-203.21476510067114</v>
      </c>
      <c r="AP87" s="256">
        <f>AP84+AP86</f>
        <v>-369.1543624161074</v>
      </c>
      <c r="AQ87" s="255">
        <f t="shared" si="127"/>
        <v>-208.29513422818789</v>
      </c>
      <c r="AR87" s="255">
        <f t="shared" si="127"/>
        <v>-213.50251258389258</v>
      </c>
      <c r="AS87" s="256">
        <f t="shared" si="127"/>
        <v>-421.79764681208042</v>
      </c>
      <c r="AT87" s="255">
        <f t="shared" si="127"/>
        <v>-218.84007539848989</v>
      </c>
      <c r="AU87" s="255">
        <f t="shared" si="127"/>
        <v>-224.31107728345211</v>
      </c>
      <c r="AV87" s="256">
        <f t="shared" si="127"/>
        <v>-443.15115268194199</v>
      </c>
      <c r="AW87" s="255">
        <f t="shared" si="127"/>
        <v>-229.9188542155384</v>
      </c>
      <c r="AX87" s="255">
        <f t="shared" si="127"/>
        <v>-235.66682557092685</v>
      </c>
      <c r="AY87" s="256">
        <f t="shared" si="127"/>
        <v>-465.58567978646522</v>
      </c>
      <c r="AZ87" s="255">
        <f t="shared" si="127"/>
        <v>-241.55849621019999</v>
      </c>
      <c r="BA87" s="255">
        <f t="shared" si="127"/>
        <v>-247.59745861545497</v>
      </c>
      <c r="BB87" s="256">
        <f t="shared" si="127"/>
        <v>-489.15595482565493</v>
      </c>
      <c r="BC87" s="255">
        <f>BC84+BC86</f>
        <v>-253.78739508084132</v>
      </c>
      <c r="BD87" s="255">
        <f>BD84+BD86</f>
        <v>-260.13207995786235</v>
      </c>
      <c r="BE87" s="256">
        <f>BE84+BE86</f>
        <v>-513.91947503870369</v>
      </c>
    </row>
    <row r="88" spans="2:57" s="251" customFormat="1" outlineLevel="1">
      <c r="B88" s="255" t="s">
        <v>2302</v>
      </c>
      <c r="C88" s="256">
        <f t="shared" ref="C88:AK88" si="128">C83+C87</f>
        <v>279</v>
      </c>
      <c r="D88" s="255">
        <f t="shared" si="128"/>
        <v>176</v>
      </c>
      <c r="E88" s="255">
        <f t="shared" si="128"/>
        <v>155</v>
      </c>
      <c r="F88" s="256">
        <f t="shared" si="128"/>
        <v>331</v>
      </c>
      <c r="G88" s="255">
        <f t="shared" si="128"/>
        <v>164</v>
      </c>
      <c r="H88" s="255">
        <f t="shared" si="128"/>
        <v>188</v>
      </c>
      <c r="I88" s="256">
        <f t="shared" si="128"/>
        <v>352</v>
      </c>
      <c r="J88" s="255">
        <f t="shared" si="128"/>
        <v>245</v>
      </c>
      <c r="K88" s="255">
        <f t="shared" si="128"/>
        <v>178</v>
      </c>
      <c r="L88" s="256">
        <f t="shared" si="128"/>
        <v>423</v>
      </c>
      <c r="M88" s="255">
        <f>M83+M87</f>
        <v>226</v>
      </c>
      <c r="N88" s="255">
        <f t="shared" si="128"/>
        <v>194</v>
      </c>
      <c r="O88" s="256">
        <f t="shared" si="128"/>
        <v>420</v>
      </c>
      <c r="P88" s="255">
        <f>P83+P87</f>
        <v>216</v>
      </c>
      <c r="Q88" s="255">
        <f>Q83+Q87</f>
        <v>143</v>
      </c>
      <c r="R88" s="256">
        <f t="shared" si="128"/>
        <v>359</v>
      </c>
      <c r="S88" s="255">
        <f>S83+S87</f>
        <v>200</v>
      </c>
      <c r="T88" s="255">
        <f>T83+T87</f>
        <v>151</v>
      </c>
      <c r="U88" s="256">
        <f t="shared" si="128"/>
        <v>351</v>
      </c>
      <c r="V88" s="255">
        <f t="shared" si="128"/>
        <v>176</v>
      </c>
      <c r="W88" s="255">
        <f t="shared" si="128"/>
        <v>165</v>
      </c>
      <c r="X88" s="256">
        <f t="shared" si="128"/>
        <v>341</v>
      </c>
      <c r="Y88" s="255">
        <f t="shared" si="128"/>
        <v>192</v>
      </c>
      <c r="Z88" s="255">
        <f t="shared" si="128"/>
        <v>201</v>
      </c>
      <c r="AA88" s="256">
        <f t="shared" si="128"/>
        <v>393</v>
      </c>
      <c r="AB88" s="255">
        <f t="shared" si="128"/>
        <v>176</v>
      </c>
      <c r="AC88" s="255">
        <f>AC83+AC87</f>
        <v>141</v>
      </c>
      <c r="AD88" s="256">
        <f t="shared" si="128"/>
        <v>317</v>
      </c>
      <c r="AE88" s="255">
        <f t="shared" si="128"/>
        <v>228</v>
      </c>
      <c r="AF88" s="286">
        <f t="shared" si="128"/>
        <v>55</v>
      </c>
      <c r="AG88" s="256">
        <f t="shared" si="128"/>
        <v>283</v>
      </c>
      <c r="AH88" s="255">
        <f>AH83+AH87</f>
        <v>86</v>
      </c>
      <c r="AI88" s="255">
        <f t="shared" si="128"/>
        <v>-7</v>
      </c>
      <c r="AJ88" s="256">
        <f t="shared" si="128"/>
        <v>79.000000000000014</v>
      </c>
      <c r="AK88" s="255">
        <f t="shared" si="128"/>
        <v>96</v>
      </c>
      <c r="AL88" s="255">
        <f t="shared" ref="AL88:BB88" si="129">AL83+AL87</f>
        <v>64.999999999999972</v>
      </c>
      <c r="AM88" s="256">
        <f t="shared" si="129"/>
        <v>160.99999999999994</v>
      </c>
      <c r="AN88" s="255">
        <f t="shared" si="129"/>
        <v>-11</v>
      </c>
      <c r="AO88" s="255">
        <f>AO83+AO87</f>
        <v>64.999999999999972</v>
      </c>
      <c r="AP88" s="256">
        <f>AP83+AP87</f>
        <v>53.999999999999943</v>
      </c>
      <c r="AQ88" s="255">
        <f t="shared" si="129"/>
        <v>66.624999999999972</v>
      </c>
      <c r="AR88" s="255">
        <f t="shared" si="129"/>
        <v>68.290624999999949</v>
      </c>
      <c r="AS88" s="256">
        <f t="shared" si="129"/>
        <v>134.91562499999998</v>
      </c>
      <c r="AT88" s="255">
        <f t="shared" si="129"/>
        <v>69.997890624999911</v>
      </c>
      <c r="AU88" s="255">
        <f t="shared" si="129"/>
        <v>71.747837890624908</v>
      </c>
      <c r="AV88" s="256">
        <f t="shared" si="129"/>
        <v>141.74572851562482</v>
      </c>
      <c r="AW88" s="255">
        <f t="shared" si="129"/>
        <v>73.541533837890512</v>
      </c>
      <c r="AX88" s="255">
        <f t="shared" si="129"/>
        <v>75.38007218383774</v>
      </c>
      <c r="AY88" s="256">
        <f t="shared" si="129"/>
        <v>148.92160602172828</v>
      </c>
      <c r="AZ88" s="255">
        <f t="shared" si="129"/>
        <v>77.264573988433682</v>
      </c>
      <c r="BA88" s="255">
        <f t="shared" si="129"/>
        <v>79.196188338144509</v>
      </c>
      <c r="BB88" s="256">
        <f t="shared" si="129"/>
        <v>156.46076232657822</v>
      </c>
      <c r="BC88" s="255">
        <f>BC83+BC87</f>
        <v>81.17609304659814</v>
      </c>
      <c r="BD88" s="255">
        <f>BD83+BD87</f>
        <v>83.205495372763096</v>
      </c>
      <c r="BE88" s="256">
        <f>BE83+BE87</f>
        <v>164.38158841936115</v>
      </c>
    </row>
    <row r="89" spans="2:57" s="251" customFormat="1" outlineLevel="1">
      <c r="B89" s="251" t="s">
        <v>77</v>
      </c>
      <c r="C89" s="252">
        <v>-78</v>
      </c>
      <c r="D89" s="251">
        <v>-47</v>
      </c>
      <c r="E89" s="251">
        <f>F89-D89</f>
        <v>-49</v>
      </c>
      <c r="F89" s="252">
        <v>-96</v>
      </c>
      <c r="G89" s="251">
        <v>-49</v>
      </c>
      <c r="H89" s="251">
        <v>-54</v>
      </c>
      <c r="I89" s="252">
        <f>G89+H89</f>
        <v>-103</v>
      </c>
      <c r="J89" s="251">
        <v>-64</v>
      </c>
      <c r="K89" s="251">
        <f>L89-J89</f>
        <v>-50</v>
      </c>
      <c r="L89" s="252">
        <v>-114</v>
      </c>
      <c r="M89" s="251">
        <v>-67</v>
      </c>
      <c r="N89" s="251">
        <f>O89-M89</f>
        <v>-54</v>
      </c>
      <c r="O89" s="252">
        <f>-116-5</f>
        <v>-121</v>
      </c>
      <c r="P89" s="251">
        <v>-63</v>
      </c>
      <c r="Q89" s="251">
        <f>+R89-P89</f>
        <v>-42</v>
      </c>
      <c r="R89" s="252">
        <v>-105</v>
      </c>
      <c r="S89" s="251">
        <v>-60</v>
      </c>
      <c r="T89" s="251">
        <f>-105-S89</f>
        <v>-45</v>
      </c>
      <c r="U89" s="252">
        <f>S89+T89</f>
        <v>-105</v>
      </c>
      <c r="V89" s="251">
        <v>-53</v>
      </c>
      <c r="W89" s="251">
        <f>-101-V89</f>
        <v>-48</v>
      </c>
      <c r="X89" s="252">
        <f>V89+W89</f>
        <v>-101</v>
      </c>
      <c r="Y89" s="251">
        <v>-50</v>
      </c>
      <c r="Z89" s="251">
        <f>-111-Y89</f>
        <v>-61</v>
      </c>
      <c r="AA89" s="252">
        <f>Y89+Z89</f>
        <v>-111</v>
      </c>
      <c r="AB89" s="251">
        <v>-52</v>
      </c>
      <c r="AC89" s="251">
        <f>-91-AB89</f>
        <v>-39</v>
      </c>
      <c r="AD89" s="252">
        <f>AB89+AC89</f>
        <v>-91</v>
      </c>
      <c r="AE89" s="251">
        <v>-67</v>
      </c>
      <c r="AF89" s="260">
        <f>-80-AE89</f>
        <v>-13</v>
      </c>
      <c r="AG89" s="252">
        <f>AE89+AF89</f>
        <v>-80</v>
      </c>
      <c r="AH89" s="251">
        <v>-26</v>
      </c>
      <c r="AI89" s="251">
        <v>3</v>
      </c>
      <c r="AJ89" s="252">
        <f>AH89+AI89</f>
        <v>-23</v>
      </c>
      <c r="AK89" s="251">
        <v>-29</v>
      </c>
      <c r="AL89" s="251">
        <v>-20</v>
      </c>
      <c r="AM89" s="252">
        <f>AK89+AL89</f>
        <v>-49</v>
      </c>
      <c r="AN89" s="251">
        <v>4</v>
      </c>
      <c r="AO89" s="291">
        <v>-20</v>
      </c>
      <c r="AP89" s="252">
        <f>AN89+AO89</f>
        <v>-16</v>
      </c>
      <c r="AQ89" s="281">
        <f>-AQ88*0.27</f>
        <v>-17.988749999999992</v>
      </c>
      <c r="AR89" s="281">
        <f>-AR88*0.27</f>
        <v>-18.438468749999988</v>
      </c>
      <c r="AS89" s="252">
        <f>AQ89+AR89</f>
        <v>-36.42721874999998</v>
      </c>
      <c r="AT89" s="281">
        <f>-AT88*0.27</f>
        <v>-18.899430468749976</v>
      </c>
      <c r="AU89" s="281">
        <f>-AU88*0.27</f>
        <v>-19.371916230468727</v>
      </c>
      <c r="AV89" s="252">
        <f>AT89+AU89</f>
        <v>-38.271346699218704</v>
      </c>
      <c r="AW89" s="281">
        <f>-AW88*0.27</f>
        <v>-19.856214136230438</v>
      </c>
      <c r="AX89" s="281">
        <f>-AX88*0.27</f>
        <v>-20.35261948963619</v>
      </c>
      <c r="AY89" s="252">
        <f>AW89+AX89</f>
        <v>-40.208833625866632</v>
      </c>
      <c r="AZ89" s="281">
        <f>-AZ88*0.27</f>
        <v>-20.861434976877096</v>
      </c>
      <c r="BA89" s="281">
        <f>-BA88*0.27</f>
        <v>-21.382970851299017</v>
      </c>
      <c r="BB89" s="252">
        <f>AZ89+BA89</f>
        <v>-42.244405828176113</v>
      </c>
      <c r="BC89" s="281">
        <f>-BC88*0.27</f>
        <v>-21.917545122581501</v>
      </c>
      <c r="BD89" s="281">
        <f>-BD88*0.27</f>
        <v>-22.465483750646037</v>
      </c>
      <c r="BE89" s="252">
        <f>BC89+BD89</f>
        <v>-44.383028873227538</v>
      </c>
    </row>
    <row r="90" spans="2:57" s="251" customFormat="1" outlineLevel="1">
      <c r="B90" s="255" t="s">
        <v>2303</v>
      </c>
      <c r="C90" s="256">
        <f t="shared" ref="C90:AK90" si="130">C88+C89</f>
        <v>201</v>
      </c>
      <c r="D90" s="255">
        <f t="shared" si="130"/>
        <v>129</v>
      </c>
      <c r="E90" s="255">
        <f t="shared" si="130"/>
        <v>106</v>
      </c>
      <c r="F90" s="256">
        <f t="shared" si="130"/>
        <v>235</v>
      </c>
      <c r="G90" s="255">
        <f t="shared" si="130"/>
        <v>115</v>
      </c>
      <c r="H90" s="255">
        <f t="shared" si="130"/>
        <v>134</v>
      </c>
      <c r="I90" s="256">
        <f t="shared" si="130"/>
        <v>249</v>
      </c>
      <c r="J90" s="255">
        <f>J88+J89</f>
        <v>181</v>
      </c>
      <c r="K90" s="255">
        <f t="shared" si="130"/>
        <v>128</v>
      </c>
      <c r="L90" s="256">
        <f t="shared" si="130"/>
        <v>309</v>
      </c>
      <c r="M90" s="255">
        <f>M88+M89</f>
        <v>159</v>
      </c>
      <c r="N90" s="255">
        <f t="shared" si="130"/>
        <v>140</v>
      </c>
      <c r="O90" s="256">
        <f>O88+O89</f>
        <v>299</v>
      </c>
      <c r="P90" s="255">
        <f>P88+P89</f>
        <v>153</v>
      </c>
      <c r="Q90" s="255">
        <f>Q88+Q89</f>
        <v>101</v>
      </c>
      <c r="R90" s="256">
        <f t="shared" si="130"/>
        <v>254</v>
      </c>
      <c r="S90" s="255">
        <f>S88+S89</f>
        <v>140</v>
      </c>
      <c r="T90" s="255">
        <f t="shared" si="130"/>
        <v>106</v>
      </c>
      <c r="U90" s="256">
        <f t="shared" si="130"/>
        <v>246</v>
      </c>
      <c r="V90" s="255">
        <f t="shared" si="130"/>
        <v>123</v>
      </c>
      <c r="W90" s="255">
        <f t="shared" si="130"/>
        <v>117</v>
      </c>
      <c r="X90" s="256">
        <f t="shared" si="130"/>
        <v>240</v>
      </c>
      <c r="Y90" s="255">
        <f t="shared" si="130"/>
        <v>142</v>
      </c>
      <c r="Z90" s="255">
        <f t="shared" si="130"/>
        <v>140</v>
      </c>
      <c r="AA90" s="256">
        <f t="shared" si="130"/>
        <v>282</v>
      </c>
      <c r="AB90" s="255">
        <f t="shared" si="130"/>
        <v>124</v>
      </c>
      <c r="AC90" s="255">
        <f>AC88+AC89</f>
        <v>102</v>
      </c>
      <c r="AD90" s="256">
        <f t="shared" si="130"/>
        <v>226</v>
      </c>
      <c r="AE90" s="255">
        <f t="shared" si="130"/>
        <v>161</v>
      </c>
      <c r="AF90" s="286">
        <f t="shared" si="130"/>
        <v>42</v>
      </c>
      <c r="AG90" s="256">
        <f t="shared" si="130"/>
        <v>203</v>
      </c>
      <c r="AH90" s="255">
        <f>AH88+AH89</f>
        <v>60</v>
      </c>
      <c r="AI90" s="255">
        <f t="shared" si="130"/>
        <v>-4</v>
      </c>
      <c r="AJ90" s="256">
        <f t="shared" si="130"/>
        <v>56.000000000000014</v>
      </c>
      <c r="AK90" s="255">
        <f t="shared" si="130"/>
        <v>67</v>
      </c>
      <c r="AL90" s="255">
        <f t="shared" ref="AL90:BB90" si="131">AL88+AL89</f>
        <v>44.999999999999972</v>
      </c>
      <c r="AM90" s="256">
        <f t="shared" si="131"/>
        <v>111.99999999999994</v>
      </c>
      <c r="AN90" s="255">
        <f t="shared" si="131"/>
        <v>-7</v>
      </c>
      <c r="AO90" s="255">
        <f>AO88+AO89</f>
        <v>44.999999999999972</v>
      </c>
      <c r="AP90" s="256">
        <f>AP88+AP89</f>
        <v>37.999999999999943</v>
      </c>
      <c r="AQ90" s="255">
        <f t="shared" si="131"/>
        <v>48.636249999999976</v>
      </c>
      <c r="AR90" s="255">
        <f t="shared" si="131"/>
        <v>49.852156249999965</v>
      </c>
      <c r="AS90" s="256">
        <f t="shared" si="131"/>
        <v>98.488406249999997</v>
      </c>
      <c r="AT90" s="255">
        <f t="shared" si="131"/>
        <v>51.098460156249935</v>
      </c>
      <c r="AU90" s="255">
        <f t="shared" si="131"/>
        <v>52.37592166015618</v>
      </c>
      <c r="AV90" s="256">
        <f t="shared" si="131"/>
        <v>103.47438181640612</v>
      </c>
      <c r="AW90" s="255">
        <f t="shared" si="131"/>
        <v>53.685319701660077</v>
      </c>
      <c r="AX90" s="255">
        <f t="shared" si="131"/>
        <v>55.02745269420155</v>
      </c>
      <c r="AY90" s="256">
        <f t="shared" si="131"/>
        <v>108.71277239586165</v>
      </c>
      <c r="AZ90" s="255">
        <f t="shared" si="131"/>
        <v>56.40313901155659</v>
      </c>
      <c r="BA90" s="255">
        <f t="shared" si="131"/>
        <v>57.813217486845488</v>
      </c>
      <c r="BB90" s="256">
        <f t="shared" si="131"/>
        <v>114.21635649840211</v>
      </c>
      <c r="BC90" s="255">
        <f>BC88+BC89</f>
        <v>59.258547924016639</v>
      </c>
      <c r="BD90" s="255">
        <f>BD88+BD89</f>
        <v>60.740011622117059</v>
      </c>
      <c r="BE90" s="256">
        <f>BE88+BE89</f>
        <v>119.99855954613361</v>
      </c>
    </row>
    <row r="91" spans="2:57" s="251" customFormat="1" outlineLevel="1">
      <c r="B91" s="251" t="s">
        <v>2304</v>
      </c>
      <c r="C91" s="252"/>
      <c r="F91" s="252"/>
      <c r="I91" s="252"/>
      <c r="L91" s="252"/>
      <c r="M91" s="284"/>
      <c r="O91" s="283"/>
      <c r="P91" s="284"/>
      <c r="Q91" s="284"/>
      <c r="R91" s="252">
        <v>254</v>
      </c>
      <c r="S91" s="251">
        <v>130.09476424870462</v>
      </c>
      <c r="T91" s="251">
        <v>144.23126841968912</v>
      </c>
      <c r="U91" s="252">
        <v>274.32603266839374</v>
      </c>
      <c r="V91" s="291">
        <v>150.38749882357513</v>
      </c>
      <c r="W91" s="291">
        <v>156.94180783782645</v>
      </c>
      <c r="X91" s="252">
        <v>307.32930666140157</v>
      </c>
      <c r="Y91" s="251">
        <v>162.85128690364192</v>
      </c>
      <c r="Z91" s="251">
        <v>169.10164779627598</v>
      </c>
      <c r="AA91" s="252">
        <v>331.95293469991805</v>
      </c>
      <c r="AB91" s="251">
        <v>174.54713988060615</v>
      </c>
      <c r="AC91" s="291">
        <v>174.54713988060615</v>
      </c>
      <c r="AD91" s="252">
        <v>354.81563653676989</v>
      </c>
      <c r="AE91" s="251">
        <v>186.27751803860693</v>
      </c>
      <c r="AF91" s="260">
        <v>192.58650866028228</v>
      </c>
      <c r="AG91" s="252">
        <v>378.86402669888912</v>
      </c>
      <c r="AJ91" s="536">
        <v>378.86402669888912</v>
      </c>
      <c r="AM91" s="536">
        <v>378.86402669888912</v>
      </c>
      <c r="AP91" s="536">
        <v>378.86402669888912</v>
      </c>
      <c r="AQ91" s="251">
        <v>186.27751803860693</v>
      </c>
      <c r="AR91" s="251">
        <v>192.58650866028228</v>
      </c>
      <c r="AS91" s="252">
        <v>378.86402669888912</v>
      </c>
      <c r="AV91" s="252"/>
      <c r="AY91" s="252"/>
      <c r="BB91" s="252"/>
      <c r="BE91" s="252"/>
    </row>
    <row r="92" spans="2:57" s="251" customFormat="1" outlineLevel="1">
      <c r="B92" s="251" t="s">
        <v>2305</v>
      </c>
      <c r="C92" s="252"/>
      <c r="F92" s="252"/>
      <c r="I92" s="252"/>
      <c r="L92" s="252"/>
      <c r="N92" s="284"/>
      <c r="O92" s="252"/>
      <c r="R92" s="283"/>
      <c r="U92" s="283"/>
      <c r="X92" s="283"/>
      <c r="AA92" s="252"/>
      <c r="AD92" s="252"/>
      <c r="AF92" s="260"/>
      <c r="AG92" s="252"/>
      <c r="AJ92" s="252"/>
      <c r="AM92" s="252"/>
      <c r="AP92" s="252"/>
      <c r="AS92" s="252"/>
      <c r="AV92" s="252"/>
      <c r="AY92" s="252"/>
      <c r="BB92" s="252"/>
      <c r="BE92" s="252"/>
    </row>
    <row r="93" spans="2:57" s="251" customFormat="1" outlineLevel="1">
      <c r="B93" s="251" t="s">
        <v>2306</v>
      </c>
      <c r="C93" s="252">
        <v>66</v>
      </c>
      <c r="D93" s="251">
        <v>65</v>
      </c>
      <c r="E93" s="251">
        <f>F93-D93</f>
        <v>38</v>
      </c>
      <c r="F93" s="252">
        <v>103</v>
      </c>
      <c r="G93" s="251">
        <v>11</v>
      </c>
      <c r="H93" s="251">
        <v>-49</v>
      </c>
      <c r="I93" s="252">
        <f>G93+H93</f>
        <v>-38</v>
      </c>
      <c r="J93" s="251">
        <v>-120</v>
      </c>
      <c r="K93" s="251">
        <f>L93-J93</f>
        <v>-12</v>
      </c>
      <c r="L93" s="252">
        <v>-132</v>
      </c>
      <c r="M93" s="251">
        <v>69</v>
      </c>
      <c r="N93" s="251">
        <f>O93-M93</f>
        <v>25</v>
      </c>
      <c r="O93" s="252">
        <v>94</v>
      </c>
      <c r="P93" s="251">
        <v>18</v>
      </c>
      <c r="Q93" s="251">
        <f>+R93-P93</f>
        <v>33</v>
      </c>
      <c r="R93" s="252">
        <v>51</v>
      </c>
      <c r="S93" s="251">
        <v>11</v>
      </c>
      <c r="T93" s="251">
        <f>53-S93</f>
        <v>42</v>
      </c>
      <c r="U93" s="252">
        <f>S93+T93</f>
        <v>53</v>
      </c>
      <c r="V93" s="251">
        <v>46</v>
      </c>
      <c r="W93" s="251">
        <v>34</v>
      </c>
      <c r="X93" s="252">
        <v>79</v>
      </c>
      <c r="Y93" s="251">
        <v>33</v>
      </c>
      <c r="Z93" s="251">
        <f>92-Y93</f>
        <v>59</v>
      </c>
      <c r="AA93" s="252">
        <f>Y93+Z93</f>
        <v>92</v>
      </c>
      <c r="AB93" s="251">
        <v>39</v>
      </c>
      <c r="AC93" s="251">
        <f>90-AB93</f>
        <v>51</v>
      </c>
      <c r="AD93" s="252"/>
      <c r="AE93" s="251">
        <v>30</v>
      </c>
      <c r="AF93" s="260">
        <f>71-AE93</f>
        <v>41</v>
      </c>
      <c r="AG93" s="252">
        <f>AE93+AF93</f>
        <v>71</v>
      </c>
      <c r="AH93" s="251">
        <v>3</v>
      </c>
      <c r="AI93" s="251">
        <v>3</v>
      </c>
      <c r="AJ93" s="252">
        <f>AH93+AI93</f>
        <v>6</v>
      </c>
      <c r="AK93" s="251">
        <v>27</v>
      </c>
      <c r="AL93" s="251">
        <v>21</v>
      </c>
      <c r="AM93" s="252">
        <f>AK93+AL93</f>
        <v>48</v>
      </c>
      <c r="AN93" s="251">
        <v>19</v>
      </c>
      <c r="AO93" s="291">
        <v>21</v>
      </c>
      <c r="AP93" s="252">
        <f>AN93+AO93</f>
        <v>40</v>
      </c>
      <c r="AS93" s="252"/>
      <c r="AV93" s="252"/>
      <c r="AY93" s="252"/>
      <c r="BB93" s="252"/>
      <c r="BE93" s="252"/>
    </row>
    <row r="94" spans="2:57" s="251" customFormat="1" outlineLevel="1">
      <c r="B94" s="251" t="s">
        <v>2550</v>
      </c>
      <c r="C94" s="252"/>
      <c r="F94" s="252"/>
      <c r="I94" s="252"/>
      <c r="L94" s="252"/>
      <c r="O94" s="252"/>
      <c r="R94" s="252"/>
      <c r="U94" s="252"/>
      <c r="X94" s="252"/>
      <c r="AA94" s="252"/>
      <c r="AD94" s="252"/>
      <c r="AF94" s="260"/>
      <c r="AG94" s="252"/>
      <c r="AJ94" s="252">
        <f>AI94+AH94</f>
        <v>0</v>
      </c>
      <c r="AM94" s="252">
        <f>AL94+AK94</f>
        <v>0</v>
      </c>
      <c r="AP94" s="252">
        <f>AO94+AN94</f>
        <v>0</v>
      </c>
      <c r="AS94" s="252"/>
      <c r="AV94" s="252"/>
      <c r="AY94" s="252"/>
      <c r="BB94" s="252"/>
      <c r="BE94" s="252"/>
    </row>
    <row r="95" spans="2:57" s="251" customFormat="1" outlineLevel="1">
      <c r="B95" s="255" t="s">
        <v>2307</v>
      </c>
      <c r="C95" s="256">
        <f t="shared" ref="C95:U95" si="132">C90+C93</f>
        <v>267</v>
      </c>
      <c r="D95" s="255">
        <f t="shared" si="132"/>
        <v>194</v>
      </c>
      <c r="E95" s="255">
        <f t="shared" si="132"/>
        <v>144</v>
      </c>
      <c r="F95" s="256">
        <f t="shared" si="132"/>
        <v>338</v>
      </c>
      <c r="G95" s="255">
        <f t="shared" si="132"/>
        <v>126</v>
      </c>
      <c r="H95" s="255">
        <f t="shared" si="132"/>
        <v>85</v>
      </c>
      <c r="I95" s="256">
        <f>G95+H95</f>
        <v>211</v>
      </c>
      <c r="J95" s="255">
        <f t="shared" si="132"/>
        <v>61</v>
      </c>
      <c r="K95" s="255">
        <f t="shared" si="132"/>
        <v>116</v>
      </c>
      <c r="L95" s="256">
        <f t="shared" si="132"/>
        <v>177</v>
      </c>
      <c r="M95" s="255">
        <f t="shared" si="132"/>
        <v>228</v>
      </c>
      <c r="N95" s="255">
        <f t="shared" si="132"/>
        <v>165</v>
      </c>
      <c r="O95" s="256">
        <f t="shared" si="132"/>
        <v>393</v>
      </c>
      <c r="P95" s="255">
        <f t="shared" si="132"/>
        <v>171</v>
      </c>
      <c r="Q95" s="255">
        <f t="shared" si="132"/>
        <v>134</v>
      </c>
      <c r="R95" s="256">
        <f t="shared" si="132"/>
        <v>305</v>
      </c>
      <c r="S95" s="255">
        <f t="shared" si="132"/>
        <v>151</v>
      </c>
      <c r="T95" s="255">
        <f t="shared" si="132"/>
        <v>148</v>
      </c>
      <c r="U95" s="256">
        <f t="shared" si="132"/>
        <v>299</v>
      </c>
      <c r="V95" s="255">
        <f>+V93+V90</f>
        <v>169</v>
      </c>
      <c r="W95" s="255">
        <f>+W93+W90</f>
        <v>151</v>
      </c>
      <c r="X95" s="256">
        <f>X90+X93</f>
        <v>319</v>
      </c>
      <c r="Y95" s="255">
        <f>+Y93+Y90</f>
        <v>175</v>
      </c>
      <c r="Z95" s="255">
        <f>+Z93+Z90</f>
        <v>199</v>
      </c>
      <c r="AA95" s="256">
        <f>AA90+AA93</f>
        <v>374</v>
      </c>
      <c r="AB95" s="255">
        <f>+AB93+AB90</f>
        <v>163</v>
      </c>
      <c r="AC95" s="255">
        <f>+AC93+AC90</f>
        <v>153</v>
      </c>
      <c r="AD95" s="256"/>
      <c r="AE95" s="255">
        <f>+AE93+AE90</f>
        <v>191</v>
      </c>
      <c r="AF95" s="286">
        <f>+AF93+AF90</f>
        <v>83</v>
      </c>
      <c r="AG95" s="256">
        <f>AG90+AG93</f>
        <v>274</v>
      </c>
      <c r="AH95" s="255">
        <f>+AH93+AH90+AH94</f>
        <v>63</v>
      </c>
      <c r="AI95" s="255">
        <f>+AI93+AI90+AI94</f>
        <v>-1</v>
      </c>
      <c r="AJ95" s="256">
        <f>AJ90+AJ93+AJ94</f>
        <v>62.000000000000014</v>
      </c>
      <c r="AK95" s="255">
        <f>+AK93+AK90+AK94</f>
        <v>94</v>
      </c>
      <c r="AL95" s="255">
        <f>+AL93+AL90+AL94</f>
        <v>65.999999999999972</v>
      </c>
      <c r="AM95" s="256">
        <f>AM90+AM93+AM94</f>
        <v>159.99999999999994</v>
      </c>
      <c r="AN95" s="255">
        <f>+AN93+AN90+AN94</f>
        <v>12</v>
      </c>
      <c r="AO95" s="255">
        <f>+AO93+AO90+AO94</f>
        <v>65.999999999999972</v>
      </c>
      <c r="AP95" s="256">
        <f>AP90+AP93+AP94</f>
        <v>77.999999999999943</v>
      </c>
      <c r="AQ95" s="255"/>
      <c r="AR95" s="255"/>
      <c r="AS95" s="256"/>
      <c r="AT95" s="255"/>
      <c r="AU95" s="255"/>
      <c r="AV95" s="256"/>
      <c r="AW95" s="255"/>
      <c r="AX95" s="255"/>
      <c r="AY95" s="256"/>
      <c r="AZ95" s="255"/>
      <c r="BA95" s="255"/>
      <c r="BB95" s="256"/>
      <c r="BC95" s="255"/>
      <c r="BD95" s="255"/>
      <c r="BE95" s="256"/>
    </row>
    <row r="96" spans="2:57" outlineLevel="1">
      <c r="C96" s="287"/>
      <c r="F96" s="287"/>
      <c r="I96" s="287"/>
      <c r="L96" s="287"/>
      <c r="O96" s="287"/>
      <c r="R96" s="256"/>
      <c r="U96" s="287"/>
      <c r="X96" s="287"/>
      <c r="AA96" s="287"/>
      <c r="AD96" s="287"/>
      <c r="AF96" s="613"/>
      <c r="AG96" s="287"/>
      <c r="AJ96" s="287"/>
      <c r="AM96" s="287"/>
      <c r="AP96" s="287"/>
      <c r="AS96" s="287"/>
      <c r="AV96" s="287"/>
      <c r="AY96" s="287"/>
      <c r="BB96" s="287"/>
      <c r="BE96" s="287"/>
    </row>
    <row r="97" spans="2:57" outlineLevel="1">
      <c r="B97" s="293" t="s">
        <v>2320</v>
      </c>
      <c r="C97" s="287"/>
      <c r="F97" s="287"/>
      <c r="I97" s="287"/>
      <c r="L97" s="287"/>
      <c r="O97" s="287"/>
      <c r="Q97" s="294">
        <f>Q98/P98-1</f>
        <v>0.10256410256410264</v>
      </c>
      <c r="R97" s="287"/>
      <c r="U97" s="295">
        <f>U98/R98-1</f>
        <v>3.6585365853658569E-2</v>
      </c>
      <c r="X97" s="295">
        <f>X98/U98-1</f>
        <v>-1.764705882352946E-2</v>
      </c>
      <c r="AA97" s="295">
        <f>AA98/X98-1</f>
        <v>-6.5868263473053856E-2</v>
      </c>
      <c r="AD97" s="295">
        <f>AD98/AA98-1</f>
        <v>0.28205128205128216</v>
      </c>
      <c r="AF97" s="613"/>
      <c r="AG97" s="295">
        <f>AG98/AD98-1</f>
        <v>5.0000000000000044E-2</v>
      </c>
      <c r="AJ97" s="295">
        <f>AJ98/AG98-1</f>
        <v>7.0000000000000062E-2</v>
      </c>
      <c r="AM97" s="295">
        <f>AM98/AJ98-1</f>
        <v>7.0000000000000062E-2</v>
      </c>
      <c r="AP97" s="295">
        <f>AP98/AM98-1</f>
        <v>7.0000000000000062E-2</v>
      </c>
      <c r="AS97" s="295">
        <f>AS98/AP98-1</f>
        <v>7.0000000000000062E-2</v>
      </c>
      <c r="AV97" s="295">
        <f>AV98/AS98-1</f>
        <v>7.0000000000000062E-2</v>
      </c>
      <c r="AY97" s="295">
        <f>AY98/AV98-1</f>
        <v>7.0000000000000062E-2</v>
      </c>
      <c r="BB97" s="295">
        <f>BB98/AY98-1</f>
        <v>7.0000000000000062E-2</v>
      </c>
      <c r="BE97" s="295">
        <f>BE98/BB98-1</f>
        <v>7.0000000000000062E-2</v>
      </c>
    </row>
    <row r="98" spans="2:57" outlineLevel="1">
      <c r="B98" s="246" t="s">
        <v>2321</v>
      </c>
      <c r="C98" s="287"/>
      <c r="D98" s="246">
        <v>51</v>
      </c>
      <c r="E98" s="246">
        <f t="shared" ref="E98:E103" si="133">F98-D98</f>
        <v>59</v>
      </c>
      <c r="F98" s="287">
        <f>D98+59</f>
        <v>110</v>
      </c>
      <c r="G98" s="246">
        <v>71</v>
      </c>
      <c r="H98" s="246">
        <v>74</v>
      </c>
      <c r="I98" s="287">
        <f t="shared" ref="I98:I103" si="134">SUM(G98:H98)</f>
        <v>145</v>
      </c>
      <c r="J98" s="246">
        <v>75</v>
      </c>
      <c r="K98" s="246">
        <f>L98-J98</f>
        <v>74</v>
      </c>
      <c r="L98" s="287">
        <v>149</v>
      </c>
      <c r="M98" s="246">
        <v>80</v>
      </c>
      <c r="N98" s="246">
        <f>O98-M98</f>
        <v>77</v>
      </c>
      <c r="O98" s="252">
        <v>157</v>
      </c>
      <c r="P98" s="246">
        <v>78</v>
      </c>
      <c r="Q98" s="296">
        <v>86</v>
      </c>
      <c r="R98" s="252">
        <v>164</v>
      </c>
      <c r="S98" s="246">
        <v>81</v>
      </c>
      <c r="T98" s="251">
        <f t="shared" ref="T98:T103" si="135">U98-S98</f>
        <v>89</v>
      </c>
      <c r="U98" s="252">
        <v>170</v>
      </c>
      <c r="V98" s="246">
        <v>82</v>
      </c>
      <c r="W98" s="251">
        <v>85</v>
      </c>
      <c r="X98" s="252">
        <f t="shared" ref="X98:X103" si="136">SUM(V98:W98)</f>
        <v>167</v>
      </c>
      <c r="Y98" s="246">
        <v>77</v>
      </c>
      <c r="Z98" s="246">
        <v>79</v>
      </c>
      <c r="AA98" s="252">
        <f t="shared" ref="AA98:AA103" si="137">SUM(Y98:Z98)</f>
        <v>156</v>
      </c>
      <c r="AB98" s="246">
        <v>98</v>
      </c>
      <c r="AC98" s="246">
        <v>102</v>
      </c>
      <c r="AD98" s="252">
        <f t="shared" ref="AD98:AD103" si="138">SUM(AB98:AC98)</f>
        <v>200</v>
      </c>
      <c r="AE98" s="584"/>
      <c r="AF98" s="623"/>
      <c r="AG98" s="604">
        <f>AD98*1.05</f>
        <v>210</v>
      </c>
      <c r="AI98" s="613"/>
      <c r="AJ98" s="292">
        <f>AG98*1.07</f>
        <v>224.70000000000002</v>
      </c>
      <c r="AM98" s="292">
        <f>AJ98*1.07</f>
        <v>240.42900000000003</v>
      </c>
      <c r="AP98" s="292">
        <f>AM98*1.07</f>
        <v>257.25903000000005</v>
      </c>
      <c r="AS98" s="292">
        <f>AP98*1.07</f>
        <v>275.26716210000006</v>
      </c>
      <c r="AV98" s="292">
        <f>AS98*1.07</f>
        <v>294.53586344700011</v>
      </c>
      <c r="AY98" s="292">
        <f>AV98*1.07</f>
        <v>315.15337388829016</v>
      </c>
      <c r="BB98" s="292">
        <f>AY98*1.07</f>
        <v>337.21411006047049</v>
      </c>
      <c r="BE98" s="292">
        <f>BB98*1.07</f>
        <v>360.81909776470343</v>
      </c>
    </row>
    <row r="99" spans="2:57" outlineLevel="1">
      <c r="B99" s="246" t="s">
        <v>2322</v>
      </c>
      <c r="C99" s="287"/>
      <c r="D99" s="246">
        <v>7</v>
      </c>
      <c r="E99" s="246">
        <f t="shared" si="133"/>
        <v>30</v>
      </c>
      <c r="F99" s="287">
        <f>D99+30</f>
        <v>37</v>
      </c>
      <c r="G99" s="246">
        <v>1</v>
      </c>
      <c r="H99" s="246">
        <v>11</v>
      </c>
      <c r="I99" s="287">
        <f t="shared" si="134"/>
        <v>12</v>
      </c>
      <c r="J99" s="246">
        <v>10</v>
      </c>
      <c r="K99" s="246">
        <f>L99-J99</f>
        <v>4</v>
      </c>
      <c r="L99" s="287">
        <v>14</v>
      </c>
      <c r="M99" s="246">
        <v>10</v>
      </c>
      <c r="N99" s="246">
        <f>O99-M99</f>
        <v>-8</v>
      </c>
      <c r="O99" s="287">
        <v>2</v>
      </c>
      <c r="P99" s="246">
        <v>4</v>
      </c>
      <c r="Q99" s="296">
        <f>+R99-P99</f>
        <v>-40</v>
      </c>
      <c r="R99" s="287">
        <v>-36</v>
      </c>
      <c r="S99" s="246">
        <v>-4</v>
      </c>
      <c r="T99" s="251">
        <f t="shared" si="135"/>
        <v>-42</v>
      </c>
      <c r="U99" s="287">
        <v>-46</v>
      </c>
      <c r="V99" s="246">
        <v>-28</v>
      </c>
      <c r="W99" s="251">
        <v>-43</v>
      </c>
      <c r="X99" s="310">
        <f t="shared" si="136"/>
        <v>-71</v>
      </c>
      <c r="Y99" s="246">
        <v>-15</v>
      </c>
      <c r="Z99" s="251">
        <v>-25</v>
      </c>
      <c r="AA99" s="310">
        <f t="shared" si="137"/>
        <v>-40</v>
      </c>
      <c r="AB99" s="578">
        <v>-30</v>
      </c>
      <c r="AC99" s="578">
        <v>-12</v>
      </c>
      <c r="AD99" s="310">
        <f t="shared" si="138"/>
        <v>-42</v>
      </c>
      <c r="AE99" s="585"/>
      <c r="AF99" s="624"/>
      <c r="AG99" s="605">
        <f>AD99+5</f>
        <v>-37</v>
      </c>
      <c r="AH99" s="296"/>
      <c r="AI99" s="322"/>
      <c r="AJ99" s="371">
        <f>AG99+2</f>
        <v>-35</v>
      </c>
      <c r="AK99" s="372"/>
      <c r="AL99" s="372"/>
      <c r="AM99" s="371">
        <f>AJ99+2</f>
        <v>-33</v>
      </c>
      <c r="AN99" s="372"/>
      <c r="AO99" s="372"/>
      <c r="AP99" s="371">
        <f>AM99+2</f>
        <v>-31</v>
      </c>
      <c r="AQ99" s="372"/>
      <c r="AR99" s="372"/>
      <c r="AS99" s="371">
        <f>AP99+2</f>
        <v>-29</v>
      </c>
      <c r="AT99" s="372"/>
      <c r="AU99" s="372"/>
      <c r="AV99" s="371">
        <f>AS99+2</f>
        <v>-27</v>
      </c>
      <c r="AW99" s="372"/>
      <c r="AX99" s="372"/>
      <c r="AY99" s="371">
        <f>AV99+2</f>
        <v>-25</v>
      </c>
      <c r="AZ99" s="372"/>
      <c r="BA99" s="372"/>
      <c r="BB99" s="371">
        <f>AY99+2</f>
        <v>-23</v>
      </c>
      <c r="BC99" s="372"/>
      <c r="BD99" s="372"/>
      <c r="BE99" s="371">
        <f>BB99+2</f>
        <v>-21</v>
      </c>
    </row>
    <row r="100" spans="2:57" outlineLevel="1">
      <c r="B100" s="246" t="s">
        <v>2323</v>
      </c>
      <c r="C100" s="287"/>
      <c r="D100" s="246">
        <v>10</v>
      </c>
      <c r="E100" s="246">
        <f t="shared" si="133"/>
        <v>3</v>
      </c>
      <c r="F100" s="287">
        <f>D100+3</f>
        <v>13</v>
      </c>
      <c r="G100" s="246">
        <v>-13</v>
      </c>
      <c r="H100" s="246">
        <v>-12</v>
      </c>
      <c r="I100" s="287">
        <f t="shared" si="134"/>
        <v>-25</v>
      </c>
      <c r="J100" s="246">
        <v>-2</v>
      </c>
      <c r="K100" s="246">
        <f>L100-J100</f>
        <v>-8</v>
      </c>
      <c r="L100" s="287">
        <v>-10</v>
      </c>
      <c r="M100" s="246">
        <v>9</v>
      </c>
      <c r="N100" s="246">
        <f>O100-M100</f>
        <v>-2</v>
      </c>
      <c r="O100" s="287">
        <v>7</v>
      </c>
      <c r="P100" s="246">
        <v>12</v>
      </c>
      <c r="Q100" s="296">
        <f>+R100-P100</f>
        <v>2</v>
      </c>
      <c r="R100" s="287">
        <v>14</v>
      </c>
      <c r="S100" s="246">
        <v>18</v>
      </c>
      <c r="T100" s="251">
        <f t="shared" si="135"/>
        <v>15</v>
      </c>
      <c r="U100" s="287">
        <v>33</v>
      </c>
      <c r="V100" s="246">
        <v>31</v>
      </c>
      <c r="W100" s="251">
        <v>33</v>
      </c>
      <c r="X100" s="310">
        <f t="shared" si="136"/>
        <v>64</v>
      </c>
      <c r="Y100" s="246">
        <v>36</v>
      </c>
      <c r="Z100" s="246">
        <v>41</v>
      </c>
      <c r="AA100" s="310">
        <f t="shared" si="137"/>
        <v>77</v>
      </c>
      <c r="AB100" s="246">
        <v>14</v>
      </c>
      <c r="AC100" s="246">
        <v>-33</v>
      </c>
      <c r="AD100" s="310">
        <f t="shared" si="138"/>
        <v>-19</v>
      </c>
      <c r="AE100" s="584"/>
      <c r="AF100" s="623"/>
      <c r="AG100" s="605">
        <f>AD100*1.08</f>
        <v>-20.520000000000003</v>
      </c>
      <c r="AI100" s="613"/>
      <c r="AJ100" s="298">
        <f>AG100*1.08</f>
        <v>-22.161600000000004</v>
      </c>
      <c r="AM100" s="298">
        <f>AJ100*1.08</f>
        <v>-23.934528000000004</v>
      </c>
      <c r="AP100" s="298">
        <f>AM100*1.08</f>
        <v>-25.849290240000006</v>
      </c>
      <c r="AS100" s="298">
        <f>AP100*1.08</f>
        <v>-27.917233459200009</v>
      </c>
      <c r="AV100" s="298">
        <f>AS100*1.08</f>
        <v>-30.150612135936012</v>
      </c>
      <c r="AY100" s="298">
        <f>AV100*1.08</f>
        <v>-32.562661106810893</v>
      </c>
      <c r="BB100" s="298">
        <f>AY100*1.08</f>
        <v>-35.16767399535577</v>
      </c>
      <c r="BE100" s="298">
        <f>BB100*1.08</f>
        <v>-37.981087914984236</v>
      </c>
    </row>
    <row r="101" spans="2:57" outlineLevel="1">
      <c r="B101" s="243" t="s">
        <v>2324</v>
      </c>
      <c r="C101" s="287"/>
      <c r="D101" s="243">
        <f>SUM(D98:D100)</f>
        <v>68</v>
      </c>
      <c r="E101" s="243">
        <f t="shared" si="133"/>
        <v>92</v>
      </c>
      <c r="F101" s="299">
        <f>SUM(F98:F100)</f>
        <v>160</v>
      </c>
      <c r="G101" s="243">
        <f>SUM(G98:G100)</f>
        <v>59</v>
      </c>
      <c r="H101" s="243">
        <f>SUM(H98:H100)</f>
        <v>73</v>
      </c>
      <c r="I101" s="299">
        <f t="shared" si="134"/>
        <v>132</v>
      </c>
      <c r="J101" s="243">
        <f t="shared" ref="J101:R101" si="139">SUM(J98:J100)</f>
        <v>83</v>
      </c>
      <c r="K101" s="243">
        <f t="shared" si="139"/>
        <v>70</v>
      </c>
      <c r="L101" s="299">
        <f t="shared" si="139"/>
        <v>153</v>
      </c>
      <c r="M101" s="243">
        <f t="shared" si="139"/>
        <v>99</v>
      </c>
      <c r="N101" s="243">
        <f t="shared" si="139"/>
        <v>67</v>
      </c>
      <c r="O101" s="256">
        <f t="shared" si="139"/>
        <v>166</v>
      </c>
      <c r="P101" s="243">
        <f t="shared" si="139"/>
        <v>94</v>
      </c>
      <c r="Q101" s="300">
        <f t="shared" si="139"/>
        <v>48</v>
      </c>
      <c r="R101" s="256">
        <f t="shared" si="139"/>
        <v>142</v>
      </c>
      <c r="S101" s="243">
        <f>+SUM(S98:S100)</f>
        <v>95</v>
      </c>
      <c r="T101" s="255">
        <f t="shared" si="135"/>
        <v>62</v>
      </c>
      <c r="U101" s="256">
        <f>SUM(U98:U100)</f>
        <v>157</v>
      </c>
      <c r="V101" s="243">
        <f t="shared" ref="V101:AB101" si="140">+SUM(V98:V100)</f>
        <v>85</v>
      </c>
      <c r="W101" s="255">
        <f t="shared" si="140"/>
        <v>75</v>
      </c>
      <c r="X101" s="256">
        <f t="shared" si="136"/>
        <v>160</v>
      </c>
      <c r="Y101" s="243">
        <f t="shared" si="140"/>
        <v>98</v>
      </c>
      <c r="Z101" s="255">
        <f t="shared" si="140"/>
        <v>95</v>
      </c>
      <c r="AA101" s="256">
        <f t="shared" si="137"/>
        <v>193</v>
      </c>
      <c r="AB101" s="243">
        <f t="shared" si="140"/>
        <v>82</v>
      </c>
      <c r="AC101" s="243">
        <f>+SUM(AC98:AC100)</f>
        <v>57</v>
      </c>
      <c r="AD101" s="256">
        <f t="shared" si="138"/>
        <v>139</v>
      </c>
      <c r="AE101" s="584"/>
      <c r="AF101" s="623"/>
      <c r="AG101" s="256">
        <f>SUM(AG98:AG100)</f>
        <v>152.47999999999999</v>
      </c>
      <c r="AI101" s="613"/>
      <c r="AJ101" s="256">
        <f>SUM(AJ98:AJ100)</f>
        <v>167.53840000000002</v>
      </c>
      <c r="AM101" s="256">
        <f>SUM(AM98:AM100)</f>
        <v>183.49447200000003</v>
      </c>
      <c r="AP101" s="256">
        <f>SUM(AP98:AP100)</f>
        <v>200.40973976000004</v>
      </c>
      <c r="AS101" s="256">
        <f>SUM(AS98:AS100)</f>
        <v>218.34992864080004</v>
      </c>
      <c r="AV101" s="256">
        <f>SUM(AV98:AV100)</f>
        <v>237.38525131106411</v>
      </c>
      <c r="AY101" s="256">
        <f>SUM(AY98:AY100)</f>
        <v>257.59071278147928</v>
      </c>
      <c r="BB101" s="256">
        <f>SUM(BB98:BB100)</f>
        <v>279.04643606511473</v>
      </c>
      <c r="BE101" s="256">
        <f>SUM(BE98:BE100)</f>
        <v>301.83800984971919</v>
      </c>
    </row>
    <row r="102" spans="2:57" outlineLevel="1">
      <c r="B102" s="246" t="s">
        <v>2306</v>
      </c>
      <c r="C102" s="287"/>
      <c r="D102" s="246">
        <v>47</v>
      </c>
      <c r="E102" s="246">
        <f t="shared" si="133"/>
        <v>27</v>
      </c>
      <c r="F102" s="287">
        <f>D102+27</f>
        <v>74</v>
      </c>
      <c r="G102" s="246">
        <v>11</v>
      </c>
      <c r="H102" s="246">
        <v>-49</v>
      </c>
      <c r="I102" s="287">
        <f t="shared" si="134"/>
        <v>-38</v>
      </c>
      <c r="J102" s="246">
        <v>-120</v>
      </c>
      <c r="K102" s="246">
        <f>L102-J102</f>
        <v>-12</v>
      </c>
      <c r="L102" s="287">
        <v>-132</v>
      </c>
      <c r="M102" s="246">
        <v>69</v>
      </c>
      <c r="N102" s="246">
        <f>O102-M102</f>
        <v>25</v>
      </c>
      <c r="O102" s="287">
        <v>94</v>
      </c>
      <c r="P102" s="251">
        <f>P93</f>
        <v>18</v>
      </c>
      <c r="Q102" s="296">
        <f>R102-P102</f>
        <v>33</v>
      </c>
      <c r="R102" s="252">
        <f>R93</f>
        <v>51</v>
      </c>
      <c r="S102" s="246">
        <v>11</v>
      </c>
      <c r="T102" s="251">
        <f t="shared" si="135"/>
        <v>42</v>
      </c>
      <c r="U102" s="252">
        <v>53</v>
      </c>
      <c r="V102" s="246">
        <v>46</v>
      </c>
      <c r="W102" s="246">
        <v>33</v>
      </c>
      <c r="X102" s="252">
        <f t="shared" si="136"/>
        <v>79</v>
      </c>
      <c r="Y102" s="246">
        <v>33</v>
      </c>
      <c r="Z102" s="246">
        <v>59</v>
      </c>
      <c r="AA102" s="252">
        <f t="shared" si="137"/>
        <v>92</v>
      </c>
      <c r="AB102" s="246">
        <v>39</v>
      </c>
      <c r="AC102" s="246">
        <v>51</v>
      </c>
      <c r="AD102" s="252">
        <f t="shared" si="138"/>
        <v>90</v>
      </c>
      <c r="AE102" s="584"/>
      <c r="AF102" s="623"/>
      <c r="AG102" s="252"/>
      <c r="AI102" s="613"/>
      <c r="AJ102" s="252"/>
      <c r="AM102" s="252"/>
      <c r="AP102" s="252"/>
      <c r="AS102" s="252"/>
      <c r="AV102" s="252"/>
      <c r="AY102" s="252"/>
      <c r="BB102" s="252"/>
      <c r="BE102" s="252"/>
    </row>
    <row r="103" spans="2:57" outlineLevel="1">
      <c r="B103" s="243" t="s">
        <v>2307</v>
      </c>
      <c r="C103" s="287"/>
      <c r="D103" s="243">
        <f>D101+D102</f>
        <v>115</v>
      </c>
      <c r="E103" s="243">
        <f t="shared" si="133"/>
        <v>119</v>
      </c>
      <c r="F103" s="299">
        <f>F101+F102</f>
        <v>234</v>
      </c>
      <c r="G103" s="243">
        <f>G101+G102</f>
        <v>70</v>
      </c>
      <c r="H103" s="243">
        <f>H101+H102</f>
        <v>24</v>
      </c>
      <c r="I103" s="299">
        <f t="shared" si="134"/>
        <v>94</v>
      </c>
      <c r="J103" s="243">
        <f t="shared" ref="J103:R103" si="141">J101+J102</f>
        <v>-37</v>
      </c>
      <c r="K103" s="243">
        <f t="shared" si="141"/>
        <v>58</v>
      </c>
      <c r="L103" s="299">
        <f t="shared" si="141"/>
        <v>21</v>
      </c>
      <c r="M103" s="243">
        <f t="shared" si="141"/>
        <v>168</v>
      </c>
      <c r="N103" s="243">
        <f t="shared" si="141"/>
        <v>92</v>
      </c>
      <c r="O103" s="256">
        <f t="shared" si="141"/>
        <v>260</v>
      </c>
      <c r="P103" s="255">
        <f t="shared" si="141"/>
        <v>112</v>
      </c>
      <c r="Q103" s="300">
        <f t="shared" si="141"/>
        <v>81</v>
      </c>
      <c r="R103" s="256">
        <f t="shared" si="141"/>
        <v>193</v>
      </c>
      <c r="S103" s="243">
        <f>+SUM(S101:S102)</f>
        <v>106</v>
      </c>
      <c r="T103" s="255">
        <f t="shared" si="135"/>
        <v>104</v>
      </c>
      <c r="U103" s="256">
        <f>U101+U102</f>
        <v>210</v>
      </c>
      <c r="V103" s="255">
        <f t="shared" ref="V103:AB103" si="142">+V101+V102</f>
        <v>131</v>
      </c>
      <c r="W103" s="243">
        <f t="shared" si="142"/>
        <v>108</v>
      </c>
      <c r="X103" s="256">
        <f t="shared" si="136"/>
        <v>239</v>
      </c>
      <c r="Y103" s="255">
        <f t="shared" si="142"/>
        <v>131</v>
      </c>
      <c r="Z103" s="243">
        <f t="shared" si="142"/>
        <v>154</v>
      </c>
      <c r="AA103" s="256">
        <f t="shared" si="137"/>
        <v>285</v>
      </c>
      <c r="AB103" s="243">
        <f t="shared" si="142"/>
        <v>121</v>
      </c>
      <c r="AC103" s="243">
        <f>+AC101+AC102</f>
        <v>108</v>
      </c>
      <c r="AD103" s="256">
        <f t="shared" si="138"/>
        <v>229</v>
      </c>
      <c r="AE103" s="584"/>
      <c r="AF103" s="623"/>
      <c r="AG103" s="256"/>
      <c r="AI103" s="613"/>
      <c r="AJ103" s="256"/>
      <c r="AM103" s="256"/>
      <c r="AP103" s="256"/>
      <c r="AS103" s="256"/>
      <c r="AV103" s="256"/>
      <c r="AY103" s="256"/>
      <c r="BB103" s="256"/>
      <c r="BE103" s="256"/>
    </row>
    <row r="104" spans="2:57" outlineLevel="1">
      <c r="C104" s="287"/>
      <c r="F104" s="287"/>
      <c r="I104" s="287"/>
      <c r="L104" s="287"/>
      <c r="O104" s="287"/>
      <c r="R104" s="287"/>
      <c r="U104" s="287"/>
      <c r="X104" s="287"/>
      <c r="AA104" s="287"/>
      <c r="AD104" s="287"/>
      <c r="AF104" s="613"/>
      <c r="AG104" s="287"/>
      <c r="AJ104" s="287"/>
      <c r="AM104" s="287"/>
      <c r="AP104" s="287"/>
      <c r="AS104" s="287"/>
      <c r="AV104" s="287"/>
      <c r="AY104" s="287"/>
      <c r="BB104" s="287"/>
      <c r="BE104" s="287"/>
    </row>
    <row r="105" spans="2:57" outlineLevel="1">
      <c r="B105" s="293" t="s">
        <v>2325</v>
      </c>
      <c r="C105" s="287"/>
      <c r="F105" s="287"/>
      <c r="I105" s="287"/>
      <c r="L105" s="287"/>
      <c r="O105" s="287"/>
      <c r="R105" s="287"/>
      <c r="U105" s="287"/>
      <c r="X105" s="287"/>
      <c r="AA105" s="287"/>
      <c r="AD105" s="287"/>
      <c r="AF105" s="613"/>
      <c r="AG105" s="287"/>
      <c r="AJ105" s="287"/>
      <c r="AM105" s="287"/>
      <c r="AP105" s="287"/>
      <c r="AS105" s="287"/>
      <c r="AV105" s="287"/>
      <c r="AY105" s="287"/>
      <c r="BB105" s="287"/>
      <c r="BE105" s="287"/>
    </row>
    <row r="106" spans="2:57" outlineLevel="1">
      <c r="B106" s="243" t="s">
        <v>2303</v>
      </c>
      <c r="C106" s="287"/>
      <c r="D106" s="243">
        <f>D90-D101</f>
        <v>61</v>
      </c>
      <c r="E106" s="243">
        <f>F106-D106</f>
        <v>14</v>
      </c>
      <c r="F106" s="299">
        <f>F90-F101</f>
        <v>75</v>
      </c>
      <c r="G106" s="243">
        <f>G90-G101</f>
        <v>56</v>
      </c>
      <c r="H106" s="243">
        <f>H90-H101</f>
        <v>61</v>
      </c>
      <c r="I106" s="299">
        <f>SUM(G106:H106)</f>
        <v>117</v>
      </c>
      <c r="J106" s="243">
        <f>J90-J101</f>
        <v>98</v>
      </c>
      <c r="K106" s="243">
        <f>K90-K101</f>
        <v>58</v>
      </c>
      <c r="L106" s="299">
        <f>SUM(J106:K106)</f>
        <v>156</v>
      </c>
      <c r="M106" s="243">
        <f>M90-M101</f>
        <v>60</v>
      </c>
      <c r="N106" s="255">
        <f>N90-N101</f>
        <v>73</v>
      </c>
      <c r="O106" s="299">
        <f>SUM(M106:N106)</f>
        <v>133</v>
      </c>
      <c r="P106" s="243">
        <f>P90-P101</f>
        <v>59</v>
      </c>
      <c r="Q106" s="255">
        <f>Q90-Q101</f>
        <v>53</v>
      </c>
      <c r="R106" s="299">
        <f>SUM(P106:Q106)</f>
        <v>112</v>
      </c>
      <c r="S106" s="243">
        <v>45</v>
      </c>
      <c r="T106" s="255">
        <f>U106-S106</f>
        <v>44</v>
      </c>
      <c r="U106" s="256">
        <f>U90-U101</f>
        <v>89</v>
      </c>
      <c r="V106" s="257">
        <f>V90-V101</f>
        <v>38</v>
      </c>
      <c r="W106" s="255">
        <f>X106-V106</f>
        <v>42</v>
      </c>
      <c r="X106" s="256">
        <f>X90-X101</f>
        <v>80</v>
      </c>
      <c r="Y106" s="257">
        <f>Y90-Y101</f>
        <v>44</v>
      </c>
      <c r="Z106" s="255">
        <f>AA106-Y106</f>
        <v>45</v>
      </c>
      <c r="AA106" s="256">
        <f>AA90-AA101</f>
        <v>89</v>
      </c>
      <c r="AB106" s="243">
        <f>AB90-AB101</f>
        <v>42</v>
      </c>
      <c r="AC106" s="243">
        <f>AC90-AC101</f>
        <v>45</v>
      </c>
      <c r="AD106" s="256">
        <f>AD90-AD101</f>
        <v>87</v>
      </c>
      <c r="AF106" s="613"/>
      <c r="AG106" s="256">
        <f>AG90-AG101</f>
        <v>50.52000000000001</v>
      </c>
      <c r="AJ106" s="256">
        <f>AJ90-AJ101</f>
        <v>-111.53840000000001</v>
      </c>
      <c r="AM106" s="256">
        <f>AM90-AM101</f>
        <v>-71.494472000000087</v>
      </c>
      <c r="AP106" s="256">
        <f>AP90-AP101</f>
        <v>-162.40973976000009</v>
      </c>
      <c r="AS106" s="256">
        <f>AS90-AS101</f>
        <v>-119.86152239080005</v>
      </c>
      <c r="AV106" s="256">
        <f>AV90-AV101</f>
        <v>-133.91086949465799</v>
      </c>
      <c r="AY106" s="256">
        <f>AY90-AY101</f>
        <v>-148.87794038561765</v>
      </c>
      <c r="BB106" s="256">
        <f>BB90-BB101</f>
        <v>-164.83007956671264</v>
      </c>
      <c r="BE106" s="256">
        <f>BE90-BE101</f>
        <v>-181.83945030358558</v>
      </c>
    </row>
    <row r="107" spans="2:57" outlineLevel="1">
      <c r="B107" s="246" t="s">
        <v>2306</v>
      </c>
      <c r="C107" s="287"/>
      <c r="D107" s="246">
        <f>D93-D102</f>
        <v>18</v>
      </c>
      <c r="E107" s="246">
        <f>F107-D107</f>
        <v>11</v>
      </c>
      <c r="F107" s="287">
        <f>F93-F102</f>
        <v>29</v>
      </c>
      <c r="G107" s="246">
        <f>G93-G102</f>
        <v>0</v>
      </c>
      <c r="H107" s="246">
        <f>H93-H102</f>
        <v>0</v>
      </c>
      <c r="I107" s="287">
        <f>SUM(G107:H107)</f>
        <v>0</v>
      </c>
      <c r="J107" s="246">
        <f>J93-J102</f>
        <v>0</v>
      </c>
      <c r="K107" s="246">
        <f>K93-K102</f>
        <v>0</v>
      </c>
      <c r="L107" s="287">
        <f>SUM(J107:K107)</f>
        <v>0</v>
      </c>
      <c r="M107" s="251">
        <f>M93-M102</f>
        <v>0</v>
      </c>
      <c r="N107" s="251">
        <f>N93-N102</f>
        <v>0</v>
      </c>
      <c r="O107" s="287">
        <f>SUM(M107:N107)</f>
        <v>0</v>
      </c>
      <c r="P107" s="251">
        <f>P93-P102</f>
        <v>0</v>
      </c>
      <c r="Q107" s="251">
        <f>Q93-Q102</f>
        <v>0</v>
      </c>
      <c r="R107" s="287">
        <f>SUM(P107:Q107)</f>
        <v>0</v>
      </c>
      <c r="S107" s="246">
        <v>0</v>
      </c>
      <c r="U107" s="287"/>
      <c r="V107" s="246">
        <v>0</v>
      </c>
      <c r="X107" s="287"/>
      <c r="AA107" s="287"/>
      <c r="AD107" s="287"/>
      <c r="AF107" s="613"/>
      <c r="AG107" s="287"/>
      <c r="AJ107" s="287"/>
      <c r="AM107" s="287"/>
      <c r="AP107" s="287"/>
      <c r="AS107" s="287"/>
      <c r="AV107" s="287"/>
      <c r="AY107" s="287"/>
      <c r="BB107" s="287"/>
      <c r="BE107" s="287"/>
    </row>
    <row r="108" spans="2:57" outlineLevel="1">
      <c r="B108" s="243" t="s">
        <v>2307</v>
      </c>
      <c r="C108" s="287"/>
      <c r="D108" s="243">
        <f>D95-D103</f>
        <v>79</v>
      </c>
      <c r="E108" s="243">
        <f>F108-D108</f>
        <v>25</v>
      </c>
      <c r="F108" s="299">
        <f>F95-F103</f>
        <v>104</v>
      </c>
      <c r="G108" s="243">
        <f>G95-G103</f>
        <v>56</v>
      </c>
      <c r="H108" s="243">
        <f>H95-H103</f>
        <v>61</v>
      </c>
      <c r="I108" s="299">
        <f>SUM(G108:H108)</f>
        <v>117</v>
      </c>
      <c r="J108" s="243">
        <f>J95-J103</f>
        <v>98</v>
      </c>
      <c r="K108" s="243">
        <f>K95-K103</f>
        <v>58</v>
      </c>
      <c r="L108" s="299">
        <f>SUM(J108:K108)</f>
        <v>156</v>
      </c>
      <c r="M108" s="243">
        <f>M95-M103</f>
        <v>60</v>
      </c>
      <c r="N108" s="243">
        <f>N95-N103</f>
        <v>73</v>
      </c>
      <c r="O108" s="299">
        <f>SUM(M108:N108)</f>
        <v>133</v>
      </c>
      <c r="P108" s="243">
        <f>P95-P103</f>
        <v>59</v>
      </c>
      <c r="Q108" s="243">
        <f>Q95-Q103</f>
        <v>53</v>
      </c>
      <c r="R108" s="299">
        <f>SUM(P108:Q108)</f>
        <v>112</v>
      </c>
      <c r="S108" s="243">
        <f>+S107+S106</f>
        <v>45</v>
      </c>
      <c r="U108" s="299"/>
      <c r="V108" s="255">
        <f t="shared" ref="V108:AB108" si="143">+V107+V106</f>
        <v>38</v>
      </c>
      <c r="W108" s="255">
        <f t="shared" si="143"/>
        <v>42</v>
      </c>
      <c r="X108" s="299"/>
      <c r="Y108" s="255">
        <f t="shared" si="143"/>
        <v>44</v>
      </c>
      <c r="Z108" s="255">
        <f t="shared" si="143"/>
        <v>45</v>
      </c>
      <c r="AA108" s="287"/>
      <c r="AB108" s="255">
        <f t="shared" si="143"/>
        <v>42</v>
      </c>
      <c r="AC108" s="255">
        <f>+AC107+AC106</f>
        <v>45</v>
      </c>
      <c r="AD108" s="287"/>
      <c r="AF108" s="613"/>
      <c r="AG108" s="287"/>
      <c r="AJ108" s="287"/>
      <c r="AM108" s="287"/>
      <c r="AP108" s="287"/>
      <c r="AS108" s="287"/>
      <c r="AV108" s="287"/>
      <c r="AY108" s="287"/>
      <c r="BB108" s="287"/>
      <c r="BE108" s="287"/>
    </row>
    <row r="109" spans="2:57" outlineLevel="1">
      <c r="C109" s="287"/>
      <c r="F109" s="287"/>
      <c r="I109" s="287"/>
      <c r="L109" s="287"/>
      <c r="O109" s="287"/>
      <c r="R109" s="287"/>
      <c r="U109" s="287"/>
      <c r="X109" s="287"/>
      <c r="AA109" s="287"/>
      <c r="AD109" s="287"/>
      <c r="AF109" s="613"/>
      <c r="AG109" s="287"/>
      <c r="AJ109" s="287"/>
      <c r="AM109" s="287"/>
      <c r="AP109" s="287"/>
      <c r="AS109" s="287"/>
      <c r="AV109" s="287"/>
      <c r="AY109" s="287"/>
      <c r="BB109" s="287"/>
      <c r="BE109" s="287"/>
    </row>
    <row r="110" spans="2:57" outlineLevel="1">
      <c r="B110" s="302" t="s">
        <v>2326</v>
      </c>
      <c r="C110" s="303"/>
      <c r="D110" s="243"/>
      <c r="E110" s="243"/>
      <c r="F110" s="299"/>
      <c r="G110" s="243"/>
      <c r="I110" s="287"/>
      <c r="L110" s="287"/>
      <c r="O110" s="287"/>
      <c r="R110" s="287"/>
      <c r="U110" s="287"/>
      <c r="X110" s="287"/>
      <c r="AA110" s="287"/>
      <c r="AD110" s="287"/>
      <c r="AF110" s="613"/>
      <c r="AG110" s="287"/>
      <c r="AJ110" s="287"/>
      <c r="AM110" s="287"/>
      <c r="AP110" s="287"/>
      <c r="AS110" s="287"/>
      <c r="AV110" s="287"/>
      <c r="AY110" s="287"/>
      <c r="BB110" s="287"/>
      <c r="BE110" s="287"/>
    </row>
    <row r="111" spans="2:57" outlineLevel="1">
      <c r="B111" s="243" t="s">
        <v>2327</v>
      </c>
      <c r="C111" s="299">
        <v>169</v>
      </c>
      <c r="D111" s="243">
        <f>C111+D112+D113+D114</f>
        <v>179</v>
      </c>
      <c r="E111" s="243">
        <f>D111+E112+E113+E114</f>
        <v>184</v>
      </c>
      <c r="F111" s="299">
        <f>E111</f>
        <v>184</v>
      </c>
      <c r="G111" s="243">
        <f>F111+G112+G113+G114</f>
        <v>203</v>
      </c>
      <c r="H111" s="243">
        <f>G111+H112+H113+H114</f>
        <v>279</v>
      </c>
      <c r="I111" s="299">
        <f>H111</f>
        <v>279</v>
      </c>
      <c r="J111" s="243">
        <f>I111+J112+J113+J114</f>
        <v>324</v>
      </c>
      <c r="K111" s="243">
        <f>J111+K112+K113+K114</f>
        <v>360</v>
      </c>
      <c r="L111" s="299">
        <f>K111</f>
        <v>360</v>
      </c>
      <c r="M111" s="243">
        <f>L111+M112+M113+M114</f>
        <v>391</v>
      </c>
      <c r="N111" s="243">
        <f>M111+N112+N113+N114</f>
        <v>408</v>
      </c>
      <c r="O111" s="299">
        <f>N111</f>
        <v>408</v>
      </c>
      <c r="P111" s="243">
        <f>O111+P112+P113+P114</f>
        <v>424</v>
      </c>
      <c r="Q111" s="243">
        <v>436</v>
      </c>
      <c r="R111" s="304">
        <v>436</v>
      </c>
      <c r="S111" s="243">
        <v>468</v>
      </c>
      <c r="T111" s="300">
        <v>505</v>
      </c>
      <c r="U111" s="304">
        <f>T111</f>
        <v>505</v>
      </c>
      <c r="V111" s="243">
        <v>556</v>
      </c>
      <c r="W111" s="243">
        <v>598</v>
      </c>
      <c r="X111" s="304">
        <f>W111</f>
        <v>598</v>
      </c>
      <c r="Y111" s="300">
        <f>X111+Y112+Y113</f>
        <v>650</v>
      </c>
      <c r="Z111" s="243">
        <v>657</v>
      </c>
      <c r="AA111" s="304">
        <f>Z111</f>
        <v>657</v>
      </c>
      <c r="AB111" s="300">
        <f>AA111+AB112+AB113</f>
        <v>682</v>
      </c>
      <c r="AC111" s="300">
        <f>AB111+AC112+AC113</f>
        <v>693</v>
      </c>
      <c r="AD111" s="304">
        <f>AC111</f>
        <v>693</v>
      </c>
      <c r="AE111" s="300">
        <f>AD111+AE112+AE113</f>
        <v>706</v>
      </c>
      <c r="AF111" s="615">
        <f>AE111+AF112+AF113</f>
        <v>735</v>
      </c>
      <c r="AG111" s="304">
        <f>AF111</f>
        <v>735</v>
      </c>
      <c r="AH111" s="300">
        <f>AG111+AH112+AH113</f>
        <v>768</v>
      </c>
      <c r="AI111" s="615">
        <f>AH111+AI112+AI113</f>
        <v>783</v>
      </c>
      <c r="AJ111" s="642">
        <v>783</v>
      </c>
      <c r="AK111" s="300">
        <f>AJ111+AK112+AK113</f>
        <v>801</v>
      </c>
      <c r="AL111" s="615">
        <f>AK111+AL112+AL113</f>
        <v>797</v>
      </c>
      <c r="AM111" s="763">
        <v>797</v>
      </c>
      <c r="AP111" s="304">
        <f>AM111*(1+AP115)</f>
        <v>856.77500000000009</v>
      </c>
      <c r="AS111" s="304">
        <f>AP111*(1+AS115)</f>
        <v>921.03312500000027</v>
      </c>
      <c r="AV111" s="304">
        <f>AS111*(1+AV115)</f>
        <v>990.11060937500042</v>
      </c>
      <c r="AY111" s="304">
        <f>AV111*(1+AY115)</f>
        <v>1064.3689050781256</v>
      </c>
      <c r="BB111" s="304">
        <f>AY111*(1+BB115)</f>
        <v>1144.1965729589851</v>
      </c>
      <c r="BE111" s="304">
        <f>BB111*(1+BE115)</f>
        <v>1230.0113159309092</v>
      </c>
    </row>
    <row r="112" spans="2:57" outlineLevel="1">
      <c r="B112" s="246" t="s">
        <v>2328</v>
      </c>
      <c r="C112" s="287"/>
      <c r="D112" s="246">
        <v>30</v>
      </c>
      <c r="E112" s="246">
        <v>26</v>
      </c>
      <c r="F112" s="287">
        <f>D112+E112</f>
        <v>56</v>
      </c>
      <c r="G112" s="246">
        <v>39</v>
      </c>
      <c r="H112" s="246">
        <v>74</v>
      </c>
      <c r="I112" s="287">
        <f>G112+H112</f>
        <v>113</v>
      </c>
      <c r="J112" s="246">
        <v>72</v>
      </c>
      <c r="K112" s="246">
        <v>64</v>
      </c>
      <c r="L112" s="287">
        <f>J112+K112</f>
        <v>136</v>
      </c>
      <c r="M112" s="246">
        <v>58</v>
      </c>
      <c r="N112" s="246">
        <f>O112-M112</f>
        <v>49</v>
      </c>
      <c r="O112" s="287">
        <v>107</v>
      </c>
      <c r="P112" s="246">
        <v>51</v>
      </c>
      <c r="Q112" s="246">
        <v>49</v>
      </c>
      <c r="R112" s="287">
        <f>+Q112+P112</f>
        <v>100</v>
      </c>
      <c r="S112" s="246">
        <v>58</v>
      </c>
      <c r="T112" s="246">
        <v>62</v>
      </c>
      <c r="U112" s="287">
        <f>+T112+S112</f>
        <v>120</v>
      </c>
      <c r="V112" s="246">
        <v>77</v>
      </c>
      <c r="W112" s="246">
        <v>82</v>
      </c>
      <c r="X112" s="287">
        <f>+W112+V112</f>
        <v>159</v>
      </c>
      <c r="Y112" s="246">
        <f>168-Z112</f>
        <v>88</v>
      </c>
      <c r="Z112" s="246">
        <v>80</v>
      </c>
      <c r="AA112" s="287">
        <f>+Z112+Y112</f>
        <v>168</v>
      </c>
      <c r="AB112" s="246">
        <v>78</v>
      </c>
      <c r="AC112" s="246">
        <v>77</v>
      </c>
      <c r="AD112" s="287">
        <f>+AC112+AB112</f>
        <v>155</v>
      </c>
      <c r="AE112" s="246">
        <v>77</v>
      </c>
      <c r="AF112" s="613">
        <f>148-AE112</f>
        <v>71</v>
      </c>
      <c r="AG112" s="287">
        <f>+AF112+AE112</f>
        <v>148</v>
      </c>
      <c r="AH112" s="246">
        <v>74</v>
      </c>
      <c r="AI112" s="246">
        <f>AJ112-AH112</f>
        <v>71</v>
      </c>
      <c r="AJ112" s="287">
        <v>145</v>
      </c>
      <c r="AK112" s="246">
        <v>72</v>
      </c>
      <c r="AL112" s="246">
        <f>AM112-AK112</f>
        <v>67</v>
      </c>
      <c r="AM112" s="287">
        <v>139</v>
      </c>
      <c r="AP112" s="287"/>
      <c r="AS112" s="287"/>
      <c r="AV112" s="287"/>
      <c r="AY112" s="287"/>
      <c r="BB112" s="287"/>
      <c r="BE112" s="287"/>
    </row>
    <row r="113" spans="2:57" outlineLevel="1">
      <c r="B113" s="246" t="s">
        <v>2329</v>
      </c>
      <c r="C113" s="287"/>
      <c r="D113" s="246">
        <v>-20</v>
      </c>
      <c r="E113" s="246">
        <v>-21</v>
      </c>
      <c r="F113" s="287">
        <f>D113+E113</f>
        <v>-41</v>
      </c>
      <c r="G113" s="246">
        <v>-20</v>
      </c>
      <c r="H113" s="246">
        <v>-19</v>
      </c>
      <c r="I113" s="287">
        <f>G113+H113</f>
        <v>-39</v>
      </c>
      <c r="J113" s="246">
        <v>-27</v>
      </c>
      <c r="K113" s="246">
        <v>-28</v>
      </c>
      <c r="L113" s="287">
        <f>J113+K113</f>
        <v>-55</v>
      </c>
      <c r="M113" s="246">
        <v>-27</v>
      </c>
      <c r="N113" s="246">
        <f>O113-M113</f>
        <v>-32</v>
      </c>
      <c r="O113" s="287">
        <v>-59</v>
      </c>
      <c r="P113" s="246">
        <v>-35</v>
      </c>
      <c r="Q113" s="246">
        <v>-37</v>
      </c>
      <c r="R113" s="287">
        <f>+Q113+P113</f>
        <v>-72</v>
      </c>
      <c r="S113" s="246">
        <v>-26</v>
      </c>
      <c r="T113" s="246">
        <v>-25</v>
      </c>
      <c r="U113" s="287">
        <f>+T113+S113</f>
        <v>-51</v>
      </c>
      <c r="V113" s="246">
        <v>-26</v>
      </c>
      <c r="W113" s="246">
        <v>-40</v>
      </c>
      <c r="X113" s="287">
        <f>+W113+V113</f>
        <v>-66</v>
      </c>
      <c r="Y113" s="246">
        <f>-109-Z113</f>
        <v>-36</v>
      </c>
      <c r="Z113" s="246">
        <v>-73</v>
      </c>
      <c r="AA113" s="287">
        <f>+Z113+Y113</f>
        <v>-109</v>
      </c>
      <c r="AB113" s="246">
        <v>-53</v>
      </c>
      <c r="AC113" s="246">
        <v>-66</v>
      </c>
      <c r="AD113" s="287">
        <f>+AC113+AB113</f>
        <v>-119</v>
      </c>
      <c r="AE113" s="246">
        <v>-64</v>
      </c>
      <c r="AF113" s="613">
        <f>-106-AE113</f>
        <v>-42</v>
      </c>
      <c r="AG113" s="287">
        <f>+AF113+AE113</f>
        <v>-106</v>
      </c>
      <c r="AH113" s="246">
        <v>-41</v>
      </c>
      <c r="AI113" s="246">
        <f>AJ113-AH113</f>
        <v>-56</v>
      </c>
      <c r="AJ113" s="287">
        <v>-97</v>
      </c>
      <c r="AK113" s="704">
        <v>-54</v>
      </c>
      <c r="AL113" s="246">
        <f>AM113-AK113</f>
        <v>-71</v>
      </c>
      <c r="AM113" s="287">
        <v>-125</v>
      </c>
      <c r="AP113" s="287"/>
      <c r="AS113" s="287"/>
      <c r="AV113" s="287"/>
      <c r="AY113" s="287"/>
      <c r="BB113" s="287"/>
      <c r="BE113" s="287"/>
    </row>
    <row r="114" spans="2:57" outlineLevel="1">
      <c r="B114" s="246" t="s">
        <v>271</v>
      </c>
      <c r="C114" s="287"/>
      <c r="D114" s="246">
        <v>0</v>
      </c>
      <c r="E114" s="246">
        <v>0</v>
      </c>
      <c r="F114" s="287">
        <f>D114+E114</f>
        <v>0</v>
      </c>
      <c r="G114" s="246">
        <v>0</v>
      </c>
      <c r="H114" s="246">
        <v>21</v>
      </c>
      <c r="I114" s="287">
        <f>G114+H114</f>
        <v>21</v>
      </c>
      <c r="J114" s="246">
        <v>0</v>
      </c>
      <c r="K114" s="246">
        <v>0</v>
      </c>
      <c r="L114" s="287">
        <f>J114+K114</f>
        <v>0</v>
      </c>
      <c r="M114" s="246">
        <v>0</v>
      </c>
      <c r="N114" s="246">
        <f>O114-M114</f>
        <v>0</v>
      </c>
      <c r="O114" s="287">
        <v>0</v>
      </c>
      <c r="P114" s="246">
        <v>0</v>
      </c>
      <c r="Q114" s="246">
        <v>0</v>
      </c>
      <c r="R114" s="287"/>
      <c r="S114" s="246">
        <v>0</v>
      </c>
      <c r="T114" s="246">
        <v>0</v>
      </c>
      <c r="U114" s="287"/>
      <c r="V114" s="246">
        <v>0</v>
      </c>
      <c r="W114" s="246">
        <v>0</v>
      </c>
      <c r="X114" s="287">
        <v>0</v>
      </c>
      <c r="Y114" s="246">
        <v>0</v>
      </c>
      <c r="Z114" s="246">
        <v>0</v>
      </c>
      <c r="AA114" s="287">
        <v>0</v>
      </c>
      <c r="AB114" s="246">
        <v>0</v>
      </c>
      <c r="AC114" s="246">
        <v>0</v>
      </c>
      <c r="AD114" s="287">
        <v>0</v>
      </c>
      <c r="AE114" s="246">
        <v>0</v>
      </c>
      <c r="AF114" s="613">
        <v>0</v>
      </c>
      <c r="AG114" s="287">
        <v>0</v>
      </c>
      <c r="AH114" s="246">
        <v>0</v>
      </c>
      <c r="AJ114" s="287"/>
      <c r="AK114" s="246">
        <v>0</v>
      </c>
      <c r="AM114" s="287"/>
      <c r="AP114" s="287"/>
      <c r="AS114" s="287"/>
      <c r="AV114" s="287"/>
      <c r="AY114" s="287"/>
      <c r="BB114" s="287"/>
      <c r="BE114" s="287"/>
    </row>
    <row r="115" spans="2:57" outlineLevel="1">
      <c r="B115" s="246" t="s">
        <v>2330</v>
      </c>
      <c r="C115" s="287"/>
      <c r="F115" s="305">
        <f t="shared" ref="F115:X115" si="144">F111/C111-1</f>
        <v>8.8757396449704151E-2</v>
      </c>
      <c r="G115" s="297">
        <f t="shared" si="144"/>
        <v>0.13407821229050287</v>
      </c>
      <c r="H115" s="297">
        <f t="shared" si="144"/>
        <v>0.51630434782608692</v>
      </c>
      <c r="I115" s="305">
        <f t="shared" si="144"/>
        <v>0.51630434782608692</v>
      </c>
      <c r="J115" s="297">
        <f t="shared" si="144"/>
        <v>0.59605911330049266</v>
      </c>
      <c r="K115" s="297">
        <f t="shared" si="144"/>
        <v>0.29032258064516125</v>
      </c>
      <c r="L115" s="305">
        <f t="shared" si="144"/>
        <v>0.29032258064516125</v>
      </c>
      <c r="M115" s="297">
        <f t="shared" si="144"/>
        <v>0.20679012345679015</v>
      </c>
      <c r="N115" s="297">
        <f t="shared" si="144"/>
        <v>0.1333333333333333</v>
      </c>
      <c r="O115" s="305">
        <f t="shared" si="144"/>
        <v>0.1333333333333333</v>
      </c>
      <c r="P115" s="297">
        <f t="shared" si="144"/>
        <v>8.4398976982097196E-2</v>
      </c>
      <c r="Q115" s="297">
        <f t="shared" si="144"/>
        <v>6.8627450980392135E-2</v>
      </c>
      <c r="R115" s="305">
        <f t="shared" si="144"/>
        <v>6.8627450980392135E-2</v>
      </c>
      <c r="S115" s="297">
        <f t="shared" si="144"/>
        <v>0.10377358490566047</v>
      </c>
      <c r="T115" s="297">
        <f t="shared" si="144"/>
        <v>0.15825688073394506</v>
      </c>
      <c r="U115" s="305">
        <f t="shared" si="144"/>
        <v>0.15825688073394506</v>
      </c>
      <c r="V115" s="297">
        <f t="shared" si="144"/>
        <v>0.18803418803418803</v>
      </c>
      <c r="W115" s="297">
        <f t="shared" si="144"/>
        <v>0.1841584158415841</v>
      </c>
      <c r="X115" s="305">
        <f t="shared" si="144"/>
        <v>0.1841584158415841</v>
      </c>
      <c r="Y115" s="297">
        <f t="shared" ref="Y115:AK115" si="145">Y111/V111-1</f>
        <v>0.16906474820143891</v>
      </c>
      <c r="Z115" s="297">
        <f t="shared" si="145"/>
        <v>9.8662207357859577E-2</v>
      </c>
      <c r="AA115" s="305">
        <f>AA111/X111-1</f>
        <v>9.8662207357859577E-2</v>
      </c>
      <c r="AB115" s="297">
        <f t="shared" si="145"/>
        <v>4.9230769230769189E-2</v>
      </c>
      <c r="AC115" s="297">
        <f t="shared" si="145"/>
        <v>5.4794520547945202E-2</v>
      </c>
      <c r="AD115" s="305">
        <f t="shared" si="145"/>
        <v>5.4794520547945202E-2</v>
      </c>
      <c r="AE115" s="297">
        <f t="shared" si="145"/>
        <v>3.5190615835777095E-2</v>
      </c>
      <c r="AF115" s="619">
        <f t="shared" si="145"/>
        <v>6.0606060606060552E-2</v>
      </c>
      <c r="AG115" s="305">
        <f t="shared" si="145"/>
        <v>6.0606060606060552E-2</v>
      </c>
      <c r="AH115" s="297">
        <f t="shared" si="145"/>
        <v>8.7818696883852798E-2</v>
      </c>
      <c r="AI115" s="297">
        <f t="shared" si="145"/>
        <v>6.5306122448979487E-2</v>
      </c>
      <c r="AJ115" s="305">
        <f t="shared" si="145"/>
        <v>6.5306122448979487E-2</v>
      </c>
      <c r="AK115" s="297">
        <f t="shared" si="145"/>
        <v>4.296875E-2</v>
      </c>
      <c r="AL115" s="297">
        <f>AL111/AI111-1</f>
        <v>1.7879948914431676E-2</v>
      </c>
      <c r="AM115" s="305">
        <f>AM111/AJ111-1</f>
        <v>1.7879948914431676E-2</v>
      </c>
      <c r="AP115" s="306">
        <f>AP97+0.5%</f>
        <v>7.5000000000000067E-2</v>
      </c>
      <c r="AS115" s="306">
        <f>AS97+0.5%</f>
        <v>7.5000000000000067E-2</v>
      </c>
      <c r="AV115" s="306">
        <f>AV97+0.5%</f>
        <v>7.5000000000000067E-2</v>
      </c>
      <c r="AY115" s="306">
        <f>AY97+0.5%</f>
        <v>7.5000000000000067E-2</v>
      </c>
      <c r="BB115" s="306">
        <f>BB97+0.5%</f>
        <v>7.5000000000000067E-2</v>
      </c>
      <c r="BE115" s="306">
        <f>BE97+0.5%</f>
        <v>7.5000000000000067E-2</v>
      </c>
    </row>
    <row r="116" spans="2:57" outlineLevel="1">
      <c r="B116" s="246" t="s">
        <v>2331</v>
      </c>
      <c r="C116" s="287"/>
      <c r="D116" s="297">
        <f>D111/C111-1</f>
        <v>5.9171597633136175E-2</v>
      </c>
      <c r="E116" s="297">
        <f>E111/D111-1</f>
        <v>2.7932960893854775E-2</v>
      </c>
      <c r="F116" s="299"/>
      <c r="G116" s="297">
        <f>G111/F111-1</f>
        <v>0.10326086956521729</v>
      </c>
      <c r="H116" s="297">
        <f>H111/G111-1</f>
        <v>0.37438423645320196</v>
      </c>
      <c r="I116" s="287"/>
      <c r="J116" s="297">
        <f>J111/I111-1</f>
        <v>0.16129032258064524</v>
      </c>
      <c r="K116" s="297">
        <f>K111/J111-1</f>
        <v>0.11111111111111116</v>
      </c>
      <c r="L116" s="287"/>
      <c r="M116" s="297">
        <f>M111/L111-1</f>
        <v>8.6111111111111027E-2</v>
      </c>
      <c r="N116" s="297">
        <f>N111/M111-1</f>
        <v>4.3478260869565188E-2</v>
      </c>
      <c r="O116" s="287"/>
      <c r="P116" s="297">
        <f>P111/O111-1</f>
        <v>3.9215686274509887E-2</v>
      </c>
      <c r="Q116" s="297">
        <f>Q111/P111-1</f>
        <v>2.8301886792452935E-2</v>
      </c>
      <c r="R116" s="287"/>
      <c r="S116" s="297">
        <f>S111/R111-1</f>
        <v>7.3394495412844041E-2</v>
      </c>
      <c r="T116" s="297">
        <f>T111/S111-1</f>
        <v>7.9059829059829001E-2</v>
      </c>
      <c r="U116" s="287"/>
      <c r="V116" s="297">
        <f>V111/U111-1</f>
        <v>0.10099009900990108</v>
      </c>
      <c r="W116" s="297">
        <f>W111/V111-1</f>
        <v>7.5539568345323715E-2</v>
      </c>
      <c r="X116" s="287"/>
      <c r="Y116" s="344">
        <f>Y111/X111-1</f>
        <v>8.6956521739130377E-2</v>
      </c>
      <c r="Z116" s="344">
        <f>Z111/Y111-1</f>
        <v>1.0769230769230864E-2</v>
      </c>
      <c r="AA116" s="287"/>
      <c r="AB116" s="344">
        <f>AB111/AA111-1</f>
        <v>3.8051750380517557E-2</v>
      </c>
      <c r="AC116" s="344">
        <f>AC111/AB111-1</f>
        <v>1.6129032258064502E-2</v>
      </c>
      <c r="AD116" s="287"/>
      <c r="AE116" s="344">
        <f>AE111/AD111-1</f>
        <v>1.8759018759018753E-2</v>
      </c>
      <c r="AF116" s="394">
        <f>AF111/AE111-1</f>
        <v>4.1076487252124538E-2</v>
      </c>
      <c r="AG116" s="287"/>
      <c r="AH116" s="344">
        <f>AH111/AG111-1</f>
        <v>4.4897959183673564E-2</v>
      </c>
      <c r="AI116" s="344">
        <f>AI111/AH111-1</f>
        <v>1.953125E-2</v>
      </c>
      <c r="AJ116" s="287"/>
      <c r="AK116" s="344">
        <f>AK111/AJ111-1</f>
        <v>2.2988505747126409E-2</v>
      </c>
      <c r="AL116" s="344">
        <f>AL111/AK111-1</f>
        <v>-4.993757802746579E-3</v>
      </c>
      <c r="AM116" s="287"/>
      <c r="AP116" s="287"/>
      <c r="AS116" s="287"/>
      <c r="AV116" s="287"/>
      <c r="AY116" s="287"/>
      <c r="BB116" s="287"/>
      <c r="BE116" s="287"/>
    </row>
    <row r="117" spans="2:57" outlineLevel="1">
      <c r="C117" s="287"/>
      <c r="D117" s="297"/>
      <c r="E117" s="297"/>
      <c r="F117" s="299"/>
      <c r="G117" s="297"/>
      <c r="I117" s="287"/>
      <c r="J117" s="297"/>
      <c r="L117" s="287"/>
      <c r="M117" s="243"/>
      <c r="O117" s="287"/>
      <c r="R117" s="287"/>
      <c r="U117" s="287"/>
      <c r="X117" s="287"/>
      <c r="AA117" s="287"/>
      <c r="AD117" s="287"/>
      <c r="AF117" s="613"/>
      <c r="AG117" s="287"/>
      <c r="AJ117" s="287"/>
      <c r="AM117" s="287"/>
      <c r="AP117" s="287"/>
      <c r="AS117" s="287"/>
      <c r="AV117" s="287"/>
      <c r="AY117" s="287"/>
      <c r="BB117" s="287"/>
      <c r="BE117" s="287"/>
    </row>
    <row r="118" spans="2:57" outlineLevel="1">
      <c r="B118" s="243" t="s">
        <v>2332</v>
      </c>
      <c r="C118" s="299">
        <v>486</v>
      </c>
      <c r="D118" s="243">
        <f>C118+D119+D120+D121</f>
        <v>504</v>
      </c>
      <c r="E118" s="243">
        <f>D118+E119+E120+E121</f>
        <v>530</v>
      </c>
      <c r="F118" s="299">
        <f>E118</f>
        <v>530</v>
      </c>
      <c r="G118" s="243">
        <f>F118+G119+G120+G121</f>
        <v>568</v>
      </c>
      <c r="H118" s="243">
        <f>G118+H119+H120+H121</f>
        <v>605</v>
      </c>
      <c r="I118" s="299">
        <f>H118</f>
        <v>605</v>
      </c>
      <c r="J118" s="243">
        <f>I118+J119+J120+J121</f>
        <v>651</v>
      </c>
      <c r="K118" s="243">
        <f>J118+K119+K120+K121</f>
        <v>697</v>
      </c>
      <c r="L118" s="299">
        <f>K118</f>
        <v>697</v>
      </c>
      <c r="M118" s="307">
        <f>L118+M119+M120+M121+L132</f>
        <v>810</v>
      </c>
      <c r="N118" s="243">
        <f>M118+N119+N120+N121</f>
        <v>853</v>
      </c>
      <c r="O118" s="299">
        <f>N118</f>
        <v>853</v>
      </c>
      <c r="P118" s="307">
        <v>706</v>
      </c>
      <c r="Q118" s="243">
        <v>743</v>
      </c>
      <c r="R118" s="299">
        <f>+Q118</f>
        <v>743</v>
      </c>
      <c r="S118" s="243">
        <v>781</v>
      </c>
      <c r="T118" s="300">
        <v>815</v>
      </c>
      <c r="U118" s="304">
        <f>T118</f>
        <v>815</v>
      </c>
      <c r="V118" s="243">
        <v>856</v>
      </c>
      <c r="W118" s="243">
        <v>875</v>
      </c>
      <c r="X118" s="299">
        <f>W118</f>
        <v>875</v>
      </c>
      <c r="Y118" s="243">
        <f>X118+Y119+Y120</f>
        <v>887</v>
      </c>
      <c r="Z118" s="243">
        <v>895</v>
      </c>
      <c r="AA118" s="299">
        <f>Z118</f>
        <v>895</v>
      </c>
      <c r="AB118" s="243">
        <f>AA118+AB119+AB120</f>
        <v>891</v>
      </c>
      <c r="AC118" s="243">
        <f>AB118+AC119+AC120</f>
        <v>888</v>
      </c>
      <c r="AD118" s="299">
        <f>AC118</f>
        <v>888</v>
      </c>
      <c r="AE118" s="300">
        <f>AD118+AE119+AE120+AD125</f>
        <v>1766</v>
      </c>
      <c r="AF118" s="615">
        <f>AE118+AF119+AF120</f>
        <v>1773</v>
      </c>
      <c r="AG118" s="304">
        <f>AF118</f>
        <v>1773</v>
      </c>
      <c r="AH118" s="300">
        <f>AG118+AH119+AH120</f>
        <v>1752</v>
      </c>
      <c r="AI118" s="643">
        <v>1569</v>
      </c>
      <c r="AJ118" s="304">
        <f>AI118</f>
        <v>1569</v>
      </c>
      <c r="AK118" s="300">
        <f>AJ118+AK119+AK120</f>
        <v>1571</v>
      </c>
      <c r="AL118" s="643">
        <v>1296</v>
      </c>
      <c r="AM118" s="304">
        <f>AL118</f>
        <v>1296</v>
      </c>
      <c r="AN118" s="300">
        <f>AM118+AN119+AN120</f>
        <v>1264</v>
      </c>
      <c r="AP118" s="287"/>
      <c r="AS118" s="287"/>
      <c r="AV118" s="287"/>
      <c r="AY118" s="287"/>
      <c r="BB118" s="287"/>
      <c r="BE118" s="287"/>
    </row>
    <row r="119" spans="2:57" outlineLevel="1">
      <c r="B119" s="246" t="s">
        <v>2328</v>
      </c>
      <c r="C119" s="287"/>
      <c r="D119" s="246">
        <v>59</v>
      </c>
      <c r="E119" s="246">
        <v>69</v>
      </c>
      <c r="F119" s="287">
        <f>D119+E119</f>
        <v>128</v>
      </c>
      <c r="G119" s="246">
        <v>73</v>
      </c>
      <c r="H119" s="246">
        <v>83</v>
      </c>
      <c r="I119" s="287">
        <f>G119+H119</f>
        <v>156</v>
      </c>
      <c r="J119" s="246">
        <v>97</v>
      </c>
      <c r="K119" s="246">
        <v>108</v>
      </c>
      <c r="L119" s="287">
        <f>J119+K119</f>
        <v>205</v>
      </c>
      <c r="M119" s="246">
        <v>117</v>
      </c>
      <c r="N119" s="246">
        <v>106</v>
      </c>
      <c r="O119" s="287">
        <f>M119+N119</f>
        <v>223</v>
      </c>
      <c r="P119" s="246">
        <v>87</v>
      </c>
      <c r="Q119" s="246">
        <v>91</v>
      </c>
      <c r="R119" s="287">
        <f>+Q119+P119</f>
        <v>178</v>
      </c>
      <c r="S119" s="246">
        <v>108</v>
      </c>
      <c r="T119" s="246">
        <v>108</v>
      </c>
      <c r="U119" s="287">
        <f>+T119+S119</f>
        <v>216</v>
      </c>
      <c r="V119" s="246">
        <v>133</v>
      </c>
      <c r="W119" s="246">
        <v>107</v>
      </c>
      <c r="X119" s="287">
        <f>+W119+V119</f>
        <v>240</v>
      </c>
      <c r="Y119" s="246">
        <f>195-Z119</f>
        <v>103</v>
      </c>
      <c r="Z119" s="246">
        <v>92</v>
      </c>
      <c r="AA119" s="287">
        <f>+Z119+Y119</f>
        <v>195</v>
      </c>
      <c r="AB119" s="246">
        <v>82</v>
      </c>
      <c r="AC119" s="246">
        <v>76</v>
      </c>
      <c r="AD119" s="287">
        <f>+AC119+AB119</f>
        <v>158</v>
      </c>
      <c r="AE119" s="246">
        <v>118</v>
      </c>
      <c r="AF119" s="613">
        <f>242-AE119</f>
        <v>124</v>
      </c>
      <c r="AG119" s="287">
        <f>AE119+AF119</f>
        <v>242</v>
      </c>
      <c r="AH119" s="246">
        <v>126</v>
      </c>
      <c r="AI119" s="246">
        <f>AJ119-AH119</f>
        <v>100</v>
      </c>
      <c r="AJ119" s="287">
        <v>226</v>
      </c>
      <c r="AK119" s="246">
        <v>116</v>
      </c>
      <c r="AL119" s="246">
        <f>AM119-AK119</f>
        <v>110</v>
      </c>
      <c r="AM119" s="287">
        <v>226</v>
      </c>
      <c r="AN119" s="246">
        <v>88</v>
      </c>
      <c r="AP119" s="287"/>
      <c r="AS119" s="287"/>
      <c r="AV119" s="287"/>
      <c r="AY119" s="287"/>
      <c r="BB119" s="287"/>
      <c r="BE119" s="287"/>
    </row>
    <row r="120" spans="2:57" outlineLevel="1">
      <c r="B120" s="246" t="s">
        <v>2329</v>
      </c>
      <c r="C120" s="287"/>
      <c r="D120" s="246">
        <v>-41</v>
      </c>
      <c r="E120" s="246">
        <v>-43</v>
      </c>
      <c r="F120" s="287">
        <f>D120+E120</f>
        <v>-84</v>
      </c>
      <c r="G120" s="246">
        <v>-35</v>
      </c>
      <c r="H120" s="246">
        <v>-46</v>
      </c>
      <c r="I120" s="287">
        <f>G120+H120</f>
        <v>-81</v>
      </c>
      <c r="J120" s="246">
        <v>-51</v>
      </c>
      <c r="K120" s="246">
        <v>-62</v>
      </c>
      <c r="L120" s="287">
        <f>J120+K120</f>
        <v>-113</v>
      </c>
      <c r="M120" s="246">
        <v>-72</v>
      </c>
      <c r="N120" s="246">
        <v>-63</v>
      </c>
      <c r="O120" s="287">
        <f>M120+N120</f>
        <v>-135</v>
      </c>
      <c r="P120" s="246">
        <v>-58</v>
      </c>
      <c r="Q120" s="246">
        <v>-54</v>
      </c>
      <c r="R120" s="287">
        <f>+P120+Q120</f>
        <v>-112</v>
      </c>
      <c r="S120" s="246">
        <v>-70</v>
      </c>
      <c r="T120" s="246">
        <v>-74</v>
      </c>
      <c r="U120" s="287">
        <f>+T120+S120</f>
        <v>-144</v>
      </c>
      <c r="V120" s="246">
        <v>-92</v>
      </c>
      <c r="W120" s="246">
        <v>-88</v>
      </c>
      <c r="X120" s="287">
        <f>+W120+V120</f>
        <v>-180</v>
      </c>
      <c r="Y120" s="246">
        <f>-175-Z120</f>
        <v>-91</v>
      </c>
      <c r="Z120" s="246">
        <v>-84</v>
      </c>
      <c r="AA120" s="287">
        <f>+Z120+Y120</f>
        <v>-175</v>
      </c>
      <c r="AB120" s="246">
        <v>-86</v>
      </c>
      <c r="AC120" s="246">
        <v>-79</v>
      </c>
      <c r="AD120" s="287">
        <f>+AC120+AB120</f>
        <v>-165</v>
      </c>
      <c r="AE120" s="246">
        <v>-126</v>
      </c>
      <c r="AF120" s="613">
        <f>-243-AE120</f>
        <v>-117</v>
      </c>
      <c r="AG120" s="287">
        <f>AE120+AF120</f>
        <v>-243</v>
      </c>
      <c r="AH120" s="246">
        <v>-147</v>
      </c>
      <c r="AI120" s="246">
        <f>AJ120-AH120</f>
        <v>-283</v>
      </c>
      <c r="AJ120" s="287">
        <v>-430</v>
      </c>
      <c r="AK120" s="704">
        <v>-114</v>
      </c>
      <c r="AL120" s="246">
        <f>AM120-AK120</f>
        <v>-316</v>
      </c>
      <c r="AM120" s="287">
        <v>-430</v>
      </c>
      <c r="AN120" s="704">
        <v>-120</v>
      </c>
      <c r="AP120" s="287"/>
      <c r="AS120" s="287"/>
      <c r="AV120" s="287"/>
      <c r="AY120" s="287"/>
      <c r="BB120" s="287"/>
      <c r="BE120" s="287"/>
    </row>
    <row r="121" spans="2:57" outlineLevel="1">
      <c r="B121" s="246" t="s">
        <v>271</v>
      </c>
      <c r="C121" s="287"/>
      <c r="D121" s="246">
        <v>0</v>
      </c>
      <c r="E121" s="246">
        <v>0</v>
      </c>
      <c r="F121" s="287">
        <f>D121+E121</f>
        <v>0</v>
      </c>
      <c r="G121" s="246">
        <v>0</v>
      </c>
      <c r="H121" s="246">
        <v>0</v>
      </c>
      <c r="I121" s="287">
        <f>G121+H121</f>
        <v>0</v>
      </c>
      <c r="J121" s="246">
        <v>0</v>
      </c>
      <c r="K121" s="246">
        <v>0</v>
      </c>
      <c r="L121" s="287">
        <f>J121+K121</f>
        <v>0</v>
      </c>
      <c r="M121" s="246">
        <v>0</v>
      </c>
      <c r="N121" s="246">
        <v>0</v>
      </c>
      <c r="O121" s="287">
        <f>M121+N121</f>
        <v>0</v>
      </c>
      <c r="P121" s="246">
        <v>0</v>
      </c>
      <c r="Q121" s="246">
        <v>0</v>
      </c>
      <c r="R121" s="287">
        <v>0</v>
      </c>
      <c r="S121" s="246">
        <v>0</v>
      </c>
      <c r="T121" s="246">
        <v>0</v>
      </c>
      <c r="U121" s="287"/>
      <c r="X121" s="287"/>
      <c r="AA121" s="287"/>
      <c r="AD121" s="287"/>
      <c r="AF121" s="613"/>
      <c r="AG121" s="287"/>
      <c r="AJ121" s="287"/>
      <c r="AM121" s="287"/>
      <c r="AP121" s="287"/>
      <c r="AS121" s="287"/>
      <c r="AV121" s="287"/>
      <c r="AY121" s="287"/>
      <c r="BB121" s="287"/>
      <c r="BE121" s="287"/>
    </row>
    <row r="122" spans="2:57" outlineLevel="1">
      <c r="B122" s="246" t="s">
        <v>2330</v>
      </c>
      <c r="C122" s="287"/>
      <c r="F122" s="305">
        <f t="shared" ref="F122:L122" si="146">F118/C118-1</f>
        <v>9.0534979423868345E-2</v>
      </c>
      <c r="G122" s="297">
        <f t="shared" si="146"/>
        <v>0.12698412698412698</v>
      </c>
      <c r="H122" s="297">
        <f t="shared" si="146"/>
        <v>0.14150943396226423</v>
      </c>
      <c r="I122" s="305">
        <f t="shared" si="146"/>
        <v>0.14150943396226423</v>
      </c>
      <c r="J122" s="297">
        <f t="shared" si="146"/>
        <v>0.14612676056338025</v>
      </c>
      <c r="K122" s="297">
        <f t="shared" si="146"/>
        <v>0.15206611570247941</v>
      </c>
      <c r="L122" s="305">
        <f t="shared" si="146"/>
        <v>0.15206611570247941</v>
      </c>
      <c r="O122" s="305">
        <f>O118/L118-1</f>
        <v>0.22381635581061698</v>
      </c>
      <c r="R122" s="305">
        <f>(R118+71)/O118-1</f>
        <v>-4.572098475967179E-2</v>
      </c>
      <c r="T122" s="297">
        <f>T118/Q118-1</f>
        <v>9.6904441453566692E-2</v>
      </c>
      <c r="U122" s="305">
        <f>U118/R118-1</f>
        <v>9.6904441453566692E-2</v>
      </c>
      <c r="W122" s="297">
        <f>W118/T118-1</f>
        <v>7.361963190184051E-2</v>
      </c>
      <c r="X122" s="305">
        <f>X118/U118-1</f>
        <v>7.361963190184051E-2</v>
      </c>
      <c r="Y122" s="344">
        <f t="shared" ref="Y122:AD122" si="147">Y118/V118-1</f>
        <v>3.6214953271028083E-2</v>
      </c>
      <c r="Z122" s="297">
        <f t="shared" si="147"/>
        <v>2.2857142857142909E-2</v>
      </c>
      <c r="AA122" s="305">
        <f>AA118/X118-1</f>
        <v>2.2857142857142909E-2</v>
      </c>
      <c r="AB122" s="344">
        <f t="shared" si="147"/>
        <v>4.5095828635850488E-3</v>
      </c>
      <c r="AC122" s="344">
        <f t="shared" si="147"/>
        <v>-7.8212290502793769E-3</v>
      </c>
      <c r="AD122" s="305">
        <f t="shared" si="147"/>
        <v>-7.8212290502793769E-3</v>
      </c>
      <c r="AE122" s="344">
        <f>AE118/(AB118+AB125)-1</f>
        <v>3.9434961742201402E-2</v>
      </c>
      <c r="AF122" s="344">
        <f>AF118/(AC118+AC125)-1</f>
        <v>-5.6369785794818661E-4</v>
      </c>
      <c r="AG122" s="305">
        <f>AG118/(AD118+AD125)-1</f>
        <v>-5.6369785794818661E-4</v>
      </c>
      <c r="AH122" s="344">
        <f t="shared" ref="AH122:AN122" si="148">AH118/AE118-1</f>
        <v>-7.9275198187995777E-3</v>
      </c>
      <c r="AI122" s="344">
        <f t="shared" si="148"/>
        <v>-0.11505922165820648</v>
      </c>
      <c r="AJ122" s="305">
        <f t="shared" si="148"/>
        <v>-0.11505922165820648</v>
      </c>
      <c r="AK122" s="344">
        <f t="shared" si="148"/>
        <v>-0.10331050228310501</v>
      </c>
      <c r="AL122" s="344">
        <f t="shared" si="148"/>
        <v>-0.17399617590822181</v>
      </c>
      <c r="AM122" s="305">
        <f t="shared" si="148"/>
        <v>-0.17399617590822181</v>
      </c>
      <c r="AN122" s="344">
        <f t="shared" si="148"/>
        <v>-0.19541693189051557</v>
      </c>
      <c r="AP122" s="287"/>
      <c r="AS122" s="287"/>
      <c r="AV122" s="287"/>
      <c r="AY122" s="287"/>
      <c r="BB122" s="287"/>
      <c r="BE122" s="287"/>
    </row>
    <row r="123" spans="2:57" outlineLevel="1">
      <c r="B123" s="246" t="s">
        <v>2331</v>
      </c>
      <c r="C123" s="287"/>
      <c r="D123" s="297">
        <f>D118/C118-1</f>
        <v>3.7037037037036979E-2</v>
      </c>
      <c r="E123" s="297">
        <f>E118/D118-1</f>
        <v>5.1587301587301626E-2</v>
      </c>
      <c r="F123" s="299"/>
      <c r="G123" s="297">
        <f>G118/F118-1</f>
        <v>7.1698113207547154E-2</v>
      </c>
      <c r="H123" s="297">
        <f>H118/G118-1</f>
        <v>6.5140845070422504E-2</v>
      </c>
      <c r="I123" s="287"/>
      <c r="J123" s="297">
        <f>J118/I118-1</f>
        <v>7.6033057851239594E-2</v>
      </c>
      <c r="K123" s="297">
        <f>K118/J118-1</f>
        <v>7.0660522273425563E-2</v>
      </c>
      <c r="L123" s="287"/>
      <c r="M123" s="308">
        <f>M118/(L118+L132)-1</f>
        <v>5.8823529411764719E-2</v>
      </c>
      <c r="N123" s="297">
        <f>N118/M118-1</f>
        <v>5.3086419753086478E-2</v>
      </c>
      <c r="O123" s="287"/>
      <c r="P123" s="308">
        <f>P118/(O118-O132)-1</f>
        <v>-9.7186700767263434E-2</v>
      </c>
      <c r="R123" s="287"/>
      <c r="T123" s="297">
        <f>T118/S118-1</f>
        <v>4.3533930857874603E-2</v>
      </c>
      <c r="U123" s="287"/>
      <c r="W123" s="297">
        <f>W118/V118-1</f>
        <v>2.219626168224309E-2</v>
      </c>
      <c r="X123" s="287"/>
      <c r="Z123" s="344">
        <f>Z118/Y118-1</f>
        <v>9.0191657271703196E-3</v>
      </c>
      <c r="AA123" s="287"/>
      <c r="AD123" s="287"/>
      <c r="AF123" s="613"/>
      <c r="AG123" s="287"/>
      <c r="AJ123" s="287"/>
      <c r="AM123" s="287"/>
      <c r="AP123" s="287"/>
      <c r="AS123" s="287"/>
      <c r="AV123" s="287"/>
      <c r="AY123" s="287"/>
      <c r="BB123" s="287"/>
      <c r="BE123" s="287"/>
    </row>
    <row r="124" spans="2:57" outlineLevel="1">
      <c r="C124" s="287"/>
      <c r="D124" s="297"/>
      <c r="E124" s="297"/>
      <c r="F124" s="299"/>
      <c r="G124" s="297"/>
      <c r="I124" s="287"/>
      <c r="J124" s="297"/>
      <c r="L124" s="287"/>
      <c r="O124" s="287"/>
      <c r="R124" s="287"/>
      <c r="U124" s="287"/>
      <c r="X124" s="287"/>
      <c r="AA124" s="287"/>
      <c r="AD124" s="287"/>
      <c r="AF124" s="613"/>
      <c r="AG124" s="287"/>
      <c r="AJ124" s="287"/>
      <c r="AM124" s="287"/>
      <c r="AP124" s="287"/>
      <c r="AS124" s="287"/>
      <c r="AV124" s="287"/>
      <c r="AY124" s="287"/>
      <c r="BB124" s="287"/>
      <c r="BE124" s="287"/>
    </row>
    <row r="125" spans="2:57" s="251" customFormat="1" outlineLevel="1">
      <c r="B125" s="255" t="s">
        <v>2333</v>
      </c>
      <c r="C125" s="256">
        <v>199</v>
      </c>
      <c r="D125" s="255">
        <f>C125+D126+D127+D128</f>
        <v>305</v>
      </c>
      <c r="E125" s="255">
        <f>D125+E126+E127+E128</f>
        <v>308</v>
      </c>
      <c r="F125" s="256">
        <f>E125</f>
        <v>308</v>
      </c>
      <c r="G125" s="255">
        <f>F125+G126+G127+G128</f>
        <v>323</v>
      </c>
      <c r="H125" s="255">
        <f>G125+H126+H127+H128</f>
        <v>366</v>
      </c>
      <c r="I125" s="256">
        <f>H125</f>
        <v>366</v>
      </c>
      <c r="J125" s="255">
        <f>I125+J126+J127+J128</f>
        <v>403</v>
      </c>
      <c r="K125" s="255">
        <f>J125+K126+K127+K128</f>
        <v>435</v>
      </c>
      <c r="L125" s="256">
        <f>K125</f>
        <v>435</v>
      </c>
      <c r="M125" s="255">
        <f>L125+M126+M127+M128</f>
        <v>297</v>
      </c>
      <c r="N125" s="243">
        <f>M125+N126+N127+N128</f>
        <v>323</v>
      </c>
      <c r="O125" s="299">
        <f>N125</f>
        <v>323</v>
      </c>
      <c r="P125" s="255">
        <v>445</v>
      </c>
      <c r="Q125" s="255">
        <v>461</v>
      </c>
      <c r="R125" s="256">
        <f>+Q125</f>
        <v>461</v>
      </c>
      <c r="S125" s="255">
        <v>558</v>
      </c>
      <c r="T125" s="300">
        <v>651</v>
      </c>
      <c r="U125" s="304">
        <f>T125</f>
        <v>651</v>
      </c>
      <c r="V125" s="255">
        <v>659</v>
      </c>
      <c r="W125" s="255">
        <v>692</v>
      </c>
      <c r="X125" s="299">
        <f>W125</f>
        <v>692</v>
      </c>
      <c r="Y125" s="255">
        <f>X125+Y126+Y127</f>
        <v>736</v>
      </c>
      <c r="Z125" s="255">
        <v>757</v>
      </c>
      <c r="AA125" s="299">
        <f>Z125</f>
        <v>757</v>
      </c>
      <c r="AB125" s="255">
        <f>AA125+AB126+AB127</f>
        <v>808</v>
      </c>
      <c r="AC125" s="255">
        <f>AB125+AC126+AC127</f>
        <v>886</v>
      </c>
      <c r="AD125" s="299">
        <f>AC125</f>
        <v>886</v>
      </c>
      <c r="AE125" s="246"/>
      <c r="AF125" s="613"/>
      <c r="AG125" s="252"/>
      <c r="AJ125" s="252"/>
      <c r="AM125" s="252"/>
      <c r="AP125" s="252"/>
      <c r="AS125" s="252"/>
      <c r="AV125" s="252"/>
      <c r="AY125" s="252"/>
      <c r="BB125" s="252"/>
      <c r="BE125" s="252"/>
    </row>
    <row r="126" spans="2:57" s="251" customFormat="1" outlineLevel="1">
      <c r="B126" s="251" t="s">
        <v>2328</v>
      </c>
      <c r="C126" s="252"/>
      <c r="D126" s="251">
        <v>123</v>
      </c>
      <c r="E126" s="251">
        <v>53</v>
      </c>
      <c r="F126" s="287">
        <f>D126+E126</f>
        <v>176</v>
      </c>
      <c r="G126" s="251">
        <v>31</v>
      </c>
      <c r="H126" s="251">
        <v>60</v>
      </c>
      <c r="I126" s="252">
        <f>G126+H126</f>
        <v>91</v>
      </c>
      <c r="J126" s="251">
        <v>58</v>
      </c>
      <c r="K126" s="251">
        <v>45</v>
      </c>
      <c r="L126" s="252">
        <f>J126+K126</f>
        <v>103</v>
      </c>
      <c r="M126" s="251">
        <v>17</v>
      </c>
      <c r="N126" s="251">
        <v>49</v>
      </c>
      <c r="O126" s="287">
        <f>M126+N126</f>
        <v>66</v>
      </c>
      <c r="P126" s="251">
        <v>44</v>
      </c>
      <c r="Q126" s="251">
        <v>53</v>
      </c>
      <c r="R126" s="252">
        <f>+Q126+P126</f>
        <v>97</v>
      </c>
      <c r="S126" s="251">
        <v>133</v>
      </c>
      <c r="T126" s="246">
        <v>130</v>
      </c>
      <c r="U126" s="287">
        <f>+T126+S126</f>
        <v>263</v>
      </c>
      <c r="V126" s="251">
        <v>71</v>
      </c>
      <c r="W126" s="246">
        <v>91</v>
      </c>
      <c r="X126" s="287">
        <f>+W126+V126</f>
        <v>162</v>
      </c>
      <c r="Y126" s="251">
        <f>137-Z126</f>
        <v>84</v>
      </c>
      <c r="Z126" s="251">
        <v>53</v>
      </c>
      <c r="AA126" s="287">
        <f>+Z126+Y126</f>
        <v>137</v>
      </c>
      <c r="AB126" s="251">
        <v>103</v>
      </c>
      <c r="AC126" s="251">
        <v>136</v>
      </c>
      <c r="AD126" s="287">
        <f>+AC126+AB126</f>
        <v>239</v>
      </c>
      <c r="AE126" s="246"/>
      <c r="AF126" s="613"/>
      <c r="AG126" s="252"/>
      <c r="AJ126" s="252"/>
      <c r="AM126" s="252"/>
      <c r="AP126" s="252"/>
      <c r="AS126" s="252"/>
      <c r="AV126" s="252"/>
      <c r="AY126" s="252"/>
      <c r="BB126" s="252"/>
      <c r="BE126" s="252"/>
    </row>
    <row r="127" spans="2:57" s="251" customFormat="1" outlineLevel="1">
      <c r="B127" s="251" t="s">
        <v>2329</v>
      </c>
      <c r="C127" s="252"/>
      <c r="D127" s="251">
        <v>-15</v>
      </c>
      <c r="E127" s="251">
        <v>-49</v>
      </c>
      <c r="F127" s="287">
        <f>D127+E127</f>
        <v>-64</v>
      </c>
      <c r="G127" s="251">
        <v>-16</v>
      </c>
      <c r="H127" s="251">
        <v>-17</v>
      </c>
      <c r="I127" s="252">
        <f>G127+H127</f>
        <v>-33</v>
      </c>
      <c r="J127" s="251">
        <v>-21</v>
      </c>
      <c r="K127" s="251">
        <v>-13</v>
      </c>
      <c r="L127" s="252">
        <f>J127+K127</f>
        <v>-34</v>
      </c>
      <c r="M127" s="251">
        <v>-155</v>
      </c>
      <c r="N127" s="251">
        <v>-23</v>
      </c>
      <c r="O127" s="287">
        <f>M127+N127</f>
        <v>-178</v>
      </c>
      <c r="P127" s="251">
        <v>-27</v>
      </c>
      <c r="Q127" s="251">
        <v>-37</v>
      </c>
      <c r="R127" s="252">
        <f>+Q127+P127</f>
        <v>-64</v>
      </c>
      <c r="S127" s="251">
        <v>-36</v>
      </c>
      <c r="T127" s="246">
        <v>-37</v>
      </c>
      <c r="U127" s="287">
        <f>+T127+S127</f>
        <v>-73</v>
      </c>
      <c r="V127" s="251">
        <v>-63</v>
      </c>
      <c r="W127" s="246">
        <v>-58</v>
      </c>
      <c r="X127" s="287">
        <f>+W127+V127</f>
        <v>-121</v>
      </c>
      <c r="Y127" s="251">
        <f>-72-Z127</f>
        <v>-40</v>
      </c>
      <c r="Z127" s="251">
        <v>-32</v>
      </c>
      <c r="AA127" s="287">
        <f>+Z127+Y127</f>
        <v>-72</v>
      </c>
      <c r="AB127" s="251">
        <v>-52</v>
      </c>
      <c r="AC127" s="251">
        <v>-58</v>
      </c>
      <c r="AD127" s="287">
        <f>+AC127+AB127</f>
        <v>-110</v>
      </c>
      <c r="AE127" s="246"/>
      <c r="AF127" s="613"/>
      <c r="AG127" s="252"/>
      <c r="AJ127" s="252"/>
      <c r="AM127" s="252"/>
      <c r="AP127" s="252"/>
      <c r="AS127" s="252"/>
      <c r="AV127" s="252"/>
      <c r="AY127" s="252"/>
      <c r="BB127" s="252"/>
      <c r="BE127" s="252"/>
    </row>
    <row r="128" spans="2:57" s="251" customFormat="1" outlineLevel="1">
      <c r="B128" s="251" t="s">
        <v>271</v>
      </c>
      <c r="C128" s="252"/>
      <c r="D128" s="251">
        <v>-2</v>
      </c>
      <c r="E128" s="251">
        <v>-1</v>
      </c>
      <c r="F128" s="287">
        <f>D128+E128</f>
        <v>-3</v>
      </c>
      <c r="G128" s="251">
        <v>0</v>
      </c>
      <c r="H128" s="251">
        <v>0</v>
      </c>
      <c r="I128" s="252">
        <f>G128+H128</f>
        <v>0</v>
      </c>
      <c r="J128" s="251">
        <v>0</v>
      </c>
      <c r="K128" s="251">
        <v>0</v>
      </c>
      <c r="L128" s="252">
        <f>J128+K128</f>
        <v>0</v>
      </c>
      <c r="M128" s="251">
        <v>0</v>
      </c>
      <c r="N128" s="251">
        <v>0</v>
      </c>
      <c r="O128" s="287">
        <f>M128+N128</f>
        <v>0</v>
      </c>
      <c r="P128" s="251">
        <v>0</v>
      </c>
      <c r="Q128" s="251">
        <v>0</v>
      </c>
      <c r="R128" s="252">
        <v>0</v>
      </c>
      <c r="S128" s="251">
        <v>0</v>
      </c>
      <c r="T128" s="246">
        <v>0</v>
      </c>
      <c r="U128" s="287"/>
      <c r="X128" s="252"/>
      <c r="AA128" s="252"/>
      <c r="AD128" s="252"/>
      <c r="AE128" s="246"/>
      <c r="AF128" s="613"/>
      <c r="AG128" s="252"/>
      <c r="AJ128" s="252"/>
      <c r="AM128" s="252"/>
      <c r="AP128" s="252"/>
      <c r="AS128" s="252"/>
      <c r="AV128" s="252"/>
      <c r="AY128" s="252"/>
      <c r="BB128" s="252"/>
      <c r="BE128" s="252"/>
    </row>
    <row r="129" spans="2:57" outlineLevel="1">
      <c r="B129" s="246" t="s">
        <v>2330</v>
      </c>
      <c r="C129" s="287"/>
      <c r="F129" s="305">
        <f t="shared" ref="F129:X129" si="149">F125/C125-1</f>
        <v>0.54773869346733672</v>
      </c>
      <c r="G129" s="297">
        <f t="shared" si="149"/>
        <v>5.9016393442622883E-2</v>
      </c>
      <c r="H129" s="297">
        <f t="shared" si="149"/>
        <v>0.18831168831168821</v>
      </c>
      <c r="I129" s="305">
        <f t="shared" si="149"/>
        <v>0.18831168831168821</v>
      </c>
      <c r="J129" s="297">
        <f t="shared" si="149"/>
        <v>0.24767801857585137</v>
      </c>
      <c r="K129" s="297">
        <f t="shared" si="149"/>
        <v>0.18852459016393452</v>
      </c>
      <c r="L129" s="305">
        <f t="shared" si="149"/>
        <v>0.18852459016393452</v>
      </c>
      <c r="M129" s="297">
        <f t="shared" si="149"/>
        <v>-0.26302729528535984</v>
      </c>
      <c r="N129" s="297">
        <f t="shared" si="149"/>
        <v>-0.25747126436781609</v>
      </c>
      <c r="O129" s="305">
        <f t="shared" si="149"/>
        <v>-0.25747126436781609</v>
      </c>
      <c r="P129" s="297">
        <f t="shared" si="149"/>
        <v>0.49831649831649827</v>
      </c>
      <c r="Q129" s="297">
        <f t="shared" si="149"/>
        <v>0.4272445820433437</v>
      </c>
      <c r="R129" s="305">
        <f t="shared" si="149"/>
        <v>0.4272445820433437</v>
      </c>
      <c r="S129" s="297">
        <f t="shared" si="149"/>
        <v>0.25393258426966292</v>
      </c>
      <c r="T129" s="297">
        <f t="shared" si="149"/>
        <v>0.4121475054229935</v>
      </c>
      <c r="U129" s="305">
        <f t="shared" si="149"/>
        <v>0.4121475054229935</v>
      </c>
      <c r="V129" s="297">
        <f t="shared" si="149"/>
        <v>0.18100358422939067</v>
      </c>
      <c r="W129" s="297">
        <f t="shared" si="149"/>
        <v>6.2980030721966118E-2</v>
      </c>
      <c r="X129" s="305">
        <f t="shared" si="149"/>
        <v>6.2980030721966118E-2</v>
      </c>
      <c r="Y129" s="297">
        <f t="shared" ref="Y129:AD129" si="150">Y125/V125-1</f>
        <v>0.11684370257966625</v>
      </c>
      <c r="Z129" s="297">
        <f t="shared" si="150"/>
        <v>9.39306358381502E-2</v>
      </c>
      <c r="AA129" s="305">
        <f t="shared" si="150"/>
        <v>9.39306358381502E-2</v>
      </c>
      <c r="AB129" s="297">
        <f t="shared" si="150"/>
        <v>9.7826086956521729E-2</v>
      </c>
      <c r="AC129" s="297">
        <f t="shared" si="150"/>
        <v>0.17040951122853376</v>
      </c>
      <c r="AD129" s="305">
        <f t="shared" si="150"/>
        <v>0.17040951122853376</v>
      </c>
      <c r="AF129" s="613"/>
      <c r="AG129" s="287"/>
      <c r="AJ129" s="287"/>
      <c r="AM129" s="287"/>
      <c r="AP129" s="287"/>
      <c r="AS129" s="287"/>
      <c r="AV129" s="287"/>
      <c r="AY129" s="287"/>
      <c r="BB129" s="287"/>
      <c r="BE129" s="287"/>
    </row>
    <row r="130" spans="2:57" outlineLevel="1">
      <c r="B130" s="246" t="s">
        <v>2331</v>
      </c>
      <c r="C130" s="287"/>
      <c r="D130" s="297">
        <f>D125/C125-1</f>
        <v>0.53266331658291466</v>
      </c>
      <c r="E130" s="297">
        <f>E125/D125-1</f>
        <v>9.8360655737705915E-3</v>
      </c>
      <c r="F130" s="299"/>
      <c r="G130" s="297">
        <f>G125/F125-1</f>
        <v>4.870129870129869E-2</v>
      </c>
      <c r="H130" s="297">
        <f>H125/G125-1</f>
        <v>0.13312693498452011</v>
      </c>
      <c r="I130" s="287"/>
      <c r="J130" s="297">
        <f>J125/I125-1</f>
        <v>0.10109289617486339</v>
      </c>
      <c r="K130" s="297">
        <f>K125/J125-1</f>
        <v>7.9404466501240778E-2</v>
      </c>
      <c r="L130" s="287"/>
      <c r="M130" s="297">
        <f>M125/L125-1</f>
        <v>-0.3172413793103448</v>
      </c>
      <c r="N130" s="297">
        <f>N125/M125-1</f>
        <v>8.7542087542087588E-2</v>
      </c>
      <c r="O130" s="287"/>
      <c r="P130" s="297">
        <f>P125/O125-1</f>
        <v>0.37770897832817329</v>
      </c>
      <c r="Q130" s="297">
        <f>Q125/P125-1</f>
        <v>3.5955056179775235E-2</v>
      </c>
      <c r="R130" s="287"/>
      <c r="S130" s="297">
        <f>S125/R125-1</f>
        <v>0.21041214750542303</v>
      </c>
      <c r="T130" s="297">
        <f>T125/S125-1</f>
        <v>0.16666666666666674</v>
      </c>
      <c r="U130" s="287"/>
      <c r="V130" s="297">
        <f>V125/U125-1</f>
        <v>1.228878648233489E-2</v>
      </c>
      <c r="W130" s="297">
        <f>W125/V125-1</f>
        <v>5.0075872534142585E-2</v>
      </c>
      <c r="X130" s="287"/>
      <c r="Y130" s="297">
        <f>Y125/X125-1</f>
        <v>6.3583815028901647E-2</v>
      </c>
      <c r="Z130" s="297">
        <f>Z125/Y125-1</f>
        <v>2.8532608695652106E-2</v>
      </c>
      <c r="AA130" s="287"/>
      <c r="AB130" s="297">
        <f>AB125/AA125-1</f>
        <v>6.7371202113606365E-2</v>
      </c>
      <c r="AC130" s="297">
        <f>AC125/AB125-1</f>
        <v>9.653465346534662E-2</v>
      </c>
      <c r="AD130" s="287"/>
      <c r="AF130" s="613"/>
      <c r="AG130" s="287"/>
      <c r="AJ130" s="287"/>
      <c r="AM130" s="287"/>
      <c r="AP130" s="287"/>
      <c r="AS130" s="287"/>
      <c r="AV130" s="287"/>
      <c r="AY130" s="287"/>
      <c r="BB130" s="287"/>
      <c r="BE130" s="287"/>
    </row>
    <row r="131" spans="2:57" outlineLevel="1">
      <c r="C131" s="287"/>
      <c r="D131" s="297"/>
      <c r="E131" s="297"/>
      <c r="F131" s="299"/>
      <c r="G131" s="297"/>
      <c r="I131" s="287"/>
      <c r="J131" s="297"/>
      <c r="L131" s="287"/>
      <c r="O131" s="287"/>
      <c r="R131" s="287"/>
      <c r="U131" s="287"/>
      <c r="X131" s="287"/>
      <c r="AA131" s="287"/>
      <c r="AD131" s="287"/>
      <c r="AF131" s="613"/>
      <c r="AG131" s="287"/>
      <c r="AJ131" s="287"/>
      <c r="AM131" s="287"/>
      <c r="AP131" s="287"/>
      <c r="AS131" s="287"/>
      <c r="AV131" s="287"/>
      <c r="AY131" s="287"/>
      <c r="BB131" s="287"/>
      <c r="BE131" s="287"/>
    </row>
    <row r="132" spans="2:57" outlineLevel="1">
      <c r="B132" s="243" t="s">
        <v>2334</v>
      </c>
      <c r="C132" s="287"/>
      <c r="D132" s="297"/>
      <c r="E132" s="297"/>
      <c r="F132" s="299"/>
      <c r="G132" s="297"/>
      <c r="I132" s="287"/>
      <c r="J132" s="255">
        <v>0</v>
      </c>
      <c r="K132" s="255">
        <f>J132+K133+K134+K135</f>
        <v>68</v>
      </c>
      <c r="L132" s="256">
        <f>K132</f>
        <v>68</v>
      </c>
      <c r="O132" s="299">
        <v>71</v>
      </c>
      <c r="P132" s="246">
        <v>0</v>
      </c>
      <c r="Q132" s="246">
        <v>0</v>
      </c>
      <c r="R132" s="287">
        <v>0</v>
      </c>
      <c r="U132" s="287"/>
      <c r="X132" s="287"/>
      <c r="AA132" s="287"/>
      <c r="AD132" s="287"/>
      <c r="AF132" s="613"/>
      <c r="AG132" s="287"/>
      <c r="AJ132" s="287"/>
      <c r="AM132" s="287"/>
      <c r="AP132" s="287"/>
      <c r="AS132" s="287"/>
      <c r="AV132" s="287"/>
      <c r="AY132" s="287"/>
      <c r="BB132" s="287"/>
      <c r="BE132" s="287"/>
    </row>
    <row r="133" spans="2:57" outlineLevel="1">
      <c r="B133" s="251" t="s">
        <v>2328</v>
      </c>
      <c r="C133" s="287"/>
      <c r="D133" s="297"/>
      <c r="E133" s="297"/>
      <c r="F133" s="299"/>
      <c r="G133" s="297"/>
      <c r="I133" s="287"/>
      <c r="J133" s="251">
        <v>0</v>
      </c>
      <c r="K133" s="251">
        <v>7</v>
      </c>
      <c r="L133" s="252">
        <f>J133+K133</f>
        <v>7</v>
      </c>
      <c r="O133" s="287"/>
      <c r="R133" s="287"/>
      <c r="U133" s="287"/>
      <c r="X133" s="287"/>
      <c r="AA133" s="287"/>
      <c r="AD133" s="287"/>
      <c r="AF133" s="613"/>
      <c r="AG133" s="287"/>
      <c r="AJ133" s="287"/>
      <c r="AM133" s="287"/>
      <c r="AP133" s="287"/>
      <c r="AS133" s="287"/>
      <c r="AV133" s="287"/>
      <c r="AY133" s="287"/>
      <c r="BB133" s="287"/>
      <c r="BE133" s="287"/>
    </row>
    <row r="134" spans="2:57" outlineLevel="1">
      <c r="B134" s="251" t="s">
        <v>2329</v>
      </c>
      <c r="C134" s="287"/>
      <c r="D134" s="297"/>
      <c r="E134" s="297"/>
      <c r="F134" s="299"/>
      <c r="G134" s="297"/>
      <c r="I134" s="287"/>
      <c r="J134" s="251">
        <v>0</v>
      </c>
      <c r="K134" s="251">
        <v>-7</v>
      </c>
      <c r="L134" s="252">
        <f>J134+K134</f>
        <v>-7</v>
      </c>
      <c r="O134" s="287"/>
      <c r="R134" s="287"/>
      <c r="U134" s="287"/>
      <c r="X134" s="287"/>
      <c r="AA134" s="287"/>
      <c r="AD134" s="287"/>
      <c r="AF134" s="613"/>
      <c r="AG134" s="287"/>
      <c r="AJ134" s="287"/>
      <c r="AM134" s="287"/>
      <c r="AP134" s="287"/>
      <c r="AS134" s="287"/>
      <c r="AV134" s="287"/>
      <c r="AY134" s="287"/>
      <c r="BB134" s="287"/>
      <c r="BE134" s="287"/>
    </row>
    <row r="135" spans="2:57" outlineLevel="1">
      <c r="B135" s="251" t="s">
        <v>271</v>
      </c>
      <c r="C135" s="287"/>
      <c r="D135" s="297"/>
      <c r="E135" s="297"/>
      <c r="F135" s="299"/>
      <c r="G135" s="297"/>
      <c r="I135" s="287"/>
      <c r="J135" s="251">
        <v>0</v>
      </c>
      <c r="K135" s="251">
        <v>68</v>
      </c>
      <c r="L135" s="252">
        <f>J135+K135</f>
        <v>68</v>
      </c>
      <c r="O135" s="287"/>
      <c r="R135" s="287"/>
      <c r="U135" s="287"/>
      <c r="X135" s="287"/>
      <c r="AA135" s="287"/>
      <c r="AD135" s="287"/>
      <c r="AF135" s="613"/>
      <c r="AG135" s="287"/>
      <c r="AJ135" s="287"/>
      <c r="AM135" s="287"/>
      <c r="AP135" s="287"/>
      <c r="AS135" s="287"/>
      <c r="AV135" s="287"/>
      <c r="AY135" s="287"/>
      <c r="BB135" s="287"/>
      <c r="BE135" s="287"/>
    </row>
    <row r="136" spans="2:57" outlineLevel="1">
      <c r="B136" s="246" t="s">
        <v>2330</v>
      </c>
      <c r="C136" s="287"/>
      <c r="D136" s="297"/>
      <c r="E136" s="297"/>
      <c r="F136" s="299"/>
      <c r="G136" s="297"/>
      <c r="I136" s="287"/>
      <c r="J136" s="297"/>
      <c r="K136" s="297"/>
      <c r="L136" s="305"/>
      <c r="O136" s="287"/>
      <c r="R136" s="287"/>
      <c r="U136" s="287"/>
      <c r="X136" s="287"/>
      <c r="AA136" s="287"/>
      <c r="AD136" s="287"/>
      <c r="AF136" s="613"/>
      <c r="AG136" s="287"/>
      <c r="AJ136" s="287"/>
      <c r="AM136" s="287"/>
      <c r="AP136" s="287"/>
      <c r="AS136" s="287"/>
      <c r="AV136" s="287"/>
      <c r="AY136" s="287"/>
      <c r="BB136" s="287"/>
      <c r="BE136" s="287"/>
    </row>
    <row r="137" spans="2:57" outlineLevel="1">
      <c r="B137" s="246" t="s">
        <v>2331</v>
      </c>
      <c r="C137" s="287"/>
      <c r="D137" s="297"/>
      <c r="E137" s="297"/>
      <c r="F137" s="299"/>
      <c r="G137" s="297"/>
      <c r="I137" s="287"/>
      <c r="J137" s="297"/>
      <c r="K137" s="297"/>
      <c r="L137" s="287"/>
      <c r="O137" s="287"/>
      <c r="R137" s="287"/>
      <c r="U137" s="287"/>
      <c r="X137" s="287"/>
      <c r="AA137" s="287"/>
      <c r="AD137" s="287"/>
      <c r="AF137" s="613"/>
      <c r="AG137" s="287"/>
      <c r="AJ137" s="287"/>
      <c r="AM137" s="287"/>
      <c r="AP137" s="287"/>
      <c r="AS137" s="287"/>
      <c r="AV137" s="287"/>
      <c r="AY137" s="287"/>
      <c r="BB137" s="287"/>
      <c r="BE137" s="287"/>
    </row>
    <row r="138" spans="2:57" outlineLevel="1">
      <c r="C138" s="287"/>
      <c r="D138" s="297"/>
      <c r="E138" s="297"/>
      <c r="F138" s="299"/>
      <c r="G138" s="297"/>
      <c r="I138" s="287"/>
      <c r="J138" s="297"/>
      <c r="L138" s="287"/>
      <c r="O138" s="287"/>
      <c r="R138" s="287"/>
      <c r="U138" s="287"/>
      <c r="X138" s="287"/>
      <c r="AA138" s="287"/>
      <c r="AD138" s="287"/>
      <c r="AF138" s="613"/>
      <c r="AG138" s="287"/>
      <c r="AJ138" s="287"/>
      <c r="AM138" s="287"/>
      <c r="AP138" s="287"/>
      <c r="AS138" s="287"/>
      <c r="AV138" s="287"/>
      <c r="AY138" s="287"/>
      <c r="BB138" s="287"/>
      <c r="BE138" s="287"/>
    </row>
    <row r="139" spans="2:57" s="251" customFormat="1" outlineLevel="1">
      <c r="B139" s="255" t="s">
        <v>2335</v>
      </c>
      <c r="C139" s="256">
        <f t="shared" ref="C139:I139" si="151">C118+C125</f>
        <v>685</v>
      </c>
      <c r="D139" s="257">
        <f t="shared" si="151"/>
        <v>809</v>
      </c>
      <c r="E139" s="286">
        <f t="shared" si="151"/>
        <v>838</v>
      </c>
      <c r="F139" s="256">
        <f t="shared" si="151"/>
        <v>838</v>
      </c>
      <c r="G139" s="257">
        <f t="shared" si="151"/>
        <v>891</v>
      </c>
      <c r="H139" s="255">
        <f t="shared" si="151"/>
        <v>971</v>
      </c>
      <c r="I139" s="256">
        <f t="shared" si="151"/>
        <v>971</v>
      </c>
      <c r="J139" s="257">
        <f>J118+J125</f>
        <v>1054</v>
      </c>
      <c r="K139" s="255">
        <f>K118+K125</f>
        <v>1132</v>
      </c>
      <c r="L139" s="256">
        <f>L118+L125</f>
        <v>1132</v>
      </c>
      <c r="O139" s="252"/>
      <c r="P139" s="255">
        <f t="shared" ref="P139:W139" si="152">P118+P125</f>
        <v>1151</v>
      </c>
      <c r="Q139" s="255">
        <f t="shared" si="152"/>
        <v>1204</v>
      </c>
      <c r="R139" s="256">
        <f t="shared" si="152"/>
        <v>1204</v>
      </c>
      <c r="S139" s="255">
        <f t="shared" si="152"/>
        <v>1339</v>
      </c>
      <c r="T139" s="255">
        <f t="shared" si="152"/>
        <v>1466</v>
      </c>
      <c r="U139" s="256">
        <f t="shared" si="152"/>
        <v>1466</v>
      </c>
      <c r="V139" s="255">
        <f t="shared" si="152"/>
        <v>1515</v>
      </c>
      <c r="W139" s="286">
        <f t="shared" si="152"/>
        <v>1567</v>
      </c>
      <c r="X139" s="256">
        <f>X118+X125</f>
        <v>1567</v>
      </c>
      <c r="Y139" s="255">
        <f>Y118+Y125</f>
        <v>1623</v>
      </c>
      <c r="Z139" s="286">
        <f>Z118+Z125</f>
        <v>1652</v>
      </c>
      <c r="AA139" s="256">
        <f t="shared" ref="AA139:AJ139" si="153">AA118+AA125</f>
        <v>1652</v>
      </c>
      <c r="AB139" s="255">
        <f t="shared" si="153"/>
        <v>1699</v>
      </c>
      <c r="AC139" s="286">
        <f t="shared" si="153"/>
        <v>1774</v>
      </c>
      <c r="AD139" s="256">
        <f t="shared" si="153"/>
        <v>1774</v>
      </c>
      <c r="AE139" s="255">
        <f t="shared" si="153"/>
        <v>1766</v>
      </c>
      <c r="AF139" s="286">
        <f t="shared" si="153"/>
        <v>1773</v>
      </c>
      <c r="AG139" s="256">
        <f t="shared" si="153"/>
        <v>1773</v>
      </c>
      <c r="AH139" s="255">
        <f t="shared" si="153"/>
        <v>1752</v>
      </c>
      <c r="AI139" s="286">
        <f t="shared" si="153"/>
        <v>1569</v>
      </c>
      <c r="AJ139" s="256">
        <f t="shared" si="153"/>
        <v>1569</v>
      </c>
      <c r="AK139" s="255">
        <f>AK118+AK125</f>
        <v>1571</v>
      </c>
      <c r="AL139" s="286">
        <f>AL118+AL125</f>
        <v>1296</v>
      </c>
      <c r="AM139" s="256">
        <f>AM118+AM125</f>
        <v>1296</v>
      </c>
      <c r="AN139" s="255">
        <f>AN118+AN125</f>
        <v>1264</v>
      </c>
      <c r="AP139" s="252"/>
      <c r="AS139" s="252"/>
      <c r="AV139" s="252"/>
      <c r="AY139" s="252"/>
      <c r="BB139" s="252"/>
      <c r="BE139" s="252"/>
    </row>
    <row r="140" spans="2:57" s="251" customFormat="1" outlineLevel="1">
      <c r="B140" s="255" t="s">
        <v>2336</v>
      </c>
      <c r="C140" s="256">
        <f t="shared" ref="C140:I140" si="154">C111+C118+C125</f>
        <v>854</v>
      </c>
      <c r="D140" s="257">
        <f t="shared" si="154"/>
        <v>988</v>
      </c>
      <c r="E140" s="286">
        <f t="shared" si="154"/>
        <v>1022</v>
      </c>
      <c r="F140" s="256">
        <f t="shared" si="154"/>
        <v>1022</v>
      </c>
      <c r="G140" s="257">
        <f t="shared" si="154"/>
        <v>1094</v>
      </c>
      <c r="H140" s="255">
        <f t="shared" si="154"/>
        <v>1250</v>
      </c>
      <c r="I140" s="256">
        <f t="shared" si="154"/>
        <v>1250</v>
      </c>
      <c r="J140" s="257">
        <f>J111+J118+J125</f>
        <v>1378</v>
      </c>
      <c r="K140" s="255">
        <f>K111+K118+K125</f>
        <v>1492</v>
      </c>
      <c r="L140" s="256">
        <f>L111+L118+L125</f>
        <v>1492</v>
      </c>
      <c r="O140" s="252"/>
      <c r="P140" s="255">
        <f t="shared" ref="P140:W140" si="155">P111+P118+P125</f>
        <v>1575</v>
      </c>
      <c r="Q140" s="255">
        <f t="shared" si="155"/>
        <v>1640</v>
      </c>
      <c r="R140" s="256">
        <f t="shared" si="155"/>
        <v>1640</v>
      </c>
      <c r="S140" s="255">
        <f t="shared" si="155"/>
        <v>1807</v>
      </c>
      <c r="T140" s="255">
        <f t="shared" si="155"/>
        <v>1971</v>
      </c>
      <c r="U140" s="256">
        <f t="shared" si="155"/>
        <v>1971</v>
      </c>
      <c r="V140" s="255">
        <f t="shared" si="155"/>
        <v>2071</v>
      </c>
      <c r="W140" s="286">
        <f t="shared" si="155"/>
        <v>2165</v>
      </c>
      <c r="X140" s="256">
        <f>X111+X118+X125</f>
        <v>2165</v>
      </c>
      <c r="Y140" s="255">
        <f>Y111+Y118+Y125</f>
        <v>2273</v>
      </c>
      <c r="Z140" s="286">
        <f>Z111+Z118+Z125</f>
        <v>2309</v>
      </c>
      <c r="AA140" s="256">
        <f t="shared" ref="AA140:AJ140" si="156">AA111+AA118+AA125</f>
        <v>2309</v>
      </c>
      <c r="AB140" s="255">
        <f t="shared" si="156"/>
        <v>2381</v>
      </c>
      <c r="AC140" s="286">
        <f t="shared" si="156"/>
        <v>2467</v>
      </c>
      <c r="AD140" s="256">
        <f t="shared" si="156"/>
        <v>2467</v>
      </c>
      <c r="AE140" s="255">
        <f t="shared" si="156"/>
        <v>2472</v>
      </c>
      <c r="AF140" s="286">
        <f t="shared" si="156"/>
        <v>2508</v>
      </c>
      <c r="AG140" s="256">
        <f t="shared" si="156"/>
        <v>2508</v>
      </c>
      <c r="AH140" s="255">
        <f t="shared" si="156"/>
        <v>2520</v>
      </c>
      <c r="AI140" s="286">
        <f t="shared" si="156"/>
        <v>2352</v>
      </c>
      <c r="AJ140" s="256">
        <f t="shared" si="156"/>
        <v>2352</v>
      </c>
      <c r="AK140" s="255">
        <f>AK111+AK118+AK125</f>
        <v>2372</v>
      </c>
      <c r="AL140" s="286">
        <f>AL111+AL118+AL125</f>
        <v>2093</v>
      </c>
      <c r="AM140" s="256">
        <f>AM111+AM118+AM125</f>
        <v>2093</v>
      </c>
      <c r="AN140" s="255">
        <f>AN111+AN118+AN125</f>
        <v>1264</v>
      </c>
      <c r="AP140" s="252"/>
      <c r="AS140" s="252"/>
      <c r="AV140" s="252"/>
      <c r="AY140" s="252"/>
      <c r="BB140" s="252"/>
      <c r="BE140" s="252"/>
    </row>
    <row r="141" spans="2:57" s="251" customFormat="1" outlineLevel="1">
      <c r="B141" s="255" t="s">
        <v>2337</v>
      </c>
      <c r="C141" s="256"/>
      <c r="D141" s="255"/>
      <c r="E141" s="255"/>
      <c r="F141" s="256"/>
      <c r="G141" s="255"/>
      <c r="H141" s="255"/>
      <c r="I141" s="256"/>
      <c r="J141" s="255"/>
      <c r="K141" s="255"/>
      <c r="L141" s="256">
        <f>L118+L125+L132</f>
        <v>1200</v>
      </c>
      <c r="M141" s="257">
        <f>M118+M125</f>
        <v>1107</v>
      </c>
      <c r="O141" s="257">
        <f t="shared" ref="O141:W141" si="157">O118+O125</f>
        <v>1176</v>
      </c>
      <c r="P141" s="257">
        <f t="shared" si="157"/>
        <v>1151</v>
      </c>
      <c r="Q141" s="286">
        <f t="shared" si="157"/>
        <v>1204</v>
      </c>
      <c r="R141" s="286">
        <f t="shared" si="157"/>
        <v>1204</v>
      </c>
      <c r="S141" s="257">
        <f t="shared" si="157"/>
        <v>1339</v>
      </c>
      <c r="T141" s="286">
        <f t="shared" si="157"/>
        <v>1466</v>
      </c>
      <c r="U141" s="286">
        <f t="shared" si="157"/>
        <v>1466</v>
      </c>
      <c r="V141" s="257">
        <f t="shared" si="157"/>
        <v>1515</v>
      </c>
      <c r="W141" s="286">
        <f t="shared" si="157"/>
        <v>1567</v>
      </c>
      <c r="X141" s="286">
        <f>X118+X125</f>
        <v>1567</v>
      </c>
      <c r="Y141" s="257">
        <f>Y118+Y125</f>
        <v>1623</v>
      </c>
      <c r="Z141" s="286">
        <f>Z118+Z125</f>
        <v>1652</v>
      </c>
      <c r="AA141" s="286">
        <f t="shared" ref="AA141:AJ141" si="158">AA118+AA125</f>
        <v>1652</v>
      </c>
      <c r="AB141" s="257">
        <f t="shared" si="158"/>
        <v>1699</v>
      </c>
      <c r="AC141" s="286">
        <f t="shared" si="158"/>
        <v>1774</v>
      </c>
      <c r="AD141" s="286">
        <f t="shared" si="158"/>
        <v>1774</v>
      </c>
      <c r="AE141" s="257">
        <f t="shared" si="158"/>
        <v>1766</v>
      </c>
      <c r="AF141" s="286">
        <f t="shared" si="158"/>
        <v>1773</v>
      </c>
      <c r="AG141" s="286">
        <f t="shared" si="158"/>
        <v>1773</v>
      </c>
      <c r="AH141" s="257">
        <f t="shared" si="158"/>
        <v>1752</v>
      </c>
      <c r="AI141" s="286">
        <f t="shared" si="158"/>
        <v>1569</v>
      </c>
      <c r="AJ141" s="286">
        <f t="shared" si="158"/>
        <v>1569</v>
      </c>
      <c r="AK141" s="257">
        <f>AK118+AK125</f>
        <v>1571</v>
      </c>
      <c r="AL141" s="286">
        <f>AL118+AL125</f>
        <v>1296</v>
      </c>
      <c r="AM141" s="286">
        <f>AM118+AM125</f>
        <v>1296</v>
      </c>
      <c r="AN141" s="257">
        <f>AN118+AN125</f>
        <v>1264</v>
      </c>
      <c r="AP141" s="252"/>
      <c r="AS141" s="252"/>
      <c r="AV141" s="252"/>
      <c r="AY141" s="252"/>
      <c r="BB141" s="252"/>
      <c r="BE141" s="252"/>
    </row>
    <row r="142" spans="2:57" s="251" customFormat="1" outlineLevel="1">
      <c r="B142" s="255" t="s">
        <v>2338</v>
      </c>
      <c r="C142" s="256"/>
      <c r="D142" s="255"/>
      <c r="E142" s="255"/>
      <c r="F142" s="256"/>
      <c r="G142" s="255"/>
      <c r="H142" s="255"/>
      <c r="I142" s="256"/>
      <c r="J142" s="255"/>
      <c r="K142" s="255"/>
      <c r="L142" s="256">
        <f>L111+L118+L125+L132</f>
        <v>1560</v>
      </c>
      <c r="M142" s="257">
        <f>M111+M118+M125</f>
        <v>1498</v>
      </c>
      <c r="O142" s="257">
        <f t="shared" ref="O142:W142" si="159">O111+O118+O125</f>
        <v>1584</v>
      </c>
      <c r="P142" s="257">
        <f t="shared" si="159"/>
        <v>1575</v>
      </c>
      <c r="Q142" s="286">
        <f t="shared" si="159"/>
        <v>1640</v>
      </c>
      <c r="R142" s="286">
        <f t="shared" si="159"/>
        <v>1640</v>
      </c>
      <c r="S142" s="257">
        <f t="shared" si="159"/>
        <v>1807</v>
      </c>
      <c r="T142" s="286">
        <f t="shared" si="159"/>
        <v>1971</v>
      </c>
      <c r="U142" s="286">
        <f t="shared" si="159"/>
        <v>1971</v>
      </c>
      <c r="V142" s="257">
        <f t="shared" si="159"/>
        <v>2071</v>
      </c>
      <c r="W142" s="286">
        <f t="shared" si="159"/>
        <v>2165</v>
      </c>
      <c r="X142" s="286">
        <f>X111+X118+X125</f>
        <v>2165</v>
      </c>
      <c r="Y142" s="257">
        <f>Y111+Y118+Y125</f>
        <v>2273</v>
      </c>
      <c r="Z142" s="286">
        <f>Z111+Z118+Z125</f>
        <v>2309</v>
      </c>
      <c r="AA142" s="286">
        <f t="shared" ref="AA142:AJ142" si="160">AA111+AA118+AA125</f>
        <v>2309</v>
      </c>
      <c r="AB142" s="257">
        <f t="shared" si="160"/>
        <v>2381</v>
      </c>
      <c r="AC142" s="286">
        <f t="shared" si="160"/>
        <v>2467</v>
      </c>
      <c r="AD142" s="286">
        <f t="shared" si="160"/>
        <v>2467</v>
      </c>
      <c r="AE142" s="257">
        <f t="shared" si="160"/>
        <v>2472</v>
      </c>
      <c r="AF142" s="286">
        <f t="shared" si="160"/>
        <v>2508</v>
      </c>
      <c r="AG142" s="286">
        <f t="shared" si="160"/>
        <v>2508</v>
      </c>
      <c r="AH142" s="257">
        <f t="shared" si="160"/>
        <v>2520</v>
      </c>
      <c r="AI142" s="286">
        <f t="shared" si="160"/>
        <v>2352</v>
      </c>
      <c r="AJ142" s="286">
        <f t="shared" si="160"/>
        <v>2352</v>
      </c>
      <c r="AK142" s="257">
        <f>AK111+AK118+AK125</f>
        <v>2372</v>
      </c>
      <c r="AL142" s="286">
        <f>AL111+AL118+AL125</f>
        <v>2093</v>
      </c>
      <c r="AM142" s="286">
        <f>AM111+AM118+AM125</f>
        <v>2093</v>
      </c>
      <c r="AN142" s="257">
        <f>AN111+AN118+AN125</f>
        <v>1264</v>
      </c>
      <c r="AP142" s="252"/>
      <c r="AS142" s="252"/>
      <c r="AV142" s="252"/>
      <c r="AY142" s="252"/>
      <c r="BB142" s="252"/>
      <c r="BE142" s="252"/>
    </row>
    <row r="143" spans="2:57" outlineLevel="1">
      <c r="C143" s="287"/>
      <c r="F143" s="287"/>
      <c r="I143" s="287"/>
      <c r="L143" s="287"/>
      <c r="O143" s="287"/>
      <c r="R143" s="287"/>
      <c r="U143" s="287"/>
      <c r="X143" s="287"/>
      <c r="AA143" s="287"/>
      <c r="AD143" s="287"/>
      <c r="AF143" s="613"/>
      <c r="AG143" s="287"/>
      <c r="AJ143" s="287"/>
      <c r="AM143" s="287"/>
      <c r="AP143" s="287"/>
      <c r="AS143" s="287"/>
      <c r="AV143" s="287"/>
      <c r="AY143" s="287"/>
      <c r="BB143" s="287"/>
      <c r="BE143" s="287"/>
    </row>
    <row r="144" spans="2:57" outlineLevel="1">
      <c r="B144" s="278" t="s">
        <v>2339</v>
      </c>
      <c r="C144" s="279"/>
      <c r="D144" s="280"/>
      <c r="E144" s="280"/>
      <c r="F144" s="279"/>
      <c r="G144" s="280"/>
      <c r="H144" s="280"/>
      <c r="I144" s="279"/>
      <c r="J144" s="280"/>
      <c r="K144" s="280"/>
      <c r="L144" s="279"/>
      <c r="M144" s="280"/>
      <c r="N144" s="280"/>
      <c r="O144" s="279"/>
      <c r="P144" s="280"/>
      <c r="Q144" s="280"/>
      <c r="R144" s="279"/>
      <c r="S144" s="280"/>
      <c r="T144" s="280"/>
      <c r="U144" s="279"/>
      <c r="V144" s="280"/>
      <c r="W144" s="280"/>
      <c r="X144" s="279"/>
      <c r="Y144" s="280"/>
      <c r="Z144" s="280"/>
      <c r="AA144" s="279"/>
      <c r="AB144" s="280"/>
      <c r="AC144" s="280"/>
      <c r="AD144" s="279"/>
      <c r="AE144" s="280"/>
      <c r="AF144" s="611"/>
      <c r="AG144" s="279"/>
      <c r="AH144" s="280"/>
      <c r="AI144" s="280"/>
      <c r="AJ144" s="279"/>
      <c r="AK144" s="280"/>
      <c r="AL144" s="280"/>
      <c r="AM144" s="279"/>
      <c r="AN144" s="280"/>
      <c r="AO144" s="280"/>
      <c r="AP144" s="279"/>
      <c r="AQ144" s="280"/>
      <c r="AR144" s="280"/>
      <c r="AS144" s="279"/>
      <c r="AT144" s="280"/>
      <c r="AU144" s="280"/>
      <c r="AV144" s="279"/>
      <c r="AW144" s="280"/>
      <c r="AX144" s="280"/>
      <c r="AY144" s="279"/>
      <c r="AZ144" s="280"/>
      <c r="BA144" s="280"/>
      <c r="BB144" s="279"/>
      <c r="BC144" s="280"/>
      <c r="BD144" s="280"/>
      <c r="BE144" s="279"/>
    </row>
    <row r="145" spans="2:57" outlineLevel="1">
      <c r="B145" s="246" t="s">
        <v>2295</v>
      </c>
      <c r="C145" s="287">
        <v>2</v>
      </c>
      <c r="D145" s="246">
        <v>-8</v>
      </c>
      <c r="E145" s="246">
        <f>F145-D145</f>
        <v>4</v>
      </c>
      <c r="F145" s="287">
        <v>-4</v>
      </c>
      <c r="G145" s="246">
        <v>-2</v>
      </c>
      <c r="H145" s="296">
        <v>4</v>
      </c>
      <c r="I145" s="309">
        <f t="shared" ref="I145:I150" si="161">G145+H145</f>
        <v>2</v>
      </c>
      <c r="J145" s="296">
        <v>-1</v>
      </c>
      <c r="K145" s="296">
        <f>L145-J145</f>
        <v>9</v>
      </c>
      <c r="L145" s="310">
        <v>8</v>
      </c>
      <c r="M145" s="296">
        <v>-1</v>
      </c>
      <c r="N145" s="296">
        <f>O145-M145</f>
        <v>-1</v>
      </c>
      <c r="O145" s="310">
        <v>-2</v>
      </c>
      <c r="P145" s="296">
        <v>-1</v>
      </c>
      <c r="Q145" s="296">
        <v>0</v>
      </c>
      <c r="R145" s="310">
        <f>P145+Q145</f>
        <v>-1</v>
      </c>
      <c r="S145" s="296">
        <v>0</v>
      </c>
      <c r="T145" s="296">
        <f>0-S145</f>
        <v>0</v>
      </c>
      <c r="U145" s="310">
        <f t="shared" ref="U145:U150" si="162">S145+T145</f>
        <v>0</v>
      </c>
      <c r="V145" s="296">
        <v>0</v>
      </c>
      <c r="W145" s="246">
        <v>0</v>
      </c>
      <c r="X145" s="310">
        <f t="shared" ref="X145:X154" si="163">SUM(V145:W145)</f>
        <v>0</v>
      </c>
      <c r="Y145" s="296">
        <v>0</v>
      </c>
      <c r="Z145" s="296">
        <f>Y145*1.03</f>
        <v>0</v>
      </c>
      <c r="AA145" s="310">
        <f t="shared" ref="AA145:AA150" si="164">Y145+Z145</f>
        <v>0</v>
      </c>
      <c r="AB145" s="296">
        <f>Z145*1.03</f>
        <v>0</v>
      </c>
      <c r="AC145" s="296">
        <f>AA145*1.03</f>
        <v>0</v>
      </c>
      <c r="AD145" s="310">
        <f t="shared" ref="AD145:AD150" si="165">AB145+AC145</f>
        <v>0</v>
      </c>
      <c r="AE145" s="296">
        <f>AC145*1.03</f>
        <v>0</v>
      </c>
      <c r="AF145" s="322">
        <f>AE145*1.03</f>
        <v>0</v>
      </c>
      <c r="AG145" s="310">
        <f t="shared" ref="AG145:AG150" si="166">AE145+AF145</f>
        <v>0</v>
      </c>
      <c r="AH145" s="296">
        <f>AF145*1.03</f>
        <v>0</v>
      </c>
      <c r="AI145" s="311">
        <v>8</v>
      </c>
      <c r="AJ145" s="310">
        <f t="shared" ref="AJ145:AJ150" si="167">AH145+AI145</f>
        <v>8</v>
      </c>
      <c r="AK145" s="296">
        <v>0</v>
      </c>
      <c r="AL145" s="311">
        <v>0</v>
      </c>
      <c r="AM145" s="310">
        <f t="shared" ref="AM145:AM150" si="168">AK145+AL145</f>
        <v>0</v>
      </c>
      <c r="AN145" s="296">
        <v>0</v>
      </c>
      <c r="AO145" s="311">
        <f>AN145*1.03</f>
        <v>0</v>
      </c>
      <c r="AP145" s="310">
        <f t="shared" ref="AP145:AP150" si="169">AN145+AO145</f>
        <v>0</v>
      </c>
      <c r="AQ145" s="311">
        <f>AO145*1.03</f>
        <v>0</v>
      </c>
      <c r="AR145" s="311">
        <f>AQ145*1.03</f>
        <v>0</v>
      </c>
      <c r="AS145" s="310">
        <f t="shared" ref="AS145:AS150" si="170">AQ145+AR145</f>
        <v>0</v>
      </c>
      <c r="AT145" s="311">
        <f>AR145*1.03</f>
        <v>0</v>
      </c>
      <c r="AU145" s="311">
        <f>AT145*1.03</f>
        <v>0</v>
      </c>
      <c r="AV145" s="310">
        <f t="shared" ref="AV145:AV150" si="171">AT145+AU145</f>
        <v>0</v>
      </c>
      <c r="AW145" s="311">
        <f>AU145*1.03</f>
        <v>0</v>
      </c>
      <c r="AX145" s="311">
        <f>AW145*1.03</f>
        <v>0</v>
      </c>
      <c r="AY145" s="310">
        <f t="shared" ref="AY145:AY150" si="172">AW145+AX145</f>
        <v>0</v>
      </c>
      <c r="AZ145" s="311">
        <f>AX145*1.03</f>
        <v>0</v>
      </c>
      <c r="BA145" s="311">
        <f>AZ145*1.03</f>
        <v>0</v>
      </c>
      <c r="BB145" s="310">
        <f t="shared" ref="BB145:BB150" si="173">AZ145+BA145</f>
        <v>0</v>
      </c>
      <c r="BC145" s="311">
        <f>BA145*1.03</f>
        <v>0</v>
      </c>
      <c r="BD145" s="311">
        <f>BC145*1.03</f>
        <v>0</v>
      </c>
      <c r="BE145" s="310">
        <f t="shared" ref="BE145:BE150" si="174">BC145+BD145</f>
        <v>0</v>
      </c>
    </row>
    <row r="146" spans="2:57" outlineLevel="1">
      <c r="B146" s="246" t="s">
        <v>2296</v>
      </c>
      <c r="C146" s="287">
        <v>0</v>
      </c>
      <c r="D146" s="246">
        <v>2</v>
      </c>
      <c r="E146" s="246">
        <f>F146-D146</f>
        <v>-2</v>
      </c>
      <c r="F146" s="287">
        <v>0</v>
      </c>
      <c r="G146" s="246">
        <v>-2</v>
      </c>
      <c r="H146" s="296">
        <v>2</v>
      </c>
      <c r="I146" s="310">
        <f t="shared" si="161"/>
        <v>0</v>
      </c>
      <c r="J146" s="296">
        <v>0</v>
      </c>
      <c r="K146" s="296">
        <f>L146-J146</f>
        <v>21</v>
      </c>
      <c r="L146" s="310">
        <v>21</v>
      </c>
      <c r="M146" s="296">
        <v>0</v>
      </c>
      <c r="N146" s="296">
        <f>O146-M146</f>
        <v>0</v>
      </c>
      <c r="O146" s="310">
        <v>0</v>
      </c>
      <c r="P146" s="296">
        <v>0</v>
      </c>
      <c r="Q146" s="296">
        <v>0</v>
      </c>
      <c r="R146" s="310">
        <f>P146+Q146</f>
        <v>0</v>
      </c>
      <c r="S146" s="296">
        <v>-2</v>
      </c>
      <c r="T146" s="296">
        <f>0-S146</f>
        <v>2</v>
      </c>
      <c r="U146" s="310">
        <f t="shared" si="162"/>
        <v>0</v>
      </c>
      <c r="V146" s="296">
        <v>0</v>
      </c>
      <c r="W146" s="246">
        <v>0</v>
      </c>
      <c r="X146" s="310">
        <f t="shared" si="163"/>
        <v>0</v>
      </c>
      <c r="Y146" s="296">
        <v>0</v>
      </c>
      <c r="Z146" s="296">
        <f>Y146*1.05</f>
        <v>0</v>
      </c>
      <c r="AA146" s="310">
        <f t="shared" si="164"/>
        <v>0</v>
      </c>
      <c r="AB146" s="296">
        <f>Z146*1.05</f>
        <v>0</v>
      </c>
      <c r="AC146" s="296">
        <f>AA146*1.05</f>
        <v>0</v>
      </c>
      <c r="AD146" s="310">
        <f t="shared" si="165"/>
        <v>0</v>
      </c>
      <c r="AE146" s="296">
        <f>AC146*1.05</f>
        <v>0</v>
      </c>
      <c r="AF146" s="322">
        <f>AE146*1.05</f>
        <v>0</v>
      </c>
      <c r="AG146" s="310">
        <f t="shared" si="166"/>
        <v>0</v>
      </c>
      <c r="AH146" s="296">
        <f>AF146*1.05</f>
        <v>0</v>
      </c>
      <c r="AI146" s="311">
        <f>AH146*1.05</f>
        <v>0</v>
      </c>
      <c r="AJ146" s="310">
        <f t="shared" si="167"/>
        <v>0</v>
      </c>
      <c r="AK146" s="296">
        <f>AI146*1.05</f>
        <v>0</v>
      </c>
      <c r="AL146" s="311">
        <f>AK146*1.05</f>
        <v>0</v>
      </c>
      <c r="AM146" s="310">
        <f t="shared" si="168"/>
        <v>0</v>
      </c>
      <c r="AN146" s="296">
        <f>AL146*1.05</f>
        <v>0</v>
      </c>
      <c r="AO146" s="311">
        <f>AN146*1.05</f>
        <v>0</v>
      </c>
      <c r="AP146" s="310">
        <f t="shared" si="169"/>
        <v>0</v>
      </c>
      <c r="AQ146" s="311">
        <f>AO146*1.05</f>
        <v>0</v>
      </c>
      <c r="AR146" s="311">
        <f>AQ146*1.05</f>
        <v>0</v>
      </c>
      <c r="AS146" s="310">
        <f t="shared" si="170"/>
        <v>0</v>
      </c>
      <c r="AT146" s="311">
        <f>AR146*1.05</f>
        <v>0</v>
      </c>
      <c r="AU146" s="311">
        <f>AT146*1.05</f>
        <v>0</v>
      </c>
      <c r="AV146" s="310">
        <f t="shared" si="171"/>
        <v>0</v>
      </c>
      <c r="AW146" s="311">
        <f>AU146*1.05</f>
        <v>0</v>
      </c>
      <c r="AX146" s="311">
        <f>AW146*1.05</f>
        <v>0</v>
      </c>
      <c r="AY146" s="310">
        <f t="shared" si="172"/>
        <v>0</v>
      </c>
      <c r="AZ146" s="311">
        <f>AX146*1.05</f>
        <v>0</v>
      </c>
      <c r="BA146" s="311">
        <f>AZ146*1.05</f>
        <v>0</v>
      </c>
      <c r="BB146" s="310">
        <f t="shared" si="173"/>
        <v>0</v>
      </c>
      <c r="BC146" s="311">
        <f>BA146*1.05</f>
        <v>0</v>
      </c>
      <c r="BD146" s="311">
        <f>BC146*1.05</f>
        <v>0</v>
      </c>
      <c r="BE146" s="310">
        <f t="shared" si="174"/>
        <v>0</v>
      </c>
    </row>
    <row r="147" spans="2:57" outlineLevel="1">
      <c r="B147" s="243" t="s">
        <v>2297</v>
      </c>
      <c r="C147" s="299">
        <f t="shared" ref="C147:H147" si="175">C145+C146</f>
        <v>2</v>
      </c>
      <c r="D147" s="243">
        <f t="shared" si="175"/>
        <v>-6</v>
      </c>
      <c r="E147" s="243">
        <f t="shared" si="175"/>
        <v>2</v>
      </c>
      <c r="F147" s="299">
        <f t="shared" si="175"/>
        <v>-4</v>
      </c>
      <c r="G147" s="243">
        <f t="shared" si="175"/>
        <v>-4</v>
      </c>
      <c r="H147" s="300">
        <f t="shared" si="175"/>
        <v>6</v>
      </c>
      <c r="I147" s="304">
        <f t="shared" si="161"/>
        <v>2</v>
      </c>
      <c r="J147" s="300">
        <f>J145+J146</f>
        <v>-1</v>
      </c>
      <c r="K147" s="300">
        <f>K145+K146</f>
        <v>30</v>
      </c>
      <c r="L147" s="304">
        <f>J147+K147</f>
        <v>29</v>
      </c>
      <c r="M147" s="300">
        <f>M145+M146</f>
        <v>-1</v>
      </c>
      <c r="N147" s="300">
        <f>N145+N146</f>
        <v>-1</v>
      </c>
      <c r="O147" s="304">
        <f>M147+N147</f>
        <v>-2</v>
      </c>
      <c r="P147" s="300">
        <f>P145+P146</f>
        <v>-1</v>
      </c>
      <c r="Q147" s="300">
        <f>Q145+Q146</f>
        <v>0</v>
      </c>
      <c r="R147" s="304">
        <f>P147+Q147</f>
        <v>-1</v>
      </c>
      <c r="S147" s="300">
        <f>S145+S146</f>
        <v>-2</v>
      </c>
      <c r="T147" s="300">
        <f>T145+T146</f>
        <v>2</v>
      </c>
      <c r="U147" s="304">
        <f t="shared" si="162"/>
        <v>0</v>
      </c>
      <c r="V147" s="300">
        <f>V145+V146</f>
        <v>0</v>
      </c>
      <c r="W147" s="300">
        <f>W145+W146</f>
        <v>0</v>
      </c>
      <c r="X147" s="304">
        <f t="shared" si="163"/>
        <v>0</v>
      </c>
      <c r="Y147" s="300">
        <f>Y145+Y146</f>
        <v>0</v>
      </c>
      <c r="Z147" s="300">
        <f>Z145+Z146</f>
        <v>0</v>
      </c>
      <c r="AA147" s="304">
        <f t="shared" si="164"/>
        <v>0</v>
      </c>
      <c r="AB147" s="300">
        <f>AB145+AB146</f>
        <v>0</v>
      </c>
      <c r="AC147" s="300">
        <f>AC145+AC146</f>
        <v>0</v>
      </c>
      <c r="AD147" s="304">
        <f t="shared" si="165"/>
        <v>0</v>
      </c>
      <c r="AE147" s="300">
        <f>AE145+AE146</f>
        <v>0</v>
      </c>
      <c r="AF147" s="615">
        <f>AF145+AF146</f>
        <v>0</v>
      </c>
      <c r="AG147" s="304">
        <f t="shared" si="166"/>
        <v>0</v>
      </c>
      <c r="AH147" s="300">
        <f>AH145+AH146</f>
        <v>0</v>
      </c>
      <c r="AI147" s="300">
        <f>AI145+AI146</f>
        <v>8</v>
      </c>
      <c r="AJ147" s="304">
        <f t="shared" si="167"/>
        <v>8</v>
      </c>
      <c r="AK147" s="300">
        <f>AK145+AK146</f>
        <v>0</v>
      </c>
      <c r="AL147" s="300">
        <f>AL145+AL146</f>
        <v>0</v>
      </c>
      <c r="AM147" s="304">
        <f t="shared" si="168"/>
        <v>0</v>
      </c>
      <c r="AN147" s="300">
        <f>AN145+AN146</f>
        <v>0</v>
      </c>
      <c r="AO147" s="300">
        <f>AO145+AO146</f>
        <v>0</v>
      </c>
      <c r="AP147" s="304">
        <f t="shared" si="169"/>
        <v>0</v>
      </c>
      <c r="AQ147" s="300">
        <f>AQ145+AQ146</f>
        <v>0</v>
      </c>
      <c r="AR147" s="300">
        <f>AR145+AR146</f>
        <v>0</v>
      </c>
      <c r="AS147" s="304">
        <f t="shared" si="170"/>
        <v>0</v>
      </c>
      <c r="AT147" s="300">
        <f>AT145+AT146</f>
        <v>0</v>
      </c>
      <c r="AU147" s="300">
        <f>AU145+AU146</f>
        <v>0</v>
      </c>
      <c r="AV147" s="304">
        <f t="shared" si="171"/>
        <v>0</v>
      </c>
      <c r="AW147" s="300">
        <f>AW145+AW146</f>
        <v>0</v>
      </c>
      <c r="AX147" s="300">
        <f>AX145+AX146</f>
        <v>0</v>
      </c>
      <c r="AY147" s="304">
        <f t="shared" si="172"/>
        <v>0</v>
      </c>
      <c r="AZ147" s="300">
        <f>AZ145+AZ146</f>
        <v>0</v>
      </c>
      <c r="BA147" s="300">
        <f>BA145+BA146</f>
        <v>0</v>
      </c>
      <c r="BB147" s="304">
        <f t="shared" si="173"/>
        <v>0</v>
      </c>
      <c r="BC147" s="300">
        <f>BC145+BC146</f>
        <v>0</v>
      </c>
      <c r="BD147" s="300">
        <f>BD145+BD146</f>
        <v>0</v>
      </c>
      <c r="BE147" s="304">
        <f t="shared" si="174"/>
        <v>0</v>
      </c>
    </row>
    <row r="148" spans="2:57" outlineLevel="1">
      <c r="B148" s="246" t="s">
        <v>2298</v>
      </c>
      <c r="C148" s="287">
        <v>5</v>
      </c>
      <c r="D148" s="246">
        <v>-3</v>
      </c>
      <c r="E148" s="246">
        <f>F148-D148</f>
        <v>3</v>
      </c>
      <c r="F148" s="287">
        <v>0</v>
      </c>
      <c r="G148" s="246">
        <v>0</v>
      </c>
      <c r="H148" s="296">
        <v>0</v>
      </c>
      <c r="I148" s="310">
        <f t="shared" si="161"/>
        <v>0</v>
      </c>
      <c r="J148" s="296">
        <v>0</v>
      </c>
      <c r="K148" s="296">
        <f>L148-J148</f>
        <v>-8</v>
      </c>
      <c r="L148" s="310">
        <v>-8</v>
      </c>
      <c r="M148" s="313"/>
      <c r="N148" s="296">
        <f>O148-M148</f>
        <v>-1</v>
      </c>
      <c r="O148" s="314">
        <v>-1</v>
      </c>
      <c r="P148" s="313">
        <v>1</v>
      </c>
      <c r="Q148" s="313">
        <v>-1</v>
      </c>
      <c r="R148" s="314">
        <f>+Q148+P148</f>
        <v>0</v>
      </c>
      <c r="S148" s="313">
        <v>1</v>
      </c>
      <c r="T148" s="313">
        <f>0-S148</f>
        <v>-1</v>
      </c>
      <c r="U148" s="314">
        <f t="shared" si="162"/>
        <v>0</v>
      </c>
      <c r="V148" s="296">
        <v>0</v>
      </c>
      <c r="W148" s="246">
        <v>0</v>
      </c>
      <c r="X148" s="310">
        <f t="shared" si="163"/>
        <v>0</v>
      </c>
      <c r="Y148" s="296">
        <v>0</v>
      </c>
      <c r="Z148" s="296">
        <f>Y148*1.05</f>
        <v>0</v>
      </c>
      <c r="AA148" s="310">
        <f t="shared" si="164"/>
        <v>0</v>
      </c>
      <c r="AB148" s="296">
        <f>Z148*1.05</f>
        <v>0</v>
      </c>
      <c r="AC148" s="296">
        <f>AA148*1.05</f>
        <v>0</v>
      </c>
      <c r="AD148" s="310">
        <f t="shared" si="165"/>
        <v>0</v>
      </c>
      <c r="AE148" s="296">
        <f>AC148*1.05</f>
        <v>0</v>
      </c>
      <c r="AF148" s="322">
        <f>AE148*1.05</f>
        <v>0</v>
      </c>
      <c r="AG148" s="310">
        <f t="shared" si="166"/>
        <v>0</v>
      </c>
      <c r="AH148" s="296">
        <f>AF148*1.05</f>
        <v>0</v>
      </c>
      <c r="AI148" s="311">
        <f>AH148*1.05</f>
        <v>0</v>
      </c>
      <c r="AJ148" s="310">
        <f t="shared" si="167"/>
        <v>0</v>
      </c>
      <c r="AK148" s="296">
        <f>AI148*1.05</f>
        <v>0</v>
      </c>
      <c r="AL148" s="311">
        <f>AK148*1.05</f>
        <v>0</v>
      </c>
      <c r="AM148" s="310">
        <f t="shared" si="168"/>
        <v>0</v>
      </c>
      <c r="AN148" s="296">
        <f>AL148*1.05</f>
        <v>0</v>
      </c>
      <c r="AO148" s="311">
        <f>AN148*1.05</f>
        <v>0</v>
      </c>
      <c r="AP148" s="310">
        <f t="shared" si="169"/>
        <v>0</v>
      </c>
      <c r="AQ148" s="311">
        <f>AO148*1.05</f>
        <v>0</v>
      </c>
      <c r="AR148" s="311">
        <f>AQ148*1.05</f>
        <v>0</v>
      </c>
      <c r="AS148" s="310">
        <f t="shared" si="170"/>
        <v>0</v>
      </c>
      <c r="AT148" s="311">
        <f>AR148*1.05</f>
        <v>0</v>
      </c>
      <c r="AU148" s="311">
        <f>AT148*1.05</f>
        <v>0</v>
      </c>
      <c r="AV148" s="310">
        <f t="shared" si="171"/>
        <v>0</v>
      </c>
      <c r="AW148" s="311">
        <f>AU148*1.05</f>
        <v>0</v>
      </c>
      <c r="AX148" s="311">
        <f>AW148*1.05</f>
        <v>0</v>
      </c>
      <c r="AY148" s="310">
        <f t="shared" si="172"/>
        <v>0</v>
      </c>
      <c r="AZ148" s="311">
        <f>AX148*1.05</f>
        <v>0</v>
      </c>
      <c r="BA148" s="311">
        <f>AZ148*1.05</f>
        <v>0</v>
      </c>
      <c r="BB148" s="310">
        <f t="shared" si="173"/>
        <v>0</v>
      </c>
      <c r="BC148" s="311">
        <f>BA148*1.05</f>
        <v>0</v>
      </c>
      <c r="BD148" s="311">
        <f>BC148*1.05</f>
        <v>0</v>
      </c>
      <c r="BE148" s="310">
        <f t="shared" si="174"/>
        <v>0</v>
      </c>
    </row>
    <row r="149" spans="2:57" outlineLevel="1">
      <c r="B149" s="243" t="s">
        <v>2299</v>
      </c>
      <c r="C149" s="299">
        <f t="shared" ref="C149:H149" si="176">C147+C148</f>
        <v>7</v>
      </c>
      <c r="D149" s="243">
        <f t="shared" si="176"/>
        <v>-9</v>
      </c>
      <c r="E149" s="243">
        <f t="shared" si="176"/>
        <v>5</v>
      </c>
      <c r="F149" s="299">
        <f t="shared" si="176"/>
        <v>-4</v>
      </c>
      <c r="G149" s="243">
        <f t="shared" si="176"/>
        <v>-4</v>
      </c>
      <c r="H149" s="300">
        <f t="shared" si="176"/>
        <v>6</v>
      </c>
      <c r="I149" s="304">
        <f t="shared" si="161"/>
        <v>2</v>
      </c>
      <c r="J149" s="300">
        <f>J147+J148</f>
        <v>-1</v>
      </c>
      <c r="K149" s="300">
        <f>K147+K148</f>
        <v>22</v>
      </c>
      <c r="L149" s="304">
        <f>J149+K149</f>
        <v>21</v>
      </c>
      <c r="M149" s="300">
        <f>M147+M148</f>
        <v>-1</v>
      </c>
      <c r="N149" s="300">
        <f>N147+N148</f>
        <v>-2</v>
      </c>
      <c r="O149" s="304">
        <f>M149+N149</f>
        <v>-3</v>
      </c>
      <c r="P149" s="300">
        <f>P147+P148</f>
        <v>0</v>
      </c>
      <c r="Q149" s="300">
        <f>Q147+Q148</f>
        <v>-1</v>
      </c>
      <c r="R149" s="304">
        <f>P149+Q149</f>
        <v>-1</v>
      </c>
      <c r="S149" s="300">
        <f>S147+S148</f>
        <v>-1</v>
      </c>
      <c r="T149" s="300">
        <f>T147+T148</f>
        <v>1</v>
      </c>
      <c r="U149" s="304">
        <f t="shared" si="162"/>
        <v>0</v>
      </c>
      <c r="V149" s="300">
        <f>V147+V148</f>
        <v>0</v>
      </c>
      <c r="W149" s="300">
        <f>W147+W148</f>
        <v>0</v>
      </c>
      <c r="X149" s="304">
        <f t="shared" si="163"/>
        <v>0</v>
      </c>
      <c r="Y149" s="300">
        <f>Y147+Y148</f>
        <v>0</v>
      </c>
      <c r="Z149" s="300">
        <f>Z147+Z148</f>
        <v>0</v>
      </c>
      <c r="AA149" s="304">
        <f t="shared" si="164"/>
        <v>0</v>
      </c>
      <c r="AB149" s="300">
        <f>AB147+AB148</f>
        <v>0</v>
      </c>
      <c r="AC149" s="300">
        <f>AC147+AC148</f>
        <v>0</v>
      </c>
      <c r="AD149" s="304">
        <f t="shared" si="165"/>
        <v>0</v>
      </c>
      <c r="AE149" s="300">
        <f>AE147+AE148</f>
        <v>0</v>
      </c>
      <c r="AF149" s="615">
        <f>AF147+AF148</f>
        <v>0</v>
      </c>
      <c r="AG149" s="304">
        <f t="shared" si="166"/>
        <v>0</v>
      </c>
      <c r="AH149" s="300">
        <f>AH147+AH148</f>
        <v>0</v>
      </c>
      <c r="AI149" s="300">
        <f>AI147+AI148</f>
        <v>8</v>
      </c>
      <c r="AJ149" s="304">
        <f t="shared" si="167"/>
        <v>8</v>
      </c>
      <c r="AK149" s="300">
        <f>AK147+AK148</f>
        <v>0</v>
      </c>
      <c r="AL149" s="300">
        <f>AL147+AL148</f>
        <v>0</v>
      </c>
      <c r="AM149" s="304">
        <f t="shared" si="168"/>
        <v>0</v>
      </c>
      <c r="AN149" s="300">
        <f>AN147+AN148</f>
        <v>0</v>
      </c>
      <c r="AO149" s="300">
        <f>AO147+AO148</f>
        <v>0</v>
      </c>
      <c r="AP149" s="304">
        <f t="shared" si="169"/>
        <v>0</v>
      </c>
      <c r="AQ149" s="300">
        <f>AQ147+AQ148</f>
        <v>0</v>
      </c>
      <c r="AR149" s="300">
        <f>AR147+AR148</f>
        <v>0</v>
      </c>
      <c r="AS149" s="304">
        <f t="shared" si="170"/>
        <v>0</v>
      </c>
      <c r="AT149" s="300">
        <f>AT147+AT148</f>
        <v>0</v>
      </c>
      <c r="AU149" s="300">
        <f>AU147+AU148</f>
        <v>0</v>
      </c>
      <c r="AV149" s="304">
        <f t="shared" si="171"/>
        <v>0</v>
      </c>
      <c r="AW149" s="300">
        <f>AW147+AW148</f>
        <v>0</v>
      </c>
      <c r="AX149" s="300">
        <f>AX147+AX148</f>
        <v>0</v>
      </c>
      <c r="AY149" s="304">
        <f t="shared" si="172"/>
        <v>0</v>
      </c>
      <c r="AZ149" s="300">
        <f>AZ147+AZ148</f>
        <v>0</v>
      </c>
      <c r="BA149" s="300">
        <f>BA147+BA148</f>
        <v>0</v>
      </c>
      <c r="BB149" s="304">
        <f t="shared" si="173"/>
        <v>0</v>
      </c>
      <c r="BC149" s="300">
        <f>BC147+BC148</f>
        <v>0</v>
      </c>
      <c r="BD149" s="300">
        <f>BD147+BD148</f>
        <v>0</v>
      </c>
      <c r="BE149" s="304">
        <f t="shared" si="174"/>
        <v>0</v>
      </c>
    </row>
    <row r="150" spans="2:57" outlineLevel="1">
      <c r="B150" s="246" t="s">
        <v>2300</v>
      </c>
      <c r="C150" s="287">
        <v>-132</v>
      </c>
      <c r="D150" s="246">
        <v>-85</v>
      </c>
      <c r="E150" s="246">
        <f>F150-D150</f>
        <v>-56</v>
      </c>
      <c r="F150" s="287">
        <v>-141</v>
      </c>
      <c r="G150" s="246">
        <v>-25</v>
      </c>
      <c r="H150" s="296">
        <v>-72</v>
      </c>
      <c r="I150" s="310">
        <f t="shared" si="161"/>
        <v>-97</v>
      </c>
      <c r="J150" s="313">
        <v>-61</v>
      </c>
      <c r="K150" s="296">
        <f>L150-J150</f>
        <v>-86</v>
      </c>
      <c r="L150" s="310">
        <v>-147</v>
      </c>
      <c r="M150" s="296">
        <v>-62</v>
      </c>
      <c r="N150" s="296">
        <f>O150-M150</f>
        <v>-65</v>
      </c>
      <c r="O150" s="310">
        <v>-127</v>
      </c>
      <c r="P150" s="296">
        <v>-63</v>
      </c>
      <c r="Q150" s="296">
        <v>-61</v>
      </c>
      <c r="R150" s="310">
        <f>P150+Q150</f>
        <v>-124</v>
      </c>
      <c r="S150" s="296">
        <v>-62</v>
      </c>
      <c r="T150" s="296">
        <f>-133-S150</f>
        <v>-71</v>
      </c>
      <c r="U150" s="310">
        <f t="shared" si="162"/>
        <v>-133</v>
      </c>
      <c r="V150" s="296">
        <v>-74</v>
      </c>
      <c r="W150" s="246">
        <v>-50</v>
      </c>
      <c r="X150" s="310">
        <f t="shared" si="163"/>
        <v>-124</v>
      </c>
      <c r="Y150" s="296">
        <v>-87</v>
      </c>
      <c r="Z150" s="246">
        <v>-63</v>
      </c>
      <c r="AA150" s="310">
        <f t="shared" si="164"/>
        <v>-150</v>
      </c>
      <c r="AB150" s="296">
        <v>-69</v>
      </c>
      <c r="AC150" s="296">
        <f>-146-AB150</f>
        <v>-77</v>
      </c>
      <c r="AD150" s="310">
        <f t="shared" si="165"/>
        <v>-146</v>
      </c>
      <c r="AE150" s="296">
        <v>-72</v>
      </c>
      <c r="AF150" s="322">
        <f>-161-AE150</f>
        <v>-89</v>
      </c>
      <c r="AG150" s="310">
        <f t="shared" si="166"/>
        <v>-161</v>
      </c>
      <c r="AH150" s="296">
        <v>-94</v>
      </c>
      <c r="AI150" s="311">
        <v>-28</v>
      </c>
      <c r="AJ150" s="310">
        <f t="shared" si="167"/>
        <v>-122</v>
      </c>
      <c r="AK150" s="296">
        <v>0</v>
      </c>
      <c r="AL150" s="311">
        <v>0</v>
      </c>
      <c r="AM150" s="310">
        <f t="shared" si="168"/>
        <v>0</v>
      </c>
      <c r="AN150" s="296">
        <v>0</v>
      </c>
      <c r="AO150" s="311">
        <f>AN150*1.02</f>
        <v>0</v>
      </c>
      <c r="AP150" s="310">
        <f t="shared" si="169"/>
        <v>0</v>
      </c>
      <c r="AQ150" s="311">
        <f>AO150*1.02</f>
        <v>0</v>
      </c>
      <c r="AR150" s="311">
        <f>AQ150*1.02</f>
        <v>0</v>
      </c>
      <c r="AS150" s="310">
        <f t="shared" si="170"/>
        <v>0</v>
      </c>
      <c r="AT150" s="311">
        <f>AR150*1.02</f>
        <v>0</v>
      </c>
      <c r="AU150" s="311">
        <f>AT150*1.02</f>
        <v>0</v>
      </c>
      <c r="AV150" s="310">
        <f t="shared" si="171"/>
        <v>0</v>
      </c>
      <c r="AW150" s="311">
        <f>AU150*1.02</f>
        <v>0</v>
      </c>
      <c r="AX150" s="311">
        <f>AW150*1.02</f>
        <v>0</v>
      </c>
      <c r="AY150" s="310">
        <f t="shared" si="172"/>
        <v>0</v>
      </c>
      <c r="AZ150" s="311">
        <f>AX150*1.02</f>
        <v>0</v>
      </c>
      <c r="BA150" s="311">
        <f>AZ150*1.02</f>
        <v>0</v>
      </c>
      <c r="BB150" s="310">
        <f t="shared" si="173"/>
        <v>0</v>
      </c>
      <c r="BC150" s="311">
        <f>BA150*1.02</f>
        <v>0</v>
      </c>
      <c r="BD150" s="311">
        <f>BC150*1.02</f>
        <v>0</v>
      </c>
      <c r="BE150" s="310">
        <f t="shared" si="174"/>
        <v>0</v>
      </c>
    </row>
    <row r="151" spans="2:57" outlineLevel="1">
      <c r="B151" s="243" t="s">
        <v>2301</v>
      </c>
      <c r="C151" s="299">
        <f t="shared" ref="C151:AK151" si="177">C148+C150</f>
        <v>-127</v>
      </c>
      <c r="D151" s="243">
        <f t="shared" si="177"/>
        <v>-88</v>
      </c>
      <c r="E151" s="243">
        <f t="shared" si="177"/>
        <v>-53</v>
      </c>
      <c r="F151" s="299">
        <f t="shared" si="177"/>
        <v>-141</v>
      </c>
      <c r="G151" s="243">
        <f t="shared" si="177"/>
        <v>-25</v>
      </c>
      <c r="H151" s="300">
        <f t="shared" si="177"/>
        <v>-72</v>
      </c>
      <c r="I151" s="304">
        <f t="shared" si="177"/>
        <v>-97</v>
      </c>
      <c r="J151" s="300">
        <f t="shared" si="177"/>
        <v>-61</v>
      </c>
      <c r="K151" s="300">
        <f t="shared" si="177"/>
        <v>-94</v>
      </c>
      <c r="L151" s="304">
        <f t="shared" si="177"/>
        <v>-155</v>
      </c>
      <c r="M151" s="300">
        <f t="shared" si="177"/>
        <v>-62</v>
      </c>
      <c r="N151" s="300">
        <f t="shared" si="177"/>
        <v>-66</v>
      </c>
      <c r="O151" s="304">
        <f t="shared" si="177"/>
        <v>-128</v>
      </c>
      <c r="P151" s="300">
        <f t="shared" si="177"/>
        <v>-62</v>
      </c>
      <c r="Q151" s="300">
        <f t="shared" si="177"/>
        <v>-62</v>
      </c>
      <c r="R151" s="304">
        <f t="shared" si="177"/>
        <v>-124</v>
      </c>
      <c r="S151" s="300">
        <f t="shared" si="177"/>
        <v>-61</v>
      </c>
      <c r="T151" s="300">
        <f t="shared" si="177"/>
        <v>-72</v>
      </c>
      <c r="U151" s="304">
        <f t="shared" si="177"/>
        <v>-133</v>
      </c>
      <c r="V151" s="300">
        <f t="shared" si="177"/>
        <v>-74</v>
      </c>
      <c r="W151" s="300">
        <f t="shared" si="177"/>
        <v>-50</v>
      </c>
      <c r="X151" s="304">
        <f t="shared" si="163"/>
        <v>-124</v>
      </c>
      <c r="Y151" s="300">
        <f t="shared" si="177"/>
        <v>-87</v>
      </c>
      <c r="Z151" s="300">
        <f t="shared" si="177"/>
        <v>-63</v>
      </c>
      <c r="AA151" s="304">
        <f t="shared" si="177"/>
        <v>-150</v>
      </c>
      <c r="AB151" s="300">
        <f t="shared" si="177"/>
        <v>-69</v>
      </c>
      <c r="AC151" s="300">
        <f>AC148+AC150</f>
        <v>-77</v>
      </c>
      <c r="AD151" s="304">
        <f t="shared" si="177"/>
        <v>-146</v>
      </c>
      <c r="AE151" s="300">
        <f t="shared" si="177"/>
        <v>-72</v>
      </c>
      <c r="AF151" s="615">
        <f t="shared" si="177"/>
        <v>-89</v>
      </c>
      <c r="AG151" s="304">
        <f t="shared" si="177"/>
        <v>-161</v>
      </c>
      <c r="AH151" s="300">
        <f>AH148+AH150</f>
        <v>-94</v>
      </c>
      <c r="AI151" s="300">
        <f t="shared" si="177"/>
        <v>-28</v>
      </c>
      <c r="AJ151" s="304">
        <f t="shared" si="177"/>
        <v>-122</v>
      </c>
      <c r="AK151" s="300">
        <f t="shared" si="177"/>
        <v>0</v>
      </c>
      <c r="AL151" s="300">
        <f t="shared" ref="AL151:BB151" si="178">AL148+AL150</f>
        <v>0</v>
      </c>
      <c r="AM151" s="304">
        <f t="shared" si="178"/>
        <v>0</v>
      </c>
      <c r="AN151" s="300">
        <f t="shared" si="178"/>
        <v>0</v>
      </c>
      <c r="AO151" s="300">
        <f t="shared" si="178"/>
        <v>0</v>
      </c>
      <c r="AP151" s="304">
        <f t="shared" si="178"/>
        <v>0</v>
      </c>
      <c r="AQ151" s="300">
        <f t="shared" si="178"/>
        <v>0</v>
      </c>
      <c r="AR151" s="300">
        <f t="shared" si="178"/>
        <v>0</v>
      </c>
      <c r="AS151" s="304">
        <f t="shared" si="178"/>
        <v>0</v>
      </c>
      <c r="AT151" s="300">
        <f t="shared" si="178"/>
        <v>0</v>
      </c>
      <c r="AU151" s="300">
        <f t="shared" si="178"/>
        <v>0</v>
      </c>
      <c r="AV151" s="304">
        <f t="shared" si="178"/>
        <v>0</v>
      </c>
      <c r="AW151" s="300">
        <f t="shared" si="178"/>
        <v>0</v>
      </c>
      <c r="AX151" s="300">
        <f t="shared" si="178"/>
        <v>0</v>
      </c>
      <c r="AY151" s="304">
        <f t="shared" si="178"/>
        <v>0</v>
      </c>
      <c r="AZ151" s="300">
        <f t="shared" si="178"/>
        <v>0</v>
      </c>
      <c r="BA151" s="300">
        <f t="shared" si="178"/>
        <v>0</v>
      </c>
      <c r="BB151" s="304">
        <f t="shared" si="178"/>
        <v>0</v>
      </c>
      <c r="BC151" s="300">
        <f>BC148+BC150</f>
        <v>0</v>
      </c>
      <c r="BD151" s="300">
        <f>BD148+BD150</f>
        <v>0</v>
      </c>
      <c r="BE151" s="304">
        <f>BE148+BE150</f>
        <v>0</v>
      </c>
    </row>
    <row r="152" spans="2:57" outlineLevel="1">
      <c r="B152" s="243" t="s">
        <v>2302</v>
      </c>
      <c r="C152" s="299">
        <f t="shared" ref="C152:AK152" si="179">C147+C151</f>
        <v>-125</v>
      </c>
      <c r="D152" s="243">
        <f t="shared" si="179"/>
        <v>-94</v>
      </c>
      <c r="E152" s="243">
        <f t="shared" si="179"/>
        <v>-51</v>
      </c>
      <c r="F152" s="299">
        <f t="shared" si="179"/>
        <v>-145</v>
      </c>
      <c r="G152" s="243">
        <f t="shared" si="179"/>
        <v>-29</v>
      </c>
      <c r="H152" s="300">
        <f t="shared" si="179"/>
        <v>-66</v>
      </c>
      <c r="I152" s="304">
        <f t="shared" si="179"/>
        <v>-95</v>
      </c>
      <c r="J152" s="300">
        <f t="shared" si="179"/>
        <v>-62</v>
      </c>
      <c r="K152" s="300">
        <f t="shared" si="179"/>
        <v>-64</v>
      </c>
      <c r="L152" s="304">
        <f t="shared" si="179"/>
        <v>-126</v>
      </c>
      <c r="M152" s="300">
        <f>M147+M151</f>
        <v>-63</v>
      </c>
      <c r="N152" s="300">
        <f t="shared" si="179"/>
        <v>-67</v>
      </c>
      <c r="O152" s="304">
        <f t="shared" si="179"/>
        <v>-130</v>
      </c>
      <c r="P152" s="300">
        <f t="shared" si="179"/>
        <v>-63</v>
      </c>
      <c r="Q152" s="300">
        <f t="shared" si="179"/>
        <v>-62</v>
      </c>
      <c r="R152" s="304">
        <f t="shared" si="179"/>
        <v>-125</v>
      </c>
      <c r="S152" s="300">
        <f t="shared" si="179"/>
        <v>-63</v>
      </c>
      <c r="T152" s="300">
        <f t="shared" si="179"/>
        <v>-70</v>
      </c>
      <c r="U152" s="304">
        <f t="shared" si="179"/>
        <v>-133</v>
      </c>
      <c r="V152" s="300">
        <f t="shared" si="179"/>
        <v>-74</v>
      </c>
      <c r="W152" s="300">
        <f t="shared" si="179"/>
        <v>-50</v>
      </c>
      <c r="X152" s="304">
        <f t="shared" si="163"/>
        <v>-124</v>
      </c>
      <c r="Y152" s="300">
        <f t="shared" si="179"/>
        <v>-87</v>
      </c>
      <c r="Z152" s="300">
        <f t="shared" si="179"/>
        <v>-63</v>
      </c>
      <c r="AA152" s="304">
        <f t="shared" si="179"/>
        <v>-150</v>
      </c>
      <c r="AB152" s="300">
        <f t="shared" si="179"/>
        <v>-69</v>
      </c>
      <c r="AC152" s="300">
        <f>AC147+AC151</f>
        <v>-77</v>
      </c>
      <c r="AD152" s="304">
        <f t="shared" si="179"/>
        <v>-146</v>
      </c>
      <c r="AE152" s="300">
        <f t="shared" si="179"/>
        <v>-72</v>
      </c>
      <c r="AF152" s="615">
        <f t="shared" si="179"/>
        <v>-89</v>
      </c>
      <c r="AG152" s="304">
        <f t="shared" si="179"/>
        <v>-161</v>
      </c>
      <c r="AH152" s="300">
        <f>AH147+AH151</f>
        <v>-94</v>
      </c>
      <c r="AI152" s="300">
        <f t="shared" si="179"/>
        <v>-20</v>
      </c>
      <c r="AJ152" s="304">
        <f t="shared" si="179"/>
        <v>-114</v>
      </c>
      <c r="AK152" s="300">
        <f t="shared" si="179"/>
        <v>0</v>
      </c>
      <c r="AL152" s="300">
        <f t="shared" ref="AL152:BB152" si="180">AL147+AL151</f>
        <v>0</v>
      </c>
      <c r="AM152" s="304">
        <f t="shared" si="180"/>
        <v>0</v>
      </c>
      <c r="AN152" s="300">
        <f t="shared" si="180"/>
        <v>0</v>
      </c>
      <c r="AO152" s="300">
        <f t="shared" si="180"/>
        <v>0</v>
      </c>
      <c r="AP152" s="304">
        <f t="shared" si="180"/>
        <v>0</v>
      </c>
      <c r="AQ152" s="300">
        <f t="shared" si="180"/>
        <v>0</v>
      </c>
      <c r="AR152" s="300">
        <f t="shared" si="180"/>
        <v>0</v>
      </c>
      <c r="AS152" s="304">
        <f t="shared" si="180"/>
        <v>0</v>
      </c>
      <c r="AT152" s="300">
        <f t="shared" si="180"/>
        <v>0</v>
      </c>
      <c r="AU152" s="300">
        <f t="shared" si="180"/>
        <v>0</v>
      </c>
      <c r="AV152" s="304">
        <f t="shared" si="180"/>
        <v>0</v>
      </c>
      <c r="AW152" s="300">
        <f t="shared" si="180"/>
        <v>0</v>
      </c>
      <c r="AX152" s="300">
        <f t="shared" si="180"/>
        <v>0</v>
      </c>
      <c r="AY152" s="304">
        <f t="shared" si="180"/>
        <v>0</v>
      </c>
      <c r="AZ152" s="300">
        <f t="shared" si="180"/>
        <v>0</v>
      </c>
      <c r="BA152" s="300">
        <f t="shared" si="180"/>
        <v>0</v>
      </c>
      <c r="BB152" s="304">
        <f t="shared" si="180"/>
        <v>0</v>
      </c>
      <c r="BC152" s="300">
        <f>BC147+BC151</f>
        <v>0</v>
      </c>
      <c r="BD152" s="300">
        <f>BD147+BD151</f>
        <v>0</v>
      </c>
      <c r="BE152" s="304">
        <f>BE147+BE151</f>
        <v>0</v>
      </c>
    </row>
    <row r="153" spans="2:57" outlineLevel="1">
      <c r="B153" s="246" t="s">
        <v>77</v>
      </c>
      <c r="C153" s="287">
        <v>38</v>
      </c>
      <c r="D153" s="246">
        <v>19</v>
      </c>
      <c r="E153" s="246">
        <f>F153-D153</f>
        <v>21</v>
      </c>
      <c r="F153" s="287">
        <v>40</v>
      </c>
      <c r="G153" s="246">
        <v>16</v>
      </c>
      <c r="H153" s="296">
        <v>17</v>
      </c>
      <c r="I153" s="310">
        <f>G153+H153</f>
        <v>33</v>
      </c>
      <c r="J153" s="296">
        <v>14</v>
      </c>
      <c r="K153" s="296">
        <f>L153-J153</f>
        <v>15</v>
      </c>
      <c r="L153" s="310">
        <v>29</v>
      </c>
      <c r="M153" s="296">
        <v>17</v>
      </c>
      <c r="N153" s="296">
        <f>O153-M153</f>
        <v>23</v>
      </c>
      <c r="O153" s="310">
        <v>40</v>
      </c>
      <c r="P153" s="296">
        <v>18</v>
      </c>
      <c r="Q153" s="296">
        <v>18</v>
      </c>
      <c r="R153" s="310">
        <f>P153+Q153</f>
        <v>36</v>
      </c>
      <c r="S153" s="296">
        <v>17</v>
      </c>
      <c r="T153" s="296">
        <f>39-S153</f>
        <v>22</v>
      </c>
      <c r="U153" s="310">
        <f>S153+T153</f>
        <v>39</v>
      </c>
      <c r="V153" s="296">
        <v>14</v>
      </c>
      <c r="W153" s="246">
        <v>22</v>
      </c>
      <c r="X153" s="310">
        <f t="shared" si="163"/>
        <v>36</v>
      </c>
      <c r="Y153" s="296">
        <v>24</v>
      </c>
      <c r="Z153" s="246">
        <v>15</v>
      </c>
      <c r="AA153" s="310">
        <f>Y153+Z153</f>
        <v>39</v>
      </c>
      <c r="AB153" s="296">
        <v>25</v>
      </c>
      <c r="AC153" s="296">
        <f>43-AB153</f>
        <v>18</v>
      </c>
      <c r="AD153" s="310">
        <f>AB153+AC153</f>
        <v>43</v>
      </c>
      <c r="AE153" s="296">
        <v>15</v>
      </c>
      <c r="AF153" s="322">
        <f>45-AE153</f>
        <v>30</v>
      </c>
      <c r="AG153" s="310">
        <f>AE153+AF153</f>
        <v>45</v>
      </c>
      <c r="AH153" s="296">
        <v>27</v>
      </c>
      <c r="AI153" s="311">
        <v>21</v>
      </c>
      <c r="AJ153" s="310">
        <f>AH153+AI153</f>
        <v>48</v>
      </c>
      <c r="AK153" s="296">
        <v>0</v>
      </c>
      <c r="AL153" s="311">
        <v>0</v>
      </c>
      <c r="AM153" s="310">
        <f>AK153+AL153</f>
        <v>0</v>
      </c>
      <c r="AN153" s="296">
        <v>0</v>
      </c>
      <c r="AO153" s="311">
        <f>-AO152*0.3</f>
        <v>0</v>
      </c>
      <c r="AP153" s="310">
        <f>AN153+AO153</f>
        <v>0</v>
      </c>
      <c r="AQ153" s="311">
        <f>-AQ152*0.3</f>
        <v>0</v>
      </c>
      <c r="AR153" s="311">
        <f>-AR152*0.3</f>
        <v>0</v>
      </c>
      <c r="AS153" s="310">
        <f>AQ153+AR153</f>
        <v>0</v>
      </c>
      <c r="AT153" s="311">
        <f>-AT152*0.3</f>
        <v>0</v>
      </c>
      <c r="AU153" s="311">
        <f>-AU152*0.3</f>
        <v>0</v>
      </c>
      <c r="AV153" s="310">
        <f>AT153+AU153</f>
        <v>0</v>
      </c>
      <c r="AW153" s="311">
        <f>-AW152*0.3</f>
        <v>0</v>
      </c>
      <c r="AX153" s="311">
        <f>-AX152*0.3</f>
        <v>0</v>
      </c>
      <c r="AY153" s="310">
        <f>AW153+AX153</f>
        <v>0</v>
      </c>
      <c r="AZ153" s="311">
        <f>-AZ152*0.3</f>
        <v>0</v>
      </c>
      <c r="BA153" s="311">
        <f>-BA152*0.3</f>
        <v>0</v>
      </c>
      <c r="BB153" s="310">
        <f>AZ153+BA153</f>
        <v>0</v>
      </c>
      <c r="BC153" s="311">
        <f>-BC152*0.3</f>
        <v>0</v>
      </c>
      <c r="BD153" s="311">
        <f>-BD152*0.3</f>
        <v>0</v>
      </c>
      <c r="BE153" s="310">
        <f>BC153+BD153</f>
        <v>0</v>
      </c>
    </row>
    <row r="154" spans="2:57" outlineLevel="1">
      <c r="B154" s="243" t="s">
        <v>2303</v>
      </c>
      <c r="C154" s="299">
        <f t="shared" ref="C154:AK154" si="181">C152+C153</f>
        <v>-87</v>
      </c>
      <c r="D154" s="243">
        <f t="shared" si="181"/>
        <v>-75</v>
      </c>
      <c r="E154" s="243">
        <f t="shared" si="181"/>
        <v>-30</v>
      </c>
      <c r="F154" s="299">
        <f t="shared" si="181"/>
        <v>-105</v>
      </c>
      <c r="G154" s="243">
        <f t="shared" si="181"/>
        <v>-13</v>
      </c>
      <c r="H154" s="300">
        <f t="shared" si="181"/>
        <v>-49</v>
      </c>
      <c r="I154" s="304">
        <f t="shared" si="181"/>
        <v>-62</v>
      </c>
      <c r="J154" s="300">
        <f t="shared" si="181"/>
        <v>-48</v>
      </c>
      <c r="K154" s="300">
        <f t="shared" si="181"/>
        <v>-49</v>
      </c>
      <c r="L154" s="304">
        <f t="shared" si="181"/>
        <v>-97</v>
      </c>
      <c r="M154" s="300">
        <f>M152+M153</f>
        <v>-46</v>
      </c>
      <c r="N154" s="300">
        <f t="shared" si="181"/>
        <v>-44</v>
      </c>
      <c r="O154" s="304">
        <f t="shared" si="181"/>
        <v>-90</v>
      </c>
      <c r="P154" s="300">
        <f>P152+P153</f>
        <v>-45</v>
      </c>
      <c r="Q154" s="300">
        <f t="shared" si="181"/>
        <v>-44</v>
      </c>
      <c r="R154" s="304">
        <f t="shared" si="181"/>
        <v>-89</v>
      </c>
      <c r="S154" s="300">
        <f t="shared" si="181"/>
        <v>-46</v>
      </c>
      <c r="T154" s="300">
        <f t="shared" si="181"/>
        <v>-48</v>
      </c>
      <c r="U154" s="304">
        <f t="shared" si="181"/>
        <v>-94</v>
      </c>
      <c r="V154" s="300">
        <f t="shared" si="181"/>
        <v>-60</v>
      </c>
      <c r="W154" s="300">
        <f t="shared" si="181"/>
        <v>-28</v>
      </c>
      <c r="X154" s="304">
        <f t="shared" si="163"/>
        <v>-88</v>
      </c>
      <c r="Y154" s="300">
        <f t="shared" si="181"/>
        <v>-63</v>
      </c>
      <c r="Z154" s="300">
        <f t="shared" si="181"/>
        <v>-48</v>
      </c>
      <c r="AA154" s="304">
        <f t="shared" si="181"/>
        <v>-111</v>
      </c>
      <c r="AB154" s="300">
        <f t="shared" si="181"/>
        <v>-44</v>
      </c>
      <c r="AC154" s="300">
        <f>AC152+AC153</f>
        <v>-59</v>
      </c>
      <c r="AD154" s="304">
        <f t="shared" si="181"/>
        <v>-103</v>
      </c>
      <c r="AE154" s="300">
        <f t="shared" si="181"/>
        <v>-57</v>
      </c>
      <c r="AF154" s="615">
        <f t="shared" si="181"/>
        <v>-59</v>
      </c>
      <c r="AG154" s="304">
        <f t="shared" si="181"/>
        <v>-116</v>
      </c>
      <c r="AH154" s="300">
        <f>AH152+AH153</f>
        <v>-67</v>
      </c>
      <c r="AI154" s="300">
        <f t="shared" si="181"/>
        <v>1</v>
      </c>
      <c r="AJ154" s="304">
        <f t="shared" si="181"/>
        <v>-66</v>
      </c>
      <c r="AK154" s="300">
        <f t="shared" si="181"/>
        <v>0</v>
      </c>
      <c r="AL154" s="300">
        <f t="shared" ref="AL154:BB154" si="182">AL152+AL153</f>
        <v>0</v>
      </c>
      <c r="AM154" s="304">
        <f t="shared" si="182"/>
        <v>0</v>
      </c>
      <c r="AN154" s="300">
        <f t="shared" si="182"/>
        <v>0</v>
      </c>
      <c r="AO154" s="300">
        <f t="shared" si="182"/>
        <v>0</v>
      </c>
      <c r="AP154" s="304">
        <f t="shared" si="182"/>
        <v>0</v>
      </c>
      <c r="AQ154" s="300">
        <f t="shared" si="182"/>
        <v>0</v>
      </c>
      <c r="AR154" s="300">
        <f t="shared" si="182"/>
        <v>0</v>
      </c>
      <c r="AS154" s="304">
        <f t="shared" si="182"/>
        <v>0</v>
      </c>
      <c r="AT154" s="300">
        <f t="shared" si="182"/>
        <v>0</v>
      </c>
      <c r="AU154" s="300">
        <f t="shared" si="182"/>
        <v>0</v>
      </c>
      <c r="AV154" s="304">
        <f t="shared" si="182"/>
        <v>0</v>
      </c>
      <c r="AW154" s="300">
        <f t="shared" si="182"/>
        <v>0</v>
      </c>
      <c r="AX154" s="300">
        <f t="shared" si="182"/>
        <v>0</v>
      </c>
      <c r="AY154" s="304">
        <f t="shared" si="182"/>
        <v>0</v>
      </c>
      <c r="AZ154" s="300">
        <f t="shared" si="182"/>
        <v>0</v>
      </c>
      <c r="BA154" s="300">
        <f t="shared" si="182"/>
        <v>0</v>
      </c>
      <c r="BB154" s="304">
        <f t="shared" si="182"/>
        <v>0</v>
      </c>
      <c r="BC154" s="300">
        <f>BC152+BC153</f>
        <v>0</v>
      </c>
      <c r="BD154" s="300">
        <f>BD152+BD153</f>
        <v>0</v>
      </c>
      <c r="BE154" s="304">
        <f>BE152+BE153</f>
        <v>0</v>
      </c>
    </row>
    <row r="155" spans="2:57" outlineLevel="1">
      <c r="B155" s="246" t="s">
        <v>2304</v>
      </c>
      <c r="C155" s="287"/>
      <c r="F155" s="287"/>
      <c r="I155" s="287"/>
      <c r="L155" s="287"/>
      <c r="O155" s="287"/>
      <c r="R155" s="287"/>
      <c r="U155" s="287"/>
      <c r="X155" s="287"/>
      <c r="AA155" s="287"/>
      <c r="AD155" s="287"/>
      <c r="AF155" s="613"/>
      <c r="AG155" s="287"/>
      <c r="AJ155" s="287"/>
      <c r="AM155" s="287"/>
      <c r="AP155" s="287"/>
      <c r="AS155" s="287"/>
      <c r="AV155" s="287"/>
      <c r="AY155" s="287"/>
      <c r="BB155" s="287"/>
      <c r="BE155" s="287"/>
    </row>
    <row r="156" spans="2:57" outlineLevel="1">
      <c r="B156" s="246" t="s">
        <v>2305</v>
      </c>
      <c r="C156" s="287"/>
      <c r="F156" s="287"/>
      <c r="I156" s="287"/>
      <c r="L156" s="287"/>
      <c r="O156" s="287"/>
      <c r="R156" s="287"/>
      <c r="U156" s="287"/>
      <c r="X156" s="287"/>
      <c r="AA156" s="287"/>
      <c r="AD156" s="287"/>
      <c r="AF156" s="613"/>
      <c r="AG156" s="287"/>
      <c r="AJ156" s="287"/>
      <c r="AM156" s="287"/>
      <c r="AP156" s="287"/>
      <c r="AS156" s="287"/>
      <c r="AV156" s="287"/>
      <c r="AY156" s="287"/>
      <c r="BB156" s="287"/>
      <c r="BE156" s="287"/>
    </row>
    <row r="157" spans="2:57" outlineLevel="1">
      <c r="B157" s="246" t="s">
        <v>2306</v>
      </c>
      <c r="C157" s="287">
        <v>-15</v>
      </c>
      <c r="D157" s="246">
        <v>3</v>
      </c>
      <c r="E157" s="246">
        <f>F157-D157</f>
        <v>-9</v>
      </c>
      <c r="F157" s="287">
        <v>-6</v>
      </c>
      <c r="G157" s="246">
        <v>-16</v>
      </c>
      <c r="H157" s="246">
        <v>-15</v>
      </c>
      <c r="I157" s="287">
        <f>G157+H157</f>
        <v>-31</v>
      </c>
      <c r="J157" s="246">
        <v>14</v>
      </c>
      <c r="K157" s="246">
        <f>L157-J157</f>
        <v>5</v>
      </c>
      <c r="L157" s="287">
        <v>19</v>
      </c>
      <c r="M157" s="246">
        <v>1</v>
      </c>
      <c r="N157" s="246">
        <v>1</v>
      </c>
      <c r="O157" s="287">
        <f>M157+N157</f>
        <v>2</v>
      </c>
      <c r="P157" s="246">
        <v>1</v>
      </c>
      <c r="Q157" s="246">
        <v>1</v>
      </c>
      <c r="R157" s="287">
        <f>+Q157+P157</f>
        <v>2</v>
      </c>
      <c r="S157" s="246">
        <v>-1</v>
      </c>
      <c r="T157" s="246">
        <f>0-S157</f>
        <v>1</v>
      </c>
      <c r="U157" s="287">
        <f>S157+T157</f>
        <v>0</v>
      </c>
      <c r="V157" s="246">
        <v>-3</v>
      </c>
      <c r="W157" s="246">
        <v>-5</v>
      </c>
      <c r="X157" s="310">
        <f>SUM(V157:W157)</f>
        <v>-8</v>
      </c>
      <c r="Y157" s="246">
        <v>0</v>
      </c>
      <c r="Z157" s="246">
        <v>3</v>
      </c>
      <c r="AA157" s="287">
        <v>3</v>
      </c>
      <c r="AB157" s="246">
        <v>6</v>
      </c>
      <c r="AC157" s="246">
        <f>59-AB157</f>
        <v>53</v>
      </c>
      <c r="AD157" s="310">
        <f>SUM(AB157:AC157)</f>
        <v>59</v>
      </c>
      <c r="AE157" s="246">
        <v>2</v>
      </c>
      <c r="AF157" s="613">
        <v>-2</v>
      </c>
      <c r="AG157" s="287"/>
      <c r="AH157" s="246">
        <v>1</v>
      </c>
      <c r="AI157" s="246">
        <v>10</v>
      </c>
      <c r="AJ157" s="287"/>
      <c r="AK157" s="246">
        <v>0</v>
      </c>
      <c r="AL157" s="246">
        <v>0</v>
      </c>
      <c r="AM157" s="287"/>
      <c r="AN157" s="246">
        <v>0</v>
      </c>
      <c r="AP157" s="287"/>
      <c r="AS157" s="287"/>
      <c r="AV157" s="287"/>
      <c r="AY157" s="287"/>
      <c r="BB157" s="287"/>
      <c r="BE157" s="287"/>
    </row>
    <row r="158" spans="2:57" outlineLevel="1">
      <c r="B158" s="243" t="s">
        <v>2307</v>
      </c>
      <c r="C158" s="299">
        <f t="shared" ref="C158:U158" si="183">C154+C157</f>
        <v>-102</v>
      </c>
      <c r="D158" s="243">
        <f t="shared" si="183"/>
        <v>-72</v>
      </c>
      <c r="E158" s="243">
        <f t="shared" si="183"/>
        <v>-39</v>
      </c>
      <c r="F158" s="299">
        <f t="shared" si="183"/>
        <v>-111</v>
      </c>
      <c r="G158" s="243">
        <f t="shared" si="183"/>
        <v>-29</v>
      </c>
      <c r="H158" s="243">
        <f t="shared" si="183"/>
        <v>-64</v>
      </c>
      <c r="I158" s="299">
        <f t="shared" si="183"/>
        <v>-93</v>
      </c>
      <c r="J158" s="243">
        <f t="shared" si="183"/>
        <v>-34</v>
      </c>
      <c r="K158" s="243">
        <f t="shared" si="183"/>
        <v>-44</v>
      </c>
      <c r="L158" s="299">
        <f t="shared" si="183"/>
        <v>-78</v>
      </c>
      <c r="M158" s="243">
        <f t="shared" si="183"/>
        <v>-45</v>
      </c>
      <c r="N158" s="243">
        <f t="shared" si="183"/>
        <v>-43</v>
      </c>
      <c r="O158" s="299">
        <f t="shared" si="183"/>
        <v>-88</v>
      </c>
      <c r="P158" s="243">
        <f t="shared" si="183"/>
        <v>-44</v>
      </c>
      <c r="Q158" s="243">
        <f t="shared" si="183"/>
        <v>-43</v>
      </c>
      <c r="R158" s="299">
        <f t="shared" si="183"/>
        <v>-87</v>
      </c>
      <c r="S158" s="243">
        <f t="shared" si="183"/>
        <v>-47</v>
      </c>
      <c r="T158" s="243">
        <f t="shared" si="183"/>
        <v>-47</v>
      </c>
      <c r="U158" s="299">
        <f t="shared" si="183"/>
        <v>-94</v>
      </c>
      <c r="V158" s="300">
        <f>+V154+V157</f>
        <v>-63</v>
      </c>
      <c r="W158" s="300">
        <f>+W157+W154</f>
        <v>-33</v>
      </c>
      <c r="X158" s="304">
        <f>SUM(V158:W158)</f>
        <v>-96</v>
      </c>
      <c r="Y158" s="300">
        <f>+Y154+Y157</f>
        <v>-63</v>
      </c>
      <c r="Z158" s="300">
        <f>+Z154+Z157</f>
        <v>-45</v>
      </c>
      <c r="AA158" s="304">
        <f>SUM(Y158:Z158)</f>
        <v>-108</v>
      </c>
      <c r="AB158" s="300">
        <f>+AB154+AB157</f>
        <v>-38</v>
      </c>
      <c r="AC158" s="300">
        <f>+AC154+AC157</f>
        <v>-6</v>
      </c>
      <c r="AD158" s="304">
        <f>SUM(AB158:AC158)</f>
        <v>-44</v>
      </c>
      <c r="AE158" s="300">
        <f>+AE154+AE157</f>
        <v>-55</v>
      </c>
      <c r="AF158" s="615">
        <f>+AF154+AF157</f>
        <v>-61</v>
      </c>
      <c r="AG158" s="299"/>
      <c r="AH158" s="300">
        <f>+AH154+AH157</f>
        <v>-66</v>
      </c>
      <c r="AI158" s="300">
        <f>+AI154+AI157</f>
        <v>11</v>
      </c>
      <c r="AJ158" s="299"/>
      <c r="AK158" s="300">
        <f>+AK154+AK157</f>
        <v>0</v>
      </c>
      <c r="AL158" s="243">
        <f>+AL154+AL157</f>
        <v>0</v>
      </c>
      <c r="AM158" s="299"/>
      <c r="AN158" s="300">
        <f>+AN154+AN157</f>
        <v>0</v>
      </c>
      <c r="AO158" s="243"/>
      <c r="AP158" s="299"/>
      <c r="AQ158" s="243"/>
      <c r="AR158" s="243"/>
      <c r="AS158" s="299"/>
      <c r="AT158" s="243"/>
      <c r="AU158" s="243"/>
      <c r="AV158" s="299"/>
      <c r="AW158" s="243"/>
      <c r="AX158" s="243"/>
      <c r="AY158" s="299"/>
      <c r="AZ158" s="243"/>
      <c r="BA158" s="243"/>
      <c r="BB158" s="299"/>
      <c r="BC158" s="243"/>
      <c r="BD158" s="243"/>
      <c r="BE158" s="299"/>
    </row>
    <row r="159" spans="2:57" outlineLevel="1">
      <c r="C159" s="287"/>
      <c r="F159" s="287"/>
      <c r="I159" s="287"/>
      <c r="L159" s="287"/>
      <c r="O159" s="287"/>
      <c r="R159" s="287"/>
      <c r="U159" s="287"/>
      <c r="X159" s="287"/>
      <c r="AA159" s="287"/>
      <c r="AD159" s="287"/>
      <c r="AF159" s="613"/>
      <c r="AG159" s="287"/>
      <c r="AJ159" s="287"/>
      <c r="AM159" s="287"/>
      <c r="AP159" s="287"/>
      <c r="AS159" s="287"/>
      <c r="AV159" s="287"/>
      <c r="AY159" s="287"/>
      <c r="BB159" s="287"/>
      <c r="BE159" s="287"/>
    </row>
    <row r="160" spans="2:57" outlineLevel="1" collapsed="1">
      <c r="B160" s="247" t="s">
        <v>2340</v>
      </c>
      <c r="C160" s="248"/>
      <c r="D160" s="249"/>
      <c r="E160" s="249"/>
      <c r="F160" s="248"/>
      <c r="G160" s="249"/>
      <c r="H160" s="249"/>
      <c r="I160" s="248"/>
      <c r="J160" s="249"/>
      <c r="K160" s="249"/>
      <c r="L160" s="248"/>
      <c r="M160" s="249"/>
      <c r="N160" s="249"/>
      <c r="O160" s="248"/>
      <c r="P160" s="249"/>
      <c r="Q160" s="249"/>
      <c r="R160" s="248"/>
      <c r="S160" s="249"/>
      <c r="T160" s="249"/>
      <c r="U160" s="248"/>
      <c r="V160" s="249"/>
      <c r="W160" s="249"/>
      <c r="X160" s="248"/>
      <c r="Y160" s="249"/>
      <c r="Z160" s="249"/>
      <c r="AA160" s="248"/>
      <c r="AB160" s="249"/>
      <c r="AC160" s="249"/>
      <c r="AD160" s="248"/>
      <c r="AE160" s="249"/>
      <c r="AF160" s="607"/>
      <c r="AG160" s="248"/>
      <c r="AH160" s="249"/>
      <c r="AI160" s="249"/>
      <c r="AJ160" s="248"/>
      <c r="AK160" s="249"/>
      <c r="AL160" s="249"/>
      <c r="AM160" s="248"/>
      <c r="AN160" s="249"/>
      <c r="AO160" s="249"/>
      <c r="AP160" s="248"/>
      <c r="AQ160" s="249"/>
      <c r="AR160" s="249"/>
      <c r="AS160" s="248"/>
      <c r="AT160" s="249"/>
      <c r="AU160" s="249"/>
      <c r="AV160" s="248"/>
      <c r="AW160" s="249"/>
      <c r="AX160" s="249"/>
      <c r="AY160" s="248"/>
      <c r="AZ160" s="249"/>
      <c r="BA160" s="249"/>
      <c r="BB160" s="248"/>
      <c r="BC160" s="249"/>
      <c r="BD160" s="249"/>
      <c r="BE160" s="248"/>
    </row>
    <row r="161" spans="2:57" outlineLevel="1">
      <c r="B161" s="246" t="s">
        <v>2295</v>
      </c>
      <c r="C161" s="310">
        <f>C177+C214</f>
        <v>46</v>
      </c>
      <c r="D161" s="315">
        <f>D177+D214</f>
        <v>21</v>
      </c>
      <c r="E161" s="296">
        <f>F161-D161</f>
        <v>25</v>
      </c>
      <c r="F161" s="310">
        <f t="shared" ref="F161:J162" si="184">F177+F214</f>
        <v>46</v>
      </c>
      <c r="G161" s="315">
        <f t="shared" si="184"/>
        <v>35</v>
      </c>
      <c r="H161" s="315">
        <f t="shared" si="184"/>
        <v>39</v>
      </c>
      <c r="I161" s="310">
        <f t="shared" si="184"/>
        <v>74</v>
      </c>
      <c r="J161" s="315">
        <f t="shared" si="184"/>
        <v>39</v>
      </c>
      <c r="K161" s="296">
        <f>L161-J161</f>
        <v>39</v>
      </c>
      <c r="L161" s="310">
        <f>L177+L214</f>
        <v>78</v>
      </c>
      <c r="M161" s="315">
        <f>M177+M214</f>
        <v>39</v>
      </c>
      <c r="N161" s="296">
        <f>O161-M161</f>
        <v>35</v>
      </c>
      <c r="O161" s="310">
        <f>O177+O214</f>
        <v>74</v>
      </c>
      <c r="P161" s="315">
        <f>P177+P214</f>
        <v>35</v>
      </c>
      <c r="Q161" s="296">
        <f>R161-P161</f>
        <v>31</v>
      </c>
      <c r="R161" s="310">
        <f>R177+R214</f>
        <v>66</v>
      </c>
      <c r="S161" s="315">
        <f>S177+S214</f>
        <v>32</v>
      </c>
      <c r="T161" s="296">
        <f>U161-S161</f>
        <v>37</v>
      </c>
      <c r="U161" s="310">
        <f>U177+U214</f>
        <v>69</v>
      </c>
      <c r="V161" s="315">
        <f>V177+V214</f>
        <v>44</v>
      </c>
      <c r="W161" s="296">
        <f>X161-V161</f>
        <v>36</v>
      </c>
      <c r="X161" s="310">
        <f>X177+X214</f>
        <v>80</v>
      </c>
      <c r="Y161" s="315">
        <f>Y177+Y214</f>
        <v>45</v>
      </c>
      <c r="Z161" s="296">
        <f>AA161-Y161</f>
        <v>51</v>
      </c>
      <c r="AA161" s="310">
        <f t="shared" ref="AA161:AE162" si="185">AA177+AA214</f>
        <v>96</v>
      </c>
      <c r="AB161" s="315">
        <f t="shared" si="185"/>
        <v>53</v>
      </c>
      <c r="AC161" s="315">
        <f t="shared" si="185"/>
        <v>39</v>
      </c>
      <c r="AD161" s="310">
        <f t="shared" si="185"/>
        <v>92</v>
      </c>
      <c r="AE161" s="315">
        <f>AE177+AE214</f>
        <v>68</v>
      </c>
      <c r="AF161" s="322">
        <f>AG161-AE161</f>
        <v>57</v>
      </c>
      <c r="AG161" s="310">
        <f>AG177+AG214</f>
        <v>125</v>
      </c>
      <c r="AH161" s="315">
        <f>AH177+AH214</f>
        <v>45</v>
      </c>
      <c r="AI161" s="296">
        <f>AJ161-AH161</f>
        <v>47</v>
      </c>
      <c r="AJ161" s="310">
        <f>AJ177+AJ214</f>
        <v>92</v>
      </c>
      <c r="AK161" s="315">
        <f>AK177+AK214</f>
        <v>51</v>
      </c>
      <c r="AL161" s="296">
        <f>AM161-AK161</f>
        <v>51</v>
      </c>
      <c r="AM161" s="310">
        <f>AM177+AM214</f>
        <v>102</v>
      </c>
      <c r="AN161" s="315">
        <f>AN177+AN214</f>
        <v>52.53</v>
      </c>
      <c r="AO161" s="296">
        <f>AP161-AN161</f>
        <v>54.105900000000005</v>
      </c>
      <c r="AP161" s="310">
        <f>AP177+AP214</f>
        <v>106.63590000000001</v>
      </c>
      <c r="AQ161" s="315">
        <f>AQ177+AQ214</f>
        <v>55.729077000000004</v>
      </c>
      <c r="AR161" s="296">
        <f>AS161-AQ161</f>
        <v>57.400949309999987</v>
      </c>
      <c r="AS161" s="310">
        <f>AS177+AS214</f>
        <v>113.13002630999999</v>
      </c>
      <c r="AT161" s="315">
        <f>AT177+AT214</f>
        <v>59.122977789300002</v>
      </c>
      <c r="AU161" s="296">
        <f>AV161-AT161</f>
        <v>60.896667122979004</v>
      </c>
      <c r="AV161" s="310">
        <f>AV177+AV214</f>
        <v>120.01964491227901</v>
      </c>
      <c r="AW161" s="315">
        <f>AW177+AW214</f>
        <v>62.723567136668372</v>
      </c>
      <c r="AX161" s="296">
        <f>AY161-AW161</f>
        <v>64.605274150768423</v>
      </c>
      <c r="AY161" s="310">
        <f>AY177+AY214</f>
        <v>127.32884128743679</v>
      </c>
      <c r="AZ161" s="315">
        <f>AZ177+AZ214</f>
        <v>66.543432375291474</v>
      </c>
      <c r="BA161" s="296">
        <f>BB161-AZ161</f>
        <v>68.539735346550259</v>
      </c>
      <c r="BB161" s="310">
        <f>BB177+BB214</f>
        <v>135.08316772184173</v>
      </c>
      <c r="BC161" s="315">
        <f>BC177+BC214</f>
        <v>70.595927406946743</v>
      </c>
      <c r="BD161" s="296">
        <f>BE161-BC161</f>
        <v>72.713805229155156</v>
      </c>
      <c r="BE161" s="310">
        <f>BE177+BE214</f>
        <v>143.3097326361019</v>
      </c>
    </row>
    <row r="162" spans="2:57" outlineLevel="1">
      <c r="B162" s="246" t="s">
        <v>2296</v>
      </c>
      <c r="C162" s="310">
        <f>C178+C215</f>
        <v>275</v>
      </c>
      <c r="D162" s="296">
        <f>D178+D215</f>
        <v>115</v>
      </c>
      <c r="E162" s="296">
        <f>F162-D162</f>
        <v>129</v>
      </c>
      <c r="F162" s="310">
        <f t="shared" si="184"/>
        <v>244</v>
      </c>
      <c r="G162" s="296">
        <f t="shared" si="184"/>
        <v>132</v>
      </c>
      <c r="H162" s="296">
        <f t="shared" si="184"/>
        <v>143</v>
      </c>
      <c r="I162" s="310">
        <f t="shared" si="184"/>
        <v>275</v>
      </c>
      <c r="J162" s="296">
        <f t="shared" si="184"/>
        <v>125</v>
      </c>
      <c r="K162" s="296">
        <f>L162-J162</f>
        <v>149</v>
      </c>
      <c r="L162" s="310">
        <f>L178+L215</f>
        <v>274</v>
      </c>
      <c r="M162" s="296">
        <f>M178+M215</f>
        <v>110</v>
      </c>
      <c r="N162" s="296">
        <f>O162-M162</f>
        <v>151</v>
      </c>
      <c r="O162" s="310">
        <f>O178+O215</f>
        <v>261</v>
      </c>
      <c r="P162" s="296">
        <f>P178+P215</f>
        <v>118</v>
      </c>
      <c r="Q162" s="296">
        <f>R162-P162</f>
        <v>113</v>
      </c>
      <c r="R162" s="310">
        <f>R178+R215</f>
        <v>231</v>
      </c>
      <c r="S162" s="296">
        <f>S178+S215</f>
        <v>137</v>
      </c>
      <c r="T162" s="296">
        <f>U162-S162</f>
        <v>132</v>
      </c>
      <c r="U162" s="310">
        <f>U178+U215</f>
        <v>269</v>
      </c>
      <c r="V162" s="296">
        <f>V178+V215</f>
        <v>77</v>
      </c>
      <c r="W162" s="296">
        <f>X162-V162</f>
        <v>132.84099537477744</v>
      </c>
      <c r="X162" s="310">
        <f>X178+X215</f>
        <v>209.84099537477744</v>
      </c>
      <c r="Y162" s="296">
        <f>Y178+Y215</f>
        <v>105</v>
      </c>
      <c r="Z162" s="296">
        <f>AA162-Y162</f>
        <v>139</v>
      </c>
      <c r="AA162" s="310">
        <f t="shared" si="185"/>
        <v>244</v>
      </c>
      <c r="AB162" s="296">
        <f t="shared" si="185"/>
        <v>142</v>
      </c>
      <c r="AC162" s="296">
        <f t="shared" si="185"/>
        <v>147</v>
      </c>
      <c r="AD162" s="310">
        <f t="shared" si="185"/>
        <v>289</v>
      </c>
      <c r="AE162" s="296">
        <f t="shared" si="185"/>
        <v>157</v>
      </c>
      <c r="AF162" s="322">
        <f>AG162-AE162</f>
        <v>136</v>
      </c>
      <c r="AG162" s="310">
        <f>AG178+AG215</f>
        <v>293</v>
      </c>
      <c r="AH162" s="296">
        <f>AH178+AH215</f>
        <v>26</v>
      </c>
      <c r="AI162" s="296">
        <f>AJ162-AH162</f>
        <v>24</v>
      </c>
      <c r="AJ162" s="310">
        <f>AJ178+AJ215</f>
        <v>50</v>
      </c>
      <c r="AK162" s="296">
        <f>AK178+AK215</f>
        <v>24</v>
      </c>
      <c r="AL162" s="296">
        <f>AM162-AK162</f>
        <v>32</v>
      </c>
      <c r="AM162" s="310">
        <f>AM178+AM215</f>
        <v>56</v>
      </c>
      <c r="AN162" s="296">
        <f>AN178+AN215</f>
        <v>33.28</v>
      </c>
      <c r="AO162" s="296">
        <f>AP162-AN162</f>
        <v>34.611199999999997</v>
      </c>
      <c r="AP162" s="310">
        <f>AP178+AP215</f>
        <v>67.891199999999998</v>
      </c>
      <c r="AQ162" s="296">
        <f>AQ178+AQ215</f>
        <v>35.995648000000003</v>
      </c>
      <c r="AR162" s="296">
        <f>AS162-AQ162</f>
        <v>37.435473920000007</v>
      </c>
      <c r="AS162" s="310">
        <f>AS178+AS215</f>
        <v>73.43112192000001</v>
      </c>
      <c r="AT162" s="296">
        <f>AT178+AT215</f>
        <v>38.932892876800011</v>
      </c>
      <c r="AU162" s="296">
        <f>AV162-AT162</f>
        <v>40.490208591872019</v>
      </c>
      <c r="AV162" s="310">
        <f>AV178+AV215</f>
        <v>79.42310146867203</v>
      </c>
      <c r="AW162" s="296">
        <f>AW178+AW215</f>
        <v>42.109816935546895</v>
      </c>
      <c r="AX162" s="296">
        <f>AY162-AW162</f>
        <v>43.794209612968778</v>
      </c>
      <c r="AY162" s="310">
        <f>AY178+AY215</f>
        <v>85.904026548515674</v>
      </c>
      <c r="AZ162" s="296">
        <f>AZ178+AZ215</f>
        <v>45.545977997487526</v>
      </c>
      <c r="BA162" s="296">
        <f>BB162-AZ162</f>
        <v>47.36781711738702</v>
      </c>
      <c r="BB162" s="310">
        <f>BB178+BB215</f>
        <v>92.913795114874546</v>
      </c>
      <c r="BC162" s="296">
        <f>BC178+BC215</f>
        <v>49.262529802082511</v>
      </c>
      <c r="BD162" s="296">
        <f>BE162-BC162</f>
        <v>51.233030994165816</v>
      </c>
      <c r="BE162" s="310">
        <f>BE178+BE215</f>
        <v>100.49556079624833</v>
      </c>
    </row>
    <row r="163" spans="2:57" outlineLevel="1">
      <c r="B163" s="316" t="s">
        <v>2297</v>
      </c>
      <c r="C163" s="317">
        <f t="shared" ref="C163:AM163" si="186">C161+C162</f>
        <v>321</v>
      </c>
      <c r="D163" s="318">
        <f t="shared" si="186"/>
        <v>136</v>
      </c>
      <c r="E163" s="318">
        <f t="shared" si="186"/>
        <v>154</v>
      </c>
      <c r="F163" s="317">
        <f t="shared" si="186"/>
        <v>290</v>
      </c>
      <c r="G163" s="318">
        <f t="shared" si="186"/>
        <v>167</v>
      </c>
      <c r="H163" s="318">
        <f>H161+H162</f>
        <v>182</v>
      </c>
      <c r="I163" s="317">
        <f>I161+I162</f>
        <v>349</v>
      </c>
      <c r="J163" s="318">
        <f t="shared" si="186"/>
        <v>164</v>
      </c>
      <c r="K163" s="318">
        <f t="shared" si="186"/>
        <v>188</v>
      </c>
      <c r="L163" s="317">
        <f t="shared" si="186"/>
        <v>352</v>
      </c>
      <c r="M163" s="318">
        <f t="shared" si="186"/>
        <v>149</v>
      </c>
      <c r="N163" s="318">
        <f t="shared" si="186"/>
        <v>186</v>
      </c>
      <c r="O163" s="317">
        <f t="shared" si="186"/>
        <v>335</v>
      </c>
      <c r="P163" s="318">
        <f t="shared" si="186"/>
        <v>153</v>
      </c>
      <c r="Q163" s="318">
        <f t="shared" si="186"/>
        <v>144</v>
      </c>
      <c r="R163" s="317">
        <f t="shared" si="186"/>
        <v>297</v>
      </c>
      <c r="S163" s="318">
        <f t="shared" si="186"/>
        <v>169</v>
      </c>
      <c r="T163" s="318">
        <f t="shared" si="186"/>
        <v>169</v>
      </c>
      <c r="U163" s="317">
        <f t="shared" si="186"/>
        <v>338</v>
      </c>
      <c r="V163" s="318">
        <f t="shared" si="186"/>
        <v>121</v>
      </c>
      <c r="W163" s="318">
        <f t="shared" si="186"/>
        <v>168.84099537477744</v>
      </c>
      <c r="X163" s="317">
        <f t="shared" si="186"/>
        <v>289.84099537477744</v>
      </c>
      <c r="Y163" s="318">
        <f t="shared" si="186"/>
        <v>150</v>
      </c>
      <c r="Z163" s="318">
        <f t="shared" si="186"/>
        <v>190</v>
      </c>
      <c r="AA163" s="317">
        <f t="shared" si="186"/>
        <v>340</v>
      </c>
      <c r="AB163" s="318">
        <f t="shared" si="186"/>
        <v>195</v>
      </c>
      <c r="AC163" s="318">
        <f>AC161+AC162</f>
        <v>186</v>
      </c>
      <c r="AD163" s="317">
        <f t="shared" si="186"/>
        <v>381</v>
      </c>
      <c r="AE163" s="318">
        <f t="shared" si="186"/>
        <v>225</v>
      </c>
      <c r="AF163" s="324">
        <f t="shared" si="186"/>
        <v>193</v>
      </c>
      <c r="AG163" s="317">
        <f t="shared" si="186"/>
        <v>418</v>
      </c>
      <c r="AH163" s="318">
        <f t="shared" si="186"/>
        <v>71</v>
      </c>
      <c r="AI163" s="318">
        <f t="shared" si="186"/>
        <v>71</v>
      </c>
      <c r="AJ163" s="317">
        <f t="shared" si="186"/>
        <v>142</v>
      </c>
      <c r="AK163" s="318">
        <f t="shared" si="186"/>
        <v>75</v>
      </c>
      <c r="AL163" s="318">
        <f t="shared" si="186"/>
        <v>83</v>
      </c>
      <c r="AM163" s="317">
        <f t="shared" si="186"/>
        <v>158</v>
      </c>
      <c r="AN163" s="318">
        <f t="shared" ref="AN163:BB163" si="187">AN161+AN162</f>
        <v>85.81</v>
      </c>
      <c r="AO163" s="318">
        <f t="shared" si="187"/>
        <v>88.717100000000002</v>
      </c>
      <c r="AP163" s="317">
        <f t="shared" si="187"/>
        <v>174.52710000000002</v>
      </c>
      <c r="AQ163" s="318">
        <f t="shared" si="187"/>
        <v>91.724725000000007</v>
      </c>
      <c r="AR163" s="318">
        <f t="shared" si="187"/>
        <v>94.836423229999994</v>
      </c>
      <c r="AS163" s="317">
        <f t="shared" si="187"/>
        <v>186.56114823000001</v>
      </c>
      <c r="AT163" s="318">
        <f t="shared" si="187"/>
        <v>98.05587066610002</v>
      </c>
      <c r="AU163" s="318">
        <f t="shared" si="187"/>
        <v>101.38687571485102</v>
      </c>
      <c r="AV163" s="317">
        <f t="shared" si="187"/>
        <v>199.44274638095104</v>
      </c>
      <c r="AW163" s="318">
        <f t="shared" si="187"/>
        <v>104.83338407221527</v>
      </c>
      <c r="AX163" s="318">
        <f t="shared" si="187"/>
        <v>108.39948376373721</v>
      </c>
      <c r="AY163" s="317">
        <f t="shared" si="187"/>
        <v>213.23286783595245</v>
      </c>
      <c r="AZ163" s="318">
        <f t="shared" si="187"/>
        <v>112.089410372779</v>
      </c>
      <c r="BA163" s="318">
        <f t="shared" si="187"/>
        <v>115.90755246393728</v>
      </c>
      <c r="BB163" s="317">
        <f t="shared" si="187"/>
        <v>227.99696283671628</v>
      </c>
      <c r="BC163" s="318">
        <f>BC161+BC162</f>
        <v>119.85845720902925</v>
      </c>
      <c r="BD163" s="318">
        <f>BD161+BD162</f>
        <v>123.94683622332097</v>
      </c>
      <c r="BE163" s="317">
        <f>BE161+BE162</f>
        <v>243.80529343235023</v>
      </c>
    </row>
    <row r="164" spans="2:57" outlineLevel="1">
      <c r="B164" s="319" t="s">
        <v>2298</v>
      </c>
      <c r="C164" s="320"/>
      <c r="D164" s="321"/>
      <c r="E164" s="321"/>
      <c r="F164" s="320"/>
      <c r="G164" s="321"/>
      <c r="H164" s="321"/>
      <c r="I164" s="320"/>
      <c r="J164" s="321"/>
      <c r="K164" s="321"/>
      <c r="L164" s="320"/>
      <c r="M164" s="321"/>
      <c r="N164" s="321"/>
      <c r="O164" s="320"/>
      <c r="P164" s="321"/>
      <c r="Q164" s="321"/>
      <c r="R164" s="320"/>
      <c r="S164" s="321"/>
      <c r="T164" s="321"/>
      <c r="U164" s="320"/>
      <c r="V164" s="321"/>
      <c r="W164" s="321"/>
      <c r="X164" s="320"/>
      <c r="Y164" s="321"/>
      <c r="Z164" s="321"/>
      <c r="AA164" s="320"/>
      <c r="AB164" s="321"/>
      <c r="AC164" s="321"/>
      <c r="AD164" s="320"/>
      <c r="AE164" s="321"/>
      <c r="AF164" s="617"/>
      <c r="AG164" s="320"/>
      <c r="AH164" s="321"/>
      <c r="AI164" s="321"/>
      <c r="AJ164" s="320"/>
      <c r="AK164" s="321"/>
      <c r="AL164" s="321"/>
      <c r="AM164" s="320"/>
      <c r="AN164" s="321"/>
      <c r="AO164" s="321"/>
      <c r="AP164" s="320"/>
      <c r="AQ164" s="321"/>
      <c r="AR164" s="321"/>
      <c r="AS164" s="320"/>
      <c r="AT164" s="321"/>
      <c r="AU164" s="321"/>
      <c r="AV164" s="320"/>
      <c r="AW164" s="321"/>
      <c r="AX164" s="321"/>
      <c r="AY164" s="320"/>
      <c r="AZ164" s="321"/>
      <c r="BA164" s="321"/>
      <c r="BB164" s="320"/>
      <c r="BC164" s="321"/>
      <c r="BD164" s="321"/>
      <c r="BE164" s="320"/>
    </row>
    <row r="165" spans="2:57" outlineLevel="1">
      <c r="B165" s="316" t="s">
        <v>2299</v>
      </c>
      <c r="C165" s="317">
        <f t="shared" ref="C165:AM165" si="188">C163+C164</f>
        <v>321</v>
      </c>
      <c r="D165" s="318">
        <f t="shared" si="188"/>
        <v>136</v>
      </c>
      <c r="E165" s="318">
        <f t="shared" si="188"/>
        <v>154</v>
      </c>
      <c r="F165" s="317">
        <f t="shared" si="188"/>
        <v>290</v>
      </c>
      <c r="G165" s="318">
        <f t="shared" si="188"/>
        <v>167</v>
      </c>
      <c r="H165" s="318">
        <f>H163+H164</f>
        <v>182</v>
      </c>
      <c r="I165" s="317">
        <f>I163+I164</f>
        <v>349</v>
      </c>
      <c r="J165" s="318">
        <f t="shared" si="188"/>
        <v>164</v>
      </c>
      <c r="K165" s="318">
        <f t="shared" si="188"/>
        <v>188</v>
      </c>
      <c r="L165" s="317">
        <f t="shared" si="188"/>
        <v>352</v>
      </c>
      <c r="M165" s="318">
        <f t="shared" si="188"/>
        <v>149</v>
      </c>
      <c r="N165" s="318">
        <f t="shared" si="188"/>
        <v>186</v>
      </c>
      <c r="O165" s="317">
        <f t="shared" si="188"/>
        <v>335</v>
      </c>
      <c r="P165" s="318">
        <f t="shared" si="188"/>
        <v>153</v>
      </c>
      <c r="Q165" s="318">
        <f t="shared" si="188"/>
        <v>144</v>
      </c>
      <c r="R165" s="317">
        <f t="shared" si="188"/>
        <v>297</v>
      </c>
      <c r="S165" s="318">
        <f t="shared" si="188"/>
        <v>169</v>
      </c>
      <c r="T165" s="318">
        <f t="shared" si="188"/>
        <v>169</v>
      </c>
      <c r="U165" s="317">
        <f t="shared" si="188"/>
        <v>338</v>
      </c>
      <c r="V165" s="318">
        <f t="shared" si="188"/>
        <v>121</v>
      </c>
      <c r="W165" s="318">
        <f t="shared" si="188"/>
        <v>168.84099537477744</v>
      </c>
      <c r="X165" s="317">
        <f t="shared" si="188"/>
        <v>289.84099537477744</v>
      </c>
      <c r="Y165" s="318">
        <f t="shared" si="188"/>
        <v>150</v>
      </c>
      <c r="Z165" s="318">
        <f t="shared" si="188"/>
        <v>190</v>
      </c>
      <c r="AA165" s="317">
        <f t="shared" si="188"/>
        <v>340</v>
      </c>
      <c r="AB165" s="318">
        <f t="shared" si="188"/>
        <v>195</v>
      </c>
      <c r="AC165" s="318">
        <f>AC163+AC164</f>
        <v>186</v>
      </c>
      <c r="AD165" s="317">
        <f t="shared" si="188"/>
        <v>381</v>
      </c>
      <c r="AE165" s="318">
        <f t="shared" si="188"/>
        <v>225</v>
      </c>
      <c r="AF165" s="324">
        <f t="shared" si="188"/>
        <v>193</v>
      </c>
      <c r="AG165" s="317">
        <f t="shared" si="188"/>
        <v>418</v>
      </c>
      <c r="AH165" s="318">
        <f t="shared" si="188"/>
        <v>71</v>
      </c>
      <c r="AI165" s="318">
        <f t="shared" si="188"/>
        <v>71</v>
      </c>
      <c r="AJ165" s="317">
        <f t="shared" si="188"/>
        <v>142</v>
      </c>
      <c r="AK165" s="318">
        <f t="shared" si="188"/>
        <v>75</v>
      </c>
      <c r="AL165" s="318">
        <f t="shared" si="188"/>
        <v>83</v>
      </c>
      <c r="AM165" s="317">
        <f t="shared" si="188"/>
        <v>158</v>
      </c>
      <c r="AN165" s="318">
        <f t="shared" ref="AN165:BB165" si="189">AN163+AN164</f>
        <v>85.81</v>
      </c>
      <c r="AO165" s="318">
        <f t="shared" si="189"/>
        <v>88.717100000000002</v>
      </c>
      <c r="AP165" s="317">
        <f t="shared" si="189"/>
        <v>174.52710000000002</v>
      </c>
      <c r="AQ165" s="318">
        <f t="shared" si="189"/>
        <v>91.724725000000007</v>
      </c>
      <c r="AR165" s="318">
        <f t="shared" si="189"/>
        <v>94.836423229999994</v>
      </c>
      <c r="AS165" s="317">
        <f t="shared" si="189"/>
        <v>186.56114823000001</v>
      </c>
      <c r="AT165" s="318">
        <f t="shared" si="189"/>
        <v>98.05587066610002</v>
      </c>
      <c r="AU165" s="318">
        <f t="shared" si="189"/>
        <v>101.38687571485102</v>
      </c>
      <c r="AV165" s="317">
        <f t="shared" si="189"/>
        <v>199.44274638095104</v>
      </c>
      <c r="AW165" s="318">
        <f t="shared" si="189"/>
        <v>104.83338407221527</v>
      </c>
      <c r="AX165" s="318">
        <f t="shared" si="189"/>
        <v>108.39948376373721</v>
      </c>
      <c r="AY165" s="317">
        <f t="shared" si="189"/>
        <v>213.23286783595245</v>
      </c>
      <c r="AZ165" s="318">
        <f t="shared" si="189"/>
        <v>112.089410372779</v>
      </c>
      <c r="BA165" s="318">
        <f t="shared" si="189"/>
        <v>115.90755246393728</v>
      </c>
      <c r="BB165" s="317">
        <f t="shared" si="189"/>
        <v>227.99696283671628</v>
      </c>
      <c r="BC165" s="318">
        <f>BC163+BC164</f>
        <v>119.85845720902925</v>
      </c>
      <c r="BD165" s="318">
        <f>BD163+BD164</f>
        <v>123.94683622332097</v>
      </c>
      <c r="BE165" s="317">
        <f>BE163+BE164</f>
        <v>243.80529343235023</v>
      </c>
    </row>
    <row r="166" spans="2:57" outlineLevel="1">
      <c r="B166" s="319" t="s">
        <v>2300</v>
      </c>
      <c r="C166" s="320">
        <f>C182+C219</f>
        <v>-223.75</v>
      </c>
      <c r="D166" s="321">
        <f>D182+D219</f>
        <v>-79.31</v>
      </c>
      <c r="E166" s="321">
        <f>F166-D166</f>
        <v>-106.69</v>
      </c>
      <c r="F166" s="320">
        <f>F182+F219</f>
        <v>-186</v>
      </c>
      <c r="G166" s="321">
        <f>G182+G219</f>
        <v>-82.5</v>
      </c>
      <c r="H166" s="321">
        <f>H182+H219</f>
        <v>-86.75</v>
      </c>
      <c r="I166" s="320">
        <f>I182+I219</f>
        <v>-169.25</v>
      </c>
      <c r="J166" s="321">
        <f>J182+J219</f>
        <v>-94</v>
      </c>
      <c r="K166" s="321">
        <f>L166-J166</f>
        <v>-90</v>
      </c>
      <c r="L166" s="320">
        <f>L182+L219</f>
        <v>-184</v>
      </c>
      <c r="M166" s="321">
        <f>M182+M219</f>
        <v>-91.35</v>
      </c>
      <c r="N166" s="321">
        <f>O166-M166</f>
        <v>-93.712250000000012</v>
      </c>
      <c r="O166" s="320">
        <f>O182+O219</f>
        <v>-185.06225000000001</v>
      </c>
      <c r="P166" s="321">
        <f>P182+P219</f>
        <v>-97.738232614168624</v>
      </c>
      <c r="Q166" s="321">
        <f>R166-P166</f>
        <v>-92.516483834389049</v>
      </c>
      <c r="R166" s="320">
        <f>R182+R219</f>
        <v>-190.25471644855767</v>
      </c>
      <c r="S166" s="321">
        <f>S182+S219</f>
        <v>-97.828030623214019</v>
      </c>
      <c r="T166" s="321">
        <f>U166-S166</f>
        <v>-104.69029535402073</v>
      </c>
      <c r="U166" s="320">
        <f>U182+U219</f>
        <v>-202.51832597723475</v>
      </c>
      <c r="V166" s="321">
        <f>V182+V219</f>
        <v>-55.297795782395177</v>
      </c>
      <c r="W166" s="321">
        <f>X166-V166</f>
        <v>-60.585021148082525</v>
      </c>
      <c r="X166" s="320">
        <f>X182+X219</f>
        <v>-115.8828169304777</v>
      </c>
      <c r="Y166" s="321">
        <f>Y182+Y219</f>
        <v>-63.77156841968953</v>
      </c>
      <c r="Z166" s="321">
        <f>AA166-Y166</f>
        <v>-71.438711214600588</v>
      </c>
      <c r="AA166" s="320">
        <f>AA182+AA219</f>
        <v>-135.21027963429012</v>
      </c>
      <c r="AB166" s="321">
        <f>AB182+AB219</f>
        <v>-73.050107823369359</v>
      </c>
      <c r="AC166" s="321">
        <f>AC182+AC219</f>
        <v>-72.148807597115152</v>
      </c>
      <c r="AD166" s="320">
        <f>AD182+AD219</f>
        <v>-145.1989154204845</v>
      </c>
      <c r="AE166" s="321">
        <f>AE182+AE219</f>
        <v>-74.872444620558809</v>
      </c>
      <c r="AF166" s="617">
        <f>AG166-AE166</f>
        <v>-82.446708324022296</v>
      </c>
      <c r="AG166" s="320">
        <f>AG182+AG219</f>
        <v>-157.31915294458111</v>
      </c>
      <c r="AH166" s="321">
        <f>AH182+AH219</f>
        <v>-76.18735362249177</v>
      </c>
      <c r="AI166" s="321">
        <f>AJ166-AH166</f>
        <v>-76.707436991771743</v>
      </c>
      <c r="AJ166" s="320">
        <f>AJ182+AJ219</f>
        <v>-152.89479061426351</v>
      </c>
      <c r="AK166" s="321">
        <f>AK182+AK219</f>
        <v>-72.902116243704015</v>
      </c>
      <c r="AL166" s="321">
        <f>AM166-AK166</f>
        <v>-76.131762373224078</v>
      </c>
      <c r="AM166" s="320">
        <f>AM182+AM219</f>
        <v>-149.03387861692809</v>
      </c>
      <c r="AN166" s="321">
        <f>AN182+AN219</f>
        <v>-78.969044667541127</v>
      </c>
      <c r="AO166" s="321">
        <f>AP166-AN166</f>
        <v>-81.912193325386951</v>
      </c>
      <c r="AP166" s="320">
        <f>AP182+AP219</f>
        <v>-160.88123799292808</v>
      </c>
      <c r="AQ166" s="321">
        <f>AQ182+AQ219</f>
        <v>-84.965163005847671</v>
      </c>
      <c r="AR166" s="321">
        <f>AS166-AQ166</f>
        <v>-88.132056255859254</v>
      </c>
      <c r="AS166" s="320">
        <f>AS182+AS219</f>
        <v>-173.09721926170693</v>
      </c>
      <c r="AT166" s="321">
        <f>AT182+AT219</f>
        <v>-91.417129046323936</v>
      </c>
      <c r="AU166" s="321">
        <f>AV166-AT166</f>
        <v>-94.824796515672205</v>
      </c>
      <c r="AV166" s="320">
        <f>AV182+AV219</f>
        <v>-186.24192556199614</v>
      </c>
      <c r="AW166" s="321">
        <f>AW182+AW219</f>
        <v>-98.359638928651336</v>
      </c>
      <c r="AX166" s="321">
        <f>AY166-AW166</f>
        <v>-102.02640785841207</v>
      </c>
      <c r="AY166" s="320">
        <f>AY182+AY219</f>
        <v>-200.38604678706341</v>
      </c>
      <c r="AZ166" s="321">
        <f>AZ182+AZ219</f>
        <v>-105.83003260027023</v>
      </c>
      <c r="BA166" s="321">
        <f>BB166-AZ166</f>
        <v>-109.77562682583236</v>
      </c>
      <c r="BB166" s="320">
        <f>BB182+BB219</f>
        <v>-215.60565942610259</v>
      </c>
      <c r="BC166" s="321">
        <f>BC182+BC219</f>
        <v>-113.86849548650217</v>
      </c>
      <c r="BD166" s="321">
        <f>BE166-BC166</f>
        <v>-118.11414197572249</v>
      </c>
      <c r="BE166" s="320">
        <f>BE182+BE219</f>
        <v>-231.98263746222466</v>
      </c>
    </row>
    <row r="167" spans="2:57" outlineLevel="1">
      <c r="B167" s="316" t="s">
        <v>2301</v>
      </c>
      <c r="C167" s="317">
        <f t="shared" ref="C167:AM167" si="190">C164+C166</f>
        <v>-223.75</v>
      </c>
      <c r="D167" s="318">
        <f t="shared" si="190"/>
        <v>-79.31</v>
      </c>
      <c r="E167" s="318">
        <f t="shared" si="190"/>
        <v>-106.69</v>
      </c>
      <c r="F167" s="317">
        <f t="shared" si="190"/>
        <v>-186</v>
      </c>
      <c r="G167" s="318">
        <f t="shared" si="190"/>
        <v>-82.5</v>
      </c>
      <c r="H167" s="318">
        <f>H164+H166</f>
        <v>-86.75</v>
      </c>
      <c r="I167" s="317">
        <f>I164+I166</f>
        <v>-169.25</v>
      </c>
      <c r="J167" s="318">
        <f t="shared" si="190"/>
        <v>-94</v>
      </c>
      <c r="K167" s="318">
        <f t="shared" si="190"/>
        <v>-90</v>
      </c>
      <c r="L167" s="317">
        <f t="shared" si="190"/>
        <v>-184</v>
      </c>
      <c r="M167" s="318">
        <f t="shared" si="190"/>
        <v>-91.35</v>
      </c>
      <c r="N167" s="318">
        <f t="shared" si="190"/>
        <v>-93.712250000000012</v>
      </c>
      <c r="O167" s="317">
        <f t="shared" si="190"/>
        <v>-185.06225000000001</v>
      </c>
      <c r="P167" s="318">
        <f t="shared" si="190"/>
        <v>-97.738232614168624</v>
      </c>
      <c r="Q167" s="318">
        <f t="shared" si="190"/>
        <v>-92.516483834389049</v>
      </c>
      <c r="R167" s="317">
        <f t="shared" si="190"/>
        <v>-190.25471644855767</v>
      </c>
      <c r="S167" s="318">
        <f t="shared" si="190"/>
        <v>-97.828030623214019</v>
      </c>
      <c r="T167" s="318">
        <f t="shared" si="190"/>
        <v>-104.69029535402073</v>
      </c>
      <c r="U167" s="317">
        <f t="shared" si="190"/>
        <v>-202.51832597723475</v>
      </c>
      <c r="V167" s="318">
        <f t="shared" si="190"/>
        <v>-55.297795782395177</v>
      </c>
      <c r="W167" s="318">
        <f t="shared" si="190"/>
        <v>-60.585021148082525</v>
      </c>
      <c r="X167" s="317">
        <f t="shared" si="190"/>
        <v>-115.8828169304777</v>
      </c>
      <c r="Y167" s="318">
        <f t="shared" si="190"/>
        <v>-63.77156841968953</v>
      </c>
      <c r="Z167" s="318">
        <f t="shared" si="190"/>
        <v>-71.438711214600588</v>
      </c>
      <c r="AA167" s="317">
        <f t="shared" si="190"/>
        <v>-135.21027963429012</v>
      </c>
      <c r="AB167" s="318">
        <f t="shared" si="190"/>
        <v>-73.050107823369359</v>
      </c>
      <c r="AC167" s="318">
        <f>AC164+AC166</f>
        <v>-72.148807597115152</v>
      </c>
      <c r="AD167" s="317">
        <f t="shared" si="190"/>
        <v>-145.1989154204845</v>
      </c>
      <c r="AE167" s="318">
        <f t="shared" si="190"/>
        <v>-74.872444620558809</v>
      </c>
      <c r="AF167" s="324">
        <f t="shared" si="190"/>
        <v>-82.446708324022296</v>
      </c>
      <c r="AG167" s="317">
        <f t="shared" si="190"/>
        <v>-157.31915294458111</v>
      </c>
      <c r="AH167" s="318">
        <f t="shared" si="190"/>
        <v>-76.18735362249177</v>
      </c>
      <c r="AI167" s="318">
        <f t="shared" si="190"/>
        <v>-76.707436991771743</v>
      </c>
      <c r="AJ167" s="317">
        <f t="shared" si="190"/>
        <v>-152.89479061426351</v>
      </c>
      <c r="AK167" s="318">
        <f t="shared" si="190"/>
        <v>-72.902116243704015</v>
      </c>
      <c r="AL167" s="318">
        <f t="shared" si="190"/>
        <v>-76.131762373224078</v>
      </c>
      <c r="AM167" s="317">
        <f t="shared" si="190"/>
        <v>-149.03387861692809</v>
      </c>
      <c r="AN167" s="318">
        <f t="shared" ref="AN167:BB167" si="191">AN164+AN166</f>
        <v>-78.969044667541127</v>
      </c>
      <c r="AO167" s="318">
        <f t="shared" si="191"/>
        <v>-81.912193325386951</v>
      </c>
      <c r="AP167" s="317">
        <f t="shared" si="191"/>
        <v>-160.88123799292808</v>
      </c>
      <c r="AQ167" s="318">
        <f t="shared" si="191"/>
        <v>-84.965163005847671</v>
      </c>
      <c r="AR167" s="318">
        <f t="shared" si="191"/>
        <v>-88.132056255859254</v>
      </c>
      <c r="AS167" s="317">
        <f t="shared" si="191"/>
        <v>-173.09721926170693</v>
      </c>
      <c r="AT167" s="318">
        <f t="shared" si="191"/>
        <v>-91.417129046323936</v>
      </c>
      <c r="AU167" s="318">
        <f t="shared" si="191"/>
        <v>-94.824796515672205</v>
      </c>
      <c r="AV167" s="317">
        <f t="shared" si="191"/>
        <v>-186.24192556199614</v>
      </c>
      <c r="AW167" s="318">
        <f t="shared" si="191"/>
        <v>-98.359638928651336</v>
      </c>
      <c r="AX167" s="318">
        <f t="shared" si="191"/>
        <v>-102.02640785841207</v>
      </c>
      <c r="AY167" s="317">
        <f t="shared" si="191"/>
        <v>-200.38604678706341</v>
      </c>
      <c r="AZ167" s="318">
        <f t="shared" si="191"/>
        <v>-105.83003260027023</v>
      </c>
      <c r="BA167" s="318">
        <f t="shared" si="191"/>
        <v>-109.77562682583236</v>
      </c>
      <c r="BB167" s="317">
        <f t="shared" si="191"/>
        <v>-215.60565942610259</v>
      </c>
      <c r="BC167" s="318">
        <f>BC164+BC166</f>
        <v>-113.86849548650217</v>
      </c>
      <c r="BD167" s="318">
        <f>BD164+BD166</f>
        <v>-118.11414197572249</v>
      </c>
      <c r="BE167" s="317">
        <f>BE164+BE166</f>
        <v>-231.98263746222466</v>
      </c>
    </row>
    <row r="168" spans="2:57" outlineLevel="1">
      <c r="B168" s="316" t="s">
        <v>2302</v>
      </c>
      <c r="C168" s="317">
        <f t="shared" ref="C168:AM168" si="192">C163+C167</f>
        <v>97.25</v>
      </c>
      <c r="D168" s="318">
        <f t="shared" si="192"/>
        <v>56.69</v>
      </c>
      <c r="E168" s="318">
        <f t="shared" si="192"/>
        <v>47.31</v>
      </c>
      <c r="F168" s="317">
        <f t="shared" si="192"/>
        <v>104</v>
      </c>
      <c r="G168" s="318">
        <f t="shared" si="192"/>
        <v>84.5</v>
      </c>
      <c r="H168" s="318">
        <f>H163+H167</f>
        <v>95.25</v>
      </c>
      <c r="I168" s="317">
        <f>I163+I167</f>
        <v>179.75</v>
      </c>
      <c r="J168" s="318">
        <f t="shared" si="192"/>
        <v>70</v>
      </c>
      <c r="K168" s="318">
        <f t="shared" si="192"/>
        <v>98</v>
      </c>
      <c r="L168" s="317">
        <f t="shared" si="192"/>
        <v>168</v>
      </c>
      <c r="M168" s="318">
        <f t="shared" si="192"/>
        <v>57.650000000000006</v>
      </c>
      <c r="N168" s="318">
        <f t="shared" si="192"/>
        <v>92.287749999999988</v>
      </c>
      <c r="O168" s="317">
        <f t="shared" si="192"/>
        <v>149.93774999999999</v>
      </c>
      <c r="P168" s="318">
        <f t="shared" si="192"/>
        <v>55.261767385831376</v>
      </c>
      <c r="Q168" s="318">
        <f t="shared" si="192"/>
        <v>51.483516165610951</v>
      </c>
      <c r="R168" s="317">
        <f t="shared" si="192"/>
        <v>106.74528355144233</v>
      </c>
      <c r="S168" s="318">
        <f t="shared" si="192"/>
        <v>71.171969376785981</v>
      </c>
      <c r="T168" s="318">
        <f t="shared" si="192"/>
        <v>64.309704645979267</v>
      </c>
      <c r="U168" s="317">
        <f t="shared" si="192"/>
        <v>135.48167402276525</v>
      </c>
      <c r="V168" s="318">
        <f t="shared" si="192"/>
        <v>65.702204217604816</v>
      </c>
      <c r="W168" s="318">
        <f t="shared" si="192"/>
        <v>108.25597422669492</v>
      </c>
      <c r="X168" s="317">
        <f t="shared" si="192"/>
        <v>173.95817844429973</v>
      </c>
      <c r="Y168" s="318">
        <f t="shared" si="192"/>
        <v>86.22843158031047</v>
      </c>
      <c r="Z168" s="318">
        <f t="shared" si="192"/>
        <v>118.56128878539941</v>
      </c>
      <c r="AA168" s="317">
        <f t="shared" si="192"/>
        <v>204.78972036570988</v>
      </c>
      <c r="AB168" s="318">
        <f t="shared" si="192"/>
        <v>121.94989217663064</v>
      </c>
      <c r="AC168" s="318">
        <f>AC163+AC167</f>
        <v>113.85119240288485</v>
      </c>
      <c r="AD168" s="317">
        <f t="shared" si="192"/>
        <v>235.8010845795155</v>
      </c>
      <c r="AE168" s="318">
        <f t="shared" si="192"/>
        <v>150.12755537944119</v>
      </c>
      <c r="AF168" s="324">
        <f t="shared" si="192"/>
        <v>110.5532916759777</v>
      </c>
      <c r="AG168" s="317">
        <f t="shared" si="192"/>
        <v>260.68084705541889</v>
      </c>
      <c r="AH168" s="318">
        <f t="shared" si="192"/>
        <v>-5.18735362249177</v>
      </c>
      <c r="AI168" s="318">
        <f t="shared" si="192"/>
        <v>-5.7074369917717434</v>
      </c>
      <c r="AJ168" s="317">
        <f t="shared" si="192"/>
        <v>-10.894790614263513</v>
      </c>
      <c r="AK168" s="318">
        <f t="shared" si="192"/>
        <v>2.0978837562959853</v>
      </c>
      <c r="AL168" s="318">
        <f t="shared" si="192"/>
        <v>6.8682376267759224</v>
      </c>
      <c r="AM168" s="317">
        <f t="shared" si="192"/>
        <v>8.9661213830719078</v>
      </c>
      <c r="AN168" s="318">
        <f t="shared" ref="AN168:BB168" si="193">AN163+AN167</f>
        <v>6.8409553324588757</v>
      </c>
      <c r="AO168" s="318">
        <f t="shared" si="193"/>
        <v>6.8049066746130507</v>
      </c>
      <c r="AP168" s="317">
        <f t="shared" si="193"/>
        <v>13.645862007071941</v>
      </c>
      <c r="AQ168" s="318">
        <f t="shared" si="193"/>
        <v>6.7595619941523353</v>
      </c>
      <c r="AR168" s="318">
        <f t="shared" si="193"/>
        <v>6.7043669741407399</v>
      </c>
      <c r="AS168" s="317">
        <f t="shared" si="193"/>
        <v>13.463928968293089</v>
      </c>
      <c r="AT168" s="318">
        <f t="shared" si="193"/>
        <v>6.6387416197760842</v>
      </c>
      <c r="AU168" s="318">
        <f t="shared" si="193"/>
        <v>6.562079199178811</v>
      </c>
      <c r="AV168" s="317">
        <f t="shared" si="193"/>
        <v>13.200820818954895</v>
      </c>
      <c r="AW168" s="318">
        <f t="shared" si="193"/>
        <v>6.4737451435639315</v>
      </c>
      <c r="AX168" s="318">
        <f t="shared" si="193"/>
        <v>6.3730759053251376</v>
      </c>
      <c r="AY168" s="317">
        <f t="shared" si="193"/>
        <v>12.846821048889041</v>
      </c>
      <c r="AZ168" s="318">
        <f t="shared" si="193"/>
        <v>6.2593777725087705</v>
      </c>
      <c r="BA168" s="318">
        <f t="shared" si="193"/>
        <v>6.1319256381049172</v>
      </c>
      <c r="BB168" s="317">
        <f t="shared" si="193"/>
        <v>12.391303410613688</v>
      </c>
      <c r="BC168" s="318">
        <f>BC163+BC167</f>
        <v>5.9899617225270845</v>
      </c>
      <c r="BD168" s="318">
        <f>BD163+BD167</f>
        <v>5.8326942475984822</v>
      </c>
      <c r="BE168" s="317">
        <f>BE163+BE167</f>
        <v>11.822655970125567</v>
      </c>
    </row>
    <row r="169" spans="2:57" outlineLevel="1">
      <c r="B169" s="319" t="s">
        <v>77</v>
      </c>
      <c r="C169" s="320">
        <f>C185+C222</f>
        <v>-7.375</v>
      </c>
      <c r="D169" s="321">
        <f>D185+D222</f>
        <v>-10.907</v>
      </c>
      <c r="E169" s="321">
        <f>F169-D169</f>
        <v>-4.4929999999999986</v>
      </c>
      <c r="F169" s="320">
        <f>F185+F222</f>
        <v>-15.399999999999999</v>
      </c>
      <c r="G169" s="321">
        <f>G185+G222</f>
        <v>-4.75</v>
      </c>
      <c r="H169" s="321">
        <f>H185+H222</f>
        <v>-6.5749999999999993</v>
      </c>
      <c r="I169" s="320">
        <f>I185+I222</f>
        <v>-11.324999999999999</v>
      </c>
      <c r="J169" s="321">
        <f>J185+J222</f>
        <v>9</v>
      </c>
      <c r="K169" s="321">
        <f>L169-J169</f>
        <v>-3</v>
      </c>
      <c r="L169" s="320">
        <f>L185+L222</f>
        <v>6</v>
      </c>
      <c r="M169" s="321">
        <f>M185+M222</f>
        <v>9.6915000000000013</v>
      </c>
      <c r="N169" s="321">
        <f>O169-M169</f>
        <v>7.5925525</v>
      </c>
      <c r="O169" s="320">
        <f>O185+O222</f>
        <v>17.284052500000001</v>
      </c>
      <c r="P169" s="321">
        <f>P185+P222</f>
        <v>7.1963669272736173</v>
      </c>
      <c r="Q169" s="321">
        <f>R169-P169</f>
        <v>8.3682700735773441</v>
      </c>
      <c r="R169" s="320">
        <f>R185+R222</f>
        <v>15.564637000850961</v>
      </c>
      <c r="S169" s="321">
        <f>S185+S222</f>
        <v>1.1849033539959262</v>
      </c>
      <c r="T169" s="321">
        <f>U169-S169</f>
        <v>-5.2334984779187064</v>
      </c>
      <c r="U169" s="320">
        <f>U185+U222</f>
        <v>-4.0485951239227802</v>
      </c>
      <c r="V169" s="321">
        <f>V185+V222</f>
        <v>13.672858947151521</v>
      </c>
      <c r="W169" s="321">
        <f>X169-V169</f>
        <v>7.7117249401292618</v>
      </c>
      <c r="X169" s="320">
        <f>X185+X222</f>
        <v>21.384583887280783</v>
      </c>
      <c r="Y169" s="321">
        <f>Y185+Y222</f>
        <v>13.771049807181344</v>
      </c>
      <c r="Z169" s="321">
        <f>AA169-Y169</f>
        <v>16.464246559368334</v>
      </c>
      <c r="AA169" s="320">
        <f>AA185+AA222</f>
        <v>30.235296366549679</v>
      </c>
      <c r="AB169" s="321">
        <f>AB185+AB222</f>
        <v>13.673293091231477</v>
      </c>
      <c r="AC169" s="321">
        <f>AC185+AC222</f>
        <v>26.701044009445496</v>
      </c>
      <c r="AD169" s="320">
        <f>AD185+AD222</f>
        <v>40.374337100676975</v>
      </c>
      <c r="AE169" s="321">
        <f>AE185+AE222</f>
        <v>18.967936210088148</v>
      </c>
      <c r="AF169" s="617">
        <f>AG169-AE169</f>
        <v>19.408882816335485</v>
      </c>
      <c r="AG169" s="320">
        <f>AG185+AG222</f>
        <v>38.376819026423632</v>
      </c>
      <c r="AH169" s="321">
        <f>AH185+AH222</f>
        <v>0.20528467217529878</v>
      </c>
      <c r="AI169" s="321">
        <f>AJ169-AH169</f>
        <v>3.1666911294176092E-2</v>
      </c>
      <c r="AJ169" s="320">
        <f>AJ185+AJ222</f>
        <v>0.23695158346947487</v>
      </c>
      <c r="AK169" s="321">
        <f>AK185+AK222</f>
        <v>-1.0201938535625541</v>
      </c>
      <c r="AL169" s="321">
        <f>AM169-AK169</f>
        <v>-2.6197909016806058</v>
      </c>
      <c r="AM169" s="320">
        <f>AM185+AM222</f>
        <v>-3.6399847552431601</v>
      </c>
      <c r="AN169" s="321">
        <f>AN185+AN222</f>
        <v>-6.7654153129087691</v>
      </c>
      <c r="AO169" s="321">
        <f>AP169-AN169</f>
        <v>-7.1756196562603209</v>
      </c>
      <c r="AP169" s="320">
        <f>AP185+AP222</f>
        <v>-13.94103496916909</v>
      </c>
      <c r="AQ169" s="321">
        <f>AQ185+AQ222</f>
        <v>-7.6062819743103658</v>
      </c>
      <c r="AR169" s="321">
        <f>AS169-AQ169</f>
        <v>-8.0583364243552396</v>
      </c>
      <c r="AS169" s="320">
        <f>AS185+AS222</f>
        <v>-15.664618398665604</v>
      </c>
      <c r="AT169" s="321">
        <f>AT185+AT222</f>
        <v>-8.5327577755799577</v>
      </c>
      <c r="AU169" s="321">
        <f>AV169-AT169</f>
        <v>-9.0305631216664519</v>
      </c>
      <c r="AV169" s="320">
        <f>AV185+AV222</f>
        <v>-17.56332089724641</v>
      </c>
      <c r="AW169" s="321">
        <f>AW185+AW222</f>
        <v>-9.5528136641812456</v>
      </c>
      <c r="AX169" s="321">
        <f>AY169-AW169</f>
        <v>-10.100616569627375</v>
      </c>
      <c r="AY169" s="320">
        <f>AY185+AY222</f>
        <v>-19.653430233808621</v>
      </c>
      <c r="AZ169" s="321">
        <f>AZ185+AZ222</f>
        <v>-10.675126903161715</v>
      </c>
      <c r="BA169" s="321">
        <f>BB169-AZ169</f>
        <v>-11.27754964210007</v>
      </c>
      <c r="BB169" s="320">
        <f>BB185+BB222</f>
        <v>-21.952676545261784</v>
      </c>
      <c r="BC169" s="321">
        <f>BC185+BC222</f>
        <v>-11.909141772458231</v>
      </c>
      <c r="BD169" s="321">
        <f>BE169-BC169</f>
        <v>-12.571214471908164</v>
      </c>
      <c r="BE169" s="320">
        <f>BE185+BE222</f>
        <v>-24.480356244366394</v>
      </c>
    </row>
    <row r="170" spans="2:57" outlineLevel="1">
      <c r="B170" s="316" t="s">
        <v>2303</v>
      </c>
      <c r="C170" s="317">
        <f t="shared" ref="C170:AM170" si="194">C168+C169</f>
        <v>89.875</v>
      </c>
      <c r="D170" s="318">
        <f t="shared" si="194"/>
        <v>45.783000000000001</v>
      </c>
      <c r="E170" s="318">
        <f t="shared" si="194"/>
        <v>42.817000000000007</v>
      </c>
      <c r="F170" s="317">
        <f t="shared" si="194"/>
        <v>88.6</v>
      </c>
      <c r="G170" s="318">
        <f t="shared" si="194"/>
        <v>79.75</v>
      </c>
      <c r="H170" s="318">
        <f>H168+H169</f>
        <v>88.674999999999997</v>
      </c>
      <c r="I170" s="317">
        <f>I168+I169</f>
        <v>168.42500000000001</v>
      </c>
      <c r="J170" s="318">
        <f t="shared" si="194"/>
        <v>79</v>
      </c>
      <c r="K170" s="318">
        <f t="shared" si="194"/>
        <v>95</v>
      </c>
      <c r="L170" s="317">
        <f t="shared" si="194"/>
        <v>174</v>
      </c>
      <c r="M170" s="318">
        <f t="shared" si="194"/>
        <v>67.341500000000011</v>
      </c>
      <c r="N170" s="318">
        <f t="shared" si="194"/>
        <v>99.880302499999985</v>
      </c>
      <c r="O170" s="317">
        <f t="shared" si="194"/>
        <v>167.2218025</v>
      </c>
      <c r="P170" s="318">
        <f t="shared" si="194"/>
        <v>62.458134313104992</v>
      </c>
      <c r="Q170" s="318">
        <f t="shared" si="194"/>
        <v>59.851786239188293</v>
      </c>
      <c r="R170" s="317">
        <f t="shared" si="194"/>
        <v>122.30992055229329</v>
      </c>
      <c r="S170" s="318">
        <f t="shared" si="194"/>
        <v>72.356872730781902</v>
      </c>
      <c r="T170" s="318">
        <f t="shared" si="194"/>
        <v>59.076206168060558</v>
      </c>
      <c r="U170" s="317">
        <f t="shared" si="194"/>
        <v>131.43307889884247</v>
      </c>
      <c r="V170" s="318">
        <f t="shared" si="194"/>
        <v>79.375063164756341</v>
      </c>
      <c r="W170" s="318">
        <f t="shared" si="194"/>
        <v>115.96769916682418</v>
      </c>
      <c r="X170" s="317">
        <f t="shared" si="194"/>
        <v>195.3427623315805</v>
      </c>
      <c r="Y170" s="318">
        <f t="shared" si="194"/>
        <v>99.999481387491812</v>
      </c>
      <c r="Z170" s="318">
        <f t="shared" si="194"/>
        <v>135.02553534476775</v>
      </c>
      <c r="AA170" s="317">
        <f t="shared" si="194"/>
        <v>235.02501673225956</v>
      </c>
      <c r="AB170" s="318">
        <f t="shared" si="194"/>
        <v>135.62318526786211</v>
      </c>
      <c r="AC170" s="318">
        <f>AC168+AC169</f>
        <v>140.55223641233033</v>
      </c>
      <c r="AD170" s="317">
        <f t="shared" si="194"/>
        <v>276.17542168019247</v>
      </c>
      <c r="AE170" s="318">
        <f t="shared" si="194"/>
        <v>169.09549158952933</v>
      </c>
      <c r="AF170" s="324">
        <f t="shared" si="194"/>
        <v>129.96217449231318</v>
      </c>
      <c r="AG170" s="317">
        <f t="shared" si="194"/>
        <v>299.05766608184251</v>
      </c>
      <c r="AH170" s="318">
        <f t="shared" si="194"/>
        <v>-4.9820689503164708</v>
      </c>
      <c r="AI170" s="318">
        <f t="shared" si="194"/>
        <v>-5.6757700804775677</v>
      </c>
      <c r="AJ170" s="317">
        <f t="shared" si="194"/>
        <v>-10.657839030794038</v>
      </c>
      <c r="AK170" s="318">
        <f t="shared" si="194"/>
        <v>1.0776899027334312</v>
      </c>
      <c r="AL170" s="318">
        <f t="shared" si="194"/>
        <v>4.2484467250953166</v>
      </c>
      <c r="AM170" s="317">
        <f t="shared" si="194"/>
        <v>5.3261366278287472</v>
      </c>
      <c r="AN170" s="318">
        <f t="shared" ref="AN170:BB170" si="195">AN168+AN169</f>
        <v>7.5540019550106585E-2</v>
      </c>
      <c r="AO170" s="318">
        <f t="shared" si="195"/>
        <v>-0.37071298164727029</v>
      </c>
      <c r="AP170" s="317">
        <f t="shared" si="195"/>
        <v>-0.29517296209714949</v>
      </c>
      <c r="AQ170" s="318">
        <f t="shared" si="195"/>
        <v>-0.84671998015803052</v>
      </c>
      <c r="AR170" s="318">
        <f t="shared" si="195"/>
        <v>-1.3539694502144997</v>
      </c>
      <c r="AS170" s="317">
        <f t="shared" si="195"/>
        <v>-2.2006894303725151</v>
      </c>
      <c r="AT170" s="318">
        <f t="shared" si="195"/>
        <v>-1.8940161558038735</v>
      </c>
      <c r="AU170" s="318">
        <f t="shared" si="195"/>
        <v>-2.4684839224876409</v>
      </c>
      <c r="AV170" s="317">
        <f t="shared" si="195"/>
        <v>-4.3625000782915144</v>
      </c>
      <c r="AW170" s="318">
        <f t="shared" si="195"/>
        <v>-3.0790685206173141</v>
      </c>
      <c r="AX170" s="318">
        <f t="shared" si="195"/>
        <v>-3.7275406643022375</v>
      </c>
      <c r="AY170" s="317">
        <f t="shared" si="195"/>
        <v>-6.80660918491958</v>
      </c>
      <c r="AZ170" s="318">
        <f t="shared" si="195"/>
        <v>-4.4157491306529444</v>
      </c>
      <c r="BA170" s="318">
        <f t="shared" si="195"/>
        <v>-5.1456240039951524</v>
      </c>
      <c r="BB170" s="317">
        <f t="shared" si="195"/>
        <v>-9.5613731346480968</v>
      </c>
      <c r="BC170" s="318">
        <f>BC168+BC169</f>
        <v>-5.9191800499311462</v>
      </c>
      <c r="BD170" s="318">
        <f>BD168+BD169</f>
        <v>-6.7385202243096813</v>
      </c>
      <c r="BE170" s="317">
        <f>BE168+BE169</f>
        <v>-12.657700274240828</v>
      </c>
    </row>
    <row r="171" spans="2:57" outlineLevel="1">
      <c r="B171" s="246" t="s">
        <v>2304</v>
      </c>
      <c r="C171" s="310"/>
      <c r="D171" s="296">
        <v>9</v>
      </c>
      <c r="E171" s="296">
        <f>F171-D171</f>
        <v>11</v>
      </c>
      <c r="F171" s="310">
        <f>D171+11</f>
        <v>20</v>
      </c>
      <c r="G171" s="296">
        <v>24</v>
      </c>
      <c r="H171" s="296">
        <v>1</v>
      </c>
      <c r="I171" s="310">
        <f>G171+H171</f>
        <v>25</v>
      </c>
      <c r="J171" s="296">
        <v>16</v>
      </c>
      <c r="K171" s="296">
        <f>L171-J171</f>
        <v>-8</v>
      </c>
      <c r="L171" s="310">
        <v>8</v>
      </c>
      <c r="M171" s="296">
        <f>+O171-N171</f>
        <v>25</v>
      </c>
      <c r="N171" s="296">
        <f>3+25</f>
        <v>28</v>
      </c>
      <c r="O171" s="505">
        <f>1+52</f>
        <v>53</v>
      </c>
      <c r="P171" s="505">
        <f>0+4</f>
        <v>4</v>
      </c>
      <c r="Q171" s="322">
        <f>1+33</f>
        <v>34</v>
      </c>
      <c r="R171" s="322">
        <f>+Q171+P171</f>
        <v>38</v>
      </c>
      <c r="S171" s="505">
        <f>S187+S224</f>
        <v>23</v>
      </c>
      <c r="T171" s="296">
        <f>U171-S171</f>
        <v>18</v>
      </c>
      <c r="U171" s="310">
        <f t="shared" ref="U171:W173" si="196">U187+U224</f>
        <v>41</v>
      </c>
      <c r="V171" s="505">
        <f t="shared" si="196"/>
        <v>4</v>
      </c>
      <c r="W171" s="296">
        <f t="shared" si="196"/>
        <v>5</v>
      </c>
      <c r="X171" s="310">
        <f>X187+X224</f>
        <v>9</v>
      </c>
      <c r="Y171" s="505"/>
      <c r="Z171" s="296"/>
      <c r="AA171" s="310"/>
      <c r="AB171" s="296"/>
      <c r="AC171" s="296"/>
      <c r="AD171" s="310"/>
      <c r="AE171" s="296">
        <f>+AG171-AF171</f>
        <v>3</v>
      </c>
      <c r="AF171" s="322">
        <f>11+6</f>
        <v>17</v>
      </c>
      <c r="AG171" s="310">
        <f>16+4</f>
        <v>20</v>
      </c>
      <c r="AH171" s="296">
        <f>-12-6</f>
        <v>-18</v>
      </c>
      <c r="AI171" s="296">
        <f>5-1</f>
        <v>4</v>
      </c>
      <c r="AJ171" s="310">
        <f>+AH171+AI171</f>
        <v>-14</v>
      </c>
      <c r="AK171" s="296"/>
      <c r="AL171" s="296"/>
      <c r="AM171" s="310"/>
      <c r="AN171" s="296"/>
      <c r="AO171" s="296"/>
      <c r="AP171" s="310"/>
      <c r="AQ171" s="296"/>
      <c r="AR171" s="296"/>
      <c r="AS171" s="310"/>
      <c r="AT171" s="296"/>
      <c r="AU171" s="296"/>
      <c r="AV171" s="310"/>
      <c r="AW171" s="296"/>
      <c r="AX171" s="296"/>
      <c r="AY171" s="310"/>
      <c r="AZ171" s="296"/>
      <c r="BA171" s="296"/>
      <c r="BB171" s="310"/>
      <c r="BC171" s="296"/>
      <c r="BD171" s="296"/>
      <c r="BE171" s="310"/>
    </row>
    <row r="172" spans="2:57" outlineLevel="1">
      <c r="B172" s="246" t="s">
        <v>2305</v>
      </c>
      <c r="C172" s="310"/>
      <c r="D172" s="296">
        <f>D173-D171</f>
        <v>-2</v>
      </c>
      <c r="E172" s="296">
        <f>F172-D172</f>
        <v>-1</v>
      </c>
      <c r="F172" s="310">
        <f t="shared" ref="F172:M172" si="197">F173-F171</f>
        <v>-3</v>
      </c>
      <c r="G172" s="296">
        <f t="shared" si="197"/>
        <v>2</v>
      </c>
      <c r="H172" s="296">
        <f t="shared" si="197"/>
        <v>12</v>
      </c>
      <c r="I172" s="310">
        <f t="shared" si="197"/>
        <v>14</v>
      </c>
      <c r="J172" s="296">
        <f t="shared" si="197"/>
        <v>5</v>
      </c>
      <c r="K172" s="296">
        <f t="shared" si="197"/>
        <v>19</v>
      </c>
      <c r="L172" s="505">
        <f t="shared" si="197"/>
        <v>24</v>
      </c>
      <c r="M172" s="505">
        <f t="shared" si="197"/>
        <v>0</v>
      </c>
      <c r="N172" s="322">
        <f>+N173-N171</f>
        <v>-1</v>
      </c>
      <c r="O172" s="505">
        <f>+O173-O171</f>
        <v>-1</v>
      </c>
      <c r="P172" s="505">
        <f>P173-P171</f>
        <v>-5</v>
      </c>
      <c r="Q172" s="322">
        <f>Q173-Q171</f>
        <v>-13</v>
      </c>
      <c r="R172" s="322">
        <f>+Q172+P172</f>
        <v>-18</v>
      </c>
      <c r="S172" s="505">
        <f>S188+S225</f>
        <v>-10.600000000000001</v>
      </c>
      <c r="T172" s="296">
        <f>U172-S172</f>
        <v>-18.399999999999999</v>
      </c>
      <c r="U172" s="310">
        <f t="shared" si="196"/>
        <v>-29</v>
      </c>
      <c r="V172" s="519">
        <f>-27-V40</f>
        <v>-5</v>
      </c>
      <c r="W172" s="520">
        <f>-22-W40</f>
        <v>-1</v>
      </c>
      <c r="X172" s="310">
        <f>X188+X225</f>
        <v>-1</v>
      </c>
      <c r="Y172" s="519"/>
      <c r="Z172" s="296"/>
      <c r="AA172" s="310"/>
      <c r="AB172" s="296"/>
      <c r="AC172" s="296"/>
      <c r="AD172" s="310"/>
      <c r="AE172" s="296">
        <f>AE173-AE171</f>
        <v>1</v>
      </c>
      <c r="AF172" s="322">
        <f>AF173-AF171</f>
        <v>-4</v>
      </c>
      <c r="AG172" s="310">
        <f>AE172+AF172</f>
        <v>-3</v>
      </c>
      <c r="AH172" s="296">
        <f>AH173-AH171</f>
        <v>23</v>
      </c>
      <c r="AI172" s="322">
        <f>AI173-AI171</f>
        <v>17</v>
      </c>
      <c r="AJ172" s="310">
        <f>AH172+AI172</f>
        <v>40</v>
      </c>
      <c r="AK172" s="296"/>
      <c r="AL172" s="296"/>
      <c r="AM172" s="310"/>
      <c r="AN172" s="296"/>
      <c r="AO172" s="296"/>
      <c r="AP172" s="310"/>
      <c r="AQ172" s="296"/>
      <c r="AR172" s="296"/>
      <c r="AS172" s="310"/>
      <c r="AT172" s="296"/>
      <c r="AU172" s="296"/>
      <c r="AV172" s="310"/>
      <c r="AW172" s="296"/>
      <c r="AX172" s="296"/>
      <c r="AY172" s="310"/>
      <c r="AZ172" s="296"/>
      <c r="BA172" s="296"/>
      <c r="BB172" s="310"/>
      <c r="BC172" s="296"/>
      <c r="BD172" s="296"/>
      <c r="BE172" s="310"/>
    </row>
    <row r="173" spans="2:57" outlineLevel="1">
      <c r="B173" s="246" t="s">
        <v>2306</v>
      </c>
      <c r="C173" s="310">
        <f>C189+C226</f>
        <v>3</v>
      </c>
      <c r="D173" s="296">
        <f>D189+D226</f>
        <v>7</v>
      </c>
      <c r="E173" s="296">
        <f>F173-D173</f>
        <v>10</v>
      </c>
      <c r="F173" s="310">
        <f t="shared" ref="F173:L173" si="198">F189+F226</f>
        <v>17</v>
      </c>
      <c r="G173" s="296">
        <f t="shared" si="198"/>
        <v>26</v>
      </c>
      <c r="H173" s="296">
        <f t="shared" si="198"/>
        <v>13</v>
      </c>
      <c r="I173" s="310">
        <f t="shared" si="198"/>
        <v>39</v>
      </c>
      <c r="J173" s="296">
        <f t="shared" si="198"/>
        <v>21</v>
      </c>
      <c r="K173" s="296">
        <f t="shared" si="198"/>
        <v>11</v>
      </c>
      <c r="L173" s="310">
        <f t="shared" si="198"/>
        <v>32</v>
      </c>
      <c r="M173" s="296">
        <f>M189+M226</f>
        <v>25</v>
      </c>
      <c r="N173" s="322">
        <f>N189+N226</f>
        <v>27</v>
      </c>
      <c r="O173" s="505">
        <f>O189+O226</f>
        <v>52</v>
      </c>
      <c r="P173" s="505">
        <f>P189+P226</f>
        <v>-1</v>
      </c>
      <c r="Q173" s="322">
        <f>Q189+Q226</f>
        <v>21</v>
      </c>
      <c r="R173" s="322">
        <f>+Q173+P173</f>
        <v>20</v>
      </c>
      <c r="S173" s="505">
        <f>S189+S226</f>
        <v>12.799999999999999</v>
      </c>
      <c r="T173" s="296">
        <f>U173-S173</f>
        <v>-0.79999999999999893</v>
      </c>
      <c r="U173" s="310">
        <f t="shared" si="196"/>
        <v>12</v>
      </c>
      <c r="V173" s="505"/>
      <c r="W173" s="296"/>
      <c r="X173" s="310"/>
      <c r="Y173" s="505"/>
      <c r="Z173" s="296"/>
      <c r="AA173" s="310"/>
      <c r="AB173" s="296"/>
      <c r="AC173" s="296"/>
      <c r="AD173" s="310"/>
      <c r="AE173" s="296">
        <f>AE15-AE41</f>
        <v>4</v>
      </c>
      <c r="AF173" s="296">
        <f>AF15-AF41</f>
        <v>13</v>
      </c>
      <c r="AG173" s="310">
        <f t="array" ref="AG173">AE173+AF173</f>
        <v>17</v>
      </c>
      <c r="AH173" s="296">
        <f>AH15-AH41</f>
        <v>5</v>
      </c>
      <c r="AI173" s="296">
        <f>AI15-AI41</f>
        <v>21</v>
      </c>
      <c r="AJ173" s="310">
        <f t="array" ref="AJ173">AH173+AI173</f>
        <v>26</v>
      </c>
      <c r="AK173" s="296"/>
      <c r="AL173" s="296"/>
      <c r="AM173" s="310"/>
      <c r="AN173" s="296"/>
      <c r="AO173" s="296"/>
      <c r="AP173" s="310"/>
      <c r="AQ173" s="296"/>
      <c r="AR173" s="296"/>
      <c r="AS173" s="310"/>
      <c r="AT173" s="296"/>
      <c r="AU173" s="296"/>
      <c r="AV173" s="310"/>
      <c r="AW173" s="296"/>
      <c r="AX173" s="296"/>
      <c r="AY173" s="310"/>
      <c r="AZ173" s="296"/>
      <c r="BA173" s="296"/>
      <c r="BB173" s="310"/>
      <c r="BC173" s="296"/>
      <c r="BD173" s="296"/>
      <c r="BE173" s="310"/>
    </row>
    <row r="174" spans="2:57" outlineLevel="1">
      <c r="B174" s="316" t="s">
        <v>2307</v>
      </c>
      <c r="C174" s="317">
        <f t="shared" ref="C174:S174" si="199">C170+C173</f>
        <v>92.875</v>
      </c>
      <c r="D174" s="318">
        <f t="shared" si="199"/>
        <v>52.783000000000001</v>
      </c>
      <c r="E174" s="318">
        <f t="shared" si="199"/>
        <v>52.817000000000007</v>
      </c>
      <c r="F174" s="317">
        <f t="shared" si="199"/>
        <v>105.6</v>
      </c>
      <c r="G174" s="318">
        <f t="shared" si="199"/>
        <v>105.75</v>
      </c>
      <c r="H174" s="318">
        <f t="shared" si="199"/>
        <v>101.675</v>
      </c>
      <c r="I174" s="317">
        <f t="shared" si="199"/>
        <v>207.42500000000001</v>
      </c>
      <c r="J174" s="318">
        <f t="shared" si="199"/>
        <v>100</v>
      </c>
      <c r="K174" s="318">
        <f t="shared" si="199"/>
        <v>106</v>
      </c>
      <c r="L174" s="317">
        <f t="shared" si="199"/>
        <v>206</v>
      </c>
      <c r="M174" s="318">
        <f t="shared" si="199"/>
        <v>92.341500000000011</v>
      </c>
      <c r="N174" s="318">
        <f t="shared" si="199"/>
        <v>126.88030249999998</v>
      </c>
      <c r="O174" s="323">
        <f t="shared" si="199"/>
        <v>219.2218025</v>
      </c>
      <c r="P174" s="323">
        <f t="shared" si="199"/>
        <v>61.458134313104992</v>
      </c>
      <c r="Q174" s="324">
        <f t="shared" si="199"/>
        <v>80.8517862391883</v>
      </c>
      <c r="R174" s="317">
        <f>+Q174+P174</f>
        <v>142.30992055229331</v>
      </c>
      <c r="S174" s="323">
        <f t="shared" si="199"/>
        <v>85.156872730781899</v>
      </c>
      <c r="T174" s="318">
        <f>U174-S174</f>
        <v>58.276206168060568</v>
      </c>
      <c r="U174" s="317">
        <f>U170+U173</f>
        <v>143.43307889884247</v>
      </c>
      <c r="V174" s="323">
        <f>V170+V173</f>
        <v>79.375063164756341</v>
      </c>
      <c r="W174" s="318">
        <f>X174-V174</f>
        <v>115.96769916682416</v>
      </c>
      <c r="X174" s="317">
        <f>X170+X173</f>
        <v>195.3427623315805</v>
      </c>
      <c r="Y174" s="318"/>
      <c r="Z174" s="318"/>
      <c r="AA174" s="317"/>
      <c r="AB174" s="318"/>
      <c r="AC174" s="318"/>
      <c r="AD174" s="317"/>
      <c r="AE174" s="318"/>
      <c r="AF174" s="324"/>
      <c r="AG174" s="317"/>
      <c r="AH174" s="318"/>
      <c r="AI174" s="318"/>
      <c r="AJ174" s="317"/>
      <c r="AK174" s="318"/>
      <c r="AL174" s="318"/>
      <c r="AM174" s="317"/>
      <c r="AN174" s="318"/>
      <c r="AO174" s="318"/>
      <c r="AP174" s="317"/>
      <c r="AQ174" s="318"/>
      <c r="AR174" s="318"/>
      <c r="AS174" s="317"/>
      <c r="AT174" s="318"/>
      <c r="AU174" s="318"/>
      <c r="AV174" s="317"/>
      <c r="AW174" s="318"/>
      <c r="AX174" s="318"/>
      <c r="AY174" s="317"/>
      <c r="AZ174" s="318"/>
      <c r="BA174" s="318"/>
      <c r="BB174" s="317"/>
      <c r="BC174" s="318"/>
      <c r="BD174" s="318"/>
      <c r="BE174" s="317"/>
    </row>
    <row r="175" spans="2:57" outlineLevel="1">
      <c r="C175" s="287"/>
      <c r="D175" s="296"/>
      <c r="E175" s="296"/>
      <c r="F175" s="310"/>
      <c r="I175" s="310"/>
      <c r="L175" s="310"/>
      <c r="O175" s="287"/>
      <c r="R175" s="287"/>
      <c r="U175" s="287"/>
      <c r="X175" s="287"/>
      <c r="AA175" s="287"/>
      <c r="AD175" s="287"/>
      <c r="AF175" s="613"/>
      <c r="AG175" s="287"/>
      <c r="AJ175" s="287"/>
      <c r="AM175" s="287"/>
      <c r="AP175" s="287"/>
      <c r="AS175" s="287"/>
      <c r="AV175" s="287"/>
      <c r="AY175" s="287"/>
      <c r="BB175" s="287"/>
      <c r="BE175" s="287"/>
    </row>
    <row r="176" spans="2:57" outlineLevel="1">
      <c r="B176" s="278" t="s">
        <v>2341</v>
      </c>
      <c r="C176" s="279"/>
      <c r="D176" s="325"/>
      <c r="E176" s="325"/>
      <c r="F176" s="326"/>
      <c r="G176" s="280"/>
      <c r="H176" s="280"/>
      <c r="I176" s="279"/>
      <c r="J176" s="280"/>
      <c r="K176" s="280"/>
      <c r="L176" s="279"/>
      <c r="M176" s="280"/>
      <c r="N176" s="280"/>
      <c r="O176" s="279"/>
      <c r="P176" s="280"/>
      <c r="Q176" s="280"/>
      <c r="R176" s="279"/>
      <c r="S176" s="280"/>
      <c r="T176" s="280"/>
      <c r="U176" s="279"/>
      <c r="V176" s="280"/>
      <c r="W176" s="280"/>
      <c r="X176" s="279"/>
      <c r="Y176" s="280"/>
      <c r="Z176" s="280"/>
      <c r="AA176" s="279"/>
      <c r="AB176" s="280"/>
      <c r="AC176" s="280"/>
      <c r="AD176" s="279"/>
      <c r="AE176" s="280"/>
      <c r="AF176" s="611"/>
      <c r="AG176" s="279"/>
      <c r="AH176" s="280"/>
      <c r="AI176" s="280"/>
      <c r="AJ176" s="279"/>
      <c r="AK176" s="280"/>
      <c r="AL176" s="280"/>
      <c r="AM176" s="279"/>
      <c r="AN176" s="280"/>
      <c r="AO176" s="280"/>
      <c r="AP176" s="279"/>
      <c r="AQ176" s="280"/>
      <c r="AR176" s="280"/>
      <c r="AS176" s="279"/>
      <c r="AT176" s="280"/>
      <c r="AU176" s="280"/>
      <c r="AV176" s="279"/>
      <c r="AW176" s="280"/>
      <c r="AX176" s="280"/>
      <c r="AY176" s="279"/>
      <c r="AZ176" s="280"/>
      <c r="BA176" s="280"/>
      <c r="BB176" s="279"/>
      <c r="BC176" s="280"/>
      <c r="BD176" s="280"/>
      <c r="BE176" s="279"/>
    </row>
    <row r="177" spans="2:57" outlineLevel="1">
      <c r="B177" s="246" t="s">
        <v>2295</v>
      </c>
      <c r="C177" s="287">
        <v>46</v>
      </c>
      <c r="D177" s="296">
        <v>21</v>
      </c>
      <c r="E177" s="296">
        <f>F177-D177</f>
        <v>25</v>
      </c>
      <c r="F177" s="310">
        <v>46</v>
      </c>
      <c r="G177" s="246">
        <v>29</v>
      </c>
      <c r="H177" s="315">
        <f>28</f>
        <v>28</v>
      </c>
      <c r="I177" s="309">
        <f>G177+H177</f>
        <v>57</v>
      </c>
      <c r="J177" s="296">
        <v>28</v>
      </c>
      <c r="K177" s="296">
        <f>L177-J177</f>
        <v>25</v>
      </c>
      <c r="L177" s="310">
        <v>53</v>
      </c>
      <c r="M177" s="296">
        <v>26</v>
      </c>
      <c r="N177" s="296">
        <f>O177-M177</f>
        <v>22.4</v>
      </c>
      <c r="O177" s="310">
        <f>46-(-3)/1.25</f>
        <v>48.4</v>
      </c>
      <c r="P177" s="296">
        <f>20-(-1)/1.281</f>
        <v>20.780640124902419</v>
      </c>
      <c r="Q177" s="296">
        <f>+R177-P177</f>
        <v>20.757821413559121</v>
      </c>
      <c r="R177" s="309">
        <f>40-(-2)/1.3</f>
        <v>41.53846153846154</v>
      </c>
      <c r="S177" s="296">
        <f>21-(3/1.3147)</f>
        <v>18.718110595573133</v>
      </c>
      <c r="T177" s="296">
        <f>+U177-S177</f>
        <v>19.830176008788239</v>
      </c>
      <c r="U177" s="310">
        <f>44-(7)/1.284</f>
        <v>38.548286604361373</v>
      </c>
      <c r="V177" s="296">
        <v>23</v>
      </c>
      <c r="W177" s="296">
        <v>29</v>
      </c>
      <c r="X177" s="310">
        <f>V177+W177</f>
        <v>52</v>
      </c>
      <c r="Y177" s="296">
        <v>30</v>
      </c>
      <c r="Z177" s="296">
        <f>60-Y177</f>
        <v>30</v>
      </c>
      <c r="AA177" s="310">
        <f>Y177+Z177</f>
        <v>60</v>
      </c>
      <c r="AB177" s="296">
        <v>34</v>
      </c>
      <c r="AC177" s="296">
        <f>71-AB177</f>
        <v>37</v>
      </c>
      <c r="AD177" s="310">
        <f>AB177+AC177</f>
        <v>71</v>
      </c>
      <c r="AE177" s="296">
        <v>40</v>
      </c>
      <c r="AF177" s="322">
        <f>80-AE177</f>
        <v>40</v>
      </c>
      <c r="AG177" s="310">
        <f>AE177+AF177</f>
        <v>80</v>
      </c>
      <c r="AH177" s="296">
        <v>45</v>
      </c>
      <c r="AI177" s="296">
        <v>47</v>
      </c>
      <c r="AJ177" s="310">
        <f>AH177+AI177</f>
        <v>92</v>
      </c>
      <c r="AK177" s="296">
        <v>50</v>
      </c>
      <c r="AL177" s="296">
        <v>50</v>
      </c>
      <c r="AM177" s="310">
        <f>AK177+AL177</f>
        <v>100</v>
      </c>
      <c r="AN177" s="311">
        <f>AL177*1.03</f>
        <v>51.5</v>
      </c>
      <c r="AO177" s="311">
        <f>AN177*1.03</f>
        <v>53.045000000000002</v>
      </c>
      <c r="AP177" s="310">
        <f>AN177+AO177</f>
        <v>104.545</v>
      </c>
      <c r="AQ177" s="311">
        <f>AO177*1.03</f>
        <v>54.63635</v>
      </c>
      <c r="AR177" s="311">
        <f>AQ177*1.03</f>
        <v>56.275440500000002</v>
      </c>
      <c r="AS177" s="310">
        <f>AQ177+AR177</f>
        <v>110.9117905</v>
      </c>
      <c r="AT177" s="311">
        <f>AR177*1.03</f>
        <v>57.963703715000001</v>
      </c>
      <c r="AU177" s="311">
        <f>AT177*1.03</f>
        <v>59.702614826450002</v>
      </c>
      <c r="AV177" s="310">
        <f>AT177+AU177</f>
        <v>117.66631854145001</v>
      </c>
      <c r="AW177" s="311">
        <f>AU177*1.03</f>
        <v>61.493693271243501</v>
      </c>
      <c r="AX177" s="311">
        <f>AW177*1.03</f>
        <v>63.338504069380811</v>
      </c>
      <c r="AY177" s="310">
        <f>AW177+AX177</f>
        <v>124.8321973406243</v>
      </c>
      <c r="AZ177" s="311">
        <f>AX177*1.03</f>
        <v>65.238659191462233</v>
      </c>
      <c r="BA177" s="311">
        <f>AZ177*1.03</f>
        <v>67.195818967206108</v>
      </c>
      <c r="BB177" s="310">
        <f>AZ177+BA177</f>
        <v>132.43447815866836</v>
      </c>
      <c r="BC177" s="311">
        <f>BA177*1.03</f>
        <v>69.211693536222299</v>
      </c>
      <c r="BD177" s="311">
        <f>BC177*1.03</f>
        <v>71.288044342308964</v>
      </c>
      <c r="BE177" s="310">
        <f>BC177+BD177</f>
        <v>140.49973787853128</v>
      </c>
    </row>
    <row r="178" spans="2:57" outlineLevel="1">
      <c r="B178" s="246" t="s">
        <v>2296</v>
      </c>
      <c r="C178" s="287">
        <v>230</v>
      </c>
      <c r="D178" s="296">
        <v>104</v>
      </c>
      <c r="E178" s="296">
        <f>F178-D178</f>
        <v>116</v>
      </c>
      <c r="F178" s="310">
        <v>220</v>
      </c>
      <c r="G178" s="246">
        <v>108</v>
      </c>
      <c r="H178" s="313">
        <v>107</v>
      </c>
      <c r="I178" s="310">
        <f>G178+H178</f>
        <v>215</v>
      </c>
      <c r="J178" s="296">
        <v>96</v>
      </c>
      <c r="K178" s="296">
        <f>L178-J178</f>
        <v>123</v>
      </c>
      <c r="L178" s="310">
        <v>219</v>
      </c>
      <c r="M178" s="296">
        <v>84</v>
      </c>
      <c r="N178" s="296">
        <f>O178-M178</f>
        <v>117</v>
      </c>
      <c r="O178" s="310">
        <f>213-15/1.25</f>
        <v>201</v>
      </c>
      <c r="P178" s="296">
        <f>106-4/1.281</f>
        <v>102.87743950039032</v>
      </c>
      <c r="Q178" s="296">
        <f>105-15/1.2944</f>
        <v>93.411619283065505</v>
      </c>
      <c r="R178" s="310">
        <f>211-19/1.3</f>
        <v>196.38461538461539</v>
      </c>
      <c r="S178" s="296">
        <f>116-(10/1.3147)</f>
        <v>108.39370198524378</v>
      </c>
      <c r="T178" s="296">
        <f>+U178-S178</f>
        <v>104.58760642597119</v>
      </c>
      <c r="U178" s="310">
        <f>227-18/1.284</f>
        <v>212.98130841121497</v>
      </c>
      <c r="V178" s="296">
        <v>76</v>
      </c>
      <c r="W178" s="296">
        <f>105/Model!AA25</f>
        <v>85.840995374777421</v>
      </c>
      <c r="X178" s="310">
        <f>V178+W178</f>
        <v>161.84099537477744</v>
      </c>
      <c r="Y178" s="296">
        <v>87</v>
      </c>
      <c r="Z178" s="296">
        <f>202-Y178</f>
        <v>115</v>
      </c>
      <c r="AA178" s="310">
        <f>Y178+Z178</f>
        <v>202</v>
      </c>
      <c r="AB178" s="296">
        <v>109</v>
      </c>
      <c r="AC178" s="296">
        <f>232-AB178</f>
        <v>123</v>
      </c>
      <c r="AD178" s="310">
        <f>AB178+AC178</f>
        <v>232</v>
      </c>
      <c r="AE178" s="296">
        <v>127</v>
      </c>
      <c r="AF178" s="322">
        <f>242-AE178</f>
        <v>115</v>
      </c>
      <c r="AG178" s="310">
        <f>AE178+AF178</f>
        <v>242</v>
      </c>
      <c r="AH178" s="296">
        <v>0</v>
      </c>
      <c r="AI178" s="296">
        <v>0</v>
      </c>
      <c r="AJ178" s="310">
        <f>AH178+AI178</f>
        <v>0</v>
      </c>
      <c r="AK178" s="578">
        <v>0</v>
      </c>
      <c r="AL178" s="296">
        <v>0</v>
      </c>
      <c r="AM178" s="310">
        <f>AK178+AL178</f>
        <v>0</v>
      </c>
      <c r="AN178" s="311">
        <f>AL178*1.04</f>
        <v>0</v>
      </c>
      <c r="AO178" s="311">
        <f>AN178*1.04</f>
        <v>0</v>
      </c>
      <c r="AP178" s="310">
        <f>AN178+AO178</f>
        <v>0</v>
      </c>
      <c r="AQ178" s="311">
        <f>AO178*1.04</f>
        <v>0</v>
      </c>
      <c r="AR178" s="311">
        <f>AQ178*1.04</f>
        <v>0</v>
      </c>
      <c r="AS178" s="310">
        <f>AQ178+AR178</f>
        <v>0</v>
      </c>
      <c r="AT178" s="311">
        <f>AR178*1.04</f>
        <v>0</v>
      </c>
      <c r="AU178" s="311">
        <f>AT178*1.04</f>
        <v>0</v>
      </c>
      <c r="AV178" s="310">
        <f>AT178+AU178</f>
        <v>0</v>
      </c>
      <c r="AW178" s="311">
        <f>AU178*1.04</f>
        <v>0</v>
      </c>
      <c r="AX178" s="311">
        <f>AW178*1.04</f>
        <v>0</v>
      </c>
      <c r="AY178" s="310">
        <f>AW178+AX178</f>
        <v>0</v>
      </c>
      <c r="AZ178" s="311">
        <f>AX178*1.04</f>
        <v>0</v>
      </c>
      <c r="BA178" s="311">
        <f>AZ178*1.04</f>
        <v>0</v>
      </c>
      <c r="BB178" s="310">
        <f>AZ178+BA178</f>
        <v>0</v>
      </c>
      <c r="BC178" s="311">
        <f>BA178*1.04</f>
        <v>0</v>
      </c>
      <c r="BD178" s="311">
        <f>BC178*1.04</f>
        <v>0</v>
      </c>
      <c r="BE178" s="310">
        <f>BC178+BD178</f>
        <v>0</v>
      </c>
    </row>
    <row r="179" spans="2:57" outlineLevel="1">
      <c r="B179" s="243" t="s">
        <v>2297</v>
      </c>
      <c r="C179" s="299">
        <f t="shared" ref="C179:H179" si="200">C177+C178</f>
        <v>276</v>
      </c>
      <c r="D179" s="300">
        <f t="shared" si="200"/>
        <v>125</v>
      </c>
      <c r="E179" s="300">
        <f t="shared" si="200"/>
        <v>141</v>
      </c>
      <c r="F179" s="304">
        <f t="shared" si="200"/>
        <v>266</v>
      </c>
      <c r="G179" s="243">
        <f t="shared" si="200"/>
        <v>137</v>
      </c>
      <c r="H179" s="300">
        <f t="shared" si="200"/>
        <v>135</v>
      </c>
      <c r="I179" s="304">
        <f>G179+H179</f>
        <v>272</v>
      </c>
      <c r="J179" s="300">
        <f>J177+J178</f>
        <v>124</v>
      </c>
      <c r="K179" s="300">
        <f>K177+K178</f>
        <v>148</v>
      </c>
      <c r="L179" s="304">
        <f>J179+K179</f>
        <v>272</v>
      </c>
      <c r="M179" s="300">
        <f>M177+M178</f>
        <v>110</v>
      </c>
      <c r="N179" s="300">
        <f>N177+N178</f>
        <v>139.4</v>
      </c>
      <c r="O179" s="304">
        <f>M179+N179</f>
        <v>249.4</v>
      </c>
      <c r="P179" s="300">
        <f>P177+P178</f>
        <v>123.65807962529274</v>
      </c>
      <c r="Q179" s="300">
        <f>Q177+Q178</f>
        <v>114.16944069662463</v>
      </c>
      <c r="R179" s="304">
        <f>P179+Q179</f>
        <v>237.82752032191738</v>
      </c>
      <c r="S179" s="300">
        <f>S177+S178</f>
        <v>127.11181258081692</v>
      </c>
      <c r="T179" s="300">
        <f>T177+T178</f>
        <v>124.41778243475943</v>
      </c>
      <c r="U179" s="304">
        <f>S179+T179</f>
        <v>251.52959501557635</v>
      </c>
      <c r="V179" s="300">
        <f>V177+V178</f>
        <v>99</v>
      </c>
      <c r="W179" s="300">
        <f>W177+W178</f>
        <v>114.84099537477742</v>
      </c>
      <c r="X179" s="304">
        <f>V179+W179</f>
        <v>213.84099537477744</v>
      </c>
      <c r="Y179" s="300">
        <f>Y177+Y178</f>
        <v>117</v>
      </c>
      <c r="Z179" s="300">
        <f>Z177+Z178</f>
        <v>145</v>
      </c>
      <c r="AA179" s="304">
        <f>Y179+Z179</f>
        <v>262</v>
      </c>
      <c r="AB179" s="300">
        <f>AB177+AB178</f>
        <v>143</v>
      </c>
      <c r="AC179" s="300">
        <f>AC177+AC178</f>
        <v>160</v>
      </c>
      <c r="AD179" s="304">
        <f>AB179+AC179</f>
        <v>303</v>
      </c>
      <c r="AE179" s="300">
        <f>AE177+AE178</f>
        <v>167</v>
      </c>
      <c r="AF179" s="615">
        <f>AF177+AF178</f>
        <v>155</v>
      </c>
      <c r="AG179" s="304">
        <f>AE179+AF179</f>
        <v>322</v>
      </c>
      <c r="AH179" s="300">
        <f>AH177+AH178</f>
        <v>45</v>
      </c>
      <c r="AI179" s="300">
        <f>AI177+AI178</f>
        <v>47</v>
      </c>
      <c r="AJ179" s="304">
        <f>AH179+AI179</f>
        <v>92</v>
      </c>
      <c r="AK179" s="300">
        <f>AK177+AK178</f>
        <v>50</v>
      </c>
      <c r="AL179" s="300">
        <f>AL177+AL178</f>
        <v>50</v>
      </c>
      <c r="AM179" s="304">
        <f>AK179+AL179</f>
        <v>100</v>
      </c>
      <c r="AN179" s="300">
        <f>AN177+AN178</f>
        <v>51.5</v>
      </c>
      <c r="AO179" s="300">
        <f>AO177+AO178</f>
        <v>53.045000000000002</v>
      </c>
      <c r="AP179" s="304">
        <f>AN179+AO179</f>
        <v>104.545</v>
      </c>
      <c r="AQ179" s="300">
        <f>AQ177+AQ178</f>
        <v>54.63635</v>
      </c>
      <c r="AR179" s="300">
        <f>AR177+AR178</f>
        <v>56.275440500000002</v>
      </c>
      <c r="AS179" s="304">
        <f>AQ179+AR179</f>
        <v>110.9117905</v>
      </c>
      <c r="AT179" s="300">
        <f>AT177+AT178</f>
        <v>57.963703715000001</v>
      </c>
      <c r="AU179" s="300">
        <f>AU177+AU178</f>
        <v>59.702614826450002</v>
      </c>
      <c r="AV179" s="304">
        <f>AT179+AU179</f>
        <v>117.66631854145001</v>
      </c>
      <c r="AW179" s="300">
        <f>AW177+AW178</f>
        <v>61.493693271243501</v>
      </c>
      <c r="AX179" s="300">
        <f>AX177+AX178</f>
        <v>63.338504069380811</v>
      </c>
      <c r="AY179" s="304">
        <f>AW179+AX179</f>
        <v>124.8321973406243</v>
      </c>
      <c r="AZ179" s="300">
        <f>AZ177+AZ178</f>
        <v>65.238659191462233</v>
      </c>
      <c r="BA179" s="300">
        <f>BA177+BA178</f>
        <v>67.195818967206108</v>
      </c>
      <c r="BB179" s="304">
        <f>AZ179+BA179</f>
        <v>132.43447815866836</v>
      </c>
      <c r="BC179" s="300">
        <f>BC177+BC178</f>
        <v>69.211693536222299</v>
      </c>
      <c r="BD179" s="300">
        <f>BD177+BD178</f>
        <v>71.288044342308964</v>
      </c>
      <c r="BE179" s="304">
        <f>BC179+BD179</f>
        <v>140.49973787853128</v>
      </c>
    </row>
    <row r="180" spans="2:57" outlineLevel="1">
      <c r="B180" s="246" t="s">
        <v>2298</v>
      </c>
      <c r="C180" s="287"/>
      <c r="D180" s="296"/>
      <c r="E180" s="296"/>
      <c r="F180" s="310"/>
      <c r="I180" s="287"/>
      <c r="L180" s="287"/>
      <c r="O180" s="287"/>
      <c r="R180" s="287"/>
      <c r="U180" s="287"/>
      <c r="X180" s="287"/>
      <c r="AA180" s="287"/>
      <c r="AD180" s="287"/>
      <c r="AF180" s="613"/>
      <c r="AG180" s="287"/>
      <c r="AJ180" s="287"/>
      <c r="AM180" s="287"/>
      <c r="AP180" s="287"/>
      <c r="AS180" s="287"/>
      <c r="AV180" s="287"/>
      <c r="AY180" s="287"/>
      <c r="BB180" s="287"/>
      <c r="BE180" s="287"/>
    </row>
    <row r="181" spans="2:57" outlineLevel="1">
      <c r="B181" s="243" t="s">
        <v>2299</v>
      </c>
      <c r="C181" s="299">
        <f t="shared" ref="C181:H181" si="201">C179+C180</f>
        <v>276</v>
      </c>
      <c r="D181" s="300">
        <f t="shared" si="201"/>
        <v>125</v>
      </c>
      <c r="E181" s="300">
        <f t="shared" si="201"/>
        <v>141</v>
      </c>
      <c r="F181" s="304">
        <f t="shared" si="201"/>
        <v>266</v>
      </c>
      <c r="G181" s="243">
        <f t="shared" si="201"/>
        <v>137</v>
      </c>
      <c r="H181" s="300">
        <f t="shared" si="201"/>
        <v>135</v>
      </c>
      <c r="I181" s="304">
        <f>G181+H181</f>
        <v>272</v>
      </c>
      <c r="J181" s="300">
        <f>J179+J180</f>
        <v>124</v>
      </c>
      <c r="K181" s="300">
        <f>K179+K180</f>
        <v>148</v>
      </c>
      <c r="L181" s="304">
        <f>J181+K181</f>
        <v>272</v>
      </c>
      <c r="M181" s="300">
        <f>M179+M180</f>
        <v>110</v>
      </c>
      <c r="N181" s="300">
        <f>N179+N180</f>
        <v>139.4</v>
      </c>
      <c r="O181" s="304">
        <f>M181+N181</f>
        <v>249.4</v>
      </c>
      <c r="P181" s="300">
        <f>P179+P180</f>
        <v>123.65807962529274</v>
      </c>
      <c r="Q181" s="300">
        <f>Q179+Q180</f>
        <v>114.16944069662463</v>
      </c>
      <c r="R181" s="304">
        <f>P181+Q181</f>
        <v>237.82752032191738</v>
      </c>
      <c r="S181" s="300">
        <f>S179+S180</f>
        <v>127.11181258081692</v>
      </c>
      <c r="T181" s="300">
        <f>T179+T180</f>
        <v>124.41778243475943</v>
      </c>
      <c r="U181" s="304">
        <f>S181+T181</f>
        <v>251.52959501557635</v>
      </c>
      <c r="V181" s="300">
        <f>V179+V180</f>
        <v>99</v>
      </c>
      <c r="W181" s="300">
        <f>W179+W180</f>
        <v>114.84099537477742</v>
      </c>
      <c r="X181" s="304">
        <f>V181+W181</f>
        <v>213.84099537477744</v>
      </c>
      <c r="Y181" s="300">
        <f>Y179+Y180</f>
        <v>117</v>
      </c>
      <c r="Z181" s="300">
        <f>Z179+Z180</f>
        <v>145</v>
      </c>
      <c r="AA181" s="304">
        <f>Y181+Z181</f>
        <v>262</v>
      </c>
      <c r="AB181" s="300">
        <f>AB179+AB180</f>
        <v>143</v>
      </c>
      <c r="AC181" s="300">
        <f>AC179+AC180</f>
        <v>160</v>
      </c>
      <c r="AD181" s="304">
        <f>AB181+AC181</f>
        <v>303</v>
      </c>
      <c r="AE181" s="300">
        <f>AE179+AE180</f>
        <v>167</v>
      </c>
      <c r="AF181" s="615">
        <f>AF179+AF180</f>
        <v>155</v>
      </c>
      <c r="AG181" s="304">
        <f>AE181+AF181</f>
        <v>322</v>
      </c>
      <c r="AH181" s="300">
        <f>AH179+AH180</f>
        <v>45</v>
      </c>
      <c r="AI181" s="300">
        <f>AI179+AI180</f>
        <v>47</v>
      </c>
      <c r="AJ181" s="304">
        <f>AH181+AI181</f>
        <v>92</v>
      </c>
      <c r="AK181" s="300">
        <f>AK179+AK180</f>
        <v>50</v>
      </c>
      <c r="AL181" s="300">
        <f>AL179+AL180</f>
        <v>50</v>
      </c>
      <c r="AM181" s="304">
        <f>AK181+AL181</f>
        <v>100</v>
      </c>
      <c r="AN181" s="300">
        <f>AN179+AN180</f>
        <v>51.5</v>
      </c>
      <c r="AO181" s="300">
        <f>AO179+AO180</f>
        <v>53.045000000000002</v>
      </c>
      <c r="AP181" s="304">
        <f>AN181+AO181</f>
        <v>104.545</v>
      </c>
      <c r="AQ181" s="300">
        <f>AQ179+AQ180</f>
        <v>54.63635</v>
      </c>
      <c r="AR181" s="300">
        <f>AR179+AR180</f>
        <v>56.275440500000002</v>
      </c>
      <c r="AS181" s="304">
        <f>AQ181+AR181</f>
        <v>110.9117905</v>
      </c>
      <c r="AT181" s="300">
        <f>AT179+AT180</f>
        <v>57.963703715000001</v>
      </c>
      <c r="AU181" s="300">
        <f>AU179+AU180</f>
        <v>59.702614826450002</v>
      </c>
      <c r="AV181" s="304">
        <f>AT181+AU181</f>
        <v>117.66631854145001</v>
      </c>
      <c r="AW181" s="300">
        <f>AW179+AW180</f>
        <v>61.493693271243501</v>
      </c>
      <c r="AX181" s="300">
        <f>AX179+AX180</f>
        <v>63.338504069380811</v>
      </c>
      <c r="AY181" s="304">
        <f>AW181+AX181</f>
        <v>124.8321973406243</v>
      </c>
      <c r="AZ181" s="300">
        <f>AZ179+AZ180</f>
        <v>65.238659191462233</v>
      </c>
      <c r="BA181" s="300">
        <f>BA179+BA180</f>
        <v>67.195818967206108</v>
      </c>
      <c r="BB181" s="304">
        <f>AZ181+BA181</f>
        <v>132.43447815866836</v>
      </c>
      <c r="BC181" s="300">
        <f>BC179+BC180</f>
        <v>69.211693536222299</v>
      </c>
      <c r="BD181" s="300">
        <f>BD179+BD180</f>
        <v>71.288044342308964</v>
      </c>
      <c r="BE181" s="304">
        <f>BC181+BD181</f>
        <v>140.49973787853128</v>
      </c>
    </row>
    <row r="182" spans="2:57" outlineLevel="1">
      <c r="B182" s="246" t="s">
        <v>2300</v>
      </c>
      <c r="C182" s="287">
        <v>-190</v>
      </c>
      <c r="D182" s="296">
        <v>-88</v>
      </c>
      <c r="E182" s="296">
        <f>F182-D182</f>
        <v>-92</v>
      </c>
      <c r="F182" s="310">
        <v>-180</v>
      </c>
      <c r="G182" s="246">
        <v>-75</v>
      </c>
      <c r="H182" s="313">
        <v>-75</v>
      </c>
      <c r="I182" s="310">
        <f>G182+H182</f>
        <v>-150</v>
      </c>
      <c r="J182" s="313">
        <v>-84</v>
      </c>
      <c r="K182" s="296">
        <f>L182-J182</f>
        <v>-80</v>
      </c>
      <c r="L182" s="310">
        <v>-164</v>
      </c>
      <c r="M182" s="296">
        <v>-81</v>
      </c>
      <c r="N182" s="296">
        <f>O182-M182</f>
        <v>-83</v>
      </c>
      <c r="O182" s="310">
        <f>-205/(1.25)</f>
        <v>-164</v>
      </c>
      <c r="P182" s="296">
        <f>-111/1.281</f>
        <v>-86.651053864168631</v>
      </c>
      <c r="Q182" s="296">
        <f>+R182-P182</f>
        <v>-81.041253828139048</v>
      </c>
      <c r="R182" s="310">
        <f>-218/1.3</f>
        <v>-167.69230769230768</v>
      </c>
      <c r="S182" s="296">
        <f>-113/1.3147</f>
        <v>-85.951167566745269</v>
      </c>
      <c r="T182" s="296">
        <f>+U182-S182</f>
        <v>-92.397742090575591</v>
      </c>
      <c r="U182" s="310">
        <f>-229/1.284</f>
        <v>-178.34890965732086</v>
      </c>
      <c r="V182" s="296">
        <f>-54/Model!Z25</f>
        <v>-42.575003154729444</v>
      </c>
      <c r="W182" s="296">
        <f>-58/Model!AA25</f>
        <v>-47.416930778448481</v>
      </c>
      <c r="X182" s="310">
        <f>V182+W182</f>
        <v>-89.991933933177933</v>
      </c>
      <c r="Y182" s="296">
        <f>-57/Model!AB25</f>
        <v>-50.142594887118307</v>
      </c>
      <c r="Z182" s="296">
        <f>-62/Model!AC25</f>
        <v>-57.332723608389372</v>
      </c>
      <c r="AA182" s="310">
        <f>Y182+Z182</f>
        <v>-107.47531849550768</v>
      </c>
      <c r="AB182" s="296">
        <f>-62/Model!AD25</f>
        <v>-58.450410650940753</v>
      </c>
      <c r="AC182" s="296">
        <f>-62/Model!AE25</f>
        <v>-57.038121023651541</v>
      </c>
      <c r="AD182" s="310">
        <f>AB182+AC182</f>
        <v>-115.48853167459229</v>
      </c>
      <c r="AE182" s="296">
        <f>-65/Model!AF25</f>
        <v>-59.232884017023977</v>
      </c>
      <c r="AF182" s="322">
        <f>-70/Model!AG25</f>
        <v>-66.259763099363767</v>
      </c>
      <c r="AG182" s="310">
        <f>AE182+AF182</f>
        <v>-125.49264711638774</v>
      </c>
      <c r="AH182" s="296">
        <f>-62/Model!AH25</f>
        <v>-59.433865314970177</v>
      </c>
      <c r="AI182" s="296">
        <f>-62/Model!AI25</f>
        <v>-59.367576593486881</v>
      </c>
      <c r="AJ182" s="310">
        <f>AH182+AI182</f>
        <v>-118.80144190845706</v>
      </c>
      <c r="AK182" s="296">
        <f>-59/Model!AJ25</f>
        <v>-54.955360731479196</v>
      </c>
      <c r="AL182" s="296">
        <f>-63/Model!AK25</f>
        <v>-57.556870418071384</v>
      </c>
      <c r="AM182" s="310">
        <f>AK182+AL182</f>
        <v>-112.51223114955059</v>
      </c>
      <c r="AN182" s="311">
        <f>AL182*1.038</f>
        <v>-59.744031493958097</v>
      </c>
      <c r="AO182" s="311">
        <f>AN182*1.038</f>
        <v>-62.014304690728508</v>
      </c>
      <c r="AP182" s="310">
        <f>AN182+AO182</f>
        <v>-121.75833618468661</v>
      </c>
      <c r="AQ182" s="311">
        <f>AO182*1.038</f>
        <v>-64.370848268976189</v>
      </c>
      <c r="AR182" s="311">
        <f>AQ182*1.038</f>
        <v>-66.816940503197287</v>
      </c>
      <c r="AS182" s="310">
        <f>AQ182+AR182</f>
        <v>-131.18778877217346</v>
      </c>
      <c r="AT182" s="311">
        <f>AR182*1.038</f>
        <v>-69.355984242318783</v>
      </c>
      <c r="AU182" s="311">
        <f>AT182*1.038</f>
        <v>-71.991511643526906</v>
      </c>
      <c r="AV182" s="310">
        <f>AT182+AU182</f>
        <v>-141.34749588584569</v>
      </c>
      <c r="AW182" s="311">
        <f>AU182*1.038</f>
        <v>-74.727189085980925</v>
      </c>
      <c r="AX182" s="311">
        <f>AW182*1.038</f>
        <v>-77.566822271248199</v>
      </c>
      <c r="AY182" s="310">
        <f>AW182+AX182</f>
        <v>-152.29401135722912</v>
      </c>
      <c r="AZ182" s="311">
        <f>AX182*1.038</f>
        <v>-80.514361517555628</v>
      </c>
      <c r="BA182" s="311">
        <f>AZ182*1.038</f>
        <v>-83.57390725522275</v>
      </c>
      <c r="BB182" s="310">
        <f>AZ182+BA182</f>
        <v>-164.08826877277838</v>
      </c>
      <c r="BC182" s="311">
        <f>BA182*1.038</f>
        <v>-86.749715730921224</v>
      </c>
      <c r="BD182" s="311">
        <f>BC182*1.038</f>
        <v>-90.046204928696227</v>
      </c>
      <c r="BE182" s="310">
        <f>BC182+BD182</f>
        <v>-176.79592065961745</v>
      </c>
    </row>
    <row r="183" spans="2:57" outlineLevel="1">
      <c r="B183" s="243" t="s">
        <v>2301</v>
      </c>
      <c r="C183" s="299">
        <f t="shared" ref="C183:AM183" si="202">C180+C182</f>
        <v>-190</v>
      </c>
      <c r="D183" s="300">
        <f t="shared" si="202"/>
        <v>-88</v>
      </c>
      <c r="E183" s="300">
        <f t="shared" si="202"/>
        <v>-92</v>
      </c>
      <c r="F183" s="304">
        <f t="shared" si="202"/>
        <v>-180</v>
      </c>
      <c r="G183" s="243">
        <f t="shared" si="202"/>
        <v>-75</v>
      </c>
      <c r="H183" s="300">
        <f t="shared" si="202"/>
        <v>-75</v>
      </c>
      <c r="I183" s="304">
        <f t="shared" si="202"/>
        <v>-150</v>
      </c>
      <c r="J183" s="300">
        <f t="shared" si="202"/>
        <v>-84</v>
      </c>
      <c r="K183" s="300">
        <f t="shared" si="202"/>
        <v>-80</v>
      </c>
      <c r="L183" s="304">
        <f t="shared" si="202"/>
        <v>-164</v>
      </c>
      <c r="M183" s="300">
        <f>M180+M182</f>
        <v>-81</v>
      </c>
      <c r="N183" s="300">
        <f t="shared" si="202"/>
        <v>-83</v>
      </c>
      <c r="O183" s="304">
        <f t="shared" si="202"/>
        <v>-164</v>
      </c>
      <c r="P183" s="300">
        <f>P180+P182</f>
        <v>-86.651053864168631</v>
      </c>
      <c r="Q183" s="300">
        <f t="shared" si="202"/>
        <v>-81.041253828139048</v>
      </c>
      <c r="R183" s="304">
        <f t="shared" si="202"/>
        <v>-167.69230769230768</v>
      </c>
      <c r="S183" s="300">
        <f t="shared" si="202"/>
        <v>-85.951167566745269</v>
      </c>
      <c r="T183" s="300">
        <f t="shared" si="202"/>
        <v>-92.397742090575591</v>
      </c>
      <c r="U183" s="304">
        <f t="shared" si="202"/>
        <v>-178.34890965732086</v>
      </c>
      <c r="V183" s="300">
        <f t="shared" si="202"/>
        <v>-42.575003154729444</v>
      </c>
      <c r="W183" s="300">
        <f t="shared" si="202"/>
        <v>-47.416930778448481</v>
      </c>
      <c r="X183" s="304">
        <f t="shared" si="202"/>
        <v>-89.991933933177933</v>
      </c>
      <c r="Y183" s="300">
        <f t="shared" si="202"/>
        <v>-50.142594887118307</v>
      </c>
      <c r="Z183" s="300">
        <f t="shared" si="202"/>
        <v>-57.332723608389372</v>
      </c>
      <c r="AA183" s="304">
        <f t="shared" si="202"/>
        <v>-107.47531849550768</v>
      </c>
      <c r="AB183" s="300">
        <f t="shared" si="202"/>
        <v>-58.450410650940753</v>
      </c>
      <c r="AC183" s="300">
        <f t="shared" si="202"/>
        <v>-57.038121023651541</v>
      </c>
      <c r="AD183" s="304">
        <f t="shared" si="202"/>
        <v>-115.48853167459229</v>
      </c>
      <c r="AE183" s="300">
        <f t="shared" si="202"/>
        <v>-59.232884017023977</v>
      </c>
      <c r="AF183" s="615">
        <f t="shared" si="202"/>
        <v>-66.259763099363767</v>
      </c>
      <c r="AG183" s="304">
        <f t="shared" si="202"/>
        <v>-125.49264711638774</v>
      </c>
      <c r="AH183" s="300">
        <f>AH180+AH182</f>
        <v>-59.433865314970177</v>
      </c>
      <c r="AI183" s="300">
        <f t="shared" si="202"/>
        <v>-59.367576593486881</v>
      </c>
      <c r="AJ183" s="304">
        <f t="shared" si="202"/>
        <v>-118.80144190845706</v>
      </c>
      <c r="AK183" s="300">
        <f t="shared" si="202"/>
        <v>-54.955360731479196</v>
      </c>
      <c r="AL183" s="300">
        <f>AL180+AL182</f>
        <v>-57.556870418071384</v>
      </c>
      <c r="AM183" s="304">
        <f t="shared" si="202"/>
        <v>-112.51223114955059</v>
      </c>
      <c r="AN183" s="300">
        <f t="shared" ref="AN183:BB183" si="203">AN180+AN182</f>
        <v>-59.744031493958097</v>
      </c>
      <c r="AO183" s="300">
        <f t="shared" si="203"/>
        <v>-62.014304690728508</v>
      </c>
      <c r="AP183" s="304">
        <f t="shared" si="203"/>
        <v>-121.75833618468661</v>
      </c>
      <c r="AQ183" s="300">
        <f t="shared" si="203"/>
        <v>-64.370848268976189</v>
      </c>
      <c r="AR183" s="300">
        <f t="shared" si="203"/>
        <v>-66.816940503197287</v>
      </c>
      <c r="AS183" s="304">
        <f t="shared" si="203"/>
        <v>-131.18778877217346</v>
      </c>
      <c r="AT183" s="300">
        <f t="shared" si="203"/>
        <v>-69.355984242318783</v>
      </c>
      <c r="AU183" s="300">
        <f t="shared" si="203"/>
        <v>-71.991511643526906</v>
      </c>
      <c r="AV183" s="304">
        <f t="shared" si="203"/>
        <v>-141.34749588584569</v>
      </c>
      <c r="AW183" s="300">
        <f t="shared" si="203"/>
        <v>-74.727189085980925</v>
      </c>
      <c r="AX183" s="300">
        <f t="shared" si="203"/>
        <v>-77.566822271248199</v>
      </c>
      <c r="AY183" s="304">
        <f t="shared" si="203"/>
        <v>-152.29401135722912</v>
      </c>
      <c r="AZ183" s="300">
        <f t="shared" si="203"/>
        <v>-80.514361517555628</v>
      </c>
      <c r="BA183" s="300">
        <f t="shared" si="203"/>
        <v>-83.57390725522275</v>
      </c>
      <c r="BB183" s="304">
        <f t="shared" si="203"/>
        <v>-164.08826877277838</v>
      </c>
      <c r="BC183" s="300">
        <f>BC180+BC182</f>
        <v>-86.749715730921224</v>
      </c>
      <c r="BD183" s="300">
        <f>BD180+BD182</f>
        <v>-90.046204928696227</v>
      </c>
      <c r="BE183" s="304">
        <f>BE180+BE182</f>
        <v>-176.79592065961745</v>
      </c>
    </row>
    <row r="184" spans="2:57" outlineLevel="1">
      <c r="B184" s="243" t="s">
        <v>2302</v>
      </c>
      <c r="C184" s="299">
        <f t="shared" ref="C184:AM184" si="204">C179+C183</f>
        <v>86</v>
      </c>
      <c r="D184" s="300">
        <f t="shared" si="204"/>
        <v>37</v>
      </c>
      <c r="E184" s="300">
        <f t="shared" si="204"/>
        <v>49</v>
      </c>
      <c r="F184" s="304">
        <f t="shared" si="204"/>
        <v>86</v>
      </c>
      <c r="G184" s="243">
        <f t="shared" si="204"/>
        <v>62</v>
      </c>
      <c r="H184" s="300">
        <f t="shared" si="204"/>
        <v>60</v>
      </c>
      <c r="I184" s="304">
        <f t="shared" si="204"/>
        <v>122</v>
      </c>
      <c r="J184" s="300">
        <f t="shared" si="204"/>
        <v>40</v>
      </c>
      <c r="K184" s="300">
        <f t="shared" si="204"/>
        <v>68</v>
      </c>
      <c r="L184" s="304">
        <f t="shared" si="204"/>
        <v>108</v>
      </c>
      <c r="M184" s="300">
        <f>M179+M183</f>
        <v>29</v>
      </c>
      <c r="N184" s="300">
        <f t="shared" si="204"/>
        <v>56.400000000000006</v>
      </c>
      <c r="O184" s="304">
        <f>O179+O183</f>
        <v>85.4</v>
      </c>
      <c r="P184" s="300">
        <f t="shared" si="204"/>
        <v>37.007025761124112</v>
      </c>
      <c r="Q184" s="300">
        <f t="shared" si="204"/>
        <v>33.128186868485585</v>
      </c>
      <c r="R184" s="304">
        <f t="shared" si="204"/>
        <v>70.135212629609697</v>
      </c>
      <c r="S184" s="300">
        <f t="shared" si="204"/>
        <v>41.160645014071648</v>
      </c>
      <c r="T184" s="300">
        <f t="shared" si="204"/>
        <v>32.02004034418384</v>
      </c>
      <c r="U184" s="304">
        <f t="shared" si="204"/>
        <v>73.180685358255488</v>
      </c>
      <c r="V184" s="300">
        <f t="shared" si="204"/>
        <v>56.424996845270556</v>
      </c>
      <c r="W184" s="300">
        <f t="shared" si="204"/>
        <v>67.424064596328947</v>
      </c>
      <c r="X184" s="304">
        <f t="shared" si="204"/>
        <v>123.8490614415995</v>
      </c>
      <c r="Y184" s="300">
        <f t="shared" si="204"/>
        <v>66.857405112881693</v>
      </c>
      <c r="Z184" s="300">
        <f t="shared" si="204"/>
        <v>87.667276391610628</v>
      </c>
      <c r="AA184" s="304">
        <f t="shared" si="204"/>
        <v>154.52468150449232</v>
      </c>
      <c r="AB184" s="300">
        <f t="shared" si="204"/>
        <v>84.549589349059247</v>
      </c>
      <c r="AC184" s="300">
        <f t="shared" si="204"/>
        <v>102.96187897634846</v>
      </c>
      <c r="AD184" s="304">
        <f t="shared" si="204"/>
        <v>187.51146832540769</v>
      </c>
      <c r="AE184" s="300">
        <f t="shared" si="204"/>
        <v>107.76711598297602</v>
      </c>
      <c r="AF184" s="615">
        <f t="shared" si="204"/>
        <v>88.740236900636233</v>
      </c>
      <c r="AG184" s="304">
        <f t="shared" si="204"/>
        <v>196.50735288361227</v>
      </c>
      <c r="AH184" s="300">
        <f>AH179+AH183</f>
        <v>-14.433865314970177</v>
      </c>
      <c r="AI184" s="300">
        <f t="shared" si="204"/>
        <v>-12.367576593486881</v>
      </c>
      <c r="AJ184" s="304">
        <f t="shared" si="204"/>
        <v>-26.801441908457065</v>
      </c>
      <c r="AK184" s="300">
        <f t="shared" si="204"/>
        <v>-4.9553607314791961</v>
      </c>
      <c r="AL184" s="300">
        <f>AL179+AL183</f>
        <v>-7.5568704180713837</v>
      </c>
      <c r="AM184" s="304">
        <f t="shared" si="204"/>
        <v>-12.512231149550587</v>
      </c>
      <c r="AN184" s="300">
        <f t="shared" ref="AN184:BB184" si="205">AN179+AN183</f>
        <v>-8.2440314939580972</v>
      </c>
      <c r="AO184" s="300">
        <f t="shared" si="205"/>
        <v>-8.9693046907285066</v>
      </c>
      <c r="AP184" s="304">
        <f t="shared" si="205"/>
        <v>-17.213336184686611</v>
      </c>
      <c r="AQ184" s="300">
        <f t="shared" si="205"/>
        <v>-9.7344982689761892</v>
      </c>
      <c r="AR184" s="300">
        <f t="shared" si="205"/>
        <v>-10.541500003197285</v>
      </c>
      <c r="AS184" s="304">
        <f t="shared" si="205"/>
        <v>-20.275998272173467</v>
      </c>
      <c r="AT184" s="300">
        <f t="shared" si="205"/>
        <v>-11.392280527318782</v>
      </c>
      <c r="AU184" s="300">
        <f t="shared" si="205"/>
        <v>-12.288896817076903</v>
      </c>
      <c r="AV184" s="304">
        <f t="shared" si="205"/>
        <v>-23.681177344395678</v>
      </c>
      <c r="AW184" s="300">
        <f t="shared" si="205"/>
        <v>-13.233495814737424</v>
      </c>
      <c r="AX184" s="300">
        <f t="shared" si="205"/>
        <v>-14.228318201867388</v>
      </c>
      <c r="AY184" s="304">
        <f t="shared" si="205"/>
        <v>-27.461814016604819</v>
      </c>
      <c r="AZ184" s="300">
        <f t="shared" si="205"/>
        <v>-15.275702326093395</v>
      </c>
      <c r="BA184" s="300">
        <f t="shared" si="205"/>
        <v>-16.378088288016642</v>
      </c>
      <c r="BB184" s="304">
        <f t="shared" si="205"/>
        <v>-31.653790614110022</v>
      </c>
      <c r="BC184" s="300">
        <f>BC179+BC183</f>
        <v>-17.538022194698925</v>
      </c>
      <c r="BD184" s="300">
        <f>BD179+BD183</f>
        <v>-18.758160586387262</v>
      </c>
      <c r="BE184" s="304">
        <f>BE179+BE183</f>
        <v>-36.296182781086173</v>
      </c>
    </row>
    <row r="185" spans="2:57" outlineLevel="1">
      <c r="B185" s="246" t="s">
        <v>77</v>
      </c>
      <c r="C185" s="287">
        <v>-4</v>
      </c>
      <c r="D185" s="296">
        <v>-5</v>
      </c>
      <c r="E185" s="296">
        <f>F185-D185</f>
        <v>-5</v>
      </c>
      <c r="F185" s="310">
        <v>-10</v>
      </c>
      <c r="G185" s="246">
        <v>2</v>
      </c>
      <c r="H185" s="296">
        <v>4</v>
      </c>
      <c r="I185" s="310">
        <f>G185+H185</f>
        <v>6</v>
      </c>
      <c r="J185" s="296">
        <v>18</v>
      </c>
      <c r="K185" s="296">
        <f>L185-J185</f>
        <v>6</v>
      </c>
      <c r="L185" s="310">
        <v>24</v>
      </c>
      <c r="M185" s="327">
        <v>18</v>
      </c>
      <c r="N185" s="327">
        <f>O185-M185</f>
        <v>18</v>
      </c>
      <c r="O185" s="328">
        <f>45/1.25</f>
        <v>36</v>
      </c>
      <c r="P185" s="296">
        <f>16/1.281</f>
        <v>12.490241998438721</v>
      </c>
      <c r="Q185" s="296">
        <f>+R185-P185</f>
        <v>13.663604155407432</v>
      </c>
      <c r="R185" s="310">
        <f>34/1.3</f>
        <v>26.153846153846153</v>
      </c>
      <c r="S185" s="296">
        <f>13/1.3147</f>
        <v>9.8881874191830832</v>
      </c>
      <c r="T185" s="296">
        <f>+U185-S185</f>
        <v>4.1305041696019629</v>
      </c>
      <c r="U185" s="310">
        <f>18/1.284</f>
        <v>14.018691588785046</v>
      </c>
      <c r="V185" s="393">
        <f>V184*0.29</f>
        <v>16.363249085128459</v>
      </c>
      <c r="W185" s="396">
        <f>W184*0.29</f>
        <v>19.552978732935394</v>
      </c>
      <c r="X185" s="397">
        <f>V185+W185</f>
        <v>35.916227818063852</v>
      </c>
      <c r="Y185" s="329">
        <f>Y184*0.29</f>
        <v>19.388647482735688</v>
      </c>
      <c r="Z185" s="329">
        <f>Z184*0.29</f>
        <v>25.423510153567079</v>
      </c>
      <c r="AA185" s="328">
        <f>Y185+Z185</f>
        <v>44.812157636302771</v>
      </c>
      <c r="AB185" s="329">
        <f>AB184*0.29</f>
        <v>24.519380911227181</v>
      </c>
      <c r="AC185" s="329">
        <f>AC184*0.29</f>
        <v>29.858944903141051</v>
      </c>
      <c r="AD185" s="328">
        <f>AB185+AC185</f>
        <v>54.378325814368232</v>
      </c>
      <c r="AE185" s="329">
        <f>AE184*0.29</f>
        <v>31.252463635063044</v>
      </c>
      <c r="AF185" s="625">
        <f>AF184*0.29</f>
        <v>25.734668701184507</v>
      </c>
      <c r="AG185" s="328">
        <f>AE185+AF185</f>
        <v>56.987132336247555</v>
      </c>
      <c r="AH185" s="329">
        <f>AH184*-13/65</f>
        <v>2.8867730629940356</v>
      </c>
      <c r="AI185" s="329">
        <f>AI184*-10/63</f>
        <v>1.9631073957915683</v>
      </c>
      <c r="AJ185" s="328">
        <f>AH185+AI185</f>
        <v>4.8498804587856039</v>
      </c>
      <c r="AK185" s="329">
        <f>AK184*-12/58</f>
        <v>1.0252470478922475</v>
      </c>
      <c r="AL185" s="329">
        <f>AL184*-12/58</f>
        <v>1.5634904313251139</v>
      </c>
      <c r="AM185" s="328">
        <f>AK185+AL185</f>
        <v>2.5887374792173614</v>
      </c>
      <c r="AN185" s="329">
        <f>AN184*0.29</f>
        <v>-2.390769133247848</v>
      </c>
      <c r="AO185" s="329">
        <f>AO184*0.29</f>
        <v>-2.6010983603112665</v>
      </c>
      <c r="AP185" s="328">
        <f>AN185+AO185</f>
        <v>-4.9918674935591145</v>
      </c>
      <c r="AQ185" s="329">
        <f>AQ184*0.29</f>
        <v>-2.8230044980030948</v>
      </c>
      <c r="AR185" s="329">
        <f>AR184*0.29</f>
        <v>-3.0570350009272125</v>
      </c>
      <c r="AS185" s="328">
        <f>AQ185+AR185</f>
        <v>-5.8800394989303069</v>
      </c>
      <c r="AT185" s="329">
        <f>AT184*0.29</f>
        <v>-3.3037613529224465</v>
      </c>
      <c r="AU185" s="329">
        <f>AU184*0.29</f>
        <v>-3.5637800769523018</v>
      </c>
      <c r="AV185" s="328">
        <f>AT185+AU185</f>
        <v>-6.8675414298747484</v>
      </c>
      <c r="AW185" s="329">
        <f>AW184*0.29</f>
        <v>-3.8377137862738526</v>
      </c>
      <c r="AX185" s="329">
        <f>AX184*0.29</f>
        <v>-4.1262122785415425</v>
      </c>
      <c r="AY185" s="328">
        <f>AW185+AX185</f>
        <v>-7.9639260648153947</v>
      </c>
      <c r="AZ185" s="329">
        <f>AZ184*0.29</f>
        <v>-4.4299536745670842</v>
      </c>
      <c r="BA185" s="329">
        <f>BA184*0.29</f>
        <v>-4.7496456035248258</v>
      </c>
      <c r="BB185" s="328">
        <f>AZ185+BA185</f>
        <v>-9.17959927809191</v>
      </c>
      <c r="BC185" s="329">
        <f>BC184*0.29</f>
        <v>-5.0860264364626877</v>
      </c>
      <c r="BD185" s="329">
        <f>BD184*0.29</f>
        <v>-5.4398665700523061</v>
      </c>
      <c r="BE185" s="328">
        <f>BC185+BD185</f>
        <v>-10.525893006514995</v>
      </c>
    </row>
    <row r="186" spans="2:57" outlineLevel="1">
      <c r="B186" s="243" t="s">
        <v>2303</v>
      </c>
      <c r="C186" s="299">
        <f t="shared" ref="C186:AM186" si="206">C184+C185</f>
        <v>82</v>
      </c>
      <c r="D186" s="300">
        <f t="shared" si="206"/>
        <v>32</v>
      </c>
      <c r="E186" s="300">
        <f t="shared" si="206"/>
        <v>44</v>
      </c>
      <c r="F186" s="304">
        <f t="shared" si="206"/>
        <v>76</v>
      </c>
      <c r="G186" s="243">
        <f t="shared" si="206"/>
        <v>64</v>
      </c>
      <c r="H186" s="300">
        <f t="shared" si="206"/>
        <v>64</v>
      </c>
      <c r="I186" s="304">
        <f t="shared" si="206"/>
        <v>128</v>
      </c>
      <c r="J186" s="300">
        <f t="shared" si="206"/>
        <v>58</v>
      </c>
      <c r="K186" s="300">
        <f>K184+K185</f>
        <v>74</v>
      </c>
      <c r="L186" s="304">
        <f>L184+L185</f>
        <v>132</v>
      </c>
      <c r="M186" s="300">
        <f>M184+M185</f>
        <v>47</v>
      </c>
      <c r="N186" s="300">
        <f>N184+N185</f>
        <v>74.400000000000006</v>
      </c>
      <c r="O186" s="304">
        <f>O184+O185</f>
        <v>121.4</v>
      </c>
      <c r="P186" s="300">
        <f t="shared" si="206"/>
        <v>49.497267759562831</v>
      </c>
      <c r="Q186" s="300">
        <f t="shared" si="206"/>
        <v>46.791791023893019</v>
      </c>
      <c r="R186" s="304">
        <f>R184+R185</f>
        <v>96.289058783455857</v>
      </c>
      <c r="S186" s="300">
        <f t="shared" si="206"/>
        <v>51.048832433254731</v>
      </c>
      <c r="T186" s="300">
        <f t="shared" si="206"/>
        <v>36.150544513785803</v>
      </c>
      <c r="U186" s="304">
        <f>U184+U185</f>
        <v>87.199376947040534</v>
      </c>
      <c r="V186" s="300">
        <f t="shared" si="206"/>
        <v>72.788245930399015</v>
      </c>
      <c r="W186" s="300">
        <f t="shared" si="206"/>
        <v>86.977043329264347</v>
      </c>
      <c r="X186" s="304">
        <f t="shared" si="206"/>
        <v>159.76528925966335</v>
      </c>
      <c r="Y186" s="300">
        <f t="shared" si="206"/>
        <v>86.246052595617385</v>
      </c>
      <c r="Z186" s="300">
        <f t="shared" si="206"/>
        <v>113.09078654517771</v>
      </c>
      <c r="AA186" s="304">
        <f t="shared" si="206"/>
        <v>199.33683914079509</v>
      </c>
      <c r="AB186" s="300">
        <f t="shared" si="206"/>
        <v>109.06897026028642</v>
      </c>
      <c r="AC186" s="300">
        <f t="shared" si="206"/>
        <v>132.82082387948952</v>
      </c>
      <c r="AD186" s="304">
        <f t="shared" si="206"/>
        <v>241.88979413977592</v>
      </c>
      <c r="AE186" s="300">
        <f t="shared" si="206"/>
        <v>139.01957961803907</v>
      </c>
      <c r="AF186" s="615">
        <f t="shared" si="206"/>
        <v>114.47490560182074</v>
      </c>
      <c r="AG186" s="304">
        <f t="shared" si="206"/>
        <v>253.49448521985983</v>
      </c>
      <c r="AH186" s="300">
        <f>AH184+AH185</f>
        <v>-11.547092251976142</v>
      </c>
      <c r="AI186" s="300">
        <f t="shared" si="206"/>
        <v>-10.404469197695313</v>
      </c>
      <c r="AJ186" s="304">
        <f t="shared" si="206"/>
        <v>-21.951561449671459</v>
      </c>
      <c r="AK186" s="300">
        <f t="shared" si="206"/>
        <v>-3.9301136835869483</v>
      </c>
      <c r="AL186" s="300">
        <f>AL184+AL185</f>
        <v>-5.9933799867462696</v>
      </c>
      <c r="AM186" s="304">
        <f t="shared" si="206"/>
        <v>-9.9234936703332259</v>
      </c>
      <c r="AN186" s="300">
        <f t="shared" ref="AN186:BB186" si="207">AN184+AN185</f>
        <v>-10.634800627205944</v>
      </c>
      <c r="AO186" s="300">
        <f t="shared" si="207"/>
        <v>-11.570403051039772</v>
      </c>
      <c r="AP186" s="304">
        <f t="shared" si="207"/>
        <v>-22.205203678245724</v>
      </c>
      <c r="AQ186" s="300">
        <f t="shared" si="207"/>
        <v>-12.557502766979283</v>
      </c>
      <c r="AR186" s="300">
        <f t="shared" si="207"/>
        <v>-13.598535004124498</v>
      </c>
      <c r="AS186" s="304">
        <f t="shared" si="207"/>
        <v>-26.156037771103776</v>
      </c>
      <c r="AT186" s="300">
        <f t="shared" si="207"/>
        <v>-14.696041880241228</v>
      </c>
      <c r="AU186" s="300">
        <f t="shared" si="207"/>
        <v>-15.852676894029205</v>
      </c>
      <c r="AV186" s="304">
        <f t="shared" si="207"/>
        <v>-30.548718774270426</v>
      </c>
      <c r="AW186" s="300">
        <f t="shared" si="207"/>
        <v>-17.071209601011276</v>
      </c>
      <c r="AX186" s="300">
        <f t="shared" si="207"/>
        <v>-18.354530480408933</v>
      </c>
      <c r="AY186" s="304">
        <f t="shared" si="207"/>
        <v>-35.425740081420216</v>
      </c>
      <c r="AZ186" s="300">
        <f t="shared" si="207"/>
        <v>-19.705656000660479</v>
      </c>
      <c r="BA186" s="300">
        <f t="shared" si="207"/>
        <v>-21.127733891541467</v>
      </c>
      <c r="BB186" s="304">
        <f t="shared" si="207"/>
        <v>-40.833389892201936</v>
      </c>
      <c r="BC186" s="300">
        <f>BC184+BC185</f>
        <v>-22.624048631161614</v>
      </c>
      <c r="BD186" s="300">
        <f>BD184+BD185</f>
        <v>-24.198027156439569</v>
      </c>
      <c r="BE186" s="304">
        <f>BE184+BE185</f>
        <v>-46.822075787601165</v>
      </c>
    </row>
    <row r="187" spans="2:57" outlineLevel="1">
      <c r="B187" s="246" t="s">
        <v>2304</v>
      </c>
      <c r="C187" s="287"/>
      <c r="D187" s="296"/>
      <c r="E187" s="296"/>
      <c r="F187" s="310"/>
      <c r="I187" s="287"/>
      <c r="L187" s="287"/>
      <c r="O187" s="287"/>
      <c r="R187" s="287"/>
      <c r="S187" s="246">
        <v>-6</v>
      </c>
      <c r="T187" s="246">
        <f>U187-S187</f>
        <v>-5</v>
      </c>
      <c r="U187" s="287">
        <v>-11</v>
      </c>
      <c r="V187" s="246">
        <v>3</v>
      </c>
      <c r="W187" s="246">
        <v>3</v>
      </c>
      <c r="X187" s="287">
        <f>V187+W187</f>
        <v>6</v>
      </c>
      <c r="Y187" s="246">
        <v>0</v>
      </c>
      <c r="Z187" s="246">
        <f>5-Y187</f>
        <v>5</v>
      </c>
      <c r="AA187" s="287">
        <f>Y187+Z187</f>
        <v>5</v>
      </c>
      <c r="AD187" s="287"/>
      <c r="AF187" s="613"/>
      <c r="AG187" s="287"/>
      <c r="AJ187" s="287"/>
      <c r="AM187" s="287"/>
      <c r="AP187" s="287"/>
      <c r="AS187" s="287"/>
      <c r="AV187" s="287"/>
      <c r="AY187" s="287"/>
      <c r="BB187" s="287"/>
      <c r="BE187" s="287"/>
    </row>
    <row r="188" spans="2:57" outlineLevel="1">
      <c r="B188" s="246" t="s">
        <v>2305</v>
      </c>
      <c r="C188" s="287"/>
      <c r="D188" s="296"/>
      <c r="E188" s="296"/>
      <c r="F188" s="310"/>
      <c r="I188" s="287"/>
      <c r="L188" s="287"/>
      <c r="O188" s="287"/>
      <c r="R188" s="287"/>
      <c r="S188" s="246">
        <v>1</v>
      </c>
      <c r="T188" s="246">
        <f>U188-S188</f>
        <v>-6</v>
      </c>
      <c r="U188" s="287">
        <f>U189-U187</f>
        <v>-5</v>
      </c>
      <c r="V188" s="296">
        <f t="shared" ref="V188:AA188" si="208">V189-V187</f>
        <v>-1</v>
      </c>
      <c r="W188" s="296">
        <f t="shared" si="208"/>
        <v>0</v>
      </c>
      <c r="X188" s="310">
        <f t="shared" si="208"/>
        <v>-1</v>
      </c>
      <c r="Y188" s="296">
        <f t="shared" si="208"/>
        <v>3.5187785885697056</v>
      </c>
      <c r="Z188" s="296">
        <f t="shared" si="208"/>
        <v>1.4730494396568643</v>
      </c>
      <c r="AA188" s="310">
        <f t="shared" si="208"/>
        <v>4.9918280282265695</v>
      </c>
      <c r="AD188" s="287"/>
      <c r="AF188" s="613"/>
      <c r="AG188" s="287"/>
      <c r="AJ188" s="287"/>
      <c r="AM188" s="287"/>
      <c r="AP188" s="287"/>
      <c r="AS188" s="287"/>
      <c r="AV188" s="287"/>
      <c r="AY188" s="287"/>
      <c r="BB188" s="287"/>
      <c r="BE188" s="287"/>
    </row>
    <row r="189" spans="2:57" outlineLevel="1">
      <c r="B189" s="246" t="s">
        <v>2306</v>
      </c>
      <c r="C189" s="287">
        <v>17</v>
      </c>
      <c r="D189" s="296">
        <v>9</v>
      </c>
      <c r="E189" s="296">
        <f>F189-D189</f>
        <v>8</v>
      </c>
      <c r="F189" s="310">
        <v>17</v>
      </c>
      <c r="G189" s="246">
        <v>8</v>
      </c>
      <c r="H189" s="246">
        <v>17</v>
      </c>
      <c r="I189" s="287">
        <f>H189+G189</f>
        <v>25</v>
      </c>
      <c r="J189" s="246">
        <v>18</v>
      </c>
      <c r="K189" s="246">
        <f>L189-J189</f>
        <v>0</v>
      </c>
      <c r="L189" s="287">
        <v>18</v>
      </c>
      <c r="M189" s="246">
        <f>+O189-N189</f>
        <v>-2</v>
      </c>
      <c r="N189" s="246">
        <v>3</v>
      </c>
      <c r="O189" s="287">
        <v>1</v>
      </c>
      <c r="P189" s="246">
        <v>0</v>
      </c>
      <c r="Q189" s="246">
        <f>+R189-P189</f>
        <v>1</v>
      </c>
      <c r="R189" s="287">
        <v>1</v>
      </c>
      <c r="S189" s="296">
        <v>-4.5999999999999996</v>
      </c>
      <c r="T189" s="296">
        <f>U189-S189</f>
        <v>-11.4</v>
      </c>
      <c r="U189" s="287">
        <v>-16</v>
      </c>
      <c r="V189" s="296">
        <v>2</v>
      </c>
      <c r="W189" s="296">
        <v>3</v>
      </c>
      <c r="X189" s="287">
        <f>V189+W189</f>
        <v>5</v>
      </c>
      <c r="Y189" s="296">
        <f>4/Model!AB25</f>
        <v>3.5187785885697056</v>
      </c>
      <c r="Z189" s="296">
        <f>7/Model!AC25</f>
        <v>6.4730494396568643</v>
      </c>
      <c r="AA189" s="310">
        <f>Y189+Z189</f>
        <v>9.9918280282265695</v>
      </c>
      <c r="AD189" s="287"/>
      <c r="AF189" s="613"/>
      <c r="AG189" s="287"/>
      <c r="AJ189" s="287"/>
      <c r="AM189" s="287"/>
      <c r="AP189" s="287"/>
      <c r="AS189" s="287"/>
      <c r="AV189" s="287"/>
      <c r="AY189" s="287"/>
      <c r="BB189" s="287"/>
      <c r="BE189" s="287"/>
    </row>
    <row r="190" spans="2:57" outlineLevel="1">
      <c r="B190" s="243" t="s">
        <v>2307</v>
      </c>
      <c r="C190" s="299">
        <f t="shared" ref="C190:S190" si="209">C186+C189</f>
        <v>99</v>
      </c>
      <c r="D190" s="300">
        <f t="shared" si="209"/>
        <v>41</v>
      </c>
      <c r="E190" s="300">
        <f t="shared" si="209"/>
        <v>52</v>
      </c>
      <c r="F190" s="304">
        <f t="shared" si="209"/>
        <v>93</v>
      </c>
      <c r="G190" s="243">
        <f t="shared" si="209"/>
        <v>72</v>
      </c>
      <c r="H190" s="243">
        <f t="shared" si="209"/>
        <v>81</v>
      </c>
      <c r="I190" s="299">
        <f t="shared" si="209"/>
        <v>153</v>
      </c>
      <c r="J190" s="243">
        <f t="shared" si="209"/>
        <v>76</v>
      </c>
      <c r="K190" s="300">
        <f t="shared" si="209"/>
        <v>74</v>
      </c>
      <c r="L190" s="304">
        <f t="shared" si="209"/>
        <v>150</v>
      </c>
      <c r="M190" s="243">
        <f t="shared" si="209"/>
        <v>45</v>
      </c>
      <c r="N190" s="300">
        <f t="shared" si="209"/>
        <v>77.400000000000006</v>
      </c>
      <c r="O190" s="304">
        <f t="shared" si="209"/>
        <v>122.4</v>
      </c>
      <c r="P190" s="300">
        <f t="shared" si="209"/>
        <v>49.497267759562831</v>
      </c>
      <c r="Q190" s="300">
        <f t="shared" si="209"/>
        <v>47.791791023893019</v>
      </c>
      <c r="R190" s="304">
        <f t="shared" si="209"/>
        <v>97.289058783455857</v>
      </c>
      <c r="S190" s="330">
        <f t="shared" si="209"/>
        <v>46.448832433254729</v>
      </c>
      <c r="T190" s="300">
        <f>U190-S190</f>
        <v>24.750544513785805</v>
      </c>
      <c r="U190" s="304">
        <f t="shared" ref="U190:Z190" si="210">U186+U189</f>
        <v>71.199376947040534</v>
      </c>
      <c r="V190" s="330">
        <f t="shared" si="210"/>
        <v>74.788245930399015</v>
      </c>
      <c r="W190" s="300">
        <f t="shared" si="210"/>
        <v>89.977043329264347</v>
      </c>
      <c r="X190" s="299">
        <f>V190+W190</f>
        <v>164.76528925966335</v>
      </c>
      <c r="Y190" s="330">
        <f t="shared" si="210"/>
        <v>89.764831184187088</v>
      </c>
      <c r="Z190" s="300">
        <f t="shared" si="210"/>
        <v>119.56383598483457</v>
      </c>
      <c r="AA190" s="304">
        <f>Y190+Z190</f>
        <v>209.32866716902166</v>
      </c>
      <c r="AB190" s="243"/>
      <c r="AC190" s="243"/>
      <c r="AD190" s="299"/>
      <c r="AE190" s="243"/>
      <c r="AF190" s="616"/>
      <c r="AG190" s="299"/>
      <c r="AH190" s="243"/>
      <c r="AI190" s="243"/>
      <c r="AJ190" s="299"/>
      <c r="AK190" s="243"/>
      <c r="AL190" s="243"/>
      <c r="AM190" s="299"/>
      <c r="AN190" s="243"/>
      <c r="AO190" s="243"/>
      <c r="AP190" s="299"/>
      <c r="AQ190" s="243"/>
      <c r="AR190" s="243"/>
      <c r="AS190" s="299"/>
      <c r="AT190" s="243"/>
      <c r="AU190" s="243"/>
      <c r="AV190" s="299"/>
      <c r="AW190" s="243"/>
      <c r="AX190" s="243"/>
      <c r="AY190" s="299"/>
      <c r="AZ190" s="243"/>
      <c r="BA190" s="243"/>
      <c r="BB190" s="299"/>
      <c r="BC190" s="243"/>
      <c r="BD190" s="243"/>
      <c r="BE190" s="299"/>
    </row>
    <row r="191" spans="2:57" outlineLevel="1">
      <c r="C191" s="287"/>
      <c r="D191" s="296"/>
      <c r="E191" s="296"/>
      <c r="F191" s="310"/>
      <c r="I191" s="287"/>
      <c r="L191" s="287"/>
      <c r="O191" s="287"/>
      <c r="R191" s="287"/>
      <c r="U191" s="287"/>
      <c r="X191" s="287"/>
      <c r="AA191" s="287"/>
      <c r="AD191" s="287"/>
      <c r="AF191" s="613"/>
      <c r="AG191" s="287"/>
      <c r="AJ191" s="287"/>
      <c r="AM191" s="287"/>
      <c r="AP191" s="287"/>
      <c r="AS191" s="287"/>
      <c r="AV191" s="287"/>
      <c r="AY191" s="287"/>
      <c r="BB191" s="287"/>
      <c r="BE191" s="287"/>
    </row>
    <row r="192" spans="2:57" outlineLevel="1">
      <c r="B192" s="293" t="s">
        <v>2320</v>
      </c>
      <c r="C192" s="287"/>
      <c r="F192" s="287"/>
      <c r="I192" s="287"/>
      <c r="L192" s="287"/>
      <c r="O192" s="287"/>
      <c r="R192" s="287"/>
      <c r="U192" s="287"/>
      <c r="X192" s="287"/>
      <c r="AA192" s="287"/>
      <c r="AD192" s="287"/>
      <c r="AF192" s="613"/>
      <c r="AG192" s="287"/>
      <c r="AJ192" s="287"/>
      <c r="AM192" s="287"/>
      <c r="AP192" s="287"/>
      <c r="AS192" s="287"/>
      <c r="AV192" s="287"/>
      <c r="AY192" s="287"/>
      <c r="BB192" s="287"/>
      <c r="BE192" s="287"/>
    </row>
    <row r="193" spans="2:57" outlineLevel="1">
      <c r="B193" s="246" t="s">
        <v>2321</v>
      </c>
      <c r="C193" s="287"/>
      <c r="D193" s="246">
        <v>37</v>
      </c>
      <c r="E193" s="246">
        <f t="shared" ref="E193:E198" si="211">F193-D193</f>
        <v>38</v>
      </c>
      <c r="F193" s="287">
        <f>D193+38</f>
        <v>75</v>
      </c>
      <c r="G193" s="246">
        <v>38</v>
      </c>
      <c r="H193" s="246">
        <v>38</v>
      </c>
      <c r="I193" s="287">
        <f t="shared" ref="I193:I198" si="212">G193+H193</f>
        <v>76</v>
      </c>
      <c r="J193" s="246">
        <v>36</v>
      </c>
      <c r="K193" s="246">
        <v>36</v>
      </c>
      <c r="L193" s="287">
        <f t="shared" ref="L193:L198" si="213">J193+K193</f>
        <v>72</v>
      </c>
      <c r="M193" s="246">
        <v>27</v>
      </c>
      <c r="O193" s="287"/>
      <c r="R193" s="287"/>
      <c r="U193" s="287"/>
      <c r="X193" s="287"/>
      <c r="AA193" s="287"/>
      <c r="AD193" s="287"/>
      <c r="AF193" s="613"/>
      <c r="AG193" s="287"/>
      <c r="AJ193" s="287"/>
      <c r="AM193" s="287"/>
      <c r="AP193" s="287"/>
      <c r="AS193" s="287"/>
      <c r="AV193" s="287"/>
      <c r="AY193" s="287"/>
      <c r="BB193" s="287"/>
      <c r="BE193" s="287"/>
    </row>
    <row r="194" spans="2:57" outlineLevel="1">
      <c r="B194" s="246" t="s">
        <v>2322</v>
      </c>
      <c r="C194" s="287"/>
      <c r="D194" s="246">
        <v>6</v>
      </c>
      <c r="E194" s="246">
        <f t="shared" si="211"/>
        <v>12</v>
      </c>
      <c r="F194" s="287">
        <f>D194+12</f>
        <v>18</v>
      </c>
      <c r="G194" s="246">
        <v>1</v>
      </c>
      <c r="H194" s="246">
        <v>10</v>
      </c>
      <c r="I194" s="287">
        <f t="shared" si="212"/>
        <v>11</v>
      </c>
      <c r="J194" s="246">
        <v>1</v>
      </c>
      <c r="K194" s="246">
        <v>18</v>
      </c>
      <c r="L194" s="287">
        <f t="shared" si="213"/>
        <v>19</v>
      </c>
      <c r="M194" s="246">
        <v>-6</v>
      </c>
      <c r="O194" s="287"/>
      <c r="R194" s="287"/>
      <c r="U194" s="287"/>
      <c r="X194" s="287"/>
      <c r="AA194" s="287"/>
      <c r="AD194" s="287"/>
      <c r="AF194" s="613"/>
      <c r="AG194" s="287"/>
      <c r="AJ194" s="287"/>
      <c r="AM194" s="287"/>
      <c r="AP194" s="287"/>
      <c r="AS194" s="287"/>
      <c r="AV194" s="287"/>
      <c r="AY194" s="287"/>
      <c r="BB194" s="287"/>
      <c r="BE194" s="287"/>
    </row>
    <row r="195" spans="2:57" outlineLevel="1">
      <c r="B195" s="246" t="s">
        <v>2323</v>
      </c>
      <c r="C195" s="287"/>
      <c r="D195" s="246">
        <v>0</v>
      </c>
      <c r="E195" s="246">
        <f t="shared" si="211"/>
        <v>0</v>
      </c>
      <c r="F195" s="287">
        <f>D195+0</f>
        <v>0</v>
      </c>
      <c r="G195" s="246">
        <v>0</v>
      </c>
      <c r="H195" s="246">
        <v>0</v>
      </c>
      <c r="I195" s="287">
        <f t="shared" si="212"/>
        <v>0</v>
      </c>
      <c r="J195" s="246">
        <v>0</v>
      </c>
      <c r="K195" s="246">
        <v>0</v>
      </c>
      <c r="L195" s="287">
        <f t="shared" si="213"/>
        <v>0</v>
      </c>
      <c r="M195" s="246">
        <v>0</v>
      </c>
      <c r="O195" s="287"/>
      <c r="R195" s="287"/>
      <c r="U195" s="287"/>
      <c r="X195" s="287"/>
      <c r="AA195" s="287"/>
      <c r="AD195" s="287"/>
      <c r="AF195" s="613"/>
      <c r="AG195" s="287"/>
      <c r="AJ195" s="287"/>
      <c r="AM195" s="287"/>
      <c r="AP195" s="287"/>
      <c r="AS195" s="287"/>
      <c r="AV195" s="287"/>
      <c r="AY195" s="287"/>
      <c r="BB195" s="287"/>
      <c r="BE195" s="287"/>
    </row>
    <row r="196" spans="2:57" outlineLevel="1">
      <c r="B196" s="243" t="s">
        <v>2324</v>
      </c>
      <c r="C196" s="287"/>
      <c r="D196" s="243">
        <f>SUM(D193:D195)</f>
        <v>43</v>
      </c>
      <c r="E196" s="243">
        <f t="shared" si="211"/>
        <v>50</v>
      </c>
      <c r="F196" s="299">
        <f>SUM(F193:F195)</f>
        <v>93</v>
      </c>
      <c r="G196" s="243">
        <f>SUM(G193:G195)</f>
        <v>39</v>
      </c>
      <c r="H196" s="243">
        <f>SUM(H193:H195)</f>
        <v>48</v>
      </c>
      <c r="I196" s="299">
        <f t="shared" si="212"/>
        <v>87</v>
      </c>
      <c r="J196" s="243">
        <f>SUM(J193:J195)</f>
        <v>37</v>
      </c>
      <c r="K196" s="243">
        <f>SUM(K193:K195)</f>
        <v>54</v>
      </c>
      <c r="L196" s="299">
        <f t="shared" si="213"/>
        <v>91</v>
      </c>
      <c r="M196" s="243">
        <f>SUM(M193:M195)</f>
        <v>21</v>
      </c>
      <c r="O196" s="287"/>
      <c r="R196" s="287"/>
      <c r="U196" s="287"/>
      <c r="X196" s="287"/>
      <c r="AA196" s="287"/>
      <c r="AD196" s="287"/>
      <c r="AF196" s="613"/>
      <c r="AG196" s="287"/>
      <c r="AJ196" s="287"/>
      <c r="AM196" s="287"/>
      <c r="AP196" s="287"/>
      <c r="AS196" s="287"/>
      <c r="AV196" s="287"/>
      <c r="AY196" s="287"/>
      <c r="BB196" s="287"/>
      <c r="BE196" s="287"/>
    </row>
    <row r="197" spans="2:57" outlineLevel="1">
      <c r="B197" s="246" t="s">
        <v>2306</v>
      </c>
      <c r="C197" s="287"/>
      <c r="D197" s="246">
        <v>11</v>
      </c>
      <c r="E197" s="246">
        <f t="shared" si="211"/>
        <v>13</v>
      </c>
      <c r="F197" s="287">
        <f>D197+13</f>
        <v>24</v>
      </c>
      <c r="G197" s="246">
        <v>32</v>
      </c>
      <c r="H197" s="246">
        <v>9</v>
      </c>
      <c r="I197" s="287">
        <f t="shared" si="212"/>
        <v>41</v>
      </c>
      <c r="J197" s="246">
        <v>19</v>
      </c>
      <c r="K197" s="246">
        <v>0</v>
      </c>
      <c r="L197" s="287">
        <f t="shared" si="213"/>
        <v>19</v>
      </c>
      <c r="M197" s="246">
        <v>3</v>
      </c>
      <c r="O197" s="287"/>
      <c r="R197" s="287"/>
      <c r="U197" s="287"/>
      <c r="X197" s="287"/>
      <c r="AA197" s="287"/>
      <c r="AD197" s="287"/>
      <c r="AF197" s="613"/>
      <c r="AG197" s="287"/>
      <c r="AJ197" s="287"/>
      <c r="AM197" s="287"/>
      <c r="AP197" s="287"/>
      <c r="AS197" s="287"/>
      <c r="AV197" s="287"/>
      <c r="AY197" s="287"/>
      <c r="BB197" s="287"/>
      <c r="BE197" s="287"/>
    </row>
    <row r="198" spans="2:57" outlineLevel="1">
      <c r="B198" s="243" t="s">
        <v>2307</v>
      </c>
      <c r="C198" s="287"/>
      <c r="D198" s="243">
        <f>D196+D197</f>
        <v>54</v>
      </c>
      <c r="E198" s="243">
        <f t="shared" si="211"/>
        <v>63</v>
      </c>
      <c r="F198" s="299">
        <f>F196+F197</f>
        <v>117</v>
      </c>
      <c r="G198" s="243">
        <f>G196+G197</f>
        <v>71</v>
      </c>
      <c r="H198" s="243">
        <f>H196+H197</f>
        <v>57</v>
      </c>
      <c r="I198" s="299">
        <f t="shared" si="212"/>
        <v>128</v>
      </c>
      <c r="J198" s="243">
        <f>J196+J197</f>
        <v>56</v>
      </c>
      <c r="K198" s="243">
        <f>K196+K197</f>
        <v>54</v>
      </c>
      <c r="L198" s="299">
        <f t="shared" si="213"/>
        <v>110</v>
      </c>
      <c r="M198" s="243">
        <f>M196+M197</f>
        <v>24</v>
      </c>
      <c r="O198" s="287"/>
      <c r="R198" s="287"/>
      <c r="U198" s="287"/>
      <c r="X198" s="287"/>
      <c r="AA198" s="287"/>
      <c r="AD198" s="287"/>
      <c r="AF198" s="613"/>
      <c r="AG198" s="287"/>
      <c r="AJ198" s="287"/>
      <c r="AM198" s="287"/>
      <c r="AP198" s="287"/>
      <c r="AS198" s="287"/>
      <c r="AV198" s="287"/>
      <c r="AY198" s="287"/>
      <c r="BB198" s="287"/>
      <c r="BE198" s="287"/>
    </row>
    <row r="199" spans="2:57" outlineLevel="1">
      <c r="C199" s="287"/>
      <c r="F199" s="287"/>
      <c r="I199" s="287"/>
      <c r="L199" s="287"/>
      <c r="O199" s="287"/>
      <c r="R199" s="287"/>
      <c r="U199" s="287"/>
      <c r="X199" s="287"/>
      <c r="AA199" s="287"/>
      <c r="AD199" s="287"/>
      <c r="AF199" s="613"/>
      <c r="AG199" s="287"/>
      <c r="AJ199" s="287"/>
      <c r="AM199" s="287"/>
      <c r="AP199" s="287"/>
      <c r="AS199" s="287"/>
      <c r="AV199" s="287"/>
      <c r="AY199" s="287"/>
      <c r="BB199" s="287"/>
      <c r="BE199" s="287"/>
    </row>
    <row r="200" spans="2:57" outlineLevel="1">
      <c r="B200" s="293" t="s">
        <v>2325</v>
      </c>
      <c r="C200" s="287"/>
      <c r="F200" s="287"/>
      <c r="I200" s="287"/>
      <c r="L200" s="287"/>
      <c r="O200" s="287"/>
      <c r="R200" s="287"/>
      <c r="U200" s="287"/>
      <c r="X200" s="287"/>
      <c r="AA200" s="287"/>
      <c r="AD200" s="287"/>
      <c r="AF200" s="613"/>
      <c r="AG200" s="287"/>
      <c r="AJ200" s="287"/>
      <c r="AM200" s="287"/>
      <c r="AP200" s="287"/>
      <c r="AS200" s="287"/>
      <c r="AV200" s="287"/>
      <c r="AY200" s="287"/>
      <c r="BB200" s="287"/>
      <c r="BE200" s="287"/>
    </row>
    <row r="201" spans="2:57" outlineLevel="1">
      <c r="B201" s="243" t="s">
        <v>2303</v>
      </c>
      <c r="C201" s="287"/>
      <c r="D201" s="243">
        <f>D186-D196</f>
        <v>-11</v>
      </c>
      <c r="E201" s="243">
        <f>F201-D201</f>
        <v>-6</v>
      </c>
      <c r="F201" s="299">
        <f t="shared" ref="F201:L201" si="214">F186-F196</f>
        <v>-17</v>
      </c>
      <c r="G201" s="243">
        <f t="shared" si="214"/>
        <v>25</v>
      </c>
      <c r="H201" s="243">
        <f t="shared" si="214"/>
        <v>16</v>
      </c>
      <c r="I201" s="299">
        <f t="shared" si="214"/>
        <v>41</v>
      </c>
      <c r="J201" s="243">
        <f t="shared" si="214"/>
        <v>21</v>
      </c>
      <c r="K201" s="243">
        <f t="shared" si="214"/>
        <v>20</v>
      </c>
      <c r="L201" s="299">
        <f t="shared" si="214"/>
        <v>41</v>
      </c>
      <c r="M201" s="243">
        <f>M186-M196</f>
        <v>26</v>
      </c>
      <c r="O201" s="287"/>
      <c r="R201" s="287"/>
      <c r="U201" s="287"/>
      <c r="X201" s="287"/>
      <c r="AA201" s="287"/>
      <c r="AD201" s="287"/>
      <c r="AF201" s="613"/>
      <c r="AG201" s="287"/>
      <c r="AJ201" s="287"/>
      <c r="AM201" s="287"/>
      <c r="AP201" s="287"/>
      <c r="AS201" s="287"/>
      <c r="AV201" s="287"/>
      <c r="AY201" s="287"/>
      <c r="BB201" s="287"/>
      <c r="BE201" s="287"/>
    </row>
    <row r="202" spans="2:57" outlineLevel="1">
      <c r="B202" s="246" t="s">
        <v>2306</v>
      </c>
      <c r="C202" s="287"/>
      <c r="D202" s="246">
        <f>D189-D197</f>
        <v>-2</v>
      </c>
      <c r="E202" s="246">
        <f>F202-D202</f>
        <v>-5</v>
      </c>
      <c r="F202" s="287">
        <f t="shared" ref="F202:L203" si="215">F189-F197</f>
        <v>-7</v>
      </c>
      <c r="G202" s="246">
        <f t="shared" si="215"/>
        <v>-24</v>
      </c>
      <c r="H202" s="246">
        <f t="shared" si="215"/>
        <v>8</v>
      </c>
      <c r="I202" s="287">
        <f t="shared" si="215"/>
        <v>-16</v>
      </c>
      <c r="J202" s="246">
        <f t="shared" si="215"/>
        <v>-1</v>
      </c>
      <c r="K202" s="246">
        <f t="shared" si="215"/>
        <v>0</v>
      </c>
      <c r="L202" s="287">
        <f t="shared" si="215"/>
        <v>-1</v>
      </c>
      <c r="M202" s="246">
        <f>M189-M197</f>
        <v>-5</v>
      </c>
      <c r="O202" s="287"/>
      <c r="R202" s="287"/>
      <c r="U202" s="287"/>
      <c r="X202" s="287"/>
      <c r="AA202" s="287"/>
      <c r="AD202" s="287"/>
      <c r="AF202" s="613"/>
      <c r="AG202" s="287"/>
      <c r="AJ202" s="287"/>
      <c r="AM202" s="287"/>
      <c r="AP202" s="287"/>
      <c r="AS202" s="287"/>
      <c r="AV202" s="287"/>
      <c r="AY202" s="287"/>
      <c r="BB202" s="287"/>
      <c r="BE202" s="287"/>
    </row>
    <row r="203" spans="2:57" outlineLevel="1">
      <c r="B203" s="243" t="s">
        <v>2307</v>
      </c>
      <c r="C203" s="287"/>
      <c r="D203" s="243">
        <f>D190-D198</f>
        <v>-13</v>
      </c>
      <c r="E203" s="243">
        <f>F203-D203</f>
        <v>-11</v>
      </c>
      <c r="F203" s="299">
        <f t="shared" si="215"/>
        <v>-24</v>
      </c>
      <c r="G203" s="243">
        <f t="shared" si="215"/>
        <v>1</v>
      </c>
      <c r="H203" s="243">
        <f t="shared" si="215"/>
        <v>24</v>
      </c>
      <c r="I203" s="299">
        <f t="shared" si="215"/>
        <v>25</v>
      </c>
      <c r="J203" s="243">
        <f t="shared" si="215"/>
        <v>20</v>
      </c>
      <c r="K203" s="243">
        <f t="shared" si="215"/>
        <v>20</v>
      </c>
      <c r="L203" s="299">
        <f t="shared" si="215"/>
        <v>40</v>
      </c>
      <c r="M203" s="243">
        <f>M190-M198</f>
        <v>21</v>
      </c>
      <c r="O203" s="287"/>
      <c r="R203" s="287"/>
      <c r="U203" s="287"/>
      <c r="X203" s="287"/>
      <c r="AA203" s="287"/>
      <c r="AD203" s="287"/>
      <c r="AF203" s="613"/>
      <c r="AG203" s="287"/>
      <c r="AJ203" s="287"/>
      <c r="AM203" s="287"/>
      <c r="AP203" s="287"/>
      <c r="AS203" s="287"/>
      <c r="AV203" s="287"/>
      <c r="AY203" s="287"/>
      <c r="BB203" s="287"/>
      <c r="BE203" s="287"/>
    </row>
    <row r="204" spans="2:57" outlineLevel="1">
      <c r="C204" s="287"/>
      <c r="D204" s="296"/>
      <c r="E204" s="296"/>
      <c r="F204" s="310"/>
      <c r="I204" s="287"/>
      <c r="L204" s="287"/>
      <c r="O204" s="287"/>
      <c r="R204" s="287"/>
      <c r="U204" s="287"/>
      <c r="X204" s="287"/>
      <c r="AA204" s="287"/>
      <c r="AD204" s="287"/>
      <c r="AF204" s="613"/>
      <c r="AG204" s="287"/>
      <c r="AJ204" s="287"/>
      <c r="AM204" s="287"/>
      <c r="AP204" s="287"/>
      <c r="AS204" s="287"/>
      <c r="AV204" s="287"/>
      <c r="AY204" s="287"/>
      <c r="BB204" s="287"/>
      <c r="BE204" s="287"/>
    </row>
    <row r="205" spans="2:57" outlineLevel="1">
      <c r="B205" s="302" t="s">
        <v>2342</v>
      </c>
      <c r="C205" s="303"/>
      <c r="D205" s="243"/>
      <c r="E205" s="243"/>
      <c r="F205" s="299"/>
      <c r="G205" s="243"/>
      <c r="I205" s="287"/>
      <c r="L205" s="287"/>
      <c r="O205" s="287"/>
      <c r="R205" s="287"/>
      <c r="U205" s="287"/>
      <c r="X205" s="287"/>
      <c r="AA205" s="287"/>
      <c r="AD205" s="287"/>
      <c r="AF205" s="613"/>
      <c r="AG205" s="287"/>
      <c r="AJ205" s="287"/>
      <c r="AM205" s="287"/>
      <c r="AP205" s="287"/>
      <c r="AS205" s="287"/>
      <c r="AV205" s="287"/>
      <c r="AY205" s="287"/>
      <c r="BB205" s="287"/>
      <c r="BE205" s="287"/>
    </row>
    <row r="206" spans="2:57" outlineLevel="1">
      <c r="B206" s="243" t="s">
        <v>168</v>
      </c>
      <c r="C206" s="299">
        <v>302</v>
      </c>
      <c r="D206" s="243">
        <f>C206+D207+D208+D209</f>
        <v>352</v>
      </c>
      <c r="E206" s="243">
        <f>D206+E207+E208+E209</f>
        <v>379</v>
      </c>
      <c r="F206" s="299">
        <f>E206</f>
        <v>379</v>
      </c>
      <c r="G206" s="243">
        <f>F206+G207+G208+G209</f>
        <v>392</v>
      </c>
      <c r="H206" s="243">
        <f>G206+H207+H208+H209</f>
        <v>371</v>
      </c>
      <c r="I206" s="299">
        <f>H206</f>
        <v>371</v>
      </c>
      <c r="J206" s="243">
        <f>I206+J207+J208+J209</f>
        <v>416</v>
      </c>
      <c r="K206" s="243">
        <f>J206+K207+K208+K209</f>
        <v>415</v>
      </c>
      <c r="L206" s="299">
        <f>K206</f>
        <v>415</v>
      </c>
      <c r="M206" s="243">
        <f>L206+M207+M208+M209</f>
        <v>433</v>
      </c>
      <c r="N206" s="300">
        <f>M206+N207+N208+N209</f>
        <v>449.74833576879359</v>
      </c>
      <c r="O206" s="304">
        <f>N206</f>
        <v>449.74833576879359</v>
      </c>
      <c r="P206" s="300">
        <f>O206+P207+P208+P209</f>
        <v>432.9661982529434</v>
      </c>
      <c r="Q206" s="300">
        <f>+R206</f>
        <v>426.15384615384619</v>
      </c>
      <c r="R206" s="304">
        <f>+O206+SUM(R207:R209)</f>
        <v>426.15384615384619</v>
      </c>
      <c r="S206" s="300">
        <f>R206+S207+S208+S209</f>
        <v>441.36644218335863</v>
      </c>
      <c r="T206" s="300">
        <f>+U206</f>
        <v>454.82866043613706</v>
      </c>
      <c r="U206" s="304">
        <f>+R206+SUM(U207:U209)</f>
        <v>454.82866043613706</v>
      </c>
      <c r="V206" s="300">
        <f>+U206+V207+V208+V209</f>
        <v>468.31002443296501</v>
      </c>
      <c r="W206" s="300">
        <f>+V206+W207+W208+W209</f>
        <v>462.09607791426129</v>
      </c>
      <c r="X206" s="304">
        <f>W206</f>
        <v>462.09607791426129</v>
      </c>
      <c r="Y206" s="300">
        <f>+X206+Y207+Y208+Y209</f>
        <v>457.75912693609678</v>
      </c>
      <c r="AA206" s="287"/>
      <c r="AD206" s="287"/>
      <c r="AF206" s="613"/>
      <c r="AG206" s="287"/>
      <c r="AJ206" s="287"/>
      <c r="AM206" s="287"/>
      <c r="AP206" s="287"/>
      <c r="AS206" s="287"/>
      <c r="AV206" s="287"/>
      <c r="AY206" s="287"/>
      <c r="BB206" s="287"/>
      <c r="BE206" s="287"/>
    </row>
    <row r="207" spans="2:57" outlineLevel="1">
      <c r="B207" s="246" t="s">
        <v>2328</v>
      </c>
      <c r="C207" s="287"/>
      <c r="D207" s="246">
        <v>28</v>
      </c>
      <c r="E207" s="246">
        <v>27</v>
      </c>
      <c r="F207" s="299"/>
      <c r="G207" s="246">
        <v>29</v>
      </c>
      <c r="H207" s="246">
        <v>25</v>
      </c>
      <c r="I207" s="287">
        <f>G207+H207</f>
        <v>54</v>
      </c>
      <c r="J207" s="246">
        <v>32</v>
      </c>
      <c r="K207" s="246">
        <v>25</v>
      </c>
      <c r="L207" s="287">
        <f>J207+K207</f>
        <v>57</v>
      </c>
      <c r="M207" s="246">
        <v>27</v>
      </c>
      <c r="N207" s="296">
        <f>O207-M207</f>
        <v>51.746549764572165</v>
      </c>
      <c r="O207" s="310">
        <f>97/1.2318</f>
        <v>78.746549764572165</v>
      </c>
      <c r="P207" s="296">
        <f>45/1.281</f>
        <v>35.128805620608901</v>
      </c>
      <c r="Q207" s="296">
        <f>+R207-P207</f>
        <v>31.794271302468019</v>
      </c>
      <c r="R207" s="310">
        <f>87/1.3</f>
        <v>66.92307692307692</v>
      </c>
      <c r="S207" s="296">
        <f>50/1.3147</f>
        <v>38.031490073781093</v>
      </c>
      <c r="T207" s="296">
        <f>+U207-S207</f>
        <v>38.29249746515972</v>
      </c>
      <c r="U207" s="310">
        <f>98/1.284</f>
        <v>76.323987538940813</v>
      </c>
      <c r="V207" s="296">
        <f>52/1.261</f>
        <v>41.237113402061858</v>
      </c>
      <c r="W207" s="246">
        <f>48/Model!AA25</f>
        <v>39.241597885612535</v>
      </c>
      <c r="X207" s="287"/>
      <c r="Y207" s="246">
        <f>57/Model!AB25</f>
        <v>50.142594887118307</v>
      </c>
      <c r="AA207" s="287"/>
      <c r="AD207" s="287"/>
      <c r="AF207" s="613"/>
      <c r="AG207" s="287"/>
      <c r="AJ207" s="287"/>
      <c r="AM207" s="287"/>
      <c r="AP207" s="287"/>
      <c r="AS207" s="287"/>
      <c r="AV207" s="287"/>
      <c r="AY207" s="287"/>
      <c r="BB207" s="287"/>
      <c r="BE207" s="287"/>
    </row>
    <row r="208" spans="2:57" outlineLevel="1">
      <c r="B208" s="246" t="s">
        <v>2329</v>
      </c>
      <c r="C208" s="287"/>
      <c r="D208" s="246">
        <v>-7</v>
      </c>
      <c r="E208" s="246">
        <v>-7</v>
      </c>
      <c r="F208" s="299"/>
      <c r="G208" s="246">
        <v>-5</v>
      </c>
      <c r="H208" s="246">
        <v>-9</v>
      </c>
      <c r="I208" s="287">
        <f>G208+H208</f>
        <v>-14</v>
      </c>
      <c r="J208" s="246">
        <v>-9</v>
      </c>
      <c r="K208" s="246">
        <v>-10</v>
      </c>
      <c r="L208" s="287">
        <f>J208+K208</f>
        <v>-19</v>
      </c>
      <c r="M208" s="246">
        <v>-12</v>
      </c>
      <c r="N208" s="296">
        <f>O208-M208</f>
        <v>-35.897385939275857</v>
      </c>
      <c r="O208" s="310">
        <f>-59/1.2318</f>
        <v>-47.897385939275857</v>
      </c>
      <c r="P208" s="296">
        <f>-28/1.281</f>
        <v>-21.857923497267763</v>
      </c>
      <c r="Q208" s="296">
        <f>+R208-P208</f>
        <v>-20.449768810424544</v>
      </c>
      <c r="R208" s="310">
        <f>-55/1.3</f>
        <v>-42.307692307692307</v>
      </c>
      <c r="S208" s="296">
        <f>-29/1.3147</f>
        <v>-22.058264242793033</v>
      </c>
      <c r="T208" s="296">
        <f>+U208-S208</f>
        <v>-23.113075321069896</v>
      </c>
      <c r="U208" s="310">
        <f>-58/1.284</f>
        <v>-45.171339563862929</v>
      </c>
      <c r="V208" s="296">
        <f>-35/1.261</f>
        <v>-27.755749405233942</v>
      </c>
      <c r="W208" s="246">
        <f>-34/Model!AA26</f>
        <v>-45.455544404316257</v>
      </c>
      <c r="X208" s="287"/>
      <c r="Y208" s="246">
        <f>-37/Model!AB26</f>
        <v>-54.47954586528283</v>
      </c>
      <c r="AA208" s="287"/>
      <c r="AD208" s="287"/>
      <c r="AF208" s="613"/>
      <c r="AG208" s="287"/>
      <c r="AJ208" s="287"/>
      <c r="AM208" s="287"/>
      <c r="AP208" s="287"/>
      <c r="AS208" s="287"/>
      <c r="AV208" s="287"/>
      <c r="AY208" s="287"/>
      <c r="BB208" s="287"/>
      <c r="BE208" s="287"/>
    </row>
    <row r="209" spans="2:57" outlineLevel="1">
      <c r="B209" s="246" t="s">
        <v>271</v>
      </c>
      <c r="C209" s="287"/>
      <c r="D209" s="246">
        <v>29</v>
      </c>
      <c r="E209" s="246">
        <v>7</v>
      </c>
      <c r="F209" s="299"/>
      <c r="G209" s="246">
        <v>-11</v>
      </c>
      <c r="H209" s="246">
        <v>-37</v>
      </c>
      <c r="I209" s="287">
        <f>G209+H209</f>
        <v>-48</v>
      </c>
      <c r="J209" s="246">
        <v>22</v>
      </c>
      <c r="K209" s="246">
        <v>-16</v>
      </c>
      <c r="L209" s="287">
        <f>J209+K209</f>
        <v>6</v>
      </c>
      <c r="M209" s="246">
        <v>3</v>
      </c>
      <c r="N209" s="296">
        <f>O209-M209</f>
        <v>0.89917194349732199</v>
      </c>
      <c r="O209" s="310">
        <f>554/1.2318-O207-O208-L206</f>
        <v>3.899171943497322</v>
      </c>
      <c r="P209" s="296">
        <f>570/1.3165-P207-P208-O206</f>
        <v>-30.053019639191348</v>
      </c>
      <c r="Q209" s="296">
        <f>+R209-P209</f>
        <v>-18.1568545911407</v>
      </c>
      <c r="R209" s="310">
        <f>554/1.3-R207-R208-O206</f>
        <v>-48.209874230332048</v>
      </c>
      <c r="S209" s="296">
        <f>-1/1.3147</f>
        <v>-0.76062980147562187</v>
      </c>
      <c r="T209" s="296">
        <f>+U209-S209</f>
        <v>-1.7172038913113654</v>
      </c>
      <c r="U209" s="310">
        <f>584/1.284-U207-U208-R206</f>
        <v>-2.4778336927869873</v>
      </c>
      <c r="V209" s="246">
        <v>0</v>
      </c>
      <c r="X209" s="287"/>
      <c r="AA209" s="287"/>
      <c r="AD209" s="287"/>
      <c r="AF209" s="613"/>
      <c r="AG209" s="287"/>
      <c r="AJ209" s="287"/>
      <c r="AM209" s="287"/>
      <c r="AP209" s="287"/>
      <c r="AS209" s="287"/>
      <c r="AV209" s="287"/>
      <c r="AY209" s="287"/>
      <c r="BB209" s="287"/>
      <c r="BE209" s="287"/>
    </row>
    <row r="210" spans="2:57" outlineLevel="1">
      <c r="B210" s="246" t="s">
        <v>2330</v>
      </c>
      <c r="C210" s="287"/>
      <c r="F210" s="305">
        <f>F206/C206-1</f>
        <v>0.25496688741721862</v>
      </c>
      <c r="G210" s="297">
        <f>G206/D206-1</f>
        <v>0.11363636363636354</v>
      </c>
      <c r="I210" s="305">
        <f>I206/F206-1</f>
        <v>-2.1108179419525031E-2</v>
      </c>
      <c r="J210" s="297">
        <f>J206/G206-1</f>
        <v>6.1224489795918435E-2</v>
      </c>
      <c r="L210" s="305">
        <f>L206/I206-1</f>
        <v>0.11859838274932621</v>
      </c>
      <c r="M210" s="297">
        <f>M206/J206-1</f>
        <v>4.0865384615384581E-2</v>
      </c>
      <c r="O210" s="305">
        <f>O206/L206-1</f>
        <v>8.3730929563358147E-2</v>
      </c>
      <c r="P210" s="297">
        <f>P206/M206-1</f>
        <v>-7.8064080962114701E-5</v>
      </c>
      <c r="R210" s="305">
        <f>R206/O206-1</f>
        <v>-5.2461538461538337E-2</v>
      </c>
      <c r="S210" s="297">
        <f>S206/P206-1</f>
        <v>1.9401616025248591E-2</v>
      </c>
      <c r="U210" s="287"/>
      <c r="V210" s="297">
        <f>V206/S206-1</f>
        <v>6.1045833290635843E-2</v>
      </c>
      <c r="X210" s="287"/>
      <c r="AA210" s="287"/>
      <c r="AD210" s="287"/>
      <c r="AF210" s="613"/>
      <c r="AG210" s="287"/>
      <c r="AJ210" s="287"/>
      <c r="AM210" s="287"/>
      <c r="AP210" s="287"/>
      <c r="AS210" s="287"/>
      <c r="AV210" s="287"/>
      <c r="AY210" s="287"/>
      <c r="BB210" s="287"/>
      <c r="BE210" s="287"/>
    </row>
    <row r="211" spans="2:57" outlineLevel="1">
      <c r="B211" s="246" t="s">
        <v>2331</v>
      </c>
      <c r="C211" s="287"/>
      <c r="D211" s="297">
        <f>D206/C206-1</f>
        <v>0.16556291390728473</v>
      </c>
      <c r="E211" s="297">
        <f>E206/D206-1</f>
        <v>7.6704545454545414E-2</v>
      </c>
      <c r="F211" s="299"/>
      <c r="G211" s="297">
        <f>G206/F206-1</f>
        <v>3.4300791556728161E-2</v>
      </c>
      <c r="H211" s="331">
        <f>H206/G206-1</f>
        <v>-5.3571428571428603E-2</v>
      </c>
      <c r="I211" s="287"/>
      <c r="J211" s="297">
        <f>J206/I206-1</f>
        <v>0.12129380053908356</v>
      </c>
      <c r="K211" s="331">
        <f>K206/J206-1</f>
        <v>-2.4038461538461453E-3</v>
      </c>
      <c r="L211" s="287"/>
      <c r="M211" s="297">
        <f>M206/L206-1</f>
        <v>4.3373493975903621E-2</v>
      </c>
      <c r="N211" s="331">
        <f>N206/M206-1</f>
        <v>3.8679759281278425E-2</v>
      </c>
      <c r="O211" s="287"/>
      <c r="P211" s="297">
        <f>P206/O206-1</f>
        <v>-3.7314507205819969E-2</v>
      </c>
      <c r="Q211" s="331">
        <f>Q206/P206-1</f>
        <v>-1.573414304993237E-2</v>
      </c>
      <c r="R211" s="287"/>
      <c r="S211" s="297">
        <f>S206/R206-1</f>
        <v>3.5697427506076185E-2</v>
      </c>
      <c r="T211" s="297">
        <f>T206/S206-1</f>
        <v>3.0501227474801551E-2</v>
      </c>
      <c r="U211" s="287"/>
      <c r="V211" s="297">
        <f>V206/U206-1</f>
        <v>2.9640533171108041E-2</v>
      </c>
      <c r="X211" s="287"/>
      <c r="AA211" s="287"/>
      <c r="AD211" s="287"/>
      <c r="AF211" s="613"/>
      <c r="AG211" s="287"/>
      <c r="AJ211" s="287"/>
      <c r="AM211" s="287"/>
      <c r="AP211" s="287"/>
      <c r="AS211" s="287"/>
      <c r="AV211" s="287"/>
      <c r="AY211" s="287"/>
      <c r="BB211" s="287"/>
      <c r="BE211" s="287"/>
    </row>
    <row r="212" spans="2:57" outlineLevel="1">
      <c r="C212" s="287"/>
      <c r="D212" s="296"/>
      <c r="E212" s="296"/>
      <c r="F212" s="310"/>
      <c r="I212" s="287"/>
      <c r="L212" s="287"/>
      <c r="O212" s="287"/>
      <c r="R212" s="287"/>
      <c r="U212" s="287"/>
      <c r="X212" s="287"/>
      <c r="AA212" s="287"/>
      <c r="AD212" s="287"/>
      <c r="AF212" s="613"/>
      <c r="AG212" s="287"/>
      <c r="AJ212" s="287"/>
      <c r="AM212" s="287"/>
      <c r="AP212" s="287"/>
      <c r="AS212" s="287"/>
      <c r="AV212" s="287"/>
      <c r="AY212" s="287"/>
      <c r="BB212" s="287"/>
      <c r="BE212" s="287"/>
    </row>
    <row r="213" spans="2:57" outlineLevel="1">
      <c r="B213" s="278" t="s">
        <v>2343</v>
      </c>
      <c r="C213" s="279"/>
      <c r="D213" s="325"/>
      <c r="E213" s="325"/>
      <c r="F213" s="326"/>
      <c r="G213" s="280"/>
      <c r="H213" s="280"/>
      <c r="I213" s="279"/>
      <c r="J213" s="280"/>
      <c r="K213" s="280"/>
      <c r="L213" s="279"/>
      <c r="M213" s="280"/>
      <c r="N213" s="280"/>
      <c r="O213" s="279"/>
      <c r="P213" s="280"/>
      <c r="Q213" s="280"/>
      <c r="R213" s="279"/>
      <c r="S213" s="280"/>
      <c r="T213" s="280"/>
      <c r="U213" s="279"/>
      <c r="V213" s="280"/>
      <c r="W213" s="280"/>
      <c r="X213" s="279"/>
      <c r="Y213" s="280"/>
      <c r="Z213" s="280"/>
      <c r="AA213" s="279"/>
      <c r="AB213" s="280"/>
      <c r="AC213" s="280"/>
      <c r="AD213" s="279"/>
      <c r="AE213" s="280"/>
      <c r="AF213" s="611"/>
      <c r="AG213" s="279"/>
      <c r="AH213" s="280"/>
      <c r="AI213" s="280"/>
      <c r="AJ213" s="279"/>
      <c r="AK213" s="280"/>
      <c r="AL213" s="280"/>
      <c r="AM213" s="279"/>
      <c r="AN213" s="280"/>
      <c r="AO213" s="280"/>
      <c r="AP213" s="279"/>
      <c r="AQ213" s="280"/>
      <c r="AR213" s="280"/>
      <c r="AS213" s="279"/>
      <c r="AT213" s="280"/>
      <c r="AU213" s="280"/>
      <c r="AV213" s="279"/>
      <c r="AW213" s="280"/>
      <c r="AX213" s="280"/>
      <c r="AY213" s="279"/>
      <c r="AZ213" s="280"/>
      <c r="BA213" s="280"/>
      <c r="BB213" s="279"/>
      <c r="BC213" s="280"/>
      <c r="BD213" s="280"/>
      <c r="BE213" s="279"/>
    </row>
    <row r="214" spans="2:57" outlineLevel="1">
      <c r="B214" s="246" t="s">
        <v>2295</v>
      </c>
      <c r="C214" s="310">
        <v>0</v>
      </c>
      <c r="D214" s="296">
        <v>0</v>
      </c>
      <c r="E214" s="296">
        <f>F214-D214</f>
        <v>0</v>
      </c>
      <c r="F214" s="310">
        <v>0</v>
      </c>
      <c r="G214" s="332">
        <f>-7+13</f>
        <v>6</v>
      </c>
      <c r="H214" s="311">
        <f>-2+13</f>
        <v>11</v>
      </c>
      <c r="I214" s="310">
        <f>G214+H214</f>
        <v>17</v>
      </c>
      <c r="J214" s="296">
        <f>-2+13</f>
        <v>11</v>
      </c>
      <c r="K214" s="296">
        <f>L214-J214</f>
        <v>14</v>
      </c>
      <c r="L214" s="310">
        <f>-4+29</f>
        <v>25</v>
      </c>
      <c r="M214" s="296">
        <f>-1+14</f>
        <v>13</v>
      </c>
      <c r="N214" s="296">
        <f>O214-M214</f>
        <v>12.600000000000001</v>
      </c>
      <c r="O214" s="310">
        <f>46-O177+28</f>
        <v>25.6</v>
      </c>
      <c r="P214" s="296">
        <f>20-P177+15</f>
        <v>14.219359875097581</v>
      </c>
      <c r="Q214" s="296">
        <f>+R214-P214</f>
        <v>10.242178586440879</v>
      </c>
      <c r="R214" s="309">
        <f>40-R177+26</f>
        <v>24.46153846153846</v>
      </c>
      <c r="S214" s="296">
        <f>21-S177+11</f>
        <v>13.281889404426867</v>
      </c>
      <c r="T214" s="296">
        <f>U214-S214</f>
        <v>17.169823991211761</v>
      </c>
      <c r="U214" s="309">
        <f>44-U177+25</f>
        <v>30.451713395638627</v>
      </c>
      <c r="V214" s="296">
        <v>21</v>
      </c>
      <c r="W214" s="396">
        <v>7</v>
      </c>
      <c r="X214" s="310">
        <f>V214+W214</f>
        <v>28</v>
      </c>
      <c r="Y214" s="296">
        <v>15</v>
      </c>
      <c r="Z214" s="296">
        <f>36-Y214</f>
        <v>21</v>
      </c>
      <c r="AA214" s="310">
        <f>Y214+Z214</f>
        <v>36</v>
      </c>
      <c r="AB214" s="296">
        <v>19</v>
      </c>
      <c r="AC214" s="296">
        <v>2</v>
      </c>
      <c r="AD214" s="310">
        <f>AB214+AC214</f>
        <v>21</v>
      </c>
      <c r="AE214" s="296">
        <v>28</v>
      </c>
      <c r="AF214" s="322">
        <v>17</v>
      </c>
      <c r="AG214" s="310">
        <f>AE214+AF214</f>
        <v>45</v>
      </c>
      <c r="AH214" s="296">
        <v>0</v>
      </c>
      <c r="AI214" s="296">
        <v>0</v>
      </c>
      <c r="AJ214" s="310">
        <f>AH214+AI214</f>
        <v>0</v>
      </c>
      <c r="AK214" s="296">
        <v>1</v>
      </c>
      <c r="AL214" s="296">
        <v>1</v>
      </c>
      <c r="AM214" s="310">
        <f>AK214+AL214</f>
        <v>2</v>
      </c>
      <c r="AN214" s="311">
        <f>AL214*1.03</f>
        <v>1.03</v>
      </c>
      <c r="AO214" s="311">
        <f>AN214*1.03</f>
        <v>1.0609</v>
      </c>
      <c r="AP214" s="310">
        <f>AN214+AO214</f>
        <v>2.0909</v>
      </c>
      <c r="AQ214" s="311">
        <f>AO214*1.03</f>
        <v>1.092727</v>
      </c>
      <c r="AR214" s="311">
        <f>AQ214*1.03</f>
        <v>1.1255088100000001</v>
      </c>
      <c r="AS214" s="310">
        <f>AQ214+AR214</f>
        <v>2.2182358100000004</v>
      </c>
      <c r="AT214" s="311">
        <f>AR214*1.03</f>
        <v>1.1592740743000001</v>
      </c>
      <c r="AU214" s="311">
        <f>AT214*1.03</f>
        <v>1.1940522965290001</v>
      </c>
      <c r="AV214" s="310">
        <f>AT214+AU214</f>
        <v>2.3533263708290004</v>
      </c>
      <c r="AW214" s="311">
        <f>AU214*1.03</f>
        <v>1.2298738654248702</v>
      </c>
      <c r="AX214" s="311">
        <f>AW214*1.03</f>
        <v>1.2667700813876164</v>
      </c>
      <c r="AY214" s="310">
        <f>AW214+AX214</f>
        <v>2.4966439468124868</v>
      </c>
      <c r="AZ214" s="311">
        <f>AX214*1.03</f>
        <v>1.3047731838292449</v>
      </c>
      <c r="BA214" s="311">
        <f>AZ214*1.03</f>
        <v>1.3439163793441222</v>
      </c>
      <c r="BB214" s="310">
        <f>AZ214+BA214</f>
        <v>2.6486895631733671</v>
      </c>
      <c r="BC214" s="311">
        <f>BA214*1.03</f>
        <v>1.3842338707244459</v>
      </c>
      <c r="BD214" s="311">
        <f>BC214*1.03</f>
        <v>1.4257608868461793</v>
      </c>
      <c r="BE214" s="310">
        <f>BC214+BD214</f>
        <v>2.8099947575706254</v>
      </c>
    </row>
    <row r="215" spans="2:57" outlineLevel="1">
      <c r="B215" s="246" t="s">
        <v>2296</v>
      </c>
      <c r="C215" s="310">
        <v>45</v>
      </c>
      <c r="D215" s="296">
        <v>11</v>
      </c>
      <c r="E215" s="296">
        <f>F215-D215</f>
        <v>13</v>
      </c>
      <c r="F215" s="310">
        <v>24</v>
      </c>
      <c r="G215" s="332">
        <f>12+12</f>
        <v>24</v>
      </c>
      <c r="H215" s="333">
        <f>25+11</f>
        <v>36</v>
      </c>
      <c r="I215" s="310">
        <f>G215+H215</f>
        <v>60</v>
      </c>
      <c r="J215" s="296">
        <f>23+6</f>
        <v>29</v>
      </c>
      <c r="K215" s="296">
        <f>L215-J215</f>
        <v>26</v>
      </c>
      <c r="L215" s="310">
        <f>42+13</f>
        <v>55</v>
      </c>
      <c r="M215" s="296">
        <f>2+6+18</f>
        <v>26</v>
      </c>
      <c r="N215" s="296">
        <f>O215-M215</f>
        <v>34</v>
      </c>
      <c r="O215" s="310">
        <f>213-O178+48</f>
        <v>60</v>
      </c>
      <c r="P215" s="296">
        <f>106-P178+12</f>
        <v>15.122560499609676</v>
      </c>
      <c r="Q215" s="296">
        <f>+R215-P215</f>
        <v>19.492824115774937</v>
      </c>
      <c r="R215" s="310">
        <f>211-R178+20</f>
        <v>34.615384615384613</v>
      </c>
      <c r="S215" s="296">
        <f>116-S178+21</f>
        <v>28.60629801475622</v>
      </c>
      <c r="T215" s="296">
        <f>U215-S215</f>
        <v>27.412393574028812</v>
      </c>
      <c r="U215" s="310">
        <f>227-U178+42</f>
        <v>56.018691588785032</v>
      </c>
      <c r="V215" s="296">
        <v>1</v>
      </c>
      <c r="W215" s="296">
        <v>47</v>
      </c>
      <c r="X215" s="310">
        <f>V215+W215</f>
        <v>48</v>
      </c>
      <c r="Y215" s="296">
        <v>18</v>
      </c>
      <c r="Z215" s="296">
        <f>42-Y215</f>
        <v>24</v>
      </c>
      <c r="AA215" s="310">
        <f>Y215+Z215</f>
        <v>42</v>
      </c>
      <c r="AB215" s="296">
        <f>21+12</f>
        <v>33</v>
      </c>
      <c r="AC215" s="296">
        <f>3+21</f>
        <v>24</v>
      </c>
      <c r="AD215" s="310">
        <f>AB215+AC215</f>
        <v>57</v>
      </c>
      <c r="AE215" s="296">
        <f>6+24</f>
        <v>30</v>
      </c>
      <c r="AF215" s="322">
        <f>-1+22</f>
        <v>21</v>
      </c>
      <c r="AG215" s="310">
        <f>AE215+AF215</f>
        <v>51</v>
      </c>
      <c r="AH215" s="296">
        <v>26</v>
      </c>
      <c r="AI215" s="296">
        <v>24</v>
      </c>
      <c r="AJ215" s="310">
        <f>AH215+AI215</f>
        <v>50</v>
      </c>
      <c r="AK215" s="296">
        <v>24</v>
      </c>
      <c r="AL215" s="296">
        <v>32</v>
      </c>
      <c r="AM215" s="310">
        <f>AK215+AL215</f>
        <v>56</v>
      </c>
      <c r="AN215" s="311">
        <f>AL215*1.04</f>
        <v>33.28</v>
      </c>
      <c r="AO215" s="311">
        <f>AN215*1.04</f>
        <v>34.611200000000004</v>
      </c>
      <c r="AP215" s="310">
        <f>AN215+AO215</f>
        <v>67.891199999999998</v>
      </c>
      <c r="AQ215" s="311">
        <f>AO215*1.04</f>
        <v>35.995648000000003</v>
      </c>
      <c r="AR215" s="311">
        <f>AQ215*1.04</f>
        <v>37.435473920000007</v>
      </c>
      <c r="AS215" s="310">
        <f>AQ215+AR215</f>
        <v>73.43112192000001</v>
      </c>
      <c r="AT215" s="311">
        <f>AR215*1.04</f>
        <v>38.932892876800011</v>
      </c>
      <c r="AU215" s="311">
        <f>AT215*1.04</f>
        <v>40.490208591872012</v>
      </c>
      <c r="AV215" s="310">
        <f>AT215+AU215</f>
        <v>79.42310146867203</v>
      </c>
      <c r="AW215" s="311">
        <f>AU215*1.04</f>
        <v>42.109816935546895</v>
      </c>
      <c r="AX215" s="311">
        <f>AW215*1.04</f>
        <v>43.794209612968771</v>
      </c>
      <c r="AY215" s="310">
        <f>AW215+AX215</f>
        <v>85.904026548515674</v>
      </c>
      <c r="AZ215" s="311">
        <f>AX215*1.04</f>
        <v>45.545977997487526</v>
      </c>
      <c r="BA215" s="311">
        <f>AZ215*1.04</f>
        <v>47.367817117387027</v>
      </c>
      <c r="BB215" s="310">
        <f>AZ215+BA215</f>
        <v>92.913795114874546</v>
      </c>
      <c r="BC215" s="311">
        <f>BA215*1.04</f>
        <v>49.262529802082511</v>
      </c>
      <c r="BD215" s="311">
        <f>BC215*1.04</f>
        <v>51.233030994165816</v>
      </c>
      <c r="BE215" s="310">
        <f>BC215+BD215</f>
        <v>100.49556079624833</v>
      </c>
    </row>
    <row r="216" spans="2:57" outlineLevel="1">
      <c r="B216" s="243" t="s">
        <v>2297</v>
      </c>
      <c r="C216" s="304">
        <f t="shared" ref="C216:H216" si="216">C214+C215</f>
        <v>45</v>
      </c>
      <c r="D216" s="300">
        <f t="shared" si="216"/>
        <v>11</v>
      </c>
      <c r="E216" s="300">
        <f t="shared" si="216"/>
        <v>13</v>
      </c>
      <c r="F216" s="304">
        <f t="shared" si="216"/>
        <v>24</v>
      </c>
      <c r="G216" s="334">
        <f t="shared" si="216"/>
        <v>30</v>
      </c>
      <c r="H216" s="300">
        <f t="shared" si="216"/>
        <v>47</v>
      </c>
      <c r="I216" s="304">
        <f>G216+H216</f>
        <v>77</v>
      </c>
      <c r="J216" s="300">
        <f>J214+J215</f>
        <v>40</v>
      </c>
      <c r="K216" s="300">
        <f>K214+K215</f>
        <v>40</v>
      </c>
      <c r="L216" s="304">
        <f>J216+K216</f>
        <v>80</v>
      </c>
      <c r="M216" s="300">
        <f>M214+M215</f>
        <v>39</v>
      </c>
      <c r="N216" s="300">
        <f>N214+N215</f>
        <v>46.6</v>
      </c>
      <c r="O216" s="304">
        <f>M216+N216</f>
        <v>85.6</v>
      </c>
      <c r="P216" s="300">
        <f>P214+P215</f>
        <v>29.341920374707257</v>
      </c>
      <c r="Q216" s="300">
        <f>Q214+Q215</f>
        <v>29.735002702215816</v>
      </c>
      <c r="R216" s="304">
        <f>P216+Q216</f>
        <v>59.076923076923073</v>
      </c>
      <c r="S216" s="300">
        <f>S214+S215</f>
        <v>41.888187419183083</v>
      </c>
      <c r="T216" s="300">
        <f>T214+T215</f>
        <v>44.582217565240569</v>
      </c>
      <c r="U216" s="304">
        <f>S216+T216</f>
        <v>86.470404984423652</v>
      </c>
      <c r="V216" s="300">
        <f>V214+V215</f>
        <v>22</v>
      </c>
      <c r="W216" s="300">
        <f>W214+W215</f>
        <v>54</v>
      </c>
      <c r="X216" s="304">
        <f>V216+W216</f>
        <v>76</v>
      </c>
      <c r="Y216" s="300">
        <f>Y214+Y215</f>
        <v>33</v>
      </c>
      <c r="Z216" s="300">
        <f>Z214+Z215</f>
        <v>45</v>
      </c>
      <c r="AA216" s="304">
        <f>Y216+Z216</f>
        <v>78</v>
      </c>
      <c r="AB216" s="300">
        <f>AB214+AB215</f>
        <v>52</v>
      </c>
      <c r="AC216" s="300">
        <f>AC214+AC215</f>
        <v>26</v>
      </c>
      <c r="AD216" s="304">
        <f>AB216+AC216</f>
        <v>78</v>
      </c>
      <c r="AE216" s="300">
        <f>AE214+AE215</f>
        <v>58</v>
      </c>
      <c r="AF216" s="615">
        <f>AF214+AF215</f>
        <v>38</v>
      </c>
      <c r="AG216" s="304">
        <f>AE216+AF216</f>
        <v>96</v>
      </c>
      <c r="AH216" s="300">
        <f>AH214+AH215</f>
        <v>26</v>
      </c>
      <c r="AI216" s="300">
        <f>AI214+AI215</f>
        <v>24</v>
      </c>
      <c r="AJ216" s="304">
        <f>AH216+AI216</f>
        <v>50</v>
      </c>
      <c r="AK216" s="300">
        <f>AK214+AK215</f>
        <v>25</v>
      </c>
      <c r="AL216" s="300">
        <f>AL214+AL215</f>
        <v>33</v>
      </c>
      <c r="AM216" s="304">
        <f>AK216+AL216</f>
        <v>58</v>
      </c>
      <c r="AN216" s="300">
        <f>AN214+AN215</f>
        <v>34.31</v>
      </c>
      <c r="AO216" s="300">
        <f>AO214+AO215</f>
        <v>35.6721</v>
      </c>
      <c r="AP216" s="304">
        <f>AN216+AO216</f>
        <v>69.982100000000003</v>
      </c>
      <c r="AQ216" s="300">
        <f>AQ214+AQ215</f>
        <v>37.088374999999999</v>
      </c>
      <c r="AR216" s="300">
        <f>AR214+AR215</f>
        <v>38.560982730000006</v>
      </c>
      <c r="AS216" s="304">
        <f>AQ216+AR216</f>
        <v>75.649357730000006</v>
      </c>
      <c r="AT216" s="300">
        <f>AT214+AT215</f>
        <v>40.092166951100012</v>
      </c>
      <c r="AU216" s="300">
        <f>AU214+AU215</f>
        <v>41.684260888401013</v>
      </c>
      <c r="AV216" s="304">
        <f>AT216+AU216</f>
        <v>81.776427839501025</v>
      </c>
      <c r="AW216" s="300">
        <f>AW214+AW215</f>
        <v>43.339690800971766</v>
      </c>
      <c r="AX216" s="300">
        <f>AX214+AX215</f>
        <v>45.060979694356391</v>
      </c>
      <c r="AY216" s="304">
        <f>AW216+AX216</f>
        <v>88.400670495328157</v>
      </c>
      <c r="AZ216" s="300">
        <f>AZ214+AZ215</f>
        <v>46.850751181316774</v>
      </c>
      <c r="BA216" s="300">
        <f>BA214+BA215</f>
        <v>48.711733496731149</v>
      </c>
      <c r="BB216" s="304">
        <f>AZ216+BA216</f>
        <v>95.562484678047923</v>
      </c>
      <c r="BC216" s="300">
        <f>BC214+BC215</f>
        <v>50.646763672806955</v>
      </c>
      <c r="BD216" s="300">
        <f>BD214+BD215</f>
        <v>52.658791881011993</v>
      </c>
      <c r="BE216" s="304">
        <f>BC216+BD216</f>
        <v>103.30555555381895</v>
      </c>
    </row>
    <row r="217" spans="2:57" outlineLevel="1">
      <c r="B217" s="246" t="s">
        <v>2298</v>
      </c>
      <c r="C217" s="310"/>
      <c r="D217" s="296"/>
      <c r="E217" s="296"/>
      <c r="F217" s="310"/>
      <c r="G217" s="332"/>
      <c r="I217" s="287"/>
      <c r="L217" s="287"/>
      <c r="O217" s="287"/>
      <c r="R217" s="287"/>
      <c r="U217" s="287"/>
      <c r="X217" s="287"/>
      <c r="AA217" s="287"/>
      <c r="AD217" s="287"/>
      <c r="AF217" s="613"/>
      <c r="AG217" s="287"/>
      <c r="AJ217" s="287"/>
      <c r="AM217" s="287"/>
      <c r="AP217" s="287"/>
      <c r="AS217" s="287"/>
      <c r="AV217" s="287"/>
      <c r="AY217" s="287"/>
      <c r="BB217" s="287"/>
      <c r="BE217" s="287"/>
    </row>
    <row r="218" spans="2:57" outlineLevel="1">
      <c r="B218" s="243" t="s">
        <v>2299</v>
      </c>
      <c r="C218" s="304">
        <f t="shared" ref="C218:H218" si="217">C216+C217</f>
        <v>45</v>
      </c>
      <c r="D218" s="300">
        <f t="shared" si="217"/>
        <v>11</v>
      </c>
      <c r="E218" s="300">
        <f t="shared" si="217"/>
        <v>13</v>
      </c>
      <c r="F218" s="304">
        <f t="shared" si="217"/>
        <v>24</v>
      </c>
      <c r="G218" s="334">
        <f t="shared" si="217"/>
        <v>30</v>
      </c>
      <c r="H218" s="300">
        <f t="shared" si="217"/>
        <v>47</v>
      </c>
      <c r="I218" s="304">
        <f>G218+H218</f>
        <v>77</v>
      </c>
      <c r="J218" s="300">
        <f>J216+J217</f>
        <v>40</v>
      </c>
      <c r="K218" s="300">
        <f>K216+K217</f>
        <v>40</v>
      </c>
      <c r="L218" s="304">
        <f>J218+K218</f>
        <v>80</v>
      </c>
      <c r="M218" s="300">
        <f>M216+M217</f>
        <v>39</v>
      </c>
      <c r="N218" s="300">
        <f>N216+N217</f>
        <v>46.6</v>
      </c>
      <c r="O218" s="304">
        <f>M218+N218</f>
        <v>85.6</v>
      </c>
      <c r="P218" s="300">
        <f>P216+P217</f>
        <v>29.341920374707257</v>
      </c>
      <c r="Q218" s="300">
        <f>Q216+Q217</f>
        <v>29.735002702215816</v>
      </c>
      <c r="R218" s="304">
        <f>P218+Q218</f>
        <v>59.076923076923073</v>
      </c>
      <c r="S218" s="300">
        <f>S216+S217</f>
        <v>41.888187419183083</v>
      </c>
      <c r="T218" s="300">
        <f>T216+T217</f>
        <v>44.582217565240569</v>
      </c>
      <c r="U218" s="304">
        <f>S218+T218</f>
        <v>86.470404984423652</v>
      </c>
      <c r="V218" s="300">
        <f>V216+V217</f>
        <v>22</v>
      </c>
      <c r="W218" s="300">
        <f>W216+W217</f>
        <v>54</v>
      </c>
      <c r="X218" s="304">
        <f>V218+W218</f>
        <v>76</v>
      </c>
      <c r="Y218" s="300">
        <f>Y216+Y217</f>
        <v>33</v>
      </c>
      <c r="Z218" s="300">
        <f>Z216+Z217</f>
        <v>45</v>
      </c>
      <c r="AA218" s="304">
        <f>Y218+Z218</f>
        <v>78</v>
      </c>
      <c r="AB218" s="300">
        <f>AB216+AB217</f>
        <v>52</v>
      </c>
      <c r="AC218" s="300">
        <f>AC216+AC217</f>
        <v>26</v>
      </c>
      <c r="AD218" s="304">
        <f>AB218+AC218</f>
        <v>78</v>
      </c>
      <c r="AE218" s="300">
        <f>AE216+AE217</f>
        <v>58</v>
      </c>
      <c r="AF218" s="615">
        <f>AF216+AF217</f>
        <v>38</v>
      </c>
      <c r="AG218" s="304">
        <f>AE218+AF218</f>
        <v>96</v>
      </c>
      <c r="AH218" s="300">
        <f>AH216+AH217</f>
        <v>26</v>
      </c>
      <c r="AI218" s="300">
        <f>AI216+AI217</f>
        <v>24</v>
      </c>
      <c r="AJ218" s="304">
        <f>AH218+AI218</f>
        <v>50</v>
      </c>
      <c r="AK218" s="300">
        <f>AK216+AK217</f>
        <v>25</v>
      </c>
      <c r="AL218" s="300">
        <f>AL216+AL217</f>
        <v>33</v>
      </c>
      <c r="AM218" s="304">
        <f>AK218+AL218</f>
        <v>58</v>
      </c>
      <c r="AN218" s="300">
        <f>AN216+AN217</f>
        <v>34.31</v>
      </c>
      <c r="AO218" s="300">
        <f>AO216+AO217</f>
        <v>35.6721</v>
      </c>
      <c r="AP218" s="304">
        <f>AN218+AO218</f>
        <v>69.982100000000003</v>
      </c>
      <c r="AQ218" s="300">
        <f>AQ216+AQ217</f>
        <v>37.088374999999999</v>
      </c>
      <c r="AR218" s="300">
        <f>AR216+AR217</f>
        <v>38.560982730000006</v>
      </c>
      <c r="AS218" s="304">
        <f>AQ218+AR218</f>
        <v>75.649357730000006</v>
      </c>
      <c r="AT218" s="300">
        <f>AT216+AT217</f>
        <v>40.092166951100012</v>
      </c>
      <c r="AU218" s="300">
        <f>AU216+AU217</f>
        <v>41.684260888401013</v>
      </c>
      <c r="AV218" s="304">
        <f>AT218+AU218</f>
        <v>81.776427839501025</v>
      </c>
      <c r="AW218" s="300">
        <f>AW216+AW217</f>
        <v>43.339690800971766</v>
      </c>
      <c r="AX218" s="300">
        <f>AX216+AX217</f>
        <v>45.060979694356391</v>
      </c>
      <c r="AY218" s="304">
        <f>AW218+AX218</f>
        <v>88.400670495328157</v>
      </c>
      <c r="AZ218" s="300">
        <f>AZ216+AZ217</f>
        <v>46.850751181316774</v>
      </c>
      <c r="BA218" s="300">
        <f>BA216+BA217</f>
        <v>48.711733496731149</v>
      </c>
      <c r="BB218" s="304">
        <f>AZ218+BA218</f>
        <v>95.562484678047923</v>
      </c>
      <c r="BC218" s="300">
        <f>BC216+BC217</f>
        <v>50.646763672806955</v>
      </c>
      <c r="BD218" s="300">
        <f>BD216+BD217</f>
        <v>52.658791881011993</v>
      </c>
      <c r="BE218" s="304">
        <f>BC218+BD218</f>
        <v>103.30555555381895</v>
      </c>
    </row>
    <row r="219" spans="2:57" outlineLevel="1">
      <c r="B219" s="246" t="s">
        <v>2300</v>
      </c>
      <c r="C219" s="298">
        <f>-0.75*C216</f>
        <v>-33.75</v>
      </c>
      <c r="D219" s="311">
        <f>0.79*D216</f>
        <v>8.6900000000000013</v>
      </c>
      <c r="E219" s="296">
        <f>F219-D219</f>
        <v>-14.690000000000001</v>
      </c>
      <c r="F219" s="298">
        <f>-0.25*F216</f>
        <v>-6</v>
      </c>
      <c r="G219" s="335">
        <f>-0.25*G216</f>
        <v>-7.5</v>
      </c>
      <c r="H219" s="335">
        <f>-0.25*H216</f>
        <v>-11.75</v>
      </c>
      <c r="I219" s="310">
        <f>G219+H219</f>
        <v>-19.25</v>
      </c>
      <c r="J219" s="335">
        <f>-0.25*J216</f>
        <v>-10</v>
      </c>
      <c r="K219" s="335">
        <f>-0.25*K216</f>
        <v>-10</v>
      </c>
      <c r="L219" s="310">
        <f>J219+K219</f>
        <v>-20</v>
      </c>
      <c r="M219" s="335">
        <f>K219*1.035</f>
        <v>-10.35</v>
      </c>
      <c r="N219" s="335">
        <f>M219*1.035</f>
        <v>-10.712249999999999</v>
      </c>
      <c r="O219" s="336">
        <f>M219+N219</f>
        <v>-21.062249999999999</v>
      </c>
      <c r="P219" s="335">
        <f>N219*1.035</f>
        <v>-11.087178749999998</v>
      </c>
      <c r="Q219" s="335">
        <f>P219*1.035</f>
        <v>-11.475230006249998</v>
      </c>
      <c r="R219" s="310">
        <f>P219+Q219</f>
        <v>-22.562408756249994</v>
      </c>
      <c r="S219" s="337">
        <f>Q219*1.035</f>
        <v>-11.876863056468746</v>
      </c>
      <c r="T219" s="337">
        <f>S219*1.035</f>
        <v>-12.292553263445152</v>
      </c>
      <c r="U219" s="310">
        <f>S219+T219</f>
        <v>-24.1694163199139</v>
      </c>
      <c r="V219" s="338">
        <f>T219*1.035</f>
        <v>-12.722792627665731</v>
      </c>
      <c r="W219" s="338">
        <f>V219*1.035</f>
        <v>-13.168090369634031</v>
      </c>
      <c r="X219" s="310">
        <f>V219+W219</f>
        <v>-25.890882997299762</v>
      </c>
      <c r="Y219" s="311">
        <f>W219*1.035</f>
        <v>-13.628973532571221</v>
      </c>
      <c r="Z219" s="311">
        <f>Y219*1.035</f>
        <v>-14.105987606211214</v>
      </c>
      <c r="AA219" s="310">
        <f>Y219+Z219</f>
        <v>-27.734961138782435</v>
      </c>
      <c r="AB219" s="311">
        <f>Z219*1.035</f>
        <v>-14.599697172428606</v>
      </c>
      <c r="AC219" s="311">
        <f>AB219*1.035</f>
        <v>-15.110686573463605</v>
      </c>
      <c r="AD219" s="310">
        <f>AB219+AC219</f>
        <v>-29.710383745892209</v>
      </c>
      <c r="AE219" s="311">
        <f>AC219*1.035</f>
        <v>-15.63956060353483</v>
      </c>
      <c r="AF219" s="626">
        <f>AE219*1.035</f>
        <v>-16.186945224658547</v>
      </c>
      <c r="AG219" s="310">
        <f>AE219+AF219</f>
        <v>-31.826505828193376</v>
      </c>
      <c r="AH219" s="311">
        <f>AF219*1.035</f>
        <v>-16.753488307521597</v>
      </c>
      <c r="AI219" s="311">
        <f>AH219*1.035</f>
        <v>-17.339860398284852</v>
      </c>
      <c r="AJ219" s="310">
        <f>AH219+AI219</f>
        <v>-34.093348705806449</v>
      </c>
      <c r="AK219" s="311">
        <f>AI219*1.035</f>
        <v>-17.946755512224822</v>
      </c>
      <c r="AL219" s="311">
        <f>AK219*1.035</f>
        <v>-18.57489195515269</v>
      </c>
      <c r="AM219" s="310">
        <f>AK219+AL219</f>
        <v>-36.521647467377512</v>
      </c>
      <c r="AN219" s="311">
        <f>AL219*1.035</f>
        <v>-19.225013173583033</v>
      </c>
      <c r="AO219" s="311">
        <f>AN219*1.035</f>
        <v>-19.897888634658436</v>
      </c>
      <c r="AP219" s="310">
        <f>AN219+AO219</f>
        <v>-39.122901808241465</v>
      </c>
      <c r="AQ219" s="311">
        <f>AO219*1.035</f>
        <v>-20.594314736871478</v>
      </c>
      <c r="AR219" s="311">
        <f>AQ219*1.035</f>
        <v>-21.315115752661978</v>
      </c>
      <c r="AS219" s="310">
        <f>AQ219+AR219</f>
        <v>-41.909430489533456</v>
      </c>
      <c r="AT219" s="311">
        <f>AR219*1.035</f>
        <v>-22.061144804005146</v>
      </c>
      <c r="AU219" s="311">
        <f>AT219*1.035</f>
        <v>-22.833284872145324</v>
      </c>
      <c r="AV219" s="310">
        <f>AT219+AU219</f>
        <v>-44.894429676150466</v>
      </c>
      <c r="AW219" s="311">
        <f>AU219*1.035</f>
        <v>-23.632449842670407</v>
      </c>
      <c r="AX219" s="311">
        <f>AW219*1.035</f>
        <v>-24.459585587163868</v>
      </c>
      <c r="AY219" s="310">
        <f>AW219+AX219</f>
        <v>-48.092035429834276</v>
      </c>
      <c r="AZ219" s="311">
        <f>AX219*1.035</f>
        <v>-25.315671082714601</v>
      </c>
      <c r="BA219" s="311">
        <f>AZ219*1.035</f>
        <v>-26.201719570609612</v>
      </c>
      <c r="BB219" s="310">
        <f>AZ219+BA219</f>
        <v>-51.517390653324213</v>
      </c>
      <c r="BC219" s="311">
        <f>BA219*1.035</f>
        <v>-27.118779755580945</v>
      </c>
      <c r="BD219" s="311">
        <f>BC219*1.035</f>
        <v>-28.067937047026277</v>
      </c>
      <c r="BE219" s="310">
        <f>BC219+BD219</f>
        <v>-55.186716802607222</v>
      </c>
    </row>
    <row r="220" spans="2:57" outlineLevel="1">
      <c r="B220" s="243" t="s">
        <v>2301</v>
      </c>
      <c r="C220" s="304">
        <f t="shared" ref="C220:AM220" si="218">C217+C219</f>
        <v>-33.75</v>
      </c>
      <c r="D220" s="300">
        <f t="shared" si="218"/>
        <v>8.6900000000000013</v>
      </c>
      <c r="E220" s="300">
        <f t="shared" si="218"/>
        <v>-14.690000000000001</v>
      </c>
      <c r="F220" s="304">
        <f t="shared" si="218"/>
        <v>-6</v>
      </c>
      <c r="G220" s="506">
        <f t="shared" si="218"/>
        <v>-7.5</v>
      </c>
      <c r="H220" s="300">
        <f t="shared" si="218"/>
        <v>-11.75</v>
      </c>
      <c r="I220" s="304">
        <f t="shared" si="218"/>
        <v>-19.25</v>
      </c>
      <c r="J220" s="300">
        <f t="shared" si="218"/>
        <v>-10</v>
      </c>
      <c r="K220" s="300">
        <f t="shared" si="218"/>
        <v>-10</v>
      </c>
      <c r="L220" s="304">
        <f t="shared" si="218"/>
        <v>-20</v>
      </c>
      <c r="M220" s="300">
        <f t="shared" si="218"/>
        <v>-10.35</v>
      </c>
      <c r="N220" s="300">
        <f t="shared" si="218"/>
        <v>-10.712249999999999</v>
      </c>
      <c r="O220" s="304">
        <f t="shared" si="218"/>
        <v>-21.062249999999999</v>
      </c>
      <c r="P220" s="300">
        <f t="shared" si="218"/>
        <v>-11.087178749999998</v>
      </c>
      <c r="Q220" s="300">
        <f t="shared" si="218"/>
        <v>-11.475230006249998</v>
      </c>
      <c r="R220" s="304">
        <f t="shared" si="218"/>
        <v>-22.562408756249994</v>
      </c>
      <c r="S220" s="300">
        <f t="shared" si="218"/>
        <v>-11.876863056468746</v>
      </c>
      <c r="T220" s="300">
        <f t="shared" si="218"/>
        <v>-12.292553263445152</v>
      </c>
      <c r="U220" s="304">
        <f t="shared" si="218"/>
        <v>-24.1694163199139</v>
      </c>
      <c r="V220" s="300">
        <f t="shared" si="218"/>
        <v>-12.722792627665731</v>
      </c>
      <c r="W220" s="300">
        <f t="shared" si="218"/>
        <v>-13.168090369634031</v>
      </c>
      <c r="X220" s="304">
        <f t="shared" si="218"/>
        <v>-25.890882997299762</v>
      </c>
      <c r="Y220" s="300">
        <f t="shared" si="218"/>
        <v>-13.628973532571221</v>
      </c>
      <c r="Z220" s="300">
        <f t="shared" si="218"/>
        <v>-14.105987606211214</v>
      </c>
      <c r="AA220" s="304">
        <f t="shared" si="218"/>
        <v>-27.734961138782435</v>
      </c>
      <c r="AB220" s="300">
        <f t="shared" si="218"/>
        <v>-14.599697172428606</v>
      </c>
      <c r="AC220" s="300">
        <f t="shared" si="218"/>
        <v>-15.110686573463605</v>
      </c>
      <c r="AD220" s="304">
        <f t="shared" si="218"/>
        <v>-29.710383745892209</v>
      </c>
      <c r="AE220" s="300">
        <f t="shared" si="218"/>
        <v>-15.63956060353483</v>
      </c>
      <c r="AF220" s="615">
        <f t="shared" si="218"/>
        <v>-16.186945224658547</v>
      </c>
      <c r="AG220" s="304">
        <f t="shared" si="218"/>
        <v>-31.826505828193376</v>
      </c>
      <c r="AH220" s="300">
        <f t="shared" si="218"/>
        <v>-16.753488307521597</v>
      </c>
      <c r="AI220" s="300">
        <f t="shared" si="218"/>
        <v>-17.339860398284852</v>
      </c>
      <c r="AJ220" s="304">
        <f t="shared" si="218"/>
        <v>-34.093348705806449</v>
      </c>
      <c r="AK220" s="300">
        <f>AK217+AK219</f>
        <v>-17.946755512224822</v>
      </c>
      <c r="AL220" s="300">
        <f t="shared" si="218"/>
        <v>-18.57489195515269</v>
      </c>
      <c r="AM220" s="304">
        <f t="shared" si="218"/>
        <v>-36.521647467377512</v>
      </c>
      <c r="AN220" s="300">
        <f t="shared" ref="AN220:BB220" si="219">AN217+AN219</f>
        <v>-19.225013173583033</v>
      </c>
      <c r="AO220" s="300">
        <f t="shared" si="219"/>
        <v>-19.897888634658436</v>
      </c>
      <c r="AP220" s="304">
        <f t="shared" si="219"/>
        <v>-39.122901808241465</v>
      </c>
      <c r="AQ220" s="300">
        <f t="shared" si="219"/>
        <v>-20.594314736871478</v>
      </c>
      <c r="AR220" s="300">
        <f t="shared" si="219"/>
        <v>-21.315115752661978</v>
      </c>
      <c r="AS220" s="304">
        <f t="shared" si="219"/>
        <v>-41.909430489533456</v>
      </c>
      <c r="AT220" s="300">
        <f t="shared" si="219"/>
        <v>-22.061144804005146</v>
      </c>
      <c r="AU220" s="300">
        <f t="shared" si="219"/>
        <v>-22.833284872145324</v>
      </c>
      <c r="AV220" s="304">
        <f t="shared" si="219"/>
        <v>-44.894429676150466</v>
      </c>
      <c r="AW220" s="300">
        <f t="shared" si="219"/>
        <v>-23.632449842670407</v>
      </c>
      <c r="AX220" s="300">
        <f t="shared" si="219"/>
        <v>-24.459585587163868</v>
      </c>
      <c r="AY220" s="304">
        <f t="shared" si="219"/>
        <v>-48.092035429834276</v>
      </c>
      <c r="AZ220" s="300">
        <f t="shared" si="219"/>
        <v>-25.315671082714601</v>
      </c>
      <c r="BA220" s="300">
        <f t="shared" si="219"/>
        <v>-26.201719570609612</v>
      </c>
      <c r="BB220" s="304">
        <f t="shared" si="219"/>
        <v>-51.517390653324213</v>
      </c>
      <c r="BC220" s="300">
        <f>BC217+BC219</f>
        <v>-27.118779755580945</v>
      </c>
      <c r="BD220" s="300">
        <f>BD217+BD219</f>
        <v>-28.067937047026277</v>
      </c>
      <c r="BE220" s="304">
        <f>BE217+BE219</f>
        <v>-55.186716802607222</v>
      </c>
    </row>
    <row r="221" spans="2:57" outlineLevel="1">
      <c r="B221" s="243" t="s">
        <v>2302</v>
      </c>
      <c r="C221" s="304">
        <f t="shared" ref="C221:AM221" si="220">C216+C220</f>
        <v>11.25</v>
      </c>
      <c r="D221" s="300">
        <f t="shared" si="220"/>
        <v>19.690000000000001</v>
      </c>
      <c r="E221" s="300">
        <f t="shared" si="220"/>
        <v>-1.6900000000000013</v>
      </c>
      <c r="F221" s="304">
        <f t="shared" si="220"/>
        <v>18</v>
      </c>
      <c r="G221" s="506">
        <f t="shared" si="220"/>
        <v>22.5</v>
      </c>
      <c r="H221" s="300">
        <f t="shared" si="220"/>
        <v>35.25</v>
      </c>
      <c r="I221" s="304">
        <f t="shared" si="220"/>
        <v>57.75</v>
      </c>
      <c r="J221" s="300">
        <f t="shared" si="220"/>
        <v>30</v>
      </c>
      <c r="K221" s="300">
        <f t="shared" si="220"/>
        <v>30</v>
      </c>
      <c r="L221" s="304">
        <f t="shared" si="220"/>
        <v>60</v>
      </c>
      <c r="M221" s="300">
        <f t="shared" si="220"/>
        <v>28.65</v>
      </c>
      <c r="N221" s="300">
        <f>N216+N220</f>
        <v>35.887750000000004</v>
      </c>
      <c r="O221" s="304">
        <f t="shared" si="220"/>
        <v>64.537749999999988</v>
      </c>
      <c r="P221" s="300">
        <f>P216+P220</f>
        <v>18.254741624707258</v>
      </c>
      <c r="Q221" s="300">
        <f t="shared" si="220"/>
        <v>18.259772695965818</v>
      </c>
      <c r="R221" s="304">
        <f t="shared" si="220"/>
        <v>36.514514320673079</v>
      </c>
      <c r="S221" s="300">
        <f t="shared" si="220"/>
        <v>30.011324362714337</v>
      </c>
      <c r="T221" s="300">
        <f t="shared" si="220"/>
        <v>32.289664301795419</v>
      </c>
      <c r="U221" s="304">
        <f t="shared" si="220"/>
        <v>62.300988664509752</v>
      </c>
      <c r="V221" s="300">
        <f t="shared" si="220"/>
        <v>9.277207372334269</v>
      </c>
      <c r="W221" s="300">
        <f t="shared" si="220"/>
        <v>40.831909630365971</v>
      </c>
      <c r="X221" s="304">
        <f t="shared" si="220"/>
        <v>50.109117002700238</v>
      </c>
      <c r="Y221" s="300">
        <f t="shared" si="220"/>
        <v>19.371026467428777</v>
      </c>
      <c r="Z221" s="300">
        <f t="shared" si="220"/>
        <v>30.894012393788785</v>
      </c>
      <c r="AA221" s="304">
        <f t="shared" si="220"/>
        <v>50.265038861217562</v>
      </c>
      <c r="AB221" s="300">
        <f t="shared" si="220"/>
        <v>37.400302827571394</v>
      </c>
      <c r="AC221" s="300">
        <f t="shared" si="220"/>
        <v>10.889313426536395</v>
      </c>
      <c r="AD221" s="304">
        <f t="shared" si="220"/>
        <v>48.289616254107791</v>
      </c>
      <c r="AE221" s="300">
        <f t="shared" si="220"/>
        <v>42.360439396465168</v>
      </c>
      <c r="AF221" s="615">
        <f t="shared" si="220"/>
        <v>21.813054775341453</v>
      </c>
      <c r="AG221" s="304">
        <f t="shared" si="220"/>
        <v>64.173494171806624</v>
      </c>
      <c r="AH221" s="300">
        <f t="shared" si="220"/>
        <v>9.2465116924784034</v>
      </c>
      <c r="AI221" s="300">
        <f t="shared" si="220"/>
        <v>6.660139601715148</v>
      </c>
      <c r="AJ221" s="304">
        <f t="shared" si="220"/>
        <v>15.906651294193551</v>
      </c>
      <c r="AK221" s="300">
        <f>AK216+AK220</f>
        <v>7.0532444877751779</v>
      </c>
      <c r="AL221" s="300">
        <f t="shared" si="220"/>
        <v>14.42510804484731</v>
      </c>
      <c r="AM221" s="304">
        <f t="shared" si="220"/>
        <v>21.478352532622488</v>
      </c>
      <c r="AN221" s="300">
        <f t="shared" ref="AN221:BB221" si="221">AN216+AN220</f>
        <v>15.084986826416969</v>
      </c>
      <c r="AO221" s="300">
        <f t="shared" si="221"/>
        <v>15.774211365341564</v>
      </c>
      <c r="AP221" s="304">
        <f t="shared" si="221"/>
        <v>30.859198191758537</v>
      </c>
      <c r="AQ221" s="300">
        <f t="shared" si="221"/>
        <v>16.494060263128521</v>
      </c>
      <c r="AR221" s="300">
        <f t="shared" si="221"/>
        <v>17.245866977338029</v>
      </c>
      <c r="AS221" s="304">
        <f t="shared" si="221"/>
        <v>33.73992724046655</v>
      </c>
      <c r="AT221" s="300">
        <f t="shared" si="221"/>
        <v>18.031022147094866</v>
      </c>
      <c r="AU221" s="300">
        <f t="shared" si="221"/>
        <v>18.850976016255689</v>
      </c>
      <c r="AV221" s="304">
        <f t="shared" si="221"/>
        <v>36.881998163350559</v>
      </c>
      <c r="AW221" s="300">
        <f t="shared" si="221"/>
        <v>19.707240958301359</v>
      </c>
      <c r="AX221" s="300">
        <f t="shared" si="221"/>
        <v>20.601394107192522</v>
      </c>
      <c r="AY221" s="304">
        <f t="shared" si="221"/>
        <v>40.308635065493881</v>
      </c>
      <c r="AZ221" s="300">
        <f t="shared" si="221"/>
        <v>21.535080098602172</v>
      </c>
      <c r="BA221" s="300">
        <f t="shared" si="221"/>
        <v>22.510013926121538</v>
      </c>
      <c r="BB221" s="304">
        <f t="shared" si="221"/>
        <v>44.04509402472371</v>
      </c>
      <c r="BC221" s="300">
        <f>BC216+BC220</f>
        <v>23.52798391722601</v>
      </c>
      <c r="BD221" s="300">
        <f>BD216+BD220</f>
        <v>24.590854833985716</v>
      </c>
      <c r="BE221" s="304">
        <f>BE216+BE220</f>
        <v>48.118838751211726</v>
      </c>
    </row>
    <row r="222" spans="2:57" outlineLevel="1">
      <c r="B222" s="246" t="s">
        <v>77</v>
      </c>
      <c r="C222" s="298">
        <f>-0.3*C221</f>
        <v>-3.375</v>
      </c>
      <c r="D222" s="311">
        <f>-0.3*D221</f>
        <v>-5.907</v>
      </c>
      <c r="E222" s="296">
        <f>F222-D222</f>
        <v>0.50700000000000056</v>
      </c>
      <c r="F222" s="298">
        <f>-0.3*F221</f>
        <v>-5.3999999999999995</v>
      </c>
      <c r="G222" s="335">
        <f>-0.3*G221</f>
        <v>-6.75</v>
      </c>
      <c r="H222" s="335">
        <f>-0.3*H221</f>
        <v>-10.574999999999999</v>
      </c>
      <c r="I222" s="310">
        <f>G222+H222</f>
        <v>-17.324999999999999</v>
      </c>
      <c r="J222" s="335">
        <f>-0.3*J221</f>
        <v>-9</v>
      </c>
      <c r="K222" s="335">
        <f>-0.3*K221</f>
        <v>-9</v>
      </c>
      <c r="L222" s="310">
        <f>J222+K222</f>
        <v>-18</v>
      </c>
      <c r="M222" s="335">
        <f>-M221*0.29</f>
        <v>-8.3084999999999987</v>
      </c>
      <c r="N222" s="335">
        <f>-N221*0.29</f>
        <v>-10.4074475</v>
      </c>
      <c r="O222" s="336">
        <f>M222+N222</f>
        <v>-18.715947499999999</v>
      </c>
      <c r="P222" s="335">
        <f>-P221*0.29</f>
        <v>-5.2938750711651039</v>
      </c>
      <c r="Q222" s="335">
        <f>-Q221*0.29</f>
        <v>-5.2953340818300871</v>
      </c>
      <c r="R222" s="310">
        <f>P222+Q222</f>
        <v>-10.589209152995192</v>
      </c>
      <c r="S222" s="337">
        <f>-S221*0.29</f>
        <v>-8.703284065187157</v>
      </c>
      <c r="T222" s="337">
        <f>-T221*0.29</f>
        <v>-9.364002647520671</v>
      </c>
      <c r="U222" s="310">
        <f>S222+T222</f>
        <v>-18.067286712707826</v>
      </c>
      <c r="V222" s="338">
        <f>-V221*0.29</f>
        <v>-2.6903901379769377</v>
      </c>
      <c r="W222" s="338">
        <f>-W221*0.29</f>
        <v>-11.84125379280613</v>
      </c>
      <c r="X222" s="310">
        <f>V222+W222</f>
        <v>-14.531643930783067</v>
      </c>
      <c r="Y222" s="311">
        <f>-Y221*0.29</f>
        <v>-5.6175976755543449</v>
      </c>
      <c r="Z222" s="311">
        <f>-Z221*0.29</f>
        <v>-8.9592635941987471</v>
      </c>
      <c r="AA222" s="310">
        <f>Y222+Z222</f>
        <v>-14.576861269753092</v>
      </c>
      <c r="AB222" s="311">
        <f>-AB221*0.29</f>
        <v>-10.846087819995704</v>
      </c>
      <c r="AC222" s="311">
        <f>-AC221*0.29</f>
        <v>-3.1579008936955542</v>
      </c>
      <c r="AD222" s="310">
        <f>AB222+AC222</f>
        <v>-14.003988713691259</v>
      </c>
      <c r="AE222" s="311">
        <f>-AE221*0.29</f>
        <v>-12.284527424974899</v>
      </c>
      <c r="AF222" s="626">
        <f>-AF221*0.29</f>
        <v>-6.3257858848490205</v>
      </c>
      <c r="AG222" s="310">
        <f>AE222+AF222</f>
        <v>-18.610313309823919</v>
      </c>
      <c r="AH222" s="311">
        <f>-AH221*0.29</f>
        <v>-2.6814883908187368</v>
      </c>
      <c r="AI222" s="311">
        <f>-AI221*0.29</f>
        <v>-1.9314404844973927</v>
      </c>
      <c r="AJ222" s="310">
        <f>AH222+AI222</f>
        <v>-4.6129288753161291</v>
      </c>
      <c r="AK222" s="311">
        <f>-AK221*0.29</f>
        <v>-2.0454409014548016</v>
      </c>
      <c r="AL222" s="311">
        <f>-AL221*0.29</f>
        <v>-4.1832813330057199</v>
      </c>
      <c r="AM222" s="310">
        <f>AK222+AL222</f>
        <v>-6.2287222344605215</v>
      </c>
      <c r="AN222" s="311">
        <f>-AN221*0.29</f>
        <v>-4.3746461796609211</v>
      </c>
      <c r="AO222" s="311">
        <f>-AO221*0.29</f>
        <v>-4.5745212959490535</v>
      </c>
      <c r="AP222" s="310">
        <f>AN222+AO222</f>
        <v>-8.9491674756099755</v>
      </c>
      <c r="AQ222" s="311">
        <f>-AQ221*0.29</f>
        <v>-4.783277476307271</v>
      </c>
      <c r="AR222" s="311">
        <f>-AR221*0.29</f>
        <v>-5.0013014234280275</v>
      </c>
      <c r="AS222" s="310">
        <f>AQ222+AR222</f>
        <v>-9.7845788997352976</v>
      </c>
      <c r="AT222" s="311">
        <f>-AT221*0.29</f>
        <v>-5.2289964226575112</v>
      </c>
      <c r="AU222" s="311">
        <f>-AU221*0.29</f>
        <v>-5.4667830447141492</v>
      </c>
      <c r="AV222" s="310">
        <f>AT222+AU222</f>
        <v>-10.695779467371661</v>
      </c>
      <c r="AW222" s="311">
        <f>-AW221*0.29</f>
        <v>-5.7150998779073934</v>
      </c>
      <c r="AX222" s="311">
        <f>-AX221*0.29</f>
        <v>-5.9744042910858308</v>
      </c>
      <c r="AY222" s="310">
        <f>AW222+AX222</f>
        <v>-11.689504168993224</v>
      </c>
      <c r="AZ222" s="311">
        <f>-AZ221*0.29</f>
        <v>-6.2451732285946298</v>
      </c>
      <c r="BA222" s="311">
        <f>-BA221*0.29</f>
        <v>-6.5279040385752456</v>
      </c>
      <c r="BB222" s="310">
        <f>AZ222+BA222</f>
        <v>-12.773077267169874</v>
      </c>
      <c r="BC222" s="311">
        <f>-BC221*0.29</f>
        <v>-6.8231153359955421</v>
      </c>
      <c r="BD222" s="311">
        <f>-BD221*0.29</f>
        <v>-7.1313479018558574</v>
      </c>
      <c r="BE222" s="310">
        <f>BC222+BD222</f>
        <v>-13.9544632378514</v>
      </c>
    </row>
    <row r="223" spans="2:57" outlineLevel="1">
      <c r="B223" s="243" t="s">
        <v>2303</v>
      </c>
      <c r="C223" s="304">
        <f t="shared" ref="C223:AM223" si="222">C221+C222</f>
        <v>7.875</v>
      </c>
      <c r="D223" s="300">
        <f t="shared" si="222"/>
        <v>13.783000000000001</v>
      </c>
      <c r="E223" s="300">
        <f t="shared" si="222"/>
        <v>-1.1830000000000007</v>
      </c>
      <c r="F223" s="304">
        <f t="shared" si="222"/>
        <v>12.600000000000001</v>
      </c>
      <c r="G223" s="506">
        <f t="shared" si="222"/>
        <v>15.75</v>
      </c>
      <c r="H223" s="300">
        <f t="shared" si="222"/>
        <v>24.675000000000001</v>
      </c>
      <c r="I223" s="304">
        <f t="shared" si="222"/>
        <v>40.424999999999997</v>
      </c>
      <c r="J223" s="300">
        <f t="shared" si="222"/>
        <v>21</v>
      </c>
      <c r="K223" s="300">
        <f t="shared" si="222"/>
        <v>21</v>
      </c>
      <c r="L223" s="304">
        <f t="shared" si="222"/>
        <v>42</v>
      </c>
      <c r="M223" s="300">
        <f>M221+M222</f>
        <v>20.3415</v>
      </c>
      <c r="N223" s="300">
        <f>N221+N222</f>
        <v>25.480302500000004</v>
      </c>
      <c r="O223" s="304">
        <f t="shared" si="222"/>
        <v>45.82180249999999</v>
      </c>
      <c r="P223" s="300">
        <f>P221+P222</f>
        <v>12.960866553542154</v>
      </c>
      <c r="Q223" s="300">
        <f t="shared" si="222"/>
        <v>12.96443861413573</v>
      </c>
      <c r="R223" s="304">
        <f t="shared" si="222"/>
        <v>25.925305167677887</v>
      </c>
      <c r="S223" s="300">
        <f t="shared" si="222"/>
        <v>21.308040297527178</v>
      </c>
      <c r="T223" s="300">
        <f t="shared" si="222"/>
        <v>22.925661654274748</v>
      </c>
      <c r="U223" s="304">
        <f t="shared" si="222"/>
        <v>44.233701951801926</v>
      </c>
      <c r="V223" s="300">
        <f t="shared" si="222"/>
        <v>6.5868172343573317</v>
      </c>
      <c r="W223" s="300">
        <f t="shared" si="222"/>
        <v>28.990655837559842</v>
      </c>
      <c r="X223" s="304">
        <f t="shared" si="222"/>
        <v>35.577473071917169</v>
      </c>
      <c r="Y223" s="300">
        <f t="shared" si="222"/>
        <v>13.753428791874432</v>
      </c>
      <c r="Z223" s="300">
        <f t="shared" si="222"/>
        <v>21.934748799590039</v>
      </c>
      <c r="AA223" s="304">
        <f t="shared" si="222"/>
        <v>35.688177591464466</v>
      </c>
      <c r="AB223" s="300">
        <f t="shared" si="222"/>
        <v>26.554215007575692</v>
      </c>
      <c r="AC223" s="300">
        <f t="shared" si="222"/>
        <v>7.7314125328408405</v>
      </c>
      <c r="AD223" s="304">
        <f t="shared" si="222"/>
        <v>34.285627540416534</v>
      </c>
      <c r="AE223" s="300">
        <f t="shared" si="222"/>
        <v>30.075911971490271</v>
      </c>
      <c r="AF223" s="615">
        <f t="shared" si="222"/>
        <v>15.487268890492432</v>
      </c>
      <c r="AG223" s="304">
        <f t="shared" si="222"/>
        <v>45.563180861982701</v>
      </c>
      <c r="AH223" s="300">
        <f t="shared" si="222"/>
        <v>6.5650233016596662</v>
      </c>
      <c r="AI223" s="300">
        <f t="shared" si="222"/>
        <v>4.7286991172177553</v>
      </c>
      <c r="AJ223" s="304">
        <f t="shared" si="222"/>
        <v>11.293722418877422</v>
      </c>
      <c r="AK223" s="300">
        <f>AK221+AK222</f>
        <v>5.0078035863203763</v>
      </c>
      <c r="AL223" s="300">
        <f t="shared" si="222"/>
        <v>10.24182671184159</v>
      </c>
      <c r="AM223" s="304">
        <f t="shared" si="222"/>
        <v>15.249630298161966</v>
      </c>
      <c r="AN223" s="300">
        <f t="shared" ref="AN223:BB223" si="223">AN221+AN222</f>
        <v>10.710340646756048</v>
      </c>
      <c r="AO223" s="300">
        <f t="shared" si="223"/>
        <v>11.19969006939251</v>
      </c>
      <c r="AP223" s="304">
        <f t="shared" si="223"/>
        <v>21.910030716148562</v>
      </c>
      <c r="AQ223" s="300">
        <f t="shared" si="223"/>
        <v>11.71078278682125</v>
      </c>
      <c r="AR223" s="300">
        <f t="shared" si="223"/>
        <v>12.24456555391</v>
      </c>
      <c r="AS223" s="304">
        <f t="shared" si="223"/>
        <v>23.955348340731252</v>
      </c>
      <c r="AT223" s="300">
        <f t="shared" si="223"/>
        <v>12.802025724437355</v>
      </c>
      <c r="AU223" s="300">
        <f t="shared" si="223"/>
        <v>13.384192971541541</v>
      </c>
      <c r="AV223" s="304">
        <f t="shared" si="223"/>
        <v>26.186218695978898</v>
      </c>
      <c r="AW223" s="300">
        <f t="shared" si="223"/>
        <v>13.992141080393965</v>
      </c>
      <c r="AX223" s="300">
        <f t="shared" si="223"/>
        <v>14.626989816106692</v>
      </c>
      <c r="AY223" s="304">
        <f t="shared" si="223"/>
        <v>28.619130896500657</v>
      </c>
      <c r="AZ223" s="300">
        <f t="shared" si="223"/>
        <v>15.289906870007542</v>
      </c>
      <c r="BA223" s="300">
        <f t="shared" si="223"/>
        <v>15.982109887546292</v>
      </c>
      <c r="BB223" s="304">
        <f t="shared" si="223"/>
        <v>31.272016757553835</v>
      </c>
      <c r="BC223" s="300">
        <f>BC221+BC222</f>
        <v>16.704868581230468</v>
      </c>
      <c r="BD223" s="300">
        <f>BD221+BD222</f>
        <v>17.459506932129859</v>
      </c>
      <c r="BE223" s="304">
        <f>BE221+BE222</f>
        <v>34.164375513360326</v>
      </c>
    </row>
    <row r="224" spans="2:57" outlineLevel="1">
      <c r="B224" s="246" t="s">
        <v>2304</v>
      </c>
      <c r="C224" s="310"/>
      <c r="D224" s="296"/>
      <c r="E224" s="296"/>
      <c r="F224" s="310"/>
      <c r="G224" s="339"/>
      <c r="H224" s="296"/>
      <c r="I224" s="310"/>
      <c r="J224" s="296"/>
      <c r="K224" s="296"/>
      <c r="L224" s="310"/>
      <c r="M224" s="296"/>
      <c r="N224" s="296"/>
      <c r="O224" s="310"/>
      <c r="P224" s="296"/>
      <c r="Q224" s="296"/>
      <c r="R224" s="310"/>
      <c r="S224" s="296">
        <v>29</v>
      </c>
      <c r="T224" s="296">
        <f>U224-S224</f>
        <v>23</v>
      </c>
      <c r="U224" s="310">
        <v>52</v>
      </c>
      <c r="V224" s="296">
        <v>1</v>
      </c>
      <c r="W224" s="296">
        <v>2</v>
      </c>
      <c r="X224" s="310">
        <f>SUM(V224:W224)</f>
        <v>3</v>
      </c>
      <c r="Y224" s="296">
        <v>9</v>
      </c>
      <c r="Z224" s="296">
        <v>5</v>
      </c>
      <c r="AA224" s="310">
        <f>Y224+Z224</f>
        <v>14</v>
      </c>
      <c r="AB224" s="296"/>
      <c r="AC224" s="296"/>
      <c r="AD224" s="310">
        <f>AB224+AC224</f>
        <v>0</v>
      </c>
      <c r="AE224" s="296"/>
      <c r="AF224" s="322"/>
      <c r="AG224" s="310">
        <f>AD224</f>
        <v>0</v>
      </c>
      <c r="AH224" s="296"/>
      <c r="AI224" s="296"/>
      <c r="AJ224" s="310">
        <f>AG224</f>
        <v>0</v>
      </c>
      <c r="AK224" s="296"/>
      <c r="AL224" s="296"/>
      <c r="AM224" s="310">
        <f>AJ224</f>
        <v>0</v>
      </c>
      <c r="AN224" s="296"/>
      <c r="AO224" s="296"/>
      <c r="AP224" s="310">
        <f>AM224</f>
        <v>0</v>
      </c>
      <c r="AQ224" s="296"/>
      <c r="AR224" s="296"/>
      <c r="AS224" s="310">
        <f>AP224</f>
        <v>0</v>
      </c>
      <c r="AT224" s="296"/>
      <c r="AU224" s="296"/>
      <c r="AV224" s="310">
        <f>AS224</f>
        <v>0</v>
      </c>
      <c r="AW224" s="296"/>
      <c r="AX224" s="296"/>
      <c r="AY224" s="310">
        <f>AV224</f>
        <v>0</v>
      </c>
      <c r="AZ224" s="296"/>
      <c r="BA224" s="296"/>
      <c r="BB224" s="310">
        <f>AY224</f>
        <v>0</v>
      </c>
      <c r="BC224" s="296"/>
      <c r="BD224" s="296"/>
      <c r="BE224" s="310">
        <f>BB224</f>
        <v>0</v>
      </c>
    </row>
    <row r="225" spans="2:57" outlineLevel="1">
      <c r="B225" s="246" t="s">
        <v>2305</v>
      </c>
      <c r="C225" s="310"/>
      <c r="D225" s="296"/>
      <c r="E225" s="296"/>
      <c r="F225" s="310"/>
      <c r="G225" s="339"/>
      <c r="H225" s="296"/>
      <c r="I225" s="310"/>
      <c r="J225" s="296"/>
      <c r="K225" s="296"/>
      <c r="L225" s="310"/>
      <c r="M225" s="296"/>
      <c r="N225" s="296"/>
      <c r="O225" s="310"/>
      <c r="P225" s="296"/>
      <c r="Q225" s="296"/>
      <c r="R225" s="310"/>
      <c r="S225" s="296">
        <f>-(S224-S226)</f>
        <v>-11.600000000000001</v>
      </c>
      <c r="T225" s="296">
        <f>U225-S225</f>
        <v>-12.399999999999999</v>
      </c>
      <c r="U225" s="310">
        <f>U226-U224</f>
        <v>-24</v>
      </c>
      <c r="V225" s="296">
        <f>V226-V224</f>
        <v>0</v>
      </c>
      <c r="W225" s="296">
        <f>W226-W224</f>
        <v>0</v>
      </c>
      <c r="X225" s="310">
        <f>X226-X224</f>
        <v>0</v>
      </c>
      <c r="Y225" s="296">
        <f>Y226-Y224</f>
        <v>-1</v>
      </c>
      <c r="Z225" s="296"/>
      <c r="AA225" s="310">
        <f>AA226-AA224</f>
        <v>-6</v>
      </c>
      <c r="AB225" s="296"/>
      <c r="AC225" s="296"/>
      <c r="AD225" s="310"/>
      <c r="AE225" s="296"/>
      <c r="AF225" s="322"/>
      <c r="AG225" s="310"/>
      <c r="AH225" s="296"/>
      <c r="AI225" s="296"/>
      <c r="AJ225" s="310"/>
      <c r="AK225" s="296"/>
      <c r="AL225" s="296"/>
      <c r="AM225" s="310"/>
      <c r="AN225" s="296"/>
      <c r="AO225" s="296"/>
      <c r="AP225" s="310"/>
      <c r="AQ225" s="296"/>
      <c r="AR225" s="296"/>
      <c r="AS225" s="310"/>
      <c r="AT225" s="296"/>
      <c r="AU225" s="296"/>
      <c r="AV225" s="310"/>
      <c r="AW225" s="296"/>
      <c r="AX225" s="296"/>
      <c r="AY225" s="310"/>
      <c r="AZ225" s="296"/>
      <c r="BA225" s="296"/>
      <c r="BB225" s="310"/>
      <c r="BC225" s="296"/>
      <c r="BD225" s="296"/>
      <c r="BE225" s="310"/>
    </row>
    <row r="226" spans="2:57" outlineLevel="1">
      <c r="B226" s="246" t="s">
        <v>2306</v>
      </c>
      <c r="C226" s="310">
        <v>-14</v>
      </c>
      <c r="D226" s="296">
        <v>-2</v>
      </c>
      <c r="E226" s="296">
        <f>F226-D226</f>
        <v>2</v>
      </c>
      <c r="F226" s="310">
        <v>0</v>
      </c>
      <c r="G226" s="339">
        <f>12+6</f>
        <v>18</v>
      </c>
      <c r="H226" s="296">
        <f>-11+7</f>
        <v>-4</v>
      </c>
      <c r="I226" s="310">
        <f>G226+H226</f>
        <v>14</v>
      </c>
      <c r="J226" s="296">
        <f>-9+12</f>
        <v>3</v>
      </c>
      <c r="K226" s="296">
        <f>L226-J226</f>
        <v>11</v>
      </c>
      <c r="L226" s="310">
        <f>-15+29</f>
        <v>14</v>
      </c>
      <c r="M226" s="296">
        <f>+O226-N226</f>
        <v>27</v>
      </c>
      <c r="N226" s="296">
        <v>24</v>
      </c>
      <c r="O226" s="310">
        <v>51</v>
      </c>
      <c r="P226" s="296">
        <v>-1</v>
      </c>
      <c r="Q226" s="296">
        <f>+R226-P226</f>
        <v>20</v>
      </c>
      <c r="R226" s="310">
        <v>19</v>
      </c>
      <c r="S226" s="296">
        <v>17.399999999999999</v>
      </c>
      <c r="T226" s="296">
        <f>+U226-S226</f>
        <v>10.600000000000001</v>
      </c>
      <c r="U226" s="310">
        <v>28</v>
      </c>
      <c r="V226" s="296">
        <f>-1+2</f>
        <v>1</v>
      </c>
      <c r="W226" s="296">
        <f>1+1</f>
        <v>2</v>
      </c>
      <c r="X226" s="310">
        <f>SUM(V226:W226)</f>
        <v>3</v>
      </c>
      <c r="Y226" s="296">
        <f>6+2</f>
        <v>8</v>
      </c>
      <c r="Z226" s="296"/>
      <c r="AA226" s="310">
        <f>SUM(Y226:Z226)</f>
        <v>8</v>
      </c>
      <c r="AB226" s="296"/>
      <c r="AC226" s="296"/>
      <c r="AD226" s="310"/>
      <c r="AE226" s="296"/>
      <c r="AF226" s="322"/>
      <c r="AG226" s="310"/>
      <c r="AH226" s="296"/>
      <c r="AI226" s="296"/>
      <c r="AJ226" s="310"/>
      <c r="AK226" s="296"/>
      <c r="AL226" s="296"/>
      <c r="AM226" s="310"/>
      <c r="AN226" s="296"/>
      <c r="AO226" s="296"/>
      <c r="AP226" s="310"/>
      <c r="AQ226" s="296"/>
      <c r="AR226" s="296"/>
      <c r="AS226" s="310"/>
      <c r="AT226" s="296"/>
      <c r="AU226" s="296"/>
      <c r="AV226" s="310"/>
      <c r="AW226" s="296"/>
      <c r="AX226" s="296"/>
      <c r="AY226" s="310"/>
      <c r="AZ226" s="296"/>
      <c r="BA226" s="296"/>
      <c r="BB226" s="310"/>
      <c r="BC226" s="296"/>
      <c r="BD226" s="296"/>
      <c r="BE226" s="310"/>
    </row>
    <row r="227" spans="2:57" outlineLevel="1">
      <c r="B227" s="243" t="s">
        <v>2307</v>
      </c>
      <c r="C227" s="304">
        <f t="shared" ref="C227:AM227" si="224">C223+C226</f>
        <v>-6.125</v>
      </c>
      <c r="D227" s="300">
        <f t="shared" si="224"/>
        <v>11.783000000000001</v>
      </c>
      <c r="E227" s="300">
        <f t="shared" si="224"/>
        <v>0.81699999999999928</v>
      </c>
      <c r="F227" s="304">
        <f t="shared" si="224"/>
        <v>12.600000000000001</v>
      </c>
      <c r="G227" s="506">
        <f t="shared" si="224"/>
        <v>33.75</v>
      </c>
      <c r="H227" s="506">
        <f t="shared" si="224"/>
        <v>20.675000000000001</v>
      </c>
      <c r="I227" s="507">
        <f t="shared" si="224"/>
        <v>54.424999999999997</v>
      </c>
      <c r="J227" s="506">
        <f t="shared" si="224"/>
        <v>24</v>
      </c>
      <c r="K227" s="506">
        <f t="shared" si="224"/>
        <v>32</v>
      </c>
      <c r="L227" s="507">
        <f t="shared" si="224"/>
        <v>56</v>
      </c>
      <c r="M227" s="506">
        <f t="shared" si="224"/>
        <v>47.341499999999996</v>
      </c>
      <c r="N227" s="506">
        <f t="shared" si="224"/>
        <v>49.480302500000008</v>
      </c>
      <c r="O227" s="507">
        <f t="shared" si="224"/>
        <v>96.82180249999999</v>
      </c>
      <c r="P227" s="506">
        <f t="shared" si="224"/>
        <v>11.960866553542154</v>
      </c>
      <c r="Q227" s="506">
        <f t="shared" si="224"/>
        <v>32.96443861413573</v>
      </c>
      <c r="R227" s="507">
        <f t="shared" si="224"/>
        <v>44.925305167677891</v>
      </c>
      <c r="S227" s="508">
        <f t="shared" si="224"/>
        <v>38.708040297527177</v>
      </c>
      <c r="T227" s="506">
        <f t="shared" si="224"/>
        <v>33.525661654274749</v>
      </c>
      <c r="U227" s="507">
        <f t="shared" si="224"/>
        <v>72.233701951801919</v>
      </c>
      <c r="V227" s="508">
        <f t="shared" si="224"/>
        <v>7.5868172343573317</v>
      </c>
      <c r="W227" s="506">
        <f t="shared" si="224"/>
        <v>30.990655837559842</v>
      </c>
      <c r="X227" s="507">
        <f t="shared" si="224"/>
        <v>38.577473071917169</v>
      </c>
      <c r="Y227" s="508">
        <f t="shared" si="224"/>
        <v>21.753428791874434</v>
      </c>
      <c r="Z227" s="506">
        <f t="shared" si="224"/>
        <v>21.934748799590039</v>
      </c>
      <c r="AA227" s="507">
        <f t="shared" si="224"/>
        <v>43.688177591464466</v>
      </c>
      <c r="AB227" s="508">
        <f t="shared" si="224"/>
        <v>26.554215007575692</v>
      </c>
      <c r="AC227" s="506">
        <f t="shared" si="224"/>
        <v>7.7314125328408405</v>
      </c>
      <c r="AD227" s="507">
        <f t="shared" si="224"/>
        <v>34.285627540416534</v>
      </c>
      <c r="AE227" s="508">
        <f t="shared" si="224"/>
        <v>30.075911971490271</v>
      </c>
      <c r="AF227" s="618">
        <f t="shared" si="224"/>
        <v>15.487268890492432</v>
      </c>
      <c r="AG227" s="507">
        <f t="shared" si="224"/>
        <v>45.563180861982701</v>
      </c>
      <c r="AH227" s="506">
        <f t="shared" si="224"/>
        <v>6.5650233016596662</v>
      </c>
      <c r="AI227" s="506">
        <f t="shared" si="224"/>
        <v>4.7286991172177553</v>
      </c>
      <c r="AJ227" s="507">
        <f t="shared" si="224"/>
        <v>11.293722418877422</v>
      </c>
      <c r="AK227" s="506">
        <f>AK223+AK226</f>
        <v>5.0078035863203763</v>
      </c>
      <c r="AL227" s="506">
        <f t="shared" si="224"/>
        <v>10.24182671184159</v>
      </c>
      <c r="AM227" s="507">
        <f t="shared" si="224"/>
        <v>15.249630298161966</v>
      </c>
      <c r="AN227" s="508">
        <f t="shared" ref="AN227:BB227" si="225">AN223+AN226</f>
        <v>10.710340646756048</v>
      </c>
      <c r="AO227" s="506">
        <f t="shared" si="225"/>
        <v>11.19969006939251</v>
      </c>
      <c r="AP227" s="507">
        <f t="shared" si="225"/>
        <v>21.910030716148562</v>
      </c>
      <c r="AQ227" s="508">
        <f t="shared" si="225"/>
        <v>11.71078278682125</v>
      </c>
      <c r="AR227" s="506">
        <f t="shared" si="225"/>
        <v>12.24456555391</v>
      </c>
      <c r="AS227" s="507">
        <f t="shared" si="225"/>
        <v>23.955348340731252</v>
      </c>
      <c r="AT227" s="508">
        <f t="shared" si="225"/>
        <v>12.802025724437355</v>
      </c>
      <c r="AU227" s="506">
        <f t="shared" si="225"/>
        <v>13.384192971541541</v>
      </c>
      <c r="AV227" s="507">
        <f t="shared" si="225"/>
        <v>26.186218695978898</v>
      </c>
      <c r="AW227" s="508">
        <f t="shared" si="225"/>
        <v>13.992141080393965</v>
      </c>
      <c r="AX227" s="506">
        <f t="shared" si="225"/>
        <v>14.626989816106692</v>
      </c>
      <c r="AY227" s="507">
        <f t="shared" si="225"/>
        <v>28.619130896500657</v>
      </c>
      <c r="AZ227" s="508">
        <f t="shared" si="225"/>
        <v>15.289906870007542</v>
      </c>
      <c r="BA227" s="506">
        <f t="shared" si="225"/>
        <v>15.982109887546292</v>
      </c>
      <c r="BB227" s="507">
        <f t="shared" si="225"/>
        <v>31.272016757553835</v>
      </c>
      <c r="BC227" s="508">
        <f>BC223+BC226</f>
        <v>16.704868581230468</v>
      </c>
      <c r="BD227" s="506">
        <f>BD223+BD226</f>
        <v>17.459506932129859</v>
      </c>
      <c r="BE227" s="507">
        <f>BE223+BE226</f>
        <v>34.164375513360326</v>
      </c>
    </row>
    <row r="228" spans="2:57" outlineLevel="1">
      <c r="C228" s="310"/>
      <c r="F228" s="287"/>
      <c r="I228" s="287"/>
      <c r="L228" s="287"/>
      <c r="O228" s="287"/>
      <c r="R228" s="287"/>
      <c r="U228" s="287"/>
      <c r="X228" s="287"/>
      <c r="AA228" s="287"/>
      <c r="AD228" s="287"/>
      <c r="AF228" s="613"/>
      <c r="AG228" s="287"/>
      <c r="AJ228" s="287"/>
      <c r="AM228" s="287"/>
      <c r="AP228" s="287"/>
      <c r="AS228" s="287"/>
      <c r="AV228" s="287"/>
      <c r="AY228" s="287"/>
      <c r="BB228" s="287"/>
      <c r="BE228" s="287"/>
    </row>
    <row r="229" spans="2:57">
      <c r="C229" s="287"/>
      <c r="F229" s="287"/>
      <c r="I229" s="287"/>
      <c r="L229" s="287"/>
      <c r="O229" s="287"/>
      <c r="R229" s="287"/>
      <c r="U229" s="287"/>
      <c r="X229" s="287"/>
      <c r="AA229" s="287"/>
      <c r="AD229" s="287"/>
      <c r="AF229" s="613"/>
      <c r="AG229" s="287"/>
      <c r="AJ229" s="287"/>
      <c r="AM229" s="287"/>
      <c r="AP229" s="287"/>
      <c r="AS229" s="287"/>
      <c r="AV229" s="287"/>
      <c r="AY229" s="287"/>
      <c r="BB229" s="287"/>
      <c r="BE229" s="287"/>
    </row>
    <row r="230" spans="2:57">
      <c r="B230" s="247" t="s">
        <v>2344</v>
      </c>
      <c r="C230" s="340"/>
      <c r="D230" s="247"/>
      <c r="E230" s="247"/>
      <c r="F230" s="340"/>
      <c r="G230" s="247"/>
      <c r="H230" s="247"/>
      <c r="I230" s="340"/>
      <c r="J230" s="247"/>
      <c r="K230" s="247"/>
      <c r="L230" s="340"/>
      <c r="M230" s="247"/>
      <c r="N230" s="247"/>
      <c r="O230" s="340"/>
      <c r="P230" s="247"/>
      <c r="Q230" s="247"/>
      <c r="R230" s="340"/>
      <c r="S230" s="247"/>
      <c r="T230" s="247"/>
      <c r="U230" s="340"/>
      <c r="V230" s="247"/>
      <c r="W230" s="247"/>
      <c r="X230" s="340"/>
      <c r="Y230" s="247"/>
      <c r="Z230" s="247"/>
      <c r="AA230" s="340"/>
      <c r="AB230" s="247"/>
      <c r="AC230" s="247"/>
      <c r="AD230" s="340"/>
      <c r="AE230" s="247"/>
      <c r="AF230" s="366"/>
      <c r="AG230" s="340"/>
      <c r="AH230" s="247"/>
      <c r="AI230" s="247"/>
      <c r="AJ230" s="340"/>
      <c r="AK230" s="247"/>
      <c r="AL230" s="247"/>
      <c r="AM230" s="340"/>
      <c r="AN230" s="247"/>
      <c r="AO230" s="247"/>
      <c r="AP230" s="340"/>
      <c r="AQ230" s="247"/>
      <c r="AR230" s="247"/>
      <c r="AS230" s="340"/>
      <c r="AT230" s="247"/>
      <c r="AU230" s="247"/>
      <c r="AV230" s="340"/>
      <c r="AW230" s="247"/>
      <c r="AX230" s="247"/>
      <c r="AY230" s="340"/>
      <c r="AZ230" s="247"/>
      <c r="BA230" s="247"/>
      <c r="BB230" s="340"/>
      <c r="BC230" s="247"/>
      <c r="BD230" s="247"/>
      <c r="BE230" s="340"/>
    </row>
    <row r="231" spans="2:57">
      <c r="B231" s="243" t="s">
        <v>2345</v>
      </c>
      <c r="C231" s="341"/>
      <c r="D231" s="342"/>
      <c r="E231" s="243"/>
      <c r="F231" s="299"/>
      <c r="G231" s="243"/>
      <c r="H231" s="243"/>
      <c r="I231" s="287"/>
      <c r="L231" s="287"/>
      <c r="O231" s="287"/>
      <c r="R231" s="287"/>
      <c r="U231" s="287"/>
      <c r="X231" s="287"/>
      <c r="AA231" s="287"/>
      <c r="AD231" s="287"/>
      <c r="AF231" s="613"/>
      <c r="AG231" s="287"/>
      <c r="AJ231" s="287"/>
      <c r="AM231" s="287"/>
      <c r="AP231" s="287"/>
      <c r="AS231" s="287"/>
      <c r="AV231" s="287"/>
      <c r="AY231" s="287"/>
      <c r="BB231" s="287"/>
      <c r="BE231" s="287"/>
    </row>
    <row r="232" spans="2:57" s="251" customFormat="1">
      <c r="B232" s="251" t="s">
        <v>2346</v>
      </c>
      <c r="C232" s="252"/>
      <c r="F232" s="252">
        <v>9</v>
      </c>
      <c r="G232" s="251">
        <v>12</v>
      </c>
      <c r="H232" s="251">
        <v>11</v>
      </c>
      <c r="I232" s="252">
        <v>11</v>
      </c>
      <c r="J232" s="251">
        <v>10</v>
      </c>
      <c r="K232" s="251">
        <f t="shared" ref="K232:K237" si="226">L232</f>
        <v>11</v>
      </c>
      <c r="L232" s="252">
        <v>11</v>
      </c>
      <c r="M232" s="251">
        <v>11</v>
      </c>
      <c r="O232" s="252">
        <v>12</v>
      </c>
      <c r="P232" s="251">
        <v>13</v>
      </c>
      <c r="R232" s="252">
        <f>9+2</f>
        <v>11</v>
      </c>
      <c r="S232" s="251">
        <v>12</v>
      </c>
      <c r="U232" s="252">
        <v>11</v>
      </c>
      <c r="V232" s="251">
        <f>2+11</f>
        <v>13</v>
      </c>
      <c r="X232" s="545">
        <v>3</v>
      </c>
      <c r="Y232" s="547">
        <f>AVERAGE(X232,AA232)</f>
        <v>4</v>
      </c>
      <c r="AA232" s="545">
        <v>5</v>
      </c>
      <c r="AB232" s="547">
        <f>AVERAGE(AA232,AD232)</f>
        <v>4</v>
      </c>
      <c r="AD232" s="252">
        <v>3</v>
      </c>
      <c r="AE232" s="547">
        <f>AVERAGE(AD232,AG232)</f>
        <v>3</v>
      </c>
      <c r="AF232" s="260"/>
      <c r="AG232" s="252">
        <v>3</v>
      </c>
      <c r="AH232" s="547">
        <f>AVERAGE(AG232,AJ232)</f>
        <v>5.5</v>
      </c>
      <c r="AJ232" s="252">
        <f>5+3</f>
        <v>8</v>
      </c>
      <c r="AK232" s="251">
        <v>0</v>
      </c>
      <c r="AM232" s="252">
        <v>0</v>
      </c>
      <c r="AN232" s="251">
        <v>0</v>
      </c>
      <c r="AP232" s="252">
        <f t="shared" ref="AP232:AQ236" si="227">AP$237*AP240</f>
        <v>0</v>
      </c>
      <c r="AQ232" s="251" t="e">
        <f t="shared" si="227"/>
        <v>#N/A</v>
      </c>
      <c r="AS232" s="252" t="e">
        <f t="shared" ref="AS232:AT236" si="228">AS$237*AS240</f>
        <v>#N/A</v>
      </c>
      <c r="AT232" s="251" t="e">
        <f t="shared" si="228"/>
        <v>#N/A</v>
      </c>
      <c r="AV232" s="252" t="e">
        <f t="shared" ref="AV232:AW236" si="229">AV$237*AV240</f>
        <v>#N/A</v>
      </c>
      <c r="AW232" s="251" t="e">
        <f t="shared" si="229"/>
        <v>#N/A</v>
      </c>
      <c r="AY232" s="252" t="e">
        <f t="shared" ref="AY232:AZ236" si="230">AY$237*AY240</f>
        <v>#N/A</v>
      </c>
      <c r="AZ232" s="251" t="e">
        <f t="shared" si="230"/>
        <v>#N/A</v>
      </c>
      <c r="BB232" s="252" t="e">
        <f t="shared" ref="BB232:BC236" si="231">BB$237*BB240</f>
        <v>#N/A</v>
      </c>
      <c r="BC232" s="251" t="e">
        <f t="shared" si="231"/>
        <v>#N/A</v>
      </c>
      <c r="BE232" s="252" t="e">
        <f>BE$237*BE240</f>
        <v>#N/A</v>
      </c>
    </row>
    <row r="233" spans="2:57" s="251" customFormat="1">
      <c r="B233" s="251" t="s">
        <v>2347</v>
      </c>
      <c r="C233" s="252"/>
      <c r="F233" s="252">
        <v>23</v>
      </c>
      <c r="G233" s="251">
        <v>16</v>
      </c>
      <c r="H233" s="251">
        <v>15</v>
      </c>
      <c r="I233" s="252">
        <v>15</v>
      </c>
      <c r="J233" s="251">
        <v>14</v>
      </c>
      <c r="K233" s="251">
        <f t="shared" si="226"/>
        <v>10</v>
      </c>
      <c r="L233" s="252">
        <v>10</v>
      </c>
      <c r="M233" s="251">
        <v>1</v>
      </c>
      <c r="O233" s="252">
        <v>1</v>
      </c>
      <c r="P233" s="251">
        <v>2</v>
      </c>
      <c r="R233" s="252">
        <v>1</v>
      </c>
      <c r="S233" s="251">
        <v>2</v>
      </c>
      <c r="U233" s="252">
        <v>1</v>
      </c>
      <c r="V233" s="251">
        <v>1</v>
      </c>
      <c r="X233" s="545">
        <v>0</v>
      </c>
      <c r="Y233" s="547">
        <f>AVERAGE(X233,AA233)</f>
        <v>0</v>
      </c>
      <c r="AA233" s="545">
        <v>0</v>
      </c>
      <c r="AB233" s="547">
        <f>AVERAGE(AA233,AD233)</f>
        <v>0</v>
      </c>
      <c r="AD233" s="252">
        <v>0</v>
      </c>
      <c r="AE233" s="547">
        <f>AVERAGE(AD233,AG233)</f>
        <v>0</v>
      </c>
      <c r="AF233" s="260"/>
      <c r="AG233" s="252">
        <v>0</v>
      </c>
      <c r="AH233" s="547">
        <f>AVERAGE(AG233,AJ233)</f>
        <v>0</v>
      </c>
      <c r="AJ233" s="252">
        <v>0</v>
      </c>
      <c r="AK233" s="251">
        <v>0</v>
      </c>
      <c r="AM233" s="252">
        <v>0</v>
      </c>
      <c r="AN233" s="251">
        <v>0</v>
      </c>
      <c r="AP233" s="252">
        <f t="shared" si="227"/>
        <v>0</v>
      </c>
      <c r="AQ233" s="251" t="e">
        <f t="shared" si="227"/>
        <v>#N/A</v>
      </c>
      <c r="AS233" s="252" t="e">
        <f t="shared" si="228"/>
        <v>#N/A</v>
      </c>
      <c r="AT233" s="251" t="e">
        <f t="shared" si="228"/>
        <v>#N/A</v>
      </c>
      <c r="AV233" s="252" t="e">
        <f t="shared" si="229"/>
        <v>#N/A</v>
      </c>
      <c r="AW233" s="251" t="e">
        <f t="shared" si="229"/>
        <v>#N/A</v>
      </c>
      <c r="AY233" s="252" t="e">
        <f t="shared" si="230"/>
        <v>#N/A</v>
      </c>
      <c r="AZ233" s="251" t="e">
        <f t="shared" si="230"/>
        <v>#N/A</v>
      </c>
      <c r="BB233" s="252" t="e">
        <f t="shared" si="231"/>
        <v>#N/A</v>
      </c>
      <c r="BC233" s="251" t="e">
        <f t="shared" si="231"/>
        <v>#N/A</v>
      </c>
      <c r="BE233" s="252" t="e">
        <f>BE$237*BE241</f>
        <v>#N/A</v>
      </c>
    </row>
    <row r="234" spans="2:57" s="251" customFormat="1">
      <c r="B234" s="251" t="s">
        <v>2348</v>
      </c>
      <c r="C234" s="252"/>
      <c r="F234" s="252">
        <v>394</v>
      </c>
      <c r="G234" s="251">
        <v>398</v>
      </c>
      <c r="H234" s="251">
        <v>339</v>
      </c>
      <c r="I234" s="252">
        <v>339</v>
      </c>
      <c r="J234" s="251">
        <v>322</v>
      </c>
      <c r="K234" s="251">
        <f t="shared" si="226"/>
        <v>277</v>
      </c>
      <c r="L234" s="252">
        <v>277</v>
      </c>
      <c r="M234" s="251">
        <v>290</v>
      </c>
      <c r="O234" s="252">
        <v>270</v>
      </c>
      <c r="P234" s="251">
        <v>233</v>
      </c>
      <c r="R234" s="252">
        <v>242</v>
      </c>
      <c r="S234" s="251">
        <v>230</v>
      </c>
      <c r="U234" s="252">
        <v>251</v>
      </c>
      <c r="V234" s="251">
        <v>258</v>
      </c>
      <c r="X234" s="545">
        <v>251</v>
      </c>
      <c r="Y234" s="547">
        <f>AVERAGE(X234,AA234)</f>
        <v>194.5</v>
      </c>
      <c r="AA234" s="545">
        <v>138</v>
      </c>
      <c r="AB234" s="547">
        <f>AVERAGE(AA234,AD234)</f>
        <v>138</v>
      </c>
      <c r="AD234" s="252"/>
      <c r="AE234" s="547">
        <f>AVERAGE(AD234,AG234)</f>
        <v>14</v>
      </c>
      <c r="AF234" s="260"/>
      <c r="AG234" s="252">
        <v>14</v>
      </c>
      <c r="AH234" s="547">
        <f>AVERAGE(AG234,AJ234)</f>
        <v>67.5</v>
      </c>
      <c r="AJ234" s="252">
        <v>121</v>
      </c>
      <c r="AK234" s="251">
        <v>22</v>
      </c>
      <c r="AM234" s="252">
        <v>22</v>
      </c>
      <c r="AN234" s="251">
        <v>22</v>
      </c>
      <c r="AP234" s="252">
        <f t="shared" si="227"/>
        <v>18.632562600313772</v>
      </c>
      <c r="AQ234" s="251" t="e">
        <f t="shared" si="227"/>
        <v>#N/A</v>
      </c>
      <c r="AS234" s="252" t="e">
        <f t="shared" si="228"/>
        <v>#N/A</v>
      </c>
      <c r="AT234" s="251" t="e">
        <f t="shared" si="228"/>
        <v>#N/A</v>
      </c>
      <c r="AV234" s="252" t="e">
        <f t="shared" si="229"/>
        <v>#N/A</v>
      </c>
      <c r="AW234" s="251" t="e">
        <f t="shared" si="229"/>
        <v>#N/A</v>
      </c>
      <c r="AY234" s="252" t="e">
        <f t="shared" si="230"/>
        <v>#N/A</v>
      </c>
      <c r="AZ234" s="251" t="e">
        <f t="shared" si="230"/>
        <v>#N/A</v>
      </c>
      <c r="BB234" s="252" t="e">
        <f t="shared" si="231"/>
        <v>#N/A</v>
      </c>
      <c r="BC234" s="251" t="e">
        <f t="shared" si="231"/>
        <v>#N/A</v>
      </c>
      <c r="BE234" s="252" t="e">
        <f>BE$237*BE242</f>
        <v>#N/A</v>
      </c>
    </row>
    <row r="235" spans="2:57" s="251" customFormat="1">
      <c r="B235" s="251" t="s">
        <v>2349</v>
      </c>
      <c r="C235" s="252"/>
      <c r="F235" s="252">
        <v>685</v>
      </c>
      <c r="G235" s="251">
        <v>603</v>
      </c>
      <c r="H235" s="251">
        <v>668</v>
      </c>
      <c r="I235" s="252">
        <v>668</v>
      </c>
      <c r="J235" s="251">
        <v>937</v>
      </c>
      <c r="K235" s="251">
        <f t="shared" si="226"/>
        <v>911</v>
      </c>
      <c r="L235" s="252">
        <v>911</v>
      </c>
      <c r="M235" s="251">
        <v>854</v>
      </c>
      <c r="O235" s="252">
        <v>822</v>
      </c>
      <c r="P235" s="251">
        <v>796</v>
      </c>
      <c r="R235" s="252">
        <v>784</v>
      </c>
      <c r="S235" s="251">
        <v>933</v>
      </c>
      <c r="U235" s="252">
        <v>923</v>
      </c>
      <c r="V235" s="251">
        <v>1157</v>
      </c>
      <c r="X235" s="545">
        <v>1084</v>
      </c>
      <c r="Y235" s="547">
        <f>AVERAGE(X235,AA235)</f>
        <v>1096</v>
      </c>
      <c r="AA235" s="545">
        <v>1108</v>
      </c>
      <c r="AB235" s="547">
        <f>AVERAGE(AA235,AD235)</f>
        <v>1462.5</v>
      </c>
      <c r="AD235" s="252">
        <v>1817</v>
      </c>
      <c r="AE235" s="547">
        <f>AVERAGE(AD235,AG235)</f>
        <v>1277.5</v>
      </c>
      <c r="AF235" s="260"/>
      <c r="AG235" s="252">
        <v>738</v>
      </c>
      <c r="AH235" s="547">
        <f>AVERAGE(AG235,AJ235)</f>
        <v>729.5</v>
      </c>
      <c r="AJ235" s="252">
        <v>721</v>
      </c>
      <c r="AK235" s="251">
        <v>283</v>
      </c>
      <c r="AM235" s="252">
        <v>150</v>
      </c>
      <c r="AN235" s="251">
        <v>0</v>
      </c>
      <c r="AP235" s="252">
        <f t="shared" si="227"/>
        <v>127.04019954759391</v>
      </c>
      <c r="AQ235" s="251" t="e">
        <f t="shared" si="227"/>
        <v>#N/A</v>
      </c>
      <c r="AS235" s="252" t="e">
        <f t="shared" si="228"/>
        <v>#N/A</v>
      </c>
      <c r="AT235" s="251" t="e">
        <f t="shared" si="228"/>
        <v>#N/A</v>
      </c>
      <c r="AV235" s="252" t="e">
        <f t="shared" si="229"/>
        <v>#N/A</v>
      </c>
      <c r="AW235" s="251" t="e">
        <f t="shared" si="229"/>
        <v>#N/A</v>
      </c>
      <c r="AY235" s="252" t="e">
        <f t="shared" si="230"/>
        <v>#N/A</v>
      </c>
      <c r="AZ235" s="251" t="e">
        <f t="shared" si="230"/>
        <v>#N/A</v>
      </c>
      <c r="BB235" s="252" t="e">
        <f t="shared" si="231"/>
        <v>#N/A</v>
      </c>
      <c r="BC235" s="251" t="e">
        <f t="shared" si="231"/>
        <v>#N/A</v>
      </c>
      <c r="BE235" s="252" t="e">
        <f>BE$237*BE243</f>
        <v>#N/A</v>
      </c>
    </row>
    <row r="236" spans="2:57" s="251" customFormat="1">
      <c r="B236" s="251" t="s">
        <v>2350</v>
      </c>
      <c r="C236" s="252"/>
      <c r="F236" s="252">
        <v>835</v>
      </c>
      <c r="G236" s="251">
        <v>810</v>
      </c>
      <c r="H236" s="251">
        <v>943</v>
      </c>
      <c r="I236" s="252">
        <v>943</v>
      </c>
      <c r="J236" s="251">
        <v>1036</v>
      </c>
      <c r="K236" s="251">
        <f t="shared" si="226"/>
        <v>1204</v>
      </c>
      <c r="L236" s="252">
        <v>1204</v>
      </c>
      <c r="M236" s="251">
        <v>1208</v>
      </c>
      <c r="O236" s="252">
        <v>1468</v>
      </c>
      <c r="P236" s="251">
        <v>1528</v>
      </c>
      <c r="R236" s="252">
        <v>1441</v>
      </c>
      <c r="S236" s="251">
        <v>1555</v>
      </c>
      <c r="U236" s="252">
        <v>1794</v>
      </c>
      <c r="V236" s="251">
        <v>1692</v>
      </c>
      <c r="X236" s="545">
        <v>1918</v>
      </c>
      <c r="Y236" s="547">
        <f>AVERAGE(X236,AA236)</f>
        <v>2093</v>
      </c>
      <c r="AA236" s="545">
        <v>2268</v>
      </c>
      <c r="AB236" s="547">
        <f>AVERAGE(AA236,AD236)</f>
        <v>2085</v>
      </c>
      <c r="AD236" s="252">
        <v>1902</v>
      </c>
      <c r="AE236" s="547">
        <f>AVERAGE(AD236,AG236)</f>
        <v>2448.5</v>
      </c>
      <c r="AF236" s="260"/>
      <c r="AG236" s="252">
        <v>2995</v>
      </c>
      <c r="AH236" s="547">
        <f>AVERAGE(AG236,AJ236)</f>
        <v>2966.5</v>
      </c>
      <c r="AJ236" s="252">
        <v>2938</v>
      </c>
      <c r="AK236" s="251">
        <v>1132</v>
      </c>
      <c r="AM236" s="252">
        <v>1146</v>
      </c>
      <c r="AN236" s="251">
        <v>1029</v>
      </c>
      <c r="AP236" s="252">
        <f t="shared" si="227"/>
        <v>970.58712454361762</v>
      </c>
      <c r="AQ236" s="251" t="e">
        <f t="shared" si="227"/>
        <v>#N/A</v>
      </c>
      <c r="AS236" s="252" t="e">
        <f t="shared" si="228"/>
        <v>#N/A</v>
      </c>
      <c r="AT236" s="251" t="e">
        <f t="shared" si="228"/>
        <v>#N/A</v>
      </c>
      <c r="AV236" s="252" t="e">
        <f t="shared" si="229"/>
        <v>#N/A</v>
      </c>
      <c r="AW236" s="251" t="e">
        <f t="shared" si="229"/>
        <v>#N/A</v>
      </c>
      <c r="AY236" s="252" t="e">
        <f t="shared" si="230"/>
        <v>#N/A</v>
      </c>
      <c r="AZ236" s="251" t="e">
        <f t="shared" si="230"/>
        <v>#N/A</v>
      </c>
      <c r="BB236" s="252" t="e">
        <f t="shared" si="231"/>
        <v>#N/A</v>
      </c>
      <c r="BC236" s="251" t="e">
        <f t="shared" si="231"/>
        <v>#N/A</v>
      </c>
      <c r="BE236" s="252" t="e">
        <f>BE$237*BE244</f>
        <v>#N/A</v>
      </c>
    </row>
    <row r="237" spans="2:57" s="251" customFormat="1">
      <c r="B237" s="255" t="s">
        <v>168</v>
      </c>
      <c r="C237" s="343">
        <v>1902</v>
      </c>
      <c r="D237" s="307">
        <v>2068</v>
      </c>
      <c r="E237" s="255">
        <f>F237</f>
        <v>1946</v>
      </c>
      <c r="F237" s="256">
        <f>SUM(F232:F236)</f>
        <v>1946</v>
      </c>
      <c r="G237" s="255">
        <f>SUM(G232:G236)</f>
        <v>1839</v>
      </c>
      <c r="H237" s="255">
        <f>SUM(H232:H236)</f>
        <v>1976</v>
      </c>
      <c r="I237" s="256">
        <f>SUM(I232:I236)</f>
        <v>1976</v>
      </c>
      <c r="J237" s="255">
        <f>SUM(J232:J236)</f>
        <v>2319</v>
      </c>
      <c r="K237" s="255">
        <f t="shared" si="226"/>
        <v>2413</v>
      </c>
      <c r="L237" s="256">
        <f>SUM(L232:L236)</f>
        <v>2413</v>
      </c>
      <c r="M237" s="255">
        <f>SUM(M232:M236)</f>
        <v>2364</v>
      </c>
      <c r="O237" s="256">
        <f>SUM(O232:O236)</f>
        <v>2573</v>
      </c>
      <c r="P237" s="255">
        <f>SUM(P232:P236)</f>
        <v>2572</v>
      </c>
      <c r="R237" s="256">
        <f>SUM(R232:R236)</f>
        <v>2479</v>
      </c>
      <c r="S237" s="255">
        <f>SUM(S232:S236)</f>
        <v>2732</v>
      </c>
      <c r="U237" s="256">
        <f>SUM(U232:U236)</f>
        <v>2980</v>
      </c>
      <c r="V237" s="255">
        <f>SUM(V232:V236)</f>
        <v>3121</v>
      </c>
      <c r="X237" s="546">
        <f>SUM(X232:X236)</f>
        <v>3256</v>
      </c>
      <c r="Y237" s="548">
        <f>SUM(Y232:Y236)</f>
        <v>3387.5</v>
      </c>
      <c r="AA237" s="546">
        <f>SUM(AA232:AA236)</f>
        <v>3519</v>
      </c>
      <c r="AB237" s="548">
        <f>SUM(AB232:AB236)</f>
        <v>3689.5</v>
      </c>
      <c r="AD237" s="546">
        <f>SUM(AD232:AD236)</f>
        <v>3722</v>
      </c>
      <c r="AE237" s="548">
        <f>SUM(AE232:AE236)</f>
        <v>3743</v>
      </c>
      <c r="AF237" s="260"/>
      <c r="AG237" s="631">
        <f>SUM(AG232:AG236)</f>
        <v>3750</v>
      </c>
      <c r="AH237" s="548">
        <f>SUM(AH232:AH236)</f>
        <v>3769</v>
      </c>
      <c r="AJ237" s="631">
        <f>SUM(AJ232:AJ236)</f>
        <v>3788</v>
      </c>
      <c r="AK237" s="255">
        <f>SUM(AK232:AK236)</f>
        <v>1437</v>
      </c>
      <c r="AM237" s="631">
        <f>SUM(AM232:AM236)</f>
        <v>1318</v>
      </c>
      <c r="AN237" s="255">
        <f>SUM(AN232:AN236)</f>
        <v>1051</v>
      </c>
      <c r="AP237" s="343">
        <f>AN237+0.35*(AO16)</f>
        <v>1116.2598866915253</v>
      </c>
      <c r="AQ237" s="307" t="e">
        <f>AP237+0.35*(AQ16)</f>
        <v>#N/A</v>
      </c>
      <c r="AS237" s="343" t="e">
        <f>AQ237+0.35*(AR16)</f>
        <v>#N/A</v>
      </c>
      <c r="AT237" s="307" t="e">
        <f>AS237+0.35*(AT16)</f>
        <v>#N/A</v>
      </c>
      <c r="AV237" s="343" t="e">
        <f>AT237+0.35*(AU16)</f>
        <v>#N/A</v>
      </c>
      <c r="AW237" s="307" t="e">
        <f>AV237+0.35*(AW16)</f>
        <v>#N/A</v>
      </c>
      <c r="AY237" s="343" t="e">
        <f>AW237+0.35*(AX16)</f>
        <v>#N/A</v>
      </c>
      <c r="AZ237" s="307" t="e">
        <f>AY237+0.35*(AZ16)</f>
        <v>#N/A</v>
      </c>
      <c r="BB237" s="343" t="e">
        <f>AZ237+0.35*(BA16)</f>
        <v>#N/A</v>
      </c>
      <c r="BC237" s="307" t="e">
        <f>BB237+0.35*(BC16)</f>
        <v>#N/A</v>
      </c>
      <c r="BE237" s="343" t="e">
        <f>BC237+0.35*(BD16)</f>
        <v>#N/A</v>
      </c>
    </row>
    <row r="238" spans="2:57">
      <c r="B238" s="243"/>
      <c r="C238" s="341"/>
      <c r="D238" s="342"/>
      <c r="E238" s="243"/>
      <c r="F238" s="299"/>
      <c r="G238" s="243"/>
      <c r="H238" s="243"/>
      <c r="I238" s="287"/>
      <c r="L238" s="287"/>
      <c r="O238" s="287"/>
      <c r="R238" s="287"/>
      <c r="U238" s="287"/>
      <c r="X238" s="287"/>
      <c r="AA238" s="287"/>
      <c r="AD238" s="287"/>
      <c r="AF238" s="613"/>
      <c r="AG238" s="287"/>
      <c r="AJ238" s="287"/>
      <c r="AK238" s="251"/>
      <c r="AM238" s="287"/>
      <c r="AP238" s="287"/>
      <c r="AS238" s="287"/>
      <c r="AV238" s="287"/>
      <c r="AY238" s="287"/>
      <c r="BB238" s="287"/>
      <c r="BE238" s="287"/>
    </row>
    <row r="239" spans="2:57">
      <c r="B239" s="243" t="s">
        <v>2351</v>
      </c>
      <c r="C239" s="341"/>
      <c r="D239" s="342"/>
      <c r="E239" s="243"/>
      <c r="F239" s="299"/>
      <c r="G239" s="243"/>
      <c r="H239" s="243"/>
      <c r="I239" s="287"/>
      <c r="L239" s="287"/>
      <c r="O239" s="287"/>
      <c r="R239" s="287"/>
      <c r="U239" s="287"/>
      <c r="X239" s="287"/>
      <c r="AA239" s="287"/>
      <c r="AD239" s="287"/>
      <c r="AF239" s="613"/>
      <c r="AG239" s="287"/>
      <c r="AJ239" s="287"/>
      <c r="AM239" s="287"/>
      <c r="AP239" s="287"/>
      <c r="AS239" s="287"/>
      <c r="AV239" s="287"/>
      <c r="AY239" s="287"/>
      <c r="BB239" s="287"/>
      <c r="BE239" s="287"/>
    </row>
    <row r="240" spans="2:57">
      <c r="B240" s="246" t="s">
        <v>2346</v>
      </c>
      <c r="C240" s="341"/>
      <c r="D240" s="342"/>
      <c r="E240" s="243"/>
      <c r="F240" s="305">
        <f t="shared" ref="F240:M245" si="232">F232/F$237</f>
        <v>4.6248715313463515E-3</v>
      </c>
      <c r="G240" s="297">
        <f t="shared" si="232"/>
        <v>6.5252854812398045E-3</v>
      </c>
      <c r="H240" s="297">
        <f t="shared" si="232"/>
        <v>5.566801619433198E-3</v>
      </c>
      <c r="I240" s="305">
        <f t="shared" si="232"/>
        <v>5.566801619433198E-3</v>
      </c>
      <c r="J240" s="297">
        <f t="shared" si="232"/>
        <v>4.3122035360068992E-3</v>
      </c>
      <c r="K240" s="297">
        <f t="shared" si="232"/>
        <v>4.5586406962287605E-3</v>
      </c>
      <c r="L240" s="305">
        <f t="shared" si="232"/>
        <v>4.5586406962287605E-3</v>
      </c>
      <c r="M240" s="297">
        <f>M232/M$237</f>
        <v>4.6531302876480539E-3</v>
      </c>
      <c r="O240" s="305">
        <f t="shared" ref="O240:P245" si="233">O232/O$237</f>
        <v>4.6638165565487761E-3</v>
      </c>
      <c r="P240" s="297">
        <f t="shared" si="233"/>
        <v>5.0544323483670299E-3</v>
      </c>
      <c r="R240" s="305">
        <f t="shared" ref="R240:S245" si="234">R232/R$237</f>
        <v>4.4372730939895117E-3</v>
      </c>
      <c r="S240" s="344">
        <f t="shared" si="234"/>
        <v>4.3923865300146414E-3</v>
      </c>
      <c r="U240" s="305">
        <f t="shared" ref="U240:V245" si="235">U232/U$237</f>
        <v>3.6912751677852349E-3</v>
      </c>
      <c r="V240" s="344">
        <f t="shared" si="235"/>
        <v>4.1653316244793332E-3</v>
      </c>
      <c r="X240" s="306">
        <f>X232/X$237</f>
        <v>9.2137592137592141E-4</v>
      </c>
      <c r="Y240" s="344">
        <f>Y232/Y$237</f>
        <v>1.1808118081180813E-3</v>
      </c>
      <c r="AA240" s="306">
        <f>AA232/AA$237</f>
        <v>1.4208581983518045E-3</v>
      </c>
      <c r="AB240" s="344">
        <f>AB232/AB$237</f>
        <v>1.0841577449518904E-3</v>
      </c>
      <c r="AD240" s="306">
        <f t="shared" ref="AD240:AE244" si="236">AD232/AD$237</f>
        <v>8.0601826974744761E-4</v>
      </c>
      <c r="AE240" s="344">
        <f t="shared" si="236"/>
        <v>8.0149612610205714E-4</v>
      </c>
      <c r="AF240" s="613"/>
      <c r="AG240" s="306">
        <f t="shared" ref="AG240:AH244" si="237">AG232/AG$237</f>
        <v>8.0000000000000004E-4</v>
      </c>
      <c r="AH240" s="356">
        <f t="shared" si="237"/>
        <v>1.4592730167153091E-3</v>
      </c>
      <c r="AJ240" s="306">
        <f t="shared" ref="AJ240:AK245" si="238">AJ232/AJ$237</f>
        <v>2.1119324181626186E-3</v>
      </c>
      <c r="AK240" s="356">
        <f t="shared" si="238"/>
        <v>0</v>
      </c>
      <c r="AM240" s="306">
        <f t="shared" ref="AM240:AM245" si="239">AM232/AM$237</f>
        <v>0</v>
      </c>
      <c r="AN240" s="345">
        <f t="shared" ref="AN240:AN245" si="240">AM240</f>
        <v>0</v>
      </c>
      <c r="AP240" s="306">
        <f t="shared" ref="AP240:AP245" si="241">AN240</f>
        <v>0</v>
      </c>
      <c r="AQ240" s="345">
        <f t="shared" ref="AQ240:AQ245" si="242">AP240</f>
        <v>0</v>
      </c>
      <c r="AS240" s="306">
        <f t="shared" ref="AS240:AS245" si="243">AQ240</f>
        <v>0</v>
      </c>
      <c r="AT240" s="345">
        <f t="shared" ref="AT240:AT245" si="244">AS240</f>
        <v>0</v>
      </c>
      <c r="AV240" s="306">
        <f t="shared" ref="AV240:AV245" si="245">AT240</f>
        <v>0</v>
      </c>
      <c r="AW240" s="345">
        <f t="shared" ref="AW240:AW245" si="246">AV240</f>
        <v>0</v>
      </c>
      <c r="AY240" s="306">
        <f t="shared" ref="AY240:AY245" si="247">AW240</f>
        <v>0</v>
      </c>
      <c r="AZ240" s="345">
        <f t="shared" ref="AZ240:AZ245" si="248">AY240</f>
        <v>0</v>
      </c>
      <c r="BB240" s="306">
        <f t="shared" ref="BB240:BB245" si="249">AZ240</f>
        <v>0</v>
      </c>
      <c r="BC240" s="345">
        <f t="shared" ref="BC240:BC245" si="250">BB240</f>
        <v>0</v>
      </c>
      <c r="BE240" s="306">
        <f t="shared" ref="BE240:BE245" si="251">BC240</f>
        <v>0</v>
      </c>
    </row>
    <row r="241" spans="2:57">
      <c r="B241" s="246" t="s">
        <v>2347</v>
      </c>
      <c r="C241" s="341"/>
      <c r="D241" s="342"/>
      <c r="E241" s="243"/>
      <c r="F241" s="305">
        <f t="shared" si="232"/>
        <v>1.1819116135662899E-2</v>
      </c>
      <c r="G241" s="297">
        <f t="shared" si="232"/>
        <v>8.7003806416530716E-3</v>
      </c>
      <c r="H241" s="297">
        <f t="shared" si="232"/>
        <v>7.5910931174089065E-3</v>
      </c>
      <c r="I241" s="305">
        <f t="shared" si="232"/>
        <v>7.5910931174089065E-3</v>
      </c>
      <c r="J241" s="297">
        <f t="shared" si="232"/>
        <v>6.0370849504096597E-3</v>
      </c>
      <c r="K241" s="297">
        <f t="shared" si="232"/>
        <v>4.1442188147534191E-3</v>
      </c>
      <c r="L241" s="305">
        <f t="shared" si="232"/>
        <v>4.1442188147534191E-3</v>
      </c>
      <c r="M241" s="297">
        <f>M233/M$237</f>
        <v>4.2301184433164127E-4</v>
      </c>
      <c r="O241" s="305">
        <f t="shared" si="233"/>
        <v>3.8865137971239797E-4</v>
      </c>
      <c r="P241" s="297">
        <f t="shared" si="233"/>
        <v>7.776049766718507E-4</v>
      </c>
      <c r="R241" s="305">
        <f t="shared" si="234"/>
        <v>4.0338846308995562E-4</v>
      </c>
      <c r="S241" s="344">
        <f t="shared" si="234"/>
        <v>7.320644216691069E-4</v>
      </c>
      <c r="U241" s="305">
        <f t="shared" si="235"/>
        <v>3.355704697986577E-4</v>
      </c>
      <c r="V241" s="344">
        <f t="shared" si="235"/>
        <v>3.2041012495994872E-4</v>
      </c>
      <c r="X241" s="306">
        <f t="shared" ref="X241:Y244" si="252">X233/X$237</f>
        <v>0</v>
      </c>
      <c r="Y241" s="344">
        <f t="shared" si="252"/>
        <v>0</v>
      </c>
      <c r="AA241" s="306">
        <f t="shared" ref="AA241:AB245" si="253">AA233/AA$237</f>
        <v>0</v>
      </c>
      <c r="AB241" s="344">
        <f t="shared" si="253"/>
        <v>0</v>
      </c>
      <c r="AD241" s="306">
        <f t="shared" si="236"/>
        <v>0</v>
      </c>
      <c r="AE241" s="344">
        <f t="shared" si="236"/>
        <v>0</v>
      </c>
      <c r="AF241" s="613"/>
      <c r="AG241" s="306">
        <f t="shared" si="237"/>
        <v>0</v>
      </c>
      <c r="AH241" s="356">
        <f t="shared" si="237"/>
        <v>0</v>
      </c>
      <c r="AJ241" s="306">
        <f t="shared" si="238"/>
        <v>0</v>
      </c>
      <c r="AK241" s="356">
        <f t="shared" si="238"/>
        <v>0</v>
      </c>
      <c r="AM241" s="306">
        <f t="shared" si="239"/>
        <v>0</v>
      </c>
      <c r="AN241" s="345">
        <f t="shared" si="240"/>
        <v>0</v>
      </c>
      <c r="AP241" s="306">
        <f t="shared" si="241"/>
        <v>0</v>
      </c>
      <c r="AQ241" s="345">
        <f t="shared" si="242"/>
        <v>0</v>
      </c>
      <c r="AS241" s="306">
        <f t="shared" si="243"/>
        <v>0</v>
      </c>
      <c r="AT241" s="345">
        <f t="shared" si="244"/>
        <v>0</v>
      </c>
      <c r="AV241" s="306">
        <f t="shared" si="245"/>
        <v>0</v>
      </c>
      <c r="AW241" s="345">
        <f t="shared" si="246"/>
        <v>0</v>
      </c>
      <c r="AY241" s="306">
        <f t="shared" si="247"/>
        <v>0</v>
      </c>
      <c r="AZ241" s="345">
        <f t="shared" si="248"/>
        <v>0</v>
      </c>
      <c r="BB241" s="306">
        <f t="shared" si="249"/>
        <v>0</v>
      </c>
      <c r="BC241" s="345">
        <f t="shared" si="250"/>
        <v>0</v>
      </c>
      <c r="BE241" s="306">
        <f t="shared" si="251"/>
        <v>0</v>
      </c>
    </row>
    <row r="242" spans="2:57">
      <c r="B242" s="246" t="s">
        <v>2348</v>
      </c>
      <c r="C242" s="341"/>
      <c r="D242" s="342"/>
      <c r="E242" s="243"/>
      <c r="F242" s="305">
        <f t="shared" si="232"/>
        <v>0.20246659815005139</v>
      </c>
      <c r="G242" s="297">
        <f t="shared" si="232"/>
        <v>0.21642196846112016</v>
      </c>
      <c r="H242" s="297">
        <f t="shared" si="232"/>
        <v>0.17155870445344129</v>
      </c>
      <c r="I242" s="305">
        <f t="shared" si="232"/>
        <v>0.17155870445344129</v>
      </c>
      <c r="J242" s="297">
        <f t="shared" si="232"/>
        <v>0.13885295385942217</v>
      </c>
      <c r="K242" s="297">
        <f t="shared" si="232"/>
        <v>0.1147948611686697</v>
      </c>
      <c r="L242" s="305">
        <f t="shared" si="232"/>
        <v>0.1147948611686697</v>
      </c>
      <c r="M242" s="297">
        <f>M234/M$237</f>
        <v>0.12267343485617598</v>
      </c>
      <c r="O242" s="305">
        <f t="shared" si="233"/>
        <v>0.10493587252234746</v>
      </c>
      <c r="P242" s="297">
        <f t="shared" si="233"/>
        <v>9.0590979782270611E-2</v>
      </c>
      <c r="R242" s="305">
        <f t="shared" si="234"/>
        <v>9.7620008067769257E-2</v>
      </c>
      <c r="S242" s="344">
        <f t="shared" si="234"/>
        <v>8.4187408491947294E-2</v>
      </c>
      <c r="U242" s="305">
        <f t="shared" si="235"/>
        <v>8.4228187919463085E-2</v>
      </c>
      <c r="V242" s="344">
        <f t="shared" si="235"/>
        <v>8.2665812239666778E-2</v>
      </c>
      <c r="X242" s="306">
        <f t="shared" si="252"/>
        <v>7.7088452088452095E-2</v>
      </c>
      <c r="Y242" s="344">
        <f t="shared" si="252"/>
        <v>5.7416974169741695E-2</v>
      </c>
      <c r="AA242" s="306">
        <f t="shared" si="253"/>
        <v>3.9215686274509803E-2</v>
      </c>
      <c r="AB242" s="344">
        <f t="shared" si="253"/>
        <v>3.7403442200840221E-2</v>
      </c>
      <c r="AD242" s="306">
        <f t="shared" si="236"/>
        <v>0</v>
      </c>
      <c r="AE242" s="344">
        <f t="shared" si="236"/>
        <v>3.7403152551429334E-3</v>
      </c>
      <c r="AF242" s="613"/>
      <c r="AG242" s="306">
        <f t="shared" si="237"/>
        <v>3.7333333333333333E-3</v>
      </c>
      <c r="AH242" s="356">
        <f t="shared" si="237"/>
        <v>1.7909259750596974E-2</v>
      </c>
      <c r="AJ242" s="306">
        <f t="shared" si="238"/>
        <v>3.1942977824709611E-2</v>
      </c>
      <c r="AK242" s="356">
        <f t="shared" si="238"/>
        <v>1.5309672929714684E-2</v>
      </c>
      <c r="AM242" s="306">
        <f t="shared" si="239"/>
        <v>1.6691957511380879E-2</v>
      </c>
      <c r="AN242" s="345">
        <f t="shared" si="240"/>
        <v>1.6691957511380879E-2</v>
      </c>
      <c r="AP242" s="306">
        <f t="shared" si="241"/>
        <v>1.6691957511380879E-2</v>
      </c>
      <c r="AQ242" s="345">
        <f t="shared" si="242"/>
        <v>1.6691957511380879E-2</v>
      </c>
      <c r="AS242" s="306">
        <f t="shared" si="243"/>
        <v>1.6691957511380879E-2</v>
      </c>
      <c r="AT242" s="345">
        <f t="shared" si="244"/>
        <v>1.6691957511380879E-2</v>
      </c>
      <c r="AV242" s="306">
        <f t="shared" si="245"/>
        <v>1.6691957511380879E-2</v>
      </c>
      <c r="AW242" s="345">
        <f t="shared" si="246"/>
        <v>1.6691957511380879E-2</v>
      </c>
      <c r="AY242" s="306">
        <f t="shared" si="247"/>
        <v>1.6691957511380879E-2</v>
      </c>
      <c r="AZ242" s="345">
        <f t="shared" si="248"/>
        <v>1.6691957511380879E-2</v>
      </c>
      <c r="BB242" s="306">
        <f t="shared" si="249"/>
        <v>1.6691957511380879E-2</v>
      </c>
      <c r="BC242" s="345">
        <f t="shared" si="250"/>
        <v>1.6691957511380879E-2</v>
      </c>
      <c r="BE242" s="306">
        <f t="shared" si="251"/>
        <v>1.6691957511380879E-2</v>
      </c>
    </row>
    <row r="243" spans="2:57">
      <c r="B243" s="246" t="s">
        <v>2349</v>
      </c>
      <c r="C243" s="341"/>
      <c r="D243" s="342"/>
      <c r="E243" s="243"/>
      <c r="F243" s="305">
        <f t="shared" si="232"/>
        <v>0.35200411099691675</v>
      </c>
      <c r="G243" s="297">
        <f t="shared" si="232"/>
        <v>0.32789559543230018</v>
      </c>
      <c r="H243" s="297">
        <f t="shared" si="232"/>
        <v>0.33805668016194335</v>
      </c>
      <c r="I243" s="305">
        <f t="shared" si="232"/>
        <v>0.33805668016194335</v>
      </c>
      <c r="J243" s="297">
        <f t="shared" si="232"/>
        <v>0.4040534713238465</v>
      </c>
      <c r="K243" s="297">
        <f t="shared" si="232"/>
        <v>0.37753833402403647</v>
      </c>
      <c r="L243" s="305">
        <f t="shared" si="232"/>
        <v>0.37753833402403647</v>
      </c>
      <c r="M243" s="297">
        <f>M235/M$237</f>
        <v>0.36125211505922167</v>
      </c>
      <c r="O243" s="305">
        <f t="shared" si="233"/>
        <v>0.31947143412359114</v>
      </c>
      <c r="P243" s="297">
        <f t="shared" si="233"/>
        <v>0.30948678071539659</v>
      </c>
      <c r="R243" s="305">
        <f t="shared" si="234"/>
        <v>0.3162565550625252</v>
      </c>
      <c r="S243" s="344">
        <f t="shared" si="234"/>
        <v>0.34150805270863838</v>
      </c>
      <c r="U243" s="305">
        <f t="shared" si="235"/>
        <v>0.30973154362416105</v>
      </c>
      <c r="V243" s="344">
        <f t="shared" si="235"/>
        <v>0.37071451457866067</v>
      </c>
      <c r="X243" s="306">
        <f t="shared" si="252"/>
        <v>0.33292383292383293</v>
      </c>
      <c r="Y243" s="344">
        <f t="shared" si="252"/>
        <v>0.32354243542435424</v>
      </c>
      <c r="AA243" s="306">
        <f t="shared" si="253"/>
        <v>0.31486217675475986</v>
      </c>
      <c r="AB243" s="344">
        <f t="shared" si="253"/>
        <v>0.39639517549803499</v>
      </c>
      <c r="AD243" s="306">
        <f t="shared" si="236"/>
        <v>0.48817839871037078</v>
      </c>
      <c r="AE243" s="344">
        <f t="shared" si="236"/>
        <v>0.34130376703179266</v>
      </c>
      <c r="AF243" s="613"/>
      <c r="AG243" s="306">
        <f t="shared" si="237"/>
        <v>0.1968</v>
      </c>
      <c r="AH243" s="356">
        <f t="shared" si="237"/>
        <v>0.19355266648978509</v>
      </c>
      <c r="AJ243" s="306">
        <f t="shared" si="238"/>
        <v>0.19033790918690602</v>
      </c>
      <c r="AK243" s="356">
        <f t="shared" si="238"/>
        <v>0.19693806541405706</v>
      </c>
      <c r="AM243" s="306">
        <f t="shared" si="239"/>
        <v>0.11380880121396054</v>
      </c>
      <c r="AN243" s="345">
        <f t="shared" si="240"/>
        <v>0.11380880121396054</v>
      </c>
      <c r="AP243" s="306">
        <f t="shared" si="241"/>
        <v>0.11380880121396054</v>
      </c>
      <c r="AQ243" s="345">
        <f t="shared" si="242"/>
        <v>0.11380880121396054</v>
      </c>
      <c r="AS243" s="306">
        <f t="shared" si="243"/>
        <v>0.11380880121396054</v>
      </c>
      <c r="AT243" s="345">
        <f t="shared" si="244"/>
        <v>0.11380880121396054</v>
      </c>
      <c r="AV243" s="306">
        <f t="shared" si="245"/>
        <v>0.11380880121396054</v>
      </c>
      <c r="AW243" s="345">
        <f t="shared" si="246"/>
        <v>0.11380880121396054</v>
      </c>
      <c r="AY243" s="306">
        <f t="shared" si="247"/>
        <v>0.11380880121396054</v>
      </c>
      <c r="AZ243" s="345">
        <f t="shared" si="248"/>
        <v>0.11380880121396054</v>
      </c>
      <c r="BB243" s="306">
        <f t="shared" si="249"/>
        <v>0.11380880121396054</v>
      </c>
      <c r="BC243" s="345">
        <f t="shared" si="250"/>
        <v>0.11380880121396054</v>
      </c>
      <c r="BE243" s="306">
        <f t="shared" si="251"/>
        <v>0.11380880121396054</v>
      </c>
    </row>
    <row r="244" spans="2:57">
      <c r="B244" s="246" t="s">
        <v>2350</v>
      </c>
      <c r="C244" s="341"/>
      <c r="D244" s="342"/>
      <c r="E244" s="243"/>
      <c r="F244" s="305">
        <f t="shared" si="232"/>
        <v>0.42908530318602262</v>
      </c>
      <c r="G244" s="297">
        <f t="shared" si="232"/>
        <v>0.44045676998368677</v>
      </c>
      <c r="H244" s="297">
        <f t="shared" si="232"/>
        <v>0.47722672064777327</v>
      </c>
      <c r="I244" s="305">
        <f t="shared" si="232"/>
        <v>0.47722672064777327</v>
      </c>
      <c r="J244" s="297">
        <f t="shared" si="232"/>
        <v>0.44674428633031477</v>
      </c>
      <c r="K244" s="297">
        <f t="shared" si="232"/>
        <v>0.49896394529631166</v>
      </c>
      <c r="L244" s="305">
        <f t="shared" si="232"/>
        <v>0.49896394529631166</v>
      </c>
      <c r="M244" s="297">
        <f>M236/M$237</f>
        <v>0.51099830795262269</v>
      </c>
      <c r="O244" s="305">
        <f t="shared" si="233"/>
        <v>0.57054022541780025</v>
      </c>
      <c r="P244" s="297">
        <f t="shared" si="233"/>
        <v>0.59409020217729391</v>
      </c>
      <c r="R244" s="305">
        <f t="shared" si="234"/>
        <v>0.58128277531262607</v>
      </c>
      <c r="S244" s="344">
        <f t="shared" si="234"/>
        <v>0.56918008784773055</v>
      </c>
      <c r="U244" s="305">
        <f t="shared" si="235"/>
        <v>0.602013422818792</v>
      </c>
      <c r="V244" s="344">
        <f t="shared" si="235"/>
        <v>0.54213393143223321</v>
      </c>
      <c r="X244" s="306">
        <f t="shared" si="252"/>
        <v>0.5890663390663391</v>
      </c>
      <c r="Y244" s="344">
        <f t="shared" si="252"/>
        <v>0.61785977859778596</v>
      </c>
      <c r="AA244" s="306">
        <f t="shared" si="253"/>
        <v>0.64450127877237851</v>
      </c>
      <c r="AB244" s="344">
        <f t="shared" si="253"/>
        <v>0.56511722455617297</v>
      </c>
      <c r="AD244" s="306">
        <f t="shared" si="236"/>
        <v>0.51101558301988181</v>
      </c>
      <c r="AE244" s="344">
        <f t="shared" si="236"/>
        <v>0.65415442158696235</v>
      </c>
      <c r="AF244" s="613"/>
      <c r="AG244" s="306">
        <f t="shared" si="237"/>
        <v>0.79866666666666664</v>
      </c>
      <c r="AH244" s="356">
        <f t="shared" si="237"/>
        <v>0.7870788007429026</v>
      </c>
      <c r="AJ244" s="306">
        <f t="shared" si="238"/>
        <v>0.77560718057022171</v>
      </c>
      <c r="AK244" s="356">
        <f t="shared" si="238"/>
        <v>0.78775226165622825</v>
      </c>
      <c r="AM244" s="306">
        <f t="shared" si="239"/>
        <v>0.86949924127465861</v>
      </c>
      <c r="AN244" s="345">
        <f t="shared" si="240"/>
        <v>0.86949924127465861</v>
      </c>
      <c r="AP244" s="306">
        <f t="shared" si="241"/>
        <v>0.86949924127465861</v>
      </c>
      <c r="AQ244" s="345">
        <f t="shared" si="242"/>
        <v>0.86949924127465861</v>
      </c>
      <c r="AS244" s="306">
        <f t="shared" si="243"/>
        <v>0.86949924127465861</v>
      </c>
      <c r="AT244" s="345">
        <f t="shared" si="244"/>
        <v>0.86949924127465861</v>
      </c>
      <c r="AV244" s="306">
        <f t="shared" si="245"/>
        <v>0.86949924127465861</v>
      </c>
      <c r="AW244" s="345">
        <f t="shared" si="246"/>
        <v>0.86949924127465861</v>
      </c>
      <c r="AY244" s="306">
        <f t="shared" si="247"/>
        <v>0.86949924127465861</v>
      </c>
      <c r="AZ244" s="345">
        <f t="shared" si="248"/>
        <v>0.86949924127465861</v>
      </c>
      <c r="BB244" s="306">
        <f t="shared" si="249"/>
        <v>0.86949924127465861</v>
      </c>
      <c r="BC244" s="345">
        <f t="shared" si="250"/>
        <v>0.86949924127465861</v>
      </c>
      <c r="BE244" s="306">
        <f t="shared" si="251"/>
        <v>0.86949924127465861</v>
      </c>
    </row>
    <row r="245" spans="2:57">
      <c r="B245" s="243" t="s">
        <v>168</v>
      </c>
      <c r="C245" s="341"/>
      <c r="D245" s="342"/>
      <c r="E245" s="243"/>
      <c r="F245" s="312">
        <f t="shared" si="232"/>
        <v>1</v>
      </c>
      <c r="G245" s="301">
        <f t="shared" si="232"/>
        <v>1</v>
      </c>
      <c r="H245" s="301">
        <f t="shared" si="232"/>
        <v>1</v>
      </c>
      <c r="I245" s="312">
        <f t="shared" si="232"/>
        <v>1</v>
      </c>
      <c r="J245" s="301">
        <f t="shared" si="232"/>
        <v>1</v>
      </c>
      <c r="K245" s="301">
        <f t="shared" si="232"/>
        <v>1</v>
      </c>
      <c r="L245" s="312">
        <f t="shared" si="232"/>
        <v>1</v>
      </c>
      <c r="M245" s="301">
        <f t="shared" si="232"/>
        <v>1</v>
      </c>
      <c r="O245" s="312">
        <f t="shared" si="233"/>
        <v>1</v>
      </c>
      <c r="P245" s="301">
        <f t="shared" si="233"/>
        <v>1</v>
      </c>
      <c r="R245" s="312">
        <f t="shared" si="234"/>
        <v>1</v>
      </c>
      <c r="S245" s="346">
        <f t="shared" si="234"/>
        <v>1</v>
      </c>
      <c r="U245" s="312">
        <f t="shared" si="235"/>
        <v>1</v>
      </c>
      <c r="V245" s="346">
        <f t="shared" si="235"/>
        <v>1</v>
      </c>
      <c r="X245" s="347">
        <f>V245</f>
        <v>1</v>
      </c>
      <c r="Y245" s="346">
        <f>Y237/Y$237</f>
        <v>1</v>
      </c>
      <c r="AA245" s="347">
        <f>Y245</f>
        <v>1</v>
      </c>
      <c r="AB245" s="346">
        <f t="shared" si="253"/>
        <v>1</v>
      </c>
      <c r="AD245" s="347">
        <f>AB245</f>
        <v>1</v>
      </c>
      <c r="AE245" s="346">
        <f>AE237/AE$237</f>
        <v>1</v>
      </c>
      <c r="AF245" s="613"/>
      <c r="AG245" s="347">
        <f>AE245</f>
        <v>1</v>
      </c>
      <c r="AH245" s="647">
        <f>AH237/AH$237</f>
        <v>1</v>
      </c>
      <c r="AJ245" s="347">
        <f t="shared" si="238"/>
        <v>1</v>
      </c>
      <c r="AK245" s="647">
        <f t="shared" si="238"/>
        <v>1</v>
      </c>
      <c r="AM245" s="347">
        <f t="shared" si="239"/>
        <v>1</v>
      </c>
      <c r="AN245" s="346">
        <f t="shared" si="240"/>
        <v>1</v>
      </c>
      <c r="AP245" s="347">
        <f t="shared" si="241"/>
        <v>1</v>
      </c>
      <c r="AQ245" s="346">
        <f t="shared" si="242"/>
        <v>1</v>
      </c>
      <c r="AS245" s="347">
        <f t="shared" si="243"/>
        <v>1</v>
      </c>
      <c r="AT245" s="346">
        <f t="shared" si="244"/>
        <v>1</v>
      </c>
      <c r="AV245" s="347">
        <f t="shared" si="245"/>
        <v>1</v>
      </c>
      <c r="AW245" s="346">
        <f t="shared" si="246"/>
        <v>1</v>
      </c>
      <c r="AY245" s="347">
        <f t="shared" si="247"/>
        <v>1</v>
      </c>
      <c r="AZ245" s="346">
        <f t="shared" si="248"/>
        <v>1</v>
      </c>
      <c r="BB245" s="347">
        <f t="shared" si="249"/>
        <v>1</v>
      </c>
      <c r="BC245" s="346">
        <f t="shared" si="250"/>
        <v>1</v>
      </c>
      <c r="BE245" s="347">
        <f t="shared" si="251"/>
        <v>1</v>
      </c>
    </row>
    <row r="246" spans="2:57">
      <c r="C246" s="287"/>
      <c r="F246" s="287"/>
      <c r="I246" s="287"/>
      <c r="L246" s="287"/>
      <c r="O246" s="287"/>
      <c r="R246" s="287"/>
      <c r="U246" s="287"/>
      <c r="X246" s="287"/>
      <c r="AA246" s="287"/>
      <c r="AD246" s="287"/>
      <c r="AF246" s="613"/>
      <c r="AG246" s="287"/>
      <c r="AJ246" s="287"/>
      <c r="AM246" s="287"/>
      <c r="AP246" s="287"/>
      <c r="AS246" s="287"/>
      <c r="AV246" s="287"/>
      <c r="AY246" s="287"/>
      <c r="BB246" s="287"/>
      <c r="BE246" s="287"/>
    </row>
    <row r="247" spans="2:57">
      <c r="B247" s="243" t="s">
        <v>2352</v>
      </c>
      <c r="C247" s="287"/>
      <c r="F247" s="287"/>
      <c r="I247" s="287"/>
      <c r="L247" s="287"/>
      <c r="O247" s="287"/>
      <c r="R247" s="287"/>
      <c r="U247" s="287"/>
      <c r="X247" s="287"/>
      <c r="AA247" s="287"/>
      <c r="AD247" s="287"/>
      <c r="AF247" s="613"/>
      <c r="AG247" s="287"/>
      <c r="AJ247" s="287"/>
      <c r="AM247" s="287"/>
      <c r="AP247" s="287"/>
      <c r="AS247" s="287"/>
      <c r="AV247" s="287"/>
      <c r="AY247" s="287"/>
      <c r="BB247" s="287"/>
      <c r="BE247" s="287"/>
    </row>
    <row r="248" spans="2:57">
      <c r="B248" s="246" t="s">
        <v>2346</v>
      </c>
      <c r="C248" s="287"/>
      <c r="F248" s="287"/>
      <c r="H248" s="348">
        <f>5.5%/2-14.4%</f>
        <v>-0.11650000000000002</v>
      </c>
      <c r="I248" s="287"/>
      <c r="J248" s="348">
        <v>-0.26800000000000002</v>
      </c>
      <c r="K248" s="348">
        <v>5.5E-2</v>
      </c>
      <c r="L248" s="287"/>
      <c r="M248" s="348">
        <v>0.05</v>
      </c>
      <c r="N248" s="349">
        <v>-9.9000000000000005E-2</v>
      </c>
      <c r="O248" s="287"/>
      <c r="P248" s="348">
        <v>5.5E-2</v>
      </c>
      <c r="Q248" s="348">
        <v>5.5E-2</v>
      </c>
      <c r="R248" s="287"/>
      <c r="S248" s="348">
        <f>Q248</f>
        <v>5.5E-2</v>
      </c>
      <c r="T248" s="348">
        <v>5.5E-2</v>
      </c>
      <c r="U248" s="287"/>
      <c r="V248" s="348">
        <f>T248</f>
        <v>5.5E-2</v>
      </c>
      <c r="W248" s="369">
        <v>5.5E-2</v>
      </c>
      <c r="X248" s="287"/>
      <c r="Y248" s="369">
        <f>10.2%+3.4%</f>
        <v>0.13600000000000001</v>
      </c>
      <c r="Z248" s="348">
        <v>5.5E-2</v>
      </c>
      <c r="AA248" s="287"/>
      <c r="AB248" s="348">
        <f>Z248</f>
        <v>5.5E-2</v>
      </c>
      <c r="AC248" s="348">
        <v>5.5E-2</v>
      </c>
      <c r="AD248" s="287"/>
      <c r="AE248" s="348">
        <f>AC248</f>
        <v>5.5E-2</v>
      </c>
      <c r="AF248" s="627">
        <v>1.0999999999999999E-2</v>
      </c>
      <c r="AG248" s="287"/>
      <c r="AH248" s="348">
        <f>AF248</f>
        <v>1.0999999999999999E-2</v>
      </c>
      <c r="AI248" s="348">
        <v>5.5E-2</v>
      </c>
      <c r="AJ248" s="540">
        <f>(1+AH248)*(1+AI248)-1</f>
        <v>6.6604999999999803E-2</v>
      </c>
      <c r="AK248" s="348">
        <f>AI248</f>
        <v>5.5E-2</v>
      </c>
      <c r="AL248" s="369">
        <v>5.5E-2</v>
      </c>
      <c r="AM248" s="540">
        <f>(1+AK248)*(1+AL248)-1</f>
        <v>0.11302499999999993</v>
      </c>
      <c r="AN248" s="348">
        <f>AL248</f>
        <v>5.5E-2</v>
      </c>
      <c r="AO248" s="348">
        <v>5.5E-2</v>
      </c>
      <c r="AP248" s="540">
        <f>(1+AN248)*(1+AO248)-1</f>
        <v>0.11302499999999993</v>
      </c>
      <c r="AQ248" s="348">
        <f>AO248</f>
        <v>5.5E-2</v>
      </c>
      <c r="AR248" s="348">
        <v>5.5E-2</v>
      </c>
      <c r="AS248" s="540">
        <f>(1+AQ248)*(1+AR248)-1</f>
        <v>0.11302499999999993</v>
      </c>
      <c r="AT248" s="348">
        <f>AR248</f>
        <v>5.5E-2</v>
      </c>
      <c r="AU248" s="348">
        <v>5.5E-2</v>
      </c>
      <c r="AV248" s="540">
        <f>(1+AT248)*(1+AU248)-1</f>
        <v>0.11302499999999993</v>
      </c>
      <c r="AW248" s="348">
        <f>AU248</f>
        <v>5.5E-2</v>
      </c>
      <c r="AX248" s="348">
        <v>5.5E-2</v>
      </c>
      <c r="AY248" s="540">
        <f>(1+AW248)*(1+AX248)-1</f>
        <v>0.11302499999999993</v>
      </c>
      <c r="AZ248" s="348">
        <f>AX248</f>
        <v>5.5E-2</v>
      </c>
      <c r="BA248" s="348">
        <v>5.5E-2</v>
      </c>
      <c r="BB248" s="540">
        <f>(1+AZ248)*(1+BA248)-1</f>
        <v>0.11302499999999993</v>
      </c>
      <c r="BC248" s="348">
        <f>BA248</f>
        <v>5.5E-2</v>
      </c>
      <c r="BD248" s="348">
        <v>5.5E-2</v>
      </c>
      <c r="BE248" s="540">
        <f>(1+BC248)*(1+BD248)-1</f>
        <v>0.11302499999999993</v>
      </c>
    </row>
    <row r="249" spans="2:57">
      <c r="B249" s="246" t="s">
        <v>2347</v>
      </c>
      <c r="C249" s="287"/>
      <c r="F249" s="287"/>
      <c r="H249" s="348">
        <f>5.5%/2-13.3%</f>
        <v>-0.10550000000000001</v>
      </c>
      <c r="I249" s="287"/>
      <c r="J249" s="348">
        <v>-9.6000000000000002E-2</v>
      </c>
      <c r="K249" s="348">
        <v>5.5E-2</v>
      </c>
      <c r="L249" s="287"/>
      <c r="M249" s="348">
        <v>0.05</v>
      </c>
      <c r="N249" s="349">
        <v>-3.2000000000000001E-2</v>
      </c>
      <c r="O249" s="287"/>
      <c r="P249" s="348">
        <v>5.5E-2</v>
      </c>
      <c r="Q249" s="348">
        <v>5.5E-2</v>
      </c>
      <c r="R249" s="287"/>
      <c r="S249" s="348">
        <f>Q249</f>
        <v>5.5E-2</v>
      </c>
      <c r="T249" s="348">
        <v>5.5E-2</v>
      </c>
      <c r="U249" s="287"/>
      <c r="V249" s="348">
        <f>T249</f>
        <v>5.5E-2</v>
      </c>
      <c r="W249" s="369">
        <v>0.23300000000000001</v>
      </c>
      <c r="X249" s="287"/>
      <c r="Y249" s="369">
        <f>6%+12.9%</f>
        <v>0.189</v>
      </c>
      <c r="Z249" s="348">
        <v>5.5E-2</v>
      </c>
      <c r="AA249" s="287"/>
      <c r="AB249" s="348">
        <f>Z249</f>
        <v>5.5E-2</v>
      </c>
      <c r="AC249" s="348">
        <v>5.5E-2</v>
      </c>
      <c r="AD249" s="287"/>
      <c r="AE249" s="348">
        <f>AC249</f>
        <v>5.5E-2</v>
      </c>
      <c r="AF249" s="627">
        <v>0</v>
      </c>
      <c r="AG249" s="287"/>
      <c r="AH249" s="348">
        <f>AF249</f>
        <v>0</v>
      </c>
      <c r="AI249" s="348">
        <v>5.5E-2</v>
      </c>
      <c r="AJ249" s="540">
        <f>(1+AH249)*(1+AI249)-1</f>
        <v>5.4999999999999938E-2</v>
      </c>
      <c r="AK249" s="348">
        <f>AI249</f>
        <v>5.5E-2</v>
      </c>
      <c r="AL249" s="369">
        <v>5.5E-2</v>
      </c>
      <c r="AM249" s="540">
        <f>(1+AK249)*(1+AL249)-1</f>
        <v>0.11302499999999993</v>
      </c>
      <c r="AN249" s="348">
        <f>AL249</f>
        <v>5.5E-2</v>
      </c>
      <c r="AO249" s="348">
        <v>5.5E-2</v>
      </c>
      <c r="AP249" s="540">
        <f>(1+AN249)*(1+AO249)-1</f>
        <v>0.11302499999999993</v>
      </c>
      <c r="AQ249" s="348">
        <f>AO249</f>
        <v>5.5E-2</v>
      </c>
      <c r="AR249" s="348">
        <v>5.5E-2</v>
      </c>
      <c r="AS249" s="540">
        <f>(1+AQ249)*(1+AR249)-1</f>
        <v>0.11302499999999993</v>
      </c>
      <c r="AT249" s="348">
        <f>AR249</f>
        <v>5.5E-2</v>
      </c>
      <c r="AU249" s="348">
        <v>5.5E-2</v>
      </c>
      <c r="AV249" s="540">
        <f>(1+AT249)*(1+AU249)-1</f>
        <v>0.11302499999999993</v>
      </c>
      <c r="AW249" s="348">
        <f>AU249</f>
        <v>5.5E-2</v>
      </c>
      <c r="AX249" s="348">
        <v>5.5E-2</v>
      </c>
      <c r="AY249" s="540">
        <f>(1+AW249)*(1+AX249)-1</f>
        <v>0.11302499999999993</v>
      </c>
      <c r="AZ249" s="348">
        <f>AX249</f>
        <v>5.5E-2</v>
      </c>
      <c r="BA249" s="348">
        <v>5.5E-2</v>
      </c>
      <c r="BB249" s="540">
        <f>(1+AZ249)*(1+BA249)-1</f>
        <v>0.11302499999999993</v>
      </c>
      <c r="BC249" s="348">
        <f>BA249</f>
        <v>5.5E-2</v>
      </c>
      <c r="BD249" s="348">
        <v>5.5E-2</v>
      </c>
      <c r="BE249" s="540">
        <f>(1+BC249)*(1+BD249)-1</f>
        <v>0.11302499999999993</v>
      </c>
    </row>
    <row r="250" spans="2:57">
      <c r="B250" s="246" t="s">
        <v>2348</v>
      </c>
      <c r="C250" s="287"/>
      <c r="F250" s="287"/>
      <c r="H250" s="348">
        <f>5.5%/2-17.9%*0.7</f>
        <v>-9.7799999999999998E-2</v>
      </c>
      <c r="I250" s="287"/>
      <c r="J250" s="348">
        <v>-0.05</v>
      </c>
      <c r="K250" s="348">
        <v>0.05</v>
      </c>
      <c r="L250" s="287"/>
      <c r="M250" s="348">
        <f>K250</f>
        <v>0.05</v>
      </c>
      <c r="N250" s="349">
        <v>-0.01</v>
      </c>
      <c r="O250" s="287"/>
      <c r="P250" s="348">
        <v>0.05</v>
      </c>
      <c r="Q250" s="348">
        <f>P250</f>
        <v>0.05</v>
      </c>
      <c r="R250" s="287"/>
      <c r="S250" s="348">
        <f>Q250</f>
        <v>0.05</v>
      </c>
      <c r="T250" s="348">
        <f>S250</f>
        <v>0.05</v>
      </c>
      <c r="U250" s="287"/>
      <c r="V250" s="348">
        <f>T250</f>
        <v>0.05</v>
      </c>
      <c r="W250" s="369">
        <v>0.05</v>
      </c>
      <c r="X250" s="287"/>
      <c r="Y250" s="369">
        <v>0.05</v>
      </c>
      <c r="Z250" s="348">
        <v>0.05</v>
      </c>
      <c r="AA250" s="287"/>
      <c r="AB250" s="348">
        <f>Z250</f>
        <v>0.05</v>
      </c>
      <c r="AC250" s="348">
        <f>AB250</f>
        <v>0.05</v>
      </c>
      <c r="AD250" s="287"/>
      <c r="AE250" s="348">
        <f>AC250</f>
        <v>0.05</v>
      </c>
      <c r="AF250" s="627">
        <v>0.06</v>
      </c>
      <c r="AG250" s="287"/>
      <c r="AH250" s="348">
        <f>AF250</f>
        <v>0.06</v>
      </c>
      <c r="AI250" s="348">
        <f>AH250</f>
        <v>0.06</v>
      </c>
      <c r="AJ250" s="540">
        <f>(1+AH250)*(1+AI250)-1</f>
        <v>0.12360000000000015</v>
      </c>
      <c r="AK250" s="348">
        <v>4.4999999999999998E-2</v>
      </c>
      <c r="AL250" s="369">
        <v>4.4999999999999998E-2</v>
      </c>
      <c r="AM250" s="540">
        <f>(1+AK250)*(1+AL250)-1</f>
        <v>9.2024999999999801E-2</v>
      </c>
      <c r="AN250" s="348">
        <f>AL250</f>
        <v>4.4999999999999998E-2</v>
      </c>
      <c r="AO250" s="348">
        <f>AN250</f>
        <v>4.4999999999999998E-2</v>
      </c>
      <c r="AP250" s="540">
        <f>(1+AN250)*(1+AO250)-1</f>
        <v>9.2024999999999801E-2</v>
      </c>
      <c r="AQ250" s="348">
        <f>AO250</f>
        <v>4.4999999999999998E-2</v>
      </c>
      <c r="AR250" s="348">
        <f>AQ250</f>
        <v>4.4999999999999998E-2</v>
      </c>
      <c r="AS250" s="540">
        <f>(1+AQ250)*(1+AR250)-1</f>
        <v>9.2024999999999801E-2</v>
      </c>
      <c r="AT250" s="348">
        <f>AR250</f>
        <v>4.4999999999999998E-2</v>
      </c>
      <c r="AU250" s="348">
        <f>AT250</f>
        <v>4.4999999999999998E-2</v>
      </c>
      <c r="AV250" s="540">
        <f>(1+AT250)*(1+AU250)-1</f>
        <v>9.2024999999999801E-2</v>
      </c>
      <c r="AW250" s="348">
        <f>AU250</f>
        <v>4.4999999999999998E-2</v>
      </c>
      <c r="AX250" s="348">
        <f>AW250</f>
        <v>4.4999999999999998E-2</v>
      </c>
      <c r="AY250" s="540">
        <f>(1+AW250)*(1+AX250)-1</f>
        <v>9.2024999999999801E-2</v>
      </c>
      <c r="AZ250" s="348">
        <f>AX250</f>
        <v>4.4999999999999998E-2</v>
      </c>
      <c r="BA250" s="348">
        <f>AZ250</f>
        <v>4.4999999999999998E-2</v>
      </c>
      <c r="BB250" s="540">
        <f>(1+AZ250)*(1+BA250)-1</f>
        <v>9.2024999999999801E-2</v>
      </c>
      <c r="BC250" s="348">
        <f>BA250</f>
        <v>4.4999999999999998E-2</v>
      </c>
      <c r="BD250" s="348">
        <f>BC250</f>
        <v>4.4999999999999998E-2</v>
      </c>
      <c r="BE250" s="540">
        <f>(1+BC250)*(1+BD250)-1</f>
        <v>9.2024999999999801E-2</v>
      </c>
    </row>
    <row r="251" spans="2:57">
      <c r="B251" s="246" t="s">
        <v>2349</v>
      </c>
      <c r="C251" s="287"/>
      <c r="F251" s="287"/>
      <c r="H251" s="348">
        <f>3.3%+1%</f>
        <v>4.3000000000000003E-2</v>
      </c>
      <c r="I251" s="287"/>
      <c r="J251" s="348">
        <v>0.1</v>
      </c>
      <c r="K251" s="348">
        <v>3.3000000000000002E-2</v>
      </c>
      <c r="L251" s="287"/>
      <c r="M251" s="348">
        <v>3.1E-2</v>
      </c>
      <c r="N251" s="349">
        <f>3%+0.2%*3</f>
        <v>3.5999999999999997E-2</v>
      </c>
      <c r="O251" s="287"/>
      <c r="P251" s="348">
        <v>0.03</v>
      </c>
      <c r="Q251" s="348">
        <f>P251</f>
        <v>0.03</v>
      </c>
      <c r="R251" s="287"/>
      <c r="S251" s="348">
        <f>Q251</f>
        <v>0.03</v>
      </c>
      <c r="T251" s="348">
        <f>S251</f>
        <v>0.03</v>
      </c>
      <c r="U251" s="287"/>
      <c r="V251" s="348">
        <f>T251</f>
        <v>0.03</v>
      </c>
      <c r="W251" s="369">
        <f>2.5%</f>
        <v>2.5000000000000001E-2</v>
      </c>
      <c r="X251" s="287"/>
      <c r="Y251" s="369">
        <f>2.5%-0.5%</f>
        <v>0.02</v>
      </c>
      <c r="Z251" s="348">
        <v>2.5000000000000001E-2</v>
      </c>
      <c r="AA251" s="287"/>
      <c r="AB251" s="348">
        <f>Z251</f>
        <v>2.5000000000000001E-2</v>
      </c>
      <c r="AC251" s="348">
        <f>AB251</f>
        <v>2.5000000000000001E-2</v>
      </c>
      <c r="AD251" s="287"/>
      <c r="AE251" s="348">
        <v>2.1362135388002194E-2</v>
      </c>
      <c r="AF251" s="627">
        <v>4.5919536855838224E-2</v>
      </c>
      <c r="AG251" s="541"/>
      <c r="AH251" s="348">
        <v>-1.0785173893405603E-2</v>
      </c>
      <c r="AI251" s="348">
        <v>3.0704249485949291E-2</v>
      </c>
      <c r="AJ251" s="540">
        <f>(1+AH251)*(1+AI251)-1</f>
        <v>1.958792492257122E-2</v>
      </c>
      <c r="AK251" s="348">
        <v>1.2438162544169611E-2</v>
      </c>
      <c r="AL251" s="369">
        <v>1.2500000000000001E-2</v>
      </c>
      <c r="AM251" s="540">
        <f>(1+AK251)*(1+AL251)-1</f>
        <v>2.5093639575971771E-2</v>
      </c>
      <c r="AN251" s="348">
        <f>AL251+AN252-AL252</f>
        <v>1.2500000000000001E-2</v>
      </c>
      <c r="AO251" s="348">
        <f>AN251+AO252-AN252</f>
        <v>1.2291666666666666E-2</v>
      </c>
      <c r="AP251" s="540">
        <f>(1+AN251)*(1+AO251)-1</f>
        <v>2.4945312499999872E-2</v>
      </c>
      <c r="AQ251" s="348" t="e">
        <f>AO251+AQ252-AO252</f>
        <v>#N/A</v>
      </c>
      <c r="AR251" s="348" t="e">
        <f>AQ251+AR252-AQ252</f>
        <v>#N/A</v>
      </c>
      <c r="AS251" s="540" t="e">
        <f>(1+AQ251)*(1+AR251)-1</f>
        <v>#N/A</v>
      </c>
      <c r="AT251" s="348" t="e">
        <f>AR251+AT252-AR252</f>
        <v>#N/A</v>
      </c>
      <c r="AU251" s="348" t="e">
        <f>AT251+AU252-AT252</f>
        <v>#N/A</v>
      </c>
      <c r="AV251" s="540" t="e">
        <f>(1+AT251)*(1+AU251)-1</f>
        <v>#N/A</v>
      </c>
      <c r="AW251" s="348" t="e">
        <f>AU251+AW252-AU252</f>
        <v>#N/A</v>
      </c>
      <c r="AX251" s="348" t="e">
        <f>AW251+AX252-AW252</f>
        <v>#N/A</v>
      </c>
      <c r="AY251" s="540" t="e">
        <f>(1+AW251)*(1+AX251)-1</f>
        <v>#N/A</v>
      </c>
      <c r="AZ251" s="348" t="e">
        <f>AX251+AZ252-AX252</f>
        <v>#N/A</v>
      </c>
      <c r="BA251" s="348" t="e">
        <f>AZ251+BA252-AZ252</f>
        <v>#N/A</v>
      </c>
      <c r="BB251" s="540" t="e">
        <f>(1+AZ251)*(1+BA251)-1</f>
        <v>#N/A</v>
      </c>
      <c r="BC251" s="348" t="e">
        <f>BA251+BC252-BA252</f>
        <v>#N/A</v>
      </c>
      <c r="BD251" s="348" t="e">
        <f>BC251+BD252-BC252</f>
        <v>#N/A</v>
      </c>
      <c r="BE251" s="540" t="e">
        <f>(1+BC251)*(1+BD251)-1</f>
        <v>#N/A</v>
      </c>
    </row>
    <row r="252" spans="2:57">
      <c r="B252" s="246" t="s">
        <v>2350</v>
      </c>
      <c r="C252" s="287"/>
      <c r="F252" s="287"/>
      <c r="H252" s="348">
        <v>3.3000000000000002E-2</v>
      </c>
      <c r="I252" s="287"/>
      <c r="J252" s="348">
        <v>3.5000000000000003E-2</v>
      </c>
      <c r="K252" s="348">
        <v>0.02</v>
      </c>
      <c r="L252" s="287"/>
      <c r="M252" s="350">
        <v>0.24916943521594687</v>
      </c>
      <c r="N252" s="349">
        <f>4.1%/2</f>
        <v>2.0499999999999997E-2</v>
      </c>
      <c r="O252" s="287"/>
      <c r="P252" s="348">
        <v>2.5000000000000001E-2</v>
      </c>
      <c r="Q252" s="348">
        <f>P252</f>
        <v>2.5000000000000001E-2</v>
      </c>
      <c r="R252" s="287"/>
      <c r="S252" s="348">
        <v>2.1999999999999999E-2</v>
      </c>
      <c r="T252" s="348">
        <f>S252</f>
        <v>2.1999999999999999E-2</v>
      </c>
      <c r="U252" s="287"/>
      <c r="V252" s="348">
        <v>1.7999999999999999E-2</v>
      </c>
      <c r="W252" s="369">
        <v>1.4999999999999999E-2</v>
      </c>
      <c r="X252" s="287"/>
      <c r="Y252" s="369">
        <v>1.2999999999999999E-2</v>
      </c>
      <c r="Z252" s="348">
        <v>1.2E-2</v>
      </c>
      <c r="AA252" s="287"/>
      <c r="AB252" s="348">
        <v>1.2E-2</v>
      </c>
      <c r="AC252" s="348">
        <v>1.2999999999999999E-2</v>
      </c>
      <c r="AD252" s="287"/>
      <c r="AE252" s="348">
        <v>0.01</v>
      </c>
      <c r="AF252" s="627">
        <f>((4*2+2*1.75)/6)%/2</f>
        <v>9.5833333333333343E-3</v>
      </c>
      <c r="AG252" s="287"/>
      <c r="AH252" s="348">
        <f>((5*1.5+1*1.75)/6)%/2</f>
        <v>7.7083333333333335E-3</v>
      </c>
      <c r="AI252" s="348">
        <f>INDEX(Model!$40:$40,MATCH(AI$1&amp;"A",Model!$1:$1,0))/2</f>
        <v>7.4999999999999997E-3</v>
      </c>
      <c r="AJ252" s="540">
        <f>(1+AH252)*(1+AI252)-1</f>
        <v>1.5266145833333411E-2</v>
      </c>
      <c r="AK252" s="348">
        <f>INDEX(Model!$40:$40,MATCH(AK$1&amp;"A",Model!$1:$1,0))/2</f>
        <v>7.4999999999999997E-3</v>
      </c>
      <c r="AL252" s="369">
        <f>INDEX(Model!$40:$40,MATCH(AL$1&amp;"A",Model!$1:$1,0))/2</f>
        <v>7.4999999999999997E-3</v>
      </c>
      <c r="AM252" s="540">
        <f>(1+AK252)*(1+AL252)-1</f>
        <v>1.5056250000000215E-2</v>
      </c>
      <c r="AN252" s="348">
        <f>INDEX(Model!$40:$40,MATCH(AN$1&amp;"A",Model!$1:$1,0))/2</f>
        <v>7.4999999999999997E-3</v>
      </c>
      <c r="AO252" s="348">
        <f>INDEX(Model!$40:$40,MATCH(AO$1&amp;"A",Model!$1:$1,0))/2</f>
        <v>7.2916666666666659E-3</v>
      </c>
      <c r="AP252" s="540">
        <f>(1+AN252)*(1+AO252)-1</f>
        <v>1.4846354166666798E-2</v>
      </c>
      <c r="AQ252" s="348" t="e">
        <f>INDEX(Model!$40:$40,MATCH(AQ$1&amp;"E",Model!$1:$1,0))/2</f>
        <v>#N/A</v>
      </c>
      <c r="AR252" s="348" t="e">
        <f>INDEX(Model!$40:$40,MATCH(AR$1&amp;"E",Model!$1:$1,0))/2</f>
        <v>#N/A</v>
      </c>
      <c r="AS252" s="540" t="e">
        <f>(1+AQ252)*(1+AR252)-1</f>
        <v>#N/A</v>
      </c>
      <c r="AT252" s="348" t="e">
        <f>INDEX(Model!$40:$40,MATCH(AT$1&amp;"E",Model!$1:$1,0))/2</f>
        <v>#N/A</v>
      </c>
      <c r="AU252" s="348" t="e">
        <f>INDEX(Model!$40:$40,MATCH(AU$1&amp;"E",Model!$1:$1,0))/2</f>
        <v>#N/A</v>
      </c>
      <c r="AV252" s="540" t="e">
        <f>(1+AT252)*(1+AU252)-1</f>
        <v>#N/A</v>
      </c>
      <c r="AW252" s="348" t="e">
        <f>INDEX(Model!$40:$40,MATCH(AW$1&amp;"E",Model!$1:$1,0))/2</f>
        <v>#N/A</v>
      </c>
      <c r="AX252" s="348" t="e">
        <f>INDEX(Model!$40:$40,MATCH(AX$1&amp;"E",Model!$1:$1,0))/2</f>
        <v>#N/A</v>
      </c>
      <c r="AY252" s="540" t="e">
        <f>(1+AW252)*(1+AX252)-1</f>
        <v>#N/A</v>
      </c>
      <c r="AZ252" s="348" t="e">
        <f>INDEX(Model!$40:$40,MATCH(AZ$1&amp;"E",Model!$1:$1,0))/2</f>
        <v>#N/A</v>
      </c>
      <c r="BA252" s="348" t="e">
        <f>INDEX(Model!$40:$40,MATCH(BA$1&amp;"E",Model!$1:$1,0))/2</f>
        <v>#N/A</v>
      </c>
      <c r="BB252" s="540" t="e">
        <f>(1+AZ252)*(1+BA252)-1</f>
        <v>#N/A</v>
      </c>
      <c r="BC252" s="348" t="e">
        <f>INDEX(Model!$40:$40,MATCH(BC$1&amp;"E",Model!$1:$1,0))/2</f>
        <v>#N/A</v>
      </c>
      <c r="BD252" s="348" t="e">
        <f>INDEX(Model!$40:$40,MATCH(BD$1&amp;"E",Model!$1:$1,0))/2</f>
        <v>#N/A</v>
      </c>
      <c r="BE252" s="540" t="e">
        <f>(1+BC252)*(1+BD252)-1</f>
        <v>#N/A</v>
      </c>
    </row>
    <row r="253" spans="2:57">
      <c r="B253" s="243" t="s">
        <v>168</v>
      </c>
      <c r="C253" s="287"/>
      <c r="D253" s="351">
        <f>D261/C237</f>
        <v>4.4689800210304942E-2</v>
      </c>
      <c r="E253" s="351">
        <f>E261/D237</f>
        <v>3.0947775628626693E-2</v>
      </c>
      <c r="F253" s="287"/>
      <c r="G253" s="351">
        <f>G261/F237</f>
        <v>2.1582733812949641E-2</v>
      </c>
      <c r="H253" s="351">
        <f>H261/G237</f>
        <v>-3.2082653616095705E-2</v>
      </c>
      <c r="I253" s="287"/>
      <c r="J253" s="351">
        <f>J261/I237</f>
        <v>3.4750506072874492E-2</v>
      </c>
      <c r="K253" s="351">
        <f>K261/J237</f>
        <v>2.2009486847779213E-2</v>
      </c>
      <c r="L253" s="287"/>
      <c r="M253" s="351">
        <f>M261/L237</f>
        <v>5.8847907169498552E-2</v>
      </c>
      <c r="N253" s="351">
        <f>N261/M237</f>
        <v>2.1779610829103211E-2</v>
      </c>
      <c r="O253" s="287"/>
      <c r="P253" s="351">
        <f>P261/O237</f>
        <v>2.9372328021764479E-2</v>
      </c>
      <c r="Q253" s="351">
        <f>Q261/P237</f>
        <v>2.8987169517884916E-2</v>
      </c>
      <c r="R253" s="287"/>
      <c r="S253" s="351">
        <f>S261/R237</f>
        <v>2.7423154497781363E-2</v>
      </c>
      <c r="T253" s="351">
        <f>T261/S237</f>
        <v>2.7258418740849194E-2</v>
      </c>
      <c r="U253" s="287"/>
      <c r="V253" s="351">
        <f>V261/U237</f>
        <v>2.8187919463087248E-2</v>
      </c>
      <c r="W253" s="351">
        <f>W261/V237</f>
        <v>2.1836911246395387E-2</v>
      </c>
      <c r="X253" s="287"/>
      <c r="Y253" s="351">
        <f>Y261/X237</f>
        <v>1.672955422955423E-2</v>
      </c>
      <c r="Z253" s="351">
        <f>Z261/Y237</f>
        <v>1.8438671586715867E-2</v>
      </c>
      <c r="AA253" s="287"/>
      <c r="AB253" s="351">
        <f>AB261/AA237</f>
        <v>1.764450127877238E-2</v>
      </c>
      <c r="AC253" s="351">
        <f>AC261/AB237</f>
        <v>1.9186204092695485E-2</v>
      </c>
      <c r="AD253" s="287"/>
      <c r="AE253" s="351">
        <f>AE261/AD237</f>
        <v>1.5583019881783983E-2</v>
      </c>
      <c r="AF253" s="628">
        <f>AF261/AE237</f>
        <v>2.2174726155490248E-2</v>
      </c>
      <c r="AG253" s="287"/>
      <c r="AH253" s="351">
        <f>AH261/AG237</f>
        <v>4.266666666666666E-3</v>
      </c>
      <c r="AI253" s="351">
        <f>AI261/AH237</f>
        <v>1.3000795967100026E-2</v>
      </c>
      <c r="AJ253" s="595">
        <f>AJ261/AG237</f>
        <v>1.7333333333333333E-2</v>
      </c>
      <c r="AK253" s="351">
        <f>AK261/AJ237</f>
        <v>3.4318901795142554E-3</v>
      </c>
      <c r="AL253" s="351">
        <f>AL261/AK237</f>
        <v>9.0588030619345866E-3</v>
      </c>
      <c r="AM253" s="595">
        <f>AM261/AJ237</f>
        <v>6.868400211193241E-3</v>
      </c>
      <c r="AN253" s="351">
        <f>AN261/AM237</f>
        <v>8.6949924127465855E-3</v>
      </c>
      <c r="AO253" s="351">
        <f>AO261/AN237</f>
        <v>8.080994291151283E-3</v>
      </c>
      <c r="AP253" s="595">
        <f>AP261/AM237</f>
        <v>1.5138941578148711E-2</v>
      </c>
      <c r="AQ253" s="351" t="e">
        <f>AQ261/AP237</f>
        <v>#N/A</v>
      </c>
      <c r="AR253" s="351" t="e">
        <f>AR261/AQ237</f>
        <v>#N/A</v>
      </c>
      <c r="AS253" s="595" t="e">
        <f>AS261/AP237</f>
        <v>#N/A</v>
      </c>
      <c r="AT253" s="351" t="e">
        <f>AT261/AS237</f>
        <v>#N/A</v>
      </c>
      <c r="AU253" s="351" t="e">
        <f>AU261/AT237</f>
        <v>#N/A</v>
      </c>
      <c r="AV253" s="595" t="e">
        <f>AV261/AS237</f>
        <v>#N/A</v>
      </c>
      <c r="AW253" s="351" t="e">
        <f>AW261/AV237</f>
        <v>#N/A</v>
      </c>
      <c r="AX253" s="351" t="e">
        <f>AX261/AW237</f>
        <v>#N/A</v>
      </c>
      <c r="AY253" s="595" t="e">
        <f>AY261/AV237</f>
        <v>#N/A</v>
      </c>
      <c r="AZ253" s="351" t="e">
        <f>AZ261/AY237</f>
        <v>#N/A</v>
      </c>
      <c r="BA253" s="351" t="e">
        <f>BA261/AZ237</f>
        <v>#N/A</v>
      </c>
      <c r="BB253" s="595" t="e">
        <f>BB261/AY237</f>
        <v>#N/A</v>
      </c>
      <c r="BC253" s="351" t="e">
        <f>BC261/BB237</f>
        <v>#N/A</v>
      </c>
      <c r="BD253" s="351" t="e">
        <f>BD261/BC237</f>
        <v>#N/A</v>
      </c>
      <c r="BE253" s="595" t="e">
        <f>BE261/BB237</f>
        <v>#N/A</v>
      </c>
    </row>
    <row r="254" spans="2:57">
      <c r="C254" s="287"/>
      <c r="F254" s="287"/>
      <c r="I254" s="287"/>
      <c r="L254" s="287"/>
      <c r="O254" s="287"/>
      <c r="R254" s="287"/>
      <c r="U254" s="287"/>
      <c r="X254" s="287"/>
      <c r="AA254" s="287"/>
      <c r="AD254" s="287"/>
      <c r="AF254" s="613"/>
      <c r="AG254" s="287"/>
      <c r="AJ254" s="287"/>
      <c r="AM254" s="287"/>
      <c r="AP254" s="287"/>
      <c r="AS254" s="287"/>
      <c r="AV254" s="287"/>
      <c r="AY254" s="287"/>
      <c r="BB254" s="287"/>
      <c r="BE254" s="287"/>
    </row>
    <row r="255" spans="2:57">
      <c r="B255" s="243" t="s">
        <v>2353</v>
      </c>
      <c r="C255" s="287"/>
      <c r="F255" s="287"/>
      <c r="I255" s="287"/>
      <c r="L255" s="287"/>
      <c r="O255" s="287"/>
      <c r="R255" s="287"/>
      <c r="U255" s="287"/>
      <c r="X255" s="287"/>
      <c r="AA255" s="287"/>
      <c r="AD255" s="287"/>
      <c r="AF255" s="613"/>
      <c r="AG255" s="287"/>
      <c r="AJ255" s="287"/>
      <c r="AM255" s="287"/>
      <c r="AP255" s="287"/>
      <c r="AS255" s="287"/>
      <c r="AV255" s="287"/>
      <c r="AY255" s="287"/>
      <c r="BB255" s="287"/>
      <c r="BE255" s="287"/>
    </row>
    <row r="256" spans="2:57">
      <c r="B256" s="246" t="s">
        <v>2346</v>
      </c>
      <c r="C256" s="287"/>
      <c r="F256" s="287"/>
      <c r="H256" s="296">
        <f>G232*H248</f>
        <v>-1.3980000000000001</v>
      </c>
      <c r="I256" s="287"/>
      <c r="J256" s="321">
        <f t="shared" ref="J256:K260" si="254">I232*J248</f>
        <v>-2.9480000000000004</v>
      </c>
      <c r="K256" s="321">
        <f t="shared" si="254"/>
        <v>0.55000000000000004</v>
      </c>
      <c r="L256" s="352"/>
      <c r="M256" s="321">
        <f t="shared" ref="M256:N260" si="255">L232*M248</f>
        <v>0.55000000000000004</v>
      </c>
      <c r="N256" s="321">
        <f t="shared" si="255"/>
        <v>-1.089</v>
      </c>
      <c r="O256" s="352"/>
      <c r="P256" s="321">
        <f t="shared" ref="P256:Q260" si="256">O232*P248</f>
        <v>0.66</v>
      </c>
      <c r="Q256" s="321">
        <f t="shared" si="256"/>
        <v>0.71499999999999997</v>
      </c>
      <c r="R256" s="352"/>
      <c r="S256" s="321">
        <f t="shared" ref="S256:T260" si="257">R232*S248</f>
        <v>0.60499999999999998</v>
      </c>
      <c r="T256" s="321">
        <f t="shared" si="257"/>
        <v>0.66</v>
      </c>
      <c r="U256" s="352"/>
      <c r="V256" s="353"/>
      <c r="W256" s="296">
        <f>V232*W248</f>
        <v>0.71499999999999997</v>
      </c>
      <c r="X256" s="287"/>
      <c r="Y256" s="296"/>
      <c r="Z256" s="296">
        <f>Y232*Z248</f>
        <v>0.22</v>
      </c>
      <c r="AA256" s="287"/>
      <c r="AB256" s="296">
        <f t="shared" ref="AB256:AC260" si="258">AA232*AB248</f>
        <v>0.27500000000000002</v>
      </c>
      <c r="AC256" s="296">
        <f t="shared" si="258"/>
        <v>0.22</v>
      </c>
      <c r="AD256" s="287"/>
      <c r="AE256" s="296">
        <f t="shared" ref="AE256:AF260" si="259">AD232*AE248</f>
        <v>0.16500000000000001</v>
      </c>
      <c r="AF256" s="322">
        <f t="shared" si="259"/>
        <v>3.3000000000000002E-2</v>
      </c>
      <c r="AG256" s="287"/>
      <c r="AH256" s="296">
        <f t="shared" ref="AH256:AI260" si="260">AG232*AH248</f>
        <v>3.3000000000000002E-2</v>
      </c>
      <c r="AI256" s="296">
        <f>AH232*AI248</f>
        <v>0.30249999999999999</v>
      </c>
      <c r="AJ256" s="287"/>
      <c r="AK256" s="296">
        <f>AK232*AK248</f>
        <v>0</v>
      </c>
      <c r="AL256" s="296">
        <f>AK232*AL248</f>
        <v>0</v>
      </c>
      <c r="AM256" s="287"/>
      <c r="AN256" s="296">
        <f t="shared" ref="AN256:AO260" si="261">AM232*AN248</f>
        <v>0</v>
      </c>
      <c r="AO256" s="296">
        <f t="shared" si="261"/>
        <v>0</v>
      </c>
      <c r="AP256" s="287"/>
      <c r="AQ256" s="296">
        <f t="shared" ref="AQ256:AR260" si="262">AP232*AQ248</f>
        <v>0</v>
      </c>
      <c r="AR256" s="296" t="e">
        <f t="shared" si="262"/>
        <v>#N/A</v>
      </c>
      <c r="AS256" s="287"/>
      <c r="AT256" s="296" t="e">
        <f t="shared" ref="AT256:AU260" si="263">AS232*AT248</f>
        <v>#N/A</v>
      </c>
      <c r="AU256" s="296" t="e">
        <f t="shared" si="263"/>
        <v>#N/A</v>
      </c>
      <c r="AV256" s="287"/>
      <c r="AW256" s="296" t="e">
        <f t="shared" ref="AW256:AX260" si="264">AV232*AW248</f>
        <v>#N/A</v>
      </c>
      <c r="AX256" s="296" t="e">
        <f t="shared" si="264"/>
        <v>#N/A</v>
      </c>
      <c r="AY256" s="287"/>
      <c r="AZ256" s="296" t="e">
        <f t="shared" ref="AZ256:BA260" si="265">AY232*AZ248</f>
        <v>#N/A</v>
      </c>
      <c r="BA256" s="296" t="e">
        <f t="shared" si="265"/>
        <v>#N/A</v>
      </c>
      <c r="BB256" s="287"/>
      <c r="BC256" s="296" t="e">
        <f t="shared" ref="BC256:BD260" si="266">BB232*BC248</f>
        <v>#N/A</v>
      </c>
      <c r="BD256" s="296" t="e">
        <f t="shared" si="266"/>
        <v>#N/A</v>
      </c>
      <c r="BE256" s="287"/>
    </row>
    <row r="257" spans="2:57">
      <c r="B257" s="246" t="s">
        <v>2347</v>
      </c>
      <c r="C257" s="287"/>
      <c r="F257" s="287"/>
      <c r="H257" s="296">
        <f>G233*H249</f>
        <v>-1.6880000000000002</v>
      </c>
      <c r="I257" s="287"/>
      <c r="J257" s="321">
        <f t="shared" si="254"/>
        <v>-1.44</v>
      </c>
      <c r="K257" s="321">
        <f t="shared" si="254"/>
        <v>0.77</v>
      </c>
      <c r="L257" s="352"/>
      <c r="M257" s="321">
        <f t="shared" si="255"/>
        <v>0.5</v>
      </c>
      <c r="N257" s="321">
        <f t="shared" si="255"/>
        <v>-3.2000000000000001E-2</v>
      </c>
      <c r="O257" s="352"/>
      <c r="P257" s="321">
        <f t="shared" si="256"/>
        <v>5.5E-2</v>
      </c>
      <c r="Q257" s="321">
        <f t="shared" si="256"/>
        <v>0.11</v>
      </c>
      <c r="R257" s="352"/>
      <c r="S257" s="321">
        <f t="shared" si="257"/>
        <v>5.5E-2</v>
      </c>
      <c r="T257" s="321">
        <f t="shared" si="257"/>
        <v>0.11</v>
      </c>
      <c r="U257" s="352"/>
      <c r="V257" s="353"/>
      <c r="W257" s="296">
        <f>V233*W249</f>
        <v>0.23300000000000001</v>
      </c>
      <c r="X257" s="287"/>
      <c r="Y257" s="296"/>
      <c r="Z257" s="296">
        <f>Y233*Z249</f>
        <v>0</v>
      </c>
      <c r="AA257" s="287"/>
      <c r="AB257" s="296">
        <f t="shared" si="258"/>
        <v>0</v>
      </c>
      <c r="AC257" s="296">
        <f t="shared" si="258"/>
        <v>0</v>
      </c>
      <c r="AD257" s="287"/>
      <c r="AE257" s="296">
        <f t="shared" si="259"/>
        <v>0</v>
      </c>
      <c r="AF257" s="322">
        <f t="shared" si="259"/>
        <v>0</v>
      </c>
      <c r="AG257" s="287"/>
      <c r="AH257" s="296">
        <f t="shared" si="260"/>
        <v>0</v>
      </c>
      <c r="AI257" s="296">
        <f t="shared" si="260"/>
        <v>0</v>
      </c>
      <c r="AJ257" s="287"/>
      <c r="AK257" s="296">
        <f>AK233*AK249</f>
        <v>0</v>
      </c>
      <c r="AL257" s="296">
        <f>AK233*AL249</f>
        <v>0</v>
      </c>
      <c r="AM257" s="287"/>
      <c r="AN257" s="296">
        <f t="shared" si="261"/>
        <v>0</v>
      </c>
      <c r="AO257" s="296">
        <f t="shared" si="261"/>
        <v>0</v>
      </c>
      <c r="AP257" s="287"/>
      <c r="AQ257" s="296">
        <f t="shared" si="262"/>
        <v>0</v>
      </c>
      <c r="AR257" s="296" t="e">
        <f t="shared" si="262"/>
        <v>#N/A</v>
      </c>
      <c r="AS257" s="287"/>
      <c r="AT257" s="296" t="e">
        <f t="shared" si="263"/>
        <v>#N/A</v>
      </c>
      <c r="AU257" s="296" t="e">
        <f t="shared" si="263"/>
        <v>#N/A</v>
      </c>
      <c r="AV257" s="287"/>
      <c r="AW257" s="296" t="e">
        <f t="shared" si="264"/>
        <v>#N/A</v>
      </c>
      <c r="AX257" s="296" t="e">
        <f t="shared" si="264"/>
        <v>#N/A</v>
      </c>
      <c r="AY257" s="287"/>
      <c r="AZ257" s="296" t="e">
        <f t="shared" si="265"/>
        <v>#N/A</v>
      </c>
      <c r="BA257" s="296" t="e">
        <f t="shared" si="265"/>
        <v>#N/A</v>
      </c>
      <c r="BB257" s="287"/>
      <c r="BC257" s="296" t="e">
        <f t="shared" si="266"/>
        <v>#N/A</v>
      </c>
      <c r="BD257" s="296" t="e">
        <f t="shared" si="266"/>
        <v>#N/A</v>
      </c>
      <c r="BE257" s="287"/>
    </row>
    <row r="258" spans="2:57">
      <c r="B258" s="246" t="s">
        <v>2348</v>
      </c>
      <c r="C258" s="287"/>
      <c r="F258" s="287"/>
      <c r="H258" s="296">
        <f>G234*H250</f>
        <v>-38.924399999999999</v>
      </c>
      <c r="I258" s="287"/>
      <c r="J258" s="321">
        <f t="shared" si="254"/>
        <v>-16.95</v>
      </c>
      <c r="K258" s="321">
        <v>9</v>
      </c>
      <c r="L258" s="352"/>
      <c r="M258" s="321">
        <f t="shared" si="255"/>
        <v>13.850000000000001</v>
      </c>
      <c r="N258" s="321">
        <f t="shared" si="255"/>
        <v>-2.9</v>
      </c>
      <c r="O258" s="352"/>
      <c r="P258" s="321">
        <f t="shared" si="256"/>
        <v>13.5</v>
      </c>
      <c r="Q258" s="321">
        <f t="shared" si="256"/>
        <v>11.65</v>
      </c>
      <c r="R258" s="352"/>
      <c r="S258" s="321">
        <f t="shared" si="257"/>
        <v>12.100000000000001</v>
      </c>
      <c r="T258" s="321">
        <f t="shared" si="257"/>
        <v>11.5</v>
      </c>
      <c r="U258" s="352"/>
      <c r="V258" s="353"/>
      <c r="W258" s="296">
        <f>V234*W250</f>
        <v>12.9</v>
      </c>
      <c r="X258" s="287"/>
      <c r="Y258" s="296"/>
      <c r="Z258" s="296">
        <f>Y234*Z250</f>
        <v>9.7250000000000014</v>
      </c>
      <c r="AA258" s="287"/>
      <c r="AB258" s="296">
        <f t="shared" si="258"/>
        <v>6.9</v>
      </c>
      <c r="AC258" s="296">
        <f t="shared" si="258"/>
        <v>6.9</v>
      </c>
      <c r="AD258" s="287"/>
      <c r="AE258" s="296">
        <f t="shared" si="259"/>
        <v>0</v>
      </c>
      <c r="AF258" s="322">
        <f t="shared" si="259"/>
        <v>0.84</v>
      </c>
      <c r="AG258" s="287"/>
      <c r="AH258" s="296">
        <f t="shared" si="260"/>
        <v>0.84</v>
      </c>
      <c r="AI258" s="296">
        <f t="shared" si="260"/>
        <v>4.05</v>
      </c>
      <c r="AJ258" s="287"/>
      <c r="AK258" s="296">
        <f>AK234*AK250</f>
        <v>0.99</v>
      </c>
      <c r="AL258" s="296">
        <f>AK234*AL250</f>
        <v>0.99</v>
      </c>
      <c r="AM258" s="287"/>
      <c r="AN258" s="296">
        <f t="shared" si="261"/>
        <v>0.99</v>
      </c>
      <c r="AO258" s="296">
        <f t="shared" si="261"/>
        <v>0.99</v>
      </c>
      <c r="AP258" s="287"/>
      <c r="AQ258" s="296">
        <f t="shared" si="262"/>
        <v>0.83846531701411975</v>
      </c>
      <c r="AR258" s="296" t="e">
        <f t="shared" si="262"/>
        <v>#N/A</v>
      </c>
      <c r="AS258" s="287"/>
      <c r="AT258" s="296" t="e">
        <f t="shared" si="263"/>
        <v>#N/A</v>
      </c>
      <c r="AU258" s="296" t="e">
        <f t="shared" si="263"/>
        <v>#N/A</v>
      </c>
      <c r="AV258" s="287"/>
      <c r="AW258" s="296" t="e">
        <f t="shared" si="264"/>
        <v>#N/A</v>
      </c>
      <c r="AX258" s="296" t="e">
        <f t="shared" si="264"/>
        <v>#N/A</v>
      </c>
      <c r="AY258" s="287"/>
      <c r="AZ258" s="296" t="e">
        <f t="shared" si="265"/>
        <v>#N/A</v>
      </c>
      <c r="BA258" s="296" t="e">
        <f t="shared" si="265"/>
        <v>#N/A</v>
      </c>
      <c r="BB258" s="287"/>
      <c r="BC258" s="296" t="e">
        <f t="shared" si="266"/>
        <v>#N/A</v>
      </c>
      <c r="BD258" s="296" t="e">
        <f t="shared" si="266"/>
        <v>#N/A</v>
      </c>
      <c r="BE258" s="287"/>
    </row>
    <row r="259" spans="2:57">
      <c r="B259" s="246" t="s">
        <v>2349</v>
      </c>
      <c r="C259" s="287"/>
      <c r="F259" s="287"/>
      <c r="H259" s="296">
        <f>G235*H251</f>
        <v>25.929000000000002</v>
      </c>
      <c r="I259" s="287"/>
      <c r="J259" s="321">
        <v>57</v>
      </c>
      <c r="K259" s="321">
        <v>20</v>
      </c>
      <c r="L259" s="352"/>
      <c r="M259" s="321">
        <f t="shared" si="255"/>
        <v>28.241</v>
      </c>
      <c r="N259" s="321">
        <f t="shared" si="255"/>
        <v>30.743999999999996</v>
      </c>
      <c r="O259" s="352"/>
      <c r="P259" s="321">
        <f t="shared" si="256"/>
        <v>24.66</v>
      </c>
      <c r="Q259" s="321">
        <f t="shared" si="256"/>
        <v>23.88</v>
      </c>
      <c r="R259" s="352"/>
      <c r="S259" s="321">
        <f t="shared" si="257"/>
        <v>23.52</v>
      </c>
      <c r="T259" s="321">
        <f t="shared" si="257"/>
        <v>27.99</v>
      </c>
      <c r="U259" s="352"/>
      <c r="V259" s="353"/>
      <c r="W259" s="296">
        <f>V235*W251</f>
        <v>28.925000000000001</v>
      </c>
      <c r="X259" s="287"/>
      <c r="Y259" s="296"/>
      <c r="Z259" s="296">
        <f>Y235*Z251</f>
        <v>27.400000000000002</v>
      </c>
      <c r="AA259" s="287"/>
      <c r="AB259" s="296">
        <f t="shared" si="258"/>
        <v>27.700000000000003</v>
      </c>
      <c r="AC259" s="296">
        <f t="shared" si="258"/>
        <v>36.5625</v>
      </c>
      <c r="AD259" s="287"/>
      <c r="AE259" s="296">
        <f t="shared" si="259"/>
        <v>38.814999999999984</v>
      </c>
      <c r="AF259" s="322">
        <f t="shared" si="259"/>
        <v>58.662208333333332</v>
      </c>
      <c r="AG259" s="287"/>
      <c r="AH259" s="296">
        <f t="shared" si="260"/>
        <v>-7.9594583333333349</v>
      </c>
      <c r="AI259" s="296">
        <f t="shared" si="260"/>
        <v>22.398750000000007</v>
      </c>
      <c r="AJ259" s="287"/>
      <c r="AK259" s="296">
        <f>AK235*AK251</f>
        <v>3.52</v>
      </c>
      <c r="AL259" s="296">
        <f>AK235*AL251</f>
        <v>3.5375000000000001</v>
      </c>
      <c r="AM259" s="287"/>
      <c r="AN259" s="296">
        <f t="shared" si="261"/>
        <v>1.875</v>
      </c>
      <c r="AO259" s="296">
        <f t="shared" si="261"/>
        <v>0</v>
      </c>
      <c r="AP259" s="287"/>
      <c r="AQ259" s="296" t="e">
        <f t="shared" si="262"/>
        <v>#N/A</v>
      </c>
      <c r="AR259" s="296" t="e">
        <f t="shared" si="262"/>
        <v>#N/A</v>
      </c>
      <c r="AS259" s="287"/>
      <c r="AT259" s="296" t="e">
        <f t="shared" si="263"/>
        <v>#N/A</v>
      </c>
      <c r="AU259" s="296" t="e">
        <f t="shared" si="263"/>
        <v>#N/A</v>
      </c>
      <c r="AV259" s="287"/>
      <c r="AW259" s="296" t="e">
        <f t="shared" si="264"/>
        <v>#N/A</v>
      </c>
      <c r="AX259" s="296" t="e">
        <f t="shared" si="264"/>
        <v>#N/A</v>
      </c>
      <c r="AY259" s="287"/>
      <c r="AZ259" s="296" t="e">
        <f t="shared" si="265"/>
        <v>#N/A</v>
      </c>
      <c r="BA259" s="296" t="e">
        <f t="shared" si="265"/>
        <v>#N/A</v>
      </c>
      <c r="BB259" s="287"/>
      <c r="BC259" s="296" t="e">
        <f t="shared" si="266"/>
        <v>#N/A</v>
      </c>
      <c r="BD259" s="296" t="e">
        <f t="shared" si="266"/>
        <v>#N/A</v>
      </c>
      <c r="BE259" s="287"/>
    </row>
    <row r="260" spans="2:57">
      <c r="B260" s="246" t="s">
        <v>2350</v>
      </c>
      <c r="C260" s="287"/>
      <c r="F260" s="287"/>
      <c r="H260" s="296">
        <f>G236*H252</f>
        <v>26.73</v>
      </c>
      <c r="I260" s="287"/>
      <c r="J260" s="321">
        <f t="shared" si="254"/>
        <v>33.005000000000003</v>
      </c>
      <c r="K260" s="321">
        <f t="shared" si="254"/>
        <v>20.72</v>
      </c>
      <c r="L260" s="352"/>
      <c r="M260" s="321">
        <f t="shared" si="255"/>
        <v>300</v>
      </c>
      <c r="N260" s="321">
        <f t="shared" si="255"/>
        <v>24.763999999999996</v>
      </c>
      <c r="O260" s="352"/>
      <c r="P260" s="321">
        <f t="shared" si="256"/>
        <v>36.700000000000003</v>
      </c>
      <c r="Q260" s="321">
        <f t="shared" si="256"/>
        <v>38.200000000000003</v>
      </c>
      <c r="R260" s="352"/>
      <c r="S260" s="321">
        <f t="shared" si="257"/>
        <v>31.701999999999998</v>
      </c>
      <c r="T260" s="321">
        <f t="shared" si="257"/>
        <v>34.21</v>
      </c>
      <c r="U260" s="352"/>
      <c r="V260" s="353"/>
      <c r="W260" s="296">
        <f>V236*W252</f>
        <v>25.38</v>
      </c>
      <c r="X260" s="287"/>
      <c r="Y260" s="296"/>
      <c r="Z260" s="296">
        <f>Y236*Z252</f>
        <v>25.116</v>
      </c>
      <c r="AA260" s="287"/>
      <c r="AB260" s="296">
        <f t="shared" si="258"/>
        <v>27.216000000000001</v>
      </c>
      <c r="AC260" s="296">
        <f t="shared" si="258"/>
        <v>27.105</v>
      </c>
      <c r="AD260" s="287"/>
      <c r="AE260" s="296">
        <f t="shared" si="259"/>
        <v>19.02</v>
      </c>
      <c r="AF260" s="322">
        <f t="shared" si="259"/>
        <v>23.46479166666667</v>
      </c>
      <c r="AG260" s="287"/>
      <c r="AH260" s="296">
        <f t="shared" si="260"/>
        <v>23.086458333333333</v>
      </c>
      <c r="AI260" s="296">
        <f t="shared" si="260"/>
        <v>22.248749999999998</v>
      </c>
      <c r="AJ260" s="287"/>
      <c r="AK260" s="296">
        <f>AK236*AK252</f>
        <v>8.49</v>
      </c>
      <c r="AL260" s="296">
        <f>AK236*AL252</f>
        <v>8.49</v>
      </c>
      <c r="AM260" s="287"/>
      <c r="AN260" s="296">
        <f t="shared" si="261"/>
        <v>8.5949999999999989</v>
      </c>
      <c r="AO260" s="296">
        <f t="shared" si="261"/>
        <v>7.5031249999999989</v>
      </c>
      <c r="AP260" s="287"/>
      <c r="AQ260" s="296" t="e">
        <f t="shared" si="262"/>
        <v>#N/A</v>
      </c>
      <c r="AR260" s="296" t="e">
        <f t="shared" si="262"/>
        <v>#N/A</v>
      </c>
      <c r="AS260" s="287"/>
      <c r="AT260" s="296" t="e">
        <f t="shared" si="263"/>
        <v>#N/A</v>
      </c>
      <c r="AU260" s="296" t="e">
        <f t="shared" si="263"/>
        <v>#N/A</v>
      </c>
      <c r="AV260" s="287"/>
      <c r="AW260" s="296" t="e">
        <f t="shared" si="264"/>
        <v>#N/A</v>
      </c>
      <c r="AX260" s="296" t="e">
        <f t="shared" si="264"/>
        <v>#N/A</v>
      </c>
      <c r="AY260" s="287"/>
      <c r="AZ260" s="296" t="e">
        <f t="shared" si="265"/>
        <v>#N/A</v>
      </c>
      <c r="BA260" s="296" t="e">
        <f t="shared" si="265"/>
        <v>#N/A</v>
      </c>
      <c r="BB260" s="287"/>
      <c r="BC260" s="296" t="e">
        <f t="shared" si="266"/>
        <v>#N/A</v>
      </c>
      <c r="BD260" s="296" t="e">
        <f t="shared" si="266"/>
        <v>#N/A</v>
      </c>
      <c r="BE260" s="287"/>
    </row>
    <row r="261" spans="2:57">
      <c r="B261" s="243" t="s">
        <v>168</v>
      </c>
      <c r="C261" s="287"/>
      <c r="D261" s="300">
        <f>D13</f>
        <v>85</v>
      </c>
      <c r="E261" s="300">
        <f>F261-D261</f>
        <v>64</v>
      </c>
      <c r="F261" s="304">
        <f>F13</f>
        <v>149</v>
      </c>
      <c r="G261" s="300">
        <f>G13</f>
        <v>42</v>
      </c>
      <c r="H261" s="300">
        <f>I261-G261</f>
        <v>-59</v>
      </c>
      <c r="I261" s="304">
        <f>I13</f>
        <v>-17</v>
      </c>
      <c r="J261" s="318">
        <f>SUM(J256:J260)</f>
        <v>68.667000000000002</v>
      </c>
      <c r="K261" s="318">
        <f>SUM(K256:K260)</f>
        <v>51.04</v>
      </c>
      <c r="L261" s="317">
        <f>J261+K261</f>
        <v>119.70699999999999</v>
      </c>
      <c r="M261" s="318">
        <f>M13</f>
        <v>142</v>
      </c>
      <c r="N261" s="318">
        <f>SUM(N256:N260)</f>
        <v>51.486999999999995</v>
      </c>
      <c r="O261" s="317">
        <f>M261+N261</f>
        <v>193.48699999999999</v>
      </c>
      <c r="P261" s="318">
        <f>SUM(P256:P260)</f>
        <v>75.575000000000003</v>
      </c>
      <c r="Q261" s="318">
        <f>SUM(Q256:Q260)</f>
        <v>74.555000000000007</v>
      </c>
      <c r="R261" s="317">
        <f>P261+Q261</f>
        <v>150.13</v>
      </c>
      <c r="S261" s="318">
        <f>SUM(S256:S260)</f>
        <v>67.981999999999999</v>
      </c>
      <c r="T261" s="318">
        <f>SUM(T256:T260)</f>
        <v>74.47</v>
      </c>
      <c r="U261" s="317">
        <f>S261+T261</f>
        <v>142.452</v>
      </c>
      <c r="V261" s="509">
        <f>+V13</f>
        <v>84</v>
      </c>
      <c r="W261" s="300">
        <f>SUM(W256:W260)</f>
        <v>68.153000000000006</v>
      </c>
      <c r="X261" s="304">
        <f>V261+W261</f>
        <v>152.15300000000002</v>
      </c>
      <c r="Y261" s="509">
        <f>+Y13</f>
        <v>54.471428571428575</v>
      </c>
      <c r="Z261" s="509">
        <f>SUM(Z256:Z260)</f>
        <v>62.461000000000006</v>
      </c>
      <c r="AA261" s="304">
        <f>Y261+Z261</f>
        <v>116.93242857142857</v>
      </c>
      <c r="AB261" s="300">
        <f>SUM(AB256:AB260)</f>
        <v>62.091000000000001</v>
      </c>
      <c r="AC261" s="300">
        <f>SUM(AC256:AC260)</f>
        <v>70.787499999999994</v>
      </c>
      <c r="AD261" s="304">
        <f>AB261+AC261</f>
        <v>132.8785</v>
      </c>
      <c r="AE261" s="300">
        <f>SUM(AE256:AE260)</f>
        <v>57.999999999999986</v>
      </c>
      <c r="AF261" s="615">
        <f>SUM(AF256:AF260)</f>
        <v>83</v>
      </c>
      <c r="AG261" s="304">
        <f>AE261+AF261</f>
        <v>141</v>
      </c>
      <c r="AH261" s="300">
        <f>SUM(AH256:AH260)</f>
        <v>15.999999999999998</v>
      </c>
      <c r="AI261" s="300">
        <f>SUM(AI256:AI260)</f>
        <v>49</v>
      </c>
      <c r="AJ261" s="304">
        <f>AH261+AI261</f>
        <v>65</v>
      </c>
      <c r="AK261" s="300">
        <f>SUM(AK256:AK260)</f>
        <v>13</v>
      </c>
      <c r="AL261" s="300">
        <f>SUM(AL256:AL260)</f>
        <v>13.0175</v>
      </c>
      <c r="AM261" s="304">
        <f>AK261+AL261</f>
        <v>26.017499999999998</v>
      </c>
      <c r="AN261" s="300">
        <f>SUM(AN256:AN260)</f>
        <v>11.459999999999999</v>
      </c>
      <c r="AO261" s="300">
        <f>SUM(AO256:AO260)</f>
        <v>8.4931249999999991</v>
      </c>
      <c r="AP261" s="304">
        <f>AN261+AO261</f>
        <v>19.953125</v>
      </c>
      <c r="AQ261" s="300" t="e">
        <f>SUM(AQ256:AQ260)</f>
        <v>#N/A</v>
      </c>
      <c r="AR261" s="300" t="e">
        <f>SUM(AR256:AR260)</f>
        <v>#N/A</v>
      </c>
      <c r="AS261" s="304" t="e">
        <f>AQ261+AR261</f>
        <v>#N/A</v>
      </c>
      <c r="AT261" s="300" t="e">
        <f>SUM(AT256:AT260)</f>
        <v>#N/A</v>
      </c>
      <c r="AU261" s="300" t="e">
        <f>SUM(AU256:AU260)</f>
        <v>#N/A</v>
      </c>
      <c r="AV261" s="304" t="e">
        <f>AT261+AU261</f>
        <v>#N/A</v>
      </c>
      <c r="AW261" s="300" t="e">
        <f>SUM(AW256:AW260)</f>
        <v>#N/A</v>
      </c>
      <c r="AX261" s="300" t="e">
        <f>SUM(AX256:AX260)</f>
        <v>#N/A</v>
      </c>
      <c r="AY261" s="304" t="e">
        <f>AW261+AX261</f>
        <v>#N/A</v>
      </c>
      <c r="AZ261" s="300" t="e">
        <f>SUM(AZ256:AZ260)</f>
        <v>#N/A</v>
      </c>
      <c r="BA261" s="300" t="e">
        <f>SUM(BA256:BA260)</f>
        <v>#N/A</v>
      </c>
      <c r="BB261" s="304" t="e">
        <f>AZ261+BA261</f>
        <v>#N/A</v>
      </c>
      <c r="BC261" s="300" t="e">
        <f>SUM(BC256:BC260)</f>
        <v>#N/A</v>
      </c>
      <c r="BD261" s="300" t="e">
        <f>SUM(BD256:BD260)</f>
        <v>#N/A</v>
      </c>
      <c r="BE261" s="304" t="e">
        <f>BC261+BD261</f>
        <v>#N/A</v>
      </c>
    </row>
    <row r="262" spans="2:57">
      <c r="C262" s="287"/>
      <c r="F262" s="287"/>
      <c r="I262" s="354"/>
      <c r="L262" s="287"/>
      <c r="O262" s="287"/>
      <c r="R262" s="287"/>
      <c r="U262" s="287"/>
      <c r="X262" s="287"/>
      <c r="AA262" s="287"/>
      <c r="AD262" s="287"/>
      <c r="AE262" s="251"/>
      <c r="AF262" s="322"/>
      <c r="AG262" s="287"/>
      <c r="AJ262" s="287"/>
      <c r="AM262" s="287"/>
      <c r="AP262" s="287"/>
      <c r="AS262" s="287"/>
      <c r="AV262" s="287"/>
      <c r="AY262" s="287"/>
      <c r="BB262" s="287"/>
      <c r="BE262" s="287"/>
    </row>
    <row r="263" spans="2:57">
      <c r="B263" s="247" t="s">
        <v>2354</v>
      </c>
      <c r="C263" s="248"/>
      <c r="D263" s="249"/>
      <c r="E263" s="249"/>
      <c r="F263" s="248"/>
      <c r="G263" s="249"/>
      <c r="H263" s="249"/>
      <c r="I263" s="248"/>
      <c r="J263" s="249"/>
      <c r="K263" s="249"/>
      <c r="L263" s="248"/>
      <c r="M263" s="249"/>
      <c r="N263" s="249"/>
      <c r="O263" s="248"/>
      <c r="P263" s="249"/>
      <c r="Q263" s="249"/>
      <c r="R263" s="248"/>
      <c r="S263" s="249"/>
      <c r="T263" s="249"/>
      <c r="U263" s="248"/>
      <c r="V263" s="249"/>
      <c r="W263" s="249"/>
      <c r="X263" s="248"/>
      <c r="Y263" s="249"/>
      <c r="Z263" s="249"/>
      <c r="AA263" s="248"/>
      <c r="AB263" s="249"/>
      <c r="AC263" s="249">
        <f>AD267-5470</f>
        <v>3109</v>
      </c>
      <c r="AD263" s="248">
        <f>95108-AD265</f>
        <v>3108</v>
      </c>
      <c r="AE263" s="249"/>
      <c r="AF263" s="607"/>
      <c r="AG263" s="248"/>
      <c r="AH263" s="249"/>
      <c r="AI263" s="249"/>
      <c r="AJ263" s="248"/>
      <c r="AK263" s="249"/>
      <c r="AL263" s="249"/>
      <c r="AM263" s="248"/>
      <c r="AN263" s="249"/>
      <c r="AO263" s="249"/>
      <c r="AP263" s="248"/>
      <c r="AQ263" s="249"/>
      <c r="AR263" s="249"/>
      <c r="AS263" s="248"/>
      <c r="AT263" s="249"/>
      <c r="AU263" s="249"/>
      <c r="AV263" s="248"/>
      <c r="AW263" s="249"/>
      <c r="AX263" s="249"/>
      <c r="AY263" s="248"/>
      <c r="AZ263" s="249"/>
      <c r="BA263" s="249"/>
      <c r="BB263" s="248"/>
      <c r="BC263" s="249"/>
      <c r="BD263" s="249"/>
      <c r="BE263" s="248"/>
    </row>
    <row r="264" spans="2:57">
      <c r="B264" s="246" t="s">
        <v>2346</v>
      </c>
      <c r="C264" s="252">
        <f>0.224*C$268</f>
        <v>26584.768</v>
      </c>
      <c r="D264" s="251">
        <f>0.228*D$268</f>
        <v>29255.136000000002</v>
      </c>
      <c r="E264" s="251">
        <f>F264</f>
        <v>31199</v>
      </c>
      <c r="F264" s="252">
        <v>31199</v>
      </c>
      <c r="G264" s="251">
        <v>29618</v>
      </c>
      <c r="H264" s="251">
        <v>23502</v>
      </c>
      <c r="I264" s="252">
        <f>H264</f>
        <v>23502</v>
      </c>
      <c r="J264" s="251">
        <v>16725</v>
      </c>
      <c r="K264" s="251">
        <v>17741</v>
      </c>
      <c r="L264" s="252">
        <f>K264</f>
        <v>17741</v>
      </c>
      <c r="M264" s="251">
        <v>23009</v>
      </c>
      <c r="N264" s="251">
        <v>21499</v>
      </c>
      <c r="O264" s="252">
        <f>N264</f>
        <v>21499</v>
      </c>
      <c r="P264" s="251">
        <v>23716</v>
      </c>
      <c r="Q264" s="246">
        <v>22336</v>
      </c>
      <c r="R264" s="287">
        <f>+Q264</f>
        <v>22336</v>
      </c>
      <c r="S264" s="251">
        <v>18391</v>
      </c>
      <c r="T264" s="251">
        <v>19899</v>
      </c>
      <c r="U264" s="252">
        <f>+T264</f>
        <v>19899</v>
      </c>
      <c r="V264" s="251">
        <v>21985</v>
      </c>
      <c r="W264" s="251">
        <v>24213</v>
      </c>
      <c r="X264" s="252">
        <f>+W264</f>
        <v>24213</v>
      </c>
      <c r="Y264" s="251">
        <v>27448</v>
      </c>
      <c r="Z264" s="251">
        <v>28247</v>
      </c>
      <c r="AA264" s="252">
        <f>+Z264</f>
        <v>28247</v>
      </c>
      <c r="AB264" s="251">
        <v>28535</v>
      </c>
      <c r="AC264" s="251">
        <v>28451</v>
      </c>
      <c r="AD264" s="252">
        <f>+AC264</f>
        <v>28451</v>
      </c>
      <c r="AE264" s="251">
        <v>27965</v>
      </c>
      <c r="AF264" s="260">
        <v>27240</v>
      </c>
      <c r="AG264" s="252">
        <f>+AF264</f>
        <v>27240</v>
      </c>
      <c r="AH264" s="251">
        <v>29249</v>
      </c>
      <c r="AI264" s="251">
        <v>30032</v>
      </c>
      <c r="AJ264" s="252">
        <f>+AI264</f>
        <v>30032</v>
      </c>
      <c r="AK264" s="251">
        <v>33759</v>
      </c>
      <c r="AL264" s="251">
        <v>30876</v>
      </c>
      <c r="AM264" s="252">
        <f>+AL264</f>
        <v>30876</v>
      </c>
      <c r="AN264" s="251">
        <v>26053</v>
      </c>
      <c r="AP264" s="287"/>
      <c r="AS264" s="287"/>
      <c r="AV264" s="287"/>
      <c r="AY264" s="287"/>
      <c r="BB264" s="287"/>
      <c r="BE264" s="287"/>
    </row>
    <row r="265" spans="2:57">
      <c r="B265" s="246" t="s">
        <v>2347</v>
      </c>
      <c r="C265" s="252">
        <f>0.225*C$268</f>
        <v>26703.45</v>
      </c>
      <c r="D265" s="251">
        <f>0.242*D$268</f>
        <v>31051.504000000001</v>
      </c>
      <c r="E265" s="251">
        <f>F265</f>
        <v>33709</v>
      </c>
      <c r="F265" s="252">
        <v>33709</v>
      </c>
      <c r="G265" s="251">
        <v>40945</v>
      </c>
      <c r="H265" s="251">
        <v>35589</v>
      </c>
      <c r="I265" s="252">
        <f>H265</f>
        <v>35589</v>
      </c>
      <c r="J265" s="251">
        <v>29679</v>
      </c>
      <c r="K265" s="251">
        <v>35705</v>
      </c>
      <c r="L265" s="252">
        <f>K265</f>
        <v>35705</v>
      </c>
      <c r="M265" s="251">
        <v>42725</v>
      </c>
      <c r="N265" s="251">
        <v>45685</v>
      </c>
      <c r="O265" s="252">
        <f>N265</f>
        <v>45685</v>
      </c>
      <c r="P265" s="251">
        <v>52831</v>
      </c>
      <c r="Q265" s="246">
        <v>50860</v>
      </c>
      <c r="R265" s="287">
        <f>+Q265</f>
        <v>50860</v>
      </c>
      <c r="S265" s="251">
        <v>47955</v>
      </c>
      <c r="T265" s="251">
        <v>52525</v>
      </c>
      <c r="U265" s="252">
        <f>+T265</f>
        <v>52525</v>
      </c>
      <c r="V265" s="251">
        <v>61174</v>
      </c>
      <c r="W265" s="251">
        <v>68834</v>
      </c>
      <c r="X265" s="252">
        <f>+W265</f>
        <v>68834</v>
      </c>
      <c r="Y265" s="251">
        <v>76952</v>
      </c>
      <c r="Z265" s="251">
        <v>75297</v>
      </c>
      <c r="AA265" s="252">
        <f>+Z265</f>
        <v>75297</v>
      </c>
      <c r="AB265" s="716">
        <v>88151</v>
      </c>
      <c r="AC265" s="712">
        <v>92000</v>
      </c>
      <c r="AD265" s="713">
        <f>+AC265</f>
        <v>92000</v>
      </c>
      <c r="AE265" s="251">
        <v>89755</v>
      </c>
      <c r="AF265" s="260">
        <v>90900</v>
      </c>
      <c r="AG265" s="252">
        <f>+AF265</f>
        <v>90900</v>
      </c>
      <c r="AH265" s="251">
        <v>90074</v>
      </c>
      <c r="AI265" s="251">
        <v>94588</v>
      </c>
      <c r="AJ265" s="252">
        <f>+AI265</f>
        <v>94588</v>
      </c>
      <c r="AK265" s="251">
        <v>98271</v>
      </c>
      <c r="AL265" s="251">
        <v>94003</v>
      </c>
      <c r="AM265" s="252">
        <f>+AL265</f>
        <v>94003</v>
      </c>
      <c r="AN265" s="251">
        <v>89632</v>
      </c>
      <c r="AP265" s="287"/>
      <c r="AS265" s="287"/>
      <c r="AV265" s="287"/>
      <c r="AY265" s="287"/>
      <c r="BB265" s="287"/>
      <c r="BE265" s="287"/>
    </row>
    <row r="266" spans="2:57">
      <c r="B266" s="246" t="s">
        <v>2355</v>
      </c>
      <c r="C266" s="252">
        <f>0.372*C$268</f>
        <v>44149.703999999998</v>
      </c>
      <c r="D266" s="251">
        <f>0.351*D$268</f>
        <v>45037.511999999995</v>
      </c>
      <c r="E266" s="251">
        <f>F266</f>
        <v>48927</v>
      </c>
      <c r="F266" s="252">
        <v>48927</v>
      </c>
      <c r="G266" s="251">
        <v>66694</v>
      </c>
      <c r="H266" s="251">
        <v>66729</v>
      </c>
      <c r="I266" s="252">
        <f>H266</f>
        <v>66729</v>
      </c>
      <c r="J266" s="251">
        <v>56813</v>
      </c>
      <c r="K266" s="251">
        <v>61395</v>
      </c>
      <c r="L266" s="252">
        <f>K266</f>
        <v>61395</v>
      </c>
      <c r="M266" s="251">
        <v>59193</v>
      </c>
      <c r="N266" s="251">
        <v>54180</v>
      </c>
      <c r="O266" s="252">
        <f>N266</f>
        <v>54180</v>
      </c>
      <c r="P266" s="251">
        <v>52097</v>
      </c>
      <c r="Q266" s="246">
        <v>50946</v>
      </c>
      <c r="R266" s="287">
        <f>+Q266</f>
        <v>50946</v>
      </c>
      <c r="S266" s="251">
        <v>51849</v>
      </c>
      <c r="T266" s="251">
        <v>54242</v>
      </c>
      <c r="U266" s="252">
        <f>+T266</f>
        <v>54242</v>
      </c>
      <c r="V266" s="251">
        <v>58139</v>
      </c>
      <c r="W266" s="251">
        <v>62489</v>
      </c>
      <c r="X266" s="252">
        <f>+W266</f>
        <v>62489</v>
      </c>
      <c r="Y266" s="251">
        <v>64708</v>
      </c>
      <c r="Z266" s="251">
        <v>69612</v>
      </c>
      <c r="AA266" s="252">
        <f>+Z266</f>
        <v>69612</v>
      </c>
      <c r="AB266" s="251">
        <v>70171</v>
      </c>
      <c r="AC266" s="251">
        <v>73138</v>
      </c>
      <c r="AD266" s="252">
        <f>+AC266</f>
        <v>73138</v>
      </c>
      <c r="AE266" s="251">
        <v>71680</v>
      </c>
      <c r="AF266" s="260">
        <v>74670</v>
      </c>
      <c r="AG266" s="252">
        <f>+AF266</f>
        <v>74670</v>
      </c>
      <c r="AH266" s="251">
        <v>76479</v>
      </c>
      <c r="AI266" s="251">
        <v>86541</v>
      </c>
      <c r="AJ266" s="252">
        <f>+AI266</f>
        <v>86541</v>
      </c>
      <c r="AK266" s="251">
        <v>77522</v>
      </c>
      <c r="AL266" s="251">
        <v>79230</v>
      </c>
      <c r="AM266" s="252">
        <f>+AL266</f>
        <v>79230</v>
      </c>
      <c r="AN266" s="251">
        <v>78240</v>
      </c>
      <c r="AP266" s="287"/>
      <c r="AS266" s="287"/>
      <c r="AV266" s="287"/>
      <c r="AY266" s="287"/>
      <c r="BB266" s="287"/>
      <c r="BE266" s="287"/>
    </row>
    <row r="267" spans="2:57">
      <c r="B267" s="246" t="s">
        <v>2578</v>
      </c>
      <c r="C267" s="252">
        <f>C268-SUM(C264:C266)</f>
        <v>21244.078000000009</v>
      </c>
      <c r="D267" s="251">
        <f>0.179*D$268</f>
        <v>22967.847999999998</v>
      </c>
      <c r="E267" s="251">
        <f>F267</f>
        <v>25850</v>
      </c>
      <c r="F267" s="252">
        <v>25850</v>
      </c>
      <c r="G267" s="251">
        <v>27102</v>
      </c>
      <c r="H267" s="251">
        <v>27120</v>
      </c>
      <c r="I267" s="252">
        <f>H267</f>
        <v>27120</v>
      </c>
      <c r="J267" s="251">
        <v>25377</v>
      </c>
      <c r="K267" s="251">
        <v>23363</v>
      </c>
      <c r="L267" s="252">
        <f>K267</f>
        <v>23363</v>
      </c>
      <c r="M267" s="251">
        <v>24098</v>
      </c>
      <c r="N267" s="251">
        <v>22934</v>
      </c>
      <c r="O267" s="252">
        <f>N267</f>
        <v>22934</v>
      </c>
      <c r="P267" s="251">
        <v>24147</v>
      </c>
      <c r="Q267" s="246">
        <v>24497</v>
      </c>
      <c r="R267" s="287">
        <f>+Q267</f>
        <v>24497</v>
      </c>
      <c r="S267" s="251">
        <v>23735</v>
      </c>
      <c r="T267" s="251">
        <v>23609</v>
      </c>
      <c r="U267" s="252">
        <f>+T267</f>
        <v>23609</v>
      </c>
      <c r="V267" s="251">
        <v>24255</v>
      </c>
      <c r="W267" s="251">
        <v>24027</v>
      </c>
      <c r="X267" s="536">
        <f>+W267</f>
        <v>24027</v>
      </c>
      <c r="Y267" s="291">
        <v>6725</v>
      </c>
      <c r="Z267" s="251">
        <v>7692</v>
      </c>
      <c r="AA267" s="252">
        <f>+Z267</f>
        <v>7692</v>
      </c>
      <c r="AB267" s="251">
        <v>4749</v>
      </c>
      <c r="AC267" s="712">
        <v>8579</v>
      </c>
      <c r="AD267" s="713">
        <f>+AC267</f>
        <v>8579</v>
      </c>
      <c r="AE267" s="251">
        <v>5848</v>
      </c>
      <c r="AF267" s="260">
        <v>6925</v>
      </c>
      <c r="AG267" s="252">
        <f>+AF267</f>
        <v>6925</v>
      </c>
      <c r="AH267" s="251">
        <v>7421</v>
      </c>
      <c r="AI267" s="251">
        <v>8266</v>
      </c>
      <c r="AJ267" s="252">
        <f>+AI267</f>
        <v>8266</v>
      </c>
      <c r="AK267" s="251">
        <v>8639</v>
      </c>
      <c r="AL267" s="251">
        <v>9133</v>
      </c>
      <c r="AM267" s="252">
        <f>+AL267</f>
        <v>9133</v>
      </c>
      <c r="AN267" s="251">
        <v>10270</v>
      </c>
      <c r="AP267" s="287"/>
      <c r="AS267" s="287"/>
      <c r="AV267" s="287"/>
      <c r="AY267" s="287"/>
      <c r="BB267" s="287"/>
      <c r="BE267" s="287"/>
    </row>
    <row r="268" spans="2:57">
      <c r="B268" s="243" t="s">
        <v>168</v>
      </c>
      <c r="C268" s="256">
        <v>118682</v>
      </c>
      <c r="D268" s="255">
        <v>128312</v>
      </c>
      <c r="E268" s="255">
        <f>F268</f>
        <v>139685</v>
      </c>
      <c r="F268" s="256">
        <f>SUM(F264:F267)</f>
        <v>139685</v>
      </c>
      <c r="G268" s="255">
        <f>SUM(G264:G267)</f>
        <v>164359</v>
      </c>
      <c r="H268" s="255">
        <f>SUM(H264:H267)</f>
        <v>152940</v>
      </c>
      <c r="I268" s="256">
        <f>H268</f>
        <v>152940</v>
      </c>
      <c r="J268" s="255">
        <f>SUM(J264:J267)</f>
        <v>128594</v>
      </c>
      <c r="K268" s="255">
        <f>SUM(K264:K267)</f>
        <v>138204</v>
      </c>
      <c r="L268" s="256">
        <f>K268</f>
        <v>138204</v>
      </c>
      <c r="M268" s="255">
        <f>SUM(M264:M267)</f>
        <v>149025</v>
      </c>
      <c r="N268" s="255">
        <f>SUM(N264:N267)</f>
        <v>144298</v>
      </c>
      <c r="O268" s="256">
        <f>N268</f>
        <v>144298</v>
      </c>
      <c r="P268" s="255">
        <f>SUM(P264:P267)</f>
        <v>152791</v>
      </c>
      <c r="Q268" s="255">
        <f>SUM(Q264:Q267)</f>
        <v>148639</v>
      </c>
      <c r="R268" s="256">
        <f>Q268</f>
        <v>148639</v>
      </c>
      <c r="S268" s="255">
        <f>SUM(S264:S267)</f>
        <v>141930</v>
      </c>
      <c r="T268" s="255">
        <f>SUM(T264:T267)</f>
        <v>150275</v>
      </c>
      <c r="U268" s="256">
        <f>T268</f>
        <v>150275</v>
      </c>
      <c r="V268" s="255">
        <f t="shared" ref="V268:AB268" si="267">SUM(V264:V267)</f>
        <v>165553</v>
      </c>
      <c r="W268" s="255">
        <f t="shared" si="267"/>
        <v>179563</v>
      </c>
      <c r="X268" s="256">
        <f>W268</f>
        <v>179563</v>
      </c>
      <c r="Y268" s="255">
        <f t="shared" si="267"/>
        <v>175833</v>
      </c>
      <c r="Z268" s="255">
        <f t="shared" si="267"/>
        <v>180848</v>
      </c>
      <c r="AA268" s="256">
        <f>Z268</f>
        <v>180848</v>
      </c>
      <c r="AB268" s="255">
        <f t="shared" si="267"/>
        <v>191606</v>
      </c>
      <c r="AC268" s="255">
        <f>SUM(AC264:AC267)</f>
        <v>202168</v>
      </c>
      <c r="AD268" s="256">
        <f>AC268</f>
        <v>202168</v>
      </c>
      <c r="AE268" s="255">
        <f>SUM(AE264:AE267)</f>
        <v>195248</v>
      </c>
      <c r="AF268" s="286">
        <f>SUM(AF264:AF267)</f>
        <v>199735</v>
      </c>
      <c r="AG268" s="256">
        <f>AF268</f>
        <v>199735</v>
      </c>
      <c r="AH268" s="255">
        <f>SUM(AH264:AH267)</f>
        <v>203223</v>
      </c>
      <c r="AI268" s="255">
        <f>SUM(AI264:AI267)</f>
        <v>219427</v>
      </c>
      <c r="AJ268" s="256">
        <f>AI268</f>
        <v>219427</v>
      </c>
      <c r="AK268" s="255">
        <f>SUM(AK264:AK267)</f>
        <v>218191</v>
      </c>
      <c r="AL268" s="255">
        <f>SUM(AL264:AL267)</f>
        <v>213242</v>
      </c>
      <c r="AM268" s="256">
        <f>AL268</f>
        <v>213242</v>
      </c>
      <c r="AN268" s="255">
        <f>SUM(AN264:AN267)</f>
        <v>204195</v>
      </c>
      <c r="AO268" s="255">
        <f>AN268*(1+AO269)</f>
        <v>226041.38315131233</v>
      </c>
      <c r="AP268" s="256">
        <f>AO268</f>
        <v>226041.38315131233</v>
      </c>
      <c r="AQ268" s="255">
        <f>AP268*(1+AQ269)</f>
        <v>234256.60655458955</v>
      </c>
      <c r="AR268" s="255">
        <f>AQ268*(1+AR269)</f>
        <v>242718.28665996515</v>
      </c>
      <c r="AS268" s="256">
        <f>AR268</f>
        <v>242718.28665996515</v>
      </c>
      <c r="AT268" s="255">
        <f>AS268*(1+AT269)</f>
        <v>251546.54630464685</v>
      </c>
      <c r="AU268" s="255">
        <f>AT268*(1+AU269)</f>
        <v>260639.653738669</v>
      </c>
      <c r="AV268" s="256">
        <f>AU268</f>
        <v>260639.653738669</v>
      </c>
      <c r="AW268" s="255">
        <f>AV268*(1+AW269)</f>
        <v>270127.2655666208</v>
      </c>
      <c r="AX268" s="255">
        <f>AW268*(1+AX269)</f>
        <v>279899.50574941118</v>
      </c>
      <c r="AY268" s="256">
        <f>AX268</f>
        <v>279899.50574941118</v>
      </c>
      <c r="AZ268" s="255">
        <f>AY268*(1+AZ269)</f>
        <v>290096.39000289224</v>
      </c>
      <c r="BA268" s="255">
        <f>AZ268*(1+BA269)</f>
        <v>300599.18078397767</v>
      </c>
      <c r="BB268" s="256">
        <f>BA268</f>
        <v>300599.18078397767</v>
      </c>
      <c r="BC268" s="255">
        <f>BB268*(1+BC269)</f>
        <v>311559.15414629079</v>
      </c>
      <c r="BD268" s="255">
        <f>BC268*(1+BD269)</f>
        <v>322847.92670947325</v>
      </c>
      <c r="BE268" s="256">
        <f>BD268</f>
        <v>322847.92670947325</v>
      </c>
    </row>
    <row r="269" spans="2:57">
      <c r="B269" s="246" t="s">
        <v>2331</v>
      </c>
      <c r="C269" s="256"/>
      <c r="F269" s="256"/>
      <c r="G269" s="297">
        <f>G268/F268-1</f>
        <v>0.17664029781293622</v>
      </c>
      <c r="H269" s="344">
        <f>H268/G268-1</f>
        <v>-6.9475964200317653E-2</v>
      </c>
      <c r="I269" s="305">
        <f>I268/F268-1</f>
        <v>9.4892078605433694E-2</v>
      </c>
      <c r="J269" s="297">
        <f>J268/I268-1</f>
        <v>-0.1591866091277625</v>
      </c>
      <c r="K269" s="344">
        <f>K268/J268-1</f>
        <v>7.4731324945176203E-2</v>
      </c>
      <c r="L269" s="305">
        <f>L268/I268-1</f>
        <v>-9.6351510396233797E-2</v>
      </c>
      <c r="M269" s="297">
        <f>M268/L268-1</f>
        <v>7.8297299644004559E-2</v>
      </c>
      <c r="N269" s="344">
        <f>N268/M268-1</f>
        <v>-3.1719510149303853E-2</v>
      </c>
      <c r="O269" s="305">
        <f>O268/L268-1</f>
        <v>4.4094237503979672E-2</v>
      </c>
      <c r="P269" s="297">
        <f>P268/O268-1</f>
        <v>5.8857364620438224E-2</v>
      </c>
      <c r="Q269" s="344">
        <f>Q268/P268-1</f>
        <v>-2.7174375454051658E-2</v>
      </c>
      <c r="R269" s="305">
        <f>R268/O268-1</f>
        <v>3.0083577041954745E-2</v>
      </c>
      <c r="S269" s="297">
        <f>S268/R268-1</f>
        <v>-4.5136202477142562E-2</v>
      </c>
      <c r="T269" s="344">
        <f>T268/S268-1</f>
        <v>5.8796589868244986E-2</v>
      </c>
      <c r="U269" s="305">
        <f>U268/R268-1</f>
        <v>1.1006532605843722E-2</v>
      </c>
      <c r="V269" s="297">
        <f>V268/U268-1</f>
        <v>0.10166694393611708</v>
      </c>
      <c r="W269" s="394">
        <f>W268/V268-1</f>
        <v>8.4625467372986263E-2</v>
      </c>
      <c r="X269" s="305">
        <f>X268/U268-1</f>
        <v>0.19489602395608041</v>
      </c>
      <c r="Y269" s="297">
        <f>Y268/X268-1</f>
        <v>-2.0772653609039682E-2</v>
      </c>
      <c r="Z269" s="394">
        <f>Z268/Y268-1</f>
        <v>2.8521381083186803E-2</v>
      </c>
      <c r="AA269" s="305">
        <f>AA268/X268-1</f>
        <v>7.1562627044547966E-3</v>
      </c>
      <c r="AB269" s="297">
        <f t="shared" ref="AB269:AK269" si="268">AB268/AA268-1</f>
        <v>5.9486419534636736E-2</v>
      </c>
      <c r="AC269" s="297">
        <f t="shared" si="268"/>
        <v>5.5123534753608983E-2</v>
      </c>
      <c r="AD269" s="305">
        <f>AD268/AA268-1</f>
        <v>0.11788905600283117</v>
      </c>
      <c r="AE269" s="297">
        <f t="shared" si="268"/>
        <v>-3.4228958094258188E-2</v>
      </c>
      <c r="AF269" s="619">
        <f t="shared" si="268"/>
        <v>2.2981029255101149E-2</v>
      </c>
      <c r="AG269" s="305">
        <f>AG268/AD268-1</f>
        <v>-1.2034545526492857E-2</v>
      </c>
      <c r="AH269" s="297">
        <f t="shared" si="268"/>
        <v>1.7463138658722732E-2</v>
      </c>
      <c r="AI269" s="297">
        <f t="shared" si="268"/>
        <v>7.9735069357306898E-2</v>
      </c>
      <c r="AJ269" s="305">
        <f>AJ268/AG268-1</f>
        <v>9.859063258817935E-2</v>
      </c>
      <c r="AK269" s="297">
        <f t="shared" si="268"/>
        <v>-5.6328528394409272E-3</v>
      </c>
      <c r="AL269" s="297">
        <f>AL268/AK268-1</f>
        <v>-2.268196213409357E-2</v>
      </c>
      <c r="AM269" s="305">
        <f>AM268/AJ268-1</f>
        <v>-2.8187050818723303E-2</v>
      </c>
      <c r="AN269" s="297">
        <f>AN268/AM268-1</f>
        <v>-4.2425976121026832E-2</v>
      </c>
      <c r="AO269" s="355">
        <f>AO295</f>
        <v>0.1069878456931479</v>
      </c>
      <c r="AP269" s="305">
        <f>AP268/AM268-1</f>
        <v>6.0022805785503452E-2</v>
      </c>
      <c r="AQ269" s="356">
        <f>AQ295</f>
        <v>3.6343891055461874E-2</v>
      </c>
      <c r="AR269" s="355">
        <f>AR295</f>
        <v>3.6121415015049951E-2</v>
      </c>
      <c r="AS269" s="305">
        <f>AS268/AP268-1</f>
        <v>7.3778098842588014E-2</v>
      </c>
      <c r="AT269" s="356">
        <f>AT295</f>
        <v>3.6372453704115015E-2</v>
      </c>
      <c r="AU269" s="355">
        <f>AU295</f>
        <v>3.6148806523503385E-2</v>
      </c>
      <c r="AV269" s="305">
        <f>AV268/AS268-1</f>
        <v>7.3836081019353461E-2</v>
      </c>
      <c r="AW269" s="356">
        <f>AW295</f>
        <v>3.6401260099373056E-2</v>
      </c>
      <c r="AX269" s="355">
        <f>AX295</f>
        <v>3.6176430255169034E-2</v>
      </c>
      <c r="AY269" s="305">
        <f>AY268/AV268-1</f>
        <v>7.3894558001727173E-2</v>
      </c>
      <c r="AZ269" s="356">
        <f>AZ295</f>
        <v>3.6430518968511905E-2</v>
      </c>
      <c r="BA269" s="355">
        <f>BA295</f>
        <v>3.6204486312224393E-2</v>
      </c>
      <c r="BB269" s="305">
        <f>BB268/AY268-1</f>
        <v>7.395395350607914E-2</v>
      </c>
      <c r="BC269" s="356">
        <f>BC295</f>
        <v>3.6460423257737906E-2</v>
      </c>
      <c r="BD269" s="355">
        <f>BD295</f>
        <v>3.6233159619768029E-2</v>
      </c>
      <c r="BE269" s="305">
        <f>BE268/BB268-1</f>
        <v>7.4014659213207823E-2</v>
      </c>
    </row>
    <row r="270" spans="2:57">
      <c r="B270" s="243" t="s">
        <v>725</v>
      </c>
      <c r="C270" s="287"/>
      <c r="D270" s="255">
        <v>123497</v>
      </c>
      <c r="E270" s="255">
        <v>133998</v>
      </c>
      <c r="F270" s="256">
        <f>AVERAGE(D270:E270)</f>
        <v>128747.5</v>
      </c>
      <c r="G270" s="255">
        <v>152022</v>
      </c>
      <c r="H270" s="255">
        <v>158650</v>
      </c>
      <c r="I270" s="256">
        <v>152328</v>
      </c>
      <c r="J270" s="255">
        <v>141247</v>
      </c>
      <c r="K270" s="255">
        <v>130818</v>
      </c>
      <c r="L270" s="256">
        <v>136604</v>
      </c>
      <c r="M270" s="255">
        <v>144407</v>
      </c>
      <c r="N270" s="357">
        <v>145469</v>
      </c>
      <c r="O270" s="256">
        <v>144624</v>
      </c>
      <c r="P270" s="255">
        <v>149723</v>
      </c>
      <c r="Q270" s="357">
        <v>151411</v>
      </c>
      <c r="R270" s="256">
        <v>150396</v>
      </c>
      <c r="S270" s="255">
        <v>145385</v>
      </c>
      <c r="T270" s="357">
        <v>149908</v>
      </c>
      <c r="U270" s="256">
        <v>146742</v>
      </c>
      <c r="V270" s="255">
        <v>156914</v>
      </c>
      <c r="W270" s="255">
        <v>173566</v>
      </c>
      <c r="X270" s="256">
        <v>165216</v>
      </c>
      <c r="Y270" s="307">
        <f>AVERAGE(X268:Y268)</f>
        <v>177698</v>
      </c>
      <c r="Z270" s="307">
        <f>AVERAGE(Y268,Z268)</f>
        <v>178340.5</v>
      </c>
      <c r="AA270" s="256">
        <f>AVERAGE(Y270:Z270)</f>
        <v>178019.25</v>
      </c>
      <c r="AB270" s="307">
        <f>AVERAGE(AA268:AB268)</f>
        <v>186227</v>
      </c>
      <c r="AC270" s="307">
        <f>AVERAGE(AB268,AC268)</f>
        <v>196887</v>
      </c>
      <c r="AD270" s="256">
        <f>AVERAGE(AB270:AC270)</f>
        <v>191557</v>
      </c>
      <c r="AE270" s="307">
        <f>AVERAGE(AD268:AE268)</f>
        <v>198708</v>
      </c>
      <c r="AF270" s="629">
        <f>AVERAGE(AE268,AF268)</f>
        <v>197491.5</v>
      </c>
      <c r="AG270" s="256">
        <f>AVERAGE(AE270:AF270)</f>
        <v>198099.75</v>
      </c>
      <c r="AH270" s="255">
        <f>AVERAGE(AG268:AH268)*0+201967</f>
        <v>201967</v>
      </c>
      <c r="AI270" s="255">
        <f>AVERAGE(AH268:AI268)*0+209469</f>
        <v>209469</v>
      </c>
      <c r="AJ270" s="256">
        <f>AVERAGE(AH270:AI270)</f>
        <v>205718</v>
      </c>
      <c r="AK270" s="255">
        <f>AVERAGE(AJ268:AK268)*0+219558</f>
        <v>219558</v>
      </c>
      <c r="AL270" s="255">
        <f>AVERAGE(AK268:AL268)*0+212324</f>
        <v>212324</v>
      </c>
      <c r="AM270" s="256">
        <f>AVERAGE(AK270:AL270)</f>
        <v>215941</v>
      </c>
      <c r="AN270" s="255">
        <f>AVERAGE(AM268:AN268)*0+219558</f>
        <v>219558</v>
      </c>
      <c r="AO270" s="307">
        <f>AVERAGE(AN268,AO268)</f>
        <v>215118.19157565618</v>
      </c>
      <c r="AP270" s="256">
        <f>AVERAGE(AN270:AO270)</f>
        <v>217338.09578782809</v>
      </c>
      <c r="AQ270" s="307">
        <f>AVERAGE(AP268:AQ268)</f>
        <v>230148.99485295094</v>
      </c>
      <c r="AR270" s="307">
        <f>AVERAGE(AQ268,AR268)</f>
        <v>238487.44660727735</v>
      </c>
      <c r="AS270" s="256">
        <f>AVERAGE(AQ270:AR270)</f>
        <v>234318.22073011415</v>
      </c>
      <c r="AT270" s="307">
        <f>AVERAGE(AS268:AT268)</f>
        <v>247132.416482306</v>
      </c>
      <c r="AU270" s="307">
        <f>AVERAGE(AT268,AU268)</f>
        <v>256093.10002165794</v>
      </c>
      <c r="AV270" s="256">
        <f>AVERAGE(AT270:AU270)</f>
        <v>251612.75825198198</v>
      </c>
      <c r="AW270" s="307">
        <f>AVERAGE(AV268:AW268)</f>
        <v>265383.45965264493</v>
      </c>
      <c r="AX270" s="307">
        <f>AVERAGE(AW268,AX268)</f>
        <v>275013.38565801596</v>
      </c>
      <c r="AY270" s="256">
        <f>AVERAGE(AW270:AX270)</f>
        <v>270198.42265533045</v>
      </c>
      <c r="AZ270" s="307">
        <f>AVERAGE(AY268:AZ268)</f>
        <v>284997.94787615171</v>
      </c>
      <c r="BA270" s="307">
        <f>AVERAGE(AZ268,BA268)</f>
        <v>295347.78539343493</v>
      </c>
      <c r="BB270" s="256">
        <f>AVERAGE(AZ270:BA270)</f>
        <v>290172.86663479335</v>
      </c>
      <c r="BC270" s="307">
        <f>AVERAGE(BB268:BC268)</f>
        <v>306079.16746513423</v>
      </c>
      <c r="BD270" s="307">
        <f>AVERAGE(BC268,BD268)</f>
        <v>317203.54042788199</v>
      </c>
      <c r="BE270" s="256">
        <f>AVERAGE(BC270:BD270)</f>
        <v>311641.35394650814</v>
      </c>
    </row>
    <row r="271" spans="2:57">
      <c r="B271" s="246" t="s">
        <v>2331</v>
      </c>
      <c r="C271" s="287"/>
      <c r="E271" s="297">
        <f>E270/D270-1</f>
        <v>8.5030405596897118E-2</v>
      </c>
      <c r="F271" s="287"/>
      <c r="G271" s="297">
        <f>G270/E270-1</f>
        <v>0.13450947029060134</v>
      </c>
      <c r="H271" s="297">
        <f>H270/G270-1</f>
        <v>4.3598952783149736E-2</v>
      </c>
      <c r="I271" s="305">
        <f>I270/F270-1</f>
        <v>0.18315307093341615</v>
      </c>
      <c r="J271" s="297">
        <f>J270/H270-1</f>
        <v>-0.10969429561928778</v>
      </c>
      <c r="K271" s="297">
        <f>K270/J270-1</f>
        <v>-7.3835196499748679E-2</v>
      </c>
      <c r="L271" s="305">
        <f>L270/I270-1</f>
        <v>-0.10322462055564308</v>
      </c>
      <c r="M271" s="297">
        <f>M270/K270-1</f>
        <v>0.10387714228928746</v>
      </c>
      <c r="N271" s="297">
        <f>N270/M270-1</f>
        <v>7.3542141308939879E-3</v>
      </c>
      <c r="O271" s="305">
        <f>O270/L270-1</f>
        <v>5.8709847442241836E-2</v>
      </c>
      <c r="P271" s="297">
        <f>P270/N270-1</f>
        <v>2.9243343942695788E-2</v>
      </c>
      <c r="Q271" s="297">
        <f>Q270/P270-1</f>
        <v>1.1274152935754733E-2</v>
      </c>
      <c r="R271" s="305">
        <f>R270/O270-1</f>
        <v>3.9910388317291767E-2</v>
      </c>
      <c r="S271" s="297">
        <f>S270/Q270-1</f>
        <v>-3.9798957803594215E-2</v>
      </c>
      <c r="T271" s="297">
        <f>T270/S270-1</f>
        <v>3.1110499707672767E-2</v>
      </c>
      <c r="U271" s="305">
        <f>U270/R270-1</f>
        <v>-2.4295858932418368E-2</v>
      </c>
      <c r="V271" s="297">
        <f>V270/T270-1</f>
        <v>4.673533100301519E-2</v>
      </c>
      <c r="W271" s="297">
        <f>W270/V270-1</f>
        <v>0.1061218246937814</v>
      </c>
      <c r="X271" s="305">
        <f>X270/U270-1</f>
        <v>0.12589442695342856</v>
      </c>
      <c r="Y271" s="297">
        <f>Y270/W270-1</f>
        <v>2.380650588248856E-2</v>
      </c>
      <c r="Z271" s="297">
        <f>Z270/Y270-1</f>
        <v>3.615685038661054E-3</v>
      </c>
      <c r="AA271" s="305">
        <f>AA270/X270-1</f>
        <v>7.7494007844276513E-2</v>
      </c>
      <c r="AB271" s="297">
        <f>AB270/Z270-1</f>
        <v>4.4221587356769732E-2</v>
      </c>
      <c r="AC271" s="297">
        <f>AC270/AA270-1</f>
        <v>0.10598713341394261</v>
      </c>
      <c r="AD271" s="305">
        <f>AD270/AA270-1</f>
        <v>7.6046551145452002E-2</v>
      </c>
      <c r="AE271" s="297">
        <f>AE270/AC270-1</f>
        <v>9.2489600633867131E-3</v>
      </c>
      <c r="AF271" s="619">
        <f>AF270/AE270-1</f>
        <v>-6.1220484328763369E-3</v>
      </c>
      <c r="AG271" s="305">
        <f>AG270/AD270-1</f>
        <v>3.4155629916943875E-2</v>
      </c>
      <c r="AH271" s="297">
        <f>AH270/AF270-1</f>
        <v>2.2661734808839817E-2</v>
      </c>
      <c r="AI271" s="297">
        <f>AI270/AH270-1</f>
        <v>3.7144682052018485E-2</v>
      </c>
      <c r="AJ271" s="305">
        <f>AJ270/AG270-1</f>
        <v>3.8456636113876952E-2</v>
      </c>
      <c r="AK271" s="297">
        <f>AK270/AI270-1</f>
        <v>4.8164644887787711E-2</v>
      </c>
      <c r="AL271" s="297">
        <f>AL270/AK270-1</f>
        <v>-3.2948013736689208E-2</v>
      </c>
      <c r="AM271" s="305">
        <f>AM270/AJ270-1</f>
        <v>4.9694241631748293E-2</v>
      </c>
      <c r="AN271" s="297">
        <f>AN270/AL270-1</f>
        <v>3.407057139089309E-2</v>
      </c>
      <c r="AO271" s="297">
        <f>AO270/AN270-1</f>
        <v>-2.0221574364604478E-2</v>
      </c>
      <c r="AP271" s="305">
        <f>AP270/AM270-1</f>
        <v>6.4698032695416074E-3</v>
      </c>
      <c r="AQ271" s="297">
        <f>AQ270/AO270-1</f>
        <v>6.9872302138652476E-2</v>
      </c>
      <c r="AR271" s="297">
        <f>AR270/AQ270-1</f>
        <v>3.6230667701391051E-2</v>
      </c>
      <c r="AS271" s="305">
        <f>AS270/AP270-1</f>
        <v>7.8127697220935266E-2</v>
      </c>
      <c r="AT271" s="297">
        <f>AT270/AR270-1</f>
        <v>3.6249161111043815E-2</v>
      </c>
      <c r="AU271" s="297">
        <f>AU270/AT270-1</f>
        <v>3.6258632788440881E-2</v>
      </c>
      <c r="AV271" s="305">
        <f>AV270/AS270-1</f>
        <v>7.3807907332087197E-2</v>
      </c>
      <c r="AW271" s="297">
        <f>AW270/AU270-1</f>
        <v>3.6277274281116156E-2</v>
      </c>
      <c r="AX271" s="297">
        <f>AX270/AW270-1</f>
        <v>3.628683572810254E-2</v>
      </c>
      <c r="AY271" s="305">
        <f>AY270/AV270-1</f>
        <v>7.3866144675921008E-2</v>
      </c>
      <c r="AZ271" s="297">
        <f>AZ270/AX270-1</f>
        <v>3.6305731789185502E-2</v>
      </c>
      <c r="BA271" s="297">
        <f>BA270/AZ270-1</f>
        <v>3.6315480846131676E-2</v>
      </c>
      <c r="BB271" s="305">
        <f>BB270/AY270-1</f>
        <v>7.3925094688441773E-2</v>
      </c>
      <c r="BC271" s="297">
        <f>BC270/BA270-1</f>
        <v>3.6334730112853153E-2</v>
      </c>
      <c r="BD271" s="297">
        <f>BD270/BC270-1</f>
        <v>3.6344756994985516E-2</v>
      </c>
      <c r="BE271" s="305">
        <f>BE270/BB270-1</f>
        <v>7.3985164638893153E-2</v>
      </c>
    </row>
    <row r="272" spans="2:57">
      <c r="C272" s="287"/>
      <c r="E272" s="297"/>
      <c r="F272" s="287"/>
      <c r="G272" s="297"/>
      <c r="I272" s="287"/>
      <c r="L272" s="287"/>
      <c r="O272" s="287"/>
      <c r="R272" s="287"/>
      <c r="U272" s="287"/>
      <c r="X272" s="287"/>
      <c r="AA272" s="287"/>
      <c r="AD272" s="287"/>
      <c r="AF272" s="613"/>
      <c r="AG272" s="287"/>
      <c r="AJ272" s="287"/>
      <c r="AM272" s="287"/>
      <c r="AP272" s="287"/>
      <c r="AS272" s="287"/>
      <c r="AV272" s="287"/>
      <c r="AY272" s="287"/>
      <c r="BB272" s="287"/>
      <c r="BE272" s="287"/>
    </row>
    <row r="273" spans="2:57">
      <c r="B273" s="243" t="s">
        <v>2525</v>
      </c>
      <c r="C273" s="287"/>
      <c r="F273" s="287"/>
      <c r="I273" s="287"/>
      <c r="L273" s="287"/>
      <c r="O273" s="287"/>
      <c r="R273" s="312"/>
      <c r="U273" s="287"/>
      <c r="X273" s="287"/>
      <c r="AA273" s="287"/>
      <c r="AD273" s="287"/>
      <c r="AF273" s="613"/>
      <c r="AG273" s="287"/>
      <c r="AJ273" s="287"/>
      <c r="AM273" s="287"/>
      <c r="AP273" s="287"/>
      <c r="AS273" s="287"/>
      <c r="AV273" s="287"/>
      <c r="AY273" s="287"/>
      <c r="BB273" s="287"/>
      <c r="BE273" s="287"/>
    </row>
    <row r="274" spans="2:57">
      <c r="B274" s="246" t="s">
        <v>2346</v>
      </c>
      <c r="C274" s="305">
        <f t="shared" ref="C274:AE274" si="269">C264/C$268</f>
        <v>0.224</v>
      </c>
      <c r="D274" s="297">
        <f t="shared" si="269"/>
        <v>0.22800000000000001</v>
      </c>
      <c r="E274" s="344">
        <f t="shared" si="269"/>
        <v>0.22335254322225007</v>
      </c>
      <c r="F274" s="305">
        <f t="shared" si="269"/>
        <v>0.22335254322225007</v>
      </c>
      <c r="G274" s="297">
        <f t="shared" si="269"/>
        <v>0.18020309201199813</v>
      </c>
      <c r="H274" s="344">
        <f t="shared" si="269"/>
        <v>0.15366810513927029</v>
      </c>
      <c r="I274" s="358">
        <f t="shared" si="269"/>
        <v>0.15366810513927029</v>
      </c>
      <c r="J274" s="297">
        <f t="shared" si="269"/>
        <v>0.13006050048991399</v>
      </c>
      <c r="K274" s="344">
        <f t="shared" si="269"/>
        <v>0.12836820931376805</v>
      </c>
      <c r="L274" s="358">
        <f t="shared" si="269"/>
        <v>0.12836820931376805</v>
      </c>
      <c r="M274" s="297">
        <f t="shared" si="269"/>
        <v>0.15439691326958563</v>
      </c>
      <c r="N274" s="344">
        <f t="shared" si="269"/>
        <v>0.14899028399562017</v>
      </c>
      <c r="O274" s="358">
        <f t="shared" si="269"/>
        <v>0.14899028399562017</v>
      </c>
      <c r="P274" s="297">
        <f t="shared" si="269"/>
        <v>0.15521856653860502</v>
      </c>
      <c r="Q274" s="297">
        <f t="shared" si="269"/>
        <v>0.1502701175330835</v>
      </c>
      <c r="R274" s="305">
        <f t="shared" si="269"/>
        <v>0.1502701175330835</v>
      </c>
      <c r="S274" s="297">
        <f t="shared" si="269"/>
        <v>0.12957796096667371</v>
      </c>
      <c r="T274" s="297">
        <f t="shared" si="269"/>
        <v>0.1324172350690401</v>
      </c>
      <c r="U274" s="305">
        <f t="shared" si="269"/>
        <v>0.1324172350690401</v>
      </c>
      <c r="V274" s="297">
        <f t="shared" si="269"/>
        <v>0.1327973519054321</v>
      </c>
      <c r="W274" s="297">
        <f t="shared" si="269"/>
        <v>0.13484403802565118</v>
      </c>
      <c r="X274" s="305">
        <f t="shared" si="269"/>
        <v>0.13484403802565118</v>
      </c>
      <c r="Y274" s="297">
        <f t="shared" si="269"/>
        <v>0.15610266559747032</v>
      </c>
      <c r="Z274" s="297">
        <f t="shared" si="269"/>
        <v>0.15619194019286914</v>
      </c>
      <c r="AA274" s="305">
        <f t="shared" si="269"/>
        <v>0.15619194019286914</v>
      </c>
      <c r="AB274" s="297">
        <f t="shared" si="269"/>
        <v>0.14892539899585608</v>
      </c>
      <c r="AC274" s="297">
        <f t="shared" si="269"/>
        <v>0.14072949230343082</v>
      </c>
      <c r="AD274" s="305">
        <f t="shared" si="269"/>
        <v>0.14072949230343082</v>
      </c>
      <c r="AE274" s="297">
        <f t="shared" si="269"/>
        <v>0.14322809964762764</v>
      </c>
      <c r="AF274" s="619">
        <f t="shared" ref="AF274:AM278" si="270">AF264/AF$268</f>
        <v>0.13638070443337422</v>
      </c>
      <c r="AG274" s="305">
        <f t="shared" si="270"/>
        <v>0.13638070443337422</v>
      </c>
      <c r="AH274" s="535">
        <f t="shared" si="270"/>
        <v>0.14392563833818023</v>
      </c>
      <c r="AI274" s="535">
        <f t="shared" si="270"/>
        <v>0.13686556349036355</v>
      </c>
      <c r="AJ274" s="539">
        <f t="shared" si="270"/>
        <v>0.13686556349036355</v>
      </c>
      <c r="AK274" s="535">
        <f t="shared" si="270"/>
        <v>0.15472223877245167</v>
      </c>
      <c r="AL274" s="535">
        <f t="shared" si="270"/>
        <v>0.1447932396057062</v>
      </c>
      <c r="AM274" s="539">
        <f t="shared" si="270"/>
        <v>0.1447932396057062</v>
      </c>
      <c r="AN274" s="535">
        <f>AN264/AN$268</f>
        <v>0.12758882440804134</v>
      </c>
      <c r="AP274" s="287"/>
      <c r="AS274" s="287"/>
      <c r="AV274" s="287"/>
      <c r="AY274" s="287"/>
      <c r="BB274" s="287"/>
      <c r="BE274" s="287"/>
    </row>
    <row r="275" spans="2:57">
      <c r="B275" s="246" t="s">
        <v>2347</v>
      </c>
      <c r="C275" s="305">
        <f t="shared" ref="C275:AE275" si="271">C265/C$268</f>
        <v>0.22500000000000001</v>
      </c>
      <c r="D275" s="297">
        <f t="shared" si="271"/>
        <v>0.24199999999999999</v>
      </c>
      <c r="E275" s="344">
        <f t="shared" si="271"/>
        <v>0.24132154490460681</v>
      </c>
      <c r="F275" s="305">
        <f t="shared" si="271"/>
        <v>0.24132154490460681</v>
      </c>
      <c r="G275" s="297">
        <f t="shared" si="271"/>
        <v>0.24911930590962467</v>
      </c>
      <c r="H275" s="344">
        <f t="shared" si="271"/>
        <v>0.23269909768536681</v>
      </c>
      <c r="I275" s="358">
        <f t="shared" si="271"/>
        <v>0.23269909768536681</v>
      </c>
      <c r="J275" s="297">
        <f t="shared" si="271"/>
        <v>0.23079614912048774</v>
      </c>
      <c r="K275" s="344">
        <f t="shared" si="271"/>
        <v>0.25834997539868598</v>
      </c>
      <c r="L275" s="358">
        <f t="shared" si="271"/>
        <v>0.25834997539868598</v>
      </c>
      <c r="M275" s="297">
        <f t="shared" si="271"/>
        <v>0.28669686294245933</v>
      </c>
      <c r="N275" s="344">
        <f t="shared" si="271"/>
        <v>0.31660175470207486</v>
      </c>
      <c r="O275" s="358">
        <f t="shared" si="271"/>
        <v>0.31660175470207486</v>
      </c>
      <c r="P275" s="297">
        <f t="shared" si="271"/>
        <v>0.34577298401083834</v>
      </c>
      <c r="Q275" s="297">
        <f t="shared" si="271"/>
        <v>0.34217130093716991</v>
      </c>
      <c r="R275" s="305">
        <f t="shared" si="271"/>
        <v>0.34217130093716991</v>
      </c>
      <c r="S275" s="297">
        <f t="shared" si="271"/>
        <v>0.33787782709786512</v>
      </c>
      <c r="T275" s="297">
        <f t="shared" si="271"/>
        <v>0.34952586923972717</v>
      </c>
      <c r="U275" s="305">
        <f t="shared" si="271"/>
        <v>0.34952586923972717</v>
      </c>
      <c r="V275" s="297">
        <f t="shared" si="271"/>
        <v>0.36951308644361625</v>
      </c>
      <c r="W275" s="297">
        <f t="shared" si="271"/>
        <v>0.38334177976531914</v>
      </c>
      <c r="X275" s="305">
        <f t="shared" si="271"/>
        <v>0.38334177976531914</v>
      </c>
      <c r="Y275" s="297">
        <f t="shared" si="271"/>
        <v>0.43764253581523377</v>
      </c>
      <c r="Z275" s="297">
        <f t="shared" si="271"/>
        <v>0.41635517119348847</v>
      </c>
      <c r="AA275" s="305">
        <f t="shared" si="271"/>
        <v>0.41635517119348847</v>
      </c>
      <c r="AB275" s="297">
        <f t="shared" si="271"/>
        <v>0.46006388108931873</v>
      </c>
      <c r="AC275" s="297">
        <f t="shared" si="271"/>
        <v>0.45506707292944482</v>
      </c>
      <c r="AD275" s="305">
        <f t="shared" si="271"/>
        <v>0.45506707292944482</v>
      </c>
      <c r="AE275" s="297">
        <f t="shared" si="271"/>
        <v>0.45969741047283452</v>
      </c>
      <c r="AF275" s="619">
        <f t="shared" si="270"/>
        <v>0.45510301149022453</v>
      </c>
      <c r="AG275" s="305">
        <f t="shared" si="270"/>
        <v>0.45510301149022453</v>
      </c>
      <c r="AH275" s="535">
        <f t="shared" si="270"/>
        <v>0.44322739060047339</v>
      </c>
      <c r="AI275" s="535">
        <f t="shared" si="270"/>
        <v>0.43106819124355711</v>
      </c>
      <c r="AJ275" s="539">
        <f t="shared" si="270"/>
        <v>0.43106819124355711</v>
      </c>
      <c r="AK275" s="535">
        <f t="shared" si="270"/>
        <v>0.45038979609608093</v>
      </c>
      <c r="AL275" s="535">
        <f t="shared" si="270"/>
        <v>0.44082779189840648</v>
      </c>
      <c r="AM275" s="539">
        <f t="shared" si="270"/>
        <v>0.44082779189840648</v>
      </c>
      <c r="AN275" s="535">
        <f>AN265/AN$268</f>
        <v>0.43895296162981462</v>
      </c>
      <c r="AP275" s="287"/>
      <c r="AS275" s="287"/>
      <c r="AV275" s="287"/>
      <c r="AY275" s="287"/>
      <c r="BB275" s="287"/>
      <c r="BE275" s="287"/>
    </row>
    <row r="276" spans="2:57">
      <c r="B276" s="246" t="s">
        <v>2355</v>
      </c>
      <c r="C276" s="305">
        <f t="shared" ref="C276:AE276" si="272">C266/C$268</f>
        <v>0.372</v>
      </c>
      <c r="D276" s="297">
        <f t="shared" si="272"/>
        <v>0.35099999999999998</v>
      </c>
      <c r="E276" s="344">
        <f t="shared" si="272"/>
        <v>0.3502666714393099</v>
      </c>
      <c r="F276" s="305">
        <f t="shared" si="272"/>
        <v>0.3502666714393099</v>
      </c>
      <c r="G276" s="297">
        <f t="shared" si="272"/>
        <v>0.40578246399649548</v>
      </c>
      <c r="H276" s="344">
        <f t="shared" si="272"/>
        <v>0.43630835621812475</v>
      </c>
      <c r="I276" s="358">
        <f t="shared" si="272"/>
        <v>0.43630835621812475</v>
      </c>
      <c r="J276" s="297">
        <f t="shared" si="272"/>
        <v>0.44180132821126955</v>
      </c>
      <c r="K276" s="344">
        <f t="shared" si="272"/>
        <v>0.44423460970738909</v>
      </c>
      <c r="L276" s="358">
        <f t="shared" si="272"/>
        <v>0.44423460970738909</v>
      </c>
      <c r="M276" s="297">
        <f t="shared" si="272"/>
        <v>0.39720181177654756</v>
      </c>
      <c r="N276" s="344">
        <f t="shared" si="272"/>
        <v>0.3754729795284758</v>
      </c>
      <c r="O276" s="358">
        <f t="shared" si="272"/>
        <v>0.3754729795284758</v>
      </c>
      <c r="P276" s="297">
        <f t="shared" si="272"/>
        <v>0.34096903613432727</v>
      </c>
      <c r="Q276" s="297">
        <f t="shared" si="272"/>
        <v>0.34274988394701256</v>
      </c>
      <c r="R276" s="305">
        <f t="shared" si="272"/>
        <v>0.34274988394701256</v>
      </c>
      <c r="S276" s="297">
        <f t="shared" si="272"/>
        <v>0.36531388712745722</v>
      </c>
      <c r="T276" s="297">
        <f t="shared" si="272"/>
        <v>0.36095158875395111</v>
      </c>
      <c r="U276" s="305">
        <f t="shared" si="272"/>
        <v>0.36095158875395111</v>
      </c>
      <c r="V276" s="297">
        <f t="shared" si="272"/>
        <v>0.35118058869365099</v>
      </c>
      <c r="W276" s="297">
        <f t="shared" si="272"/>
        <v>0.34800599232581325</v>
      </c>
      <c r="X276" s="305">
        <f t="shared" si="272"/>
        <v>0.34800599232581325</v>
      </c>
      <c r="Y276" s="297">
        <f t="shared" si="272"/>
        <v>0.36800828058441815</v>
      </c>
      <c r="Z276" s="297">
        <f t="shared" si="272"/>
        <v>0.38491993276121383</v>
      </c>
      <c r="AA276" s="305">
        <f t="shared" si="272"/>
        <v>0.38491993276121383</v>
      </c>
      <c r="AB276" s="297">
        <f t="shared" si="272"/>
        <v>0.36622548354435663</v>
      </c>
      <c r="AC276" s="297">
        <f t="shared" si="272"/>
        <v>0.36176843021645366</v>
      </c>
      <c r="AD276" s="305">
        <f t="shared" si="272"/>
        <v>0.36176843021645366</v>
      </c>
      <c r="AE276" s="297">
        <f t="shared" si="272"/>
        <v>0.36712283864623452</v>
      </c>
      <c r="AF276" s="619">
        <f t="shared" si="270"/>
        <v>0.37384534508223394</v>
      </c>
      <c r="AG276" s="305">
        <f t="shared" si="270"/>
        <v>0.37384534508223394</v>
      </c>
      <c r="AH276" s="535">
        <f t="shared" si="270"/>
        <v>0.37633043503934099</v>
      </c>
      <c r="AI276" s="535">
        <f t="shared" si="270"/>
        <v>0.39439540257124239</v>
      </c>
      <c r="AJ276" s="539">
        <f t="shared" si="270"/>
        <v>0.39439540257124239</v>
      </c>
      <c r="AK276" s="535">
        <f t="shared" si="270"/>
        <v>0.35529421470179795</v>
      </c>
      <c r="AL276" s="535">
        <f t="shared" si="270"/>
        <v>0.37154969471304905</v>
      </c>
      <c r="AM276" s="539">
        <f t="shared" si="270"/>
        <v>0.37154969471304905</v>
      </c>
      <c r="AN276" s="535">
        <f>AN266/AN$268</f>
        <v>0.38316315286858149</v>
      </c>
      <c r="AP276" s="287"/>
      <c r="AS276" s="287"/>
      <c r="AV276" s="287"/>
      <c r="AY276" s="287"/>
      <c r="BB276" s="287"/>
      <c r="BE276" s="287"/>
    </row>
    <row r="277" spans="2:57">
      <c r="B277" s="246" t="str">
        <f>B267</f>
        <v>Infrastructure (was property / alternative)</v>
      </c>
      <c r="C277" s="305">
        <f t="shared" ref="C277:AE277" si="273">C267/C$268</f>
        <v>0.17900000000000008</v>
      </c>
      <c r="D277" s="297">
        <f t="shared" si="273"/>
        <v>0.17899999999999999</v>
      </c>
      <c r="E277" s="344">
        <f t="shared" si="273"/>
        <v>0.18505924043383326</v>
      </c>
      <c r="F277" s="305">
        <f t="shared" si="273"/>
        <v>0.18505924043383326</v>
      </c>
      <c r="G277" s="297">
        <f t="shared" si="273"/>
        <v>0.16489513808188175</v>
      </c>
      <c r="H277" s="344">
        <f t="shared" si="273"/>
        <v>0.17732444095723812</v>
      </c>
      <c r="I277" s="358">
        <f t="shared" si="273"/>
        <v>0.17732444095723812</v>
      </c>
      <c r="J277" s="297">
        <f t="shared" si="273"/>
        <v>0.19734202217832869</v>
      </c>
      <c r="K277" s="344">
        <f t="shared" si="273"/>
        <v>0.16904720558015687</v>
      </c>
      <c r="L277" s="358">
        <f t="shared" si="273"/>
        <v>0.16904720558015687</v>
      </c>
      <c r="M277" s="297">
        <f t="shared" si="273"/>
        <v>0.16170441201140748</v>
      </c>
      <c r="N277" s="344">
        <f t="shared" si="273"/>
        <v>0.15893498177382917</v>
      </c>
      <c r="O277" s="358">
        <f t="shared" si="273"/>
        <v>0.15893498177382917</v>
      </c>
      <c r="P277" s="297">
        <f t="shared" si="273"/>
        <v>0.15803941331622937</v>
      </c>
      <c r="Q277" s="297">
        <f t="shared" si="273"/>
        <v>0.164808697582734</v>
      </c>
      <c r="R277" s="305">
        <f t="shared" si="273"/>
        <v>0.164808697582734</v>
      </c>
      <c r="S277" s="297">
        <f t="shared" si="273"/>
        <v>0.16723032480800396</v>
      </c>
      <c r="T277" s="297">
        <f t="shared" si="273"/>
        <v>0.15710530693728164</v>
      </c>
      <c r="U277" s="305">
        <f t="shared" si="273"/>
        <v>0.15710530693728164</v>
      </c>
      <c r="V277" s="297">
        <f t="shared" si="273"/>
        <v>0.14650897295730067</v>
      </c>
      <c r="W277" s="297">
        <f t="shared" si="273"/>
        <v>0.13380818988321647</v>
      </c>
      <c r="X277" s="305">
        <f t="shared" si="273"/>
        <v>0.13380818988321647</v>
      </c>
      <c r="Y277" s="297">
        <f t="shared" si="273"/>
        <v>3.8246518002877733E-2</v>
      </c>
      <c r="Z277" s="297">
        <f t="shared" si="273"/>
        <v>4.2532955852428556E-2</v>
      </c>
      <c r="AA277" s="305">
        <f t="shared" si="273"/>
        <v>4.2532955852428556E-2</v>
      </c>
      <c r="AB277" s="297">
        <f t="shared" si="273"/>
        <v>2.4785236370468564E-2</v>
      </c>
      <c r="AC277" s="297">
        <f t="shared" si="273"/>
        <v>4.243500455067073E-2</v>
      </c>
      <c r="AD277" s="305">
        <f t="shared" si="273"/>
        <v>4.243500455067073E-2</v>
      </c>
      <c r="AE277" s="297">
        <f t="shared" si="273"/>
        <v>2.9951651233303286E-2</v>
      </c>
      <c r="AF277" s="619">
        <f t="shared" si="270"/>
        <v>3.4670938994167275E-2</v>
      </c>
      <c r="AG277" s="305">
        <f t="shared" si="270"/>
        <v>3.4670938994167275E-2</v>
      </c>
      <c r="AH277" s="535">
        <f t="shared" si="270"/>
        <v>3.6516536022005386E-2</v>
      </c>
      <c r="AI277" s="535">
        <f t="shared" si="270"/>
        <v>3.767084269483701E-2</v>
      </c>
      <c r="AJ277" s="539">
        <f t="shared" si="270"/>
        <v>3.767084269483701E-2</v>
      </c>
      <c r="AK277" s="535">
        <f t="shared" si="270"/>
        <v>3.9593750429669415E-2</v>
      </c>
      <c r="AL277" s="535">
        <f t="shared" si="270"/>
        <v>4.2829273782838274E-2</v>
      </c>
      <c r="AM277" s="539">
        <f t="shared" si="270"/>
        <v>4.2829273782838274E-2</v>
      </c>
      <c r="AN277" s="535">
        <f>AN267/AN$268</f>
        <v>5.0295061093562528E-2</v>
      </c>
      <c r="AP277" s="287"/>
      <c r="AS277" s="287"/>
      <c r="AV277" s="287"/>
      <c r="AY277" s="287"/>
      <c r="BB277" s="287"/>
      <c r="BE277" s="287"/>
    </row>
    <row r="278" spans="2:57" s="243" customFormat="1">
      <c r="B278" s="243" t="s">
        <v>168</v>
      </c>
      <c r="C278" s="312">
        <f t="shared" ref="C278:AE278" si="274">C268/C$268</f>
        <v>1</v>
      </c>
      <c r="D278" s="301">
        <f t="shared" si="274"/>
        <v>1</v>
      </c>
      <c r="E278" s="346">
        <f t="shared" si="274"/>
        <v>1</v>
      </c>
      <c r="F278" s="312">
        <f t="shared" si="274"/>
        <v>1</v>
      </c>
      <c r="G278" s="301">
        <f t="shared" si="274"/>
        <v>1</v>
      </c>
      <c r="H278" s="346">
        <f t="shared" si="274"/>
        <v>1</v>
      </c>
      <c r="I278" s="347">
        <f t="shared" si="274"/>
        <v>1</v>
      </c>
      <c r="J278" s="301">
        <f t="shared" si="274"/>
        <v>1</v>
      </c>
      <c r="K278" s="346">
        <f t="shared" si="274"/>
        <v>1</v>
      </c>
      <c r="L278" s="347">
        <f t="shared" si="274"/>
        <v>1</v>
      </c>
      <c r="M278" s="301">
        <f t="shared" si="274"/>
        <v>1</v>
      </c>
      <c r="N278" s="346">
        <f t="shared" si="274"/>
        <v>1</v>
      </c>
      <c r="O278" s="347">
        <f t="shared" si="274"/>
        <v>1</v>
      </c>
      <c r="P278" s="301">
        <f t="shared" si="274"/>
        <v>1</v>
      </c>
      <c r="Q278" s="301">
        <f t="shared" si="274"/>
        <v>1</v>
      </c>
      <c r="R278" s="312">
        <f t="shared" si="274"/>
        <v>1</v>
      </c>
      <c r="S278" s="301">
        <f t="shared" si="274"/>
        <v>1</v>
      </c>
      <c r="T278" s="301">
        <f t="shared" si="274"/>
        <v>1</v>
      </c>
      <c r="U278" s="312">
        <f t="shared" si="274"/>
        <v>1</v>
      </c>
      <c r="V278" s="301">
        <f t="shared" si="274"/>
        <v>1</v>
      </c>
      <c r="W278" s="301">
        <f t="shared" si="274"/>
        <v>1</v>
      </c>
      <c r="X278" s="312">
        <f t="shared" si="274"/>
        <v>1</v>
      </c>
      <c r="Y278" s="301">
        <f t="shared" si="274"/>
        <v>1</v>
      </c>
      <c r="Z278" s="301">
        <f t="shared" si="274"/>
        <v>1</v>
      </c>
      <c r="AA278" s="312">
        <f t="shared" si="274"/>
        <v>1</v>
      </c>
      <c r="AB278" s="301">
        <f t="shared" si="274"/>
        <v>1</v>
      </c>
      <c r="AC278" s="301">
        <f t="shared" si="274"/>
        <v>1</v>
      </c>
      <c r="AD278" s="312">
        <f t="shared" si="274"/>
        <v>1</v>
      </c>
      <c r="AE278" s="301">
        <f t="shared" si="274"/>
        <v>1</v>
      </c>
      <c r="AF278" s="630">
        <f t="shared" si="270"/>
        <v>1</v>
      </c>
      <c r="AG278" s="312">
        <f t="shared" si="270"/>
        <v>1</v>
      </c>
      <c r="AH278" s="648">
        <f t="shared" si="270"/>
        <v>1</v>
      </c>
      <c r="AI278" s="648">
        <f t="shared" si="270"/>
        <v>1</v>
      </c>
      <c r="AJ278" s="649">
        <f t="shared" si="270"/>
        <v>1</v>
      </c>
      <c r="AK278" s="648">
        <f t="shared" si="270"/>
        <v>1</v>
      </c>
      <c r="AL278" s="648">
        <f t="shared" si="270"/>
        <v>1</v>
      </c>
      <c r="AM278" s="649">
        <f t="shared" si="270"/>
        <v>1</v>
      </c>
      <c r="AN278" s="648">
        <f>AN268/AN$268</f>
        <v>1</v>
      </c>
      <c r="AP278" s="299"/>
      <c r="AS278" s="299"/>
      <c r="AV278" s="299"/>
      <c r="AY278" s="299"/>
      <c r="BB278" s="299"/>
      <c r="BE278" s="299"/>
    </row>
    <row r="279" spans="2:57">
      <c r="C279" s="287"/>
      <c r="F279" s="287"/>
      <c r="I279" s="287"/>
      <c r="L279" s="287"/>
      <c r="O279" s="287"/>
      <c r="R279" s="354"/>
      <c r="U279" s="287"/>
      <c r="X279" s="287"/>
      <c r="AA279" s="287"/>
      <c r="AD279" s="287"/>
      <c r="AF279" s="613"/>
      <c r="AG279" s="287"/>
      <c r="AJ279" s="287"/>
      <c r="AM279" s="287"/>
      <c r="AP279" s="287"/>
      <c r="AS279" s="287"/>
      <c r="AV279" s="287"/>
      <c r="AY279" s="287"/>
      <c r="BB279" s="287"/>
      <c r="BE279" s="287"/>
    </row>
    <row r="280" spans="2:57" outlineLevel="1">
      <c r="B280" s="247" t="s">
        <v>2356</v>
      </c>
      <c r="C280" s="248"/>
      <c r="D280" s="249"/>
      <c r="E280" s="249"/>
      <c r="F280" s="248"/>
      <c r="G280" s="249"/>
      <c r="H280" s="249"/>
      <c r="I280" s="248"/>
      <c r="J280" s="249"/>
      <c r="K280" s="249"/>
      <c r="L280" s="248"/>
      <c r="M280" s="249"/>
      <c r="N280" s="249"/>
      <c r="O280" s="248"/>
      <c r="P280" s="249"/>
      <c r="Q280" s="249"/>
      <c r="R280" s="248"/>
      <c r="S280" s="249"/>
      <c r="T280" s="249"/>
      <c r="U280" s="248"/>
      <c r="V280" s="249"/>
      <c r="W280" s="249"/>
      <c r="X280" s="248"/>
      <c r="Y280" s="249"/>
      <c r="Z280" s="249"/>
      <c r="AA280" s="248"/>
      <c r="AB280" s="249"/>
      <c r="AC280" s="249"/>
      <c r="AD280" s="248"/>
      <c r="AE280" s="249"/>
      <c r="AF280" s="607"/>
      <c r="AG280" s="248"/>
      <c r="AH280" s="249"/>
      <c r="AI280" s="249"/>
      <c r="AJ280" s="248"/>
      <c r="AK280" s="249"/>
      <c r="AL280" s="249"/>
      <c r="AM280" s="248"/>
      <c r="AN280" s="249"/>
      <c r="AO280" s="249"/>
      <c r="AP280" s="248"/>
      <c r="AQ280" s="249"/>
      <c r="AR280" s="249"/>
      <c r="AS280" s="248"/>
      <c r="AT280" s="249"/>
      <c r="AU280" s="249"/>
      <c r="AV280" s="248"/>
      <c r="AW280" s="249"/>
      <c r="AX280" s="249"/>
      <c r="AY280" s="248"/>
      <c r="AZ280" s="249"/>
      <c r="BA280" s="249"/>
      <c r="BB280" s="248"/>
      <c r="BC280" s="249"/>
      <c r="BD280" s="249"/>
      <c r="BE280" s="248"/>
    </row>
    <row r="281" spans="2:57" outlineLevel="1">
      <c r="B281" s="243"/>
      <c r="C281" s="287"/>
      <c r="F281" s="287"/>
      <c r="I281" s="287"/>
      <c r="L281" s="287"/>
      <c r="O281" s="287"/>
      <c r="R281" s="287"/>
      <c r="U281" s="287"/>
      <c r="X281" s="287"/>
      <c r="AA281" s="287"/>
      <c r="AD281" s="287"/>
      <c r="AF281" s="613"/>
      <c r="AG281" s="287"/>
      <c r="AJ281" s="287"/>
      <c r="AM281" s="287"/>
      <c r="AP281" s="287"/>
      <c r="AS281" s="287"/>
      <c r="AV281" s="287"/>
      <c r="AY281" s="287"/>
      <c r="BB281" s="287"/>
      <c r="BE281" s="287"/>
    </row>
    <row r="282" spans="2:57" outlineLevel="1">
      <c r="B282" s="302" t="s">
        <v>2357</v>
      </c>
      <c r="C282" s="287"/>
      <c r="F282" s="287"/>
      <c r="I282" s="287"/>
      <c r="L282" s="287"/>
      <c r="O282" s="287"/>
      <c r="R282" s="287"/>
      <c r="U282" s="287"/>
      <c r="X282" s="287"/>
      <c r="AA282" s="287"/>
      <c r="AD282" s="287"/>
      <c r="AF282" s="613"/>
      <c r="AG282" s="287"/>
      <c r="AJ282" s="287"/>
      <c r="AM282" s="287"/>
      <c r="AP282" s="287"/>
      <c r="AS282" s="287"/>
      <c r="AV282" s="287"/>
      <c r="AY282" s="287"/>
      <c r="BB282" s="287"/>
      <c r="BE282" s="287"/>
    </row>
    <row r="283" spans="2:57" outlineLevel="1">
      <c r="B283" s="243" t="s">
        <v>2358</v>
      </c>
      <c r="C283" s="287"/>
      <c r="F283" s="287"/>
      <c r="I283" s="287"/>
      <c r="L283" s="287"/>
      <c r="O283" s="287"/>
      <c r="R283" s="287"/>
      <c r="U283" s="287"/>
      <c r="X283" s="287"/>
      <c r="AA283" s="287"/>
      <c r="AD283" s="594" t="s">
        <v>2529</v>
      </c>
      <c r="AF283" s="613"/>
      <c r="AG283" s="287"/>
      <c r="AJ283" s="287"/>
      <c r="AM283" s="287"/>
      <c r="AP283" s="287"/>
      <c r="AS283" s="287"/>
      <c r="AV283" s="287"/>
      <c r="AY283" s="287"/>
      <c r="BB283" s="287"/>
      <c r="BE283" s="287"/>
    </row>
    <row r="284" spans="2:57" s="251" customFormat="1" outlineLevel="1">
      <c r="B284" s="251" t="s">
        <v>2359</v>
      </c>
      <c r="C284" s="252"/>
      <c r="F284" s="252">
        <v>39545</v>
      </c>
      <c r="G284" s="251">
        <v>42814</v>
      </c>
      <c r="H284" s="251">
        <v>38707</v>
      </c>
      <c r="I284" s="252">
        <f>H284</f>
        <v>38707</v>
      </c>
      <c r="J284" s="251">
        <v>33172</v>
      </c>
      <c r="K284" s="251">
        <v>35955</v>
      </c>
      <c r="L284" s="252">
        <f>K284</f>
        <v>35955</v>
      </c>
      <c r="M284" s="251">
        <v>43179</v>
      </c>
      <c r="N284" s="251">
        <v>43640</v>
      </c>
      <c r="O284" s="252">
        <f>N284</f>
        <v>43640</v>
      </c>
      <c r="P284" s="251">
        <v>47729</v>
      </c>
      <c r="Q284" s="251">
        <v>49118</v>
      </c>
      <c r="R284" s="252">
        <f>+Q284</f>
        <v>49118</v>
      </c>
      <c r="S284" s="251">
        <v>47539</v>
      </c>
      <c r="T284" s="251">
        <v>50014</v>
      </c>
      <c r="U284" s="252">
        <f>+T284</f>
        <v>50014</v>
      </c>
      <c r="V284" s="251">
        <v>54744</v>
      </c>
      <c r="W284" s="251">
        <v>58787</v>
      </c>
      <c r="X284" s="252">
        <f>+W284</f>
        <v>58787</v>
      </c>
      <c r="Y284" s="251">
        <v>64448</v>
      </c>
      <c r="Z284" s="251">
        <v>67481</v>
      </c>
      <c r="AA284" s="252">
        <f>+Z284</f>
        <v>67481</v>
      </c>
      <c r="AB284" s="251">
        <v>70959</v>
      </c>
      <c r="AC284" s="251">
        <v>73582</v>
      </c>
      <c r="AD284" s="256" t="s">
        <v>2526</v>
      </c>
      <c r="AE284" s="251">
        <v>74874</v>
      </c>
      <c r="AF284" s="260">
        <v>75694</v>
      </c>
      <c r="AG284" s="252">
        <f>AF284</f>
        <v>75694</v>
      </c>
      <c r="AH284" s="251">
        <v>79104</v>
      </c>
      <c r="AI284" s="251">
        <v>82382</v>
      </c>
      <c r="AJ284" s="252">
        <f>AI284</f>
        <v>82382</v>
      </c>
      <c r="AK284" s="251">
        <v>87592</v>
      </c>
      <c r="AL284" s="251">
        <v>90299</v>
      </c>
      <c r="AM284" s="252">
        <f>AL284</f>
        <v>90299</v>
      </c>
      <c r="AN284" s="251">
        <v>86656</v>
      </c>
      <c r="AP284" s="252"/>
      <c r="AS284" s="252"/>
      <c r="AV284" s="252"/>
      <c r="AY284" s="252"/>
      <c r="BB284" s="252"/>
      <c r="BE284" s="252"/>
    </row>
    <row r="285" spans="2:57" s="251" customFormat="1" outlineLevel="1">
      <c r="B285" s="251" t="s">
        <v>2360</v>
      </c>
      <c r="C285" s="252"/>
      <c r="F285" s="252">
        <v>3130</v>
      </c>
      <c r="G285" s="251">
        <v>2947</v>
      </c>
      <c r="H285" s="251">
        <v>2576</v>
      </c>
      <c r="I285" s="252">
        <f t="shared" ref="I285:I293" si="275">H285</f>
        <v>2576</v>
      </c>
      <c r="J285" s="251">
        <v>2299</v>
      </c>
      <c r="K285" s="251">
        <v>2859</v>
      </c>
      <c r="L285" s="252">
        <f t="shared" ref="L285:L293" si="276">K285</f>
        <v>2859</v>
      </c>
      <c r="O285" s="252"/>
      <c r="R285" s="252"/>
      <c r="U285" s="252"/>
      <c r="X285" s="252"/>
      <c r="AA285" s="252"/>
      <c r="AD285" s="256"/>
      <c r="AF285" s="260"/>
      <c r="AG285" s="252"/>
      <c r="AJ285" s="252"/>
      <c r="AM285" s="252"/>
      <c r="AP285" s="252"/>
      <c r="AS285" s="252"/>
      <c r="AV285" s="252"/>
      <c r="AY285" s="252"/>
      <c r="BB285" s="252"/>
      <c r="BE285" s="252"/>
    </row>
    <row r="286" spans="2:57" s="251" customFormat="1" outlineLevel="1">
      <c r="B286" s="251" t="s">
        <v>2361</v>
      </c>
      <c r="C286" s="252"/>
      <c r="F286" s="252">
        <v>34061</v>
      </c>
      <c r="G286" s="251">
        <v>31969</v>
      </c>
      <c r="H286" s="251">
        <v>27500</v>
      </c>
      <c r="I286" s="252">
        <f t="shared" si="275"/>
        <v>27500</v>
      </c>
      <c r="J286" s="251">
        <v>22525</v>
      </c>
      <c r="K286" s="251">
        <v>22091</v>
      </c>
      <c r="L286" s="252">
        <f t="shared" si="276"/>
        <v>22091</v>
      </c>
      <c r="O286" s="252"/>
      <c r="R286" s="252"/>
      <c r="U286" s="252"/>
      <c r="X286" s="252"/>
      <c r="AA286" s="252"/>
      <c r="AD286" s="256"/>
      <c r="AF286" s="260"/>
      <c r="AG286" s="252"/>
      <c r="AJ286" s="252"/>
      <c r="AM286" s="252"/>
      <c r="AP286" s="252"/>
      <c r="AS286" s="252"/>
      <c r="AV286" s="252"/>
      <c r="AY286" s="252"/>
      <c r="BB286" s="252"/>
      <c r="BE286" s="252"/>
    </row>
    <row r="287" spans="2:57" s="251" customFormat="1" outlineLevel="1">
      <c r="B287" s="251" t="s">
        <v>2362</v>
      </c>
      <c r="C287" s="252"/>
      <c r="F287" s="252"/>
      <c r="I287" s="252"/>
      <c r="L287" s="252"/>
      <c r="M287" s="251">
        <v>26106</v>
      </c>
      <c r="N287" s="251">
        <v>22942</v>
      </c>
      <c r="O287" s="252">
        <f t="shared" ref="O287:O293" si="277">N287</f>
        <v>22942</v>
      </c>
      <c r="P287" s="251">
        <v>22224</v>
      </c>
      <c r="Q287" s="251">
        <v>20640</v>
      </c>
      <c r="R287" s="252">
        <f t="shared" ref="R287:R293" si="278">+Q287</f>
        <v>20640</v>
      </c>
      <c r="S287" s="251">
        <v>17758</v>
      </c>
      <c r="T287" s="251">
        <v>17268</v>
      </c>
      <c r="U287" s="252">
        <f t="shared" ref="U287:U293" si="279">+T287</f>
        <v>17268</v>
      </c>
      <c r="V287" s="251">
        <v>18820</v>
      </c>
      <c r="W287" s="251">
        <v>19684</v>
      </c>
      <c r="X287" s="252">
        <f t="shared" ref="X287:X293" si="280">+W287</f>
        <v>19684</v>
      </c>
      <c r="Y287" s="251">
        <v>20691</v>
      </c>
      <c r="Z287" s="251">
        <v>20725</v>
      </c>
      <c r="AA287" s="252">
        <f t="shared" ref="AA287:AA293" si="281">+Z287</f>
        <v>20725</v>
      </c>
      <c r="AB287" s="251">
        <v>21229</v>
      </c>
      <c r="AC287" s="251">
        <v>21681</v>
      </c>
      <c r="AD287" s="256"/>
      <c r="AF287" s="260"/>
      <c r="AG287" s="252"/>
      <c r="AJ287" s="252"/>
      <c r="AM287" s="252"/>
      <c r="AP287" s="252"/>
      <c r="AS287" s="252"/>
      <c r="AV287" s="252"/>
      <c r="AY287" s="252"/>
      <c r="BB287" s="252"/>
      <c r="BE287" s="252"/>
    </row>
    <row r="288" spans="2:57" s="251" customFormat="1" outlineLevel="1">
      <c r="B288" s="251" t="s">
        <v>2363</v>
      </c>
      <c r="C288" s="252"/>
      <c r="F288" s="252">
        <v>1577</v>
      </c>
      <c r="G288" s="251">
        <v>1504</v>
      </c>
      <c r="H288" s="251">
        <v>1366</v>
      </c>
      <c r="I288" s="252">
        <f t="shared" si="275"/>
        <v>1366</v>
      </c>
      <c r="J288" s="251">
        <v>1252</v>
      </c>
      <c r="K288" s="251">
        <v>1154</v>
      </c>
      <c r="L288" s="252">
        <f t="shared" si="276"/>
        <v>1154</v>
      </c>
      <c r="M288" s="251">
        <v>1222</v>
      </c>
      <c r="N288" s="251">
        <v>1153</v>
      </c>
      <c r="O288" s="252">
        <f t="shared" si="277"/>
        <v>1153</v>
      </c>
      <c r="P288" s="251">
        <v>1155</v>
      </c>
      <c r="Q288" s="251">
        <v>1105</v>
      </c>
      <c r="R288" s="252">
        <f t="shared" si="278"/>
        <v>1105</v>
      </c>
      <c r="S288" s="251">
        <v>1018</v>
      </c>
      <c r="T288" s="251">
        <v>1001</v>
      </c>
      <c r="U288" s="252">
        <f t="shared" si="279"/>
        <v>1001</v>
      </c>
      <c r="V288" s="251">
        <v>1021</v>
      </c>
      <c r="W288" s="251">
        <v>1007</v>
      </c>
      <c r="X288" s="252">
        <f t="shared" si="280"/>
        <v>1007</v>
      </c>
      <c r="Y288" s="251">
        <v>1032</v>
      </c>
      <c r="Z288" s="251">
        <v>990</v>
      </c>
      <c r="AA288" s="252">
        <f t="shared" si="281"/>
        <v>990</v>
      </c>
      <c r="AB288" s="251">
        <v>972</v>
      </c>
      <c r="AC288" s="251">
        <v>950</v>
      </c>
      <c r="AD288" s="256"/>
      <c r="AF288" s="260"/>
      <c r="AG288" s="252"/>
      <c r="AJ288" s="252"/>
      <c r="AM288" s="252"/>
      <c r="AP288" s="252"/>
      <c r="AS288" s="252"/>
      <c r="AV288" s="252"/>
      <c r="AY288" s="252"/>
      <c r="BB288" s="252"/>
      <c r="BE288" s="252"/>
    </row>
    <row r="289" spans="2:57" s="251" customFormat="1" outlineLevel="1">
      <c r="B289" s="251" t="s">
        <v>2364</v>
      </c>
      <c r="C289" s="252"/>
      <c r="F289" s="252">
        <v>34469</v>
      </c>
      <c r="G289" s="251">
        <v>54746</v>
      </c>
      <c r="H289" s="251">
        <v>52376</v>
      </c>
      <c r="I289" s="252">
        <f t="shared" si="275"/>
        <v>52376</v>
      </c>
      <c r="J289" s="251">
        <f>39663</f>
        <v>39663</v>
      </c>
      <c r="K289" s="251">
        <v>45092</v>
      </c>
      <c r="L289" s="252">
        <f t="shared" si="276"/>
        <v>45092</v>
      </c>
      <c r="M289" s="251">
        <v>47372</v>
      </c>
      <c r="N289" s="251">
        <v>41050</v>
      </c>
      <c r="O289" s="252">
        <f t="shared" si="277"/>
        <v>41050</v>
      </c>
      <c r="P289" s="251">
        <v>41183</v>
      </c>
      <c r="Q289" s="251">
        <v>39624</v>
      </c>
      <c r="R289" s="252">
        <f t="shared" si="278"/>
        <v>39624</v>
      </c>
      <c r="S289" s="251">
        <v>40660</v>
      </c>
      <c r="T289" s="251">
        <v>43443</v>
      </c>
      <c r="U289" s="252">
        <f t="shared" si="279"/>
        <v>43443</v>
      </c>
      <c r="V289" s="251">
        <v>49505</v>
      </c>
      <c r="W289" s="251">
        <v>60675</v>
      </c>
      <c r="X289" s="252">
        <f t="shared" si="280"/>
        <v>60675</v>
      </c>
      <c r="Y289" s="251">
        <v>67255</v>
      </c>
      <c r="Z289" s="251">
        <v>72427</v>
      </c>
      <c r="AA289" s="252">
        <f t="shared" si="281"/>
        <v>72427</v>
      </c>
      <c r="AB289" s="251">
        <v>74072</v>
      </c>
      <c r="AC289" s="251">
        <v>75317</v>
      </c>
      <c r="AD289" s="256" t="s">
        <v>2527</v>
      </c>
      <c r="AE289" s="251">
        <v>12580</v>
      </c>
      <c r="AF289" s="260">
        <v>12272</v>
      </c>
      <c r="AG289" s="252">
        <f>AF289</f>
        <v>12272</v>
      </c>
      <c r="AJ289" s="252"/>
      <c r="AM289" s="252"/>
      <c r="AP289" s="252"/>
      <c r="AS289" s="252"/>
      <c r="AV289" s="252"/>
      <c r="AY289" s="252"/>
      <c r="BB289" s="252"/>
      <c r="BE289" s="252"/>
    </row>
    <row r="290" spans="2:57" s="251" customFormat="1" outlineLevel="1">
      <c r="B290" s="251" t="s">
        <v>2348</v>
      </c>
      <c r="C290" s="252"/>
      <c r="F290" s="252">
        <v>14843</v>
      </c>
      <c r="G290" s="251">
        <v>18551</v>
      </c>
      <c r="H290" s="251">
        <v>20210</v>
      </c>
      <c r="I290" s="252">
        <f t="shared" si="275"/>
        <v>20210</v>
      </c>
      <c r="J290" s="251">
        <v>20442</v>
      </c>
      <c r="K290" s="251">
        <v>18722</v>
      </c>
      <c r="L290" s="252">
        <f t="shared" si="276"/>
        <v>18722</v>
      </c>
      <c r="M290" s="251">
        <v>17924</v>
      </c>
      <c r="N290" s="251">
        <v>17167</v>
      </c>
      <c r="O290" s="252">
        <f t="shared" si="277"/>
        <v>17167</v>
      </c>
      <c r="P290" s="251">
        <v>18523</v>
      </c>
      <c r="Q290" s="251">
        <v>18908</v>
      </c>
      <c r="R290" s="252">
        <f t="shared" si="278"/>
        <v>18908</v>
      </c>
      <c r="S290" s="251">
        <v>19026</v>
      </c>
      <c r="T290" s="251">
        <v>18694</v>
      </c>
      <c r="U290" s="252">
        <f t="shared" si="279"/>
        <v>18694</v>
      </c>
      <c r="V290" s="251">
        <v>19184</v>
      </c>
      <c r="W290" s="251">
        <v>17750</v>
      </c>
      <c r="X290" s="252">
        <f t="shared" si="280"/>
        <v>17750</v>
      </c>
      <c r="Y290" s="251">
        <v>2963</v>
      </c>
      <c r="Z290" s="251">
        <v>3771</v>
      </c>
      <c r="AA290" s="252">
        <f t="shared" si="281"/>
        <v>3771</v>
      </c>
      <c r="AB290" s="251">
        <v>3857</v>
      </c>
      <c r="AC290" s="251">
        <v>4552</v>
      </c>
      <c r="AD290" s="256" t="s">
        <v>2528</v>
      </c>
      <c r="AE290" s="251">
        <v>16029</v>
      </c>
      <c r="AF290" s="260">
        <v>15054</v>
      </c>
      <c r="AG290" s="252">
        <f>AF290</f>
        <v>15054</v>
      </c>
      <c r="AH290" s="251">
        <v>15171</v>
      </c>
      <c r="AI290" s="251">
        <v>15751</v>
      </c>
      <c r="AJ290" s="252">
        <v>15751</v>
      </c>
      <c r="AK290" s="251">
        <v>16513</v>
      </c>
      <c r="AL290" s="251">
        <v>16752</v>
      </c>
      <c r="AM290" s="252">
        <v>15751</v>
      </c>
      <c r="AN290" s="251">
        <v>15647</v>
      </c>
      <c r="AP290" s="252"/>
      <c r="AS290" s="252"/>
      <c r="AV290" s="252"/>
      <c r="AY290" s="252"/>
      <c r="BB290" s="252"/>
      <c r="BE290" s="252"/>
    </row>
    <row r="291" spans="2:57" s="251" customFormat="1" outlineLevel="1">
      <c r="B291" s="251" t="s">
        <v>2599</v>
      </c>
      <c r="C291" s="252"/>
      <c r="F291" s="252">
        <v>5875</v>
      </c>
      <c r="G291" s="251">
        <v>6278</v>
      </c>
      <c r="H291" s="251">
        <v>6257</v>
      </c>
      <c r="I291" s="252">
        <f t="shared" si="275"/>
        <v>6257</v>
      </c>
      <c r="J291" s="251">
        <v>5727</v>
      </c>
      <c r="K291" s="251">
        <v>5341</v>
      </c>
      <c r="L291" s="252">
        <f t="shared" si="276"/>
        <v>5341</v>
      </c>
      <c r="M291" s="251">
        <v>6147</v>
      </c>
      <c r="N291" s="251">
        <v>6114</v>
      </c>
      <c r="O291" s="252">
        <f t="shared" si="277"/>
        <v>6114</v>
      </c>
      <c r="P291" s="251">
        <v>6887</v>
      </c>
      <c r="Q291" s="251">
        <v>7436</v>
      </c>
      <c r="R291" s="252">
        <f t="shared" si="278"/>
        <v>7436</v>
      </c>
      <c r="S291" s="251">
        <v>7910</v>
      </c>
      <c r="T291" s="251">
        <v>9081</v>
      </c>
      <c r="U291" s="252">
        <f t="shared" si="279"/>
        <v>9081</v>
      </c>
      <c r="V291" s="251">
        <v>10902</v>
      </c>
      <c r="W291" s="251">
        <v>14464</v>
      </c>
      <c r="X291" s="252">
        <f t="shared" si="280"/>
        <v>14464</v>
      </c>
      <c r="Y291" s="251">
        <v>16789</v>
      </c>
      <c r="Z291" s="251">
        <v>18070</v>
      </c>
      <c r="AA291" s="252">
        <f t="shared" si="281"/>
        <v>18070</v>
      </c>
      <c r="AB291" s="251">
        <v>19926</v>
      </c>
      <c r="AC291" s="251">
        <v>21303</v>
      </c>
      <c r="AD291" s="256" t="s">
        <v>2579</v>
      </c>
      <c r="AE291" s="251">
        <v>22276</v>
      </c>
      <c r="AF291" s="260">
        <v>22890</v>
      </c>
      <c r="AG291" s="252">
        <f>AF291</f>
        <v>22890</v>
      </c>
      <c r="AH291" s="251">
        <v>25197</v>
      </c>
      <c r="AI291" s="251">
        <v>27747</v>
      </c>
      <c r="AJ291" s="252">
        <f>AI291</f>
        <v>27747</v>
      </c>
      <c r="AK291" s="251">
        <v>29459</v>
      </c>
      <c r="AL291" s="251">
        <v>30709</v>
      </c>
      <c r="AM291" s="252">
        <f>AL291</f>
        <v>30709</v>
      </c>
      <c r="AN291" s="251">
        <v>29594</v>
      </c>
      <c r="AP291" s="252"/>
      <c r="AS291" s="252"/>
      <c r="AV291" s="252"/>
      <c r="AY291" s="252"/>
      <c r="BB291" s="252"/>
      <c r="BE291" s="252"/>
    </row>
    <row r="292" spans="2:57" s="251" customFormat="1" outlineLevel="1">
      <c r="B292" s="251" t="s">
        <v>271</v>
      </c>
      <c r="C292" s="252"/>
      <c r="F292" s="252">
        <v>3635</v>
      </c>
      <c r="G292" s="251">
        <v>3528</v>
      </c>
      <c r="H292" s="251">
        <v>3248</v>
      </c>
      <c r="I292" s="252">
        <f t="shared" si="275"/>
        <v>3248</v>
      </c>
      <c r="J292" s="251">
        <v>3308</v>
      </c>
      <c r="K292" s="251">
        <v>3236</v>
      </c>
      <c r="L292" s="252">
        <f t="shared" si="276"/>
        <v>3236</v>
      </c>
      <c r="M292" s="251">
        <v>3068</v>
      </c>
      <c r="N292" s="251">
        <v>3033</v>
      </c>
      <c r="O292" s="252">
        <f t="shared" si="277"/>
        <v>3033</v>
      </c>
      <c r="P292" s="251">
        <v>3243</v>
      </c>
      <c r="Q292" s="251">
        <v>3083</v>
      </c>
      <c r="R292" s="252">
        <f t="shared" si="278"/>
        <v>3083</v>
      </c>
      <c r="S292" s="251">
        <v>3255</v>
      </c>
      <c r="T292" s="251">
        <v>3432</v>
      </c>
      <c r="U292" s="252">
        <f t="shared" si="279"/>
        <v>3432</v>
      </c>
      <c r="V292" s="251">
        <v>3493</v>
      </c>
      <c r="W292" s="251">
        <v>3529</v>
      </c>
      <c r="X292" s="252">
        <f t="shared" si="280"/>
        <v>3529</v>
      </c>
      <c r="Y292" s="251">
        <v>3603</v>
      </c>
      <c r="Z292" s="251">
        <v>3697</v>
      </c>
      <c r="AA292" s="252">
        <f t="shared" si="281"/>
        <v>3697</v>
      </c>
      <c r="AB292" s="251">
        <v>3798</v>
      </c>
      <c r="AC292" s="251">
        <v>3757</v>
      </c>
      <c r="AD292" s="256" t="s">
        <v>271</v>
      </c>
      <c r="AE292" s="251">
        <f>AE294-AE291-AE284-AE289-AE290</f>
        <v>9717</v>
      </c>
      <c r="AF292" s="260">
        <f>AF294-AF291-AF284-AF289-AF290</f>
        <v>9891</v>
      </c>
      <c r="AG292" s="252">
        <f>AF292</f>
        <v>9891</v>
      </c>
      <c r="AH292" s="251">
        <v>9481</v>
      </c>
      <c r="AI292" s="251">
        <v>9567</v>
      </c>
      <c r="AJ292" s="252">
        <f>AI292</f>
        <v>9567</v>
      </c>
      <c r="AK292" s="251">
        <v>10104</v>
      </c>
      <c r="AL292" s="251">
        <v>10239</v>
      </c>
      <c r="AM292" s="252">
        <f>AL292</f>
        <v>10239</v>
      </c>
      <c r="AN292" s="251">
        <v>10028</v>
      </c>
      <c r="AP292" s="252"/>
      <c r="AS292" s="252"/>
      <c r="AV292" s="252"/>
      <c r="AY292" s="252"/>
      <c r="BB292" s="252"/>
      <c r="BE292" s="252"/>
    </row>
    <row r="293" spans="2:57" s="251" customFormat="1" outlineLevel="1">
      <c r="B293" s="251" t="s">
        <v>2365</v>
      </c>
      <c r="C293" s="252"/>
      <c r="F293" s="252">
        <v>31675</v>
      </c>
      <c r="G293" s="251">
        <v>37497</v>
      </c>
      <c r="H293" s="251">
        <v>32730</v>
      </c>
      <c r="I293" s="252">
        <f t="shared" si="275"/>
        <v>32730</v>
      </c>
      <c r="J293" s="251">
        <v>29638</v>
      </c>
      <c r="K293" s="251">
        <v>34760</v>
      </c>
      <c r="L293" s="252">
        <f t="shared" si="276"/>
        <v>34760</v>
      </c>
      <c r="M293" s="251">
        <v>40681</v>
      </c>
      <c r="N293" s="251">
        <v>44515</v>
      </c>
      <c r="O293" s="252">
        <f t="shared" si="277"/>
        <v>44515</v>
      </c>
      <c r="P293" s="251">
        <v>50510</v>
      </c>
      <c r="Q293" s="251">
        <v>48597</v>
      </c>
      <c r="R293" s="252">
        <f t="shared" si="278"/>
        <v>48597</v>
      </c>
      <c r="S293" s="251">
        <v>46879</v>
      </c>
      <c r="T293" s="251">
        <v>49848</v>
      </c>
      <c r="U293" s="252">
        <f t="shared" si="279"/>
        <v>49848</v>
      </c>
      <c r="V293" s="251">
        <v>58182</v>
      </c>
      <c r="W293" s="251">
        <v>64456</v>
      </c>
      <c r="X293" s="252">
        <f t="shared" si="280"/>
        <v>64456</v>
      </c>
      <c r="Y293" s="251">
        <v>68215</v>
      </c>
      <c r="Z293" s="251">
        <v>66322</v>
      </c>
      <c r="AA293" s="252">
        <f t="shared" si="281"/>
        <v>66322</v>
      </c>
      <c r="AB293" s="251">
        <v>75453</v>
      </c>
      <c r="AC293" s="251">
        <v>82502</v>
      </c>
      <c r="AD293" s="252"/>
      <c r="AF293" s="260"/>
      <c r="AG293" s="252"/>
      <c r="AJ293" s="252"/>
      <c r="AM293" s="252"/>
      <c r="AP293" s="252"/>
      <c r="AS293" s="252"/>
      <c r="AV293" s="252"/>
      <c r="AY293" s="252"/>
      <c r="BB293" s="252"/>
      <c r="BE293" s="252"/>
    </row>
    <row r="294" spans="2:57" s="251" customFormat="1" outlineLevel="1">
      <c r="B294" s="724" t="s">
        <v>2601</v>
      </c>
      <c r="C294" s="725">
        <v>145648</v>
      </c>
      <c r="D294" s="724">
        <v>160744</v>
      </c>
      <c r="E294" s="724">
        <f>F294</f>
        <v>168810</v>
      </c>
      <c r="F294" s="725">
        <f>SUM(F284:F293)</f>
        <v>168810</v>
      </c>
      <c r="G294" s="724">
        <f>SUM(G284:G293)</f>
        <v>199834</v>
      </c>
      <c r="H294" s="724">
        <f>SUM(H284:H293)</f>
        <v>184970</v>
      </c>
      <c r="I294" s="725">
        <f>H294</f>
        <v>184970</v>
      </c>
      <c r="J294" s="724">
        <f>SUM(J284:J293)</f>
        <v>158026</v>
      </c>
      <c r="K294" s="724">
        <f>SUM(K284:K293)</f>
        <v>169210</v>
      </c>
      <c r="L294" s="725">
        <f>K294</f>
        <v>169210</v>
      </c>
      <c r="M294" s="724">
        <f>SUM(M284:M293)</f>
        <v>185699</v>
      </c>
      <c r="N294" s="724">
        <f>SUM(N284:N293)</f>
        <v>179614</v>
      </c>
      <c r="O294" s="725">
        <f>N294</f>
        <v>179614</v>
      </c>
      <c r="P294" s="724">
        <f t="shared" ref="P294:AA294" si="282">SUM(P284:P293)</f>
        <v>191454</v>
      </c>
      <c r="Q294" s="724">
        <f t="shared" si="282"/>
        <v>188511</v>
      </c>
      <c r="R294" s="725">
        <f t="shared" si="282"/>
        <v>188511</v>
      </c>
      <c r="S294" s="724">
        <f t="shared" si="282"/>
        <v>184045</v>
      </c>
      <c r="T294" s="724">
        <f t="shared" si="282"/>
        <v>192781</v>
      </c>
      <c r="U294" s="725">
        <f t="shared" si="282"/>
        <v>192781</v>
      </c>
      <c r="V294" s="724">
        <f t="shared" si="282"/>
        <v>215851</v>
      </c>
      <c r="W294" s="724">
        <f t="shared" si="282"/>
        <v>240352</v>
      </c>
      <c r="X294" s="725">
        <f t="shared" si="282"/>
        <v>240352</v>
      </c>
      <c r="Y294" s="724">
        <f t="shared" si="282"/>
        <v>244996</v>
      </c>
      <c r="Z294" s="724">
        <f t="shared" si="282"/>
        <v>253483</v>
      </c>
      <c r="AA294" s="725">
        <f t="shared" si="282"/>
        <v>253483</v>
      </c>
      <c r="AB294" s="743">
        <v>128109</v>
      </c>
      <c r="AC294" s="743">
        <v>131903</v>
      </c>
      <c r="AD294" s="725">
        <f>AC294</f>
        <v>131903</v>
      </c>
      <c r="AE294" s="724">
        <v>135476</v>
      </c>
      <c r="AF294" s="744">
        <v>135801</v>
      </c>
      <c r="AG294" s="725">
        <f>AF294</f>
        <v>135801</v>
      </c>
      <c r="AH294" s="724">
        <f>SUM(AH284:AH293)</f>
        <v>128953</v>
      </c>
      <c r="AI294" s="724">
        <f>SUM(AI284:AI293)</f>
        <v>135447</v>
      </c>
      <c r="AJ294" s="725">
        <f>AI294</f>
        <v>135447</v>
      </c>
      <c r="AK294" s="724">
        <f>SUM(AK284:AK293)</f>
        <v>143668</v>
      </c>
      <c r="AL294" s="724">
        <f>SUM(AL284:AL293)</f>
        <v>147999</v>
      </c>
      <c r="AM294" s="725">
        <f>AL294</f>
        <v>147999</v>
      </c>
      <c r="AN294" s="724">
        <f>SUM(AN284:AN293)</f>
        <v>141925</v>
      </c>
      <c r="AO294" s="724">
        <f>AN294+AO341</f>
        <v>157109.25</v>
      </c>
      <c r="AP294" s="725">
        <f>AM294+AP341</f>
        <v>168614.97</v>
      </c>
      <c r="AQ294" s="724">
        <f>AP294+AQ341</f>
        <v>174743.09409999999</v>
      </c>
      <c r="AR294" s="724">
        <f>AQ294+AR341</f>
        <v>181055.061923</v>
      </c>
      <c r="AS294" s="725">
        <f>AP294+AS341</f>
        <v>181055.061923</v>
      </c>
      <c r="AT294" s="724">
        <f>AS294+AT341</f>
        <v>187640.47878069</v>
      </c>
      <c r="AU294" s="724">
        <f>AT294+AU341</f>
        <v>194423.45814411069</v>
      </c>
      <c r="AV294" s="725">
        <f>AS294+AV341</f>
        <v>194423.45814411071</v>
      </c>
      <c r="AW294" s="724">
        <f>AV294+AW341</f>
        <v>201500.71701343404</v>
      </c>
      <c r="AX294" s="724">
        <f>AW294+AX341</f>
        <v>208790.29364883708</v>
      </c>
      <c r="AY294" s="725">
        <f>AV294+AY341</f>
        <v>208790.29364883705</v>
      </c>
      <c r="AZ294" s="724">
        <f>AY294+AZ341</f>
        <v>216396.63240205217</v>
      </c>
      <c r="BA294" s="724">
        <f>AZ294+BA341</f>
        <v>224231.16131786373</v>
      </c>
      <c r="BB294" s="725">
        <f>AY294+BB341</f>
        <v>224231.16131786373</v>
      </c>
      <c r="BC294" s="724">
        <f>BB294+BC341</f>
        <v>232406.72436708715</v>
      </c>
      <c r="BD294" s="724">
        <f>BC294+BD341</f>
        <v>240827.55430778727</v>
      </c>
      <c r="BE294" s="725">
        <f>BB294+BE341</f>
        <v>240827.55430778727</v>
      </c>
    </row>
    <row r="295" spans="2:57" outlineLevel="1">
      <c r="B295" s="246" t="s">
        <v>2331</v>
      </c>
      <c r="C295" s="256"/>
      <c r="D295" s="297">
        <f>D294/C294-1</f>
        <v>0.10364714929144236</v>
      </c>
      <c r="E295" s="297">
        <f>E294/D294-1</f>
        <v>5.0179166874035674E-2</v>
      </c>
      <c r="F295" s="305">
        <f>F294/C294-1</f>
        <v>0.15902724376579158</v>
      </c>
      <c r="G295" s="297">
        <f>G294/F294-1</f>
        <v>0.18378058171909251</v>
      </c>
      <c r="H295" s="297">
        <f>H294/G294-1</f>
        <v>-7.4381736841578561E-2</v>
      </c>
      <c r="I295" s="305">
        <f>I294/F294-1</f>
        <v>9.5728926011492188E-2</v>
      </c>
      <c r="J295" s="297">
        <f>J294/I294-1</f>
        <v>-0.14566686489701031</v>
      </c>
      <c r="K295" s="297">
        <f>K294/J294-1</f>
        <v>7.0773163909736425E-2</v>
      </c>
      <c r="L295" s="305">
        <f>L294/I294-1</f>
        <v>-8.5203005892847461E-2</v>
      </c>
      <c r="M295" s="297">
        <f>M294/L294-1</f>
        <v>9.7446959399562605E-2</v>
      </c>
      <c r="N295" s="297">
        <f>N294/M294-1</f>
        <v>-3.2768081680569106E-2</v>
      </c>
      <c r="O295" s="305">
        <f>O294/L294-1</f>
        <v>6.148572779386563E-2</v>
      </c>
      <c r="P295" s="297">
        <f>P294/O294-1</f>
        <v>6.5919137706414777E-2</v>
      </c>
      <c r="Q295" s="297">
        <f>Q294/P294-1</f>
        <v>-1.5371838666207061E-2</v>
      </c>
      <c r="R295" s="305">
        <f>R294/O294-1</f>
        <v>4.9534000690369284E-2</v>
      </c>
      <c r="S295" s="297">
        <f>S294/R294-1</f>
        <v>-2.3690925197999091E-2</v>
      </c>
      <c r="T295" s="297">
        <f>T294/S294-1</f>
        <v>4.7466652177456492E-2</v>
      </c>
      <c r="U295" s="305">
        <f>U294/R294-1</f>
        <v>2.2651198073321943E-2</v>
      </c>
      <c r="V295" s="297">
        <f>V294/U294-1</f>
        <v>0.11966946950166246</v>
      </c>
      <c r="W295" s="297">
        <f>W294/V294-1</f>
        <v>0.11350885564579261</v>
      </c>
      <c r="X295" s="305">
        <f>X294/U294-1</f>
        <v>0.24676186968632807</v>
      </c>
      <c r="Y295" s="297">
        <f>Y294/X294-1</f>
        <v>1.9321661563040937E-2</v>
      </c>
      <c r="Z295" s="297">
        <f>Z294/Y294-1</f>
        <v>3.4641381900112567E-2</v>
      </c>
      <c r="AA295" s="305">
        <f>AA294/X294-1</f>
        <v>5.4632372520303507E-2</v>
      </c>
      <c r="AB295" s="297">
        <f>AB294/AA294-1</f>
        <v>-0.49460516089836404</v>
      </c>
      <c r="AC295" s="297">
        <f>AC294/AB294-1</f>
        <v>2.9615405631142178E-2</v>
      </c>
      <c r="AD295" s="305">
        <f>AD294/AA294-1</f>
        <v>-0.47963768773448323</v>
      </c>
      <c r="AE295" s="297">
        <f>AE294/AD294-1</f>
        <v>2.708808745820801E-2</v>
      </c>
      <c r="AF295" s="619">
        <f>AF294/AE294-1</f>
        <v>2.3989488913165324E-3</v>
      </c>
      <c r="AG295" s="305">
        <f>AG294/AD294-1</f>
        <v>2.9552019286900322E-2</v>
      </c>
      <c r="AH295" s="297">
        <f>AH294/AG294-1</f>
        <v>-5.0426727343686695E-2</v>
      </c>
      <c r="AI295" s="297">
        <f>AI294/AH294-1</f>
        <v>5.0359433281893295E-2</v>
      </c>
      <c r="AJ295" s="305">
        <f>AJ294/AG294-1</f>
        <v>-2.6067554730819786E-3</v>
      </c>
      <c r="AK295" s="297">
        <f>AK294/AJ294-1</f>
        <v>6.069532732360261E-2</v>
      </c>
      <c r="AL295" s="297">
        <f>AL294/AK294-1</f>
        <v>3.0145891917476408E-2</v>
      </c>
      <c r="AM295" s="305">
        <f>AM294/AJ294-1</f>
        <v>9.2670934018472151E-2</v>
      </c>
      <c r="AN295" s="297">
        <f>AN294/AM294-1</f>
        <v>-4.1040817843363775E-2</v>
      </c>
      <c r="AO295" s="297">
        <f>AO294/AN294-1</f>
        <v>0.1069878456931479</v>
      </c>
      <c r="AP295" s="305">
        <f>AP294/AM294-1</f>
        <v>0.13929803579753908</v>
      </c>
      <c r="AQ295" s="297">
        <f>AQ294/AP294-1</f>
        <v>3.6343891055461874E-2</v>
      </c>
      <c r="AR295" s="297">
        <f>AR294/AQ294-1</f>
        <v>3.6121415015049951E-2</v>
      </c>
      <c r="AS295" s="305">
        <f>AS294/AP294-1</f>
        <v>7.3778098842588014E-2</v>
      </c>
      <c r="AT295" s="297">
        <f>AT294/AS294-1</f>
        <v>3.6372453704115015E-2</v>
      </c>
      <c r="AU295" s="297">
        <f>AU294/AT294-1</f>
        <v>3.6148806523503385E-2</v>
      </c>
      <c r="AV295" s="305">
        <f>AV294/AS294-1</f>
        <v>7.3836081019353683E-2</v>
      </c>
      <c r="AW295" s="297">
        <f>AW294/AV294-1</f>
        <v>3.6401260099373056E-2</v>
      </c>
      <c r="AX295" s="297">
        <f>AX294/AW294-1</f>
        <v>3.6176430255169034E-2</v>
      </c>
      <c r="AY295" s="305">
        <f>AY294/AV294-1</f>
        <v>7.3894558001726951E-2</v>
      </c>
      <c r="AZ295" s="297">
        <f>AZ294/AY294-1</f>
        <v>3.6430518968511905E-2</v>
      </c>
      <c r="BA295" s="297">
        <f>BA294/AZ294-1</f>
        <v>3.6204486312224393E-2</v>
      </c>
      <c r="BB295" s="305">
        <f>BB294/AY294-1</f>
        <v>7.395395350607914E-2</v>
      </c>
      <c r="BC295" s="297">
        <f>BC294/BB294-1</f>
        <v>3.6460423257737906E-2</v>
      </c>
      <c r="BD295" s="297">
        <f>BD294/BC294-1</f>
        <v>3.6233159619768029E-2</v>
      </c>
      <c r="BE295" s="305">
        <f>BE294/BB294-1</f>
        <v>7.4014659213207823E-2</v>
      </c>
    </row>
    <row r="296" spans="2:57" outlineLevel="1">
      <c r="B296" s="243" t="s">
        <v>725</v>
      </c>
      <c r="C296" s="287"/>
      <c r="D296" s="255">
        <v>151621</v>
      </c>
      <c r="E296" s="255">
        <v>163543</v>
      </c>
      <c r="F296" s="256">
        <f>AVERAGE(D296:E296)</f>
        <v>157582</v>
      </c>
      <c r="G296" s="255">
        <v>183548</v>
      </c>
      <c r="H296" s="255">
        <v>191721</v>
      </c>
      <c r="I296" s="256">
        <v>186696</v>
      </c>
      <c r="J296" s="255">
        <v>173001</v>
      </c>
      <c r="K296" s="255">
        <v>160974</v>
      </c>
      <c r="L296" s="256">
        <v>167677</v>
      </c>
      <c r="M296" s="255">
        <v>178738</v>
      </c>
      <c r="N296" s="255">
        <v>181709</v>
      </c>
      <c r="O296" s="256">
        <v>179802</v>
      </c>
      <c r="P296" s="255">
        <v>186849</v>
      </c>
      <c r="Q296" s="255">
        <v>191252</v>
      </c>
      <c r="R296" s="256">
        <v>188866</v>
      </c>
      <c r="S296" s="255">
        <v>186266</v>
      </c>
      <c r="T296" s="255">
        <f>U296*2-S296</f>
        <v>200288</v>
      </c>
      <c r="U296" s="256">
        <v>193277</v>
      </c>
      <c r="V296" s="255">
        <v>207437</v>
      </c>
      <c r="W296" s="255">
        <v>231138</v>
      </c>
      <c r="X296" s="256">
        <v>219296</v>
      </c>
      <c r="Y296" s="255">
        <v>235678</v>
      </c>
      <c r="Z296" s="255">
        <v>247645</v>
      </c>
      <c r="AA296" s="256">
        <v>241405</v>
      </c>
      <c r="AB296" s="586">
        <v>124659</v>
      </c>
      <c r="AC296" s="586">
        <v>132991</v>
      </c>
      <c r="AD296" s="256">
        <f>AVERAGE(AB296:AC296)</f>
        <v>128825</v>
      </c>
      <c r="AE296" s="255">
        <v>134352</v>
      </c>
      <c r="AF296" s="286">
        <v>134292</v>
      </c>
      <c r="AG296" s="256">
        <f>AVERAGE(AE296:AF296)</f>
        <v>134322</v>
      </c>
      <c r="AH296" s="720">
        <v>138146</v>
      </c>
      <c r="AI296" s="720">
        <f>0.5*(AH294+AI294)</f>
        <v>132200</v>
      </c>
      <c r="AJ296" s="721">
        <f>AVERAGE(AH296:AI296)</f>
        <v>135173</v>
      </c>
      <c r="AK296" s="720">
        <v>138146</v>
      </c>
      <c r="AL296" s="720">
        <v>144625</v>
      </c>
      <c r="AM296" s="721">
        <f>AVERAGE(AK296:AL296)</f>
        <v>141385.5</v>
      </c>
      <c r="AN296" s="720">
        <f>AVERAGE(AN294,AL294)</f>
        <v>144962</v>
      </c>
      <c r="AO296" s="255">
        <f>0.5*(AN294+AO294)</f>
        <v>149517.125</v>
      </c>
      <c r="AP296" s="256">
        <f>AVERAGE(AN296:AO296)</f>
        <v>147239.5625</v>
      </c>
      <c r="AQ296" s="255">
        <f>0.5*(AP294+AQ294)</f>
        <v>171679.03204999998</v>
      </c>
      <c r="AR296" s="255">
        <f>0.5*(AQ294+AR294)</f>
        <v>177899.07801150001</v>
      </c>
      <c r="AS296" s="256">
        <f>AVERAGE(AQ296:AR296)</f>
        <v>174789.05503074999</v>
      </c>
      <c r="AT296" s="255">
        <f>0.5*(AS294+AT294)</f>
        <v>184347.77035184501</v>
      </c>
      <c r="AU296" s="255">
        <f>0.5*(AT294+AU294)</f>
        <v>191031.96846240034</v>
      </c>
      <c r="AV296" s="256">
        <f>AVERAGE(AT296:AU296)</f>
        <v>187689.86940712266</v>
      </c>
      <c r="AW296" s="255">
        <f>0.5*(AV294+AW294)</f>
        <v>197962.08757877239</v>
      </c>
      <c r="AX296" s="255">
        <f>0.5*(AW294+AX294)</f>
        <v>205145.50533113556</v>
      </c>
      <c r="AY296" s="256">
        <f>AVERAGE(AW296:AX296)</f>
        <v>201553.79645495396</v>
      </c>
      <c r="AZ296" s="255">
        <f>0.5*(AY294+AZ294)</f>
        <v>212593.46302544459</v>
      </c>
      <c r="BA296" s="255">
        <f>0.5*(AZ294+BA294)</f>
        <v>220313.89685995795</v>
      </c>
      <c r="BB296" s="256">
        <f>AVERAGE(AZ296:BA296)</f>
        <v>216453.67994270127</v>
      </c>
      <c r="BC296" s="255">
        <f>0.5*(BB294+BC294)</f>
        <v>228318.94284247543</v>
      </c>
      <c r="BD296" s="255">
        <f>0.5*(BC294+BD294)</f>
        <v>236617.13933743723</v>
      </c>
      <c r="BE296" s="256">
        <f>AVERAGE(BC296:BD296)</f>
        <v>232468.04108995633</v>
      </c>
    </row>
    <row r="297" spans="2:57" outlineLevel="1">
      <c r="B297" s="246" t="s">
        <v>2331</v>
      </c>
      <c r="C297" s="287"/>
      <c r="E297" s="297">
        <f>E296/D296-1</f>
        <v>7.8630268894150479E-2</v>
      </c>
      <c r="F297" s="287"/>
      <c r="G297" s="297">
        <f>G296/E296-1</f>
        <v>0.12232256959943255</v>
      </c>
      <c r="H297" s="297">
        <f>H296/G296-1</f>
        <v>4.4527861921677125E-2</v>
      </c>
      <c r="I297" s="305">
        <f>I296/F296-1</f>
        <v>0.18475460395222809</v>
      </c>
      <c r="J297" s="297">
        <f>J296/H296-1</f>
        <v>-9.7641885865398126E-2</v>
      </c>
      <c r="K297" s="297">
        <f>K296/J296-1</f>
        <v>-6.9519829365148222E-2</v>
      </c>
      <c r="L297" s="305">
        <f>L296/I296-1</f>
        <v>-0.101871491622745</v>
      </c>
      <c r="M297" s="297">
        <f>M296/K296-1</f>
        <v>0.11035322474436859</v>
      </c>
      <c r="N297" s="297">
        <f>N296/M296-1</f>
        <v>1.6622094909868101E-2</v>
      </c>
      <c r="O297" s="305">
        <f>O296/L296-1</f>
        <v>7.2311646797115881E-2</v>
      </c>
      <c r="P297" s="297">
        <f>P296/N296-1</f>
        <v>2.8286986335294362E-2</v>
      </c>
      <c r="Q297" s="297">
        <f>Q296/P296-1</f>
        <v>2.3564482550080479E-2</v>
      </c>
      <c r="R297" s="305">
        <f>R296/O296-1</f>
        <v>5.0411007663985874E-2</v>
      </c>
      <c r="S297" s="297">
        <f>S296/Q296-1</f>
        <v>-2.6070315604542649E-2</v>
      </c>
      <c r="T297" s="297">
        <f>T296/S296-1</f>
        <v>7.5279439081743282E-2</v>
      </c>
      <c r="U297" s="305">
        <f>U296/R296-1</f>
        <v>2.3355183039827088E-2</v>
      </c>
      <c r="V297" s="297">
        <f>V296/T296-1</f>
        <v>3.5693601214251469E-2</v>
      </c>
      <c r="W297" s="297">
        <f>W296/V296-1</f>
        <v>0.11425637663483368</v>
      </c>
      <c r="X297" s="305">
        <f>X296/U296-1</f>
        <v>0.1346202600412878</v>
      </c>
      <c r="Y297" s="297">
        <f>Y296/W296-1</f>
        <v>1.9641945504417224E-2</v>
      </c>
      <c r="Z297" s="297">
        <f>Z296/Y296-1</f>
        <v>5.0776907475453825E-2</v>
      </c>
      <c r="AA297" s="305">
        <f>AA296/X296-1</f>
        <v>0.10081807237706109</v>
      </c>
      <c r="AB297" s="297">
        <f>AB296/Z296-1</f>
        <v>-0.49662218094449717</v>
      </c>
      <c r="AC297" s="297">
        <f>AC296/AA296-1</f>
        <v>-0.44909591764876455</v>
      </c>
      <c r="AD297" s="305">
        <f>AD296/AA296-1</f>
        <v>-0.46635322383546318</v>
      </c>
      <c r="AE297" s="297">
        <f>AE296/AC296-1</f>
        <v>1.0233775217871832E-2</v>
      </c>
      <c r="AF297" s="619">
        <f>AF296/AE296-1</f>
        <v>-4.4658806716679766E-4</v>
      </c>
      <c r="AG297" s="305">
        <f>AG296/AD296-1</f>
        <v>4.2670289151950369E-2</v>
      </c>
      <c r="AH297" s="297">
        <f>AH296/AF296-1</f>
        <v>2.8698656658624477E-2</v>
      </c>
      <c r="AI297" s="297">
        <f>AI296/AH296-1</f>
        <v>-4.3041419947012605E-2</v>
      </c>
      <c r="AJ297" s="305">
        <f>AJ296/AG296-1</f>
        <v>6.3355221036018872E-3</v>
      </c>
      <c r="AK297" s="297">
        <f>AK296/AI296-1</f>
        <v>4.497730711043868E-2</v>
      </c>
      <c r="AL297" s="297">
        <f>AL296/AK296-1</f>
        <v>4.6899656884745067E-2</v>
      </c>
      <c r="AM297" s="305">
        <f>AM296/AJ296-1</f>
        <v>4.5959622113883603E-2</v>
      </c>
      <c r="AN297" s="297">
        <f>AN296/AL296-1</f>
        <v>2.3301642178046311E-3</v>
      </c>
      <c r="AO297" s="297">
        <f>AO296/AN296-1</f>
        <v>3.1422890136725501E-2</v>
      </c>
      <c r="AP297" s="305">
        <f>AP296/AM296-1</f>
        <v>4.1404970806765862E-2</v>
      </c>
      <c r="AQ297" s="297">
        <f>AQ296/AO296-1</f>
        <v>0.14822320219172203</v>
      </c>
      <c r="AR297" s="297">
        <f>AR296/AQ296-1</f>
        <v>3.6230667701391051E-2</v>
      </c>
      <c r="AS297" s="305">
        <f>AS296/AP296-1</f>
        <v>0.18710659053167178</v>
      </c>
      <c r="AT297" s="297">
        <f>AT296/AR296-1</f>
        <v>3.6249161111043815E-2</v>
      </c>
      <c r="AU297" s="297">
        <f>AU296/AT296-1</f>
        <v>3.6258632788440659E-2</v>
      </c>
      <c r="AV297" s="305">
        <f>AV296/AS296-1</f>
        <v>7.3807907332087197E-2</v>
      </c>
      <c r="AW297" s="297">
        <f>AW296/AU296-1</f>
        <v>3.6277274281116378E-2</v>
      </c>
      <c r="AX297" s="297">
        <f>AX296/AW296-1</f>
        <v>3.628683572810254E-2</v>
      </c>
      <c r="AY297" s="305">
        <f>AY296/AV296-1</f>
        <v>7.386614467592123E-2</v>
      </c>
      <c r="AZ297" s="297">
        <f>AZ296/AX296-1</f>
        <v>3.6305731789185058E-2</v>
      </c>
      <c r="BA297" s="297">
        <f>BA296/AZ296-1</f>
        <v>3.6315480846131676E-2</v>
      </c>
      <c r="BB297" s="305">
        <f>BB296/AY296-1</f>
        <v>7.3925094688441328E-2</v>
      </c>
      <c r="BC297" s="297">
        <f>BC296/BA296-1</f>
        <v>3.6334730112852931E-2</v>
      </c>
      <c r="BD297" s="297">
        <f>BD296/BC296-1</f>
        <v>3.6344756994985739E-2</v>
      </c>
      <c r="BE297" s="305">
        <f>BE296/BB296-1</f>
        <v>7.3985164638893153E-2</v>
      </c>
    </row>
    <row r="298" spans="2:57" outlineLevel="1">
      <c r="B298" s="243" t="s">
        <v>2366</v>
      </c>
      <c r="C298" s="287"/>
      <c r="D298" s="255">
        <f>D296</f>
        <v>151621</v>
      </c>
      <c r="E298" s="255">
        <f>E296</f>
        <v>163543</v>
      </c>
      <c r="F298" s="256">
        <f>AVERAGE(D298:E298)</f>
        <v>157582</v>
      </c>
      <c r="G298" s="307">
        <f>(F294+G294-G331)/2</f>
        <v>174534</v>
      </c>
      <c r="H298" s="307">
        <f>(G294-G331+H294)/2</f>
        <v>182614</v>
      </c>
      <c r="I298" s="256">
        <f>AVERAGE(G298:H298)</f>
        <v>178574</v>
      </c>
      <c r="J298" s="359">
        <f t="shared" ref="J298:U298" si="283">J296</f>
        <v>173001</v>
      </c>
      <c r="K298" s="359">
        <f t="shared" si="283"/>
        <v>160974</v>
      </c>
      <c r="L298" s="360">
        <f t="shared" si="283"/>
        <v>167677</v>
      </c>
      <c r="M298" s="359">
        <f t="shared" si="283"/>
        <v>178738</v>
      </c>
      <c r="N298" s="359">
        <f t="shared" si="283"/>
        <v>181709</v>
      </c>
      <c r="O298" s="360">
        <f>O296</f>
        <v>179802</v>
      </c>
      <c r="P298" s="359">
        <f t="shared" si="283"/>
        <v>186849</v>
      </c>
      <c r="Q298" s="359">
        <f t="shared" si="283"/>
        <v>191252</v>
      </c>
      <c r="R298" s="359">
        <f t="shared" si="283"/>
        <v>188866</v>
      </c>
      <c r="S298" s="359">
        <f t="shared" si="283"/>
        <v>186266</v>
      </c>
      <c r="T298" s="359">
        <f t="shared" si="283"/>
        <v>200288</v>
      </c>
      <c r="U298" s="359">
        <f t="shared" si="283"/>
        <v>193277</v>
      </c>
      <c r="V298" s="255">
        <f>V296</f>
        <v>207437</v>
      </c>
      <c r="W298" s="255">
        <f>W296</f>
        <v>231138</v>
      </c>
      <c r="X298" s="256">
        <f>X296</f>
        <v>219296</v>
      </c>
      <c r="Y298" s="255">
        <f>Y296</f>
        <v>235678</v>
      </c>
      <c r="Z298" s="255">
        <f>Z296</f>
        <v>247645</v>
      </c>
      <c r="AA298" s="256">
        <f>AVERAGE(Y298:Z298)</f>
        <v>241661.5</v>
      </c>
      <c r="AB298" s="255">
        <f>AB296</f>
        <v>124659</v>
      </c>
      <c r="AC298" s="255">
        <f>AC296</f>
        <v>132991</v>
      </c>
      <c r="AD298" s="256">
        <f>AVERAGE(AB298:AC298)</f>
        <v>128825</v>
      </c>
      <c r="AE298" s="255">
        <f>AE296</f>
        <v>134352</v>
      </c>
      <c r="AF298" s="286">
        <f>AF296</f>
        <v>134292</v>
      </c>
      <c r="AG298" s="256">
        <f>AVERAGE(AE298:AF298)</f>
        <v>134322</v>
      </c>
      <c r="AH298" s="255">
        <f>AH296</f>
        <v>138146</v>
      </c>
      <c r="AI298" s="255">
        <f>AI296</f>
        <v>132200</v>
      </c>
      <c r="AJ298" s="256">
        <f>AVERAGE(AH298:AI298)</f>
        <v>135173</v>
      </c>
      <c r="AK298" s="255">
        <f>AK296</f>
        <v>138146</v>
      </c>
      <c r="AL298" s="255">
        <f>AL296</f>
        <v>144625</v>
      </c>
      <c r="AM298" s="256">
        <f>AVERAGE(AK298:AL298)</f>
        <v>141385.5</v>
      </c>
      <c r="AN298" s="255">
        <f>AN296</f>
        <v>144962</v>
      </c>
      <c r="AO298" s="255">
        <f>AO296</f>
        <v>149517.125</v>
      </c>
      <c r="AP298" s="256">
        <f>AVERAGE(AN298:AO298)</f>
        <v>147239.5625</v>
      </c>
      <c r="AQ298" s="255">
        <f>AQ296</f>
        <v>171679.03204999998</v>
      </c>
      <c r="AR298" s="255">
        <f>AR296</f>
        <v>177899.07801150001</v>
      </c>
      <c r="AS298" s="256">
        <f>AVERAGE(AQ298:AR298)</f>
        <v>174789.05503074999</v>
      </c>
      <c r="AT298" s="255">
        <f>AT296</f>
        <v>184347.77035184501</v>
      </c>
      <c r="AU298" s="255">
        <f>AU296</f>
        <v>191031.96846240034</v>
      </c>
      <c r="AV298" s="256">
        <f>AVERAGE(AT298:AU298)</f>
        <v>187689.86940712266</v>
      </c>
      <c r="AW298" s="255">
        <f>AW296</f>
        <v>197962.08757877239</v>
      </c>
      <c r="AX298" s="255">
        <f>AX296</f>
        <v>205145.50533113556</v>
      </c>
      <c r="AY298" s="256">
        <f>AVERAGE(AW298:AX298)</f>
        <v>201553.79645495396</v>
      </c>
      <c r="AZ298" s="255">
        <f>AZ296</f>
        <v>212593.46302544459</v>
      </c>
      <c r="BA298" s="255">
        <f>BA296</f>
        <v>220313.89685995795</v>
      </c>
      <c r="BB298" s="256">
        <f>AVERAGE(AZ298:BA298)</f>
        <v>216453.67994270127</v>
      </c>
      <c r="BC298" s="255">
        <f>BC296</f>
        <v>228318.94284247543</v>
      </c>
      <c r="BD298" s="255">
        <f>BD296</f>
        <v>236617.13933743723</v>
      </c>
      <c r="BE298" s="256">
        <f>AVERAGE(BC298:BD298)</f>
        <v>232468.04108995633</v>
      </c>
    </row>
    <row r="299" spans="2:57" outlineLevel="1">
      <c r="B299" s="246" t="s">
        <v>2331</v>
      </c>
      <c r="C299" s="287"/>
      <c r="E299" s="297">
        <f>E298/D298-1</f>
        <v>7.8630268894150479E-2</v>
      </c>
      <c r="F299" s="287"/>
      <c r="G299" s="297">
        <f>G298/E298-1</f>
        <v>6.7205566731685318E-2</v>
      </c>
      <c r="H299" s="297">
        <f>H298/G298-1</f>
        <v>4.6294704756666416E-2</v>
      </c>
      <c r="I299" s="305">
        <f>I298/F298-1</f>
        <v>0.13321318424693174</v>
      </c>
      <c r="J299" s="297">
        <f>J298/H298-1</f>
        <v>-5.2641089949291953E-2</v>
      </c>
      <c r="K299" s="297">
        <f>K298/J298-1</f>
        <v>-6.9519829365148222E-2</v>
      </c>
      <c r="L299" s="305">
        <f>L298/I298-1</f>
        <v>-6.1022321278573544E-2</v>
      </c>
      <c r="M299" s="297">
        <f>M298/K298-1</f>
        <v>0.11035322474436859</v>
      </c>
      <c r="N299" s="297">
        <f>N298/M298-1</f>
        <v>1.6622094909868101E-2</v>
      </c>
      <c r="O299" s="305">
        <f>O298/L298-1</f>
        <v>7.2311646797115881E-2</v>
      </c>
      <c r="P299" s="297">
        <f>P298/N298-1</f>
        <v>2.8286986335294362E-2</v>
      </c>
      <c r="Q299" s="297">
        <f>Q298/P298-1</f>
        <v>2.3564482550080479E-2</v>
      </c>
      <c r="R299" s="305">
        <f>R298/O298-1</f>
        <v>5.0411007663985874E-2</v>
      </c>
      <c r="S299" s="297">
        <f>S298/Q298-1</f>
        <v>-2.6070315604542649E-2</v>
      </c>
      <c r="T299" s="297">
        <f>T298/S298-1</f>
        <v>7.5279439081743282E-2</v>
      </c>
      <c r="U299" s="305">
        <f>U298/R298-1</f>
        <v>2.3355183039827088E-2</v>
      </c>
      <c r="V299" s="297">
        <f>V298/T298-1</f>
        <v>3.5693601214251469E-2</v>
      </c>
      <c r="W299" s="297">
        <f>W298/V298-1</f>
        <v>0.11425637663483368</v>
      </c>
      <c r="X299" s="305">
        <f>X298/U298-1</f>
        <v>0.1346202600412878</v>
      </c>
      <c r="Y299" s="297">
        <f>Y298/W298-1</f>
        <v>1.9641945504417224E-2</v>
      </c>
      <c r="Z299" s="297">
        <f>Z298/Y298-1</f>
        <v>5.0776907475453825E-2</v>
      </c>
      <c r="AA299" s="305">
        <f>AA298/X298-1</f>
        <v>0.10198772435429748</v>
      </c>
      <c r="AB299" s="297">
        <f>AB298/Z298-1</f>
        <v>-0.49662218094449717</v>
      </c>
      <c r="AC299" s="297">
        <f>AC298/AA298-1</f>
        <v>-0.44968064834489563</v>
      </c>
      <c r="AD299" s="305">
        <f>AD298/AA298-1</f>
        <v>-0.46691963759225197</v>
      </c>
      <c r="AE299" s="297">
        <f>AE298/AC298-1</f>
        <v>1.0233775217871832E-2</v>
      </c>
      <c r="AF299" s="619">
        <f>AF298/AE298-1</f>
        <v>-4.4658806716679766E-4</v>
      </c>
      <c r="AG299" s="305">
        <f>AG298/AD298-1</f>
        <v>4.2670289151950369E-2</v>
      </c>
      <c r="AH299" s="297">
        <f>AH298/AF298-1</f>
        <v>2.8698656658624477E-2</v>
      </c>
      <c r="AI299" s="297">
        <f>AI298/AH298-1</f>
        <v>-4.3041419947012605E-2</v>
      </c>
      <c r="AJ299" s="305">
        <f>AJ298/AG298-1</f>
        <v>6.3355221036018872E-3</v>
      </c>
      <c r="AK299" s="297">
        <f>AK298/AI298-1</f>
        <v>4.497730711043868E-2</v>
      </c>
      <c r="AL299" s="297">
        <f>AL298/AK298-1</f>
        <v>4.6899656884745067E-2</v>
      </c>
      <c r="AM299" s="305">
        <f>AM298/AJ298-1</f>
        <v>4.5959622113883603E-2</v>
      </c>
      <c r="AN299" s="297">
        <f>AN298/AL298-1</f>
        <v>2.3301642178046311E-3</v>
      </c>
      <c r="AO299" s="297">
        <f>AO298/AN298-1</f>
        <v>3.1422890136725501E-2</v>
      </c>
      <c r="AP299" s="305">
        <f>AP298/AM298-1</f>
        <v>4.1404970806765862E-2</v>
      </c>
      <c r="AQ299" s="297">
        <f>AQ298/AO298-1</f>
        <v>0.14822320219172203</v>
      </c>
      <c r="AR299" s="297">
        <f>AR298/AQ298-1</f>
        <v>3.6230667701391051E-2</v>
      </c>
      <c r="AS299" s="305">
        <f>AS298/AP298-1</f>
        <v>0.18710659053167178</v>
      </c>
      <c r="AT299" s="297">
        <f>AT298/AR298-1</f>
        <v>3.6249161111043815E-2</v>
      </c>
      <c r="AU299" s="297">
        <f>AU298/AT298-1</f>
        <v>3.6258632788440659E-2</v>
      </c>
      <c r="AV299" s="305">
        <f>AV298/AS298-1</f>
        <v>7.3807907332087197E-2</v>
      </c>
      <c r="AW299" s="297">
        <f>AW298/AU298-1</f>
        <v>3.6277274281116378E-2</v>
      </c>
      <c r="AX299" s="297">
        <f>AX298/AW298-1</f>
        <v>3.628683572810254E-2</v>
      </c>
      <c r="AY299" s="305">
        <f>AY298/AV298-1</f>
        <v>7.386614467592123E-2</v>
      </c>
      <c r="AZ299" s="297">
        <f>AZ298/AX298-1</f>
        <v>3.6305731789185058E-2</v>
      </c>
      <c r="BA299" s="297">
        <f>BA298/AZ298-1</f>
        <v>3.6315480846131676E-2</v>
      </c>
      <c r="BB299" s="305">
        <f>BB298/AY298-1</f>
        <v>7.3925094688441328E-2</v>
      </c>
      <c r="BC299" s="297">
        <f>BC298/BA298-1</f>
        <v>3.6334730112852931E-2</v>
      </c>
      <c r="BD299" s="297">
        <f>BD298/BC298-1</f>
        <v>3.6344756994985739E-2</v>
      </c>
      <c r="BE299" s="305">
        <f>BE298/BB298-1</f>
        <v>7.3985164638893153E-2</v>
      </c>
    </row>
    <row r="300" spans="2:57" outlineLevel="1">
      <c r="C300" s="287"/>
      <c r="F300" s="287"/>
      <c r="I300" s="287"/>
      <c r="L300" s="287"/>
      <c r="O300" s="287"/>
      <c r="R300" s="287"/>
      <c r="U300" s="287"/>
      <c r="X300" s="287"/>
      <c r="AA300" s="287"/>
      <c r="AB300" s="535">
        <f>AB298/AA298-1</f>
        <v>-0.48415862683960831</v>
      </c>
      <c r="AC300" s="535">
        <f>AC298/AB298-1</f>
        <v>6.6838334977819436E-2</v>
      </c>
      <c r="AD300" s="287"/>
      <c r="AF300" s="613"/>
      <c r="AG300" s="252">
        <f>AG294-AG289</f>
        <v>123529</v>
      </c>
      <c r="AJ300" s="287"/>
      <c r="AM300" s="287"/>
      <c r="AP300" s="287"/>
      <c r="AS300" s="287"/>
      <c r="AV300" s="287"/>
      <c r="AY300" s="287"/>
      <c r="BB300" s="287"/>
      <c r="BE300" s="287"/>
    </row>
    <row r="301" spans="2:57" hidden="1" outlineLevel="2">
      <c r="B301" s="243" t="s">
        <v>2367</v>
      </c>
      <c r="C301" s="287"/>
      <c r="F301" s="287"/>
      <c r="I301" s="287"/>
      <c r="L301" s="287"/>
      <c r="O301" s="287"/>
      <c r="R301" s="287"/>
      <c r="U301" s="287"/>
      <c r="X301" s="287"/>
      <c r="AA301" s="287"/>
      <c r="AD301" s="287"/>
      <c r="AF301" s="613"/>
      <c r="AG301" s="287"/>
      <c r="AJ301" s="287"/>
      <c r="AM301" s="287"/>
      <c r="AP301" s="287"/>
      <c r="AS301" s="287"/>
      <c r="AV301" s="287"/>
      <c r="AY301" s="287"/>
      <c r="BB301" s="287"/>
      <c r="BE301" s="287"/>
    </row>
    <row r="302" spans="2:57" hidden="1" outlineLevel="2">
      <c r="B302" s="246" t="s">
        <v>2359</v>
      </c>
      <c r="C302" s="287"/>
      <c r="F302" s="287"/>
      <c r="I302" s="287"/>
      <c r="L302" s="287"/>
      <c r="O302" s="287"/>
      <c r="R302" s="287"/>
      <c r="U302" s="287"/>
      <c r="X302" s="287"/>
      <c r="AA302" s="287"/>
      <c r="AD302" s="252" t="str">
        <f>AD284</f>
        <v>FirstChoice</v>
      </c>
      <c r="AF302" s="613"/>
      <c r="AG302" s="252"/>
      <c r="AH302" s="251">
        <v>6936</v>
      </c>
      <c r="AI302" s="251">
        <f>AJ302-AH302</f>
        <v>9298</v>
      </c>
      <c r="AJ302" s="252">
        <v>16234</v>
      </c>
      <c r="AK302" s="251">
        <v>7761</v>
      </c>
      <c r="AL302" s="246">
        <f>AM302-AK302</f>
        <v>8473</v>
      </c>
      <c r="AM302" s="287">
        <v>16234</v>
      </c>
      <c r="AP302" s="287"/>
      <c r="AS302" s="287"/>
      <c r="AV302" s="287"/>
      <c r="AY302" s="287"/>
      <c r="BB302" s="287"/>
      <c r="BE302" s="287"/>
    </row>
    <row r="303" spans="2:57" hidden="1" outlineLevel="2">
      <c r="B303" s="246" t="s">
        <v>2360</v>
      </c>
      <c r="C303" s="287"/>
      <c r="F303" s="287"/>
      <c r="I303" s="287"/>
      <c r="L303" s="287"/>
      <c r="O303" s="287"/>
      <c r="R303" s="287"/>
      <c r="U303" s="287"/>
      <c r="X303" s="287"/>
      <c r="AA303" s="287"/>
      <c r="AD303" s="287"/>
      <c r="AF303" s="613"/>
      <c r="AG303" s="252"/>
      <c r="AH303" s="251"/>
      <c r="AI303" s="251"/>
      <c r="AJ303" s="252"/>
      <c r="AK303" s="251"/>
      <c r="AM303" s="287"/>
      <c r="AP303" s="287"/>
      <c r="AS303" s="287"/>
      <c r="AV303" s="287"/>
      <c r="AY303" s="287"/>
      <c r="BB303" s="287"/>
      <c r="BE303" s="287"/>
    </row>
    <row r="304" spans="2:57" hidden="1" outlineLevel="2">
      <c r="B304" s="246" t="s">
        <v>2361</v>
      </c>
      <c r="C304" s="287"/>
      <c r="F304" s="287"/>
      <c r="I304" s="287"/>
      <c r="L304" s="287"/>
      <c r="O304" s="287"/>
      <c r="R304" s="287"/>
      <c r="U304" s="287"/>
      <c r="X304" s="287"/>
      <c r="AA304" s="287"/>
      <c r="AD304" s="287"/>
      <c r="AF304" s="613"/>
      <c r="AG304" s="252"/>
      <c r="AH304" s="251"/>
      <c r="AI304" s="251"/>
      <c r="AJ304" s="252"/>
      <c r="AK304" s="251"/>
      <c r="AM304" s="287"/>
      <c r="AP304" s="287"/>
      <c r="AS304" s="287"/>
      <c r="AV304" s="287"/>
      <c r="AY304" s="287"/>
      <c r="BB304" s="287"/>
      <c r="BE304" s="287"/>
    </row>
    <row r="305" spans="2:57" hidden="1" outlineLevel="2">
      <c r="B305" s="246" t="s">
        <v>2363</v>
      </c>
      <c r="C305" s="287"/>
      <c r="F305" s="287"/>
      <c r="I305" s="287"/>
      <c r="L305" s="287"/>
      <c r="O305" s="287"/>
      <c r="R305" s="287"/>
      <c r="U305" s="287"/>
      <c r="X305" s="287"/>
      <c r="AA305" s="287"/>
      <c r="AD305" s="287"/>
      <c r="AF305" s="613"/>
      <c r="AG305" s="252"/>
      <c r="AH305" s="251"/>
      <c r="AI305" s="251"/>
      <c r="AJ305" s="252"/>
      <c r="AK305" s="251"/>
      <c r="AM305" s="287"/>
      <c r="AP305" s="287"/>
      <c r="AS305" s="287"/>
      <c r="AV305" s="287"/>
      <c r="AY305" s="287"/>
      <c r="BB305" s="287"/>
      <c r="BE305" s="287"/>
    </row>
    <row r="306" spans="2:57" hidden="1" outlineLevel="2">
      <c r="B306" s="246" t="s">
        <v>2364</v>
      </c>
      <c r="C306" s="287"/>
      <c r="F306" s="287"/>
      <c r="I306" s="287"/>
      <c r="L306" s="287"/>
      <c r="O306" s="287"/>
      <c r="R306" s="287"/>
      <c r="U306" s="287"/>
      <c r="X306" s="287"/>
      <c r="AA306" s="287"/>
      <c r="AD306" s="732" t="str">
        <f>AD289</f>
        <v>CommInsure Investments</v>
      </c>
      <c r="AE306" s="733"/>
      <c r="AF306" s="734"/>
      <c r="AG306" s="732"/>
      <c r="AH306" s="730">
        <v>224</v>
      </c>
      <c r="AI306" s="730">
        <f t="shared" ref="AI306:AI311" si="284">AJ306-AH306</f>
        <v>309</v>
      </c>
      <c r="AJ306" s="732">
        <v>533</v>
      </c>
      <c r="AK306" s="251"/>
      <c r="AL306" s="246">
        <f>AM306-AK306</f>
        <v>533</v>
      </c>
      <c r="AM306" s="287">
        <v>533</v>
      </c>
      <c r="AP306" s="287"/>
      <c r="AS306" s="287"/>
      <c r="AV306" s="287"/>
      <c r="AY306" s="287"/>
      <c r="BB306" s="287"/>
      <c r="BE306" s="287"/>
    </row>
    <row r="307" spans="2:57" hidden="1" outlineLevel="2">
      <c r="B307" s="251" t="s">
        <v>2600</v>
      </c>
      <c r="C307" s="287"/>
      <c r="F307" s="287"/>
      <c r="I307" s="287"/>
      <c r="L307" s="287"/>
      <c r="O307" s="287"/>
      <c r="R307" s="287"/>
      <c r="U307" s="287"/>
      <c r="X307" s="287"/>
      <c r="AA307" s="287"/>
      <c r="AD307" s="252" t="str">
        <f>AD290</f>
        <v>CFS Non-Platform</v>
      </c>
      <c r="AF307" s="613"/>
      <c r="AG307" s="252"/>
      <c r="AH307" s="251">
        <v>4196</v>
      </c>
      <c r="AI307" s="251">
        <f t="shared" si="284"/>
        <v>4556</v>
      </c>
      <c r="AJ307" s="252">
        <v>8752</v>
      </c>
      <c r="AK307" s="251">
        <v>3793</v>
      </c>
      <c r="AL307" s="246">
        <f>AM307-AK307</f>
        <v>4959</v>
      </c>
      <c r="AM307" s="287">
        <v>8752</v>
      </c>
      <c r="AP307" s="287"/>
      <c r="AS307" s="287"/>
      <c r="AV307" s="287"/>
      <c r="AY307" s="287"/>
      <c r="BB307" s="287"/>
      <c r="BE307" s="287"/>
    </row>
    <row r="308" spans="2:57" hidden="1" outlineLevel="2">
      <c r="B308" s="251" t="s">
        <v>2599</v>
      </c>
      <c r="C308" s="287"/>
      <c r="F308" s="287"/>
      <c r="I308" s="287"/>
      <c r="L308" s="287"/>
      <c r="O308" s="287"/>
      <c r="R308" s="287"/>
      <c r="U308" s="287"/>
      <c r="X308" s="287"/>
      <c r="AA308" s="287"/>
      <c r="AD308" s="252" t="str">
        <f>AD291</f>
        <v>Custom Solutions/FirstWrap</v>
      </c>
      <c r="AF308" s="613"/>
      <c r="AG308" s="252"/>
      <c r="AH308" s="251">
        <v>3206</v>
      </c>
      <c r="AI308" s="251">
        <f t="shared" si="284"/>
        <v>5127</v>
      </c>
      <c r="AJ308" s="252">
        <v>8333</v>
      </c>
      <c r="AK308" s="251">
        <v>3736</v>
      </c>
      <c r="AL308" s="246">
        <f>AM308-AK308</f>
        <v>4597</v>
      </c>
      <c r="AM308" s="287">
        <v>8333</v>
      </c>
      <c r="AP308" s="287"/>
      <c r="AS308" s="287"/>
      <c r="AV308" s="287"/>
      <c r="AY308" s="287"/>
      <c r="BB308" s="287"/>
      <c r="BE308" s="287"/>
    </row>
    <row r="309" spans="2:57" hidden="1" outlineLevel="2">
      <c r="B309" s="246" t="s">
        <v>271</v>
      </c>
      <c r="C309" s="287"/>
      <c r="F309" s="287"/>
      <c r="I309" s="287"/>
      <c r="L309" s="287"/>
      <c r="O309" s="287"/>
      <c r="R309" s="287"/>
      <c r="U309" s="287"/>
      <c r="X309" s="287"/>
      <c r="AA309" s="287"/>
      <c r="AD309" s="252" t="str">
        <f>AD292</f>
        <v>Other</v>
      </c>
      <c r="AF309" s="613"/>
      <c r="AG309" s="252"/>
      <c r="AH309" s="251">
        <v>559</v>
      </c>
      <c r="AI309" s="251">
        <f t="shared" si="284"/>
        <v>858</v>
      </c>
      <c r="AJ309" s="252">
        <v>1417</v>
      </c>
      <c r="AK309" s="251">
        <v>590</v>
      </c>
      <c r="AL309" s="246">
        <f>AM309-AK309</f>
        <v>827</v>
      </c>
      <c r="AM309" s="287">
        <v>1417</v>
      </c>
      <c r="AP309" s="287"/>
      <c r="AS309" s="287"/>
      <c r="AV309" s="287"/>
      <c r="AY309" s="287"/>
      <c r="BB309" s="287"/>
      <c r="BE309" s="287"/>
    </row>
    <row r="310" spans="2:57" hidden="1" outlineLevel="2">
      <c r="B310" s="246" t="s">
        <v>2365</v>
      </c>
      <c r="C310" s="287"/>
      <c r="F310" s="287"/>
      <c r="I310" s="287"/>
      <c r="L310" s="287"/>
      <c r="O310" s="287"/>
      <c r="R310" s="287"/>
      <c r="U310" s="287"/>
      <c r="X310" s="287"/>
      <c r="AA310" s="287"/>
      <c r="AD310" s="287"/>
      <c r="AF310" s="613"/>
      <c r="AG310" s="252"/>
      <c r="AH310" s="251"/>
      <c r="AI310" s="251"/>
      <c r="AJ310" s="252"/>
      <c r="AK310" s="251"/>
      <c r="AM310" s="287"/>
      <c r="AP310" s="287"/>
      <c r="AS310" s="287"/>
      <c r="AV310" s="287"/>
      <c r="AY310" s="287"/>
      <c r="BB310" s="287"/>
      <c r="BE310" s="287"/>
    </row>
    <row r="311" spans="2:57" hidden="1" outlineLevel="2">
      <c r="B311" s="243" t="s">
        <v>168</v>
      </c>
      <c r="C311" s="287"/>
      <c r="F311" s="287"/>
      <c r="I311" s="287"/>
      <c r="L311" s="287"/>
      <c r="O311" s="287"/>
      <c r="R311" s="287"/>
      <c r="U311" s="287"/>
      <c r="X311" s="287"/>
      <c r="AA311" s="287"/>
      <c r="AD311" s="299" t="s">
        <v>168</v>
      </c>
      <c r="AF311" s="613"/>
      <c r="AG311" s="252"/>
      <c r="AH311" s="255">
        <f>SUM(AH302:AH310)</f>
        <v>15121</v>
      </c>
      <c r="AI311" s="255">
        <f t="shared" si="284"/>
        <v>20148</v>
      </c>
      <c r="AJ311" s="256">
        <f>SUM(AJ302:AJ310)</f>
        <v>35269</v>
      </c>
      <c r="AK311" s="255">
        <f>SUM(AK302:AK310)</f>
        <v>15880</v>
      </c>
      <c r="AL311" s="246">
        <f>AM311-AK311</f>
        <v>19389</v>
      </c>
      <c r="AM311" s="287">
        <f>SUM(AM302:AM310)</f>
        <v>35269</v>
      </c>
      <c r="AP311" s="287"/>
      <c r="AS311" s="287"/>
      <c r="AV311" s="287"/>
      <c r="AY311" s="287"/>
      <c r="BB311" s="287"/>
      <c r="BE311" s="287"/>
    </row>
    <row r="312" spans="2:57" hidden="1" outlineLevel="2">
      <c r="C312" s="287"/>
      <c r="F312" s="287"/>
      <c r="I312" s="287"/>
      <c r="L312" s="287"/>
      <c r="O312" s="287"/>
      <c r="R312" s="287"/>
      <c r="U312" s="287"/>
      <c r="X312" s="287"/>
      <c r="AA312" s="287"/>
      <c r="AD312" s="728" t="s">
        <v>2581</v>
      </c>
      <c r="AE312" s="726"/>
      <c r="AF312" s="727"/>
      <c r="AG312" s="729"/>
      <c r="AH312" s="724">
        <f>AH311-AH306</f>
        <v>14897</v>
      </c>
      <c r="AI312" s="724">
        <f>AJ312-AH312</f>
        <v>19839</v>
      </c>
      <c r="AJ312" s="725">
        <f>AJ311-AJ306</f>
        <v>34736</v>
      </c>
      <c r="AK312" s="724">
        <f>AK311-AK306</f>
        <v>15880</v>
      </c>
      <c r="AL312" s="246">
        <f>AM312-AK312</f>
        <v>18856</v>
      </c>
      <c r="AM312" s="287">
        <f>AM311-AM306</f>
        <v>34736</v>
      </c>
      <c r="AP312" s="287"/>
      <c r="AS312" s="287"/>
      <c r="AV312" s="287"/>
      <c r="AY312" s="287"/>
      <c r="BB312" s="287"/>
      <c r="BE312" s="287"/>
    </row>
    <row r="313" spans="2:57" hidden="1" outlineLevel="2">
      <c r="B313" s="243" t="s">
        <v>2368</v>
      </c>
      <c r="C313" s="287"/>
      <c r="F313" s="287"/>
      <c r="I313" s="287"/>
      <c r="L313" s="287"/>
      <c r="O313" s="287"/>
      <c r="R313" s="287"/>
      <c r="U313" s="287"/>
      <c r="X313" s="287"/>
      <c r="AA313" s="287"/>
      <c r="AD313" s="287"/>
      <c r="AF313" s="613"/>
      <c r="AG313" s="252"/>
      <c r="AH313" s="251"/>
      <c r="AI313" s="251"/>
      <c r="AJ313" s="252"/>
      <c r="AK313" s="251"/>
      <c r="AM313" s="287"/>
      <c r="AP313" s="287"/>
      <c r="AS313" s="287"/>
      <c r="AV313" s="287"/>
      <c r="AY313" s="287"/>
      <c r="BB313" s="287"/>
      <c r="BE313" s="287"/>
    </row>
    <row r="314" spans="2:57" hidden="1" outlineLevel="2">
      <c r="B314" s="246" t="s">
        <v>2359</v>
      </c>
      <c r="C314" s="287"/>
      <c r="F314" s="287"/>
      <c r="I314" s="287"/>
      <c r="L314" s="287"/>
      <c r="O314" s="287"/>
      <c r="R314" s="287"/>
      <c r="U314" s="287"/>
      <c r="X314" s="287"/>
      <c r="AA314" s="287"/>
      <c r="AD314" s="252" t="str">
        <f>AD302</f>
        <v>FirstChoice</v>
      </c>
      <c r="AF314" s="613"/>
      <c r="AG314" s="252"/>
      <c r="AH314" s="251">
        <f>AH326-AH302</f>
        <v>-7108</v>
      </c>
      <c r="AI314" s="251">
        <f>AJ314-AH314</f>
        <v>-8301</v>
      </c>
      <c r="AJ314" s="252">
        <f>AJ326-AJ302</f>
        <v>-15409</v>
      </c>
      <c r="AK314" s="251">
        <f>AK326-AK302</f>
        <v>-7005</v>
      </c>
      <c r="AL314" s="246">
        <f>AM314-AK314</f>
        <v>-8404</v>
      </c>
      <c r="AM314" s="287">
        <f>AM326-AM302</f>
        <v>-15409</v>
      </c>
      <c r="AP314" s="287"/>
      <c r="AS314" s="287"/>
      <c r="AV314" s="287"/>
      <c r="AY314" s="287"/>
      <c r="BB314" s="287"/>
      <c r="BE314" s="287"/>
    </row>
    <row r="315" spans="2:57" hidden="1" outlineLevel="2">
      <c r="B315" s="246" t="s">
        <v>2360</v>
      </c>
      <c r="C315" s="287"/>
      <c r="F315" s="287"/>
      <c r="I315" s="287"/>
      <c r="L315" s="287"/>
      <c r="O315" s="287"/>
      <c r="R315" s="287"/>
      <c r="U315" s="287"/>
      <c r="X315" s="287"/>
      <c r="AA315" s="287"/>
      <c r="AD315" s="287"/>
      <c r="AF315" s="613"/>
      <c r="AG315" s="252"/>
      <c r="AH315" s="251"/>
      <c r="AI315" s="251"/>
      <c r="AJ315" s="252"/>
      <c r="AK315" s="251"/>
      <c r="AM315" s="287"/>
      <c r="AP315" s="287"/>
      <c r="AS315" s="287"/>
      <c r="AV315" s="287"/>
      <c r="AY315" s="287"/>
      <c r="BB315" s="287"/>
      <c r="BE315" s="287"/>
    </row>
    <row r="316" spans="2:57" hidden="1" outlineLevel="2">
      <c r="B316" s="246" t="s">
        <v>2361</v>
      </c>
      <c r="C316" s="287"/>
      <c r="F316" s="287"/>
      <c r="I316" s="287"/>
      <c r="L316" s="287"/>
      <c r="O316" s="287"/>
      <c r="R316" s="287"/>
      <c r="U316" s="287"/>
      <c r="X316" s="287"/>
      <c r="AA316" s="287"/>
      <c r="AD316" s="287"/>
      <c r="AF316" s="613"/>
      <c r="AG316" s="252"/>
      <c r="AH316" s="251"/>
      <c r="AI316" s="251"/>
      <c r="AJ316" s="252"/>
      <c r="AK316" s="251"/>
      <c r="AM316" s="287"/>
      <c r="AP316" s="287"/>
      <c r="AS316" s="287"/>
      <c r="AV316" s="287"/>
      <c r="AY316" s="287"/>
      <c r="BB316" s="287"/>
      <c r="BE316" s="287"/>
    </row>
    <row r="317" spans="2:57" hidden="1" outlineLevel="2">
      <c r="B317" s="246" t="s">
        <v>2363</v>
      </c>
      <c r="C317" s="287"/>
      <c r="F317" s="287"/>
      <c r="I317" s="287"/>
      <c r="L317" s="287"/>
      <c r="O317" s="287"/>
      <c r="R317" s="287"/>
      <c r="U317" s="287"/>
      <c r="X317" s="287"/>
      <c r="AA317" s="287"/>
      <c r="AD317" s="287"/>
      <c r="AF317" s="613"/>
      <c r="AG317" s="252"/>
      <c r="AH317" s="251"/>
      <c r="AI317" s="251"/>
      <c r="AJ317" s="252"/>
      <c r="AK317" s="251"/>
      <c r="AM317" s="287"/>
      <c r="AP317" s="287"/>
      <c r="AS317" s="287"/>
      <c r="AV317" s="287"/>
      <c r="AY317" s="287"/>
      <c r="BB317" s="287"/>
      <c r="BE317" s="287"/>
    </row>
    <row r="318" spans="2:57" hidden="1" outlineLevel="2">
      <c r="B318" s="246" t="s">
        <v>2364</v>
      </c>
      <c r="C318" s="287"/>
      <c r="F318" s="287"/>
      <c r="I318" s="287"/>
      <c r="L318" s="287"/>
      <c r="O318" s="287"/>
      <c r="R318" s="287"/>
      <c r="U318" s="287"/>
      <c r="X318" s="287"/>
      <c r="AA318" s="287"/>
      <c r="AD318" s="732" t="str">
        <f>AD306</f>
        <v>CommInsure Investments</v>
      </c>
      <c r="AE318" s="733"/>
      <c r="AF318" s="734"/>
      <c r="AG318" s="732"/>
      <c r="AH318" s="730">
        <f>AH331-AH306</f>
        <v>-835</v>
      </c>
      <c r="AI318" s="730">
        <f>AJ318-AH318</f>
        <v>-1109</v>
      </c>
      <c r="AJ318" s="732">
        <f>AJ331-AJ306</f>
        <v>-1944</v>
      </c>
      <c r="AK318" s="251"/>
      <c r="AL318" s="246">
        <f>AM318-AK318</f>
        <v>-533</v>
      </c>
      <c r="AM318" s="287">
        <f>AM331-AM306</f>
        <v>-533</v>
      </c>
      <c r="AP318" s="287"/>
      <c r="AS318" s="287"/>
      <c r="AV318" s="287"/>
      <c r="AY318" s="287"/>
      <c r="BB318" s="287"/>
      <c r="BE318" s="287"/>
    </row>
    <row r="319" spans="2:57" hidden="1" outlineLevel="2">
      <c r="B319" s="251" t="s">
        <v>2600</v>
      </c>
      <c r="C319" s="287"/>
      <c r="F319" s="287"/>
      <c r="I319" s="287"/>
      <c r="L319" s="287"/>
      <c r="O319" s="287"/>
      <c r="R319" s="287"/>
      <c r="U319" s="287"/>
      <c r="X319" s="287"/>
      <c r="AA319" s="287"/>
      <c r="AD319" s="252" t="str">
        <f>AD307</f>
        <v>CFS Non-Platform</v>
      </c>
      <c r="AF319" s="613"/>
      <c r="AG319" s="252"/>
      <c r="AH319" s="251">
        <f>AH332-AH307</f>
        <v>-4134</v>
      </c>
      <c r="AI319" s="251">
        <f>AJ319-AH319</f>
        <v>-4093</v>
      </c>
      <c r="AJ319" s="252">
        <f>AJ332-AJ307</f>
        <v>-8227</v>
      </c>
      <c r="AK319" s="251">
        <f>AK332-AK307</f>
        <v>-3945</v>
      </c>
      <c r="AL319" s="246">
        <f>AM319-AK319</f>
        <v>-5111</v>
      </c>
      <c r="AM319" s="287">
        <f>AM332-AM307</f>
        <v>-9056</v>
      </c>
      <c r="AP319" s="287"/>
      <c r="AS319" s="287"/>
      <c r="AV319" s="287"/>
      <c r="AY319" s="287"/>
      <c r="BB319" s="287"/>
      <c r="BE319" s="287"/>
    </row>
    <row r="320" spans="2:57" hidden="1" outlineLevel="2">
      <c r="B320" s="251" t="s">
        <v>2599</v>
      </c>
      <c r="C320" s="287"/>
      <c r="F320" s="287"/>
      <c r="I320" s="287"/>
      <c r="L320" s="287"/>
      <c r="O320" s="287"/>
      <c r="R320" s="287"/>
      <c r="U320" s="287"/>
      <c r="X320" s="287"/>
      <c r="AA320" s="287"/>
      <c r="AD320" s="252" t="str">
        <f>AD308</f>
        <v>Custom Solutions/FirstWrap</v>
      </c>
      <c r="AF320" s="613"/>
      <c r="AG320" s="252"/>
      <c r="AH320" s="251">
        <f>AH333-AH308</f>
        <v>-2193</v>
      </c>
      <c r="AI320" s="251">
        <f>AJ320-AH320</f>
        <v>-3491</v>
      </c>
      <c r="AJ320" s="252">
        <f>AJ333-AJ308</f>
        <v>-5684</v>
      </c>
      <c r="AK320" s="251">
        <f>AK333-AK308</f>
        <v>-3116</v>
      </c>
      <c r="AL320" s="246">
        <f>AM320-AK320</f>
        <v>-3977</v>
      </c>
      <c r="AM320" s="287">
        <f>AM333-AM308</f>
        <v>-7093</v>
      </c>
      <c r="AP320" s="287"/>
      <c r="AS320" s="287"/>
      <c r="AV320" s="287"/>
      <c r="AY320" s="287"/>
      <c r="BB320" s="287"/>
      <c r="BE320" s="287"/>
    </row>
    <row r="321" spans="2:57" hidden="1" outlineLevel="2">
      <c r="B321" s="246" t="s">
        <v>271</v>
      </c>
      <c r="C321" s="287"/>
      <c r="F321" s="287"/>
      <c r="I321" s="287"/>
      <c r="L321" s="287"/>
      <c r="O321" s="287"/>
      <c r="R321" s="287"/>
      <c r="U321" s="287"/>
      <c r="X321" s="287"/>
      <c r="AA321" s="287"/>
      <c r="AD321" s="252" t="str">
        <f>AD309</f>
        <v>Other</v>
      </c>
      <c r="AF321" s="613"/>
      <c r="AG321" s="252"/>
      <c r="AH321" s="251">
        <f>AH334-AH309</f>
        <v>-518</v>
      </c>
      <c r="AI321" s="251">
        <f>AJ321-AH321</f>
        <v>-772</v>
      </c>
      <c r="AJ321" s="252">
        <f>AJ334-AJ309</f>
        <v>-1290</v>
      </c>
      <c r="AK321" s="251">
        <f>AK334-AK309</f>
        <v>-551</v>
      </c>
      <c r="AL321" s="246">
        <f>AM321-AK321</f>
        <v>-788</v>
      </c>
      <c r="AM321" s="287">
        <f>AM334-AM309</f>
        <v>-1339</v>
      </c>
      <c r="AP321" s="287"/>
      <c r="AS321" s="287"/>
      <c r="AV321" s="287"/>
      <c r="AY321" s="287"/>
      <c r="BB321" s="287"/>
      <c r="BE321" s="287"/>
    </row>
    <row r="322" spans="2:57" hidden="1" outlineLevel="2">
      <c r="B322" s="246" t="s">
        <v>2365</v>
      </c>
      <c r="C322" s="287"/>
      <c r="F322" s="287"/>
      <c r="I322" s="287"/>
      <c r="L322" s="287"/>
      <c r="O322" s="287"/>
      <c r="R322" s="287"/>
      <c r="U322" s="287"/>
      <c r="X322" s="287"/>
      <c r="AA322" s="287"/>
      <c r="AD322" s="287"/>
      <c r="AF322" s="613"/>
      <c r="AG322" s="252"/>
      <c r="AH322" s="251"/>
      <c r="AI322" s="251"/>
      <c r="AJ322" s="252"/>
      <c r="AK322" s="251"/>
      <c r="AM322" s="287"/>
      <c r="AP322" s="287"/>
      <c r="AS322" s="287"/>
      <c r="AV322" s="287"/>
      <c r="AY322" s="287"/>
      <c r="BB322" s="287"/>
      <c r="BE322" s="287"/>
    </row>
    <row r="323" spans="2:57" hidden="1" outlineLevel="2">
      <c r="B323" s="243" t="s">
        <v>168</v>
      </c>
      <c r="C323" s="287"/>
      <c r="F323" s="287"/>
      <c r="I323" s="287"/>
      <c r="L323" s="287"/>
      <c r="O323" s="287"/>
      <c r="R323" s="287"/>
      <c r="U323" s="287"/>
      <c r="X323" s="287"/>
      <c r="AA323" s="287"/>
      <c r="AD323" s="299" t="str">
        <f>AD311</f>
        <v>Total</v>
      </c>
      <c r="AF323" s="613"/>
      <c r="AG323" s="287"/>
      <c r="AH323" s="255">
        <f>SUM(AH314:AH322)</f>
        <v>-14788</v>
      </c>
      <c r="AI323" s="255">
        <f>AJ323-AH323</f>
        <v>-17766</v>
      </c>
      <c r="AJ323" s="256">
        <f>SUM(AJ314:AJ322)</f>
        <v>-32554</v>
      </c>
      <c r="AK323" s="255">
        <f>SUM(AK314:AK322)</f>
        <v>-14617</v>
      </c>
      <c r="AL323" s="246">
        <f>AM323-AK323</f>
        <v>-18813</v>
      </c>
      <c r="AM323" s="287">
        <f>SUM(AM314:AM322)</f>
        <v>-33430</v>
      </c>
      <c r="AP323" s="287"/>
      <c r="AS323" s="287"/>
      <c r="AV323" s="287"/>
      <c r="AY323" s="287"/>
      <c r="BB323" s="287"/>
      <c r="BE323" s="287"/>
    </row>
    <row r="324" spans="2:57" hidden="1" outlineLevel="2">
      <c r="C324" s="287"/>
      <c r="F324" s="287"/>
      <c r="I324" s="287"/>
      <c r="L324" s="287"/>
      <c r="O324" s="287"/>
      <c r="R324" s="287"/>
      <c r="U324" s="287"/>
      <c r="X324" s="287"/>
      <c r="AA324" s="287"/>
      <c r="AD324" s="728" t="str">
        <f>AD312</f>
        <v>Total ex CommInsure Invt</v>
      </c>
      <c r="AE324" s="726"/>
      <c r="AF324" s="727"/>
      <c r="AG324" s="303"/>
      <c r="AH324" s="724">
        <f>AH323-AH318</f>
        <v>-13953</v>
      </c>
      <c r="AI324" s="724">
        <f>AJ324-AH324</f>
        <v>-16657</v>
      </c>
      <c r="AJ324" s="725">
        <f>AJ323-AJ318</f>
        <v>-30610</v>
      </c>
      <c r="AK324" s="724">
        <f>AK323-AK318</f>
        <v>-14617</v>
      </c>
      <c r="AL324" s="246">
        <f>AM324-AK324</f>
        <v>-18280</v>
      </c>
      <c r="AM324" s="287">
        <f>AM323-AM318</f>
        <v>-32897</v>
      </c>
      <c r="AP324" s="287"/>
      <c r="AS324" s="287"/>
      <c r="AV324" s="287"/>
      <c r="AY324" s="287"/>
      <c r="BB324" s="287"/>
      <c r="BE324" s="287"/>
    </row>
    <row r="325" spans="2:57" outlineLevel="1" collapsed="1">
      <c r="B325" s="243" t="s">
        <v>2369</v>
      </c>
      <c r="C325" s="287"/>
      <c r="F325" s="287"/>
      <c r="I325" s="287"/>
      <c r="L325" s="287"/>
      <c r="O325" s="287"/>
      <c r="R325" s="287"/>
      <c r="U325" s="287"/>
      <c r="X325" s="287"/>
      <c r="AA325" s="287"/>
      <c r="AD325" s="287"/>
      <c r="AF325" s="613"/>
      <c r="AG325" s="287"/>
      <c r="AJ325" s="287"/>
      <c r="AM325" s="287"/>
      <c r="AP325" s="287"/>
      <c r="AS325" s="287"/>
      <c r="AV325" s="287"/>
      <c r="AY325" s="287"/>
      <c r="BB325" s="287"/>
      <c r="BE325" s="287"/>
    </row>
    <row r="326" spans="2:57" s="251" customFormat="1" outlineLevel="1">
      <c r="B326" s="251" t="s">
        <v>2359</v>
      </c>
      <c r="C326" s="252"/>
      <c r="F326" s="252"/>
      <c r="G326" s="251">
        <v>3522</v>
      </c>
      <c r="H326" s="251">
        <f>426+979</f>
        <v>1405</v>
      </c>
      <c r="I326" s="252">
        <f t="shared" ref="I326:I335" si="285">G326+H326</f>
        <v>4927</v>
      </c>
      <c r="J326" s="251">
        <f>327+416</f>
        <v>743</v>
      </c>
      <c r="K326" s="251">
        <f t="shared" ref="K326:K334" si="286">L326-J326</f>
        <v>1502</v>
      </c>
      <c r="L326" s="252">
        <v>2245</v>
      </c>
      <c r="M326" s="251">
        <f>890+935</f>
        <v>1825</v>
      </c>
      <c r="N326" s="251">
        <f t="shared" ref="N326:N335" si="287">O326-M326</f>
        <v>1574</v>
      </c>
      <c r="O326" s="252">
        <f>12418-9019</f>
        <v>3399</v>
      </c>
      <c r="P326" s="251">
        <f>6721-5605</f>
        <v>1116</v>
      </c>
      <c r="Q326" s="251">
        <f>6969-5589</f>
        <v>1380</v>
      </c>
      <c r="R326" s="252">
        <f>+Q326+P326</f>
        <v>2496</v>
      </c>
      <c r="S326" s="251">
        <f>7144-6202</f>
        <v>942</v>
      </c>
      <c r="T326" s="251">
        <f t="shared" ref="T326:T334" si="288">U326-S326</f>
        <v>741</v>
      </c>
      <c r="U326" s="252">
        <v>1683</v>
      </c>
      <c r="V326" s="251">
        <v>721</v>
      </c>
      <c r="W326" s="251">
        <f t="shared" ref="W326:W334" si="289">X326-V326</f>
        <v>1129</v>
      </c>
      <c r="X326" s="252">
        <v>1850</v>
      </c>
      <c r="Y326" s="251">
        <v>860</v>
      </c>
      <c r="Z326" s="251">
        <f t="shared" ref="Z326:Z334" si="290">AA326-Y326</f>
        <v>1229</v>
      </c>
      <c r="AA326" s="252">
        <v>2089</v>
      </c>
      <c r="AB326" s="251">
        <v>815</v>
      </c>
      <c r="AC326" s="251">
        <v>723</v>
      </c>
      <c r="AD326" s="252">
        <f>SUM(AB326:AC326)</f>
        <v>1538</v>
      </c>
      <c r="AE326" s="251">
        <v>847</v>
      </c>
      <c r="AF326" s="260">
        <f>AG326-AE326</f>
        <v>-104</v>
      </c>
      <c r="AG326" s="252">
        <v>743</v>
      </c>
      <c r="AH326" s="251">
        <v>-172</v>
      </c>
      <c r="AI326" s="251">
        <f>AJ326-AH326</f>
        <v>997</v>
      </c>
      <c r="AJ326" s="252">
        <v>825</v>
      </c>
      <c r="AK326" s="251">
        <v>756</v>
      </c>
      <c r="AL326" s="251">
        <f>AM326-AK326</f>
        <v>69</v>
      </c>
      <c r="AM326" s="252">
        <v>825</v>
      </c>
      <c r="AN326" s="281">
        <f>AP326*0.5</f>
        <v>453.75000000000006</v>
      </c>
      <c r="AO326" s="251">
        <f>AP326-AN326</f>
        <v>453.75000000000006</v>
      </c>
      <c r="AP326" s="292">
        <f>AM326*1.1</f>
        <v>907.50000000000011</v>
      </c>
      <c r="AQ326" s="281">
        <f>AS326*0.5</f>
        <v>499.12500000000011</v>
      </c>
      <c r="AR326" s="251">
        <f>AS326-AQ326</f>
        <v>499.12500000000011</v>
      </c>
      <c r="AS326" s="292">
        <f>AP326*1.1</f>
        <v>998.25000000000023</v>
      </c>
      <c r="AT326" s="281">
        <f>AV326*0.5</f>
        <v>549.03750000000014</v>
      </c>
      <c r="AU326" s="251">
        <f>AV326-AT326</f>
        <v>549.03750000000014</v>
      </c>
      <c r="AV326" s="292">
        <f>AS326*1.1</f>
        <v>1098.0750000000003</v>
      </c>
      <c r="AW326" s="281">
        <f>AY326*0.5</f>
        <v>603.9412500000002</v>
      </c>
      <c r="AX326" s="251">
        <f>AY326-AW326</f>
        <v>603.9412500000002</v>
      </c>
      <c r="AY326" s="292">
        <f>AV326*1.1</f>
        <v>1207.8825000000004</v>
      </c>
      <c r="AZ326" s="281">
        <f>BB326*0.5</f>
        <v>664.33537500000023</v>
      </c>
      <c r="BA326" s="251">
        <f>BB326-AZ326</f>
        <v>664.33537500000023</v>
      </c>
      <c r="BB326" s="292">
        <f>AY326*1.1</f>
        <v>1328.6707500000005</v>
      </c>
      <c r="BC326" s="281">
        <f>BE326*0.5</f>
        <v>730.76891250000028</v>
      </c>
      <c r="BD326" s="251">
        <f>BE326-BC326</f>
        <v>730.76891250000028</v>
      </c>
      <c r="BE326" s="292">
        <f>BB326*1.1</f>
        <v>1461.5378250000006</v>
      </c>
    </row>
    <row r="327" spans="2:57" s="251" customFormat="1" outlineLevel="1">
      <c r="B327" s="251" t="s">
        <v>2360</v>
      </c>
      <c r="C327" s="252"/>
      <c r="F327" s="252"/>
      <c r="G327" s="251">
        <v>-195</v>
      </c>
      <c r="H327" s="251">
        <f>-171-278</f>
        <v>-449</v>
      </c>
      <c r="I327" s="252">
        <f t="shared" si="285"/>
        <v>-644</v>
      </c>
      <c r="J327" s="251">
        <f>-81-279</f>
        <v>-360</v>
      </c>
      <c r="K327" s="251">
        <f t="shared" si="286"/>
        <v>-64</v>
      </c>
      <c r="L327" s="252">
        <v>-424</v>
      </c>
      <c r="O327" s="252"/>
      <c r="R327" s="292"/>
      <c r="U327" s="292"/>
      <c r="X327" s="252"/>
      <c r="AA327" s="252"/>
      <c r="AB327" s="281"/>
      <c r="AD327" s="292"/>
      <c r="AF327" s="260"/>
      <c r="AG327" s="252"/>
      <c r="AJ327" s="252"/>
      <c r="AM327" s="292"/>
      <c r="AN327" s="281"/>
      <c r="AP327" s="292"/>
      <c r="AQ327" s="281"/>
      <c r="AS327" s="292"/>
      <c r="AT327" s="281"/>
      <c r="AV327" s="292"/>
      <c r="AW327" s="281"/>
      <c r="AY327" s="292"/>
      <c r="AZ327" s="281"/>
      <c r="BB327" s="292"/>
      <c r="BC327" s="281"/>
      <c r="BE327" s="292"/>
    </row>
    <row r="328" spans="2:57" s="251" customFormat="1" outlineLevel="1">
      <c r="B328" s="251" t="s">
        <v>2361</v>
      </c>
      <c r="C328" s="252"/>
      <c r="F328" s="252"/>
      <c r="G328" s="251">
        <v>-2238</v>
      </c>
      <c r="H328" s="251">
        <f>-748-668</f>
        <v>-1416</v>
      </c>
      <c r="I328" s="254">
        <f t="shared" si="285"/>
        <v>-3654</v>
      </c>
      <c r="J328" s="251">
        <f>-792-1211</f>
        <v>-2003</v>
      </c>
      <c r="K328" s="251">
        <f t="shared" si="286"/>
        <v>-1039</v>
      </c>
      <c r="L328" s="252">
        <v>-3042</v>
      </c>
      <c r="O328" s="252"/>
      <c r="R328" s="292"/>
      <c r="U328" s="292"/>
      <c r="X328" s="252"/>
      <c r="AA328" s="252"/>
      <c r="AB328" s="281"/>
      <c r="AD328" s="292"/>
      <c r="AF328" s="260"/>
      <c r="AG328" s="252"/>
      <c r="AJ328" s="252"/>
      <c r="AM328" s="292"/>
      <c r="AN328" s="281"/>
      <c r="AP328" s="292"/>
      <c r="AQ328" s="281"/>
      <c r="AS328" s="292"/>
      <c r="AT328" s="281"/>
      <c r="AV328" s="292"/>
      <c r="AW328" s="281"/>
      <c r="AY328" s="292"/>
      <c r="AZ328" s="281"/>
      <c r="BB328" s="292"/>
      <c r="BC328" s="281"/>
      <c r="BE328" s="292"/>
    </row>
    <row r="329" spans="2:57" s="251" customFormat="1" outlineLevel="1">
      <c r="B329" s="251" t="s">
        <v>2362</v>
      </c>
      <c r="C329" s="252"/>
      <c r="F329" s="252"/>
      <c r="I329" s="254"/>
      <c r="L329" s="252"/>
      <c r="M329" s="251">
        <f>-627-834</f>
        <v>-1461</v>
      </c>
      <c r="N329" s="251">
        <f t="shared" si="287"/>
        <v>-1821</v>
      </c>
      <c r="O329" s="252">
        <f>4021-7303</f>
        <v>-3282</v>
      </c>
      <c r="P329" s="251">
        <f>1840-3852</f>
        <v>-2012</v>
      </c>
      <c r="Q329" s="251">
        <f>1749-3358</f>
        <v>-1609</v>
      </c>
      <c r="R329" s="252">
        <f>+Q329+P329</f>
        <v>-3621</v>
      </c>
      <c r="S329" s="251">
        <f>1336-3436</f>
        <v>-2100</v>
      </c>
      <c r="T329" s="251">
        <f>U329-S329</f>
        <v>-957</v>
      </c>
      <c r="U329" s="252">
        <v>-3057</v>
      </c>
      <c r="V329" s="251">
        <v>-980</v>
      </c>
      <c r="W329" s="251">
        <f>X329-V329</f>
        <v>-655</v>
      </c>
      <c r="X329" s="252">
        <v>-1635</v>
      </c>
      <c r="Y329" s="251">
        <v>-389</v>
      </c>
      <c r="Z329" s="251">
        <f>AA329-Y329</f>
        <v>-383</v>
      </c>
      <c r="AA329" s="252">
        <v>-772</v>
      </c>
      <c r="AB329" s="251">
        <v>-29</v>
      </c>
      <c r="AC329" s="251">
        <v>55</v>
      </c>
      <c r="AD329" s="252">
        <f>SUM(AB329:AC329)</f>
        <v>26</v>
      </c>
      <c r="AF329" s="260"/>
      <c r="AG329" s="252"/>
      <c r="AJ329" s="252"/>
      <c r="AM329" s="292"/>
      <c r="AN329" s="281"/>
      <c r="AP329" s="292"/>
      <c r="AQ329" s="281"/>
      <c r="AS329" s="292"/>
      <c r="AT329" s="281"/>
      <c r="AV329" s="292"/>
      <c r="AW329" s="281"/>
      <c r="AY329" s="292"/>
      <c r="AZ329" s="281"/>
      <c r="BB329" s="292"/>
      <c r="BC329" s="281"/>
      <c r="BE329" s="292"/>
    </row>
    <row r="330" spans="2:57" s="251" customFormat="1" outlineLevel="1">
      <c r="B330" s="251" t="s">
        <v>2363</v>
      </c>
      <c r="C330" s="252"/>
      <c r="F330" s="252"/>
      <c r="G330" s="251">
        <v>18</v>
      </c>
      <c r="H330" s="251">
        <f>-57+12</f>
        <v>-45</v>
      </c>
      <c r="I330" s="254">
        <f t="shared" si="285"/>
        <v>-27</v>
      </c>
      <c r="J330" s="251">
        <f>-40-22</f>
        <v>-62</v>
      </c>
      <c r="K330" s="251">
        <f t="shared" si="286"/>
        <v>-92</v>
      </c>
      <c r="L330" s="252">
        <v>-154</v>
      </c>
      <c r="M330" s="251">
        <f>-19-25</f>
        <v>-44</v>
      </c>
      <c r="N330" s="251">
        <f t="shared" si="287"/>
        <v>-43</v>
      </c>
      <c r="O330" s="252">
        <f>42-129</f>
        <v>-87</v>
      </c>
      <c r="P330" s="251">
        <f>19-89</f>
        <v>-70</v>
      </c>
      <c r="Q330" s="251">
        <f>20-71</f>
        <v>-51</v>
      </c>
      <c r="R330" s="252">
        <f t="shared" ref="R330:R335" si="291">+Q330+P330</f>
        <v>-121</v>
      </c>
      <c r="S330" s="251">
        <f>16-74</f>
        <v>-58</v>
      </c>
      <c r="T330" s="251">
        <f t="shared" si="288"/>
        <v>-45</v>
      </c>
      <c r="U330" s="252">
        <v>-103</v>
      </c>
      <c r="V330" s="251">
        <v>-53</v>
      </c>
      <c r="W330" s="251">
        <f t="shared" si="289"/>
        <v>-58</v>
      </c>
      <c r="X330" s="252">
        <v>-111</v>
      </c>
      <c r="Y330" s="251">
        <v>-51</v>
      </c>
      <c r="Z330" s="251">
        <f t="shared" si="290"/>
        <v>-65</v>
      </c>
      <c r="AA330" s="252">
        <v>-116</v>
      </c>
      <c r="AB330" s="251">
        <v>-56</v>
      </c>
      <c r="AC330" s="251">
        <v>-45</v>
      </c>
      <c r="AD330" s="252">
        <f t="shared" ref="AD330:AD335" si="292">SUM(AB330:AC330)</f>
        <v>-101</v>
      </c>
      <c r="AF330" s="260"/>
      <c r="AG330" s="252"/>
      <c r="AJ330" s="252"/>
      <c r="AM330" s="292"/>
      <c r="AN330" s="281"/>
      <c r="AP330" s="292"/>
      <c r="AQ330" s="281"/>
      <c r="AS330" s="292"/>
      <c r="AT330" s="281"/>
      <c r="AV330" s="292"/>
      <c r="AW330" s="281"/>
      <c r="AY330" s="292"/>
      <c r="AZ330" s="281"/>
      <c r="BB330" s="292"/>
      <c r="BC330" s="281"/>
      <c r="BE330" s="292"/>
    </row>
    <row r="331" spans="2:57" s="251" customFormat="1" outlineLevel="1">
      <c r="B331" s="251" t="s">
        <v>2364</v>
      </c>
      <c r="C331" s="252"/>
      <c r="F331" s="252"/>
      <c r="G331" s="251">
        <v>19576</v>
      </c>
      <c r="H331" s="251">
        <f>396-345</f>
        <v>51</v>
      </c>
      <c r="I331" s="252">
        <f t="shared" si="285"/>
        <v>19627</v>
      </c>
      <c r="J331" s="251">
        <f>-3001-7624</f>
        <v>-10625</v>
      </c>
      <c r="K331" s="251">
        <f t="shared" si="286"/>
        <v>4993</v>
      </c>
      <c r="L331" s="252">
        <v>-5632</v>
      </c>
      <c r="M331" s="251">
        <f>1346-2562</f>
        <v>-1216</v>
      </c>
      <c r="N331" s="251">
        <f>O331-M331</f>
        <v>-5777</v>
      </c>
      <c r="O331" s="252">
        <f>17638-24631</f>
        <v>-6993</v>
      </c>
      <c r="P331" s="251">
        <f>8041-10043</f>
        <v>-2002</v>
      </c>
      <c r="Q331" s="251">
        <f>10617-13026</f>
        <v>-2409</v>
      </c>
      <c r="R331" s="252">
        <f t="shared" si="291"/>
        <v>-4411</v>
      </c>
      <c r="S331" s="251">
        <f>12937-11392</f>
        <v>1545</v>
      </c>
      <c r="T331" s="251">
        <f t="shared" si="288"/>
        <v>1566</v>
      </c>
      <c r="U331" s="252">
        <v>3111</v>
      </c>
      <c r="V331" s="251">
        <v>3557</v>
      </c>
      <c r="W331" s="251">
        <f t="shared" si="289"/>
        <v>5416</v>
      </c>
      <c r="X331" s="252">
        <v>8973</v>
      </c>
      <c r="Y331" s="251">
        <v>2959</v>
      </c>
      <c r="Z331" s="251">
        <f t="shared" si="290"/>
        <v>3693</v>
      </c>
      <c r="AA331" s="252">
        <v>6652</v>
      </c>
      <c r="AB331" s="251">
        <v>-736</v>
      </c>
      <c r="AC331" s="251">
        <v>94</v>
      </c>
      <c r="AD331" s="252">
        <f t="shared" si="292"/>
        <v>-642</v>
      </c>
      <c r="AE331" s="730">
        <v>-557</v>
      </c>
      <c r="AF331" s="731">
        <f>AG331-AE331</f>
        <v>-500</v>
      </c>
      <c r="AG331" s="732">
        <v>-1057</v>
      </c>
      <c r="AH331" s="730">
        <v>-611</v>
      </c>
      <c r="AI331" s="730">
        <f>AJ331-AH331</f>
        <v>-800</v>
      </c>
      <c r="AJ331" s="732">
        <v>-1411</v>
      </c>
      <c r="AM331" s="292"/>
      <c r="AN331" s="281"/>
      <c r="AP331" s="292"/>
      <c r="AQ331" s="281"/>
      <c r="AS331" s="292"/>
      <c r="AT331" s="281"/>
      <c r="AV331" s="292"/>
      <c r="AW331" s="281"/>
      <c r="AY331" s="292"/>
      <c r="AZ331" s="281"/>
      <c r="BB331" s="292"/>
      <c r="BC331" s="281"/>
      <c r="BE331" s="292"/>
    </row>
    <row r="332" spans="2:57" s="251" customFormat="1" outlineLevel="1">
      <c r="B332" s="251" t="s">
        <v>2600</v>
      </c>
      <c r="C332" s="252"/>
      <c r="F332" s="252"/>
      <c r="G332" s="251">
        <v>883</v>
      </c>
      <c r="H332" s="251">
        <f>314+571</f>
        <v>885</v>
      </c>
      <c r="I332" s="252">
        <f t="shared" si="285"/>
        <v>1768</v>
      </c>
      <c r="J332" s="251">
        <f>30-244</f>
        <v>-214</v>
      </c>
      <c r="K332" s="251">
        <f t="shared" si="286"/>
        <v>-841</v>
      </c>
      <c r="L332" s="252">
        <v>-1055</v>
      </c>
      <c r="M332" s="251">
        <f>-389+291</f>
        <v>-98</v>
      </c>
      <c r="N332" s="251">
        <f>O332-M332</f>
        <v>-706</v>
      </c>
      <c r="O332" s="252">
        <f>955-1759</f>
        <v>-804</v>
      </c>
      <c r="P332" s="251">
        <f>1760-289</f>
        <v>1471</v>
      </c>
      <c r="Q332" s="251">
        <f>188-63</f>
        <v>125</v>
      </c>
      <c r="R332" s="252">
        <f t="shared" si="291"/>
        <v>1596</v>
      </c>
      <c r="S332" s="251">
        <f>183-138</f>
        <v>45</v>
      </c>
      <c r="T332" s="251">
        <f t="shared" si="288"/>
        <v>-169</v>
      </c>
      <c r="U332" s="252">
        <v>-124</v>
      </c>
      <c r="V332" s="251">
        <v>343</v>
      </c>
      <c r="W332" s="251">
        <f t="shared" si="289"/>
        <v>54</v>
      </c>
      <c r="X332" s="252">
        <v>397</v>
      </c>
      <c r="Y332" s="534">
        <v>36</v>
      </c>
      <c r="Z332" s="534">
        <f t="shared" si="290"/>
        <v>792</v>
      </c>
      <c r="AA332" s="252">
        <v>828</v>
      </c>
      <c r="AB332" s="251">
        <v>70</v>
      </c>
      <c r="AC332" s="251">
        <v>609</v>
      </c>
      <c r="AD332" s="252">
        <f t="shared" si="292"/>
        <v>679</v>
      </c>
      <c r="AE332" s="251">
        <v>-182</v>
      </c>
      <c r="AF332" s="260">
        <f>AG332-AE332</f>
        <v>-75</v>
      </c>
      <c r="AG332" s="252">
        <v>-257</v>
      </c>
      <c r="AH332" s="251">
        <v>62</v>
      </c>
      <c r="AI332" s="251">
        <f>AJ332-AH332</f>
        <v>463</v>
      </c>
      <c r="AJ332" s="252">
        <v>525</v>
      </c>
      <c r="AK332" s="251">
        <v>-152</v>
      </c>
      <c r="AL332" s="251">
        <f>AK332</f>
        <v>-152</v>
      </c>
      <c r="AM332" s="292">
        <f>AK332+AL332</f>
        <v>-304</v>
      </c>
      <c r="AN332" s="281">
        <f>AP332*0.5</f>
        <v>-152</v>
      </c>
      <c r="AO332" s="251">
        <f>AP332-AN332</f>
        <v>-152</v>
      </c>
      <c r="AP332" s="292">
        <f>AM332*1</f>
        <v>-304</v>
      </c>
      <c r="AQ332" s="281">
        <f>AS332*0.5</f>
        <v>-152</v>
      </c>
      <c r="AR332" s="251">
        <f>AS332-AQ332</f>
        <v>-152</v>
      </c>
      <c r="AS332" s="292">
        <f>AP332*1</f>
        <v>-304</v>
      </c>
      <c r="AT332" s="281">
        <f>AV332*0.5</f>
        <v>-152</v>
      </c>
      <c r="AU332" s="251">
        <f>AV332-AT332</f>
        <v>-152</v>
      </c>
      <c r="AV332" s="292">
        <f>AS332*1</f>
        <v>-304</v>
      </c>
      <c r="AW332" s="281">
        <f>AY332*0.5</f>
        <v>-152</v>
      </c>
      <c r="AX332" s="251">
        <f>AY332-AW332</f>
        <v>-152</v>
      </c>
      <c r="AY332" s="292">
        <f>AV332*1</f>
        <v>-304</v>
      </c>
      <c r="AZ332" s="281">
        <f>BB332*0.5</f>
        <v>-152</v>
      </c>
      <c r="BA332" s="251">
        <f>BB332-AZ332</f>
        <v>-152</v>
      </c>
      <c r="BB332" s="292">
        <f>AY332*1</f>
        <v>-304</v>
      </c>
      <c r="BC332" s="281">
        <f>BE332*0.5</f>
        <v>-152</v>
      </c>
      <c r="BD332" s="251">
        <f>BE332-BC332</f>
        <v>-152</v>
      </c>
      <c r="BE332" s="292">
        <f>BB332*1</f>
        <v>-304</v>
      </c>
    </row>
    <row r="333" spans="2:57" s="251" customFormat="1" outlineLevel="1">
      <c r="B333" s="251" t="s">
        <v>2385</v>
      </c>
      <c r="C333" s="252"/>
      <c r="F333" s="252"/>
      <c r="G333" s="251">
        <v>502</v>
      </c>
      <c r="H333" s="251">
        <f>524+260</f>
        <v>784</v>
      </c>
      <c r="I333" s="252">
        <f t="shared" si="285"/>
        <v>1286</v>
      </c>
      <c r="J333" s="251">
        <f>320+347</f>
        <v>667</v>
      </c>
      <c r="K333" s="251">
        <f t="shared" si="286"/>
        <v>-656</v>
      </c>
      <c r="L333" s="252">
        <v>11</v>
      </c>
      <c r="M333" s="251">
        <f>-35+87</f>
        <v>52</v>
      </c>
      <c r="N333" s="251">
        <f>O333-M333</f>
        <v>164</v>
      </c>
      <c r="O333" s="252">
        <f>1713-1497</f>
        <v>216</v>
      </c>
      <c r="P333" s="251">
        <f>1092-792</f>
        <v>300</v>
      </c>
      <c r="Q333" s="251">
        <f>1404-807</f>
        <v>597</v>
      </c>
      <c r="R333" s="252">
        <f t="shared" si="291"/>
        <v>897</v>
      </c>
      <c r="S333" s="251">
        <f>2116-1409</f>
        <v>707</v>
      </c>
      <c r="T333" s="251">
        <f t="shared" si="288"/>
        <v>964</v>
      </c>
      <c r="U333" s="252">
        <v>1671</v>
      </c>
      <c r="V333" s="251">
        <v>1034</v>
      </c>
      <c r="W333" s="251">
        <f t="shared" si="289"/>
        <v>3106</v>
      </c>
      <c r="X333" s="252">
        <v>4140</v>
      </c>
      <c r="Y333" s="251">
        <v>1131</v>
      </c>
      <c r="Z333" s="251">
        <f t="shared" si="290"/>
        <v>856</v>
      </c>
      <c r="AA333" s="252">
        <v>1987</v>
      </c>
      <c r="AB333" s="251">
        <v>1115</v>
      </c>
      <c r="AC333" s="251">
        <v>714</v>
      </c>
      <c r="AD333" s="252">
        <f t="shared" si="292"/>
        <v>1829</v>
      </c>
      <c r="AE333" s="251">
        <v>902</v>
      </c>
      <c r="AF333" s="260">
        <f>AG333-AE333</f>
        <v>768</v>
      </c>
      <c r="AG333" s="252">
        <v>1670</v>
      </c>
      <c r="AH333" s="251">
        <v>1013</v>
      </c>
      <c r="AI333" s="251">
        <f>AJ333-AH333</f>
        <v>1636</v>
      </c>
      <c r="AJ333" s="252">
        <v>2649</v>
      </c>
      <c r="AK333" s="251">
        <v>620</v>
      </c>
      <c r="AL333" s="251">
        <f>AM333-AK333</f>
        <v>620</v>
      </c>
      <c r="AM333" s="292">
        <f>AK333*2</f>
        <v>1240</v>
      </c>
      <c r="AN333" s="281">
        <f>AP333*0.5</f>
        <v>651</v>
      </c>
      <c r="AO333" s="251">
        <f>AP333-AN333</f>
        <v>651</v>
      </c>
      <c r="AP333" s="292">
        <f>AM333*1.05</f>
        <v>1302</v>
      </c>
      <c r="AQ333" s="281">
        <f>AS333*0.5</f>
        <v>683.55000000000007</v>
      </c>
      <c r="AR333" s="251">
        <f>AS333-AQ333</f>
        <v>683.55000000000007</v>
      </c>
      <c r="AS333" s="292">
        <f>AP333*1.05</f>
        <v>1367.1000000000001</v>
      </c>
      <c r="AT333" s="281">
        <f>AV333*0.5</f>
        <v>717.72750000000008</v>
      </c>
      <c r="AU333" s="251">
        <f>AV333-AT333</f>
        <v>717.72750000000008</v>
      </c>
      <c r="AV333" s="292">
        <f>AS333*1.05</f>
        <v>1435.4550000000002</v>
      </c>
      <c r="AW333" s="281">
        <f>AY333*0.5</f>
        <v>753.61387500000012</v>
      </c>
      <c r="AX333" s="251">
        <f>AY333-AW333</f>
        <v>753.61387500000012</v>
      </c>
      <c r="AY333" s="292">
        <f>AV333*1.05</f>
        <v>1507.2277500000002</v>
      </c>
      <c r="AZ333" s="281">
        <f>BB333*0.5</f>
        <v>791.29456875000017</v>
      </c>
      <c r="BA333" s="251">
        <f>BB333-AZ333</f>
        <v>791.29456875000017</v>
      </c>
      <c r="BB333" s="292">
        <f>AY333*1.05</f>
        <v>1582.5891375000003</v>
      </c>
      <c r="BC333" s="281">
        <f>BE333*0.5</f>
        <v>830.85929718750026</v>
      </c>
      <c r="BD333" s="251">
        <f>BE333-BC333</f>
        <v>830.85929718750026</v>
      </c>
      <c r="BE333" s="292">
        <f>BB333*1.05</f>
        <v>1661.7185943750005</v>
      </c>
    </row>
    <row r="334" spans="2:57" s="251" customFormat="1" outlineLevel="1">
      <c r="B334" s="251" t="s">
        <v>271</v>
      </c>
      <c r="C334" s="252"/>
      <c r="F334" s="252"/>
      <c r="G334" s="251">
        <v>-106</v>
      </c>
      <c r="H334" s="251">
        <f>-39+37</f>
        <v>-2</v>
      </c>
      <c r="I334" s="252">
        <f t="shared" si="285"/>
        <v>-108</v>
      </c>
      <c r="J334" s="251">
        <f>78+299</f>
        <v>377</v>
      </c>
      <c r="K334" s="251">
        <f t="shared" si="286"/>
        <v>-34</v>
      </c>
      <c r="L334" s="252">
        <v>343</v>
      </c>
      <c r="M334" s="251">
        <f>-27-30</f>
        <v>-57</v>
      </c>
      <c r="N334" s="251">
        <f t="shared" si="287"/>
        <v>-52</v>
      </c>
      <c r="O334" s="252">
        <f>36-145</f>
        <v>-109</v>
      </c>
      <c r="P334" s="251">
        <f>16-82</f>
        <v>-66</v>
      </c>
      <c r="Q334" s="251">
        <f>17-74</f>
        <v>-57</v>
      </c>
      <c r="R334" s="252">
        <f t="shared" si="291"/>
        <v>-123</v>
      </c>
      <c r="S334" s="251">
        <f>15-79</f>
        <v>-64</v>
      </c>
      <c r="T334" s="251">
        <f t="shared" si="288"/>
        <v>-47</v>
      </c>
      <c r="U334" s="252">
        <v>-111</v>
      </c>
      <c r="V334" s="251">
        <v>-60</v>
      </c>
      <c r="W334" s="251">
        <f t="shared" si="289"/>
        <v>-55</v>
      </c>
      <c r="X334" s="252">
        <v>-115</v>
      </c>
      <c r="Y334" s="251">
        <v>-58</v>
      </c>
      <c r="Z334" s="251">
        <f t="shared" si="290"/>
        <v>-53</v>
      </c>
      <c r="AA334" s="252">
        <v>-111</v>
      </c>
      <c r="AB334" s="251">
        <v>-56</v>
      </c>
      <c r="AC334" s="251">
        <v>-40</v>
      </c>
      <c r="AD334" s="252">
        <f t="shared" si="292"/>
        <v>-96</v>
      </c>
      <c r="AE334" s="251">
        <f>AE336-AE333-AE326-AE331-AE332</f>
        <v>100</v>
      </c>
      <c r="AF334" s="260">
        <f>AG334-AE334</f>
        <v>84</v>
      </c>
      <c r="AG334" s="252">
        <v>184</v>
      </c>
      <c r="AH334" s="251">
        <v>41</v>
      </c>
      <c r="AI334" s="251">
        <f>AJ334-AH334</f>
        <v>86</v>
      </c>
      <c r="AJ334" s="252">
        <v>127</v>
      </c>
      <c r="AK334" s="251">
        <v>39</v>
      </c>
      <c r="AL334" s="251">
        <f>AM334-AK334</f>
        <v>39</v>
      </c>
      <c r="AM334" s="292">
        <f>AK334*2</f>
        <v>78</v>
      </c>
      <c r="AN334" s="281">
        <f>AP334*0.5</f>
        <v>39</v>
      </c>
      <c r="AO334" s="251">
        <f>AP334-AN334</f>
        <v>39</v>
      </c>
      <c r="AP334" s="292">
        <f>AM334</f>
        <v>78</v>
      </c>
      <c r="AQ334" s="281">
        <f>AS334*0.5</f>
        <v>39</v>
      </c>
      <c r="AR334" s="251">
        <f>AS334-AQ334</f>
        <v>39</v>
      </c>
      <c r="AS334" s="292">
        <f>AP334</f>
        <v>78</v>
      </c>
      <c r="AT334" s="281">
        <f>AV334*0.5</f>
        <v>39</v>
      </c>
      <c r="AU334" s="251">
        <f>AV334-AT334</f>
        <v>39</v>
      </c>
      <c r="AV334" s="292">
        <f>AS334</f>
        <v>78</v>
      </c>
      <c r="AW334" s="281">
        <f>AY334*0.5</f>
        <v>39</v>
      </c>
      <c r="AX334" s="251">
        <f>AY334-AW334</f>
        <v>39</v>
      </c>
      <c r="AY334" s="292">
        <f>AV334</f>
        <v>78</v>
      </c>
      <c r="AZ334" s="281">
        <f>BB334*0.5</f>
        <v>39</v>
      </c>
      <c r="BA334" s="251">
        <f>BB334-AZ334</f>
        <v>39</v>
      </c>
      <c r="BB334" s="292">
        <f>AY334</f>
        <v>78</v>
      </c>
      <c r="BC334" s="281">
        <f>BE334*0.5</f>
        <v>39</v>
      </c>
      <c r="BD334" s="251">
        <f>BE334-BC334</f>
        <v>39</v>
      </c>
      <c r="BE334" s="292">
        <f>BB334</f>
        <v>78</v>
      </c>
    </row>
    <row r="335" spans="2:57" s="251" customFormat="1" outlineLevel="1">
      <c r="B335" s="251" t="s">
        <v>2365</v>
      </c>
      <c r="C335" s="252"/>
      <c r="F335" s="252"/>
      <c r="G335" s="251">
        <v>3209</v>
      </c>
      <c r="H335" s="251">
        <f>1507+723</f>
        <v>2230</v>
      </c>
      <c r="I335" s="252">
        <f t="shared" si="285"/>
        <v>5439</v>
      </c>
      <c r="J335" s="251">
        <f>-621-375</f>
        <v>-996</v>
      </c>
      <c r="K335" s="251">
        <f>L335-J335</f>
        <v>1857</v>
      </c>
      <c r="L335" s="252">
        <v>861</v>
      </c>
      <c r="M335" s="251">
        <f>967+1620</f>
        <v>2587</v>
      </c>
      <c r="N335" s="251">
        <f t="shared" si="287"/>
        <v>1886</v>
      </c>
      <c r="O335" s="252">
        <f>11748-7275</f>
        <v>4473</v>
      </c>
      <c r="P335" s="251">
        <f>8030-3772</f>
        <v>4258</v>
      </c>
      <c r="Q335" s="251">
        <f>4827-5690</f>
        <v>-863</v>
      </c>
      <c r="R335" s="252">
        <f t="shared" si="291"/>
        <v>3395</v>
      </c>
      <c r="S335" s="251">
        <v>1231</v>
      </c>
      <c r="T335" s="251">
        <f>U335-S335</f>
        <v>-65</v>
      </c>
      <c r="U335" s="252">
        <v>1166</v>
      </c>
      <c r="V335" s="251">
        <v>1897</v>
      </c>
      <c r="W335" s="251">
        <f>X335-V335</f>
        <v>584</v>
      </c>
      <c r="X335" s="252">
        <v>2481</v>
      </c>
      <c r="Y335" s="251">
        <v>-3422</v>
      </c>
      <c r="Z335" s="251">
        <f>AA335-Y335</f>
        <v>-867</v>
      </c>
      <c r="AA335" s="252">
        <v>-4289</v>
      </c>
      <c r="AB335" s="251">
        <v>344</v>
      </c>
      <c r="AC335" s="251">
        <v>-479</v>
      </c>
      <c r="AD335" s="252">
        <f t="shared" si="292"/>
        <v>-135</v>
      </c>
      <c r="AF335" s="260"/>
      <c r="AG335" s="292"/>
      <c r="AJ335" s="292"/>
      <c r="AM335" s="292"/>
      <c r="AN335" s="281"/>
      <c r="AP335" s="292"/>
      <c r="AQ335" s="281"/>
      <c r="AS335" s="292"/>
      <c r="AT335" s="281"/>
      <c r="AV335" s="292"/>
      <c r="AW335" s="281"/>
      <c r="AY335" s="292"/>
      <c r="AZ335" s="281"/>
      <c r="BB335" s="292"/>
      <c r="BC335" s="281"/>
      <c r="BE335" s="292"/>
    </row>
    <row r="336" spans="2:57" outlineLevel="1">
      <c r="B336" s="243" t="s">
        <v>168</v>
      </c>
      <c r="C336" s="287"/>
      <c r="D336" s="255">
        <v>1514</v>
      </c>
      <c r="E336" s="255">
        <v>-1054</v>
      </c>
      <c r="F336" s="256">
        <f>D336+E336</f>
        <v>460</v>
      </c>
      <c r="G336" s="255">
        <v>25171</v>
      </c>
      <c r="H336" s="255">
        <f t="shared" ref="H336:AG336" si="293">SUM(H326:H335)</f>
        <v>3443</v>
      </c>
      <c r="I336" s="256">
        <f t="shared" si="293"/>
        <v>28614</v>
      </c>
      <c r="J336" s="255">
        <f t="shared" si="293"/>
        <v>-12473</v>
      </c>
      <c r="K336" s="255">
        <f t="shared" si="293"/>
        <v>5626</v>
      </c>
      <c r="L336" s="256">
        <f t="shared" si="293"/>
        <v>-6847</v>
      </c>
      <c r="M336" s="255">
        <f t="shared" ref="M336:R336" si="294">SUM(M326:M335)</f>
        <v>1588</v>
      </c>
      <c r="N336" s="255">
        <f t="shared" si="294"/>
        <v>-4775</v>
      </c>
      <c r="O336" s="256">
        <f t="shared" si="294"/>
        <v>-3187</v>
      </c>
      <c r="P336" s="255">
        <f t="shared" si="294"/>
        <v>2995</v>
      </c>
      <c r="Q336" s="255">
        <f t="shared" si="294"/>
        <v>-2887</v>
      </c>
      <c r="R336" s="256">
        <f t="shared" si="294"/>
        <v>108</v>
      </c>
      <c r="S336" s="255">
        <f>SUM(S326:S335)</f>
        <v>2248</v>
      </c>
      <c r="T336" s="255">
        <f t="shared" si="293"/>
        <v>1988</v>
      </c>
      <c r="U336" s="256">
        <f>SUM(U326:U335)</f>
        <v>4236</v>
      </c>
      <c r="V336" s="255">
        <f>SUM(V326:V335)</f>
        <v>6459</v>
      </c>
      <c r="W336" s="255">
        <f t="shared" si="293"/>
        <v>9521</v>
      </c>
      <c r="X336" s="256">
        <f>SUM(X326:X335)</f>
        <v>15980</v>
      </c>
      <c r="Y336" s="255">
        <f t="shared" si="293"/>
        <v>1066</v>
      </c>
      <c r="Z336" s="255">
        <f t="shared" si="293"/>
        <v>5202</v>
      </c>
      <c r="AA336" s="256">
        <f t="shared" si="293"/>
        <v>6268</v>
      </c>
      <c r="AB336" s="255">
        <f t="shared" si="293"/>
        <v>1467</v>
      </c>
      <c r="AC336" s="255">
        <f t="shared" si="293"/>
        <v>1631</v>
      </c>
      <c r="AD336" s="256">
        <f t="shared" si="293"/>
        <v>3098</v>
      </c>
      <c r="AE336" s="255">
        <v>1110</v>
      </c>
      <c r="AF336" s="286">
        <f t="shared" si="293"/>
        <v>173</v>
      </c>
      <c r="AG336" s="256">
        <f t="shared" si="293"/>
        <v>1283</v>
      </c>
      <c r="AH336" s="255">
        <f t="shared" ref="AH336:AM336" si="295">SUM(AH326:AH335)</f>
        <v>333</v>
      </c>
      <c r="AI336" s="255">
        <f t="shared" si="295"/>
        <v>2382</v>
      </c>
      <c r="AJ336" s="256">
        <f t="shared" si="295"/>
        <v>2715</v>
      </c>
      <c r="AK336" s="255">
        <f t="shared" si="295"/>
        <v>1263</v>
      </c>
      <c r="AL336" s="255">
        <f t="shared" si="295"/>
        <v>576</v>
      </c>
      <c r="AM336" s="256">
        <f t="shared" si="295"/>
        <v>1839</v>
      </c>
      <c r="AN336" s="255">
        <f t="shared" ref="AN336:BB336" si="296">SUM(AN326:AN335)</f>
        <v>991.75</v>
      </c>
      <c r="AO336" s="255">
        <f t="shared" si="296"/>
        <v>991.75</v>
      </c>
      <c r="AP336" s="256">
        <f t="shared" si="296"/>
        <v>1983.5</v>
      </c>
      <c r="AQ336" s="255">
        <f t="shared" si="296"/>
        <v>1069.6750000000002</v>
      </c>
      <c r="AR336" s="255">
        <f t="shared" si="296"/>
        <v>1069.6750000000002</v>
      </c>
      <c r="AS336" s="256">
        <f t="shared" si="296"/>
        <v>2139.3500000000004</v>
      </c>
      <c r="AT336" s="255">
        <f t="shared" si="296"/>
        <v>1153.7650000000003</v>
      </c>
      <c r="AU336" s="255">
        <f t="shared" si="296"/>
        <v>1153.7650000000003</v>
      </c>
      <c r="AV336" s="256">
        <f t="shared" si="296"/>
        <v>2307.5300000000007</v>
      </c>
      <c r="AW336" s="255">
        <f t="shared" si="296"/>
        <v>1244.5551250000003</v>
      </c>
      <c r="AX336" s="255">
        <f t="shared" si="296"/>
        <v>1244.5551250000003</v>
      </c>
      <c r="AY336" s="256">
        <f t="shared" si="296"/>
        <v>2489.1102500000006</v>
      </c>
      <c r="AZ336" s="255">
        <f t="shared" si="296"/>
        <v>1342.6299437500004</v>
      </c>
      <c r="BA336" s="255">
        <f t="shared" si="296"/>
        <v>1342.6299437500004</v>
      </c>
      <c r="BB336" s="256">
        <f t="shared" si="296"/>
        <v>2685.2598875000008</v>
      </c>
      <c r="BC336" s="255">
        <f>SUM(BC326:BC335)</f>
        <v>1448.6282096875007</v>
      </c>
      <c r="BD336" s="255">
        <f>SUM(BD326:BD335)</f>
        <v>1448.6282096875007</v>
      </c>
      <c r="BE336" s="256">
        <f>SUM(BE326:BE335)</f>
        <v>2897.2564193750013</v>
      </c>
    </row>
    <row r="337" spans="2:61" outlineLevel="1">
      <c r="B337" s="293" t="s">
        <v>2580</v>
      </c>
      <c r="C337" s="303"/>
      <c r="D337" s="724"/>
      <c r="E337" s="724"/>
      <c r="F337" s="725"/>
      <c r="G337" s="724"/>
      <c r="H337" s="726"/>
      <c r="I337" s="303"/>
      <c r="J337" s="726"/>
      <c r="K337" s="726"/>
      <c r="L337" s="303"/>
      <c r="M337" s="726"/>
      <c r="N337" s="726"/>
      <c r="O337" s="303"/>
      <c r="P337" s="726"/>
      <c r="Q337" s="726"/>
      <c r="R337" s="303"/>
      <c r="S337" s="726"/>
      <c r="T337" s="726"/>
      <c r="U337" s="303"/>
      <c r="V337" s="726"/>
      <c r="W337" s="726"/>
      <c r="X337" s="303"/>
      <c r="Y337" s="726"/>
      <c r="Z337" s="726"/>
      <c r="AA337" s="303"/>
      <c r="AB337" s="726"/>
      <c r="AC337" s="726"/>
      <c r="AD337" s="303"/>
      <c r="AE337" s="726"/>
      <c r="AF337" s="727"/>
      <c r="AG337" s="725"/>
      <c r="AH337" s="724">
        <f>AH336-AH331</f>
        <v>944</v>
      </c>
      <c r="AI337" s="724">
        <f>AJ337-AH337</f>
        <v>3182</v>
      </c>
      <c r="AJ337" s="725">
        <f>AJ336-AJ331</f>
        <v>4126</v>
      </c>
      <c r="AK337" s="724">
        <f>AK336-AK331</f>
        <v>1263</v>
      </c>
      <c r="AL337" s="724">
        <f>AL336-AL331</f>
        <v>576</v>
      </c>
      <c r="AM337" s="724">
        <f>AM336-AM331</f>
        <v>1839</v>
      </c>
      <c r="AN337" s="255"/>
      <c r="AO337" s="255"/>
      <c r="AP337" s="256"/>
      <c r="AQ337" s="255"/>
      <c r="AR337" s="255"/>
      <c r="AS337" s="256"/>
      <c r="AT337" s="255"/>
      <c r="AU337" s="255"/>
      <c r="AV337" s="256"/>
      <c r="AW337" s="255"/>
      <c r="AX337" s="255"/>
      <c r="AY337" s="256"/>
      <c r="AZ337" s="255"/>
      <c r="BA337" s="255"/>
      <c r="BB337" s="256"/>
      <c r="BC337" s="255"/>
      <c r="BD337" s="255"/>
      <c r="BE337" s="256"/>
    </row>
    <row r="338" spans="2:61" outlineLevel="1">
      <c r="B338" s="243" t="s">
        <v>2370</v>
      </c>
      <c r="C338" s="287"/>
      <c r="D338" s="255">
        <v>13582</v>
      </c>
      <c r="E338" s="255">
        <v>9120</v>
      </c>
      <c r="F338" s="256">
        <f>D338+E338</f>
        <v>22702</v>
      </c>
      <c r="G338" s="255">
        <v>5853</v>
      </c>
      <c r="H338" s="255">
        <f>H294-G294-H336</f>
        <v>-18307</v>
      </c>
      <c r="I338" s="256">
        <f>G338+H338</f>
        <v>-12454</v>
      </c>
      <c r="J338" s="255">
        <f>J294-I294-J336</f>
        <v>-14471</v>
      </c>
      <c r="K338" s="255">
        <f>K294-J294-K336</f>
        <v>5558</v>
      </c>
      <c r="L338" s="256">
        <f>J338+K338</f>
        <v>-8913</v>
      </c>
      <c r="M338" s="255">
        <f>M294-L294-M336</f>
        <v>14901</v>
      </c>
      <c r="N338" s="255">
        <f>N294-M294-N336</f>
        <v>-1310</v>
      </c>
      <c r="O338" s="256">
        <f>M338+N338</f>
        <v>13591</v>
      </c>
      <c r="P338" s="255">
        <f>P294-O294-P336</f>
        <v>8845</v>
      </c>
      <c r="Q338" s="255">
        <f>Q294-P294-Q336</f>
        <v>-56</v>
      </c>
      <c r="R338" s="256">
        <f>+Q338+P338</f>
        <v>8789</v>
      </c>
      <c r="S338" s="255">
        <f>S294-R294-S336</f>
        <v>-6714</v>
      </c>
      <c r="T338" s="255">
        <f>T294-S294-T336</f>
        <v>6748</v>
      </c>
      <c r="U338" s="256">
        <f>+T338+S338</f>
        <v>34</v>
      </c>
      <c r="V338" s="255">
        <f>V294-U294-V336</f>
        <v>16611</v>
      </c>
      <c r="W338" s="255">
        <f>W294-V294-W336</f>
        <v>14980</v>
      </c>
      <c r="X338" s="256">
        <f>V338+W338</f>
        <v>31591</v>
      </c>
      <c r="Y338" s="255">
        <f>Y294-X294-Y336</f>
        <v>3578</v>
      </c>
      <c r="Z338" s="255">
        <f>Z294-Y294-Z336</f>
        <v>3285</v>
      </c>
      <c r="AA338" s="256">
        <f>Y338+Z338</f>
        <v>6863</v>
      </c>
      <c r="AB338" s="255">
        <f t="shared" ref="AB338:AH338" si="297">AB294-AA294-AB336</f>
        <v>-126841</v>
      </c>
      <c r="AC338" s="255">
        <f t="shared" si="297"/>
        <v>2163</v>
      </c>
      <c r="AD338" s="256">
        <f>AB338+AC338</f>
        <v>-124678</v>
      </c>
      <c r="AE338" s="255">
        <f t="shared" si="297"/>
        <v>2463</v>
      </c>
      <c r="AF338" s="286">
        <f t="shared" si="297"/>
        <v>152</v>
      </c>
      <c r="AG338" s="256">
        <f>+AE338+AF338</f>
        <v>2615</v>
      </c>
      <c r="AH338" s="255">
        <f t="shared" si="297"/>
        <v>-7181</v>
      </c>
      <c r="AI338" s="286">
        <f>AI294-AH294-AI336</f>
        <v>4112</v>
      </c>
      <c r="AJ338" s="256">
        <f>+AH338+AI338</f>
        <v>-3069</v>
      </c>
      <c r="AK338" s="255">
        <v>6958</v>
      </c>
      <c r="AL338" s="255">
        <f>AL339*AK294</f>
        <v>4310.04</v>
      </c>
      <c r="AM338" s="256">
        <f>AK338+AL338</f>
        <v>11268.04</v>
      </c>
      <c r="AN338" s="255">
        <f>AN339*AM294</f>
        <v>4439.97</v>
      </c>
      <c r="AO338" s="255">
        <f>AO339*AN294</f>
        <v>14192.5</v>
      </c>
      <c r="AP338" s="256">
        <f>AN338+AO338</f>
        <v>18632.47</v>
      </c>
      <c r="AQ338" s="255">
        <f>AQ339*AP294</f>
        <v>5058.4490999999998</v>
      </c>
      <c r="AR338" s="255">
        <f>AR339*AQ294</f>
        <v>5242.2928229999998</v>
      </c>
      <c r="AS338" s="256">
        <f>AQ338+AR338</f>
        <v>10300.741923</v>
      </c>
      <c r="AT338" s="255">
        <f>AT339*AS294</f>
        <v>5431.6518576899998</v>
      </c>
      <c r="AU338" s="255">
        <f>AU339*AT294</f>
        <v>5629.2143634206996</v>
      </c>
      <c r="AV338" s="256">
        <f>AT338+AU338</f>
        <v>11060.8662211107</v>
      </c>
      <c r="AW338" s="255">
        <f>AW339*AV294</f>
        <v>5832.7037443233212</v>
      </c>
      <c r="AX338" s="255">
        <f>AX339*AW294</f>
        <v>6045.0215104030212</v>
      </c>
      <c r="AY338" s="256">
        <f>AW338+AX338</f>
        <v>11877.725254726342</v>
      </c>
      <c r="AZ338" s="255">
        <f>AZ339*AY294</f>
        <v>6263.7088094651108</v>
      </c>
      <c r="BA338" s="255">
        <f>BA339*AZ294</f>
        <v>6491.8989720615646</v>
      </c>
      <c r="BB338" s="256">
        <f>AZ338+BA338</f>
        <v>12755.607781526676</v>
      </c>
      <c r="BC338" s="255">
        <f>BC339*BB294</f>
        <v>6726.934839535912</v>
      </c>
      <c r="BD338" s="255">
        <f>BD339*BC294</f>
        <v>6972.2017310126148</v>
      </c>
      <c r="BE338" s="256">
        <f>BC338+BD338</f>
        <v>13699.136570548526</v>
      </c>
    </row>
    <row r="339" spans="2:61" outlineLevel="1">
      <c r="B339" s="243"/>
      <c r="C339" s="287"/>
      <c r="D339" s="361">
        <f>D338/C294</f>
        <v>9.3252224541359993E-2</v>
      </c>
      <c r="E339" s="361">
        <f>E338/D294</f>
        <v>5.6736176777982379E-2</v>
      </c>
      <c r="F339" s="362">
        <f>F338/C294</f>
        <v>0.15586894430407558</v>
      </c>
      <c r="G339" s="361">
        <f>G338/F294</f>
        <v>3.4672116580771281E-2</v>
      </c>
      <c r="H339" s="363">
        <f>H338/G294</f>
        <v>-9.1611037160843498E-2</v>
      </c>
      <c r="I339" s="362">
        <f>I338/F294</f>
        <v>-7.3775250281381433E-2</v>
      </c>
      <c r="J339" s="361">
        <f>J338/I294</f>
        <v>-7.8234308266205324E-2</v>
      </c>
      <c r="K339" s="363">
        <f>K338/J294</f>
        <v>3.5171427486616128E-2</v>
      </c>
      <c r="L339" s="362">
        <f>L338/I294</f>
        <v>-4.8186192355517111E-2</v>
      </c>
      <c r="M339" s="361">
        <f>M338/L294</f>
        <v>8.8062171266473616E-2</v>
      </c>
      <c r="N339" s="363">
        <f>N338/M294</f>
        <v>-7.0544267874355811E-3</v>
      </c>
      <c r="O339" s="362">
        <f>O338/L294</f>
        <v>8.0320312038295608E-2</v>
      </c>
      <c r="P339" s="361">
        <f>P338/O294</f>
        <v>4.9244490963956042E-2</v>
      </c>
      <c r="Q339" s="363">
        <f>Q338/P294</f>
        <v>-2.9249845915990262E-4</v>
      </c>
      <c r="R339" s="362">
        <f>R338/O294</f>
        <v>4.8932711258587863E-2</v>
      </c>
      <c r="S339" s="361">
        <f>S338/R294</f>
        <v>-3.5615958750417745E-2</v>
      </c>
      <c r="T339" s="363">
        <f>T338/S294</f>
        <v>3.6664946072971286E-2</v>
      </c>
      <c r="U339" s="362">
        <f>U338/R294</f>
        <v>1.8036082775010477E-4</v>
      </c>
      <c r="V339" s="361">
        <f>V338/U294</f>
        <v>8.6165130381106028E-2</v>
      </c>
      <c r="W339" s="265">
        <f>W338/V294</f>
        <v>6.9399724810169983E-2</v>
      </c>
      <c r="X339" s="362">
        <f>X338/U294</f>
        <v>0.1638698834428704</v>
      </c>
      <c r="Y339" s="361">
        <f>Y338/X294</f>
        <v>1.4886499800292904E-2</v>
      </c>
      <c r="Z339" s="265">
        <f>Z338/Y294</f>
        <v>1.3408382177668206E-2</v>
      </c>
      <c r="AA339" s="362">
        <f>AA338/X294</f>
        <v>2.8553954200505924E-2</v>
      </c>
      <c r="AB339" s="361">
        <f t="shared" ref="AB339:AH339" si="298">AB338/AA294</f>
        <v>-0.5003925312545614</v>
      </c>
      <c r="AC339" s="361">
        <f t="shared" si="298"/>
        <v>1.688405966793902E-2</v>
      </c>
      <c r="AD339" s="596" t="s">
        <v>215</v>
      </c>
      <c r="AE339" s="361">
        <f t="shared" si="298"/>
        <v>1.8672812597135775E-2</v>
      </c>
      <c r="AF339" s="620">
        <f t="shared" si="298"/>
        <v>1.1219699430157371E-3</v>
      </c>
      <c r="AG339" s="362">
        <f>AG338/AD294</f>
        <v>1.9825174560093403E-2</v>
      </c>
      <c r="AH339" s="361">
        <f t="shared" si="298"/>
        <v>-5.2878844780229896E-2</v>
      </c>
      <c r="AI339" s="620">
        <f>AI338/AH294</f>
        <v>3.1887586950284215E-2</v>
      </c>
      <c r="AJ339" s="362">
        <f>AJ338/AG294</f>
        <v>-2.2599244482735769E-2</v>
      </c>
      <c r="AK339" s="361">
        <f>AK338/AJ294</f>
        <v>5.1370646821265881E-2</v>
      </c>
      <c r="AL339" s="348">
        <v>0.03</v>
      </c>
      <c r="AM339" s="362">
        <f>AM338/AJ294</f>
        <v>8.3191506640973967E-2</v>
      </c>
      <c r="AN339" s="364">
        <v>0.03</v>
      </c>
      <c r="AO339" s="348">
        <v>0.1</v>
      </c>
      <c r="AP339" s="362">
        <f>AP338/AM294</f>
        <v>0.12589591821566362</v>
      </c>
      <c r="AQ339" s="364">
        <v>0.03</v>
      </c>
      <c r="AR339" s="348">
        <v>0.03</v>
      </c>
      <c r="AS339" s="362">
        <f>AS338/AP294</f>
        <v>6.109031673166386E-2</v>
      </c>
      <c r="AT339" s="364">
        <v>0.03</v>
      </c>
      <c r="AU339" s="348">
        <v>0.03</v>
      </c>
      <c r="AV339" s="362">
        <f>AV338/AS294</f>
        <v>6.1091173611123449E-2</v>
      </c>
      <c r="AW339" s="364">
        <v>0.03</v>
      </c>
      <c r="AX339" s="348">
        <v>0.03</v>
      </c>
      <c r="AY339" s="362">
        <f>AY338/AV294</f>
        <v>6.1092037802981183E-2</v>
      </c>
      <c r="AZ339" s="364">
        <v>0.03</v>
      </c>
      <c r="BA339" s="348">
        <v>0.03</v>
      </c>
      <c r="BB339" s="362">
        <f>BB338/AY294</f>
        <v>6.1092915569055356E-2</v>
      </c>
      <c r="BC339" s="364">
        <v>0.03</v>
      </c>
      <c r="BD339" s="348">
        <v>0.03</v>
      </c>
      <c r="BE339" s="362">
        <f>BE338/BB294</f>
        <v>6.1093812697732133E-2</v>
      </c>
      <c r="BG339" s="246">
        <f>1.3%*V294</f>
        <v>2806.0630000000001</v>
      </c>
      <c r="BI339" s="521"/>
    </row>
    <row r="340" spans="2:61" outlineLevel="1">
      <c r="C340" s="287"/>
      <c r="D340" s="255"/>
      <c r="E340" s="255"/>
      <c r="F340" s="256"/>
      <c r="G340" s="255"/>
      <c r="I340" s="287"/>
      <c r="J340" s="364"/>
      <c r="L340" s="287"/>
      <c r="O340" s="287"/>
      <c r="R340" s="252"/>
      <c r="S340" s="251"/>
      <c r="U340" s="287"/>
      <c r="W340" s="521"/>
      <c r="X340" s="287"/>
      <c r="AA340" s="287"/>
      <c r="AC340" s="265"/>
      <c r="AD340" s="252"/>
      <c r="AF340" s="613"/>
      <c r="AG340" s="287"/>
      <c r="AI340" s="613"/>
      <c r="AJ340" s="287"/>
      <c r="AM340" s="287"/>
      <c r="AP340" s="287"/>
      <c r="AS340" s="287"/>
      <c r="AV340" s="287"/>
      <c r="AY340" s="287"/>
      <c r="BB340" s="287"/>
      <c r="BE340" s="287"/>
      <c r="BG340" s="246">
        <f>BG339-1100</f>
        <v>1706.0630000000001</v>
      </c>
    </row>
    <row r="341" spans="2:61" outlineLevel="1">
      <c r="B341" s="243" t="s">
        <v>2371</v>
      </c>
      <c r="C341" s="287"/>
      <c r="D341" s="255">
        <f t="shared" ref="D341:AM341" si="299">D336+D338</f>
        <v>15096</v>
      </c>
      <c r="E341" s="255">
        <f t="shared" si="299"/>
        <v>8066</v>
      </c>
      <c r="F341" s="256">
        <f t="shared" si="299"/>
        <v>23162</v>
      </c>
      <c r="G341" s="255">
        <f t="shared" si="299"/>
        <v>31024</v>
      </c>
      <c r="H341" s="255">
        <f t="shared" si="299"/>
        <v>-14864</v>
      </c>
      <c r="I341" s="256">
        <f t="shared" si="299"/>
        <v>16160</v>
      </c>
      <c r="J341" s="255">
        <f t="shared" si="299"/>
        <v>-26944</v>
      </c>
      <c r="K341" s="255">
        <f t="shared" si="299"/>
        <v>11184</v>
      </c>
      <c r="L341" s="256">
        <f t="shared" si="299"/>
        <v>-15760</v>
      </c>
      <c r="M341" s="255">
        <f t="shared" si="299"/>
        <v>16489</v>
      </c>
      <c r="N341" s="255">
        <f t="shared" si="299"/>
        <v>-6085</v>
      </c>
      <c r="O341" s="256">
        <f>O336+O338</f>
        <v>10404</v>
      </c>
      <c r="P341" s="255">
        <f t="shared" si="299"/>
        <v>11840</v>
      </c>
      <c r="Q341" s="255">
        <f t="shared" si="299"/>
        <v>-2943</v>
      </c>
      <c r="R341" s="256">
        <f>R336+R338</f>
        <v>8897</v>
      </c>
      <c r="S341" s="255">
        <f>S336+S338</f>
        <v>-4466</v>
      </c>
      <c r="T341" s="255">
        <f t="shared" si="299"/>
        <v>8736</v>
      </c>
      <c r="U341" s="256">
        <f t="shared" si="299"/>
        <v>4270</v>
      </c>
      <c r="V341" s="255">
        <f t="shared" si="299"/>
        <v>23070</v>
      </c>
      <c r="W341" s="255">
        <f t="shared" si="299"/>
        <v>24501</v>
      </c>
      <c r="X341" s="256">
        <f t="shared" si="299"/>
        <v>47571</v>
      </c>
      <c r="Y341" s="255">
        <f>Y336+Y338</f>
        <v>4644</v>
      </c>
      <c r="Z341" s="255">
        <f t="shared" si="299"/>
        <v>8487</v>
      </c>
      <c r="AA341" s="256">
        <f t="shared" si="299"/>
        <v>13131</v>
      </c>
      <c r="AB341" s="255">
        <f t="shared" si="299"/>
        <v>-125374</v>
      </c>
      <c r="AC341" s="255">
        <f>AC336+AC338</f>
        <v>3794</v>
      </c>
      <c r="AD341" s="256">
        <f t="shared" si="299"/>
        <v>-121580</v>
      </c>
      <c r="AE341" s="255">
        <f t="shared" si="299"/>
        <v>3573</v>
      </c>
      <c r="AF341" s="286">
        <f t="shared" si="299"/>
        <v>325</v>
      </c>
      <c r="AG341" s="256">
        <f t="shared" si="299"/>
        <v>3898</v>
      </c>
      <c r="AH341" s="255">
        <f>AH336+AH338</f>
        <v>-6848</v>
      </c>
      <c r="AI341" s="286">
        <f>AI336+AI338</f>
        <v>6494</v>
      </c>
      <c r="AJ341" s="256">
        <f>AJ336+AJ338</f>
        <v>-354</v>
      </c>
      <c r="AK341" s="255">
        <f t="shared" si="299"/>
        <v>8221</v>
      </c>
      <c r="AL341" s="255">
        <f t="shared" si="299"/>
        <v>4886.04</v>
      </c>
      <c r="AM341" s="256">
        <f t="shared" si="299"/>
        <v>13107.04</v>
      </c>
      <c r="AN341" s="255">
        <f>AN294-AL294</f>
        <v>-6074</v>
      </c>
      <c r="AO341" s="255">
        <f t="shared" ref="AO341:BB341" si="300">AO336+AO338</f>
        <v>15184.25</v>
      </c>
      <c r="AP341" s="256">
        <f t="shared" si="300"/>
        <v>20615.97</v>
      </c>
      <c r="AQ341" s="255">
        <f t="shared" si="300"/>
        <v>6128.1241</v>
      </c>
      <c r="AR341" s="255">
        <f t="shared" si="300"/>
        <v>6311.967823</v>
      </c>
      <c r="AS341" s="256">
        <f t="shared" si="300"/>
        <v>12440.091923</v>
      </c>
      <c r="AT341" s="255">
        <f t="shared" si="300"/>
        <v>6585.4168576900001</v>
      </c>
      <c r="AU341" s="255">
        <f t="shared" si="300"/>
        <v>6782.9793634206999</v>
      </c>
      <c r="AV341" s="256">
        <f t="shared" si="300"/>
        <v>13368.396221110701</v>
      </c>
      <c r="AW341" s="255">
        <f t="shared" si="300"/>
        <v>7077.2588693233211</v>
      </c>
      <c r="AX341" s="255">
        <f t="shared" si="300"/>
        <v>7289.576635403022</v>
      </c>
      <c r="AY341" s="256">
        <f t="shared" si="300"/>
        <v>14366.835504726343</v>
      </c>
      <c r="AZ341" s="255">
        <f t="shared" si="300"/>
        <v>7606.338753215111</v>
      </c>
      <c r="BA341" s="255">
        <f t="shared" si="300"/>
        <v>7834.5289158115647</v>
      </c>
      <c r="BB341" s="256">
        <f t="shared" si="300"/>
        <v>15440.867669026677</v>
      </c>
      <c r="BC341" s="255">
        <f>BC336+BC338</f>
        <v>8175.5630492234122</v>
      </c>
      <c r="BD341" s="255">
        <f>BD336+BD338</f>
        <v>8420.8299407001159</v>
      </c>
      <c r="BE341" s="256">
        <f>BE336+BE338</f>
        <v>16596.392989923526</v>
      </c>
    </row>
    <row r="342" spans="2:61" outlineLevel="1">
      <c r="B342" s="246" t="s">
        <v>2372</v>
      </c>
      <c r="C342" s="287"/>
      <c r="D342" s="251">
        <f>D294-C294</f>
        <v>15096</v>
      </c>
      <c r="E342" s="251">
        <f>E294-D294</f>
        <v>8066</v>
      </c>
      <c r="F342" s="252">
        <f>F294-C294</f>
        <v>23162</v>
      </c>
      <c r="G342" s="251">
        <f>G294-F294</f>
        <v>31024</v>
      </c>
      <c r="H342" s="251">
        <f>H294-G294</f>
        <v>-14864</v>
      </c>
      <c r="I342" s="252">
        <f>I294-F294</f>
        <v>16160</v>
      </c>
      <c r="J342" s="251">
        <f>J294-I294</f>
        <v>-26944</v>
      </c>
      <c r="K342" s="251">
        <f>K294-J294</f>
        <v>11184</v>
      </c>
      <c r="L342" s="252">
        <f>L294-I294</f>
        <v>-15760</v>
      </c>
      <c r="M342" s="251">
        <f>M294-L294</f>
        <v>16489</v>
      </c>
      <c r="N342" s="251">
        <f>N294-M294</f>
        <v>-6085</v>
      </c>
      <c r="O342" s="252">
        <f>O294-L294</f>
        <v>10404</v>
      </c>
      <c r="P342" s="251">
        <f>P294-O294</f>
        <v>11840</v>
      </c>
      <c r="Q342" s="251">
        <f>Q294-P294</f>
        <v>-2943</v>
      </c>
      <c r="R342" s="252">
        <f>R294-O294</f>
        <v>8897</v>
      </c>
      <c r="S342" s="251">
        <f>S294-R294</f>
        <v>-4466</v>
      </c>
      <c r="T342" s="251">
        <f>T294-S294</f>
        <v>8736</v>
      </c>
      <c r="U342" s="252">
        <f>U294-R294</f>
        <v>4270</v>
      </c>
      <c r="V342" s="251">
        <f>V294-U294</f>
        <v>23070</v>
      </c>
      <c r="W342" s="251">
        <f>W294-V294</f>
        <v>24501</v>
      </c>
      <c r="X342" s="252">
        <f>X294-U294</f>
        <v>47571</v>
      </c>
      <c r="Y342" s="251">
        <f>Y294-X294</f>
        <v>4644</v>
      </c>
      <c r="Z342" s="251">
        <f>Z294-Y294</f>
        <v>8487</v>
      </c>
      <c r="AA342" s="252">
        <f>AA294-X294</f>
        <v>13131</v>
      </c>
      <c r="AB342" s="251">
        <f>AB294-AA294</f>
        <v>-125374</v>
      </c>
      <c r="AC342" s="251">
        <f>AC294-AB294</f>
        <v>3794</v>
      </c>
      <c r="AD342" s="252">
        <f>AD294-AA294</f>
        <v>-121580</v>
      </c>
      <c r="AE342" s="251">
        <f>AE294-AD294</f>
        <v>3573</v>
      </c>
      <c r="AF342" s="260">
        <f>AF294-AE294</f>
        <v>325</v>
      </c>
      <c r="AG342" s="252">
        <f>AG294-AD294</f>
        <v>3898</v>
      </c>
      <c r="AH342" s="251">
        <f>AH294-AG294</f>
        <v>-6848</v>
      </c>
      <c r="AI342" s="260">
        <f>AI294-AH294</f>
        <v>6494</v>
      </c>
      <c r="AJ342" s="252">
        <f>AJ294-AG294</f>
        <v>-354</v>
      </c>
      <c r="AK342" s="251">
        <f>AK294-AJ294</f>
        <v>8221</v>
      </c>
      <c r="AL342" s="251">
        <f>AL294-AK294</f>
        <v>4331</v>
      </c>
      <c r="AM342" s="252">
        <f>AM294-AJ294</f>
        <v>12552</v>
      </c>
      <c r="AN342" s="251">
        <f>AN294-AM294</f>
        <v>-6074</v>
      </c>
      <c r="AO342" s="251">
        <f>AO294-AN294</f>
        <v>15184.25</v>
      </c>
      <c r="AP342" s="252">
        <f>AP294-AM294</f>
        <v>20615.97</v>
      </c>
      <c r="AQ342" s="251">
        <f>AQ294-AP294</f>
        <v>6128.1240999999864</v>
      </c>
      <c r="AR342" s="251">
        <f>AR294-AQ294</f>
        <v>6311.9678230000136</v>
      </c>
      <c r="AS342" s="252">
        <f>AS294-AP294</f>
        <v>12440.091923</v>
      </c>
      <c r="AT342" s="251">
        <f>AT294-AS294</f>
        <v>6585.4168576899974</v>
      </c>
      <c r="AU342" s="251">
        <f>AU294-AT294</f>
        <v>6782.9793634206872</v>
      </c>
      <c r="AV342" s="252">
        <f>AV294-AS294</f>
        <v>13368.396221110714</v>
      </c>
      <c r="AW342" s="251">
        <f>AW294-AV294</f>
        <v>7077.2588693233265</v>
      </c>
      <c r="AX342" s="251">
        <f>AX294-AW294</f>
        <v>7289.5766354030347</v>
      </c>
      <c r="AY342" s="252">
        <f>AY294-AV294</f>
        <v>14366.835504726332</v>
      </c>
      <c r="AZ342" s="251">
        <f>AZ294-AY294</f>
        <v>7606.3387532151246</v>
      </c>
      <c r="BA342" s="251">
        <f>BA294-AZ294</f>
        <v>7834.5289158115629</v>
      </c>
      <c r="BB342" s="252">
        <f>BB294-AY294</f>
        <v>15440.867669026688</v>
      </c>
      <c r="BC342" s="251">
        <f>BC294-BB294</f>
        <v>8175.5630492234195</v>
      </c>
      <c r="BD342" s="251">
        <f>BD294-BC294</f>
        <v>8420.8299407001177</v>
      </c>
      <c r="BE342" s="252">
        <f>BE294-BB294</f>
        <v>16596.392989923537</v>
      </c>
    </row>
    <row r="343" spans="2:61" outlineLevel="1">
      <c r="C343" s="287"/>
      <c r="F343" s="287"/>
      <c r="I343" s="287"/>
      <c r="L343" s="287"/>
      <c r="O343" s="287"/>
      <c r="R343" s="287"/>
      <c r="U343" s="287"/>
      <c r="X343" s="287"/>
      <c r="AA343" s="287"/>
      <c r="AD343" s="287"/>
      <c r="AF343" s="613"/>
      <c r="AG343" s="287"/>
      <c r="AI343" s="613"/>
      <c r="AJ343" s="287"/>
      <c r="AM343" s="287"/>
      <c r="AP343" s="287"/>
      <c r="AS343" s="287"/>
      <c r="AV343" s="287"/>
      <c r="AY343" s="287"/>
      <c r="BB343" s="287"/>
      <c r="BE343" s="287"/>
    </row>
    <row r="344" spans="2:61" outlineLevel="1">
      <c r="B344" s="293" t="s">
        <v>2373</v>
      </c>
      <c r="C344" s="287"/>
      <c r="F344" s="287"/>
      <c r="I344" s="287"/>
      <c r="L344" s="287"/>
      <c r="O344" s="287"/>
      <c r="R344" s="287"/>
      <c r="U344" s="287"/>
      <c r="X344" s="287"/>
      <c r="AA344" s="287"/>
      <c r="AD344" s="287"/>
      <c r="AF344" s="613"/>
      <c r="AG344" s="287"/>
      <c r="AI344" s="613"/>
      <c r="AJ344" s="287"/>
      <c r="AM344" s="287"/>
      <c r="AP344" s="287"/>
      <c r="AS344" s="287"/>
      <c r="AV344" s="287"/>
      <c r="AY344" s="287"/>
      <c r="BB344" s="287"/>
      <c r="BE344" s="287"/>
    </row>
    <row r="345" spans="2:61" outlineLevel="1">
      <c r="B345" s="246" t="s">
        <v>2358</v>
      </c>
      <c r="C345" s="256">
        <v>5865</v>
      </c>
      <c r="D345" s="255">
        <f>C345+D351+D352</f>
        <v>6918</v>
      </c>
      <c r="E345" s="255">
        <f>D345+E351+E352</f>
        <v>8261</v>
      </c>
      <c r="F345" s="256">
        <f>E345</f>
        <v>8261</v>
      </c>
      <c r="G345" s="255">
        <f>F345+G351+G352</f>
        <v>7868</v>
      </c>
      <c r="H345" s="255">
        <f>G345+H351+H352</f>
        <v>6335</v>
      </c>
      <c r="I345" s="256">
        <f>H345</f>
        <v>6335</v>
      </c>
      <c r="J345" s="255">
        <f>I345+J351+J352</f>
        <v>6245</v>
      </c>
      <c r="K345" s="255">
        <f>J345+K351+K352</f>
        <v>6124</v>
      </c>
      <c r="L345" s="256">
        <f>K345</f>
        <v>6124</v>
      </c>
      <c r="M345" s="255">
        <f>L345+M351+M352</f>
        <v>7062</v>
      </c>
      <c r="N345" s="357">
        <f>9078/1.2318</f>
        <v>7369.7028738431563</v>
      </c>
      <c r="O345" s="256">
        <f>N345</f>
        <v>7369.7028738431563</v>
      </c>
      <c r="P345" s="255">
        <f>9580/1.3165</f>
        <v>7276.8704899354352</v>
      </c>
      <c r="Q345" s="255">
        <f>10407/1.3</f>
        <v>8005.3846153846152</v>
      </c>
      <c r="R345" s="256">
        <f>Q345</f>
        <v>8005.3846153846152</v>
      </c>
      <c r="S345" s="255">
        <f>9523/1.1347</f>
        <v>8392.5266590288174</v>
      </c>
      <c r="T345" s="255">
        <f>10084/1.2756</f>
        <v>7905.2994669175287</v>
      </c>
      <c r="U345" s="256">
        <f>T345</f>
        <v>7905.2994669175287</v>
      </c>
      <c r="V345" s="255">
        <f>10337/1.261</f>
        <v>8197.4623314829514</v>
      </c>
      <c r="W345" s="255">
        <f>11080/Model!AA19</f>
        <v>9342.3271500843166</v>
      </c>
      <c r="X345" s="256">
        <f>W345</f>
        <v>9342.3271500843166</v>
      </c>
      <c r="Y345" s="255">
        <f>11937/Model!AB19</f>
        <v>10984.632373240085</v>
      </c>
      <c r="Z345" s="255">
        <f>13003/Model!AC19</f>
        <v>12082.326705073407</v>
      </c>
      <c r="AA345" s="256">
        <f>Z345</f>
        <v>12082.326705073407</v>
      </c>
      <c r="AB345" s="255">
        <f>14226/Model!AD19</f>
        <v>13613.397129186604</v>
      </c>
      <c r="AC345" s="255">
        <f>11117/Model!AE19</f>
        <v>9852.8760081538585</v>
      </c>
      <c r="AD345" s="256">
        <f>AC345</f>
        <v>9852.8760081538585</v>
      </c>
      <c r="AE345" s="255">
        <f>11731/Model!AF19</f>
        <v>11004.690431519699</v>
      </c>
      <c r="AF345" s="286">
        <f>12063/Model!AG19</f>
        <v>11521.489971346706</v>
      </c>
      <c r="AG345" s="256">
        <f>AF345</f>
        <v>11521.489971346706</v>
      </c>
      <c r="AH345" s="255">
        <f>12586/Model!AH19</f>
        <v>12110.074088328684</v>
      </c>
      <c r="AI345" s="255">
        <f>12826/Model!AI19</f>
        <v>12223.387019918042</v>
      </c>
      <c r="AJ345" s="256">
        <f>AI345</f>
        <v>12223.387019918042</v>
      </c>
      <c r="AK345" s="255">
        <f>13325/Model!AJ19</f>
        <v>12132.386415369207</v>
      </c>
      <c r="AL345" s="255">
        <f>13325/Model!AK19</f>
        <v>12214.68512237602</v>
      </c>
      <c r="AM345" s="256">
        <f>AL345</f>
        <v>12214.68512237602</v>
      </c>
      <c r="AN345" s="307">
        <f>AM345*(1+AN295)</f>
        <v>11713.384455254542</v>
      </c>
      <c r="AO345" s="307">
        <f>AN345*(1+AO295)</f>
        <v>12966.574223897831</v>
      </c>
      <c r="AP345" s="256">
        <f>AO345</f>
        <v>12966.574223897831</v>
      </c>
      <c r="AQ345" s="307">
        <f>AP345*(1+AQ295)</f>
        <v>13437.829984853734</v>
      </c>
      <c r="AR345" s="307">
        <f>AQ345*(1+AR295)</f>
        <v>13923.223418638318</v>
      </c>
      <c r="AS345" s="256">
        <f>AR345</f>
        <v>13923.223418638318</v>
      </c>
      <c r="AT345" s="307">
        <f>AS345*(1+AT295)</f>
        <v>14429.645217844789</v>
      </c>
      <c r="AU345" s="307">
        <f>AT345*(1+AU295)</f>
        <v>14951.259671027456</v>
      </c>
      <c r="AV345" s="256">
        <f>AU345</f>
        <v>14951.259671027456</v>
      </c>
      <c r="AW345" s="307">
        <f>AV345*(1+AW295)</f>
        <v>15495.504363125792</v>
      </c>
      <c r="AX345" s="307">
        <f>AW345*(1+AX295)</f>
        <v>16056.07639598708</v>
      </c>
      <c r="AY345" s="256">
        <f>AX345</f>
        <v>16056.07639598708</v>
      </c>
      <c r="AZ345" s="307">
        <f>AY345*(1+AZ295)</f>
        <v>16641.007591690963</v>
      </c>
      <c r="BA345" s="307">
        <f>AZ345*(1+BA295)</f>
        <v>17243.48672326596</v>
      </c>
      <c r="BB345" s="256">
        <f>BA345</f>
        <v>17243.48672326596</v>
      </c>
      <c r="BC345" s="307">
        <f>BB345*(1+BC295)</f>
        <v>17872.191547635422</v>
      </c>
      <c r="BD345" s="307">
        <f>BC345*(1+BD295)</f>
        <v>18519.757516735965</v>
      </c>
      <c r="BE345" s="256">
        <f>BD345</f>
        <v>18519.757516735965</v>
      </c>
    </row>
    <row r="346" spans="2:61" outlineLevel="1">
      <c r="B346" s="246" t="s">
        <v>2331</v>
      </c>
      <c r="C346" s="287"/>
      <c r="F346" s="287"/>
      <c r="G346" s="297">
        <f>G345/F345-1</f>
        <v>-4.7572933058951716E-2</v>
      </c>
      <c r="H346" s="297">
        <f>H345/G345-1</f>
        <v>-0.19483985765124556</v>
      </c>
      <c r="I346" s="305">
        <f>I345/F345-1</f>
        <v>-0.23314368720493883</v>
      </c>
      <c r="J346" s="297">
        <f>J345/I345-1</f>
        <v>-1.420678768745065E-2</v>
      </c>
      <c r="K346" s="297">
        <f>K345/J345-1</f>
        <v>-1.9375500400320211E-2</v>
      </c>
      <c r="L346" s="305">
        <f>L345/I345-1</f>
        <v>-3.3307024467245427E-2</v>
      </c>
      <c r="M346" s="297">
        <f>M345/L345-1</f>
        <v>0.1531678641410843</v>
      </c>
      <c r="N346" s="297">
        <f>N345/M345-1</f>
        <v>4.3571633226161977E-2</v>
      </c>
      <c r="O346" s="305">
        <f>O345/L345-1</f>
        <v>0.20341327136563625</v>
      </c>
      <c r="P346" s="297">
        <f>P345/O345-1</f>
        <v>-1.2596489369633312E-2</v>
      </c>
      <c r="Q346" s="297">
        <f>Q345/P345-1</f>
        <v>0.10011365826240559</v>
      </c>
      <c r="R346" s="305">
        <f>R345/O345-1</f>
        <v>8.6256088260714847E-2</v>
      </c>
      <c r="S346" s="297">
        <f>S345/R345-1</f>
        <v>4.8360205317330873E-2</v>
      </c>
      <c r="T346" s="297">
        <f>T345/S345-1</f>
        <v>-5.8054887628759766E-2</v>
      </c>
      <c r="U346" s="305">
        <f>U345/R345-1</f>
        <v>-1.2502228596830256E-2</v>
      </c>
      <c r="V346" s="297">
        <f>V345/U345-1</f>
        <v>3.6957849071762583E-2</v>
      </c>
      <c r="W346" s="297">
        <f>W345/V345-1</f>
        <v>0.13966088190541948</v>
      </c>
      <c r="X346" s="305">
        <f>X345/U345-1</f>
        <v>0.1817802967718718</v>
      </c>
      <c r="Y346" s="297">
        <f>Y345/X345-1</f>
        <v>0.17579187677461561</v>
      </c>
      <c r="Z346" s="297">
        <f>Z345/Y345-1</f>
        <v>9.9930001709246152E-2</v>
      </c>
      <c r="AA346" s="305">
        <f>AA345/X345-1</f>
        <v>0.29328876103042067</v>
      </c>
      <c r="AB346" s="297">
        <f>AB345/AA345-1</f>
        <v>0.12671983314855217</v>
      </c>
      <c r="AC346" s="297">
        <f>AC345/AB345-1</f>
        <v>-0.276236789784846</v>
      </c>
      <c r="AD346" s="305">
        <f>AD345/AA345-1</f>
        <v>-0.18452163654732123</v>
      </c>
      <c r="AE346" s="297">
        <f>AE345/AD345-1</f>
        <v>0.11690134153851561</v>
      </c>
      <c r="AF346" s="619">
        <f>AF345/AE345-1</f>
        <v>4.6961751722409906E-2</v>
      </c>
      <c r="AG346" s="305">
        <f>AG345/AD345-1</f>
        <v>0.16935298503827378</v>
      </c>
      <c r="AH346" s="297">
        <f>AH345/AG345-1</f>
        <v>5.1085763945961205E-2</v>
      </c>
      <c r="AI346" s="619">
        <f>AI345/AH345-1</f>
        <v>9.3569148101715349E-3</v>
      </c>
      <c r="AJ346" s="305">
        <f>AJ345/AG345-1</f>
        <v>6.0920683897387695E-2</v>
      </c>
      <c r="AK346" s="297">
        <f>AK345/AJ345-1</f>
        <v>-7.4447945074920252E-3</v>
      </c>
      <c r="AL346" s="297">
        <f>AL345/AK345-1</f>
        <v>6.783389861582334E-3</v>
      </c>
      <c r="AM346" s="305">
        <f>AM345/AJ345-1</f>
        <v>-7.1190558949341121E-4</v>
      </c>
      <c r="AN346" s="297">
        <f>AN345/AM345-1</f>
        <v>-4.1040817843363664E-2</v>
      </c>
      <c r="AO346" s="297">
        <f>AO345/AN345-1</f>
        <v>0.1069878456931479</v>
      </c>
      <c r="AP346" s="305">
        <f>AP345/AM345-1</f>
        <v>6.1556159163237645E-2</v>
      </c>
      <c r="AQ346" s="297">
        <f>AQ345/AP345-1</f>
        <v>3.6343891055461874E-2</v>
      </c>
      <c r="AR346" s="297">
        <f>AR345/AQ345-1</f>
        <v>3.6121415015049951E-2</v>
      </c>
      <c r="AS346" s="305">
        <f>AS345/AP345-1</f>
        <v>7.3778098842587791E-2</v>
      </c>
      <c r="AT346" s="297">
        <f>AT345/AS345-1</f>
        <v>3.6372453704115015E-2</v>
      </c>
      <c r="AU346" s="297">
        <f>AU345/AT345-1</f>
        <v>3.6148806523503385E-2</v>
      </c>
      <c r="AV346" s="305">
        <f>AV345/AS345-1</f>
        <v>7.3836081019353461E-2</v>
      </c>
      <c r="AW346" s="297">
        <f>AW345/AV345-1</f>
        <v>3.6401260099373056E-2</v>
      </c>
      <c r="AX346" s="297">
        <f>AX345/AW345-1</f>
        <v>3.6176430255169034E-2</v>
      </c>
      <c r="AY346" s="305">
        <f>AY345/AV345-1</f>
        <v>7.3894558001727395E-2</v>
      </c>
      <c r="AZ346" s="297">
        <f>AZ345/AY345-1</f>
        <v>3.6430518968511905E-2</v>
      </c>
      <c r="BA346" s="297">
        <f>BA345/AZ345-1</f>
        <v>3.6204486312224393E-2</v>
      </c>
      <c r="BB346" s="305">
        <f>BB345/AY345-1</f>
        <v>7.3953953506078918E-2</v>
      </c>
      <c r="BC346" s="297">
        <f>BC345/BB345-1</f>
        <v>3.6460423257737906E-2</v>
      </c>
      <c r="BD346" s="297">
        <f>BD345/BC345-1</f>
        <v>3.6233159619768029E-2</v>
      </c>
      <c r="BE346" s="305">
        <f>BE345/BB345-1</f>
        <v>7.4014659213207823E-2</v>
      </c>
    </row>
    <row r="347" spans="2:61" outlineLevel="1">
      <c r="B347" s="243" t="s">
        <v>725</v>
      </c>
      <c r="C347" s="256"/>
      <c r="F347" s="256">
        <f>F357-F296</f>
        <v>6822</v>
      </c>
      <c r="G347" s="307">
        <f>AVERAGE(F345,G345)</f>
        <v>8064.5</v>
      </c>
      <c r="H347" s="307">
        <f>AVERAGE(G345,H345)</f>
        <v>7101.5</v>
      </c>
      <c r="I347" s="256">
        <f>AVERAGE(G347:H347)</f>
        <v>7583</v>
      </c>
      <c r="J347" s="307">
        <f>AVERAGE(I345,J345)</f>
        <v>6290</v>
      </c>
      <c r="K347" s="307">
        <f>AVERAGE(J345,K345)</f>
        <v>6184.5</v>
      </c>
      <c r="L347" s="256">
        <f>AVERAGE(J347:K347)</f>
        <v>6237.25</v>
      </c>
      <c r="M347" s="307">
        <f>AVERAGE(L345,6850,6850,M345)</f>
        <v>6721.5</v>
      </c>
      <c r="N347" s="365">
        <f>AVERAGE(M345,N345)</f>
        <v>7215.8514369215782</v>
      </c>
      <c r="O347" s="256">
        <f>AVERAGE(M347:N347)</f>
        <v>6968.6757184607886</v>
      </c>
      <c r="P347" s="307">
        <f>AVERAGE(O345,P345)</f>
        <v>7323.2866818892962</v>
      </c>
      <c r="Q347" s="307">
        <f>AVERAGE(P345,Q345)</f>
        <v>7641.1275526600257</v>
      </c>
      <c r="R347" s="343">
        <f>AVERAGE(O345,R345)</f>
        <v>7687.5437446138858</v>
      </c>
      <c r="S347" s="307">
        <f>AVERAGE(R345,S345)</f>
        <v>8198.9556372067163</v>
      </c>
      <c r="T347" s="307">
        <f>AVERAGE(S345,T345)</f>
        <v>8148.9130629731735</v>
      </c>
      <c r="U347" s="256">
        <f>AVERAGE(S347:T347)</f>
        <v>8173.9343500899449</v>
      </c>
      <c r="V347" s="307">
        <f>AVERAGE(U345,V345)</f>
        <v>8051.3808992002396</v>
      </c>
      <c r="W347" s="307">
        <f>AVERAGE(V345,W345)</f>
        <v>8769.8947407836349</v>
      </c>
      <c r="X347" s="256">
        <f>AVERAGE(V347:W347)</f>
        <v>8410.6378199919382</v>
      </c>
      <c r="Y347" s="307">
        <f>AVERAGE(X345,Y345)</f>
        <v>10163.479761662202</v>
      </c>
      <c r="Z347" s="307">
        <f>AVERAGE(Y345,Z345)</f>
        <v>11533.479539156746</v>
      </c>
      <c r="AA347" s="256">
        <f>AVERAGE(Y347:Z347)</f>
        <v>10848.479650409474</v>
      </c>
      <c r="AB347" s="307">
        <f>AVERAGE(AA345,AB345)</f>
        <v>12847.861917130005</v>
      </c>
      <c r="AC347" s="307">
        <f>AVERAGE(AB345,AC345)</f>
        <v>11733.13656867023</v>
      </c>
      <c r="AD347" s="256">
        <f>AVERAGE(AB347:AC347)</f>
        <v>12290.499242900118</v>
      </c>
      <c r="AE347" s="307">
        <f>AVERAGE(AD345,AE345)</f>
        <v>10428.78321983678</v>
      </c>
      <c r="AF347" s="629">
        <f>AVERAGE(AE345,AF345)</f>
        <v>11263.090201433202</v>
      </c>
      <c r="AG347" s="256">
        <f>AVERAGE(AE347:AF347)</f>
        <v>10845.936710634991</v>
      </c>
      <c r="AH347" s="307">
        <f>AVERAGE(AG345,AH345)</f>
        <v>11815.782029837694</v>
      </c>
      <c r="AI347" s="629">
        <f>AVERAGE(AH345,AI345)</f>
        <v>12166.730554123362</v>
      </c>
      <c r="AJ347" s="256">
        <f>AVERAGE(AH347:AI347)</f>
        <v>11991.256291980528</v>
      </c>
      <c r="AK347" s="307">
        <f>AVERAGE(AJ345,AK345)</f>
        <v>12177.886717643625</v>
      </c>
      <c r="AL347" s="307">
        <f>AVERAGE(AK345,AL345)</f>
        <v>12173.535768872614</v>
      </c>
      <c r="AM347" s="256">
        <f>AVERAGE(AK347:AL347)</f>
        <v>12175.71124325812</v>
      </c>
      <c r="AN347" s="307">
        <f>AVERAGE(AM345,AN345)</f>
        <v>11964.034788815281</v>
      </c>
      <c r="AO347" s="307">
        <f>AVERAGE(AN345,AO345)</f>
        <v>12339.979339576186</v>
      </c>
      <c r="AP347" s="256">
        <f>AVERAGE(AN347:AO347)</f>
        <v>12152.007064195734</v>
      </c>
      <c r="AQ347" s="307">
        <f>AVERAGE(AP345,AQ345)</f>
        <v>13202.202104375781</v>
      </c>
      <c r="AR347" s="307">
        <f>AVERAGE(AQ345,AR345)</f>
        <v>13680.526701746025</v>
      </c>
      <c r="AS347" s="256">
        <f>AVERAGE(AQ347:AR347)</f>
        <v>13441.364403060903</v>
      </c>
      <c r="AT347" s="307">
        <f>AVERAGE(AS345,AT345)</f>
        <v>14176.434318241554</v>
      </c>
      <c r="AU347" s="307">
        <f>AVERAGE(AT345,AU345)</f>
        <v>14690.452444436123</v>
      </c>
      <c r="AV347" s="256">
        <f>AVERAGE(AT347:AU347)</f>
        <v>14433.443381338839</v>
      </c>
      <c r="AW347" s="307">
        <f>AVERAGE(AV345,AW345)</f>
        <v>15223.382017076623</v>
      </c>
      <c r="AX347" s="307">
        <f>AVERAGE(AW345,AX345)</f>
        <v>15775.790379556436</v>
      </c>
      <c r="AY347" s="256">
        <f>AVERAGE(AW347:AX347)</f>
        <v>15499.58619831653</v>
      </c>
      <c r="AZ347" s="307">
        <f>AVERAGE(AY345,AZ345)</f>
        <v>16348.541993839022</v>
      </c>
      <c r="BA347" s="307">
        <f>AVERAGE(AZ345,BA345)</f>
        <v>16942.247157478461</v>
      </c>
      <c r="BB347" s="256">
        <f>AVERAGE(AZ347:BA347)</f>
        <v>16645.394575658742</v>
      </c>
      <c r="BC347" s="307">
        <f>AVERAGE(BB345,BC345)</f>
        <v>17557.839135450689</v>
      </c>
      <c r="BD347" s="307">
        <f>AVERAGE(BC345,BD345)</f>
        <v>18195.974532185694</v>
      </c>
      <c r="BE347" s="256">
        <f>AVERAGE(BC347:BD347)</f>
        <v>17876.90683381819</v>
      </c>
    </row>
    <row r="348" spans="2:61" outlineLevel="1">
      <c r="B348" s="246" t="s">
        <v>2331</v>
      </c>
      <c r="C348" s="287"/>
      <c r="F348" s="287"/>
      <c r="G348" s="297"/>
      <c r="H348" s="297">
        <f>H347/G347-1</f>
        <v>-0.1194122388244776</v>
      </c>
      <c r="I348" s="305">
        <f>I347/F347-1</f>
        <v>0.11155086484901799</v>
      </c>
      <c r="J348" s="297">
        <f>J347/H347-1</f>
        <v>-0.1142716327536436</v>
      </c>
      <c r="K348" s="297">
        <f>K347/J347-1</f>
        <v>-1.6772655007949111E-2</v>
      </c>
      <c r="L348" s="305">
        <f>L347/I347-1</f>
        <v>-0.17746933931161812</v>
      </c>
      <c r="M348" s="297">
        <f>M347/K347-1</f>
        <v>8.6829978171234501E-2</v>
      </c>
      <c r="N348" s="297">
        <f>N347/M347-1</f>
        <v>7.3547785006557787E-2</v>
      </c>
      <c r="O348" s="305">
        <f>O347/L347-1</f>
        <v>0.11726734032799535</v>
      </c>
      <c r="P348" s="297">
        <f>P347/N347-1</f>
        <v>1.4888782828593294E-2</v>
      </c>
      <c r="Q348" s="297">
        <f>Q347/P347-1</f>
        <v>4.3401396746731047E-2</v>
      </c>
      <c r="R348" s="305">
        <f>R347/O347-1</f>
        <v>0.10315704951641491</v>
      </c>
      <c r="S348" s="297">
        <f>S347/Q347-1</f>
        <v>7.3003372958026391E-2</v>
      </c>
      <c r="T348" s="297">
        <f>T347/S347-1</f>
        <v>-6.1035303089640447E-3</v>
      </c>
      <c r="U348" s="305">
        <f>U347/R347-1</f>
        <v>6.3269962634923349E-2</v>
      </c>
      <c r="V348" s="297">
        <f>V347/T347-1</f>
        <v>-1.1968732887346456E-2</v>
      </c>
      <c r="W348" s="297">
        <f>W347/V347-1</f>
        <v>8.9241069399010442E-2</v>
      </c>
      <c r="X348" s="305">
        <f>X347/U347-1</f>
        <v>2.8958327748177748E-2</v>
      </c>
      <c r="Y348" s="297">
        <f>Y347/W347-1</f>
        <v>0.15890555839830323</v>
      </c>
      <c r="Z348" s="297">
        <f>Z347/Y347-1</f>
        <v>0.1347963305503237</v>
      </c>
      <c r="AA348" s="305">
        <f>AA347/X347-1</f>
        <v>0.28985219463651468</v>
      </c>
      <c r="AB348" s="297">
        <f>AB347/Z347-1</f>
        <v>0.1139623453191958</v>
      </c>
      <c r="AC348" s="297">
        <f>AC347/AA347-1</f>
        <v>8.1546626510689446E-2</v>
      </c>
      <c r="AD348" s="305">
        <f>AD347/AA347-1</f>
        <v>0.13292365741186729</v>
      </c>
      <c r="AE348" s="297">
        <f>AE347/AC347-1</f>
        <v>-0.11116834285525401</v>
      </c>
      <c r="AF348" s="619">
        <f>AF347/AE347-1</f>
        <v>8.0000414622625637E-2</v>
      </c>
      <c r="AG348" s="305">
        <f>AG347/AD347-1</f>
        <v>-0.11753489453242594</v>
      </c>
      <c r="AH348" s="297">
        <f>AH347/AF347-1</f>
        <v>4.907106473622691E-2</v>
      </c>
      <c r="AI348" s="619">
        <f>AI347/AH347-1</f>
        <v>2.97016755555779E-2</v>
      </c>
      <c r="AJ348" s="305">
        <f>AJ347/AG347-1</f>
        <v>0.10559895488072435</v>
      </c>
      <c r="AK348" s="297">
        <f>AK347/AI347-1</f>
        <v>9.1694013199639102E-4</v>
      </c>
      <c r="AL348" s="297">
        <f>AL347/AK347-1</f>
        <v>-3.5728274304824836E-4</v>
      </c>
      <c r="AM348" s="305">
        <f>AM347/AJ347-1</f>
        <v>1.5382454247179433E-2</v>
      </c>
      <c r="AN348" s="297">
        <f>AN347/AL347-1</f>
        <v>-1.7209542406982692E-2</v>
      </c>
      <c r="AO348" s="297">
        <f>AO347/AN347-1</f>
        <v>3.1422890136725501E-2</v>
      </c>
      <c r="AP348" s="305">
        <f>AP347/AM347-1</f>
        <v>-1.9468414278888124E-3</v>
      </c>
      <c r="AQ348" s="297">
        <f>AQ347/AO347-1</f>
        <v>6.9872302138652254E-2</v>
      </c>
      <c r="AR348" s="297">
        <f>AR347/AQ347-1</f>
        <v>3.6230667701391051E-2</v>
      </c>
      <c r="AS348" s="305">
        <f>AS347/AP347-1</f>
        <v>0.10610241847736313</v>
      </c>
      <c r="AT348" s="297">
        <f>AT347/AR347-1</f>
        <v>3.6249161111043815E-2</v>
      </c>
      <c r="AU348" s="297">
        <f>AU347/AT347-1</f>
        <v>3.6258632788440659E-2</v>
      </c>
      <c r="AV348" s="305">
        <f>AV347/AS347-1</f>
        <v>7.3807907332087197E-2</v>
      </c>
      <c r="AW348" s="297">
        <f>AW347/AU347-1</f>
        <v>3.6277274281115934E-2</v>
      </c>
      <c r="AX348" s="297">
        <f>AX347/AW347-1</f>
        <v>3.6286835728102762E-2</v>
      </c>
      <c r="AY348" s="305">
        <f>AY347/AV347-1</f>
        <v>7.386614467592123E-2</v>
      </c>
      <c r="AZ348" s="297">
        <f>AZ347/AX347-1</f>
        <v>3.630573178918528E-2</v>
      </c>
      <c r="BA348" s="297">
        <f>BA347/AZ347-1</f>
        <v>3.6315480846131676E-2</v>
      </c>
      <c r="BB348" s="305">
        <f>BB347/AY347-1</f>
        <v>7.3925094688441551E-2</v>
      </c>
      <c r="BC348" s="297">
        <f>BC347/BA347-1</f>
        <v>3.6334730112852931E-2</v>
      </c>
      <c r="BD348" s="297">
        <f>BD347/BC347-1</f>
        <v>3.6344756994985739E-2</v>
      </c>
      <c r="BE348" s="305">
        <f>BE347/BB347-1</f>
        <v>7.3985164638892931E-2</v>
      </c>
    </row>
    <row r="349" spans="2:61" s="251" customFormat="1" outlineLevel="1">
      <c r="B349" s="251" t="s">
        <v>2367</v>
      </c>
      <c r="C349" s="252"/>
      <c r="D349" s="251">
        <v>1179</v>
      </c>
      <c r="E349" s="251">
        <v>1742</v>
      </c>
      <c r="F349" s="252">
        <f>D349+E349</f>
        <v>2921</v>
      </c>
      <c r="G349" s="251">
        <v>1050</v>
      </c>
      <c r="I349" s="252"/>
      <c r="L349" s="252"/>
      <c r="O349" s="252"/>
      <c r="R349" s="252"/>
      <c r="U349" s="252"/>
      <c r="X349" s="252"/>
      <c r="AA349" s="252"/>
      <c r="AD349" s="252"/>
      <c r="AF349" s="260"/>
      <c r="AG349" s="252"/>
      <c r="AJ349" s="252"/>
      <c r="AM349" s="252"/>
      <c r="AP349" s="252"/>
      <c r="AS349" s="252"/>
      <c r="AV349" s="252"/>
      <c r="AY349" s="252"/>
      <c r="BB349" s="252"/>
      <c r="BE349" s="252"/>
    </row>
    <row r="350" spans="2:61" s="251" customFormat="1" outlineLevel="1">
      <c r="B350" s="251" t="s">
        <v>2368</v>
      </c>
      <c r="C350" s="252"/>
      <c r="D350" s="251">
        <v>-617</v>
      </c>
      <c r="E350" s="251">
        <v>-1001</v>
      </c>
      <c r="F350" s="252">
        <f>D350+E350</f>
        <v>-1618</v>
      </c>
      <c r="G350" s="251">
        <v>-1068</v>
      </c>
      <c r="I350" s="252"/>
      <c r="L350" s="252"/>
      <c r="O350" s="252"/>
      <c r="R350" s="252"/>
      <c r="U350" s="252"/>
      <c r="X350" s="252"/>
      <c r="AA350" s="252"/>
      <c r="AD350" s="252"/>
      <c r="AF350" s="260"/>
      <c r="AG350" s="252"/>
      <c r="AJ350" s="252"/>
      <c r="AM350" s="252"/>
      <c r="AP350" s="252"/>
      <c r="AS350" s="252"/>
      <c r="AV350" s="252"/>
      <c r="AY350" s="252"/>
      <c r="BB350" s="252"/>
      <c r="BE350" s="252"/>
    </row>
    <row r="351" spans="2:61" s="251" customFormat="1" outlineLevel="1">
      <c r="B351" s="251" t="s">
        <v>2369</v>
      </c>
      <c r="C351" s="252"/>
      <c r="D351" s="251">
        <f>D349+D350</f>
        <v>562</v>
      </c>
      <c r="E351" s="251">
        <f>E349+E350</f>
        <v>741</v>
      </c>
      <c r="F351" s="252">
        <f>D351+E351</f>
        <v>1303</v>
      </c>
      <c r="G351" s="251">
        <f>G349+G350</f>
        <v>-18</v>
      </c>
      <c r="H351" s="251">
        <f>-458-46</f>
        <v>-504</v>
      </c>
      <c r="I351" s="252">
        <f>G351+H351</f>
        <v>-522</v>
      </c>
      <c r="J351" s="251">
        <f>56+40</f>
        <v>96</v>
      </c>
      <c r="K351" s="251">
        <v>101</v>
      </c>
      <c r="L351" s="252">
        <f>J351+K351</f>
        <v>197</v>
      </c>
      <c r="M351" s="251">
        <f>184+169</f>
        <v>353</v>
      </c>
      <c r="O351" s="252"/>
      <c r="R351" s="252"/>
      <c r="U351" s="252"/>
      <c r="X351" s="252"/>
      <c r="AA351" s="252"/>
      <c r="AD351" s="252"/>
      <c r="AF351" s="260"/>
      <c r="AG351" s="252"/>
      <c r="AJ351" s="252"/>
      <c r="AM351" s="252"/>
      <c r="AP351" s="252"/>
      <c r="AS351" s="252"/>
      <c r="AV351" s="252"/>
      <c r="AY351" s="252"/>
      <c r="BB351" s="252"/>
      <c r="BE351" s="252"/>
    </row>
    <row r="352" spans="2:61" s="251" customFormat="1" outlineLevel="1">
      <c r="B352" s="251" t="s">
        <v>2370</v>
      </c>
      <c r="C352" s="252"/>
      <c r="D352" s="251">
        <v>491</v>
      </c>
      <c r="E352" s="251">
        <v>602</v>
      </c>
      <c r="F352" s="252">
        <f>D352+E352</f>
        <v>1093</v>
      </c>
      <c r="G352" s="251">
        <v>-375</v>
      </c>
      <c r="H352" s="251">
        <f>6335-7868-H351</f>
        <v>-1029</v>
      </c>
      <c r="I352" s="252">
        <f>G352+H352</f>
        <v>-1404</v>
      </c>
      <c r="J352" s="251">
        <f>6245-6335-J351</f>
        <v>-186</v>
      </c>
      <c r="K352" s="251">
        <v>-222</v>
      </c>
      <c r="L352" s="252">
        <f>J352+K352</f>
        <v>-408</v>
      </c>
      <c r="M352" s="251">
        <f>7062-M351-L345</f>
        <v>585</v>
      </c>
      <c r="O352" s="252"/>
      <c r="R352" s="252"/>
      <c r="U352" s="252"/>
      <c r="X352" s="252"/>
      <c r="AA352" s="252"/>
      <c r="AD352" s="252"/>
      <c r="AF352" s="260"/>
      <c r="AG352" s="252"/>
      <c r="AJ352" s="252"/>
      <c r="AM352" s="252"/>
      <c r="AP352" s="252"/>
      <c r="AS352" s="252"/>
      <c r="AV352" s="252"/>
      <c r="AY352" s="252"/>
      <c r="BB352" s="252"/>
      <c r="BE352" s="252"/>
    </row>
    <row r="353" spans="2:57" outlineLevel="1">
      <c r="C353" s="287"/>
      <c r="F353" s="287"/>
      <c r="I353" s="287"/>
      <c r="L353" s="287"/>
      <c r="O353" s="287"/>
      <c r="R353" s="287"/>
      <c r="U353" s="287"/>
      <c r="X353" s="287"/>
      <c r="AA353" s="287"/>
      <c r="AD353" s="287"/>
      <c r="AF353" s="613"/>
      <c r="AG353" s="287"/>
      <c r="AJ353" s="287"/>
      <c r="AM353" s="287"/>
      <c r="AP353" s="287"/>
      <c r="AS353" s="287"/>
      <c r="AV353" s="287"/>
      <c r="AY353" s="287"/>
      <c r="BB353" s="287"/>
      <c r="BE353" s="287"/>
    </row>
    <row r="354" spans="2:57" outlineLevel="1">
      <c r="B354" s="293" t="s">
        <v>2374</v>
      </c>
      <c r="C354" s="287"/>
      <c r="F354" s="287"/>
      <c r="I354" s="287"/>
      <c r="L354" s="287"/>
      <c r="O354" s="287"/>
      <c r="R354" s="287"/>
      <c r="U354" s="287"/>
      <c r="X354" s="287"/>
      <c r="AA354" s="287"/>
      <c r="AD354" s="287"/>
      <c r="AF354" s="613"/>
      <c r="AG354" s="287"/>
      <c r="AJ354" s="287"/>
      <c r="AM354" s="287"/>
      <c r="AP354" s="287"/>
      <c r="AS354" s="287"/>
      <c r="AV354" s="287"/>
      <c r="AY354" s="287"/>
      <c r="BB354" s="287"/>
      <c r="BE354" s="287"/>
    </row>
    <row r="355" spans="2:57" outlineLevel="1">
      <c r="B355" s="246" t="s">
        <v>2358</v>
      </c>
      <c r="C355" s="256">
        <f t="shared" ref="C355:AM355" si="301">C294+C345</f>
        <v>151513</v>
      </c>
      <c r="D355" s="255">
        <f t="shared" si="301"/>
        <v>167662</v>
      </c>
      <c r="E355" s="255">
        <f t="shared" si="301"/>
        <v>177071</v>
      </c>
      <c r="F355" s="256">
        <f t="shared" si="301"/>
        <v>177071</v>
      </c>
      <c r="G355" s="255">
        <f t="shared" si="301"/>
        <v>207702</v>
      </c>
      <c r="H355" s="255">
        <f t="shared" si="301"/>
        <v>191305</v>
      </c>
      <c r="I355" s="256">
        <f t="shared" si="301"/>
        <v>191305</v>
      </c>
      <c r="J355" s="255">
        <f t="shared" si="301"/>
        <v>164271</v>
      </c>
      <c r="K355" s="255">
        <f t="shared" si="301"/>
        <v>175334</v>
      </c>
      <c r="L355" s="256">
        <f t="shared" si="301"/>
        <v>175334</v>
      </c>
      <c r="M355" s="255">
        <f t="shared" si="301"/>
        <v>192761</v>
      </c>
      <c r="N355" s="255">
        <f t="shared" si="301"/>
        <v>186983.70287384317</v>
      </c>
      <c r="O355" s="256">
        <f t="shared" si="301"/>
        <v>186983.70287384317</v>
      </c>
      <c r="P355" s="255">
        <f t="shared" si="301"/>
        <v>198730.87048993545</v>
      </c>
      <c r="Q355" s="255">
        <f t="shared" si="301"/>
        <v>196516.38461538462</v>
      </c>
      <c r="R355" s="256">
        <f t="shared" si="301"/>
        <v>196516.38461538462</v>
      </c>
      <c r="S355" s="255">
        <f t="shared" si="301"/>
        <v>192437.52665902881</v>
      </c>
      <c r="T355" s="255">
        <f t="shared" si="301"/>
        <v>200686.29946691752</v>
      </c>
      <c r="U355" s="256">
        <f t="shared" si="301"/>
        <v>200686.29946691752</v>
      </c>
      <c r="V355" s="255">
        <f t="shared" si="301"/>
        <v>224048.46233148297</v>
      </c>
      <c r="W355" s="255">
        <f t="shared" si="301"/>
        <v>249694.32715008431</v>
      </c>
      <c r="X355" s="256">
        <f t="shared" si="301"/>
        <v>249694.32715008431</v>
      </c>
      <c r="Y355" s="255">
        <f t="shared" si="301"/>
        <v>255980.63237324008</v>
      </c>
      <c r="Z355" s="255">
        <f t="shared" si="301"/>
        <v>265565.32670507341</v>
      </c>
      <c r="AA355" s="256">
        <f t="shared" si="301"/>
        <v>265565.32670507341</v>
      </c>
      <c r="AB355" s="255">
        <f t="shared" si="301"/>
        <v>141722.3971291866</v>
      </c>
      <c r="AC355" s="255">
        <f>AC294+AC345</f>
        <v>141755.87600815386</v>
      </c>
      <c r="AD355" s="256">
        <f t="shared" si="301"/>
        <v>141755.87600815386</v>
      </c>
      <c r="AE355" s="255">
        <f t="shared" si="301"/>
        <v>146480.6904315197</v>
      </c>
      <c r="AF355" s="286">
        <f t="shared" si="301"/>
        <v>147322.48997134672</v>
      </c>
      <c r="AG355" s="256">
        <f t="shared" si="301"/>
        <v>147322.48997134672</v>
      </c>
      <c r="AH355" s="255">
        <f t="shared" si="301"/>
        <v>141063.07408832869</v>
      </c>
      <c r="AI355" s="255">
        <f t="shared" si="301"/>
        <v>147670.38701991804</v>
      </c>
      <c r="AJ355" s="256">
        <f t="shared" si="301"/>
        <v>147670.38701991804</v>
      </c>
      <c r="AK355" s="255">
        <f t="shared" si="301"/>
        <v>155800.3864153692</v>
      </c>
      <c r="AL355" s="255">
        <f t="shared" si="301"/>
        <v>160213.68512237602</v>
      </c>
      <c r="AM355" s="256">
        <f t="shared" si="301"/>
        <v>160213.68512237602</v>
      </c>
      <c r="AN355" s="255">
        <f t="shared" ref="AN355:BB355" si="302">AN294+AN345</f>
        <v>153638.38445525453</v>
      </c>
      <c r="AO355" s="255">
        <f t="shared" si="302"/>
        <v>170075.82422389783</v>
      </c>
      <c r="AP355" s="256">
        <f t="shared" si="302"/>
        <v>181581.54422389783</v>
      </c>
      <c r="AQ355" s="255">
        <f t="shared" si="302"/>
        <v>188180.92408485373</v>
      </c>
      <c r="AR355" s="255">
        <f t="shared" si="302"/>
        <v>194978.28534163832</v>
      </c>
      <c r="AS355" s="256">
        <f t="shared" si="302"/>
        <v>194978.28534163832</v>
      </c>
      <c r="AT355" s="255">
        <f t="shared" si="302"/>
        <v>202070.12399853478</v>
      </c>
      <c r="AU355" s="255">
        <f t="shared" si="302"/>
        <v>209374.71781513814</v>
      </c>
      <c r="AV355" s="256">
        <f t="shared" si="302"/>
        <v>209374.71781513817</v>
      </c>
      <c r="AW355" s="255">
        <f t="shared" si="302"/>
        <v>216996.22137655984</v>
      </c>
      <c r="AX355" s="255">
        <f t="shared" si="302"/>
        <v>224846.37004482414</v>
      </c>
      <c r="AY355" s="256">
        <f t="shared" si="302"/>
        <v>224846.37004482411</v>
      </c>
      <c r="AZ355" s="255">
        <f t="shared" si="302"/>
        <v>233037.63999374313</v>
      </c>
      <c r="BA355" s="255">
        <f t="shared" si="302"/>
        <v>241474.64804112969</v>
      </c>
      <c r="BB355" s="256">
        <f t="shared" si="302"/>
        <v>241474.64804112969</v>
      </c>
      <c r="BC355" s="255">
        <f>BC294+BC345</f>
        <v>250278.91591472257</v>
      </c>
      <c r="BD355" s="255">
        <f>BD294+BD345</f>
        <v>259347.31182452323</v>
      </c>
      <c r="BE355" s="256">
        <f>BE294+BE345</f>
        <v>259347.31182452323</v>
      </c>
    </row>
    <row r="356" spans="2:57" outlineLevel="1">
      <c r="B356" s="246" t="s">
        <v>2331</v>
      </c>
      <c r="C356" s="287"/>
      <c r="F356" s="305">
        <f>F355/C355-1</f>
        <v>0.16868519532977366</v>
      </c>
      <c r="G356" s="297">
        <f>G355/F355-1</f>
        <v>0.17298710686673702</v>
      </c>
      <c r="H356" s="297">
        <f>H355/G355-1</f>
        <v>-7.8944834426245336E-2</v>
      </c>
      <c r="I356" s="305">
        <f>I355/F355-1</f>
        <v>8.0385833931021944E-2</v>
      </c>
      <c r="J356" s="297">
        <f>J355/I355-1</f>
        <v>-0.14131360915815061</v>
      </c>
      <c r="K356" s="297">
        <f>K355/J355-1</f>
        <v>6.7346031861984068E-2</v>
      </c>
      <c r="L356" s="305">
        <f>L355/I355-1</f>
        <v>-8.3484488121063238E-2</v>
      </c>
      <c r="M356" s="297">
        <f>M355/L355-1</f>
        <v>9.9393158200919318E-2</v>
      </c>
      <c r="N356" s="297">
        <f>N355/M355-1</f>
        <v>-2.9971296715397999E-2</v>
      </c>
      <c r="O356" s="305">
        <f>O355/L355-1</f>
        <v>6.6442919649601251E-2</v>
      </c>
      <c r="P356" s="297">
        <f>P355/O355-1</f>
        <v>6.2824553346330969E-2</v>
      </c>
      <c r="Q356" s="297">
        <f>Q355/P355-1</f>
        <v>-1.1143139810596114E-2</v>
      </c>
      <c r="R356" s="305">
        <f>R355/O355-1</f>
        <v>5.098135075425847E-2</v>
      </c>
      <c r="S356" s="297">
        <f>S355/R355-1</f>
        <v>-2.0755816184685139E-2</v>
      </c>
      <c r="T356" s="297">
        <f>T355/S355-1</f>
        <v>4.2864679000496286E-2</v>
      </c>
      <c r="U356" s="305">
        <f>U355/R355-1</f>
        <v>2.1219171417661276E-2</v>
      </c>
      <c r="V356" s="297">
        <f>V355/U355-1</f>
        <v>0.11641134908871353</v>
      </c>
      <c r="W356" s="297">
        <f>W355/V355-1</f>
        <v>0.11446570332028405</v>
      </c>
      <c r="X356" s="305">
        <f>X355/U355-1</f>
        <v>0.24420215935690015</v>
      </c>
      <c r="Y356" s="297">
        <f>Y355/X355-1</f>
        <v>2.5176003375428024E-2</v>
      </c>
      <c r="Z356" s="297">
        <f>Z355/Y355-1</f>
        <v>3.7443044979504903E-2</v>
      </c>
      <c r="AA356" s="305">
        <f>AA355/X355-1</f>
        <v>6.3561714581723328E-2</v>
      </c>
      <c r="AB356" s="297">
        <f>AB355/AA355-1</f>
        <v>-0.4663369691835636</v>
      </c>
      <c r="AC356" s="297">
        <f>AC355/AB355-1</f>
        <v>2.3622856828153793E-4</v>
      </c>
      <c r="AD356" s="305">
        <f>AD355/AA355-1</f>
        <v>-0.466210902729849</v>
      </c>
      <c r="AE356" s="297">
        <f>AE355/AD355-1</f>
        <v>3.3330642484930006E-2</v>
      </c>
      <c r="AF356" s="619">
        <f>AF355/AE355-1</f>
        <v>5.7468294103963924E-3</v>
      </c>
      <c r="AG356" s="305">
        <f>AG355/AD355-1</f>
        <v>3.9269017411825979E-2</v>
      </c>
      <c r="AH356" s="297">
        <f>AH355/AG355-1</f>
        <v>-4.2487850186590292E-2</v>
      </c>
      <c r="AI356" s="297">
        <f>AI355/AH355-1</f>
        <v>4.6839422536985698E-2</v>
      </c>
      <c r="AJ356" s="305">
        <f>AJ355/AG355-1</f>
        <v>2.3614659828175011E-3</v>
      </c>
      <c r="AK356" s="297">
        <f>AK355/AJ355-1</f>
        <v>5.5055042243199237E-2</v>
      </c>
      <c r="AL356" s="297">
        <f>AL355/AK355-1</f>
        <v>2.8326622343803454E-2</v>
      </c>
      <c r="AM356" s="305">
        <f>AM355/AJ355-1</f>
        <v>8.4941187976747878E-2</v>
      </c>
      <c r="AN356" s="297">
        <f>AN355/AM355-1</f>
        <v>-4.1040817843363775E-2</v>
      </c>
      <c r="AO356" s="297">
        <f>AO355/AN355-1</f>
        <v>0.1069878456931479</v>
      </c>
      <c r="AP356" s="305">
        <f>AP355/AM355-1</f>
        <v>0.133370998146634</v>
      </c>
      <c r="AQ356" s="297">
        <f>AQ355/AP355-1</f>
        <v>3.6343891055462096E-2</v>
      </c>
      <c r="AR356" s="297">
        <f>AR355/AQ355-1</f>
        <v>3.6121415015049729E-2</v>
      </c>
      <c r="AS356" s="305">
        <f>AS355/AP355-1</f>
        <v>7.3778098842588014E-2</v>
      </c>
      <c r="AT356" s="297">
        <f>AT355/AS355-1</f>
        <v>3.6372453704115015E-2</v>
      </c>
      <c r="AU356" s="297">
        <f>AU355/AT355-1</f>
        <v>3.6148806523503385E-2</v>
      </c>
      <c r="AV356" s="305">
        <f>AV355/AS355-1</f>
        <v>7.3836081019353683E-2</v>
      </c>
      <c r="AW356" s="297">
        <f>AW355/AV355-1</f>
        <v>3.6401260099373056E-2</v>
      </c>
      <c r="AX356" s="297">
        <f>AX355/AW355-1</f>
        <v>3.6176430255168812E-2</v>
      </c>
      <c r="AY356" s="305">
        <f>AY355/AV355-1</f>
        <v>7.3894558001726951E-2</v>
      </c>
      <c r="AZ356" s="297">
        <f>AZ355/AY355-1</f>
        <v>3.6430518968511905E-2</v>
      </c>
      <c r="BA356" s="297">
        <f>BA355/AZ355-1</f>
        <v>3.6204486312224393E-2</v>
      </c>
      <c r="BB356" s="305">
        <f>BB355/AY355-1</f>
        <v>7.395395350607914E-2</v>
      </c>
      <c r="BC356" s="297">
        <f>BC355/BB355-1</f>
        <v>3.6460423257737906E-2</v>
      </c>
      <c r="BD356" s="297">
        <f>BD355/BC355-1</f>
        <v>3.6233159619768029E-2</v>
      </c>
      <c r="BE356" s="305">
        <f>BE355/BB355-1</f>
        <v>7.4014659213207823E-2</v>
      </c>
    </row>
    <row r="357" spans="2:57" outlineLevel="1">
      <c r="B357" s="243" t="s">
        <v>725</v>
      </c>
      <c r="C357" s="256">
        <v>139082</v>
      </c>
      <c r="D357" s="255"/>
      <c r="E357" s="255"/>
      <c r="F357" s="256">
        <v>164404</v>
      </c>
      <c r="G357" s="255">
        <f>G296+G347</f>
        <v>191612.5</v>
      </c>
      <c r="H357" s="255">
        <f>H296+H347</f>
        <v>198822.5</v>
      </c>
      <c r="I357" s="256">
        <f>I296+I347</f>
        <v>194279</v>
      </c>
      <c r="J357" s="255">
        <f>J296+J347</f>
        <v>179291</v>
      </c>
      <c r="K357" s="255">
        <f t="shared" ref="K357:AM357" si="303">K296+K347</f>
        <v>167158.5</v>
      </c>
      <c r="L357" s="256">
        <f t="shared" si="303"/>
        <v>173914.25</v>
      </c>
      <c r="M357" s="255">
        <f t="shared" si="303"/>
        <v>185459.5</v>
      </c>
      <c r="N357" s="255">
        <f t="shared" si="303"/>
        <v>188924.85143692157</v>
      </c>
      <c r="O357" s="256">
        <f t="shared" si="303"/>
        <v>186770.67571846078</v>
      </c>
      <c r="P357" s="255">
        <f t="shared" si="303"/>
        <v>194172.28668188929</v>
      </c>
      <c r="Q357" s="255">
        <f t="shared" si="303"/>
        <v>198893.12755266004</v>
      </c>
      <c r="R357" s="256">
        <f t="shared" si="303"/>
        <v>196553.54374461388</v>
      </c>
      <c r="S357" s="255">
        <f t="shared" si="303"/>
        <v>194464.95563720673</v>
      </c>
      <c r="T357" s="255">
        <f t="shared" si="303"/>
        <v>208436.91306297318</v>
      </c>
      <c r="U357" s="256">
        <f t="shared" si="303"/>
        <v>201450.93435008996</v>
      </c>
      <c r="V357" s="255">
        <f t="shared" si="303"/>
        <v>215488.38089920025</v>
      </c>
      <c r="W357" s="255">
        <f t="shared" si="303"/>
        <v>239907.89474078364</v>
      </c>
      <c r="X357" s="256">
        <f t="shared" si="303"/>
        <v>227706.63781999194</v>
      </c>
      <c r="Y357" s="255">
        <f t="shared" si="303"/>
        <v>245841.47976166219</v>
      </c>
      <c r="Z357" s="255">
        <f t="shared" si="303"/>
        <v>259178.47953915675</v>
      </c>
      <c r="AA357" s="256">
        <f t="shared" si="303"/>
        <v>252253.47965040948</v>
      </c>
      <c r="AB357" s="255">
        <f t="shared" si="303"/>
        <v>137506.86191713001</v>
      </c>
      <c r="AC357" s="255">
        <f>AC296+AC347</f>
        <v>144724.13656867022</v>
      </c>
      <c r="AD357" s="256">
        <f t="shared" si="303"/>
        <v>141115.49924290011</v>
      </c>
      <c r="AE357" s="255">
        <f t="shared" si="303"/>
        <v>144780.78321983677</v>
      </c>
      <c r="AF357" s="286">
        <f t="shared" si="303"/>
        <v>145555.0902014332</v>
      </c>
      <c r="AG357" s="256">
        <f t="shared" si="303"/>
        <v>145167.936710635</v>
      </c>
      <c r="AH357" s="255">
        <f t="shared" si="303"/>
        <v>149961.78202983769</v>
      </c>
      <c r="AI357" s="255">
        <f t="shared" si="303"/>
        <v>144366.73055412335</v>
      </c>
      <c r="AJ357" s="256">
        <f t="shared" si="303"/>
        <v>147164.25629198054</v>
      </c>
      <c r="AK357" s="255">
        <f t="shared" si="303"/>
        <v>150323.88671764362</v>
      </c>
      <c r="AL357" s="255">
        <f t="shared" si="303"/>
        <v>156798.53576887262</v>
      </c>
      <c r="AM357" s="256">
        <f t="shared" si="303"/>
        <v>153561.21124325812</v>
      </c>
      <c r="AN357" s="255">
        <f t="shared" ref="AN357:BB357" si="304">AN296+AN347</f>
        <v>156926.03478881528</v>
      </c>
      <c r="AO357" s="255">
        <f t="shared" si="304"/>
        <v>161857.10433957618</v>
      </c>
      <c r="AP357" s="256">
        <f t="shared" si="304"/>
        <v>159391.56956419573</v>
      </c>
      <c r="AQ357" s="255">
        <f t="shared" si="304"/>
        <v>184881.23415437576</v>
      </c>
      <c r="AR357" s="255">
        <f t="shared" si="304"/>
        <v>191579.60471324602</v>
      </c>
      <c r="AS357" s="256">
        <f t="shared" si="304"/>
        <v>188230.41943381089</v>
      </c>
      <c r="AT357" s="255">
        <f t="shared" si="304"/>
        <v>198524.20467008656</v>
      </c>
      <c r="AU357" s="255">
        <f t="shared" si="304"/>
        <v>205722.42090683646</v>
      </c>
      <c r="AV357" s="256">
        <f t="shared" si="304"/>
        <v>202123.31278846151</v>
      </c>
      <c r="AW357" s="255">
        <f t="shared" si="304"/>
        <v>213185.46959584902</v>
      </c>
      <c r="AX357" s="255">
        <f t="shared" si="304"/>
        <v>220921.29571069201</v>
      </c>
      <c r="AY357" s="256">
        <f t="shared" si="304"/>
        <v>217053.3826532705</v>
      </c>
      <c r="AZ357" s="255">
        <f t="shared" si="304"/>
        <v>228942.00501928362</v>
      </c>
      <c r="BA357" s="255">
        <f t="shared" si="304"/>
        <v>237256.14401743643</v>
      </c>
      <c r="BB357" s="256">
        <f t="shared" si="304"/>
        <v>233099.07451836002</v>
      </c>
      <c r="BC357" s="255">
        <f>BC296+BC347</f>
        <v>245876.78197792612</v>
      </c>
      <c r="BD357" s="255">
        <f>BD296+BD347</f>
        <v>254813.11386962293</v>
      </c>
      <c r="BE357" s="256">
        <f>BE296+BE347</f>
        <v>250344.94792377451</v>
      </c>
    </row>
    <row r="358" spans="2:57" outlineLevel="1">
      <c r="B358" s="246" t="s">
        <v>2331</v>
      </c>
      <c r="C358" s="287"/>
      <c r="F358" s="287"/>
      <c r="H358" s="297">
        <f>H357/G357-1</f>
        <v>3.7628025311501112E-2</v>
      </c>
      <c r="I358" s="305">
        <f>I357/F357-1</f>
        <v>0.18171698985426143</v>
      </c>
      <c r="J358" s="297">
        <f>J357/H357-1</f>
        <v>-9.8235863647223032E-2</v>
      </c>
      <c r="K358" s="297">
        <f>K357/J357-1</f>
        <v>-6.7669319709299458E-2</v>
      </c>
      <c r="L358" s="305">
        <f>L357/I357-1</f>
        <v>-0.10482218870799209</v>
      </c>
      <c r="M358" s="297">
        <f>M357/K357-1</f>
        <v>0.10948291591513448</v>
      </c>
      <c r="N358" s="297">
        <f>N357/M357-1</f>
        <v>1.8685219343962167E-2</v>
      </c>
      <c r="O358" s="305">
        <f>O357/L357-1</f>
        <v>7.3923935033850308E-2</v>
      </c>
      <c r="P358" s="297">
        <f>P357/N357-1</f>
        <v>2.7775251403173717E-2</v>
      </c>
      <c r="Q358" s="297">
        <f>Q357/P357-1</f>
        <v>2.4312639828488303E-2</v>
      </c>
      <c r="R358" s="305">
        <f>R357/O357-1</f>
        <v>5.2379036422719016E-2</v>
      </c>
      <c r="S358" s="297">
        <f>S357/Q357-1</f>
        <v>-2.2264077044496511E-2</v>
      </c>
      <c r="T358" s="297">
        <f>T357/S357-1</f>
        <v>7.184820205771425E-2</v>
      </c>
      <c r="U358" s="305">
        <f>U357/R357-1</f>
        <v>2.4916318028024742E-2</v>
      </c>
      <c r="V358" s="297">
        <f>V357/T357-1</f>
        <v>3.383022581080275E-2</v>
      </c>
      <c r="W358" s="297">
        <f>W357/V357-1</f>
        <v>0.11332171943417313</v>
      </c>
      <c r="X358" s="305">
        <f>X357/U357-1</f>
        <v>0.13033299425791545</v>
      </c>
      <c r="Y358" s="297">
        <f>Y357/W357-1</f>
        <v>2.4732762659977148E-2</v>
      </c>
      <c r="Z358" s="297">
        <f>Z357/Y357-1</f>
        <v>5.4250404734076829E-2</v>
      </c>
      <c r="AA358" s="305">
        <f>AA357/X357-1</f>
        <v>0.10780029104738897</v>
      </c>
      <c r="AB358" s="297">
        <f>AB357/Z357-1</f>
        <v>-0.4694510818890909</v>
      </c>
      <c r="AC358" s="297">
        <f>AC357/AA357-1</f>
        <v>-0.42627496449508229</v>
      </c>
      <c r="AD358" s="305">
        <f>AD357/AA357-1</f>
        <v>-0.44058056428609893</v>
      </c>
      <c r="AE358" s="297">
        <f>AE357/AC357-1</f>
        <v>3.9141122213348645E-4</v>
      </c>
      <c r="AF358" s="619">
        <f>AF357/AE357-1</f>
        <v>5.3481336706178162E-3</v>
      </c>
      <c r="AG358" s="305">
        <f>AG357/AD357-1</f>
        <v>2.8717167777293495E-2</v>
      </c>
      <c r="AH358" s="297">
        <f>AH357/AF357-1</f>
        <v>3.0275078819339774E-2</v>
      </c>
      <c r="AI358" s="297">
        <f>AI357/AH357-1</f>
        <v>-3.7309849216122903E-2</v>
      </c>
      <c r="AJ358" s="305">
        <f>AJ357/AG357-1</f>
        <v>1.3751794139809537E-2</v>
      </c>
      <c r="AK358" s="297">
        <f>AK357/AI357-1</f>
        <v>4.1264051216335584E-2</v>
      </c>
      <c r="AL358" s="297">
        <f>AL357/AK357-1</f>
        <v>4.3071325473312605E-2</v>
      </c>
      <c r="AM358" s="305">
        <f>AM357/AJ357-1</f>
        <v>4.3468129506839981E-2</v>
      </c>
      <c r="AN358" s="297">
        <f>AN357/AL357-1</f>
        <v>8.1313909799884954E-4</v>
      </c>
      <c r="AO358" s="297">
        <f>AO357/AN357-1</f>
        <v>3.1422890136725501E-2</v>
      </c>
      <c r="AP358" s="305">
        <f>AP357/AM357-1</f>
        <v>3.7967649992690422E-2</v>
      </c>
      <c r="AQ358" s="297">
        <f>AQ357/AO357-1</f>
        <v>0.14224973261905749</v>
      </c>
      <c r="AR358" s="297">
        <f>AR357/AQ357-1</f>
        <v>3.6230667701391051E-2</v>
      </c>
      <c r="AS358" s="305">
        <f>AS357/AP357-1</f>
        <v>0.18093083560482892</v>
      </c>
      <c r="AT358" s="297">
        <f>AT357/AR357-1</f>
        <v>3.6249161111043815E-2</v>
      </c>
      <c r="AU358" s="297">
        <f>AU357/AT357-1</f>
        <v>3.6258632788440659E-2</v>
      </c>
      <c r="AV358" s="305">
        <f>AV357/AS357-1</f>
        <v>7.3807907332087197E-2</v>
      </c>
      <c r="AW358" s="297">
        <f>AW357/AU357-1</f>
        <v>3.6277274281116378E-2</v>
      </c>
      <c r="AX358" s="297">
        <f>AX357/AW357-1</f>
        <v>3.628683572810254E-2</v>
      </c>
      <c r="AY358" s="305">
        <f>AY357/AV357-1</f>
        <v>7.386614467592123E-2</v>
      </c>
      <c r="AZ358" s="297">
        <f>AZ357/AX357-1</f>
        <v>3.6305731789185058E-2</v>
      </c>
      <c r="BA358" s="297">
        <f>BA357/AZ357-1</f>
        <v>3.6315480846131898E-2</v>
      </c>
      <c r="BB358" s="305">
        <f>BB357/AY357-1</f>
        <v>7.3925094688441328E-2</v>
      </c>
      <c r="BC358" s="297">
        <f>BC357/BA357-1</f>
        <v>3.6334730112852931E-2</v>
      </c>
      <c r="BD358" s="297">
        <f>BD357/BC357-1</f>
        <v>3.6344756994985739E-2</v>
      </c>
      <c r="BE358" s="305">
        <f>BE357/BB357-1</f>
        <v>7.3985164638893153E-2</v>
      </c>
    </row>
    <row r="359" spans="2:57" outlineLevel="1">
      <c r="B359" s="246" t="s">
        <v>2367</v>
      </c>
      <c r="C359" s="287"/>
      <c r="F359" s="287"/>
      <c r="I359" s="287"/>
      <c r="L359" s="287"/>
      <c r="O359" s="287"/>
      <c r="R359" s="287"/>
      <c r="U359" s="287"/>
      <c r="X359" s="287"/>
      <c r="AA359" s="287"/>
      <c r="AD359" s="287"/>
      <c r="AF359" s="613"/>
      <c r="AG359" s="287"/>
      <c r="AJ359" s="287"/>
      <c r="AM359" s="287"/>
      <c r="AP359" s="287"/>
      <c r="AS359" s="287"/>
      <c r="AV359" s="287"/>
      <c r="AY359" s="287"/>
      <c r="BB359" s="287"/>
      <c r="BE359" s="287"/>
    </row>
    <row r="360" spans="2:57" outlineLevel="1">
      <c r="B360" s="246" t="s">
        <v>2368</v>
      </c>
      <c r="C360" s="287"/>
      <c r="F360" s="287"/>
      <c r="I360" s="287"/>
      <c r="L360" s="287"/>
      <c r="O360" s="287"/>
      <c r="R360" s="287"/>
      <c r="U360" s="287"/>
      <c r="X360" s="287"/>
      <c r="AA360" s="287"/>
      <c r="AD360" s="287"/>
      <c r="AF360" s="613"/>
      <c r="AG360" s="287"/>
      <c r="AJ360" s="287"/>
      <c r="AM360" s="287"/>
      <c r="AP360" s="287"/>
      <c r="AS360" s="287"/>
      <c r="AV360" s="287"/>
      <c r="AY360" s="287"/>
      <c r="BB360" s="287"/>
      <c r="BE360" s="287"/>
    </row>
    <row r="361" spans="2:57" outlineLevel="1">
      <c r="B361" s="246" t="s">
        <v>2369</v>
      </c>
      <c r="C361" s="287"/>
      <c r="F361" s="287"/>
      <c r="I361" s="287"/>
      <c r="L361" s="287"/>
      <c r="O361" s="287"/>
      <c r="R361" s="287"/>
      <c r="U361" s="287"/>
      <c r="X361" s="287"/>
      <c r="AA361" s="287"/>
      <c r="AD361" s="287"/>
      <c r="AF361" s="613"/>
      <c r="AG361" s="287"/>
      <c r="AJ361" s="287"/>
      <c r="AM361" s="287"/>
      <c r="AP361" s="287"/>
      <c r="AS361" s="287"/>
      <c r="AV361" s="287"/>
      <c r="AY361" s="287"/>
      <c r="BB361" s="287"/>
      <c r="BE361" s="287"/>
    </row>
    <row r="362" spans="2:57" outlineLevel="1">
      <c r="B362" s="246" t="s">
        <v>2370</v>
      </c>
      <c r="C362" s="287"/>
      <c r="F362" s="287"/>
      <c r="I362" s="287"/>
      <c r="L362" s="287"/>
      <c r="O362" s="287"/>
      <c r="R362" s="287"/>
      <c r="U362" s="287"/>
      <c r="X362" s="287"/>
      <c r="AA362" s="287"/>
      <c r="AD362" s="287"/>
      <c r="AF362" s="613"/>
      <c r="AG362" s="287"/>
      <c r="AJ362" s="287"/>
      <c r="AM362" s="287"/>
      <c r="AP362" s="287"/>
      <c r="AS362" s="287"/>
      <c r="AV362" s="287"/>
      <c r="AY362" s="287"/>
      <c r="BB362" s="287"/>
      <c r="BE362" s="287"/>
    </row>
    <row r="363" spans="2:57" outlineLevel="1">
      <c r="C363" s="287"/>
      <c r="F363" s="287"/>
      <c r="I363" s="287"/>
      <c r="L363" s="287"/>
      <c r="O363" s="287"/>
      <c r="R363" s="287"/>
      <c r="U363" s="287"/>
      <c r="X363" s="287"/>
      <c r="AA363" s="287"/>
      <c r="AD363" s="287"/>
      <c r="AF363" s="613"/>
      <c r="AG363" s="287"/>
      <c r="AJ363" s="287"/>
      <c r="AM363" s="287"/>
      <c r="AP363" s="287"/>
      <c r="AS363" s="287"/>
      <c r="AV363" s="287"/>
      <c r="AY363" s="287"/>
      <c r="BB363" s="287"/>
      <c r="BE363" s="287"/>
    </row>
    <row r="364" spans="2:57" outlineLevel="1">
      <c r="B364" s="366" t="s">
        <v>2375</v>
      </c>
      <c r="C364" s="287"/>
      <c r="F364" s="287"/>
      <c r="I364" s="287"/>
      <c r="L364" s="287"/>
      <c r="O364" s="287"/>
      <c r="R364" s="287"/>
      <c r="U364" s="287"/>
      <c r="X364" s="287"/>
      <c r="AA364" s="287"/>
      <c r="AD364" s="287"/>
      <c r="AF364" s="613"/>
      <c r="AG364" s="287"/>
      <c r="AJ364" s="287"/>
      <c r="AM364" s="287"/>
      <c r="AP364" s="287"/>
      <c r="AS364" s="287"/>
      <c r="AV364" s="287"/>
      <c r="AY364" s="287"/>
      <c r="BB364" s="287"/>
      <c r="BE364" s="287"/>
    </row>
    <row r="365" spans="2:57" outlineLevel="1">
      <c r="C365" s="287"/>
      <c r="F365" s="287"/>
      <c r="I365" s="287"/>
      <c r="L365" s="287"/>
      <c r="O365" s="287"/>
      <c r="R365" s="287"/>
      <c r="U365" s="287"/>
      <c r="X365" s="287"/>
      <c r="AA365" s="287"/>
      <c r="AD365" s="287"/>
      <c r="AF365" s="613"/>
      <c r="AG365" s="287"/>
      <c r="AJ365" s="287"/>
      <c r="AM365" s="287"/>
      <c r="AP365" s="287"/>
      <c r="AS365" s="287"/>
      <c r="AV365" s="287"/>
      <c r="AY365" s="287"/>
      <c r="BB365" s="287"/>
      <c r="BE365" s="287"/>
    </row>
    <row r="366" spans="2:57" outlineLevel="1">
      <c r="B366" s="293" t="s">
        <v>2376</v>
      </c>
      <c r="C366" s="287"/>
      <c r="F366" s="287"/>
      <c r="I366" s="287"/>
      <c r="L366" s="287"/>
      <c r="O366" s="287"/>
      <c r="R366" s="287"/>
      <c r="U366" s="287"/>
      <c r="X366" s="287"/>
      <c r="AA366" s="287"/>
      <c r="AD366" s="287"/>
      <c r="AF366" s="613"/>
      <c r="AG366" s="287"/>
      <c r="AJ366" s="287"/>
      <c r="AM366" s="287"/>
      <c r="AP366" s="287"/>
      <c r="AS366" s="287"/>
      <c r="AV366" s="287"/>
      <c r="AY366" s="287"/>
      <c r="BB366" s="287"/>
      <c r="BE366" s="287"/>
    </row>
    <row r="367" spans="2:57" outlineLevel="1">
      <c r="B367" s="246" t="s">
        <v>2321</v>
      </c>
      <c r="C367" s="287"/>
      <c r="D367" s="246">
        <f>D98+D193</f>
        <v>88</v>
      </c>
      <c r="E367" s="246">
        <f t="shared" ref="E367:E372" si="305">F367-D367</f>
        <v>97</v>
      </c>
      <c r="F367" s="287">
        <f t="shared" ref="F367:G369" si="306">F98+F193</f>
        <v>185</v>
      </c>
      <c r="G367" s="246">
        <f t="shared" si="306"/>
        <v>109</v>
      </c>
      <c r="I367" s="287"/>
      <c r="L367" s="287"/>
      <c r="O367" s="287"/>
      <c r="R367" s="287"/>
      <c r="U367" s="287"/>
      <c r="X367" s="287"/>
      <c r="AA367" s="287"/>
      <c r="AD367" s="287"/>
      <c r="AF367" s="613"/>
      <c r="AG367" s="287"/>
      <c r="AJ367" s="287"/>
      <c r="AM367" s="287"/>
      <c r="AP367" s="287"/>
      <c r="AS367" s="287"/>
      <c r="AV367" s="287"/>
      <c r="AY367" s="287"/>
      <c r="BB367" s="287"/>
      <c r="BE367" s="287"/>
    </row>
    <row r="368" spans="2:57" outlineLevel="1">
      <c r="B368" s="246" t="s">
        <v>2322</v>
      </c>
      <c r="C368" s="287"/>
      <c r="D368" s="246">
        <f>D99+D194</f>
        <v>13</v>
      </c>
      <c r="E368" s="246">
        <f t="shared" si="305"/>
        <v>42</v>
      </c>
      <c r="F368" s="287">
        <f t="shared" si="306"/>
        <v>55</v>
      </c>
      <c r="G368" s="246">
        <f t="shared" si="306"/>
        <v>2</v>
      </c>
      <c r="I368" s="287"/>
      <c r="L368" s="287"/>
      <c r="O368" s="287"/>
      <c r="R368" s="287"/>
      <c r="U368" s="287"/>
      <c r="X368" s="287"/>
      <c r="AA368" s="287"/>
      <c r="AD368" s="287"/>
      <c r="AF368" s="613"/>
      <c r="AG368" s="287"/>
      <c r="AJ368" s="287"/>
      <c r="AM368" s="287"/>
      <c r="AP368" s="287"/>
      <c r="AS368" s="287"/>
      <c r="AV368" s="287"/>
      <c r="AY368" s="287"/>
      <c r="BB368" s="287"/>
      <c r="BE368" s="287"/>
    </row>
    <row r="369" spans="2:57" outlineLevel="1">
      <c r="B369" s="246" t="s">
        <v>2323</v>
      </c>
      <c r="C369" s="287"/>
      <c r="D369" s="246">
        <f>D100+D195</f>
        <v>10</v>
      </c>
      <c r="E369" s="246">
        <f t="shared" si="305"/>
        <v>3</v>
      </c>
      <c r="F369" s="287">
        <f t="shared" si="306"/>
        <v>13</v>
      </c>
      <c r="G369" s="246">
        <f t="shared" si="306"/>
        <v>-13</v>
      </c>
      <c r="I369" s="287"/>
      <c r="L369" s="287"/>
      <c r="O369" s="287"/>
      <c r="R369" s="287"/>
      <c r="U369" s="287"/>
      <c r="X369" s="287"/>
      <c r="AA369" s="287"/>
      <c r="AD369" s="287"/>
      <c r="AF369" s="613"/>
      <c r="AG369" s="287"/>
      <c r="AJ369" s="287"/>
      <c r="AM369" s="287"/>
      <c r="AP369" s="287"/>
      <c r="AS369" s="287"/>
      <c r="AV369" s="287"/>
      <c r="AY369" s="287"/>
      <c r="BB369" s="287"/>
      <c r="BE369" s="287"/>
    </row>
    <row r="370" spans="2:57" outlineLevel="1">
      <c r="B370" s="243" t="s">
        <v>2324</v>
      </c>
      <c r="C370" s="287"/>
      <c r="D370" s="243">
        <f>SUM(D367:D369)</f>
        <v>111</v>
      </c>
      <c r="E370" s="243">
        <f t="shared" si="305"/>
        <v>142</v>
      </c>
      <c r="F370" s="299">
        <f>SUM(F367:F369)</f>
        <v>253</v>
      </c>
      <c r="G370" s="243">
        <f>SUM(G367:G369)</f>
        <v>98</v>
      </c>
      <c r="I370" s="287"/>
      <c r="L370" s="287"/>
      <c r="O370" s="287"/>
      <c r="R370" s="287"/>
      <c r="U370" s="287"/>
      <c r="X370" s="287"/>
      <c r="AA370" s="287"/>
      <c r="AD370" s="287"/>
      <c r="AF370" s="613"/>
      <c r="AG370" s="287"/>
      <c r="AJ370" s="287"/>
      <c r="AM370" s="287"/>
      <c r="AP370" s="287"/>
      <c r="AS370" s="287"/>
      <c r="AV370" s="287"/>
      <c r="AY370" s="287"/>
      <c r="BB370" s="287"/>
      <c r="BE370" s="287"/>
    </row>
    <row r="371" spans="2:57" outlineLevel="1">
      <c r="B371" s="246" t="s">
        <v>2306</v>
      </c>
      <c r="C371" s="287"/>
      <c r="D371" s="246">
        <f>D102+D197</f>
        <v>58</v>
      </c>
      <c r="E371" s="246">
        <f t="shared" si="305"/>
        <v>40</v>
      </c>
      <c r="F371" s="287">
        <f>F102+F197</f>
        <v>98</v>
      </c>
      <c r="G371" s="246">
        <f>G102+G197</f>
        <v>43</v>
      </c>
      <c r="I371" s="287"/>
      <c r="L371" s="287"/>
      <c r="O371" s="287"/>
      <c r="R371" s="287"/>
      <c r="U371" s="287"/>
      <c r="X371" s="287"/>
      <c r="AA371" s="287"/>
      <c r="AD371" s="287"/>
      <c r="AF371" s="613"/>
      <c r="AG371" s="287"/>
      <c r="AJ371" s="287"/>
      <c r="AM371" s="287"/>
      <c r="AP371" s="287"/>
      <c r="AS371" s="287"/>
      <c r="AV371" s="287"/>
      <c r="AY371" s="287"/>
      <c r="BB371" s="287"/>
      <c r="BE371" s="287"/>
    </row>
    <row r="372" spans="2:57" outlineLevel="1">
      <c r="B372" s="243" t="s">
        <v>2307</v>
      </c>
      <c r="C372" s="287"/>
      <c r="D372" s="243">
        <f>D370+D371</f>
        <v>169</v>
      </c>
      <c r="E372" s="243">
        <f t="shared" si="305"/>
        <v>182</v>
      </c>
      <c r="F372" s="299">
        <f>F370+F371</f>
        <v>351</v>
      </c>
      <c r="G372" s="243">
        <f>G370+G371</f>
        <v>141</v>
      </c>
      <c r="I372" s="287"/>
      <c r="L372" s="287"/>
      <c r="O372" s="287"/>
      <c r="R372" s="287"/>
      <c r="U372" s="287"/>
      <c r="X372" s="287"/>
      <c r="AA372" s="287"/>
      <c r="AD372" s="287"/>
      <c r="AF372" s="613"/>
      <c r="AG372" s="287"/>
      <c r="AJ372" s="287"/>
      <c r="AM372" s="287"/>
      <c r="AP372" s="287"/>
      <c r="AS372" s="287"/>
      <c r="AV372" s="287"/>
      <c r="AY372" s="287"/>
      <c r="BB372" s="287"/>
      <c r="BE372" s="287"/>
    </row>
    <row r="373" spans="2:57" outlineLevel="1">
      <c r="B373" s="243"/>
      <c r="C373" s="287"/>
      <c r="D373" s="243"/>
      <c r="E373" s="243"/>
      <c r="F373" s="299"/>
      <c r="G373" s="243"/>
      <c r="I373" s="287"/>
      <c r="L373" s="287"/>
      <c r="O373" s="287"/>
      <c r="R373" s="287"/>
      <c r="U373" s="287"/>
      <c r="X373" s="287"/>
      <c r="AA373" s="287"/>
      <c r="AD373" s="287"/>
      <c r="AF373" s="613"/>
      <c r="AG373" s="287"/>
      <c r="AJ373" s="287"/>
      <c r="AM373" s="287"/>
      <c r="AP373" s="287"/>
      <c r="AS373" s="287"/>
      <c r="AV373" s="287"/>
      <c r="AY373" s="287"/>
      <c r="BB373" s="287"/>
      <c r="BE373" s="287"/>
    </row>
    <row r="374" spans="2:57" outlineLevel="1">
      <c r="B374" s="293" t="s">
        <v>2377</v>
      </c>
      <c r="C374" s="303"/>
      <c r="F374" s="287"/>
      <c r="I374" s="287"/>
      <c r="L374" s="287"/>
      <c r="O374" s="287"/>
      <c r="R374" s="287"/>
      <c r="U374" s="287"/>
      <c r="X374" s="287"/>
      <c r="AA374" s="287"/>
      <c r="AD374" s="287"/>
      <c r="AF374" s="613"/>
      <c r="AG374" s="287"/>
      <c r="AJ374" s="287"/>
      <c r="AM374" s="287"/>
      <c r="AP374" s="287"/>
      <c r="AS374" s="287"/>
      <c r="AV374" s="287"/>
      <c r="AY374" s="287"/>
      <c r="BB374" s="287"/>
      <c r="BE374" s="287"/>
    </row>
    <row r="375" spans="2:57" s="251" customFormat="1" outlineLevel="1">
      <c r="B375" s="251" t="s">
        <v>2378</v>
      </c>
      <c r="C375" s="252">
        <f t="shared" ref="C375:L375" si="307">C111</f>
        <v>169</v>
      </c>
      <c r="D375" s="251">
        <f t="shared" si="307"/>
        <v>179</v>
      </c>
      <c r="E375" s="251">
        <f t="shared" si="307"/>
        <v>184</v>
      </c>
      <c r="F375" s="252">
        <f t="shared" si="307"/>
        <v>184</v>
      </c>
      <c r="G375" s="251">
        <f t="shared" si="307"/>
        <v>203</v>
      </c>
      <c r="H375" s="251">
        <f t="shared" si="307"/>
        <v>279</v>
      </c>
      <c r="I375" s="252">
        <f t="shared" si="307"/>
        <v>279</v>
      </c>
      <c r="J375" s="251">
        <f t="shared" si="307"/>
        <v>324</v>
      </c>
      <c r="K375" s="251">
        <f t="shared" si="307"/>
        <v>360</v>
      </c>
      <c r="L375" s="252">
        <f t="shared" si="307"/>
        <v>360</v>
      </c>
      <c r="O375" s="252">
        <f>O111</f>
        <v>408</v>
      </c>
      <c r="P375" s="251">
        <f>P111</f>
        <v>424</v>
      </c>
      <c r="Q375" s="251">
        <v>436</v>
      </c>
      <c r="R375" s="252">
        <f>R111</f>
        <v>436</v>
      </c>
      <c r="U375" s="252">
        <f>U111</f>
        <v>505</v>
      </c>
      <c r="X375" s="252">
        <f>X111</f>
        <v>598</v>
      </c>
      <c r="AA375" s="252">
        <f>AA111</f>
        <v>657</v>
      </c>
      <c r="AD375" s="252">
        <f>AD111</f>
        <v>693</v>
      </c>
      <c r="AF375" s="260"/>
      <c r="AG375" s="252">
        <f>AG111</f>
        <v>735</v>
      </c>
      <c r="AJ375" s="252">
        <f>AJ111</f>
        <v>783</v>
      </c>
      <c r="AM375" s="252">
        <f>AM111</f>
        <v>797</v>
      </c>
      <c r="AP375" s="252">
        <f>AP111</f>
        <v>856.77500000000009</v>
      </c>
      <c r="AS375" s="252">
        <f>AS111</f>
        <v>921.03312500000027</v>
      </c>
      <c r="AV375" s="252">
        <f>AV111</f>
        <v>990.11060937500042</v>
      </c>
      <c r="AY375" s="252">
        <f>AY111</f>
        <v>1064.3689050781256</v>
      </c>
      <c r="BB375" s="252">
        <f>BB111</f>
        <v>1144.1965729589851</v>
      </c>
      <c r="BE375" s="252">
        <f>BE111</f>
        <v>1230.0113159309092</v>
      </c>
    </row>
    <row r="376" spans="2:57" s="251" customFormat="1" outlineLevel="1">
      <c r="B376" s="251" t="s">
        <v>2379</v>
      </c>
      <c r="C376" s="252">
        <f t="shared" ref="C376:J376" si="308">C118+C125+C206</f>
        <v>987</v>
      </c>
      <c r="D376" s="251">
        <f t="shared" si="308"/>
        <v>1161</v>
      </c>
      <c r="E376" s="251">
        <f t="shared" si="308"/>
        <v>1217</v>
      </c>
      <c r="F376" s="252">
        <f t="shared" si="308"/>
        <v>1217</v>
      </c>
      <c r="G376" s="251">
        <f t="shared" si="308"/>
        <v>1283</v>
      </c>
      <c r="H376" s="251">
        <f t="shared" si="308"/>
        <v>1342</v>
      </c>
      <c r="I376" s="252">
        <f t="shared" si="308"/>
        <v>1342</v>
      </c>
      <c r="J376" s="251">
        <f t="shared" si="308"/>
        <v>1470</v>
      </c>
      <c r="K376" s="251">
        <f>K118+K125+K132+K206</f>
        <v>1615</v>
      </c>
      <c r="L376" s="252">
        <f>L118+L125+L132+L206</f>
        <v>1615</v>
      </c>
      <c r="O376" s="252">
        <f>O118+O125+O132+O206</f>
        <v>1696.7483357687936</v>
      </c>
      <c r="P376" s="251">
        <f>P118+P125+P132+P206</f>
        <v>1583.9661982529433</v>
      </c>
      <c r="Q376" s="251">
        <f>Q118+Q125+Q132+Q206</f>
        <v>1630.1538461538462</v>
      </c>
      <c r="R376" s="252">
        <f>R118+R125+R132+R206</f>
        <v>1630.1538461538462</v>
      </c>
      <c r="U376" s="292">
        <f>R376*1.18</f>
        <v>1923.5815384615385</v>
      </c>
      <c r="X376" s="292">
        <f>U376*1.1</f>
        <v>2115.9396923076924</v>
      </c>
      <c r="AA376" s="292">
        <f>X376*1.1</f>
        <v>2327.5336615384617</v>
      </c>
      <c r="AD376" s="292">
        <f>AA376*1.1</f>
        <v>2560.2870276923081</v>
      </c>
      <c r="AF376" s="260"/>
      <c r="AG376" s="292">
        <f>AD376*1.1</f>
        <v>2816.3157304615393</v>
      </c>
      <c r="AJ376" s="292">
        <f>AG376*1.1</f>
        <v>3097.9473035076935</v>
      </c>
      <c r="AM376" s="292">
        <f>AJ376*1.1</f>
        <v>3407.7420338584629</v>
      </c>
      <c r="AP376" s="292">
        <f>AM376*1.1</f>
        <v>3748.5162372443097</v>
      </c>
      <c r="AS376" s="292">
        <f>AP376*1.1</f>
        <v>4123.3678609687413</v>
      </c>
      <c r="AV376" s="292">
        <f>AS376*1.1</f>
        <v>4535.704647065616</v>
      </c>
      <c r="AY376" s="292">
        <f>AV376*1.1</f>
        <v>4989.2751117721782</v>
      </c>
      <c r="BB376" s="292">
        <f>AY376*1.1</f>
        <v>5488.2026229493968</v>
      </c>
      <c r="BE376" s="292">
        <f>BB376*1.1</f>
        <v>6037.022885244337</v>
      </c>
    </row>
    <row r="377" spans="2:57" s="251" customFormat="1" outlineLevel="1">
      <c r="B377" s="251" t="s">
        <v>2380</v>
      </c>
      <c r="D377" s="251">
        <f t="shared" ref="D377:I377" si="309">+D376-D378</f>
        <v>809</v>
      </c>
      <c r="E377" s="251">
        <f t="shared" si="309"/>
        <v>838</v>
      </c>
      <c r="F377" s="251">
        <f t="shared" si="309"/>
        <v>838</v>
      </c>
      <c r="G377" s="251">
        <f t="shared" si="309"/>
        <v>891</v>
      </c>
      <c r="H377" s="251">
        <f t="shared" si="309"/>
        <v>971</v>
      </c>
      <c r="I377" s="251">
        <f t="shared" si="309"/>
        <v>971</v>
      </c>
      <c r="J377" s="251">
        <f>+J376-J378</f>
        <v>1054</v>
      </c>
      <c r="K377" s="251">
        <f>+K376-K378</f>
        <v>1200</v>
      </c>
      <c r="L377" s="251">
        <f>+L376-L378</f>
        <v>1200</v>
      </c>
      <c r="O377" s="251">
        <f>O141</f>
        <v>1176</v>
      </c>
      <c r="P377" s="251">
        <f>P139</f>
        <v>1151</v>
      </c>
      <c r="Q377" s="251">
        <f>Q139</f>
        <v>1204</v>
      </c>
      <c r="X377" s="252"/>
      <c r="AA377" s="252"/>
      <c r="AD377" s="252"/>
      <c r="AG377" s="252"/>
      <c r="AJ377" s="252"/>
      <c r="AM377" s="252"/>
      <c r="AP377" s="252"/>
      <c r="AS377" s="252"/>
      <c r="AV377" s="252"/>
      <c r="AY377" s="252"/>
      <c r="BB377" s="252"/>
      <c r="BE377" s="252"/>
    </row>
    <row r="378" spans="2:57" s="251" customFormat="1" outlineLevel="1">
      <c r="B378" s="251" t="s">
        <v>2381</v>
      </c>
      <c r="D378" s="251">
        <v>352</v>
      </c>
      <c r="E378" s="251">
        <v>379</v>
      </c>
      <c r="F378" s="251">
        <v>379</v>
      </c>
      <c r="G378" s="251">
        <v>392</v>
      </c>
      <c r="H378" s="251">
        <v>371</v>
      </c>
      <c r="I378" s="251">
        <f>I206</f>
        <v>371</v>
      </c>
      <c r="J378" s="251">
        <f>J206</f>
        <v>416</v>
      </c>
      <c r="K378" s="251">
        <f>K206</f>
        <v>415</v>
      </c>
      <c r="L378" s="251">
        <f>L206</f>
        <v>415</v>
      </c>
      <c r="O378" s="251">
        <f>O206</f>
        <v>449.74833576879359</v>
      </c>
      <c r="P378" s="251">
        <f>P206</f>
        <v>432.9661982529434</v>
      </c>
      <c r="Q378" s="251">
        <f>Q206</f>
        <v>426.15384615384619</v>
      </c>
      <c r="X378" s="252"/>
      <c r="AA378" s="252"/>
      <c r="AD378" s="252"/>
      <c r="AG378" s="252"/>
      <c r="AJ378" s="252"/>
      <c r="AM378" s="252"/>
      <c r="AP378" s="252"/>
      <c r="AS378" s="252"/>
      <c r="AV378" s="252"/>
      <c r="AY378" s="252"/>
      <c r="BB378" s="252"/>
      <c r="BE378" s="252"/>
    </row>
    <row r="379" spans="2:57" outlineLevel="1">
      <c r="X379" s="287"/>
      <c r="AA379" s="287"/>
      <c r="AD379" s="287"/>
      <c r="AG379" s="287"/>
      <c r="AJ379" s="287"/>
      <c r="AM379" s="287"/>
      <c r="AP379" s="287"/>
      <c r="AS379" s="287"/>
      <c r="AV379" s="287"/>
      <c r="AY379" s="287"/>
      <c r="BB379" s="287"/>
      <c r="BE379" s="287"/>
    </row>
    <row r="380" spans="2:57" outlineLevel="1">
      <c r="X380" s="287"/>
      <c r="AA380" s="287"/>
      <c r="AD380" s="287"/>
      <c r="AG380" s="287"/>
      <c r="AJ380" s="287"/>
      <c r="AM380" s="287"/>
      <c r="AP380" s="287"/>
      <c r="AS380" s="287"/>
      <c r="AV380" s="287"/>
      <c r="AY380" s="287"/>
      <c r="BB380" s="287"/>
      <c r="BE380" s="287"/>
    </row>
    <row r="381" spans="2:57" outlineLevel="1">
      <c r="X381" s="287"/>
      <c r="AA381" s="287"/>
      <c r="AD381" s="287"/>
      <c r="AG381" s="287"/>
      <c r="AJ381" s="287"/>
      <c r="AM381" s="287"/>
      <c r="AP381" s="287"/>
      <c r="AS381" s="287"/>
      <c r="AV381" s="287"/>
      <c r="AY381" s="287"/>
      <c r="BB381" s="287"/>
      <c r="BE381" s="287"/>
    </row>
    <row r="382" spans="2:57" outlineLevel="1">
      <c r="X382" s="287"/>
      <c r="AA382" s="287"/>
      <c r="AD382" s="287"/>
      <c r="AG382" s="287"/>
      <c r="AJ382" s="287"/>
      <c r="AM382" s="287"/>
      <c r="AP382" s="287"/>
      <c r="AS382" s="287"/>
      <c r="AV382" s="287"/>
      <c r="AY382" s="287"/>
      <c r="BB382" s="287"/>
      <c r="BE382" s="287"/>
    </row>
    <row r="383" spans="2:57" outlineLevel="1">
      <c r="X383" s="287"/>
      <c r="AA383" s="287"/>
      <c r="AD383" s="287"/>
      <c r="AG383" s="287"/>
      <c r="AJ383" s="287"/>
      <c r="AM383" s="287"/>
      <c r="AP383" s="287"/>
      <c r="AS383" s="287"/>
      <c r="AV383" s="287"/>
      <c r="AY383" s="287"/>
      <c r="BB383" s="287"/>
      <c r="BE383" s="287"/>
    </row>
    <row r="384" spans="2:57">
      <c r="X384" s="287"/>
      <c r="AA384" s="287"/>
      <c r="AD384" s="287"/>
      <c r="AG384" s="287"/>
      <c r="AJ384" s="287"/>
      <c r="AM384" s="287"/>
      <c r="AP384" s="287"/>
      <c r="AS384" s="287"/>
      <c r="AV384" s="287"/>
      <c r="AY384" s="287"/>
      <c r="BB384" s="287"/>
      <c r="BE384" s="287"/>
    </row>
    <row r="385" spans="2:57">
      <c r="B385" s="246" t="s">
        <v>2575</v>
      </c>
      <c r="D385" s="367">
        <f>D49/D270*2</f>
        <v>5.6843486076584857E-3</v>
      </c>
      <c r="E385" s="367">
        <f>E49/E270*2</f>
        <v>6.0896431290019251E-3</v>
      </c>
      <c r="F385" s="367">
        <f>F49/F270</f>
        <v>5.8952601021379052E-3</v>
      </c>
      <c r="G385" s="367">
        <f>G49/G270*2</f>
        <v>6.5911512807356829E-3</v>
      </c>
      <c r="H385" s="367">
        <f>H49/H270*2</f>
        <v>7.147809643870154E-3</v>
      </c>
      <c r="I385" s="367">
        <f>I49/I270</f>
        <v>7.0111863872695758E-3</v>
      </c>
      <c r="J385" s="367">
        <f>J49/J270*2</f>
        <v>6.258540004389474E-3</v>
      </c>
      <c r="K385" s="367">
        <f>K49/K270*2</f>
        <v>5.0604656851503619E-3</v>
      </c>
      <c r="L385" s="367">
        <f>L49/L270</f>
        <v>5.6586922784105879E-3</v>
      </c>
      <c r="M385" s="367">
        <f>M49/M270*2</f>
        <v>5.4014002091311367E-3</v>
      </c>
      <c r="N385" s="367">
        <f>N49/N270*2</f>
        <v>5.485704858079728E-3</v>
      </c>
      <c r="O385" s="367">
        <f>O49/O270</f>
        <v>5.4555260537670095E-3</v>
      </c>
      <c r="P385" s="367">
        <f>P49/P270*2</f>
        <v>5.9977424978126274E-3</v>
      </c>
      <c r="Q385" s="367">
        <f>Q49/Q270*2</f>
        <v>6.0497586040644336E-3</v>
      </c>
      <c r="R385" s="367">
        <f>R49/R270</f>
        <v>6.0307454985504931E-3</v>
      </c>
      <c r="S385" s="367">
        <f>S49/S270*2</f>
        <v>6.1629466588712725E-3</v>
      </c>
      <c r="T385" s="367">
        <f>T49/T270*2</f>
        <v>5.8035595165034553E-3</v>
      </c>
      <c r="U385" s="367">
        <f>U49/U270</f>
        <v>6.0173638085892246E-3</v>
      </c>
      <c r="V385" s="367">
        <f>V49/V270*2</f>
        <v>6.1307467784901285E-3</v>
      </c>
      <c r="W385" s="367">
        <f>W49/W270*2</f>
        <v>6.0956638973070762E-3</v>
      </c>
      <c r="X385" s="745">
        <f>X49/X270</f>
        <v>4.9450416424559364E-3</v>
      </c>
      <c r="Y385" s="367">
        <f>Y49/Y270*2</f>
        <v>5.1998334252495804E-3</v>
      </c>
      <c r="Z385" s="367">
        <f>Z49/Z270*2</f>
        <v>5.1250276858032812E-3</v>
      </c>
      <c r="AA385" s="745">
        <f>AA49/AA270</f>
        <v>5.1623630590511985E-3</v>
      </c>
      <c r="AB385" s="367">
        <f>AB49/AB270*2</f>
        <v>5.3697906318632633E-3</v>
      </c>
      <c r="AC385" s="367">
        <f>AC49/AC270*2</f>
        <v>5.5869610487233792E-3</v>
      </c>
      <c r="AD385" s="745">
        <f>AD49/AD270</f>
        <v>5.481397182039811E-3</v>
      </c>
      <c r="AE385" s="735">
        <f>AE49/AE270*2</f>
        <v>5.4362417169974211E-3</v>
      </c>
      <c r="AF385" s="735">
        <f>AF49/AF270*2</f>
        <v>5.0691983984405302E-3</v>
      </c>
      <c r="AG385" s="746">
        <f>AG49/AG270</f>
        <v>5.2532835468160396E-3</v>
      </c>
      <c r="AH385" s="735">
        <f>AH49/AH270*2</f>
        <v>5.5076302096966224E-3</v>
      </c>
      <c r="AI385" s="735">
        <f>AI49/AI270*2</f>
        <v>5.0625602748007922E-3</v>
      </c>
      <c r="AJ385" s="746">
        <f>AJ49/AJ270</f>
        <v>5.2810376067335988E-3</v>
      </c>
      <c r="AK385" s="735">
        <f>AK49/AK270*2</f>
        <v>5.3140471904176024E-3</v>
      </c>
      <c r="AL385" s="735">
        <f>AL49/AL270*2</f>
        <v>5.8560067939415891E-3</v>
      </c>
      <c r="AM385" s="746">
        <f>AM49/AM270</f>
        <v>5.5804880952449089E-3</v>
      </c>
      <c r="AN385" s="735">
        <f>AN49/AN270*2</f>
        <v>4.874962782734792E-3</v>
      </c>
      <c r="AO385" s="735">
        <f>AO49/AO270*2</f>
        <v>5.2168865068603293E-3</v>
      </c>
      <c r="AP385" s="746">
        <f>AP49/AP270</f>
        <v>5.0441784301896789E-3</v>
      </c>
      <c r="AQ385" s="735">
        <f>AQ49/AQ270*2</f>
        <v>5.5709446518166228E-3</v>
      </c>
      <c r="AR385" s="735">
        <f>AR49/AR270*2</f>
        <v>5.5430899285575401E-3</v>
      </c>
      <c r="AS385" s="746">
        <f>AS49/AS270</f>
        <v>5.5567694805360628E-3</v>
      </c>
      <c r="AT385" s="735">
        <f>AT49/AT270*2</f>
        <v>5.5153744789147524E-3</v>
      </c>
      <c r="AU385" s="735">
        <f>AU49/AU270*2</f>
        <v>5.4877976065201787E-3</v>
      </c>
      <c r="AV385" s="746">
        <f>AV49/AV270</f>
        <v>5.5013405189727142E-3</v>
      </c>
      <c r="AW385" s="735">
        <f>AW49/AW270*2</f>
        <v>5.4603586184875791E-3</v>
      </c>
      <c r="AX385" s="735">
        <f>AX49/AX270*2</f>
        <v>5.4330568253951415E-3</v>
      </c>
      <c r="AY385" s="746">
        <f>AY49/AY270</f>
        <v>5.4464644615952133E-3</v>
      </c>
      <c r="AZ385" s="735">
        <f>AZ49/AZ270*2</f>
        <v>5.4058915412681634E-3</v>
      </c>
      <c r="BA385" s="735">
        <f>BA49/BA270*2</f>
        <v>5.3788620835618231E-3</v>
      </c>
      <c r="BB385" s="746">
        <f>BB49/BB270</f>
        <v>5.3921357918651682E-3</v>
      </c>
      <c r="BC385" s="735">
        <f>BC49/BC270*2</f>
        <v>5.3519677731440132E-3</v>
      </c>
      <c r="BD385" s="735">
        <f>BD49/BD270*2</f>
        <v>5.3252079342782947E-3</v>
      </c>
      <c r="BE385" s="746">
        <f>BE49/BE270</f>
        <v>5.3383490484112507E-3</v>
      </c>
    </row>
    <row r="386" spans="2:57">
      <c r="B386" s="246" t="s">
        <v>2582</v>
      </c>
      <c r="D386" s="367">
        <f>D65/D298*2</f>
        <v>5.27631396706261E-3</v>
      </c>
      <c r="E386" s="367">
        <f>E65/E298*2</f>
        <v>5.4297646490525427E-3</v>
      </c>
      <c r="F386" s="367">
        <f>F65/F298</f>
        <v>5.355941668464672E-3</v>
      </c>
      <c r="G386" s="367">
        <f>G65/G298*2</f>
        <v>5.4545246198448444E-3</v>
      </c>
      <c r="H386" s="367">
        <f>H65/H298*2</f>
        <v>4.4684416309811953E-3</v>
      </c>
      <c r="I386" s="367">
        <f>I65/I298</f>
        <v>4.9503287152665E-3</v>
      </c>
      <c r="J386" s="367">
        <f>J65/J298*2</f>
        <v>4.2427500419072719E-3</v>
      </c>
      <c r="K386" s="367">
        <f>K65/K298*2</f>
        <v>4.0876166337420949E-3</v>
      </c>
      <c r="L386" s="367">
        <f>L65/L298</f>
        <v>4.1508376223334149E-3</v>
      </c>
      <c r="M386" s="367">
        <f>M65/M298*2</f>
        <v>4.487014512862402E-3</v>
      </c>
      <c r="N386" s="367">
        <f>N65/N298*2</f>
        <v>4.5127098822843117E-3</v>
      </c>
      <c r="O386" s="367">
        <f>O65/O298</f>
        <v>4.5105171243923874E-3</v>
      </c>
      <c r="P386" s="367">
        <f>P65/P298*2</f>
        <v>4.5598317357866515E-3</v>
      </c>
      <c r="Q386" s="367">
        <f>Q65/Q298*2</f>
        <v>4.5385146299123666E-3</v>
      </c>
      <c r="R386" s="367">
        <f>R65/R298</f>
        <v>4.5534929526754421E-3</v>
      </c>
      <c r="S386" s="367">
        <f>S65/S298*2</f>
        <v>4.445255709576627E-3</v>
      </c>
      <c r="T386" s="367">
        <f>T65/T298*2</f>
        <v>4.3038025243649141E-3</v>
      </c>
      <c r="U386" s="367">
        <f>U65/U298</f>
        <v>4.3719635548978928E-3</v>
      </c>
      <c r="V386" s="367">
        <f>V65/V298*2</f>
        <v>4.2904592719717315E-3</v>
      </c>
      <c r="W386" s="367">
        <f>W65/W298*2</f>
        <v>4.0495288528930766E-3</v>
      </c>
      <c r="X386" s="745">
        <f>X65/X298</f>
        <v>4.1633226324237563E-3</v>
      </c>
      <c r="Y386" s="367">
        <f>Y65/Y298*2</f>
        <v>4.2261051095138285E-3</v>
      </c>
      <c r="Z386" s="367">
        <f>Z65/Z298*2</f>
        <v>4.0784187041935024E-3</v>
      </c>
      <c r="AA386" s="745">
        <f>AA65/AA298</f>
        <v>4.1504335609933727E-3</v>
      </c>
      <c r="AB386" s="367">
        <f>AB65/AB298*2</f>
        <v>8.5352842554488641E-3</v>
      </c>
      <c r="AC386" s="367">
        <f>AC65/AC298*2</f>
        <v>8.3464294576324708E-3</v>
      </c>
      <c r="AD386" s="745">
        <f>AD65/AD298</f>
        <v>8.4378032214244125E-3</v>
      </c>
      <c r="AE386" s="735">
        <f>AE65/AE298*2</f>
        <v>9.29710266575412E-3</v>
      </c>
      <c r="AF386" s="735">
        <f>AF65/AF298*2</f>
        <v>9.201671308592424E-3</v>
      </c>
      <c r="AG386" s="746">
        <f>AG65/AG298</f>
        <v>9.2493976441792546E-3</v>
      </c>
      <c r="AH386" s="735">
        <f>AH65/AH298*2</f>
        <v>8.6932647998215259E-3</v>
      </c>
      <c r="AI386" s="735">
        <f>AI65/AI298*2</f>
        <v>9.7923919581503014E-3</v>
      </c>
      <c r="AJ386" s="746">
        <f>AJ65/AJ298</f>
        <v>9.2307412571431217E-3</v>
      </c>
      <c r="AK386" s="735">
        <f>AK65/AK298*2</f>
        <v>8.0737002706582992E-3</v>
      </c>
      <c r="AL386" s="735">
        <f>AL65/AL298*2</f>
        <v>7.8414678593370889E-3</v>
      </c>
      <c r="AM386" s="746">
        <f>AM65/AM298</f>
        <v>7.9549235485498436E-3</v>
      </c>
      <c r="AN386" s="735">
        <f>AN65/AN298*2</f>
        <v>8.1369060076068121E-3</v>
      </c>
      <c r="AO386" s="735">
        <f>AO65/AO298*2</f>
        <v>7.5312322436047671E-3</v>
      </c>
      <c r="AP386" s="746">
        <f>AP65/AP298</f>
        <v>7.8293847193609493E-3</v>
      </c>
      <c r="AQ386" s="735">
        <f>AQ65/AQ298*2</f>
        <v>7.4559199211687178E-3</v>
      </c>
      <c r="AR386" s="735">
        <f>AR65/AR298*2</f>
        <v>7.3813607219570306E-3</v>
      </c>
      <c r="AS386" s="746">
        <f>AS65/AS298</f>
        <v>7.4179770053645752E-3</v>
      </c>
      <c r="AT386" s="735">
        <f>AT65/AT298*2</f>
        <v>7.3075471147374602E-3</v>
      </c>
      <c r="AU386" s="735">
        <f>AU65/AU298*2</f>
        <v>7.2344716435900867E-3</v>
      </c>
      <c r="AV386" s="746">
        <f>AV65/AV298</f>
        <v>7.2703587700929245E-3</v>
      </c>
      <c r="AW386" s="735">
        <f>AW65/AW298*2</f>
        <v>7.1621269271541872E-3</v>
      </c>
      <c r="AX386" s="735">
        <f>AX65/AX298*2</f>
        <v>7.0905056578826446E-3</v>
      </c>
      <c r="AY386" s="746">
        <f>AY65/AY298</f>
        <v>7.1256781434160662E-3</v>
      </c>
      <c r="AZ386" s="735">
        <f>AZ65/AZ298*2</f>
        <v>7.0196006013038183E-3</v>
      </c>
      <c r="BA386" s="735">
        <f>BA65/BA298*2</f>
        <v>6.9494045952907804E-3</v>
      </c>
      <c r="BB386" s="746">
        <f>BB65/BB298</f>
        <v>6.9838766634321417E-3</v>
      </c>
      <c r="BC386" s="735">
        <f>BC65/BC298*2</f>
        <v>6.8799105493378724E-3</v>
      </c>
      <c r="BD386" s="735">
        <f>BD65/BD298*2</f>
        <v>6.811111443844494E-3</v>
      </c>
      <c r="BE386" s="746">
        <f>BE65/BE298</f>
        <v>6.8448970320937582E-3</v>
      </c>
    </row>
    <row r="387" spans="2:57" s="243" customFormat="1">
      <c r="B387" s="243" t="s">
        <v>2558</v>
      </c>
      <c r="S387" s="747">
        <f>S53/S270*2</f>
        <v>5.2137428207861885E-3</v>
      </c>
      <c r="T387" s="747">
        <f>T53/T270*2</f>
        <v>4.856311871281052E-3</v>
      </c>
      <c r="U387" s="748">
        <f>U53/U270</f>
        <v>5.0633083915988608E-3</v>
      </c>
      <c r="V387" s="747">
        <f>V53/V270*2</f>
        <v>5.1748091311164075E-3</v>
      </c>
      <c r="W387" s="747">
        <f>W53/W270*2</f>
        <v>5.0009794545014573E-3</v>
      </c>
      <c r="X387" s="748">
        <f>X53/X270</f>
        <v>3.9160856091419718E-3</v>
      </c>
      <c r="Y387" s="747">
        <f>Y53/Y270*2</f>
        <v>4.1418586590732595E-3</v>
      </c>
      <c r="Z387" s="747">
        <f>Z53/Z270*2</f>
        <v>4.1605804626543043E-3</v>
      </c>
      <c r="AA387" s="748">
        <f>AA53/AA270</f>
        <v>4.151236453361083E-3</v>
      </c>
      <c r="AB387" s="747">
        <f>AB53/AB270*2</f>
        <v>4.3173116680180644E-3</v>
      </c>
      <c r="AC387" s="747">
        <f>AC53/AC270*2</f>
        <v>4.5203593939670975E-3</v>
      </c>
      <c r="AD387" s="748">
        <f>AD53/AD270</f>
        <v>4.4216603935121135E-3</v>
      </c>
      <c r="AE387" s="747">
        <f>AE53/AE270*2</f>
        <v>4.3984137528433678E-3</v>
      </c>
      <c r="AF387" s="747">
        <f>AF53/AF270*2</f>
        <v>4.1014423405564288E-3</v>
      </c>
      <c r="AG387" s="748">
        <f>AG53/AG270</f>
        <v>4.2503839606057052E-3</v>
      </c>
      <c r="AH387" s="747">
        <f>AH53/AH270*2</f>
        <v>4.4561735332999943E-3</v>
      </c>
      <c r="AI387" s="747">
        <f>AI53/AI270*2</f>
        <v>4.0960714950660955E-3</v>
      </c>
      <c r="AJ387" s="748">
        <f>AJ53/AJ270</f>
        <v>4.272839518175366E-3</v>
      </c>
      <c r="AK387" s="747">
        <f>AK53/AK270*2</f>
        <v>4.2995472722469688E-3</v>
      </c>
      <c r="AL387" s="747">
        <f>AL53/AL270*2</f>
        <v>4.7380418605527403E-3</v>
      </c>
      <c r="AM387" s="748">
        <f>AM53/AM270</f>
        <v>4.515122186152699E-3</v>
      </c>
      <c r="AN387" s="747">
        <f>AN53/AN270*2</f>
        <v>3.9442880696672405E-3</v>
      </c>
      <c r="AO387" s="747">
        <f>AO53/AO270*2</f>
        <v>4.2209354464597202E-3</v>
      </c>
      <c r="AP387" s="748">
        <f>AP53/AP270</f>
        <v>4.0811989116989215E-3</v>
      </c>
      <c r="AQ387" s="747">
        <f>AQ53/AQ270*2</f>
        <v>4.5074006728334495E-3</v>
      </c>
      <c r="AR387" s="747">
        <f>AR53/AR270*2</f>
        <v>4.4848636694692825E-3</v>
      </c>
      <c r="AS387" s="748">
        <f>AS53/AS270</f>
        <v>4.4959316706155413E-3</v>
      </c>
      <c r="AT387" s="747">
        <f>AT53/AT270*2</f>
        <v>4.4624393511219357E-3</v>
      </c>
      <c r="AU387" s="747">
        <f>AU53/AU270*2</f>
        <v>4.4401271543663265E-3</v>
      </c>
      <c r="AV387" s="748">
        <f>AV53/AV270</f>
        <v>4.4510846017142862E-3</v>
      </c>
      <c r="AW387" s="747">
        <f>AW53/AW270*2</f>
        <v>4.4179265185944954E-3</v>
      </c>
      <c r="AX387" s="747">
        <f>AX53/AX270*2</f>
        <v>4.3958368860015232E-3</v>
      </c>
      <c r="AY387" s="748">
        <f>AY53/AY270</f>
        <v>4.4066848825634001E-3</v>
      </c>
      <c r="AZ387" s="747">
        <f>AZ53/AZ270*2</f>
        <v>4.3738577015715145E-3</v>
      </c>
      <c r="BA387" s="747">
        <f>BA53/BA270*2</f>
        <v>4.3519884130636564E-3</v>
      </c>
      <c r="BB387" s="748">
        <f>BB53/BB270</f>
        <v>4.362728049781819E-3</v>
      </c>
      <c r="BC387" s="747">
        <f>BC53/BC270*2</f>
        <v>4.3302284709983378E-3</v>
      </c>
      <c r="BD387" s="747">
        <f>BD53/BD270*2</f>
        <v>4.308577328643347E-3</v>
      </c>
      <c r="BE387" s="748">
        <f>BE53/BE270</f>
        <v>4.3192096846236478E-3</v>
      </c>
    </row>
    <row r="388" spans="2:57" s="243" customFormat="1">
      <c r="B388" s="243" t="s">
        <v>2583</v>
      </c>
      <c r="X388" s="299"/>
      <c r="Y388" s="747"/>
      <c r="Z388" s="747"/>
      <c r="AA388" s="748"/>
      <c r="AB388" s="747"/>
      <c r="AC388" s="747"/>
      <c r="AD388" s="748"/>
      <c r="AE388" s="747"/>
      <c r="AF388" s="747"/>
      <c r="AG388" s="748"/>
      <c r="AH388" s="749">
        <f>AH69/(AH298*0+126036)*2</f>
        <v>7.1249484274334314E-3</v>
      </c>
      <c r="AI388" s="749">
        <f>AI69/(AI298*0+132209)*2</f>
        <v>7.3217405774190867E-3</v>
      </c>
      <c r="AJ388" s="750">
        <f>AJ69/(AJ298*0+AVERAGE(126036,132209))</f>
        <v>7.2256965284903871E-3</v>
      </c>
      <c r="AK388" s="747">
        <f>AK69/AK298*2</f>
        <v>6.0370911933751246E-3</v>
      </c>
      <c r="AL388" s="747">
        <f>AL69/AL298*2</f>
        <v>5.8634399308556615E-3</v>
      </c>
      <c r="AM388" s="748">
        <f>AM69/AM298</f>
        <v>5.9482761669336671E-3</v>
      </c>
      <c r="AN388" s="747">
        <f>AN69/AN298*2</f>
        <v>6.0843531408231125E-3</v>
      </c>
      <c r="AO388" s="747">
        <f>AO69/AO298*2</f>
        <v>5.6314619479206811E-3</v>
      </c>
      <c r="AP388" s="748">
        <f>AP69/AP298</f>
        <v>5.8544047901527823E-3</v>
      </c>
      <c r="AQ388" s="747">
        <f>AQ69/AQ298*2</f>
        <v>5.5751473284414745E-3</v>
      </c>
      <c r="AR388" s="747">
        <f>AR69/AR298*2</f>
        <v>5.5193958551570587E-3</v>
      </c>
      <c r="AS388" s="748">
        <f>AS69/AS298</f>
        <v>5.5467755986059438E-3</v>
      </c>
      <c r="AT388" s="747">
        <f>AT69/AT298*2</f>
        <v>5.4642018966054888E-3</v>
      </c>
      <c r="AU388" s="747">
        <f>AU69/AU298*2</f>
        <v>5.4095598776394346E-3</v>
      </c>
      <c r="AV388" s="748">
        <f>AV69/AV298</f>
        <v>5.4363943956550701E-3</v>
      </c>
      <c r="AW388" s="747">
        <f>AW69/AW298*2</f>
        <v>5.3554642788630402E-3</v>
      </c>
      <c r="AX388" s="747">
        <f>AX69/AX298*2</f>
        <v>5.3019096360744106E-3</v>
      </c>
      <c r="AY388" s="748">
        <f>AY69/AY298</f>
        <v>5.3282097829147161E-3</v>
      </c>
      <c r="AZ388" s="747">
        <f>AZ69/AZ298*2</f>
        <v>5.2488905397136661E-3</v>
      </c>
      <c r="BA388" s="747">
        <f>BA69/BA298*2</f>
        <v>5.1964016343165288E-3</v>
      </c>
      <c r="BB388" s="748">
        <f>BB69/BB298</f>
        <v>5.2221780456294395E-3</v>
      </c>
      <c r="BC388" s="747">
        <f>BC69/BC298*2</f>
        <v>5.1444376179733643E-3</v>
      </c>
      <c r="BD388" s="747">
        <f>BD69/BD298*2</f>
        <v>5.0929932417936299E-3</v>
      </c>
      <c r="BE388" s="748">
        <f>BE69/BE298</f>
        <v>5.1182563393133498E-3</v>
      </c>
    </row>
    <row r="389" spans="2:57">
      <c r="X389" s="287"/>
      <c r="AA389" s="287"/>
      <c r="AD389" s="287"/>
      <c r="AG389" s="287"/>
      <c r="AJ389" s="287"/>
      <c r="AM389" s="287"/>
      <c r="AP389" s="287"/>
      <c r="AS389" s="287"/>
      <c r="AV389" s="287"/>
      <c r="AY389" s="287"/>
      <c r="BB389" s="287"/>
      <c r="BE389" s="287"/>
    </row>
    <row r="390" spans="2:57">
      <c r="B390" s="246" t="s">
        <v>2559</v>
      </c>
      <c r="V390" s="521">
        <f t="shared" ref="V390:AY390" si="310">-V52/V51</f>
        <v>0.15592515592515593</v>
      </c>
      <c r="W390" s="521">
        <f t="shared" si="310"/>
        <v>0.17958412098298676</v>
      </c>
      <c r="X390" s="650">
        <f t="shared" si="310"/>
        <v>0.20807833537331702</v>
      </c>
      <c r="Y390" s="521">
        <f t="shared" si="310"/>
        <v>0.20346320346320346</v>
      </c>
      <c r="Z390" s="521">
        <f t="shared" si="310"/>
        <v>0.18818380743982493</v>
      </c>
      <c r="AA390" s="650">
        <f t="shared" si="310"/>
        <v>0.19586507072905332</v>
      </c>
      <c r="AB390" s="521">
        <f t="shared" si="310"/>
        <v>0.19600000000000001</v>
      </c>
      <c r="AC390" s="521">
        <f t="shared" si="310"/>
        <v>0.19090909090909092</v>
      </c>
      <c r="AD390" s="650">
        <f t="shared" si="310"/>
        <v>0.19333333333333333</v>
      </c>
      <c r="AE390" s="738">
        <f t="shared" si="310"/>
        <v>0.19090909090909089</v>
      </c>
      <c r="AF390" s="738">
        <f t="shared" si="310"/>
        <v>0.19090909090909092</v>
      </c>
      <c r="AG390" s="739">
        <f t="shared" si="310"/>
        <v>0.19090909090909092</v>
      </c>
      <c r="AH390" s="738">
        <f t="shared" si="310"/>
        <v>0.19090909090909092</v>
      </c>
      <c r="AI390" s="738">
        <f t="shared" si="310"/>
        <v>0.19090909090909094</v>
      </c>
      <c r="AJ390" s="739">
        <f t="shared" si="310"/>
        <v>0.19090909090909094</v>
      </c>
      <c r="AK390" s="738">
        <f t="shared" si="310"/>
        <v>0.19090909090909094</v>
      </c>
      <c r="AL390" s="738">
        <f t="shared" si="310"/>
        <v>0.19090909090909094</v>
      </c>
      <c r="AM390" s="739">
        <f t="shared" si="310"/>
        <v>0.19090909090909094</v>
      </c>
      <c r="AN390" s="738">
        <f t="shared" si="310"/>
        <v>0.19090909090909092</v>
      </c>
      <c r="AO390" s="738">
        <f t="shared" si="310"/>
        <v>0.19090909090909092</v>
      </c>
      <c r="AP390" s="739">
        <f t="shared" si="310"/>
        <v>0.19090909090909092</v>
      </c>
      <c r="AQ390" s="738">
        <f t="shared" si="310"/>
        <v>0.19090909090909092</v>
      </c>
      <c r="AR390" s="738">
        <f t="shared" si="310"/>
        <v>0.19090909090909092</v>
      </c>
      <c r="AS390" s="739">
        <f t="shared" si="310"/>
        <v>0.19090909090909094</v>
      </c>
      <c r="AT390" s="738">
        <f t="shared" si="310"/>
        <v>0.19090909090909094</v>
      </c>
      <c r="AU390" s="738">
        <f t="shared" si="310"/>
        <v>0.19090909090909092</v>
      </c>
      <c r="AV390" s="739">
        <f t="shared" si="310"/>
        <v>0.19090909090909092</v>
      </c>
      <c r="AW390" s="738">
        <f t="shared" si="310"/>
        <v>0.19090909090909089</v>
      </c>
      <c r="AX390" s="738">
        <f t="shared" si="310"/>
        <v>0.19090909090909092</v>
      </c>
      <c r="AY390" s="739">
        <f t="shared" si="310"/>
        <v>0.19090909090909092</v>
      </c>
      <c r="AZ390" s="738">
        <f t="shared" ref="AZ390:BE390" si="311">-AZ52/AZ51</f>
        <v>0.19090909090909092</v>
      </c>
      <c r="BA390" s="738">
        <f t="shared" si="311"/>
        <v>0.19090909090909092</v>
      </c>
      <c r="BB390" s="739">
        <f t="shared" si="311"/>
        <v>0.19090909090909092</v>
      </c>
      <c r="BC390" s="738">
        <f t="shared" si="311"/>
        <v>0.19090909090909092</v>
      </c>
      <c r="BD390" s="738">
        <f t="shared" si="311"/>
        <v>0.19090909090909092</v>
      </c>
      <c r="BE390" s="739">
        <f t="shared" si="311"/>
        <v>0.19090909090909092</v>
      </c>
    </row>
    <row r="391" spans="2:57">
      <c r="B391" s="246" t="s">
        <v>2560</v>
      </c>
      <c r="S391" s="521">
        <f>-S54/S53</f>
        <v>0.59102902374670185</v>
      </c>
      <c r="T391" s="521">
        <f>-T54/T53</f>
        <v>0.59065934065934067</v>
      </c>
      <c r="U391" s="650">
        <f>-U54/U53</f>
        <v>0.59084791386271873</v>
      </c>
      <c r="V391" s="521">
        <f t="shared" ref="V391:AY391" si="312">-V54/V53</f>
        <v>0.5788177339901478</v>
      </c>
      <c r="W391" s="521">
        <f t="shared" si="312"/>
        <v>0.5552995391705069</v>
      </c>
      <c r="X391" s="650">
        <f t="shared" si="312"/>
        <v>0.73570324574961365</v>
      </c>
      <c r="Y391" s="521">
        <f t="shared" si="312"/>
        <v>0.61684782608695654</v>
      </c>
      <c r="Z391" s="521">
        <f t="shared" si="312"/>
        <v>0.64959568733153639</v>
      </c>
      <c r="AA391" s="650">
        <f t="shared" si="312"/>
        <v>0.6332882273342354</v>
      </c>
      <c r="AB391" s="521">
        <f t="shared" si="312"/>
        <v>0.63930348258706471</v>
      </c>
      <c r="AC391" s="521">
        <f t="shared" si="312"/>
        <v>0.60449438202247197</v>
      </c>
      <c r="AD391" s="650">
        <f t="shared" si="312"/>
        <v>0.62101534828807559</v>
      </c>
      <c r="AE391" s="521">
        <f t="shared" si="312"/>
        <v>0.65217391304347827</v>
      </c>
      <c r="AF391" s="521">
        <f t="shared" si="312"/>
        <v>0.70864197530864192</v>
      </c>
      <c r="AG391" s="650">
        <f t="shared" si="312"/>
        <v>0.67933491686460812</v>
      </c>
      <c r="AH391" s="521">
        <f t="shared" si="312"/>
        <v>0.63111111111111107</v>
      </c>
      <c r="AI391" s="521">
        <f t="shared" si="312"/>
        <v>0.65268065268065267</v>
      </c>
      <c r="AJ391" s="650">
        <f t="shared" si="312"/>
        <v>0.64163822525597269</v>
      </c>
      <c r="AK391" s="521">
        <f t="shared" si="312"/>
        <v>0.61228813559322037</v>
      </c>
      <c r="AL391" s="521">
        <f t="shared" si="312"/>
        <v>0.66202783300198809</v>
      </c>
      <c r="AM391" s="650">
        <f t="shared" si="312"/>
        <v>0.63794871794871799</v>
      </c>
      <c r="AN391" s="521">
        <f t="shared" si="312"/>
        <v>0.68360277136258663</v>
      </c>
      <c r="AO391" s="521">
        <f t="shared" si="312"/>
        <v>0.66299559471365643</v>
      </c>
      <c r="AP391" s="650">
        <f t="shared" si="312"/>
        <v>0.67305524239007897</v>
      </c>
      <c r="AQ391" s="521">
        <f t="shared" si="312"/>
        <v>0.60352405244900065</v>
      </c>
      <c r="AR391" s="521">
        <f t="shared" si="312"/>
        <v>0.60876321243874831</v>
      </c>
      <c r="AS391" s="650">
        <f t="shared" si="312"/>
        <v>0.60618367907301884</v>
      </c>
      <c r="AT391" s="521">
        <f t="shared" si="312"/>
        <v>0.61403689469739453</v>
      </c>
      <c r="AU391" s="521">
        <f t="shared" si="312"/>
        <v>0.61935060149596266</v>
      </c>
      <c r="AV391" s="650">
        <f t="shared" si="312"/>
        <v>0.61673440038195171</v>
      </c>
      <c r="AW391" s="521">
        <f t="shared" si="312"/>
        <v>0.62469905380148771</v>
      </c>
      <c r="AX391" s="521">
        <f t="shared" si="312"/>
        <v>0.63008787945175149</v>
      </c>
      <c r="AY391" s="650">
        <f t="shared" si="312"/>
        <v>0.6274347302620773</v>
      </c>
      <c r="AZ391" s="521">
        <f t="shared" ref="AZ391:BE391" si="313">-AZ54/AZ53</f>
        <v>0.63551160242434257</v>
      </c>
      <c r="BA391" s="521">
        <f t="shared" si="313"/>
        <v>0.64097598218343943</v>
      </c>
      <c r="BB391" s="650">
        <f t="shared" si="313"/>
        <v>0.63828567222906507</v>
      </c>
      <c r="BC391" s="521">
        <f t="shared" si="313"/>
        <v>0.64647533874148622</v>
      </c>
      <c r="BD391" s="521">
        <f t="shared" si="313"/>
        <v>0.6520155694470241</v>
      </c>
      <c r="BE391" s="650">
        <f t="shared" si="313"/>
        <v>0.64928795447227627</v>
      </c>
    </row>
    <row r="392" spans="2:57">
      <c r="B392" s="246" t="s">
        <v>2561</v>
      </c>
      <c r="V392" s="521">
        <f t="shared" ref="V392:AY392" si="314">-V55/V51</f>
        <v>0.64449064449064453</v>
      </c>
      <c r="W392" s="521">
        <f t="shared" si="314"/>
        <v>0.63516068052930053</v>
      </c>
      <c r="X392" s="650">
        <f t="shared" si="314"/>
        <v>0.79069767441860461</v>
      </c>
      <c r="Y392" s="521">
        <f t="shared" si="314"/>
        <v>0.69480519480519476</v>
      </c>
      <c r="Z392" s="521">
        <f t="shared" si="314"/>
        <v>0.71553610503282272</v>
      </c>
      <c r="AA392" s="650">
        <f t="shared" si="314"/>
        <v>0.70511425462459199</v>
      </c>
      <c r="AB392" s="521">
        <f t="shared" si="314"/>
        <v>0.71</v>
      </c>
      <c r="AC392" s="521">
        <f t="shared" si="314"/>
        <v>0.68</v>
      </c>
      <c r="AD392" s="650">
        <f t="shared" si="314"/>
        <v>0.69428571428571428</v>
      </c>
      <c r="AE392" s="738">
        <f t="shared" si="314"/>
        <v>0.71857707509881419</v>
      </c>
      <c r="AF392" s="738">
        <f t="shared" si="314"/>
        <v>0.76426487093153761</v>
      </c>
      <c r="AG392" s="739">
        <f t="shared" si="314"/>
        <v>0.74055279637227378</v>
      </c>
      <c r="AH392" s="738">
        <f t="shared" si="314"/>
        <v>0.70153535353535357</v>
      </c>
      <c r="AI392" s="738">
        <f t="shared" si="314"/>
        <v>0.71898707353252811</v>
      </c>
      <c r="AJ392" s="739">
        <f t="shared" si="314"/>
        <v>0.71005274588892331</v>
      </c>
      <c r="AK392" s="738">
        <f t="shared" si="314"/>
        <v>0.68630585516178744</v>
      </c>
      <c r="AL392" s="738">
        <f t="shared" si="314"/>
        <v>0.72654979215615401</v>
      </c>
      <c r="AM392" s="739">
        <f t="shared" si="314"/>
        <v>0.70706759906759908</v>
      </c>
      <c r="AN392" s="738">
        <f t="shared" si="314"/>
        <v>0.74400587864791101</v>
      </c>
      <c r="AO392" s="738">
        <f t="shared" si="314"/>
        <v>0.72733279935923112</v>
      </c>
      <c r="AP392" s="739">
        <f t="shared" si="314"/>
        <v>0.73547196884288202</v>
      </c>
      <c r="AQ392" s="738">
        <f t="shared" si="314"/>
        <v>0.67921491516328225</v>
      </c>
      <c r="AR392" s="738">
        <f t="shared" si="314"/>
        <v>0.68345387188226003</v>
      </c>
      <c r="AS392" s="739">
        <f t="shared" si="314"/>
        <v>0.68136679488635166</v>
      </c>
      <c r="AT392" s="738">
        <f t="shared" si="314"/>
        <v>0.6877207602551646</v>
      </c>
      <c r="AU392" s="738">
        <f t="shared" si="314"/>
        <v>0.69202003211946084</v>
      </c>
      <c r="AV392" s="739">
        <f t="shared" si="314"/>
        <v>0.68990328758176078</v>
      </c>
      <c r="AW392" s="738">
        <f t="shared" si="314"/>
        <v>0.69634741625756724</v>
      </c>
      <c r="AX392" s="738">
        <f t="shared" si="314"/>
        <v>0.70070746610187173</v>
      </c>
      <c r="AY392" s="739">
        <f t="shared" si="314"/>
        <v>0.69856082721204449</v>
      </c>
      <c r="AZ392" s="738">
        <f t="shared" ref="AZ392:BE392" si="315">-AZ55/AZ51</f>
        <v>0.70509575105242261</v>
      </c>
      <c r="BA392" s="738">
        <f t="shared" si="315"/>
        <v>0.70951693103932822</v>
      </c>
      <c r="BB392" s="739">
        <f t="shared" si="315"/>
        <v>0.70734022571260724</v>
      </c>
      <c r="BC392" s="738">
        <f t="shared" si="315"/>
        <v>0.71396641043629339</v>
      </c>
      <c r="BD392" s="738">
        <f t="shared" si="315"/>
        <v>0.71844896073441034</v>
      </c>
      <c r="BE392" s="739">
        <f t="shared" si="315"/>
        <v>0.71624207225484171</v>
      </c>
    </row>
    <row r="393" spans="2:57">
      <c r="B393" s="246" t="s">
        <v>2562</v>
      </c>
      <c r="V393" s="521">
        <f t="shared" ref="V393:AY393" si="316">-V57/V56</f>
        <v>0.1871345029239766</v>
      </c>
      <c r="W393" s="521">
        <f t="shared" si="316"/>
        <v>0.25388601036269431</v>
      </c>
      <c r="X393" s="650">
        <f t="shared" si="316"/>
        <v>0.32163742690058478</v>
      </c>
      <c r="Y393" s="521">
        <f t="shared" si="316"/>
        <v>0.14893617021276595</v>
      </c>
      <c r="Z393" s="521">
        <f t="shared" si="316"/>
        <v>0.16153846153846155</v>
      </c>
      <c r="AA393" s="650">
        <f t="shared" si="316"/>
        <v>0.15498154981549817</v>
      </c>
      <c r="AB393" s="521">
        <f t="shared" si="316"/>
        <v>0.21379310344827587</v>
      </c>
      <c r="AC393" s="521">
        <f t="shared" si="316"/>
        <v>0.17045454545454544</v>
      </c>
      <c r="AD393" s="650">
        <f t="shared" si="316"/>
        <v>0.19003115264797507</v>
      </c>
      <c r="AE393" s="521">
        <f t="shared" si="316"/>
        <v>0.19078947368421054</v>
      </c>
      <c r="AF393" s="521">
        <f t="shared" si="316"/>
        <v>0.16949152542372881</v>
      </c>
      <c r="AG393" s="650">
        <f t="shared" si="316"/>
        <v>0.18148148148148149</v>
      </c>
      <c r="AH393" s="521">
        <f t="shared" si="316"/>
        <v>0.22289156626506024</v>
      </c>
      <c r="AI393" s="521">
        <f t="shared" si="316"/>
        <v>0.29530201342281881</v>
      </c>
      <c r="AJ393" s="650">
        <f t="shared" si="316"/>
        <v>0.25714285714285712</v>
      </c>
      <c r="AK393" s="521">
        <f t="shared" si="316"/>
        <v>0.19672131147540983</v>
      </c>
      <c r="AL393" s="521">
        <f t="shared" si="316"/>
        <v>0.18823529411764706</v>
      </c>
      <c r="AM393" s="650">
        <f t="shared" si="316"/>
        <v>0.19263456090651557</v>
      </c>
      <c r="AN393" s="521">
        <f t="shared" si="316"/>
        <v>0.22627737226277372</v>
      </c>
      <c r="AO393" s="521">
        <f t="shared" si="316"/>
        <v>0.24183006535947713</v>
      </c>
      <c r="AP393" s="650">
        <f t="shared" si="316"/>
        <v>0.23448275862068965</v>
      </c>
      <c r="AQ393" s="521">
        <f t="shared" si="316"/>
        <v>0.18</v>
      </c>
      <c r="AR393" s="521">
        <f t="shared" si="316"/>
        <v>0.18000000000000002</v>
      </c>
      <c r="AS393" s="650">
        <f t="shared" si="316"/>
        <v>0.18000000000000002</v>
      </c>
      <c r="AT393" s="521">
        <f t="shared" si="316"/>
        <v>0.18</v>
      </c>
      <c r="AU393" s="521">
        <f t="shared" si="316"/>
        <v>0.18</v>
      </c>
      <c r="AV393" s="650">
        <f t="shared" si="316"/>
        <v>0.17999999999999997</v>
      </c>
      <c r="AW393" s="521">
        <f t="shared" si="316"/>
        <v>0.18</v>
      </c>
      <c r="AX393" s="521">
        <f t="shared" si="316"/>
        <v>0.18</v>
      </c>
      <c r="AY393" s="650">
        <f t="shared" si="316"/>
        <v>0.18000000000000002</v>
      </c>
      <c r="AZ393" s="521">
        <f t="shared" ref="AZ393:BE393" si="317">-AZ57/AZ56</f>
        <v>0.18</v>
      </c>
      <c r="BA393" s="521">
        <f t="shared" si="317"/>
        <v>0.18</v>
      </c>
      <c r="BB393" s="650">
        <f t="shared" si="317"/>
        <v>0.18</v>
      </c>
      <c r="BC393" s="521">
        <f t="shared" si="317"/>
        <v>0.18</v>
      </c>
      <c r="BD393" s="521">
        <f t="shared" si="317"/>
        <v>0.17999999999999997</v>
      </c>
      <c r="BE393" s="650">
        <f t="shared" si="317"/>
        <v>0.18000000000000008</v>
      </c>
    </row>
    <row r="394" spans="2:57">
      <c r="B394" s="246" t="s">
        <v>2563</v>
      </c>
      <c r="X394" s="287"/>
      <c r="AA394" s="287"/>
      <c r="AB394" s="516">
        <f t="shared" ref="AB394:AY394" si="318">AB49/Y49-1</f>
        <v>8.2251082251082241E-2</v>
      </c>
      <c r="AC394" s="516">
        <f t="shared" si="318"/>
        <v>0.20350109409190376</v>
      </c>
      <c r="AD394" s="518">
        <f t="shared" si="318"/>
        <v>0.14254624591947773</v>
      </c>
      <c r="AE394" s="516">
        <f t="shared" si="318"/>
        <v>8.0224719101123609E-2</v>
      </c>
      <c r="AF394" s="516">
        <f t="shared" si="318"/>
        <v>-8.9887640449438311E-2</v>
      </c>
      <c r="AG394" s="518">
        <f t="shared" si="318"/>
        <v>-8.8817549491707615E-3</v>
      </c>
      <c r="AH394" s="738">
        <f t="shared" si="318"/>
        <v>2.9748283752860427E-2</v>
      </c>
      <c r="AI394" s="738">
        <f t="shared" si="318"/>
        <v>5.9259259259259345E-2</v>
      </c>
      <c r="AJ394" s="739">
        <f t="shared" si="318"/>
        <v>4.3942992874109299E-2</v>
      </c>
      <c r="AK394" s="738">
        <f t="shared" si="318"/>
        <v>4.8888888888888982E-2</v>
      </c>
      <c r="AL394" s="738">
        <f t="shared" si="318"/>
        <v>0.17249417249417265</v>
      </c>
      <c r="AM394" s="739">
        <f t="shared" si="318"/>
        <v>0.10921501706484649</v>
      </c>
      <c r="AN394" s="738">
        <f t="shared" si="318"/>
        <v>-8.2627118644067798E-2</v>
      </c>
      <c r="AO394" s="738">
        <f t="shared" si="318"/>
        <v>-9.7415506958250409E-2</v>
      </c>
      <c r="AP394" s="739">
        <f t="shared" si="318"/>
        <v>-9.025641025641018E-2</v>
      </c>
      <c r="AQ394" s="738">
        <f t="shared" si="318"/>
        <v>0.19789114809715125</v>
      </c>
      <c r="AR394" s="738">
        <f t="shared" si="318"/>
        <v>0.17795560012497069</v>
      </c>
      <c r="AS394" s="739">
        <f t="shared" si="318"/>
        <v>0.18768738397159335</v>
      </c>
      <c r="AT394" s="738">
        <f t="shared" si="318"/>
        <v>6.3082073350875234E-2</v>
      </c>
      <c r="AU394" s="738">
        <f t="shared" si="318"/>
        <v>6.3110763085360899E-2</v>
      </c>
      <c r="AV394" s="739">
        <f t="shared" si="318"/>
        <v>6.309663751418082E-2</v>
      </c>
      <c r="AW394" s="738">
        <f t="shared" si="318"/>
        <v>6.3139605003704746E-2</v>
      </c>
      <c r="AX394" s="738">
        <f t="shared" si="318"/>
        <v>6.3168539539141477E-2</v>
      </c>
      <c r="AY394" s="739">
        <f t="shared" si="318"/>
        <v>6.3154293633841618E-2</v>
      </c>
      <c r="AZ394" s="738">
        <f t="shared" ref="AZ394:BE394" si="319">AZ49/AW49-1</f>
        <v>6.3197735515974296E-2</v>
      </c>
      <c r="BA394" s="738">
        <f t="shared" si="319"/>
        <v>6.3227124507103216E-2</v>
      </c>
      <c r="BB394" s="739">
        <f t="shared" si="319"/>
        <v>6.3212655050664868E-2</v>
      </c>
      <c r="BC394" s="738">
        <f t="shared" si="319"/>
        <v>6.3256876156006614E-2</v>
      </c>
      <c r="BD394" s="738">
        <f t="shared" si="319"/>
        <v>6.3286913405427025E-2</v>
      </c>
      <c r="BE394" s="739">
        <f t="shared" si="319"/>
        <v>6.3272124991246459E-2</v>
      </c>
    </row>
    <row r="395" spans="2:57">
      <c r="B395" s="246" t="s">
        <v>2564</v>
      </c>
      <c r="X395" s="287"/>
      <c r="AA395" s="287"/>
      <c r="AB395" s="516">
        <f t="shared" ref="AB395:AK399" si="320">AB52/Y52-1</f>
        <v>4.2553191489361764E-2</v>
      </c>
      <c r="AC395" s="516">
        <f t="shared" si="320"/>
        <v>0.22093023255813948</v>
      </c>
      <c r="AD395" s="518">
        <f t="shared" si="320"/>
        <v>0.12777777777777777</v>
      </c>
      <c r="AE395" s="516">
        <f t="shared" si="320"/>
        <v>5.2166934189405989E-2</v>
      </c>
      <c r="AF395" s="516">
        <f t="shared" si="320"/>
        <v>-8.98876404494382E-2</v>
      </c>
      <c r="AG395" s="518">
        <f t="shared" si="320"/>
        <v>-2.1309569934134132E-2</v>
      </c>
      <c r="AH395" s="738">
        <f t="shared" si="320"/>
        <v>2.9748283752860427E-2</v>
      </c>
      <c r="AI395" s="738">
        <f t="shared" si="320"/>
        <v>5.9259259259259567E-2</v>
      </c>
      <c r="AJ395" s="739">
        <f t="shared" si="320"/>
        <v>4.3942992874109521E-2</v>
      </c>
      <c r="AK395" s="738">
        <f t="shared" si="320"/>
        <v>4.8888888888888982E-2</v>
      </c>
      <c r="AL395" s="738">
        <f t="shared" ref="AL395:AU399" si="321">AL52/AI52-1</f>
        <v>0.17249417249417243</v>
      </c>
      <c r="AM395" s="739">
        <f t="shared" si="321"/>
        <v>0.10921501706484649</v>
      </c>
      <c r="AN395" s="738">
        <f t="shared" si="321"/>
        <v>-8.2627118644067798E-2</v>
      </c>
      <c r="AO395" s="738">
        <f t="shared" si="321"/>
        <v>-9.7415506958250409E-2</v>
      </c>
      <c r="AP395" s="739">
        <f t="shared" si="321"/>
        <v>-9.0256410256410291E-2</v>
      </c>
      <c r="AQ395" s="738">
        <f t="shared" si="321"/>
        <v>0.19789114809715125</v>
      </c>
      <c r="AR395" s="738">
        <f t="shared" si="321"/>
        <v>0.17795560012497069</v>
      </c>
      <c r="AS395" s="739">
        <f t="shared" si="321"/>
        <v>0.18768738397159335</v>
      </c>
      <c r="AT395" s="738">
        <f t="shared" si="321"/>
        <v>6.3082073350875456E-2</v>
      </c>
      <c r="AU395" s="738">
        <f t="shared" si="321"/>
        <v>6.3110763085360899E-2</v>
      </c>
      <c r="AV395" s="739">
        <f t="shared" ref="AV395:AY399" si="322">AV52/AS52-1</f>
        <v>6.309663751418082E-2</v>
      </c>
      <c r="AW395" s="738">
        <f t="shared" si="322"/>
        <v>6.3139605003704524E-2</v>
      </c>
      <c r="AX395" s="738">
        <f t="shared" si="322"/>
        <v>6.3168539539141255E-2</v>
      </c>
      <c r="AY395" s="739">
        <f t="shared" si="322"/>
        <v>6.3154293633841618E-2</v>
      </c>
      <c r="AZ395" s="738">
        <f t="shared" ref="AZ395:BB399" si="323">AZ52/AW52-1</f>
        <v>6.3197735515974296E-2</v>
      </c>
      <c r="BA395" s="738">
        <f t="shared" si="323"/>
        <v>6.3227124507103216E-2</v>
      </c>
      <c r="BB395" s="739">
        <f t="shared" si="323"/>
        <v>6.3212655050664868E-2</v>
      </c>
      <c r="BC395" s="738">
        <f t="shared" ref="BC395:BE399" si="324">BC52/AZ52-1</f>
        <v>6.3256876156006836E-2</v>
      </c>
      <c r="BD395" s="738">
        <f t="shared" si="324"/>
        <v>6.3286913405427025E-2</v>
      </c>
      <c r="BE395" s="739">
        <f t="shared" si="324"/>
        <v>6.3272124991246681E-2</v>
      </c>
    </row>
    <row r="396" spans="2:57">
      <c r="B396" s="246" t="s">
        <v>2565</v>
      </c>
      <c r="X396" s="287"/>
      <c r="AA396" s="287"/>
      <c r="AB396" s="516">
        <f t="shared" si="320"/>
        <v>9.2391304347826164E-2</v>
      </c>
      <c r="AC396" s="516">
        <f t="shared" si="320"/>
        <v>0.19946091644204844</v>
      </c>
      <c r="AD396" s="518">
        <f t="shared" si="320"/>
        <v>0.14614343707713129</v>
      </c>
      <c r="AE396" s="516">
        <f t="shared" si="320"/>
        <v>8.7064676616915415E-2</v>
      </c>
      <c r="AF396" s="516">
        <f t="shared" si="320"/>
        <v>-8.98876404494382E-2</v>
      </c>
      <c r="AG396" s="518">
        <f t="shared" si="320"/>
        <v>-5.9031877213695516E-3</v>
      </c>
      <c r="AH396" s="521">
        <f t="shared" si="320"/>
        <v>2.9748283752860427E-2</v>
      </c>
      <c r="AI396" s="521">
        <f t="shared" si="320"/>
        <v>5.9259259259259345E-2</v>
      </c>
      <c r="AJ396" s="650">
        <f t="shared" si="320"/>
        <v>4.3942992874109299E-2</v>
      </c>
      <c r="AK396" s="521">
        <f t="shared" si="320"/>
        <v>4.8888888888888982E-2</v>
      </c>
      <c r="AL396" s="521">
        <f t="shared" si="321"/>
        <v>0.17249417249417243</v>
      </c>
      <c r="AM396" s="650">
        <f t="shared" si="321"/>
        <v>0.10921501706484649</v>
      </c>
      <c r="AN396" s="521">
        <f t="shared" si="321"/>
        <v>-8.2627118644067798E-2</v>
      </c>
      <c r="AO396" s="521">
        <f t="shared" si="321"/>
        <v>-9.741550695825052E-2</v>
      </c>
      <c r="AP396" s="650">
        <f t="shared" si="321"/>
        <v>-9.0256410256410291E-2</v>
      </c>
      <c r="AQ396" s="521">
        <f t="shared" si="321"/>
        <v>0.19789114809715147</v>
      </c>
      <c r="AR396" s="521">
        <f t="shared" si="321"/>
        <v>0.17795560012497069</v>
      </c>
      <c r="AS396" s="650">
        <f t="shared" si="321"/>
        <v>0.18768738397159335</v>
      </c>
      <c r="AT396" s="521">
        <f t="shared" si="321"/>
        <v>6.3082073350875234E-2</v>
      </c>
      <c r="AU396" s="521">
        <f t="shared" si="321"/>
        <v>6.3110763085360899E-2</v>
      </c>
      <c r="AV396" s="650">
        <f t="shared" si="322"/>
        <v>6.3096637514180598E-2</v>
      </c>
      <c r="AW396" s="521">
        <f t="shared" si="322"/>
        <v>6.3139605003704746E-2</v>
      </c>
      <c r="AX396" s="521">
        <f t="shared" si="322"/>
        <v>6.3168539539141477E-2</v>
      </c>
      <c r="AY396" s="650">
        <f t="shared" si="322"/>
        <v>6.315429363384184E-2</v>
      </c>
      <c r="AZ396" s="521">
        <f t="shared" si="323"/>
        <v>6.3197735515974296E-2</v>
      </c>
      <c r="BA396" s="521">
        <f t="shared" si="323"/>
        <v>6.3227124507102994E-2</v>
      </c>
      <c r="BB396" s="650">
        <f t="shared" si="323"/>
        <v>6.321265505066509E-2</v>
      </c>
      <c r="BC396" s="521">
        <f t="shared" si="324"/>
        <v>6.3256876156006836E-2</v>
      </c>
      <c r="BD396" s="521">
        <f t="shared" si="324"/>
        <v>6.3286913405427025E-2</v>
      </c>
      <c r="BE396" s="650">
        <f t="shared" si="324"/>
        <v>6.3272124991246459E-2</v>
      </c>
    </row>
    <row r="397" spans="2:57">
      <c r="B397" s="246" t="s">
        <v>2566</v>
      </c>
      <c r="X397" s="287"/>
      <c r="AA397" s="287"/>
      <c r="AB397" s="516">
        <f t="shared" si="320"/>
        <v>0.13215859030836996</v>
      </c>
      <c r="AC397" s="516">
        <f t="shared" si="320"/>
        <v>0.11618257261410792</v>
      </c>
      <c r="AD397" s="518">
        <f t="shared" si="320"/>
        <v>0.12393162393162394</v>
      </c>
      <c r="AE397" s="516">
        <f t="shared" si="320"/>
        <v>0.10894941634241251</v>
      </c>
      <c r="AF397" s="516">
        <f t="shared" si="320"/>
        <v>6.6914498141263934E-2</v>
      </c>
      <c r="AG397" s="518">
        <f t="shared" si="320"/>
        <v>8.7452471482889704E-2</v>
      </c>
      <c r="AH397" s="516">
        <f t="shared" si="320"/>
        <v>-3.5087719298245723E-3</v>
      </c>
      <c r="AI397" s="516">
        <f t="shared" si="320"/>
        <v>-2.4390243902439046E-2</v>
      </c>
      <c r="AJ397" s="650">
        <f t="shared" si="320"/>
        <v>-1.3986013986013957E-2</v>
      </c>
      <c r="AK397" s="521">
        <f t="shared" si="320"/>
        <v>1.7605633802816989E-2</v>
      </c>
      <c r="AL397" s="521">
        <f t="shared" si="321"/>
        <v>0.18928571428571428</v>
      </c>
      <c r="AM397" s="650">
        <f t="shared" si="321"/>
        <v>0.10283687943262421</v>
      </c>
      <c r="AN397" s="521">
        <f t="shared" si="321"/>
        <v>2.4221453287197159E-2</v>
      </c>
      <c r="AO397" s="521">
        <f t="shared" si="321"/>
        <v>-9.6096096096096151E-2</v>
      </c>
      <c r="AP397" s="650">
        <f t="shared" si="321"/>
        <v>-4.019292604501612E-2</v>
      </c>
      <c r="AQ397" s="521">
        <f t="shared" si="321"/>
        <v>5.7567567567567535E-2</v>
      </c>
      <c r="AR397" s="521">
        <f t="shared" si="321"/>
        <v>8.1600000000000117E-2</v>
      </c>
      <c r="AS397" s="650">
        <f t="shared" si="321"/>
        <v>6.9684422110552813E-2</v>
      </c>
      <c r="AT397" s="521">
        <f t="shared" si="321"/>
        <v>8.1600000000000117E-2</v>
      </c>
      <c r="AU397" s="521">
        <f t="shared" si="321"/>
        <v>8.1599999999999895E-2</v>
      </c>
      <c r="AV397" s="650">
        <f t="shared" si="322"/>
        <v>8.1600000000000117E-2</v>
      </c>
      <c r="AW397" s="521">
        <f t="shared" si="322"/>
        <v>8.1599999999999895E-2</v>
      </c>
      <c r="AX397" s="521">
        <f t="shared" si="322"/>
        <v>8.1599999999999895E-2</v>
      </c>
      <c r="AY397" s="650">
        <f t="shared" si="322"/>
        <v>8.1599999999999895E-2</v>
      </c>
      <c r="AZ397" s="521">
        <f t="shared" si="323"/>
        <v>8.1600000000000117E-2</v>
      </c>
      <c r="BA397" s="521">
        <f t="shared" si="323"/>
        <v>8.1600000000000117E-2</v>
      </c>
      <c r="BB397" s="650">
        <f t="shared" si="323"/>
        <v>8.1600000000000117E-2</v>
      </c>
      <c r="BC397" s="521">
        <f t="shared" si="324"/>
        <v>8.1599999999999895E-2</v>
      </c>
      <c r="BD397" s="521">
        <f t="shared" si="324"/>
        <v>8.1600000000000117E-2</v>
      </c>
      <c r="BE397" s="650">
        <f t="shared" si="324"/>
        <v>8.1599999999999895E-2</v>
      </c>
    </row>
    <row r="398" spans="2:57">
      <c r="B398" s="246" t="s">
        <v>2567</v>
      </c>
      <c r="X398" s="287"/>
      <c r="AA398" s="287"/>
      <c r="AB398" s="516">
        <f t="shared" si="320"/>
        <v>0.10591900311526481</v>
      </c>
      <c r="AC398" s="516">
        <f t="shared" si="320"/>
        <v>0.14373088685015301</v>
      </c>
      <c r="AD398" s="518">
        <f t="shared" si="320"/>
        <v>0.125</v>
      </c>
      <c r="AE398" s="516">
        <f t="shared" si="320"/>
        <v>9.3274252255103551E-2</v>
      </c>
      <c r="AF398" s="516">
        <f t="shared" si="320"/>
        <v>2.2892507360451786E-2</v>
      </c>
      <c r="AG398" s="518">
        <f t="shared" si="320"/>
        <v>5.7166196575268557E-2</v>
      </c>
      <c r="AH398" s="740">
        <f t="shared" si="320"/>
        <v>5.3268484743211886E-3</v>
      </c>
      <c r="AI398" s="740">
        <f t="shared" si="320"/>
        <v>-3.4950657894736725E-3</v>
      </c>
      <c r="AJ398" s="741">
        <f t="shared" si="320"/>
        <v>9.4766000874768608E-4</v>
      </c>
      <c r="AK398" s="740">
        <f t="shared" si="320"/>
        <v>2.6118758279099374E-2</v>
      </c>
      <c r="AL398" s="740">
        <f t="shared" si="321"/>
        <v>0.18482713902561243</v>
      </c>
      <c r="AM398" s="741">
        <f t="shared" si="321"/>
        <v>0.10455174422838831</v>
      </c>
      <c r="AN398" s="740">
        <f t="shared" si="321"/>
        <v>-5.5005191816573928E-3</v>
      </c>
      <c r="AO398" s="740">
        <f t="shared" si="321"/>
        <v>-9.644278606965162E-2</v>
      </c>
      <c r="AP398" s="741">
        <f t="shared" si="321"/>
        <v>-5.3710126198356911E-2</v>
      </c>
      <c r="AQ398" s="740">
        <f t="shared" si="321"/>
        <v>9.3574066925738331E-2</v>
      </c>
      <c r="AR398" s="740">
        <f t="shared" si="321"/>
        <v>0.1068912559973425</v>
      </c>
      <c r="AS398" s="741">
        <f t="shared" si="321"/>
        <v>0.10031487320566979</v>
      </c>
      <c r="AT398" s="740">
        <f t="shared" si="321"/>
        <v>7.6395107611475721E-2</v>
      </c>
      <c r="AU398" s="740">
        <f t="shared" si="321"/>
        <v>7.6435403593141826E-2</v>
      </c>
      <c r="AV398" s="741">
        <f t="shared" si="322"/>
        <v>7.6415626271429504E-2</v>
      </c>
      <c r="AW398" s="740">
        <f t="shared" si="322"/>
        <v>7.6475453192284215E-2</v>
      </c>
      <c r="AX398" s="740">
        <f t="shared" si="322"/>
        <v>7.6515272394741984E-2</v>
      </c>
      <c r="AY398" s="741">
        <f t="shared" si="322"/>
        <v>7.6495729449438388E-2</v>
      </c>
      <c r="AZ398" s="740">
        <f t="shared" si="323"/>
        <v>7.6554875251501509E-2</v>
      </c>
      <c r="BA398" s="740">
        <f t="shared" si="323"/>
        <v>7.6594274890136482E-2</v>
      </c>
      <c r="BB398" s="741">
        <f t="shared" si="323"/>
        <v>7.6574938227613965E-2</v>
      </c>
      <c r="BC398" s="740">
        <f t="shared" si="324"/>
        <v>7.6633484328528789E-2</v>
      </c>
      <c r="BD398" s="740">
        <f t="shared" si="324"/>
        <v>7.6672514043621076E-2</v>
      </c>
      <c r="BE398" s="741">
        <f t="shared" si="324"/>
        <v>7.6653359290161482E-2</v>
      </c>
    </row>
    <row r="399" spans="2:57" s="243" customFormat="1">
      <c r="B399" s="243" t="s">
        <v>2568</v>
      </c>
      <c r="X399" s="299"/>
      <c r="AA399" s="299"/>
      <c r="AB399" s="651">
        <f t="shared" si="320"/>
        <v>2.8368794326241176E-2</v>
      </c>
      <c r="AC399" s="651">
        <f t="shared" si="320"/>
        <v>0.35384615384615392</v>
      </c>
      <c r="AD399" s="652">
        <f t="shared" si="320"/>
        <v>0.18450184501845013</v>
      </c>
      <c r="AE399" s="651">
        <f t="shared" si="320"/>
        <v>4.8275862068965614E-2</v>
      </c>
      <c r="AF399" s="651">
        <f t="shared" si="320"/>
        <v>-0.32954545454545459</v>
      </c>
      <c r="AG399" s="652">
        <f t="shared" si="320"/>
        <v>-0.15887850467289721</v>
      </c>
      <c r="AH399" s="651">
        <f t="shared" si="320"/>
        <v>9.210526315789469E-2</v>
      </c>
      <c r="AI399" s="651">
        <f t="shared" si="320"/>
        <v>0.26271186440677963</v>
      </c>
      <c r="AJ399" s="652">
        <f t="shared" si="320"/>
        <v>0.16666666666666674</v>
      </c>
      <c r="AK399" s="651">
        <f t="shared" si="320"/>
        <v>0.10240963855421681</v>
      </c>
      <c r="AL399" s="651">
        <f t="shared" si="321"/>
        <v>0.14093959731543615</v>
      </c>
      <c r="AM399" s="652">
        <f t="shared" si="321"/>
        <v>0.12063492063492065</v>
      </c>
      <c r="AN399" s="651">
        <f t="shared" si="321"/>
        <v>-0.25136612021857918</v>
      </c>
      <c r="AO399" s="651">
        <f t="shared" si="321"/>
        <v>-9.9999999999999978E-2</v>
      </c>
      <c r="AP399" s="652">
        <f t="shared" si="321"/>
        <v>-0.17847025495750712</v>
      </c>
      <c r="AQ399" s="651">
        <f t="shared" si="321"/>
        <v>0.50107202281800434</v>
      </c>
      <c r="AR399" s="651">
        <f t="shared" si="321"/>
        <v>0.36751792455383447</v>
      </c>
      <c r="AS399" s="652">
        <f t="shared" si="321"/>
        <v>0.43061072269932144</v>
      </c>
      <c r="AT399" s="651">
        <f t="shared" si="321"/>
        <v>3.4893694703276301E-2</v>
      </c>
      <c r="AU399" s="651">
        <f t="shared" si="321"/>
        <v>3.4341568527104682E-2</v>
      </c>
      <c r="AV399" s="652">
        <f t="shared" si="322"/>
        <v>3.4615247203911625E-2</v>
      </c>
      <c r="AW399" s="651">
        <f t="shared" si="322"/>
        <v>3.3770570858523641E-2</v>
      </c>
      <c r="AX399" s="651">
        <f t="shared" si="322"/>
        <v>3.3178905593192143E-2</v>
      </c>
      <c r="AY399" s="652">
        <f t="shared" si="322"/>
        <v>3.3472261991316365E-2</v>
      </c>
      <c r="AZ399" s="651">
        <f t="shared" si="323"/>
        <v>3.2566645113939696E-2</v>
      </c>
      <c r="BA399" s="651">
        <f t="shared" si="323"/>
        <v>3.1931782949781828E-2</v>
      </c>
      <c r="BB399" s="652">
        <f t="shared" si="323"/>
        <v>3.2246647868521716E-2</v>
      </c>
      <c r="BC399" s="651">
        <f t="shared" si="324"/>
        <v>3.1274327177490679E-2</v>
      </c>
      <c r="BD399" s="651">
        <f t="shared" si="324"/>
        <v>3.0592029263263099E-2</v>
      </c>
      <c r="BE399" s="652">
        <f t="shared" si="324"/>
        <v>3.0930525219448279E-2</v>
      </c>
    </row>
    <row r="400" spans="2:57" s="243" customFormat="1">
      <c r="B400" s="243" t="s">
        <v>2569</v>
      </c>
      <c r="X400" s="299"/>
      <c r="AA400" s="299"/>
      <c r="AB400" s="651">
        <f t="shared" ref="AB400:AY400" si="325">AB58/Y58-1</f>
        <v>-5.0000000000000044E-2</v>
      </c>
      <c r="AC400" s="651">
        <f t="shared" si="325"/>
        <v>0.33944954128440363</v>
      </c>
      <c r="AD400" s="652">
        <f t="shared" si="325"/>
        <v>0.13537117903930129</v>
      </c>
      <c r="AE400" s="651">
        <f t="shared" si="325"/>
        <v>7.8947368421052655E-2</v>
      </c>
      <c r="AF400" s="651">
        <f t="shared" si="325"/>
        <v>-0.32876712328767121</v>
      </c>
      <c r="AG400" s="652">
        <f t="shared" si="325"/>
        <v>-0.15000000000000002</v>
      </c>
      <c r="AH400" s="651">
        <f t="shared" si="325"/>
        <v>4.8780487804878092E-2</v>
      </c>
      <c r="AI400" s="651">
        <f t="shared" si="325"/>
        <v>7.1428571428571397E-2</v>
      </c>
      <c r="AJ400" s="652">
        <f t="shared" si="325"/>
        <v>5.8823529411764719E-2</v>
      </c>
      <c r="AK400" s="651">
        <f t="shared" si="325"/>
        <v>0.13953488372093026</v>
      </c>
      <c r="AL400" s="651">
        <f t="shared" si="325"/>
        <v>0.31428571428571428</v>
      </c>
      <c r="AM400" s="652">
        <f t="shared" si="325"/>
        <v>0.21794871794871784</v>
      </c>
      <c r="AN400" s="651">
        <f t="shared" si="325"/>
        <v>-0.27891156462585032</v>
      </c>
      <c r="AO400" s="651">
        <f t="shared" si="325"/>
        <v>-0.15942028985507251</v>
      </c>
      <c r="AP400" s="652">
        <f t="shared" si="325"/>
        <v>-0.22105263157894739</v>
      </c>
      <c r="AQ400" s="651">
        <f t="shared" si="325"/>
        <v>0.5908531230507037</v>
      </c>
      <c r="AR400" s="651">
        <f t="shared" si="325"/>
        <v>0.47904136909072492</v>
      </c>
      <c r="AS400" s="652">
        <f t="shared" si="325"/>
        <v>0.53242896332386769</v>
      </c>
      <c r="AT400" s="651">
        <f t="shared" si="325"/>
        <v>3.4893694703276301E-2</v>
      </c>
      <c r="AU400" s="651">
        <f t="shared" si="325"/>
        <v>3.4341568527104682E-2</v>
      </c>
      <c r="AV400" s="652">
        <f t="shared" si="325"/>
        <v>3.4615247203911848E-2</v>
      </c>
      <c r="AW400" s="651">
        <f t="shared" si="325"/>
        <v>3.3770570858523863E-2</v>
      </c>
      <c r="AX400" s="651">
        <f t="shared" si="325"/>
        <v>3.3178905593192143E-2</v>
      </c>
      <c r="AY400" s="652">
        <f t="shared" si="325"/>
        <v>3.3472261991316365E-2</v>
      </c>
      <c r="AZ400" s="651">
        <f t="shared" ref="AZ400:BE400" si="326">AZ58/AW58-1</f>
        <v>3.2566645113939696E-2</v>
      </c>
      <c r="BA400" s="651">
        <f t="shared" si="326"/>
        <v>3.193178294978205E-2</v>
      </c>
      <c r="BB400" s="652">
        <f t="shared" si="326"/>
        <v>3.2246647868521716E-2</v>
      </c>
      <c r="BC400" s="651">
        <f t="shared" si="326"/>
        <v>3.1274327177490902E-2</v>
      </c>
      <c r="BD400" s="651">
        <f t="shared" si="326"/>
        <v>3.0592029263263099E-2</v>
      </c>
      <c r="BE400" s="652">
        <f t="shared" si="326"/>
        <v>3.0930525219448279E-2</v>
      </c>
    </row>
    <row r="401" spans="2:57">
      <c r="B401" s="246" t="s">
        <v>2570</v>
      </c>
      <c r="X401" s="287"/>
      <c r="AA401" s="287"/>
      <c r="AB401" s="516">
        <f t="shared" ref="AB401:AK401" si="327">AB62/Y62-1</f>
        <v>-7.3770491803278659E-2</v>
      </c>
      <c r="AC401" s="516">
        <f t="shared" si="327"/>
        <v>0.5</v>
      </c>
      <c r="AD401" s="518">
        <f t="shared" si="327"/>
        <v>0.20588235294117641</v>
      </c>
      <c r="AE401" s="516">
        <f t="shared" si="327"/>
        <v>0.10619469026548667</v>
      </c>
      <c r="AF401" s="516">
        <f t="shared" si="327"/>
        <v>-0.43103448275862066</v>
      </c>
      <c r="AG401" s="518">
        <f t="shared" si="327"/>
        <v>-0.21951219512195119</v>
      </c>
      <c r="AH401" s="516">
        <f t="shared" si="327"/>
        <v>-8.0000000000000071E-3</v>
      </c>
      <c r="AI401" s="516">
        <f t="shared" si="327"/>
        <v>4.0404040404040442E-2</v>
      </c>
      <c r="AJ401" s="518">
        <f t="shared" si="327"/>
        <v>1.3392857142857206E-2</v>
      </c>
      <c r="AK401" s="516">
        <f t="shared" si="327"/>
        <v>0.20161290322580649</v>
      </c>
      <c r="AL401" s="516"/>
      <c r="AM401" s="518"/>
      <c r="AN401" s="516"/>
      <c r="AO401" s="516"/>
      <c r="AP401" s="518"/>
      <c r="AQ401" s="516"/>
      <c r="AR401" s="516"/>
      <c r="AS401" s="518"/>
      <c r="AT401" s="516"/>
      <c r="AU401" s="516"/>
      <c r="AV401" s="518"/>
      <c r="AW401" s="516"/>
      <c r="AX401" s="516"/>
      <c r="AY401" s="518"/>
      <c r="AZ401" s="516"/>
      <c r="BA401" s="516"/>
      <c r="BB401" s="518"/>
      <c r="BC401" s="516"/>
      <c r="BD401" s="516"/>
      <c r="BE401" s="518"/>
    </row>
    <row r="402" spans="2:57">
      <c r="X402" s="287"/>
      <c r="AA402" s="287"/>
      <c r="AD402" s="287"/>
      <c r="AG402" s="287"/>
      <c r="AJ402" s="287"/>
      <c r="AM402" s="287"/>
      <c r="AP402" s="287"/>
      <c r="AS402" s="287"/>
      <c r="AV402" s="287"/>
      <c r="AY402" s="287"/>
      <c r="BB402" s="287"/>
      <c r="BE402" s="287"/>
    </row>
    <row r="403" spans="2:57">
      <c r="X403" s="287"/>
      <c r="AA403" s="287"/>
      <c r="AD403" s="287"/>
      <c r="AG403" s="287"/>
      <c r="AJ403" s="287"/>
      <c r="AM403" s="287"/>
      <c r="AP403" s="287"/>
      <c r="AS403" s="287"/>
      <c r="AV403" s="287"/>
      <c r="AY403" s="287"/>
      <c r="BB403" s="287"/>
      <c r="BE403" s="287"/>
    </row>
    <row r="404" spans="2:57">
      <c r="B404" s="246" t="s">
        <v>2588</v>
      </c>
      <c r="X404" s="287"/>
      <c r="AA404" s="287"/>
      <c r="AD404" s="287"/>
      <c r="AE404" s="740">
        <f t="shared" ref="AE404:AY404" si="328">-AE68/AE67</f>
        <v>0.25225225225225223</v>
      </c>
      <c r="AF404" s="742">
        <f t="shared" si="328"/>
        <v>0.25225225225225228</v>
      </c>
      <c r="AG404" s="715">
        <f t="shared" si="328"/>
        <v>0.25225225225225223</v>
      </c>
      <c r="AH404" s="740">
        <f t="shared" si="328"/>
        <v>0.25225225225225223</v>
      </c>
      <c r="AI404" s="742">
        <f t="shared" si="328"/>
        <v>0.25225225225225223</v>
      </c>
      <c r="AJ404" s="715">
        <f t="shared" si="328"/>
        <v>0.25225225225225228</v>
      </c>
      <c r="AK404" s="740">
        <f t="shared" si="328"/>
        <v>0.25225225225225228</v>
      </c>
      <c r="AL404" s="742">
        <f t="shared" si="328"/>
        <v>0.25225225225225223</v>
      </c>
      <c r="AM404" s="715">
        <f t="shared" si="328"/>
        <v>0.25225225225225228</v>
      </c>
      <c r="AN404" s="740">
        <f t="shared" si="328"/>
        <v>0.25225225225225223</v>
      </c>
      <c r="AO404" s="742">
        <f t="shared" si="328"/>
        <v>0.25225225225225223</v>
      </c>
      <c r="AP404" s="715">
        <f t="shared" si="328"/>
        <v>0.25225225225225223</v>
      </c>
      <c r="AQ404" s="740">
        <f t="shared" si="328"/>
        <v>0.25225225225225223</v>
      </c>
      <c r="AR404" s="742">
        <f t="shared" si="328"/>
        <v>0.25225225225225223</v>
      </c>
      <c r="AS404" s="715">
        <f t="shared" si="328"/>
        <v>0.25225225225225223</v>
      </c>
      <c r="AT404" s="740">
        <f t="shared" si="328"/>
        <v>0.25225225225225223</v>
      </c>
      <c r="AU404" s="742">
        <f t="shared" si="328"/>
        <v>0.25225225225225223</v>
      </c>
      <c r="AV404" s="715">
        <f t="shared" si="328"/>
        <v>0.25225225225225223</v>
      </c>
      <c r="AW404" s="740">
        <f t="shared" si="328"/>
        <v>0.25225225225225223</v>
      </c>
      <c r="AX404" s="742">
        <f t="shared" si="328"/>
        <v>0.25225225225225223</v>
      </c>
      <c r="AY404" s="715">
        <f t="shared" si="328"/>
        <v>0.25225225225225223</v>
      </c>
      <c r="AZ404" s="740">
        <f t="shared" ref="AZ404:BE404" si="329">-AZ68/AZ67</f>
        <v>0.25225225225225223</v>
      </c>
      <c r="BA404" s="742">
        <f t="shared" si="329"/>
        <v>0.25225225225225223</v>
      </c>
      <c r="BB404" s="715">
        <f t="shared" si="329"/>
        <v>0.25225225225225228</v>
      </c>
      <c r="BC404" s="740">
        <f t="shared" si="329"/>
        <v>0.25225225225225223</v>
      </c>
      <c r="BD404" s="742">
        <f t="shared" si="329"/>
        <v>0.25225225225225223</v>
      </c>
      <c r="BE404" s="715">
        <f t="shared" si="329"/>
        <v>0.25225225225225223</v>
      </c>
    </row>
    <row r="405" spans="2:57">
      <c r="B405" s="246" t="s">
        <v>2589</v>
      </c>
      <c r="X405" s="287"/>
      <c r="AA405" s="287"/>
      <c r="AD405" s="287"/>
      <c r="AE405" s="516">
        <f t="shared" ref="AE405:AY405" si="330">-AE70/AE69</f>
        <v>0.65738758029978583</v>
      </c>
      <c r="AF405" s="344">
        <f t="shared" si="330"/>
        <v>0.65367965367965364</v>
      </c>
      <c r="AG405" s="539">
        <f t="shared" si="330"/>
        <v>0.65554359526372441</v>
      </c>
      <c r="AH405" s="516">
        <f t="shared" si="330"/>
        <v>0.72828507795100228</v>
      </c>
      <c r="AI405" s="344">
        <f t="shared" si="330"/>
        <v>0.71900826446280997</v>
      </c>
      <c r="AJ405" s="539">
        <f t="shared" si="330"/>
        <v>0.72347266881028938</v>
      </c>
      <c r="AK405" s="516">
        <f t="shared" si="330"/>
        <v>0.61630695443645089</v>
      </c>
      <c r="AL405" s="344">
        <f t="shared" si="330"/>
        <v>0.54952830188679247</v>
      </c>
      <c r="AM405" s="539">
        <f t="shared" si="330"/>
        <v>0.58263971462544595</v>
      </c>
      <c r="AN405" s="516">
        <f t="shared" si="330"/>
        <v>0.56689342403628118</v>
      </c>
      <c r="AO405" s="344">
        <f t="shared" si="330"/>
        <v>0.93824228028503565</v>
      </c>
      <c r="AP405" s="539">
        <f t="shared" si="330"/>
        <v>0.74825986078886308</v>
      </c>
      <c r="AQ405" s="516">
        <f t="shared" si="330"/>
        <v>0.84601361482423232</v>
      </c>
      <c r="AR405" s="344">
        <f t="shared" si="330"/>
        <v>0.84529749443577218</v>
      </c>
      <c r="AS405" s="539">
        <f t="shared" si="330"/>
        <v>0.84565098255091209</v>
      </c>
      <c r="AT405" s="516">
        <f t="shared" si="330"/>
        <v>0.84456690739436757</v>
      </c>
      <c r="AU405" s="344">
        <f t="shared" si="330"/>
        <v>0.84382923890379802</v>
      </c>
      <c r="AV405" s="539">
        <f t="shared" si="330"/>
        <v>0.84419335851983579</v>
      </c>
      <c r="AW405" s="516">
        <f t="shared" si="330"/>
        <v>0.84307704840850106</v>
      </c>
      <c r="AX405" s="344">
        <f t="shared" si="330"/>
        <v>0.84231775658123786</v>
      </c>
      <c r="AY405" s="539">
        <f t="shared" si="330"/>
        <v>0.84269254449998121</v>
      </c>
      <c r="AZ405" s="516">
        <f t="shared" ref="AZ405:BE405" si="331">-AZ70/AZ69</f>
        <v>0.84154380354701463</v>
      </c>
      <c r="BA405" s="344">
        <f t="shared" si="331"/>
        <v>0.8407626521663718</v>
      </c>
      <c r="BB405" s="539">
        <f t="shared" si="331"/>
        <v>0.8411482246058628</v>
      </c>
      <c r="BC405" s="516">
        <f t="shared" si="331"/>
        <v>0.83996662373640119</v>
      </c>
      <c r="BD405" s="344">
        <f t="shared" si="331"/>
        <v>0.83916322979830893</v>
      </c>
      <c r="BE405" s="539">
        <f t="shared" si="331"/>
        <v>0.83955977538061766</v>
      </c>
    </row>
    <row r="406" spans="2:57">
      <c r="B406" s="246" t="s">
        <v>2590</v>
      </c>
      <c r="X406" s="287"/>
      <c r="AA406" s="287"/>
      <c r="AD406" s="287"/>
      <c r="AE406" s="740">
        <f t="shared" ref="AE406:AY406" si="332">-AE71/AE67</f>
        <v>0.74381233481875886</v>
      </c>
      <c r="AF406" s="742">
        <f t="shared" si="332"/>
        <v>0.74103974103974113</v>
      </c>
      <c r="AG406" s="715">
        <f t="shared" si="332"/>
        <v>0.7424334991611633</v>
      </c>
      <c r="AH406" s="740">
        <f t="shared" si="332"/>
        <v>0.79682577900840712</v>
      </c>
      <c r="AI406" s="742">
        <f t="shared" si="332"/>
        <v>0.7898890626163354</v>
      </c>
      <c r="AJ406" s="715">
        <f t="shared" si="332"/>
        <v>0.79322731091219845</v>
      </c>
      <c r="AK406" s="740">
        <f t="shared" si="332"/>
        <v>0.7130943893533821</v>
      </c>
      <c r="AL406" s="742">
        <f t="shared" si="332"/>
        <v>0.66316080231174568</v>
      </c>
      <c r="AM406" s="715">
        <f t="shared" si="332"/>
        <v>0.68791978661181996</v>
      </c>
      <c r="AN406" s="740">
        <f t="shared" si="332"/>
        <v>0.67614553328839044</v>
      </c>
      <c r="AO406" s="742">
        <f t="shared" si="332"/>
        <v>0.95382080417709869</v>
      </c>
      <c r="AP406" s="715">
        <f t="shared" si="332"/>
        <v>0.81176187788716792</v>
      </c>
      <c r="AQ406" s="740">
        <f t="shared" si="332"/>
        <v>0.88485702730100257</v>
      </c>
      <c r="AR406" s="742">
        <f t="shared" si="332"/>
        <v>0.88432154989341527</v>
      </c>
      <c r="AS406" s="715">
        <f t="shared" si="332"/>
        <v>0.88458586983536669</v>
      </c>
      <c r="AT406" s="740">
        <f t="shared" si="332"/>
        <v>0.88377525507867127</v>
      </c>
      <c r="AU406" s="742">
        <f t="shared" si="332"/>
        <v>0.88322366512626338</v>
      </c>
      <c r="AV406" s="715">
        <f t="shared" si="332"/>
        <v>0.88349593474906651</v>
      </c>
      <c r="AW406" s="740">
        <f t="shared" si="332"/>
        <v>0.88266121637752781</v>
      </c>
      <c r="AX406" s="742">
        <f t="shared" si="332"/>
        <v>0.88209345762380853</v>
      </c>
      <c r="AY406" s="715">
        <f t="shared" si="332"/>
        <v>0.88237370444593188</v>
      </c>
      <c r="AZ406" s="740">
        <f t="shared" ref="AZ406:BE406" si="333">-AZ71/AZ67</f>
        <v>0.88151473598560559</v>
      </c>
      <c r="BA406" s="742">
        <f t="shared" si="333"/>
        <v>0.88093063180007969</v>
      </c>
      <c r="BB406" s="715">
        <f t="shared" si="333"/>
        <v>0.88121894272330292</v>
      </c>
      <c r="BC406" s="740">
        <f t="shared" si="333"/>
        <v>0.88033540333442606</v>
      </c>
      <c r="BD406" s="742">
        <f t="shared" si="333"/>
        <v>0.87973466732666339</v>
      </c>
      <c r="BE406" s="715">
        <f t="shared" si="333"/>
        <v>0.88003118339271402</v>
      </c>
    </row>
    <row r="407" spans="2:57">
      <c r="B407" s="246" t="s">
        <v>2591</v>
      </c>
      <c r="X407" s="287"/>
      <c r="AA407" s="287"/>
      <c r="AD407" s="287"/>
      <c r="AE407" s="516">
        <f t="shared" ref="AE407:AY407" si="334">-AE73/AE72</f>
        <v>0.31874999999999998</v>
      </c>
      <c r="AF407" s="344">
        <f t="shared" si="334"/>
        <v>0.3000000000000001</v>
      </c>
      <c r="AG407" s="539">
        <f t="shared" si="334"/>
        <v>0.30937500000000001</v>
      </c>
      <c r="AH407" s="516">
        <f t="shared" si="334"/>
        <v>0.30327868852459017</v>
      </c>
      <c r="AI407" s="344">
        <f t="shared" si="334"/>
        <v>0.3014705882352941</v>
      </c>
      <c r="AJ407" s="539">
        <f t="shared" si="334"/>
        <v>0.30232558139534899</v>
      </c>
      <c r="AK407" s="516">
        <f t="shared" si="334"/>
        <v>0.29375000000000001</v>
      </c>
      <c r="AL407" s="344">
        <f t="shared" si="334"/>
        <v>0.29842931937172773</v>
      </c>
      <c r="AM407" s="539">
        <f t="shared" si="334"/>
        <v>0.29629629629629639</v>
      </c>
      <c r="AN407" s="516">
        <f t="shared" si="334"/>
        <v>0.32460732984293195</v>
      </c>
      <c r="AO407" s="344">
        <f t="shared" si="334"/>
        <v>0.53846153846153844</v>
      </c>
      <c r="AP407" s="539">
        <f t="shared" si="334"/>
        <v>0.35023041474654376</v>
      </c>
      <c r="AQ407" s="516">
        <f t="shared" si="334"/>
        <v>0.28999999999999998</v>
      </c>
      <c r="AR407" s="344">
        <f t="shared" si="334"/>
        <v>0.28999999999999998</v>
      </c>
      <c r="AS407" s="539">
        <f t="shared" si="334"/>
        <v>0.28999999999999981</v>
      </c>
      <c r="AT407" s="516">
        <f t="shared" si="334"/>
        <v>0.28999999999999998</v>
      </c>
      <c r="AU407" s="344">
        <f t="shared" si="334"/>
        <v>0.28999999999999998</v>
      </c>
      <c r="AV407" s="539">
        <f t="shared" si="334"/>
        <v>0.2900000000000002</v>
      </c>
      <c r="AW407" s="516">
        <f t="shared" si="334"/>
        <v>0.28999999999999998</v>
      </c>
      <c r="AX407" s="344">
        <f t="shared" si="334"/>
        <v>0.28999999999999998</v>
      </c>
      <c r="AY407" s="539">
        <f t="shared" si="334"/>
        <v>0.28999999999999998</v>
      </c>
      <c r="AZ407" s="516">
        <f t="shared" ref="AZ407:BE407" si="335">-AZ73/AZ72</f>
        <v>0.28999999999999998</v>
      </c>
      <c r="BA407" s="344">
        <f t="shared" si="335"/>
        <v>0.28999999999999998</v>
      </c>
      <c r="BB407" s="539">
        <f t="shared" si="335"/>
        <v>0.2900000000000002</v>
      </c>
      <c r="BC407" s="516">
        <f t="shared" si="335"/>
        <v>0.28999999999999998</v>
      </c>
      <c r="BD407" s="344">
        <f t="shared" si="335"/>
        <v>0.28999999999999998</v>
      </c>
      <c r="BE407" s="539">
        <f t="shared" si="335"/>
        <v>0.29000000000000004</v>
      </c>
    </row>
    <row r="408" spans="2:57">
      <c r="B408" s="246" t="s">
        <v>2592</v>
      </c>
      <c r="X408" s="287"/>
      <c r="AA408" s="287"/>
      <c r="AD408" s="287"/>
      <c r="AE408" s="740">
        <f t="shared" ref="AE408:AY408" si="336">AE65/AB65-1</f>
        <v>0.17395144487725345</v>
      </c>
      <c r="AF408" s="742">
        <f t="shared" si="336"/>
        <v>0.11325301204819271</v>
      </c>
      <c r="AG408" s="715">
        <f t="shared" si="336"/>
        <v>0.14296006472994094</v>
      </c>
      <c r="AH408" s="740">
        <f t="shared" si="336"/>
        <v>-3.8543897216274159E-2</v>
      </c>
      <c r="AI408" s="742">
        <f t="shared" si="336"/>
        <v>4.7619047619047672E-2</v>
      </c>
      <c r="AJ408" s="715">
        <f t="shared" si="336"/>
        <v>4.3057050592034685E-3</v>
      </c>
      <c r="AK408" s="740">
        <f t="shared" si="336"/>
        <v>-7.1269487750556859E-2</v>
      </c>
      <c r="AL408" s="742">
        <f t="shared" si="336"/>
        <v>-0.12396694214876036</v>
      </c>
      <c r="AM408" s="715">
        <f t="shared" si="336"/>
        <v>-9.8606645230439494E-2</v>
      </c>
      <c r="AN408" s="740">
        <f t="shared" si="336"/>
        <v>5.755395683453246E-2</v>
      </c>
      <c r="AO408" s="742">
        <f t="shared" si="336"/>
        <v>-7.0754716981131782E-3</v>
      </c>
      <c r="AP408" s="715">
        <f t="shared" si="336"/>
        <v>2.4970273483947647E-2</v>
      </c>
      <c r="AQ408" s="740">
        <f t="shared" si="336"/>
        <v>8.5188091704053948E-2</v>
      </c>
      <c r="AR408" s="742">
        <f t="shared" si="336"/>
        <v>0.16614659597735804</v>
      </c>
      <c r="AS408" s="715">
        <f t="shared" si="336"/>
        <v>0.12472815005563298</v>
      </c>
      <c r="AT408" s="740">
        <f t="shared" si="336"/>
        <v>5.2424676236653589E-2</v>
      </c>
      <c r="AU408" s="742">
        <f t="shared" si="336"/>
        <v>5.2453078356569094E-2</v>
      </c>
      <c r="AV408" s="715">
        <f t="shared" si="336"/>
        <v>5.2439058630281643E-2</v>
      </c>
      <c r="AW408" s="740">
        <f t="shared" si="336"/>
        <v>5.2481631134699613E-2</v>
      </c>
      <c r="AX408" s="742">
        <f t="shared" si="336"/>
        <v>5.251027560143684E-2</v>
      </c>
      <c r="AY408" s="715">
        <f t="shared" si="336"/>
        <v>5.2496136442230279E-2</v>
      </c>
      <c r="AZ408" s="740">
        <f t="shared" ref="AZ408:BE408" si="337">AZ65/AW65-1</f>
        <v>5.2539178888620253E-2</v>
      </c>
      <c r="BA408" s="742">
        <f t="shared" si="337"/>
        <v>5.2568273255131803E-2</v>
      </c>
      <c r="BB408" s="715">
        <f t="shared" si="337"/>
        <v>5.2553912219386989E-2</v>
      </c>
      <c r="BC408" s="740">
        <f t="shared" si="337"/>
        <v>5.2597726643773823E-2</v>
      </c>
      <c r="BD408" s="742">
        <f t="shared" si="337"/>
        <v>5.2627462769787803E-2</v>
      </c>
      <c r="BE408" s="715">
        <f t="shared" si="337"/>
        <v>5.261278516576362E-2</v>
      </c>
    </row>
    <row r="409" spans="2:57">
      <c r="B409" s="246" t="s">
        <v>2593</v>
      </c>
      <c r="X409" s="287"/>
      <c r="AA409" s="287"/>
      <c r="AD409" s="287"/>
      <c r="AE409" s="740">
        <f t="shared" ref="AE409:AN413" si="338">AE68/AB68-1</f>
        <v>0.9449650453666516</v>
      </c>
      <c r="AF409" s="742">
        <f t="shared" si="338"/>
        <v>0.11325301204819271</v>
      </c>
      <c r="AG409" s="715">
        <f t="shared" si="338"/>
        <v>0.41808864416943781</v>
      </c>
      <c r="AH409" s="740">
        <f t="shared" si="338"/>
        <v>-3.8543897216274159E-2</v>
      </c>
      <c r="AI409" s="742">
        <f t="shared" si="338"/>
        <v>4.7619047619047672E-2</v>
      </c>
      <c r="AJ409" s="715">
        <f t="shared" si="338"/>
        <v>4.3057050592036905E-3</v>
      </c>
      <c r="AK409" s="740">
        <f t="shared" si="338"/>
        <v>-7.1269487750556748E-2</v>
      </c>
      <c r="AL409" s="742">
        <f t="shared" si="338"/>
        <v>-0.12396694214876036</v>
      </c>
      <c r="AM409" s="715">
        <f t="shared" si="338"/>
        <v>-9.8606645230439494E-2</v>
      </c>
      <c r="AN409" s="740">
        <f t="shared" si="338"/>
        <v>5.7553956834532238E-2</v>
      </c>
      <c r="AO409" s="742">
        <f t="shared" ref="AO409:AX413" si="339">AO68/AL68-1</f>
        <v>-7.0754716981132892E-3</v>
      </c>
      <c r="AP409" s="715">
        <f t="shared" si="339"/>
        <v>2.4970273483947647E-2</v>
      </c>
      <c r="AQ409" s="740">
        <f t="shared" si="339"/>
        <v>8.5188091704053948E-2</v>
      </c>
      <c r="AR409" s="742">
        <f t="shared" si="339"/>
        <v>0.16614659597735804</v>
      </c>
      <c r="AS409" s="715">
        <f t="shared" si="339"/>
        <v>0.12472815005563276</v>
      </c>
      <c r="AT409" s="740">
        <f t="shared" si="339"/>
        <v>5.2424676236653589E-2</v>
      </c>
      <c r="AU409" s="742">
        <f t="shared" si="339"/>
        <v>5.2453078356568872E-2</v>
      </c>
      <c r="AV409" s="715">
        <f t="shared" si="339"/>
        <v>5.2439058630281865E-2</v>
      </c>
      <c r="AW409" s="740">
        <f t="shared" si="339"/>
        <v>5.2481631134699613E-2</v>
      </c>
      <c r="AX409" s="742">
        <f t="shared" si="339"/>
        <v>5.2510275601437062E-2</v>
      </c>
      <c r="AY409" s="715">
        <f t="shared" ref="AY409:BB413" si="340">AY68/AV68-1</f>
        <v>5.2496136442230279E-2</v>
      </c>
      <c r="AZ409" s="740">
        <f t="shared" si="340"/>
        <v>5.2539178888620253E-2</v>
      </c>
      <c r="BA409" s="742">
        <f t="shared" si="340"/>
        <v>5.2568273255131803E-2</v>
      </c>
      <c r="BB409" s="715">
        <f t="shared" si="340"/>
        <v>5.2553912219386989E-2</v>
      </c>
      <c r="BC409" s="740">
        <f t="shared" ref="BC409:BE413" si="341">BC68/AZ68-1</f>
        <v>5.2597726643773823E-2</v>
      </c>
      <c r="BD409" s="742">
        <f t="shared" si="341"/>
        <v>5.2627462769787803E-2</v>
      </c>
      <c r="BE409" s="715">
        <f t="shared" si="341"/>
        <v>5.2612785165763176E-2</v>
      </c>
    </row>
    <row r="410" spans="2:57">
      <c r="B410" s="246" t="s">
        <v>2594</v>
      </c>
      <c r="X410" s="287"/>
      <c r="AA410" s="287"/>
      <c r="AD410" s="287"/>
      <c r="AE410" s="516">
        <f t="shared" si="338"/>
        <v>3.5476718403547602E-2</v>
      </c>
      <c r="AF410" s="344">
        <f t="shared" si="338"/>
        <v>0.11325301204819271</v>
      </c>
      <c r="AG410" s="539">
        <f t="shared" si="338"/>
        <v>7.274826789838329E-2</v>
      </c>
      <c r="AH410" s="516">
        <f t="shared" si="338"/>
        <v>-3.8543897216274048E-2</v>
      </c>
      <c r="AI410" s="344">
        <f t="shared" si="338"/>
        <v>4.7619047619047672E-2</v>
      </c>
      <c r="AJ410" s="539">
        <f t="shared" si="338"/>
        <v>4.3057050592034685E-3</v>
      </c>
      <c r="AK410" s="516">
        <f t="shared" si="338"/>
        <v>-7.1269487750556748E-2</v>
      </c>
      <c r="AL410" s="344">
        <f t="shared" si="338"/>
        <v>-0.12396694214876036</v>
      </c>
      <c r="AM410" s="539">
        <f t="shared" si="338"/>
        <v>-9.8606645230439494E-2</v>
      </c>
      <c r="AN410" s="516">
        <f t="shared" si="338"/>
        <v>5.755395683453246E-2</v>
      </c>
      <c r="AO410" s="344">
        <f t="shared" si="339"/>
        <v>-7.0754716981131782E-3</v>
      </c>
      <c r="AP410" s="539">
        <f t="shared" si="339"/>
        <v>2.4970273483947647E-2</v>
      </c>
      <c r="AQ410" s="516">
        <f t="shared" si="339"/>
        <v>8.5188091704053948E-2</v>
      </c>
      <c r="AR410" s="344">
        <f t="shared" si="339"/>
        <v>0.16614659597735804</v>
      </c>
      <c r="AS410" s="539">
        <f t="shared" si="339"/>
        <v>0.12472815005563276</v>
      </c>
      <c r="AT410" s="516">
        <f t="shared" si="339"/>
        <v>5.2424676236653589E-2</v>
      </c>
      <c r="AU410" s="344">
        <f t="shared" si="339"/>
        <v>5.2453078356569094E-2</v>
      </c>
      <c r="AV410" s="539">
        <f t="shared" si="339"/>
        <v>5.2439058630281865E-2</v>
      </c>
      <c r="AW410" s="516">
        <f t="shared" si="339"/>
        <v>5.2481631134699613E-2</v>
      </c>
      <c r="AX410" s="344">
        <f t="shared" si="339"/>
        <v>5.251027560143684E-2</v>
      </c>
      <c r="AY410" s="539">
        <f t="shared" si="340"/>
        <v>5.2496136442230057E-2</v>
      </c>
      <c r="AZ410" s="516">
        <f t="shared" si="340"/>
        <v>5.2539178888620475E-2</v>
      </c>
      <c r="BA410" s="344">
        <f t="shared" si="340"/>
        <v>5.2568273255131803E-2</v>
      </c>
      <c r="BB410" s="539">
        <f t="shared" si="340"/>
        <v>5.2553912219386989E-2</v>
      </c>
      <c r="BC410" s="516">
        <f t="shared" si="341"/>
        <v>5.2597726643773823E-2</v>
      </c>
      <c r="BD410" s="344">
        <f t="shared" si="341"/>
        <v>5.2627462769787581E-2</v>
      </c>
      <c r="BE410" s="539">
        <f t="shared" si="341"/>
        <v>5.2612785165763176E-2</v>
      </c>
    </row>
    <row r="411" spans="2:57">
      <c r="B411" s="246" t="s">
        <v>2595</v>
      </c>
      <c r="X411" s="287"/>
      <c r="AA411" s="287"/>
      <c r="AD411" s="287"/>
      <c r="AE411" s="516">
        <f t="shared" si="338"/>
        <v>4.067796610169494E-2</v>
      </c>
      <c r="AF411" s="344">
        <f t="shared" si="338"/>
        <v>-0.3136363636363636</v>
      </c>
      <c r="AG411" s="539">
        <f t="shared" si="338"/>
        <v>-0.17142857142857137</v>
      </c>
      <c r="AH411" s="516">
        <f t="shared" si="338"/>
        <v>6.514657980456029E-2</v>
      </c>
      <c r="AI411" s="344">
        <f t="shared" si="338"/>
        <v>0.15231788079470188</v>
      </c>
      <c r="AJ411" s="539">
        <f t="shared" si="338"/>
        <v>0.10837438423645329</v>
      </c>
      <c r="AK411" s="516">
        <f t="shared" si="338"/>
        <v>-0.21406727828746175</v>
      </c>
      <c r="AL411" s="344">
        <f t="shared" si="338"/>
        <v>-0.33045977011494254</v>
      </c>
      <c r="AM411" s="539">
        <f t="shared" si="338"/>
        <v>-0.27407407407407403</v>
      </c>
      <c r="AN411" s="516">
        <f t="shared" si="338"/>
        <v>-2.7237354085603127E-2</v>
      </c>
      <c r="AO411" s="344">
        <f t="shared" si="339"/>
        <v>0.69527896995708161</v>
      </c>
      <c r="AP411" s="539">
        <f t="shared" si="339"/>
        <v>0.31632653061224492</v>
      </c>
      <c r="AQ411" s="516">
        <f t="shared" si="339"/>
        <v>0.61949999999999972</v>
      </c>
      <c r="AR411" s="344">
        <f t="shared" si="339"/>
        <v>5.062499999999992E-2</v>
      </c>
      <c r="AS411" s="539">
        <f t="shared" si="339"/>
        <v>0.27111918604651142</v>
      </c>
      <c r="AT411" s="516">
        <f t="shared" si="339"/>
        <v>5.062499999999992E-2</v>
      </c>
      <c r="AU411" s="344">
        <f t="shared" si="339"/>
        <v>5.062499999999992E-2</v>
      </c>
      <c r="AV411" s="539">
        <f t="shared" si="339"/>
        <v>5.0625000000000142E-2</v>
      </c>
      <c r="AW411" s="516">
        <f t="shared" si="339"/>
        <v>5.062499999999992E-2</v>
      </c>
      <c r="AX411" s="344">
        <f t="shared" si="339"/>
        <v>5.0624999999999698E-2</v>
      </c>
      <c r="AY411" s="539">
        <f t="shared" si="340"/>
        <v>5.0624999999999698E-2</v>
      </c>
      <c r="AZ411" s="516">
        <f t="shared" si="340"/>
        <v>5.0624999999999698E-2</v>
      </c>
      <c r="BA411" s="344">
        <f t="shared" si="340"/>
        <v>5.0624999999999698E-2</v>
      </c>
      <c r="BB411" s="539">
        <f t="shared" si="340"/>
        <v>5.062499999999992E-2</v>
      </c>
      <c r="BC411" s="516">
        <f t="shared" si="341"/>
        <v>5.062499999999992E-2</v>
      </c>
      <c r="BD411" s="344">
        <f t="shared" si="341"/>
        <v>5.062499999999992E-2</v>
      </c>
      <c r="BE411" s="539">
        <f t="shared" si="341"/>
        <v>5.062499999999992E-2</v>
      </c>
    </row>
    <row r="412" spans="2:57">
      <c r="B412" s="246" t="s">
        <v>2596</v>
      </c>
      <c r="X412" s="287"/>
      <c r="AA412" s="287"/>
      <c r="AD412" s="287"/>
      <c r="AE412" s="740">
        <f t="shared" si="338"/>
        <v>0.23548449115611381</v>
      </c>
      <c r="AF412" s="742">
        <f t="shared" si="338"/>
        <v>-0.21059410054009142</v>
      </c>
      <c r="AG412" s="715">
        <f t="shared" si="338"/>
        <v>-3.5148964057065135E-2</v>
      </c>
      <c r="AH412" s="740">
        <f t="shared" si="338"/>
        <v>2.9981585704281999E-2</v>
      </c>
      <c r="AI412" s="742">
        <f t="shared" si="338"/>
        <v>0.11667806957528559</v>
      </c>
      <c r="AJ412" s="715">
        <f t="shared" si="338"/>
        <v>7.3015582753170882E-2</v>
      </c>
      <c r="AK412" s="740">
        <f t="shared" si="338"/>
        <v>-0.16886158184977218</v>
      </c>
      <c r="AL412" s="742">
        <f t="shared" si="338"/>
        <v>-0.26451597700065976</v>
      </c>
      <c r="AM412" s="715">
        <f t="shared" si="338"/>
        <v>-0.21827411167512689</v>
      </c>
      <c r="AN412" s="740">
        <f t="shared" si="338"/>
        <v>2.7569909413156513E-3</v>
      </c>
      <c r="AO412" s="742">
        <f t="shared" si="339"/>
        <v>0.42811829162795156</v>
      </c>
      <c r="AP412" s="715">
        <f t="shared" si="339"/>
        <v>0.20948955121616986</v>
      </c>
      <c r="AQ412" s="740">
        <f t="shared" si="339"/>
        <v>0.42016217162250435</v>
      </c>
      <c r="AR412" s="742">
        <f t="shared" si="339"/>
        <v>8.1176422910306467E-2</v>
      </c>
      <c r="AS412" s="715">
        <f t="shared" si="339"/>
        <v>0.22562866777488044</v>
      </c>
      <c r="AT412" s="740">
        <f t="shared" si="339"/>
        <v>5.1138046028922135E-2</v>
      </c>
      <c r="AU412" s="742">
        <f t="shared" si="339"/>
        <v>5.1146458379922377E-2</v>
      </c>
      <c r="AV412" s="715">
        <f t="shared" si="339"/>
        <v>5.1142304640296121E-2</v>
      </c>
      <c r="AW412" s="740">
        <f t="shared" si="339"/>
        <v>5.1154930412328437E-2</v>
      </c>
      <c r="AX412" s="742">
        <f t="shared" si="339"/>
        <v>5.1163442339529741E-2</v>
      </c>
      <c r="AY412" s="715">
        <f t="shared" si="340"/>
        <v>5.1159239449508842E-2</v>
      </c>
      <c r="AZ412" s="740">
        <f t="shared" si="340"/>
        <v>5.1172045601312055E-2</v>
      </c>
      <c r="BA412" s="742">
        <f t="shared" si="340"/>
        <v>5.1180717822314259E-2</v>
      </c>
      <c r="BB412" s="715">
        <f t="shared" si="340"/>
        <v>5.1176435802410714E-2</v>
      </c>
      <c r="BC412" s="740">
        <f t="shared" si="341"/>
        <v>5.11895109703282E-2</v>
      </c>
      <c r="BD412" s="742">
        <f t="shared" si="341"/>
        <v>5.1198400135602062E-2</v>
      </c>
      <c r="BE412" s="715">
        <f t="shared" si="341"/>
        <v>5.1194011015023966E-2</v>
      </c>
    </row>
    <row r="413" spans="2:57">
      <c r="B413" s="243" t="s">
        <v>2597</v>
      </c>
      <c r="X413" s="287"/>
      <c r="AA413" s="287"/>
      <c r="AD413" s="287"/>
      <c r="AE413" s="651">
        <f t="shared" si="338"/>
        <v>2.564102564102555E-2</v>
      </c>
      <c r="AF413" s="346">
        <f t="shared" si="338"/>
        <v>-7.3999999999999977</v>
      </c>
      <c r="AG413" s="649">
        <f t="shared" si="338"/>
        <v>1.4427480916030535</v>
      </c>
      <c r="AH413" s="651">
        <f t="shared" si="338"/>
        <v>-0.23750000000000004</v>
      </c>
      <c r="AI413" s="346">
        <f t="shared" si="338"/>
        <v>-0.14999999999999969</v>
      </c>
      <c r="AJ413" s="649">
        <f t="shared" si="338"/>
        <v>-0.19375000000000031</v>
      </c>
      <c r="AK413" s="651">
        <f t="shared" si="338"/>
        <v>0.31147540983606548</v>
      </c>
      <c r="AL413" s="346">
        <f t="shared" si="338"/>
        <v>0.40441176470588225</v>
      </c>
      <c r="AM413" s="649">
        <f t="shared" si="338"/>
        <v>0.36046511627906996</v>
      </c>
      <c r="AN413" s="651">
        <f t="shared" si="338"/>
        <v>0.19375000000000009</v>
      </c>
      <c r="AO413" s="346">
        <f t="shared" si="339"/>
        <v>-0.86387434554973819</v>
      </c>
      <c r="AP413" s="649">
        <f t="shared" si="339"/>
        <v>-0.38176638176638156</v>
      </c>
      <c r="AQ413" s="651">
        <f t="shared" si="339"/>
        <v>-0.61417304480896417</v>
      </c>
      <c r="AR413" s="346">
        <f t="shared" si="339"/>
        <v>1.921186227171837</v>
      </c>
      <c r="AS413" s="649">
        <f t="shared" si="339"/>
        <v>-0.31039727950250828</v>
      </c>
      <c r="AT413" s="651">
        <f t="shared" si="339"/>
        <v>6.2312242574071419E-2</v>
      </c>
      <c r="AU413" s="346">
        <f t="shared" si="339"/>
        <v>6.2441733994720305E-2</v>
      </c>
      <c r="AV413" s="649">
        <f t="shared" si="339"/>
        <v>6.2377965197073948E-2</v>
      </c>
      <c r="AW413" s="651">
        <f t="shared" si="339"/>
        <v>6.2569889621482133E-2</v>
      </c>
      <c r="AX413" s="346">
        <f t="shared" si="339"/>
        <v>6.2696885852407958E-2</v>
      </c>
      <c r="AY413" s="649">
        <f t="shared" si="340"/>
        <v>6.2634349694304703E-2</v>
      </c>
      <c r="AZ413" s="651">
        <f t="shared" si="340"/>
        <v>6.2823208542516884E-2</v>
      </c>
      <c r="BA413" s="346">
        <f t="shared" si="340"/>
        <v>6.2948982796028563E-2</v>
      </c>
      <c r="BB413" s="649">
        <f t="shared" si="340"/>
        <v>6.2887052127509557E-2</v>
      </c>
      <c r="BC413" s="651">
        <f t="shared" si="341"/>
        <v>6.3074665509669448E-2</v>
      </c>
      <c r="BD413" s="346">
        <f t="shared" si="341"/>
        <v>6.3200333594980451E-2</v>
      </c>
      <c r="BE413" s="649">
        <f t="shared" si="341"/>
        <v>6.313845892000014E-2</v>
      </c>
    </row>
    <row r="414" spans="2:57">
      <c r="B414" s="243" t="s">
        <v>2598</v>
      </c>
      <c r="X414" s="287"/>
      <c r="AA414" s="287"/>
      <c r="AD414" s="287"/>
      <c r="AE414" s="651">
        <f t="shared" ref="AE414:AY414" si="342">AE74/AB74-1</f>
        <v>9.2592592592593004E-3</v>
      </c>
      <c r="AF414" s="346">
        <f t="shared" si="342"/>
        <v>-7.9999999999999964</v>
      </c>
      <c r="AG414" s="649">
        <f t="shared" si="342"/>
        <v>1.402173913043478</v>
      </c>
      <c r="AH414" s="651">
        <f t="shared" si="342"/>
        <v>-0.22018348623853212</v>
      </c>
      <c r="AI414" s="346">
        <f t="shared" si="342"/>
        <v>-0.15178571428571386</v>
      </c>
      <c r="AJ414" s="649">
        <f t="shared" si="342"/>
        <v>-0.18552036199095079</v>
      </c>
      <c r="AK414" s="651">
        <f t="shared" si="342"/>
        <v>0.32941176470588229</v>
      </c>
      <c r="AL414" s="346">
        <f t="shared" si="342"/>
        <v>0.41052631578947363</v>
      </c>
      <c r="AM414" s="649">
        <f t="shared" si="342"/>
        <v>0.37222222222222245</v>
      </c>
      <c r="AN414" s="651">
        <f t="shared" si="342"/>
        <v>0.1415929203539823</v>
      </c>
      <c r="AO414" s="346">
        <f t="shared" si="342"/>
        <v>-0.91044776119402981</v>
      </c>
      <c r="AP414" s="649">
        <f t="shared" si="342"/>
        <v>-0.42914979757084992</v>
      </c>
      <c r="AQ414" s="651">
        <f t="shared" si="342"/>
        <v>-0.59440315198871041</v>
      </c>
      <c r="AR414" s="346">
        <f t="shared" si="342"/>
        <v>3.4937581461326763</v>
      </c>
      <c r="AS414" s="649">
        <f t="shared" si="342"/>
        <v>-0.24647453087199589</v>
      </c>
      <c r="AT414" s="651">
        <f t="shared" si="342"/>
        <v>6.2312242574071419E-2</v>
      </c>
      <c r="AU414" s="346">
        <f t="shared" si="342"/>
        <v>6.2441733994720305E-2</v>
      </c>
      <c r="AV414" s="649">
        <f t="shared" si="342"/>
        <v>6.2377965197073282E-2</v>
      </c>
      <c r="AW414" s="651">
        <f t="shared" si="342"/>
        <v>6.2569889621482133E-2</v>
      </c>
      <c r="AX414" s="346">
        <f t="shared" si="342"/>
        <v>6.2696885852407735E-2</v>
      </c>
      <c r="AY414" s="649">
        <f t="shared" si="342"/>
        <v>6.2634349694304925E-2</v>
      </c>
      <c r="AZ414" s="651">
        <f t="shared" ref="AZ414:BE414" si="343">AZ74/AW74-1</f>
        <v>6.2823208542516884E-2</v>
      </c>
      <c r="BA414" s="346">
        <f t="shared" si="343"/>
        <v>6.2948982796028563E-2</v>
      </c>
      <c r="BB414" s="649">
        <f t="shared" si="343"/>
        <v>6.2887052127509335E-2</v>
      </c>
      <c r="BC414" s="651">
        <f t="shared" si="343"/>
        <v>6.3074665509669448E-2</v>
      </c>
      <c r="BD414" s="346">
        <f t="shared" si="343"/>
        <v>6.3200333594980451E-2</v>
      </c>
      <c r="BE414" s="649">
        <f t="shared" si="343"/>
        <v>6.3138458920000362E-2</v>
      </c>
    </row>
    <row r="415" spans="2:57">
      <c r="X415" s="287"/>
      <c r="AA415" s="287"/>
      <c r="AD415" s="287"/>
      <c r="AG415" s="287"/>
      <c r="AJ415" s="287"/>
      <c r="AM415" s="287"/>
      <c r="AP415" s="287"/>
      <c r="AS415" s="287"/>
      <c r="AV415" s="287"/>
      <c r="AY415" s="287"/>
      <c r="BB415" s="287"/>
      <c r="BE415" s="287"/>
    </row>
    <row r="416" spans="2:57">
      <c r="X416" s="287"/>
      <c r="AA416" s="287"/>
      <c r="AD416" s="287"/>
      <c r="AG416" s="287"/>
      <c r="AJ416" s="287"/>
      <c r="AM416" s="287"/>
      <c r="AP416" s="287"/>
      <c r="AS416" s="287"/>
      <c r="AV416" s="287"/>
      <c r="AY416" s="287"/>
      <c r="BB416" s="287"/>
      <c r="BE416" s="287"/>
    </row>
    <row r="417" spans="2:57">
      <c r="X417" s="287"/>
      <c r="AA417" s="287"/>
      <c r="AD417" s="287"/>
      <c r="AG417" s="287"/>
      <c r="AJ417" s="287"/>
      <c r="AM417" s="287"/>
      <c r="AP417" s="287"/>
      <c r="AS417" s="287"/>
      <c r="AV417" s="287"/>
      <c r="AY417" s="287"/>
      <c r="BB417" s="287"/>
      <c r="BE417" s="287"/>
    </row>
    <row r="418" spans="2:57">
      <c r="B418" s="243" t="s">
        <v>2571</v>
      </c>
      <c r="X418" s="287"/>
      <c r="AA418" s="287"/>
      <c r="AD418" s="287"/>
      <c r="AG418" s="287"/>
      <c r="AJ418" s="287"/>
    </row>
    <row r="419" spans="2:57">
      <c r="B419" s="246" t="str">
        <f>B264</f>
        <v>Local equities</v>
      </c>
      <c r="X419" s="287"/>
      <c r="AA419" s="287"/>
      <c r="AD419" s="287"/>
      <c r="AE419" s="251">
        <v>2065</v>
      </c>
      <c r="AF419" s="251">
        <f>AG419-AE419</f>
        <v>1872</v>
      </c>
      <c r="AG419" s="252">
        <v>3937</v>
      </c>
      <c r="AH419" s="251">
        <v>7434</v>
      </c>
      <c r="AI419" s="251">
        <f>AJ419-AH419</f>
        <v>2432</v>
      </c>
      <c r="AJ419" s="252">
        <v>9866</v>
      </c>
      <c r="AK419" s="251">
        <v>3236</v>
      </c>
      <c r="AL419" s="251">
        <f>AM419-AK419</f>
        <v>1982</v>
      </c>
      <c r="AM419" s="252">
        <v>5218</v>
      </c>
    </row>
    <row r="420" spans="2:57">
      <c r="B420" s="246" t="str">
        <f>B265</f>
        <v>International equities</v>
      </c>
      <c r="X420" s="287"/>
      <c r="AA420" s="287"/>
      <c r="AD420" s="287"/>
      <c r="AE420" s="251">
        <v>14337</v>
      </c>
      <c r="AF420" s="251">
        <f>AG420-AE420</f>
        <v>9842</v>
      </c>
      <c r="AG420" s="252">
        <v>24179</v>
      </c>
      <c r="AH420" s="251">
        <v>9764</v>
      </c>
      <c r="AI420" s="251">
        <f>AJ420-AH420</f>
        <v>8513</v>
      </c>
      <c r="AJ420" s="252">
        <v>18277</v>
      </c>
      <c r="AK420" s="251">
        <v>12971</v>
      </c>
      <c r="AL420" s="251">
        <f>AM420-AK420</f>
        <v>7767</v>
      </c>
      <c r="AM420" s="252">
        <v>20738</v>
      </c>
    </row>
    <row r="421" spans="2:57">
      <c r="B421" s="246" t="str">
        <f>B266</f>
        <v>Cash / fixed interest</v>
      </c>
      <c r="X421" s="287"/>
      <c r="AA421" s="287"/>
      <c r="AD421" s="287"/>
      <c r="AE421" s="251">
        <v>23567</v>
      </c>
      <c r="AF421" s="251">
        <f>AG421-AE421</f>
        <v>31087</v>
      </c>
      <c r="AG421" s="252">
        <v>54654</v>
      </c>
      <c r="AH421" s="251">
        <v>26932</v>
      </c>
      <c r="AI421" s="251">
        <f>AJ421-AH421</f>
        <v>31494</v>
      </c>
      <c r="AJ421" s="252">
        <v>58426</v>
      </c>
      <c r="AK421" s="251">
        <v>22649</v>
      </c>
      <c r="AL421" s="251">
        <f>AM421-AK421</f>
        <v>25959</v>
      </c>
      <c r="AM421" s="252">
        <v>48608</v>
      </c>
    </row>
    <row r="422" spans="2:57">
      <c r="B422" s="246" t="str">
        <f>B267</f>
        <v>Infrastructure (was property / alternative)</v>
      </c>
      <c r="X422" s="287"/>
      <c r="AA422" s="287"/>
      <c r="AD422" s="287"/>
      <c r="AE422" s="251">
        <v>240</v>
      </c>
      <c r="AF422" s="251">
        <f>AG422-AE422</f>
        <v>804</v>
      </c>
      <c r="AG422" s="252">
        <v>1044</v>
      </c>
      <c r="AH422" s="251">
        <v>1567</v>
      </c>
      <c r="AI422" s="251">
        <f>AJ422-AH422</f>
        <v>445</v>
      </c>
      <c r="AJ422" s="252">
        <v>2012</v>
      </c>
      <c r="AK422" s="251">
        <v>168</v>
      </c>
      <c r="AL422" s="251">
        <f>AM422-AK422</f>
        <v>657</v>
      </c>
      <c r="AM422" s="252">
        <v>825</v>
      </c>
    </row>
    <row r="423" spans="2:57">
      <c r="B423" s="243" t="str">
        <f>B268</f>
        <v>Total</v>
      </c>
      <c r="X423" s="287"/>
      <c r="AA423" s="287"/>
      <c r="AD423" s="287"/>
      <c r="AE423" s="255">
        <f>SUM(AE419:AE422)</f>
        <v>40209</v>
      </c>
      <c r="AF423" s="255">
        <f>AG423-AE423</f>
        <v>43605</v>
      </c>
      <c r="AG423" s="256">
        <f>SUM(AG419:AG422)</f>
        <v>83814</v>
      </c>
      <c r="AH423" s="255">
        <f>SUM(AH419:AH422)</f>
        <v>45697</v>
      </c>
      <c r="AI423" s="255">
        <f>AJ423-AH423</f>
        <v>42884</v>
      </c>
      <c r="AJ423" s="256">
        <f>SUM(AJ419:AJ422)</f>
        <v>88581</v>
      </c>
      <c r="AK423" s="255">
        <f>SUM(AK419:AK422)</f>
        <v>39024</v>
      </c>
      <c r="AL423" s="255">
        <f>AM423-AK423</f>
        <v>36365</v>
      </c>
      <c r="AM423" s="256">
        <f>SUM(AM419:AM422)</f>
        <v>75389</v>
      </c>
    </row>
    <row r="424" spans="2:57">
      <c r="X424" s="287"/>
      <c r="AA424" s="287"/>
      <c r="AD424" s="287"/>
      <c r="AE424" s="251"/>
      <c r="AG424" s="252"/>
      <c r="AH424" s="251"/>
      <c r="AJ424" s="252"/>
      <c r="AK424" s="251"/>
      <c r="AM424" s="252"/>
    </row>
    <row r="425" spans="2:57">
      <c r="B425" s="243" t="s">
        <v>2572</v>
      </c>
      <c r="X425" s="287"/>
      <c r="AA425" s="287"/>
      <c r="AD425" s="287"/>
      <c r="AE425" s="251"/>
      <c r="AG425" s="252"/>
      <c r="AH425" s="251"/>
      <c r="AJ425" s="252"/>
      <c r="AK425" s="251"/>
      <c r="AM425" s="252"/>
    </row>
    <row r="426" spans="2:57">
      <c r="B426" s="246" t="str">
        <f>B264</f>
        <v>Local equities</v>
      </c>
      <c r="X426" s="287"/>
      <c r="AA426" s="287"/>
      <c r="AD426" s="287"/>
      <c r="AE426" s="251">
        <v>-2967</v>
      </c>
      <c r="AF426" s="251">
        <f>AG426-AE426</f>
        <v>-2418</v>
      </c>
      <c r="AG426" s="252">
        <v>-5385</v>
      </c>
      <c r="AH426" s="251">
        <v>-7478</v>
      </c>
      <c r="AI426" s="251">
        <f>AJ426-AH426</f>
        <v>-2433</v>
      </c>
      <c r="AJ426" s="252">
        <v>-9911</v>
      </c>
      <c r="AK426" s="251">
        <v>-1995</v>
      </c>
      <c r="AL426" s="251">
        <f>AM426-AK426</f>
        <v>-6637</v>
      </c>
      <c r="AM426" s="252">
        <v>-8632</v>
      </c>
    </row>
    <row r="427" spans="2:57">
      <c r="B427" s="246" t="str">
        <f>B265</f>
        <v>International equities</v>
      </c>
      <c r="X427" s="287"/>
      <c r="AA427" s="287"/>
      <c r="AD427" s="287"/>
      <c r="AE427" s="251">
        <v>-16114</v>
      </c>
      <c r="AF427" s="251">
        <f>AG427-AE427</f>
        <v>-11265</v>
      </c>
      <c r="AG427" s="252">
        <v>-27379</v>
      </c>
      <c r="AH427" s="251">
        <v>-12748</v>
      </c>
      <c r="AI427" s="251">
        <f>AJ427-AH427</f>
        <v>-11180</v>
      </c>
      <c r="AJ427" s="252">
        <v>-23928</v>
      </c>
      <c r="AK427" s="251">
        <v>-18410</v>
      </c>
      <c r="AL427" s="251">
        <f>AM427-AK427</f>
        <v>-15844</v>
      </c>
      <c r="AM427" s="252">
        <v>-34254</v>
      </c>
    </row>
    <row r="428" spans="2:57">
      <c r="B428" s="246" t="str">
        <f>B266</f>
        <v>Cash / fixed interest</v>
      </c>
      <c r="X428" s="287"/>
      <c r="AA428" s="287"/>
      <c r="AD428" s="287"/>
      <c r="AE428" s="251">
        <v>-26360</v>
      </c>
      <c r="AF428" s="251">
        <f>AG428-AE428</f>
        <v>-30383</v>
      </c>
      <c r="AG428" s="252">
        <v>-56743</v>
      </c>
      <c r="AH428" s="251">
        <v>-25716</v>
      </c>
      <c r="AI428" s="251">
        <f>AJ428-AH428</f>
        <v>-22782</v>
      </c>
      <c r="AJ428" s="252">
        <v>-48498</v>
      </c>
      <c r="AK428" s="251">
        <v>-32206</v>
      </c>
      <c r="AL428" s="251">
        <f>AM428-AK428</f>
        <v>-25444</v>
      </c>
      <c r="AM428" s="252">
        <v>-57650</v>
      </c>
    </row>
    <row r="429" spans="2:57">
      <c r="B429" s="246" t="str">
        <f>B267</f>
        <v>Infrastructure (was property / alternative)</v>
      </c>
      <c r="X429" s="287"/>
      <c r="AA429" s="287"/>
      <c r="AD429" s="287"/>
      <c r="AE429" s="251">
        <v>-109</v>
      </c>
      <c r="AF429" s="251">
        <f>AG429-AE429</f>
        <v>-158</v>
      </c>
      <c r="AG429" s="252">
        <v>-267</v>
      </c>
      <c r="AH429" s="251">
        <v>-765</v>
      </c>
      <c r="AI429" s="251">
        <f>AJ429-AH429</f>
        <v>-41</v>
      </c>
      <c r="AJ429" s="252">
        <v>-806</v>
      </c>
      <c r="AK429" s="251">
        <v>-128</v>
      </c>
      <c r="AL429" s="251">
        <f>AM429-AK429</f>
        <v>-583</v>
      </c>
      <c r="AM429" s="252">
        <v>-711</v>
      </c>
    </row>
    <row r="430" spans="2:57">
      <c r="B430" s="243" t="str">
        <f>B268</f>
        <v>Total</v>
      </c>
      <c r="X430" s="287"/>
      <c r="AA430" s="287"/>
      <c r="AD430" s="287"/>
      <c r="AE430" s="255">
        <f>SUM(AE426:AE429)</f>
        <v>-45550</v>
      </c>
      <c r="AF430" s="255">
        <f>AG430-AE430</f>
        <v>-44224</v>
      </c>
      <c r="AG430" s="256">
        <f>SUM(AG426:AG429)</f>
        <v>-89774</v>
      </c>
      <c r="AH430" s="255">
        <f>SUM(AH426:AH429)</f>
        <v>-46707</v>
      </c>
      <c r="AI430" s="255">
        <f>AJ430-AH430</f>
        <v>-36436</v>
      </c>
      <c r="AJ430" s="256">
        <f>SUM(AJ426:AJ429)</f>
        <v>-83143</v>
      </c>
      <c r="AK430" s="255">
        <f>SUM(AK426:AK429)</f>
        <v>-52739</v>
      </c>
      <c r="AL430" s="255">
        <f>AM430-AK430</f>
        <v>-48508</v>
      </c>
      <c r="AM430" s="256">
        <f>SUM(AM426:AM429)</f>
        <v>-101247</v>
      </c>
    </row>
    <row r="431" spans="2:57">
      <c r="X431" s="287"/>
      <c r="AA431" s="287"/>
      <c r="AD431" s="287"/>
      <c r="AE431" s="251"/>
      <c r="AG431" s="252"/>
      <c r="AH431" s="251"/>
      <c r="AJ431" s="252"/>
      <c r="AK431" s="251"/>
      <c r="AM431" s="252"/>
    </row>
    <row r="432" spans="2:57">
      <c r="B432" s="243" t="s">
        <v>2573</v>
      </c>
      <c r="X432" s="287"/>
      <c r="AA432" s="287"/>
      <c r="AD432" s="287"/>
      <c r="AE432" s="251"/>
      <c r="AG432" s="252"/>
      <c r="AH432" s="251"/>
      <c r="AJ432" s="252"/>
      <c r="AK432" s="251"/>
      <c r="AM432" s="252"/>
    </row>
    <row r="433" spans="2:39">
      <c r="B433" s="246" t="str">
        <f>B264</f>
        <v>Local equities</v>
      </c>
      <c r="X433" s="287"/>
      <c r="AA433" s="287"/>
      <c r="AD433" s="287"/>
      <c r="AE433" s="251">
        <f>AE419+AE426</f>
        <v>-902</v>
      </c>
      <c r="AF433" s="251">
        <f>AG433-AE433</f>
        <v>-546</v>
      </c>
      <c r="AG433" s="252">
        <f>AG419+AG426</f>
        <v>-1448</v>
      </c>
      <c r="AH433" s="251">
        <f>AH419+AH426</f>
        <v>-44</v>
      </c>
      <c r="AI433" s="251">
        <f>AJ433-AH433</f>
        <v>-1</v>
      </c>
      <c r="AJ433" s="252">
        <f>AJ419+AJ426</f>
        <v>-45</v>
      </c>
      <c r="AK433" s="251">
        <f>AK419+AK426</f>
        <v>1241</v>
      </c>
      <c r="AL433" s="251">
        <f>AM433-AK433</f>
        <v>-4655</v>
      </c>
      <c r="AM433" s="252">
        <f>AM419+AM426</f>
        <v>-3414</v>
      </c>
    </row>
    <row r="434" spans="2:39">
      <c r="B434" s="246" t="str">
        <f>B265</f>
        <v>International equities</v>
      </c>
      <c r="X434" s="287"/>
      <c r="AA434" s="287"/>
      <c r="AD434" s="287"/>
      <c r="AE434" s="251">
        <f>AE420+AE427</f>
        <v>-1777</v>
      </c>
      <c r="AF434" s="251">
        <f>AG434-AE434</f>
        <v>-1423</v>
      </c>
      <c r="AG434" s="252">
        <f t="shared" ref="AG434:AH436" si="344">AG420+AG427</f>
        <v>-3200</v>
      </c>
      <c r="AH434" s="251">
        <f t="shared" si="344"/>
        <v>-2984</v>
      </c>
      <c r="AI434" s="251">
        <f>AJ434-AH434</f>
        <v>-2667</v>
      </c>
      <c r="AJ434" s="252">
        <f t="shared" ref="AJ434:AK436" si="345">AJ420+AJ427</f>
        <v>-5651</v>
      </c>
      <c r="AK434" s="251">
        <f t="shared" si="345"/>
        <v>-5439</v>
      </c>
      <c r="AL434" s="251">
        <f>AM434-AK434</f>
        <v>-8077</v>
      </c>
      <c r="AM434" s="252">
        <f>AM420+AM427</f>
        <v>-13516</v>
      </c>
    </row>
    <row r="435" spans="2:39">
      <c r="B435" s="246" t="str">
        <f>B266</f>
        <v>Cash / fixed interest</v>
      </c>
      <c r="X435" s="287"/>
      <c r="AA435" s="287"/>
      <c r="AD435" s="287"/>
      <c r="AE435" s="251">
        <f>AE421+AE428</f>
        <v>-2793</v>
      </c>
      <c r="AF435" s="251">
        <f>AG435-AE435</f>
        <v>704</v>
      </c>
      <c r="AG435" s="252">
        <f t="shared" si="344"/>
        <v>-2089</v>
      </c>
      <c r="AH435" s="251">
        <f t="shared" si="344"/>
        <v>1216</v>
      </c>
      <c r="AI435" s="251">
        <f>AJ435-AH435</f>
        <v>8712</v>
      </c>
      <c r="AJ435" s="252">
        <f t="shared" si="345"/>
        <v>9928</v>
      </c>
      <c r="AK435" s="251">
        <f t="shared" si="345"/>
        <v>-9557</v>
      </c>
      <c r="AL435" s="251">
        <f>AM435-AK435</f>
        <v>515</v>
      </c>
      <c r="AM435" s="252">
        <f>AM421+AM428</f>
        <v>-9042</v>
      </c>
    </row>
    <row r="436" spans="2:39">
      <c r="B436" s="246" t="str">
        <f>B267</f>
        <v>Infrastructure (was property / alternative)</v>
      </c>
      <c r="X436" s="287"/>
      <c r="AA436" s="287"/>
      <c r="AD436" s="287"/>
      <c r="AE436" s="251">
        <f>AE422+AE429</f>
        <v>131</v>
      </c>
      <c r="AF436" s="251">
        <f>AG436-AE436</f>
        <v>646</v>
      </c>
      <c r="AG436" s="252">
        <f t="shared" si="344"/>
        <v>777</v>
      </c>
      <c r="AH436" s="251">
        <f t="shared" si="344"/>
        <v>802</v>
      </c>
      <c r="AI436" s="251">
        <f>AJ436-AH436</f>
        <v>404</v>
      </c>
      <c r="AJ436" s="252">
        <f t="shared" si="345"/>
        <v>1206</v>
      </c>
      <c r="AK436" s="251">
        <f t="shared" si="345"/>
        <v>40</v>
      </c>
      <c r="AL436" s="251">
        <f>AM436-AK436</f>
        <v>74</v>
      </c>
      <c r="AM436" s="252">
        <f>AM422+AM429</f>
        <v>114</v>
      </c>
    </row>
    <row r="437" spans="2:39">
      <c r="B437" s="293" t="str">
        <f>B268</f>
        <v>Total</v>
      </c>
      <c r="C437" s="726"/>
      <c r="D437" s="726"/>
      <c r="E437" s="726"/>
      <c r="F437" s="726"/>
      <c r="G437" s="726"/>
      <c r="H437" s="726"/>
      <c r="I437" s="726"/>
      <c r="J437" s="726"/>
      <c r="K437" s="726"/>
      <c r="L437" s="726"/>
      <c r="M437" s="726"/>
      <c r="N437" s="726"/>
      <c r="O437" s="726"/>
      <c r="P437" s="726"/>
      <c r="Q437" s="726"/>
      <c r="R437" s="726"/>
      <c r="S437" s="726"/>
      <c r="T437" s="726"/>
      <c r="U437" s="726"/>
      <c r="V437" s="726"/>
      <c r="W437" s="726"/>
      <c r="X437" s="303"/>
      <c r="Y437" s="726"/>
      <c r="Z437" s="726"/>
      <c r="AA437" s="303"/>
      <c r="AB437" s="726"/>
      <c r="AC437" s="726"/>
      <c r="AD437" s="303"/>
      <c r="AE437" s="724">
        <f>SUM(AE433:AE436)</f>
        <v>-5341</v>
      </c>
      <c r="AF437" s="724">
        <f>AG437-AE437</f>
        <v>-619</v>
      </c>
      <c r="AG437" s="725">
        <f>SUM(AG433:AG436)</f>
        <v>-5960</v>
      </c>
      <c r="AH437" s="724">
        <f>SUM(AH433:AH436)</f>
        <v>-1010</v>
      </c>
      <c r="AI437" s="724">
        <f>AJ437-AH437</f>
        <v>6448</v>
      </c>
      <c r="AJ437" s="725">
        <f>SUM(AJ433:AJ436)</f>
        <v>5438</v>
      </c>
      <c r="AK437" s="724">
        <f>SUM(AK433:AK436)</f>
        <v>-13715</v>
      </c>
      <c r="AL437" s="724">
        <f>AM437-AK437</f>
        <v>-12143</v>
      </c>
      <c r="AM437" s="725">
        <f>SUM(AM433:AM436)</f>
        <v>-25858</v>
      </c>
    </row>
    <row r="438" spans="2:39">
      <c r="X438" s="287"/>
      <c r="AA438" s="287"/>
      <c r="AD438" s="287"/>
      <c r="AE438" s="251"/>
      <c r="AG438" s="252"/>
      <c r="AH438" s="251"/>
      <c r="AJ438" s="252"/>
      <c r="AK438" s="251"/>
      <c r="AM438" s="252"/>
    </row>
    <row r="439" spans="2:39">
      <c r="B439" s="243" t="s">
        <v>2574</v>
      </c>
      <c r="X439" s="287"/>
      <c r="AA439" s="287"/>
      <c r="AD439" s="287"/>
      <c r="AE439" s="251"/>
      <c r="AG439" s="252"/>
      <c r="AH439" s="251"/>
      <c r="AJ439" s="252"/>
      <c r="AK439" s="251"/>
      <c r="AM439" s="252"/>
    </row>
    <row r="440" spans="2:39">
      <c r="B440" s="246" t="str">
        <f>B264</f>
        <v>Local equities</v>
      </c>
      <c r="X440" s="287"/>
      <c r="AA440" s="287"/>
      <c r="AD440" s="287"/>
      <c r="AE440" s="251">
        <f>AE264-AE433-AD264</f>
        <v>416</v>
      </c>
      <c r="AF440" s="251">
        <f>AG440-AE440</f>
        <v>-179</v>
      </c>
      <c r="AG440" s="252">
        <f>AG264-AG433-AD264</f>
        <v>237</v>
      </c>
      <c r="AH440" s="251">
        <f>AH264-AH433-AG264</f>
        <v>2053</v>
      </c>
      <c r="AI440" s="251">
        <f>AJ440-AH440</f>
        <v>784</v>
      </c>
      <c r="AJ440" s="252">
        <f>AJ264-AJ433-AG264</f>
        <v>2837</v>
      </c>
      <c r="AK440" s="251">
        <f>AK264-AK433-AJ264</f>
        <v>2486</v>
      </c>
      <c r="AL440" s="251">
        <f>AM440-AK440</f>
        <v>1772</v>
      </c>
      <c r="AM440" s="252">
        <f>AM264-AM433-AJ264</f>
        <v>4258</v>
      </c>
    </row>
    <row r="441" spans="2:39">
      <c r="B441" s="246" t="str">
        <f>B265</f>
        <v>International equities</v>
      </c>
      <c r="X441" s="287"/>
      <c r="AA441" s="287"/>
      <c r="AC441" s="251"/>
      <c r="AD441" s="252"/>
      <c r="AE441" s="712">
        <f>AE265-AE434-AD265</f>
        <v>-468</v>
      </c>
      <c r="AF441" s="251">
        <f>AG441-AE441</f>
        <v>2568</v>
      </c>
      <c r="AG441" s="713">
        <f>AG265-AG434-AD265</f>
        <v>2100</v>
      </c>
      <c r="AH441" s="251">
        <f>AH265-AH434-AG265</f>
        <v>2158</v>
      </c>
      <c r="AI441" s="251">
        <f>AJ441-AH441</f>
        <v>7181</v>
      </c>
      <c r="AJ441" s="252">
        <f>AJ265-AJ434-AG265</f>
        <v>9339</v>
      </c>
      <c r="AK441" s="251">
        <f>AK265-AK434-AJ265</f>
        <v>9122</v>
      </c>
      <c r="AL441" s="251">
        <f>AM441-AK441</f>
        <v>3809</v>
      </c>
      <c r="AM441" s="252">
        <f>AM265-AM434-AJ265</f>
        <v>12931</v>
      </c>
    </row>
    <row r="442" spans="2:39">
      <c r="B442" s="246" t="str">
        <f>B266</f>
        <v>Cash / fixed interest</v>
      </c>
      <c r="X442" s="287"/>
      <c r="AA442" s="287"/>
      <c r="AD442" s="287"/>
      <c r="AE442" s="251">
        <f>AE266-AE435-AD266</f>
        <v>1335</v>
      </c>
      <c r="AF442" s="251">
        <f>AG442-AE442</f>
        <v>2286</v>
      </c>
      <c r="AG442" s="252">
        <f>AG266-AG435-AD266</f>
        <v>3621</v>
      </c>
      <c r="AH442" s="251">
        <f>AH266-AH435-AG266</f>
        <v>593</v>
      </c>
      <c r="AI442" s="251">
        <f>AJ442-AH442</f>
        <v>1350</v>
      </c>
      <c r="AJ442" s="252">
        <f>AJ266-AJ435-AG266</f>
        <v>1943</v>
      </c>
      <c r="AK442" s="251">
        <f>AK266-AK435-AJ266</f>
        <v>538</v>
      </c>
      <c r="AL442" s="251">
        <f>AM442-AK442</f>
        <v>1193</v>
      </c>
      <c r="AM442" s="252">
        <f>AM266-AM435-AJ266</f>
        <v>1731</v>
      </c>
    </row>
    <row r="443" spans="2:39">
      <c r="B443" s="246" t="str">
        <f>B267</f>
        <v>Infrastructure (was property / alternative)</v>
      </c>
      <c r="X443" s="287"/>
      <c r="AA443" s="287"/>
      <c r="AC443" s="251"/>
      <c r="AD443" s="252"/>
      <c r="AE443" s="712">
        <f>AE267-AE436-AD267</f>
        <v>-2862</v>
      </c>
      <c r="AF443" s="251">
        <f>AG443-AE443</f>
        <v>431</v>
      </c>
      <c r="AG443" s="713">
        <f>AG267-AG436-AD267</f>
        <v>-2431</v>
      </c>
      <c r="AH443" s="251">
        <f>AH267-AH436-AG267</f>
        <v>-306</v>
      </c>
      <c r="AI443" s="251">
        <f>AJ443-AH443</f>
        <v>441</v>
      </c>
      <c r="AJ443" s="252">
        <f>AJ267-AJ436-AG267</f>
        <v>135</v>
      </c>
      <c r="AK443" s="251">
        <f>AK267-AK436-AJ267</f>
        <v>333</v>
      </c>
      <c r="AL443" s="251">
        <f>AM443-AK443</f>
        <v>420</v>
      </c>
      <c r="AM443" s="252">
        <f>AM267-AM436-AJ267</f>
        <v>753</v>
      </c>
    </row>
    <row r="444" spans="2:39">
      <c r="B444" s="243" t="str">
        <f>B268</f>
        <v>Total</v>
      </c>
      <c r="X444" s="287"/>
      <c r="AA444" s="287"/>
      <c r="AD444" s="287"/>
      <c r="AE444" s="255">
        <f>AE268-AE437-AD268</f>
        <v>-1579</v>
      </c>
      <c r="AF444" s="255">
        <f>AG444-AE444</f>
        <v>5106</v>
      </c>
      <c r="AG444" s="256">
        <f>AG268-AG437-AD268</f>
        <v>3527</v>
      </c>
      <c r="AH444" s="255">
        <f>AH268-AH437-AG268</f>
        <v>4498</v>
      </c>
      <c r="AI444" s="255">
        <f>AJ444-AH444</f>
        <v>9756</v>
      </c>
      <c r="AJ444" s="256">
        <f>AJ268-AJ437-AG268</f>
        <v>14254</v>
      </c>
      <c r="AK444" s="255">
        <f>AK268-AK437-AJ268</f>
        <v>12479</v>
      </c>
      <c r="AL444" s="255">
        <f>AM444-AK444</f>
        <v>7194</v>
      </c>
      <c r="AM444" s="256">
        <f>AM268-AM437-AJ268</f>
        <v>19673</v>
      </c>
    </row>
    <row r="445" spans="2:39">
      <c r="X445" s="287"/>
      <c r="AA445" s="287"/>
      <c r="AD445" s="287"/>
      <c r="AG445" s="287"/>
      <c r="AH445" s="251"/>
      <c r="AJ445" s="287"/>
      <c r="AM445" s="287"/>
    </row>
    <row r="446" spans="2:39">
      <c r="B446" s="243" t="s">
        <v>2584</v>
      </c>
      <c r="X446" s="287"/>
      <c r="AA446" s="287"/>
      <c r="AD446" s="287"/>
      <c r="AG446" s="287"/>
      <c r="AH446" s="251"/>
      <c r="AJ446" s="287"/>
      <c r="AM446" s="287"/>
    </row>
    <row r="447" spans="2:39">
      <c r="B447" s="246" t="str">
        <f>B419</f>
        <v>Local equities</v>
      </c>
      <c r="X447" s="287"/>
      <c r="AA447" s="287"/>
      <c r="AD447" s="287"/>
      <c r="AE447" s="535">
        <f t="shared" ref="AE447:AF451" si="346">AE419/AD264</f>
        <v>7.2580928614108461E-2</v>
      </c>
      <c r="AF447" s="535">
        <f t="shared" si="346"/>
        <v>6.6940818880743783E-2</v>
      </c>
      <c r="AG447" s="539">
        <f>AG419/AD264</f>
        <v>0.13837826438438017</v>
      </c>
      <c r="AH447" s="535">
        <f t="shared" ref="AH447:AI451" si="347">AH419/AG264</f>
        <v>0.27290748898678413</v>
      </c>
      <c r="AI447" s="535">
        <f t="shared" si="347"/>
        <v>8.314814181681425E-2</v>
      </c>
      <c r="AJ447" s="539">
        <f>AJ419/AG264</f>
        <v>0.36218795888399413</v>
      </c>
      <c r="AK447" s="535">
        <f t="shared" ref="AK447:AL451" si="348">AK419/AJ264</f>
        <v>0.1077517314864145</v>
      </c>
      <c r="AL447" s="535">
        <f t="shared" si="348"/>
        <v>5.8710269853964867E-2</v>
      </c>
      <c r="AM447" s="539">
        <f>AM419/AJ264</f>
        <v>0.1737480021310602</v>
      </c>
    </row>
    <row r="448" spans="2:39">
      <c r="B448" s="246" t="str">
        <f>B420</f>
        <v>International equities</v>
      </c>
      <c r="X448" s="287"/>
      <c r="AA448" s="287"/>
      <c r="AD448" s="287"/>
      <c r="AE448" s="535">
        <f t="shared" si="346"/>
        <v>0.15583695652173912</v>
      </c>
      <c r="AF448" s="535">
        <f t="shared" si="346"/>
        <v>0.10965405826973428</v>
      </c>
      <c r="AG448" s="539">
        <f>AG420/AD265</f>
        <v>0.26281521739130437</v>
      </c>
      <c r="AH448" s="535">
        <f t="shared" si="347"/>
        <v>0.10741474147414741</v>
      </c>
      <c r="AI448" s="535">
        <f t="shared" si="347"/>
        <v>9.4511179696693828E-2</v>
      </c>
      <c r="AJ448" s="539">
        <f>AJ420/AG265</f>
        <v>0.20106710671067107</v>
      </c>
      <c r="AK448" s="535">
        <f t="shared" si="348"/>
        <v>0.13713156002875629</v>
      </c>
      <c r="AL448" s="535">
        <f t="shared" si="348"/>
        <v>7.9036541807857866E-2</v>
      </c>
      <c r="AM448" s="539">
        <f>AM420/AJ265</f>
        <v>0.2192455702626126</v>
      </c>
    </row>
    <row r="449" spans="2:39">
      <c r="B449" s="246" t="str">
        <f>B421</f>
        <v>Cash / fixed interest</v>
      </c>
      <c r="X449" s="287"/>
      <c r="AA449" s="287"/>
      <c r="AD449" s="287"/>
      <c r="AE449" s="535">
        <f t="shared" si="346"/>
        <v>0.32222647597692033</v>
      </c>
      <c r="AF449" s="535">
        <f t="shared" si="346"/>
        <v>0.43369140625000002</v>
      </c>
      <c r="AG449" s="539">
        <f>AG421/AD266</f>
        <v>0.74727227979983046</v>
      </c>
      <c r="AH449" s="535">
        <f t="shared" si="347"/>
        <v>0.36068032677112627</v>
      </c>
      <c r="AI449" s="535">
        <f t="shared" si="347"/>
        <v>0.41179931745969484</v>
      </c>
      <c r="AJ449" s="539">
        <f>AJ421/AG266</f>
        <v>0.78245614035087718</v>
      </c>
      <c r="AK449" s="535">
        <f t="shared" si="348"/>
        <v>0.26171410083082008</v>
      </c>
      <c r="AL449" s="535">
        <f t="shared" si="348"/>
        <v>0.33485978173937719</v>
      </c>
      <c r="AM449" s="539">
        <f>AM421/AJ266</f>
        <v>0.56167596861603175</v>
      </c>
    </row>
    <row r="450" spans="2:39">
      <c r="B450" s="246" t="str">
        <f>B422</f>
        <v>Infrastructure (was property / alternative)</v>
      </c>
      <c r="X450" s="287"/>
      <c r="AA450" s="287"/>
      <c r="AD450" s="287"/>
      <c r="AE450" s="535">
        <f t="shared" si="346"/>
        <v>2.7975288495162606E-2</v>
      </c>
      <c r="AF450" s="535">
        <f t="shared" si="346"/>
        <v>0.1374829001367989</v>
      </c>
      <c r="AG450" s="539">
        <f>AG422/AD267</f>
        <v>0.12169250495395734</v>
      </c>
      <c r="AH450" s="535">
        <f t="shared" si="347"/>
        <v>0.22628158844765342</v>
      </c>
      <c r="AI450" s="535">
        <f t="shared" si="347"/>
        <v>5.9964964290526883E-2</v>
      </c>
      <c r="AJ450" s="539">
        <f>AJ422/AG267</f>
        <v>0.29054151624548735</v>
      </c>
      <c r="AK450" s="535">
        <f t="shared" si="348"/>
        <v>2.0324219695136706E-2</v>
      </c>
      <c r="AL450" s="535">
        <f t="shared" si="348"/>
        <v>7.6050468804259752E-2</v>
      </c>
      <c r="AM450" s="539">
        <f>AM422/AJ267</f>
        <v>9.9806436002903454E-2</v>
      </c>
    </row>
    <row r="451" spans="2:39">
      <c r="B451" s="243" t="str">
        <f>B423</f>
        <v>Total</v>
      </c>
      <c r="X451" s="287"/>
      <c r="AA451" s="287"/>
      <c r="AD451" s="287"/>
      <c r="AE451" s="648">
        <f t="shared" si="346"/>
        <v>0.19888904277630484</v>
      </c>
      <c r="AF451" s="648">
        <f t="shared" si="346"/>
        <v>0.22333135294599687</v>
      </c>
      <c r="AG451" s="649">
        <f>AG423/AD268</f>
        <v>0.41457599620117924</v>
      </c>
      <c r="AH451" s="648">
        <f t="shared" si="347"/>
        <v>0.22878814429118582</v>
      </c>
      <c r="AI451" s="648">
        <f t="shared" si="347"/>
        <v>0.21101942201424051</v>
      </c>
      <c r="AJ451" s="649">
        <f>AJ423/AG268</f>
        <v>0.44349262773174458</v>
      </c>
      <c r="AK451" s="648">
        <f t="shared" si="348"/>
        <v>0.17784502362972651</v>
      </c>
      <c r="AL451" s="648">
        <f t="shared" si="348"/>
        <v>0.16666590280992341</v>
      </c>
      <c r="AM451" s="649">
        <f>AM423/AJ268</f>
        <v>0.34357212193576908</v>
      </c>
    </row>
    <row r="452" spans="2:39">
      <c r="X452" s="287"/>
      <c r="AA452" s="287"/>
      <c r="AD452" s="287"/>
      <c r="AG452" s="287"/>
      <c r="AJ452" s="287"/>
      <c r="AM452" s="287"/>
    </row>
    <row r="453" spans="2:39">
      <c r="B453" s="243" t="s">
        <v>2585</v>
      </c>
      <c r="X453" s="287"/>
      <c r="AA453" s="287"/>
      <c r="AD453" s="287"/>
      <c r="AG453" s="287"/>
      <c r="AJ453" s="287"/>
      <c r="AM453" s="287"/>
    </row>
    <row r="454" spans="2:39">
      <c r="B454" s="246" t="str">
        <f>B426</f>
        <v>Local equities</v>
      </c>
      <c r="X454" s="287"/>
      <c r="AA454" s="287"/>
      <c r="AD454" s="287"/>
      <c r="AE454" s="535">
        <f t="shared" ref="AE454:AF458" si="349">AE426/AD264</f>
        <v>-0.10428455941794665</v>
      </c>
      <c r="AF454" s="535">
        <f t="shared" si="349"/>
        <v>-8.6465224387627396E-2</v>
      </c>
      <c r="AG454" s="539">
        <f>AG426/AD264</f>
        <v>-0.18927278478788093</v>
      </c>
      <c r="AH454" s="535">
        <f t="shared" ref="AH454:AI458" si="350">AH426/AG264</f>
        <v>-0.27452276064610864</v>
      </c>
      <c r="AI454" s="535">
        <f t="shared" si="350"/>
        <v>-8.3182331019863928E-2</v>
      </c>
      <c r="AJ454" s="539">
        <f>AJ426/AG264</f>
        <v>-0.36383994126284874</v>
      </c>
      <c r="AK454" s="535">
        <f t="shared" ref="AK454:AL458" si="351">AK426/AJ264</f>
        <v>-6.6429142248268513E-2</v>
      </c>
      <c r="AL454" s="535">
        <f t="shared" si="351"/>
        <v>-0.19659942533842828</v>
      </c>
      <c r="AM454" s="539">
        <f>AM426/AJ264</f>
        <v>-0.28742674480554076</v>
      </c>
    </row>
    <row r="455" spans="2:39">
      <c r="B455" s="246" t="str">
        <f>B427</f>
        <v>International equities</v>
      </c>
      <c r="X455" s="287"/>
      <c r="AA455" s="287"/>
      <c r="AD455" s="287"/>
      <c r="AE455" s="535">
        <f t="shared" si="349"/>
        <v>-0.17515217391304347</v>
      </c>
      <c r="AF455" s="535">
        <f t="shared" si="349"/>
        <v>-0.12550832822683974</v>
      </c>
      <c r="AG455" s="539">
        <f>AG427/AD265</f>
        <v>-0.29759782608695651</v>
      </c>
      <c r="AH455" s="535">
        <f t="shared" si="350"/>
        <v>-0.14024202420242024</v>
      </c>
      <c r="AI455" s="535">
        <f t="shared" si="350"/>
        <v>-0.12412016786198014</v>
      </c>
      <c r="AJ455" s="539">
        <f>AJ427/AG265</f>
        <v>-0.26323432343234321</v>
      </c>
      <c r="AK455" s="535">
        <f t="shared" si="351"/>
        <v>-0.19463356874022075</v>
      </c>
      <c r="AL455" s="535">
        <f t="shared" si="351"/>
        <v>-0.16122762564744431</v>
      </c>
      <c r="AM455" s="539">
        <f>AM427/AJ265</f>
        <v>-0.36213896054467798</v>
      </c>
    </row>
    <row r="456" spans="2:39">
      <c r="B456" s="246" t="str">
        <f>B428</f>
        <v>Cash / fixed interest</v>
      </c>
      <c r="X456" s="287"/>
      <c r="AA456" s="287"/>
      <c r="AD456" s="287"/>
      <c r="AE456" s="535">
        <f t="shared" si="349"/>
        <v>-0.36041455877929396</v>
      </c>
      <c r="AF456" s="535">
        <f t="shared" si="349"/>
        <v>-0.42386997767857143</v>
      </c>
      <c r="AG456" s="539">
        <f>AG428/AD266</f>
        <v>-0.7758347233996008</v>
      </c>
      <c r="AH456" s="535">
        <f t="shared" si="350"/>
        <v>-0.3443953394937726</v>
      </c>
      <c r="AI456" s="535">
        <f t="shared" si="350"/>
        <v>-0.29788569411210919</v>
      </c>
      <c r="AJ456" s="539">
        <f>AJ428/AG266</f>
        <v>-0.64949779027721977</v>
      </c>
      <c r="AK456" s="535">
        <f t="shared" si="351"/>
        <v>-0.37214730590124911</v>
      </c>
      <c r="AL456" s="535">
        <f t="shared" si="351"/>
        <v>-0.32821650628208765</v>
      </c>
      <c r="AM456" s="539">
        <f>AM428/AJ266</f>
        <v>-0.66615823713615507</v>
      </c>
    </row>
    <row r="457" spans="2:39">
      <c r="B457" s="246" t="str">
        <f>B429</f>
        <v>Infrastructure (was property / alternative)</v>
      </c>
      <c r="X457" s="287"/>
      <c r="AA457" s="287"/>
      <c r="AD457" s="287"/>
      <c r="AE457" s="535">
        <f t="shared" si="349"/>
        <v>-1.270544352488635E-2</v>
      </c>
      <c r="AF457" s="535">
        <f t="shared" si="349"/>
        <v>-2.7017783857729138E-2</v>
      </c>
      <c r="AG457" s="539">
        <f>AG429/AD267</f>
        <v>-3.1122508450868398E-2</v>
      </c>
      <c r="AH457" s="535">
        <f t="shared" si="350"/>
        <v>-0.11046931407942238</v>
      </c>
      <c r="AI457" s="535">
        <f t="shared" si="350"/>
        <v>-5.5248618784530384E-3</v>
      </c>
      <c r="AJ457" s="539">
        <f>AJ429/AG267</f>
        <v>-0.1163898916967509</v>
      </c>
      <c r="AK457" s="535">
        <f t="shared" si="351"/>
        <v>-1.5485119767723203E-2</v>
      </c>
      <c r="AL457" s="535">
        <f t="shared" si="351"/>
        <v>-6.7484662576687116E-2</v>
      </c>
      <c r="AM457" s="539">
        <f>AM429/AJ267</f>
        <v>-8.6015001209774983E-2</v>
      </c>
    </row>
    <row r="458" spans="2:39">
      <c r="B458" s="243" t="str">
        <f>B430</f>
        <v>Total</v>
      </c>
      <c r="X458" s="287"/>
      <c r="AA458" s="287"/>
      <c r="AD458" s="287"/>
      <c r="AE458" s="648">
        <f t="shared" si="349"/>
        <v>-0.22530766491235013</v>
      </c>
      <c r="AF458" s="648">
        <f t="shared" si="349"/>
        <v>-0.22650167991477504</v>
      </c>
      <c r="AG458" s="649">
        <f>AG430/AD268</f>
        <v>-0.44405642831704323</v>
      </c>
      <c r="AH458" s="648">
        <f t="shared" si="350"/>
        <v>-0.23384484441885497</v>
      </c>
      <c r="AI458" s="648">
        <f t="shared" si="350"/>
        <v>-0.17929072988785719</v>
      </c>
      <c r="AJ458" s="649">
        <f>AJ430/AG268</f>
        <v>-0.41626655318296746</v>
      </c>
      <c r="AK458" s="648">
        <f t="shared" si="351"/>
        <v>-0.2403487264557233</v>
      </c>
      <c r="AL458" s="648">
        <f t="shared" si="351"/>
        <v>-0.22231897740970066</v>
      </c>
      <c r="AM458" s="649">
        <f>AM430/AJ268</f>
        <v>-0.46141541378226014</v>
      </c>
    </row>
    <row r="459" spans="2:39">
      <c r="X459" s="287"/>
      <c r="AA459" s="287"/>
      <c r="AD459" s="287"/>
      <c r="AG459" s="287"/>
      <c r="AJ459" s="287"/>
      <c r="AM459" s="287"/>
    </row>
    <row r="460" spans="2:39">
      <c r="B460" s="243" t="s">
        <v>2586</v>
      </c>
      <c r="X460" s="287"/>
      <c r="AA460" s="287"/>
      <c r="AD460" s="287"/>
      <c r="AG460" s="287"/>
      <c r="AJ460" s="287"/>
      <c r="AM460" s="287"/>
    </row>
    <row r="461" spans="2:39">
      <c r="B461" s="246" t="str">
        <f>B433</f>
        <v>Local equities</v>
      </c>
      <c r="X461" s="287"/>
      <c r="AA461" s="287"/>
      <c r="AD461" s="287"/>
      <c r="AE461" s="535">
        <f t="shared" ref="AE461:AF465" si="352">AE433/AD264</f>
        <v>-3.170363080383818E-2</v>
      </c>
      <c r="AF461" s="535">
        <f t="shared" si="352"/>
        <v>-1.9524405506883606E-2</v>
      </c>
      <c r="AG461" s="539">
        <f>AG433/AD264</f>
        <v>-5.0894520403500752E-2</v>
      </c>
      <c r="AH461" s="535">
        <f t="shared" ref="AH461:AI465" si="353">AH433/AG264</f>
        <v>-1.6152716593245229E-3</v>
      </c>
      <c r="AI461" s="535">
        <f t="shared" si="353"/>
        <v>-3.4189203049676913E-5</v>
      </c>
      <c r="AJ461" s="539">
        <f>AJ433/AG264</f>
        <v>-1.6519823788546256E-3</v>
      </c>
      <c r="AK461" s="535">
        <f t="shared" ref="AK461:AL465" si="354">AK433/AJ264</f>
        <v>4.1322589238145975E-2</v>
      </c>
      <c r="AL461" s="535">
        <f t="shared" si="354"/>
        <v>-0.1378891554844634</v>
      </c>
      <c r="AM461" s="539">
        <f>AM433/AJ264</f>
        <v>-0.11367874267448055</v>
      </c>
    </row>
    <row r="462" spans="2:39">
      <c r="B462" s="246" t="str">
        <f>B434</f>
        <v>International equities</v>
      </c>
      <c r="X462" s="287"/>
      <c r="AA462" s="287"/>
      <c r="AD462" s="287"/>
      <c r="AE462" s="535">
        <f t="shared" si="352"/>
        <v>-1.9315217391304349E-2</v>
      </c>
      <c r="AF462" s="535">
        <f t="shared" si="352"/>
        <v>-1.5854269957105455E-2</v>
      </c>
      <c r="AG462" s="539">
        <f>AG434/AD265</f>
        <v>-3.4782608695652174E-2</v>
      </c>
      <c r="AH462" s="535">
        <f t="shared" si="353"/>
        <v>-3.282728272827283E-2</v>
      </c>
      <c r="AI462" s="535">
        <f t="shared" si="353"/>
        <v>-2.9608988165286319E-2</v>
      </c>
      <c r="AJ462" s="539">
        <f>AJ434/AG265</f>
        <v>-6.2167216721672164E-2</v>
      </c>
      <c r="AK462" s="535">
        <f t="shared" si="354"/>
        <v>-5.7502008711464457E-2</v>
      </c>
      <c r="AL462" s="535">
        <f t="shared" si="354"/>
        <v>-8.2191083839586454E-2</v>
      </c>
      <c r="AM462" s="539">
        <f>AM434/AJ265</f>
        <v>-0.14289339028206538</v>
      </c>
    </row>
    <row r="463" spans="2:39">
      <c r="B463" s="246" t="str">
        <f>B435</f>
        <v>Cash / fixed interest</v>
      </c>
      <c r="X463" s="287"/>
      <c r="AA463" s="287"/>
      <c r="AD463" s="287"/>
      <c r="AE463" s="535">
        <f t="shared" si="352"/>
        <v>-3.8188082802373596E-2</v>
      </c>
      <c r="AF463" s="535">
        <f t="shared" si="352"/>
        <v>9.8214285714285712E-3</v>
      </c>
      <c r="AG463" s="539">
        <f>AG435/AD266</f>
        <v>-2.8562443599770296E-2</v>
      </c>
      <c r="AH463" s="535">
        <f t="shared" si="353"/>
        <v>1.6284987277353689E-2</v>
      </c>
      <c r="AI463" s="535">
        <f t="shared" si="353"/>
        <v>0.11391362334758562</v>
      </c>
      <c r="AJ463" s="539">
        <f>AJ435/AG266</f>
        <v>0.13295835007365742</v>
      </c>
      <c r="AK463" s="535">
        <f t="shared" si="354"/>
        <v>-0.11043320507042904</v>
      </c>
      <c r="AL463" s="535">
        <f t="shared" si="354"/>
        <v>6.6432754572895436E-3</v>
      </c>
      <c r="AM463" s="539">
        <f>AM435/AJ266</f>
        <v>-0.10448226852012341</v>
      </c>
    </row>
    <row r="464" spans="2:39">
      <c r="B464" s="246" t="str">
        <f>B436</f>
        <v>Infrastructure (was property / alternative)</v>
      </c>
      <c r="X464" s="287"/>
      <c r="AA464" s="287"/>
      <c r="AD464" s="287"/>
      <c r="AE464" s="535">
        <f t="shared" si="352"/>
        <v>1.5269844970276256E-2</v>
      </c>
      <c r="AF464" s="535">
        <f t="shared" si="352"/>
        <v>0.11046511627906977</v>
      </c>
      <c r="AG464" s="539">
        <f>AG436/AD267</f>
        <v>9.0569996503088931E-2</v>
      </c>
      <c r="AH464" s="535">
        <f t="shared" si="353"/>
        <v>0.11581227436823105</v>
      </c>
      <c r="AI464" s="535">
        <f t="shared" si="353"/>
        <v>5.4440102412073844E-2</v>
      </c>
      <c r="AJ464" s="539">
        <f>AJ436/AG267</f>
        <v>0.17415162454873645</v>
      </c>
      <c r="AK464" s="535">
        <f t="shared" si="354"/>
        <v>4.8390999274135014E-3</v>
      </c>
      <c r="AL464" s="535">
        <f t="shared" si="354"/>
        <v>8.5658062275726365E-3</v>
      </c>
      <c r="AM464" s="539">
        <f>AM436/AJ267</f>
        <v>1.3791434793128478E-2</v>
      </c>
    </row>
    <row r="465" spans="2:39">
      <c r="B465" s="293" t="str">
        <f>B437</f>
        <v>Total</v>
      </c>
      <c r="C465" s="726"/>
      <c r="D465" s="726"/>
      <c r="E465" s="726"/>
      <c r="F465" s="726"/>
      <c r="G465" s="726"/>
      <c r="H465" s="726"/>
      <c r="I465" s="726"/>
      <c r="J465" s="726"/>
      <c r="K465" s="726"/>
      <c r="L465" s="726"/>
      <c r="M465" s="726"/>
      <c r="N465" s="726"/>
      <c r="O465" s="726"/>
      <c r="P465" s="726"/>
      <c r="Q465" s="726"/>
      <c r="R465" s="726"/>
      <c r="S465" s="726"/>
      <c r="T465" s="726"/>
      <c r="U465" s="726"/>
      <c r="V465" s="726"/>
      <c r="W465" s="726"/>
      <c r="X465" s="303"/>
      <c r="Y465" s="726"/>
      <c r="Z465" s="726"/>
      <c r="AA465" s="303"/>
      <c r="AB465" s="726"/>
      <c r="AC465" s="726"/>
      <c r="AD465" s="303"/>
      <c r="AE465" s="736">
        <f t="shared" si="352"/>
        <v>-2.6418622136045268E-2</v>
      </c>
      <c r="AF465" s="736">
        <f t="shared" si="352"/>
        <v>-3.1703269687781695E-3</v>
      </c>
      <c r="AG465" s="737">
        <f>AG437/AD268</f>
        <v>-2.9480432115864035E-2</v>
      </c>
      <c r="AH465" s="736">
        <f t="shared" si="353"/>
        <v>-5.0567001276691616E-3</v>
      </c>
      <c r="AI465" s="736">
        <f t="shared" si="353"/>
        <v>3.172869212638333E-2</v>
      </c>
      <c r="AJ465" s="737">
        <f>AJ437/AG268</f>
        <v>2.7226074548777131E-2</v>
      </c>
      <c r="AK465" s="736">
        <f t="shared" si="354"/>
        <v>-6.2503702825996807E-2</v>
      </c>
      <c r="AL465" s="736">
        <f t="shared" si="354"/>
        <v>-5.5653074599777259E-2</v>
      </c>
      <c r="AM465" s="737">
        <f>AM437/AJ268</f>
        <v>-0.11784329184649109</v>
      </c>
    </row>
    <row r="466" spans="2:39">
      <c r="X466" s="287"/>
      <c r="AA466" s="287"/>
      <c r="AD466" s="287"/>
      <c r="AE466" s="535"/>
      <c r="AF466" s="535"/>
      <c r="AG466" s="539"/>
      <c r="AH466" s="535"/>
      <c r="AI466" s="535"/>
      <c r="AJ466" s="539"/>
      <c r="AK466" s="535"/>
      <c r="AL466" s="535"/>
      <c r="AM466" s="539"/>
    </row>
    <row r="467" spans="2:39">
      <c r="B467" s="243" t="s">
        <v>2587</v>
      </c>
      <c r="X467" s="287"/>
      <c r="AA467" s="287"/>
      <c r="AD467" s="287"/>
      <c r="AE467" s="535"/>
      <c r="AF467" s="535"/>
      <c r="AG467" s="539"/>
      <c r="AH467" s="535"/>
      <c r="AI467" s="535"/>
      <c r="AJ467" s="539"/>
      <c r="AK467" s="535"/>
      <c r="AL467" s="535"/>
      <c r="AM467" s="539"/>
    </row>
    <row r="468" spans="2:39">
      <c r="B468" s="246" t="str">
        <f>B440</f>
        <v>Local equities</v>
      </c>
      <c r="X468" s="287"/>
      <c r="AA468" s="287"/>
      <c r="AD468" s="287"/>
      <c r="AE468" s="535">
        <f t="shared" ref="AE468:AF472" si="355">AE440/AD264</f>
        <v>1.4621630171171488E-2</v>
      </c>
      <c r="AF468" s="535">
        <f t="shared" si="355"/>
        <v>-6.400858215626676E-3</v>
      </c>
      <c r="AG468" s="539">
        <f>AG440/AD264</f>
        <v>8.330111419633756E-3</v>
      </c>
      <c r="AH468" s="535">
        <f t="shared" ref="AH468:AI472" si="356">AH440/AG264</f>
        <v>7.5367107195301028E-2</v>
      </c>
      <c r="AI468" s="535">
        <f t="shared" si="356"/>
        <v>2.6804335190946698E-2</v>
      </c>
      <c r="AJ468" s="539">
        <f>AJ440/AG264</f>
        <v>0.10414831130690161</v>
      </c>
      <c r="AK468" s="535">
        <f t="shared" ref="AK468:AL472" si="357">AK440/AJ264</f>
        <v>8.2778369738945132E-2</v>
      </c>
      <c r="AL468" s="535">
        <f t="shared" si="357"/>
        <v>5.2489706448650732E-2</v>
      </c>
      <c r="AM468" s="539">
        <f>AM440/AJ264</f>
        <v>0.14178209909429942</v>
      </c>
    </row>
    <row r="469" spans="2:39">
      <c r="B469" s="246" t="str">
        <f>B441</f>
        <v>International equities</v>
      </c>
      <c r="X469" s="287"/>
      <c r="AA469" s="287"/>
      <c r="AD469" s="287"/>
      <c r="AE469" s="714">
        <f t="shared" si="355"/>
        <v>-5.0869565217391303E-3</v>
      </c>
      <c r="AF469" s="535">
        <f t="shared" si="355"/>
        <v>2.8611219430672387E-2</v>
      </c>
      <c r="AG469" s="715">
        <f>AG441/AD265</f>
        <v>2.2826086956521739E-2</v>
      </c>
      <c r="AH469" s="535">
        <f t="shared" si="356"/>
        <v>2.3740374037403741E-2</v>
      </c>
      <c r="AI469" s="535">
        <f t="shared" si="356"/>
        <v>7.9723338588271866E-2</v>
      </c>
      <c r="AJ469" s="539">
        <f>AJ441/AG265</f>
        <v>0.10273927392739274</v>
      </c>
      <c r="AK469" s="535">
        <f t="shared" si="357"/>
        <v>9.6439294625111013E-2</v>
      </c>
      <c r="AL469" s="535">
        <f t="shared" si="357"/>
        <v>3.8760163222110289E-2</v>
      </c>
      <c r="AM469" s="539">
        <f>AM441/AJ265</f>
        <v>0.1367086734046602</v>
      </c>
    </row>
    <row r="470" spans="2:39">
      <c r="B470" s="246" t="str">
        <f>B442</f>
        <v>Cash / fixed interest</v>
      </c>
      <c r="X470" s="287"/>
      <c r="AA470" s="287"/>
      <c r="AD470" s="287"/>
      <c r="AE470" s="535">
        <f t="shared" si="355"/>
        <v>1.8253165249254834E-2</v>
      </c>
      <c r="AF470" s="535">
        <f t="shared" si="355"/>
        <v>3.1891741071428573E-2</v>
      </c>
      <c r="AG470" s="539">
        <f>AG442/AD266</f>
        <v>4.9509147091799065E-2</v>
      </c>
      <c r="AH470" s="535">
        <f t="shared" si="356"/>
        <v>7.9416097495647511E-3</v>
      </c>
      <c r="AI470" s="535">
        <f t="shared" si="356"/>
        <v>1.7651904444357276E-2</v>
      </c>
      <c r="AJ470" s="539">
        <f>AJ442/AG266</f>
        <v>2.6021159769653142E-2</v>
      </c>
      <c r="AK470" s="535">
        <f t="shared" si="357"/>
        <v>6.2167065321639455E-3</v>
      </c>
      <c r="AL470" s="535">
        <f t="shared" si="357"/>
        <v>1.5389179845721215E-2</v>
      </c>
      <c r="AM470" s="539">
        <f>AM442/AJ266</f>
        <v>2.0002079938988455E-2</v>
      </c>
    </row>
    <row r="471" spans="2:39">
      <c r="B471" s="246" t="str">
        <f>B443</f>
        <v>Infrastructure (was property / alternative)</v>
      </c>
      <c r="X471" s="287"/>
      <c r="AA471" s="287"/>
      <c r="AD471" s="287"/>
      <c r="AE471" s="714">
        <f t="shared" si="355"/>
        <v>-0.33360531530481408</v>
      </c>
      <c r="AF471" s="535">
        <f t="shared" si="355"/>
        <v>7.370041039671682E-2</v>
      </c>
      <c r="AG471" s="715">
        <f>AG443/AD267</f>
        <v>-0.28336635971558455</v>
      </c>
      <c r="AH471" s="535">
        <f t="shared" si="356"/>
        <v>-4.4187725631768954E-2</v>
      </c>
      <c r="AI471" s="535">
        <f t="shared" si="356"/>
        <v>5.9425953375555854E-2</v>
      </c>
      <c r="AJ471" s="539">
        <f>AJ443/AG267</f>
        <v>1.9494584837545126E-2</v>
      </c>
      <c r="AK471" s="535">
        <f t="shared" si="357"/>
        <v>4.0285506895717395E-2</v>
      </c>
      <c r="AL471" s="535">
        <f t="shared" si="357"/>
        <v>4.8616738048385233E-2</v>
      </c>
      <c r="AM471" s="539">
        <f>AM443/AJ267</f>
        <v>9.1096056133559158E-2</v>
      </c>
    </row>
    <row r="472" spans="2:39">
      <c r="B472" s="243" t="str">
        <f>B444</f>
        <v>Total</v>
      </c>
      <c r="X472" s="287"/>
      <c r="AA472" s="287"/>
      <c r="AD472" s="287"/>
      <c r="AE472" s="648">
        <f t="shared" si="355"/>
        <v>-7.8103359582129715E-3</v>
      </c>
      <c r="AF472" s="648">
        <f t="shared" si="355"/>
        <v>2.6151356223879374E-2</v>
      </c>
      <c r="AG472" s="649">
        <f>AG444/AD268</f>
        <v>1.7445886589371216E-2</v>
      </c>
      <c r="AH472" s="648">
        <f t="shared" si="356"/>
        <v>2.2519838786391969E-2</v>
      </c>
      <c r="AI472" s="648">
        <f t="shared" si="356"/>
        <v>4.8006377230923665E-2</v>
      </c>
      <c r="AJ472" s="649">
        <f>AJ444/AG268</f>
        <v>7.1364558039402212E-2</v>
      </c>
      <c r="AK472" s="648">
        <f t="shared" si="357"/>
        <v>5.6870849986555894E-2</v>
      </c>
      <c r="AL472" s="648">
        <f t="shared" si="357"/>
        <v>3.2971112465683738E-2</v>
      </c>
      <c r="AM472" s="649">
        <f>AM444/AJ268</f>
        <v>8.9656241027767772E-2</v>
      </c>
    </row>
    <row r="473" spans="2:39">
      <c r="B473" s="243"/>
      <c r="X473" s="287"/>
      <c r="AA473" s="287"/>
      <c r="AD473" s="287"/>
      <c r="AE473" s="648"/>
      <c r="AF473" s="648"/>
      <c r="AG473" s="649"/>
      <c r="AH473" s="648"/>
      <c r="AI473" s="648"/>
      <c r="AJ473" s="649"/>
      <c r="AK473" s="648"/>
    </row>
    <row r="474" spans="2:39">
      <c r="B474" s="243"/>
      <c r="X474" s="287"/>
      <c r="AA474" s="287"/>
      <c r="AD474" s="287"/>
      <c r="AE474" s="648"/>
      <c r="AF474" s="648"/>
      <c r="AG474" s="649"/>
      <c r="AH474" s="648"/>
      <c r="AI474" s="648"/>
      <c r="AJ474" s="649"/>
      <c r="AK474" s="648"/>
    </row>
    <row r="475" spans="2:39">
      <c r="B475" s="243"/>
      <c r="X475" s="287"/>
      <c r="AA475" s="287"/>
      <c r="AD475" s="287"/>
      <c r="AE475" s="648"/>
      <c r="AF475" s="648"/>
      <c r="AG475" s="649"/>
      <c r="AH475" s="648"/>
      <c r="AI475" s="648"/>
      <c r="AJ475" s="649"/>
      <c r="AK475" s="648"/>
    </row>
    <row r="476" spans="2:39">
      <c r="B476" s="243"/>
      <c r="X476" s="287"/>
      <c r="AA476" s="287"/>
      <c r="AD476" s="287"/>
      <c r="AE476" s="648"/>
      <c r="AF476" s="648"/>
      <c r="AG476" s="649"/>
      <c r="AH476" s="648"/>
      <c r="AI476" s="648"/>
      <c r="AJ476" s="649"/>
      <c r="AK476" s="648"/>
    </row>
    <row r="477" spans="2:39">
      <c r="B477" s="243"/>
      <c r="X477" s="287"/>
      <c r="AA477" s="287"/>
      <c r="AD477" s="287"/>
      <c r="AE477" s="648"/>
      <c r="AF477" s="648"/>
      <c r="AG477" s="649"/>
      <c r="AH477" s="648"/>
      <c r="AI477" s="648"/>
      <c r="AJ477" s="649"/>
      <c r="AK477" s="648"/>
    </row>
    <row r="478" spans="2:39">
      <c r="B478" s="243"/>
      <c r="X478" s="287"/>
      <c r="AA478" s="287"/>
      <c r="AD478" s="287"/>
      <c r="AE478" s="648"/>
      <c r="AF478" s="648"/>
      <c r="AG478" s="649"/>
      <c r="AH478" s="648"/>
      <c r="AI478" s="648"/>
      <c r="AJ478" s="649"/>
      <c r="AK478" s="648"/>
    </row>
    <row r="479" spans="2:39">
      <c r="B479" s="243"/>
      <c r="X479" s="287"/>
      <c r="AA479" s="287"/>
      <c r="AD479" s="287"/>
      <c r="AE479" s="648"/>
      <c r="AF479" s="648"/>
      <c r="AG479" s="649"/>
      <c r="AH479" s="648"/>
      <c r="AI479" s="648"/>
      <c r="AJ479" s="649"/>
      <c r="AK479" s="648"/>
    </row>
    <row r="480" spans="2:39">
      <c r="B480" s="243"/>
      <c r="X480" s="287"/>
      <c r="AA480" s="287"/>
      <c r="AD480" s="287"/>
      <c r="AE480" s="648"/>
      <c r="AF480" s="648"/>
      <c r="AG480" s="649"/>
      <c r="AH480" s="648"/>
      <c r="AI480" s="648"/>
      <c r="AJ480" s="649"/>
      <c r="AK480" s="648"/>
    </row>
    <row r="481" spans="2:37">
      <c r="B481" s="243"/>
      <c r="X481" s="287"/>
      <c r="AA481" s="287"/>
      <c r="AD481" s="287"/>
      <c r="AE481" s="648"/>
      <c r="AF481" s="648"/>
      <c r="AG481" s="649"/>
      <c r="AH481" s="648"/>
      <c r="AI481" s="648"/>
      <c r="AJ481" s="649"/>
      <c r="AK481" s="648"/>
    </row>
    <row r="482" spans="2:37">
      <c r="B482" s="243"/>
      <c r="X482" s="287"/>
      <c r="AA482" s="287"/>
      <c r="AD482" s="287"/>
      <c r="AE482" s="648"/>
      <c r="AF482" s="648"/>
      <c r="AG482" s="649"/>
      <c r="AH482" s="648"/>
      <c r="AI482" s="648"/>
      <c r="AJ482" s="649"/>
      <c r="AK482" s="648"/>
    </row>
    <row r="483" spans="2:37">
      <c r="B483" s="243"/>
      <c r="X483" s="287"/>
      <c r="AA483" s="287"/>
      <c r="AD483" s="287"/>
      <c r="AE483" s="648"/>
      <c r="AF483" s="648"/>
      <c r="AG483" s="649"/>
      <c r="AH483" s="648"/>
      <c r="AI483" s="648"/>
      <c r="AJ483" s="649"/>
      <c r="AK483" s="648"/>
    </row>
    <row r="484" spans="2:37">
      <c r="B484" s="243"/>
      <c r="X484" s="287"/>
      <c r="AA484" s="287"/>
      <c r="AD484" s="287"/>
      <c r="AE484" s="648"/>
      <c r="AF484" s="648"/>
      <c r="AG484" s="649"/>
      <c r="AH484" s="648"/>
      <c r="AI484" s="648"/>
      <c r="AJ484" s="649"/>
      <c r="AK484" s="648"/>
    </row>
    <row r="485" spans="2:37">
      <c r="X485" s="287"/>
      <c r="AA485" s="287"/>
      <c r="AD485" s="287"/>
      <c r="AG485" s="287"/>
      <c r="AJ485" s="287"/>
    </row>
    <row r="486" spans="2:37">
      <c r="AI486" s="251"/>
      <c r="AK486" s="251"/>
    </row>
    <row r="487" spans="2:37">
      <c r="AI487" s="251"/>
    </row>
    <row r="488" spans="2:37">
      <c r="AI488" s="251"/>
    </row>
    <row r="489" spans="2:37">
      <c r="AI489" s="251"/>
    </row>
    <row r="490" spans="2:37">
      <c r="AI490" s="251"/>
    </row>
  </sheetData>
  <pageMargins left="0.75" right="0.75" top="1" bottom="1" header="0.5" footer="0.5"/>
  <pageSetup paperSize="9" scale="59" fitToHeight="5" orientation="landscape" r:id="rId1"/>
  <headerFooter alignWithMargins="0"/>
  <rowBreaks count="2" manualBreakCount="2">
    <brk id="38" max="26" man="1"/>
    <brk id="63" max="26" man="1"/>
  </rowBreaks>
  <colBreaks count="1" manualBreakCount="1">
    <brk id="24" max="374" man="1"/>
  </colBreaks>
  <customProperties>
    <customPr name="Qube.Worksheet.Visibility" r:id="rId2"/>
    <customPr name="SHEET_UNIQUE_ID" r:id="rId3"/>
  </customProperties>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555E583-43AF-4CCD-92A7-C01F554B7E98}">
  <ds:schemaRefs>
    <ds:schemaRef ds:uri="http://www.w3.org/2001/XMLSchema"/>
    <ds:schemaRef ds:uri="Exchange-SubmissionSheetWrapper"/>
  </ds:schemaRefs>
</ds:datastoreItem>
</file>

<file path=docMetadata/LabelInfo.xml><?xml version="1.0" encoding="utf-8"?>
<clbl:labelList xmlns:clbl="http://schemas.microsoft.com/office/2020/mipLabelMetadata">
  <clbl:label id="{a64882d5-5c68-43ae-b974-91da18426e9b}" enabled="1" method="Standard" siteId="{38651f6f-836b-4bdf-9615-4e255c290fea}"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105</vt:i4>
      </vt:variant>
    </vt:vector>
  </HeadingPairs>
  <TitlesOfParts>
    <vt:vector size="119" baseType="lpstr">
      <vt:lpstr>_QP_CBA.AX</vt:lpstr>
      <vt:lpstr>Cover Page</vt:lpstr>
      <vt:lpstr>Sheet2</vt:lpstr>
      <vt:lpstr>Sheet1</vt:lpstr>
      <vt:lpstr>MigrationOutput_QP_CBA.AX</vt:lpstr>
      <vt:lpstr>QP_CBA.AX_migrated</vt:lpstr>
      <vt:lpstr>Summary</vt:lpstr>
      <vt:lpstr>Model</vt:lpstr>
      <vt:lpstr>FinSum</vt:lpstr>
      <vt:lpstr>RIM</vt:lpstr>
      <vt:lpstr>Old</vt:lpstr>
      <vt:lpstr>Financial Summary</vt:lpstr>
      <vt:lpstr>Detailed P&amp;L</vt:lpstr>
      <vt:lpstr>WM and Life</vt:lpstr>
      <vt:lpstr>assets_acceptances</vt:lpstr>
      <vt:lpstr>'WM and Life'!assets_total</vt:lpstr>
      <vt:lpstr>'WM and Life'!average_assets</vt:lpstr>
      <vt:lpstr>'WM and Life'!average_equity</vt:lpstr>
      <vt:lpstr>'WM and Life'!average_gross_loans</vt:lpstr>
      <vt:lpstr>average_interest_assets</vt:lpstr>
      <vt:lpstr>average_interest_liabilities</vt:lpstr>
      <vt:lpstr>Average_securitised_assets</vt:lpstr>
      <vt:lpstr>avereage_noninterest_assets</vt:lpstr>
      <vt:lpstr>'WM and Life'!BV</vt:lpstr>
      <vt:lpstr>'WM and Life'!capital_tier_1</vt:lpstr>
      <vt:lpstr>'WM and Life'!cash_earnings</vt:lpstr>
      <vt:lpstr>'WM and Life'!cash_eps</vt:lpstr>
      <vt:lpstr>'WM and Life'!company_eps</vt:lpstr>
      <vt:lpstr>'WM and Life'!core_tier1</vt:lpstr>
      <vt:lpstr>'WM and Life'!Core_Tier1_ratio</vt:lpstr>
      <vt:lpstr>'WM and Life'!depreciation</vt:lpstr>
      <vt:lpstr>dividend_revenue</vt:lpstr>
      <vt:lpstr>'WM and Life'!DPS</vt:lpstr>
      <vt:lpstr>DRP_participation</vt:lpstr>
      <vt:lpstr>earnings_adjustment</vt:lpstr>
      <vt:lpstr>effective_tax_rate</vt:lpstr>
      <vt:lpstr>'WM and Life'!EFPOWA</vt:lpstr>
      <vt:lpstr>'WM and Life'!equity</vt:lpstr>
      <vt:lpstr>equity_and_minorities</vt:lpstr>
      <vt:lpstr>'WM and Life'!equity_drp</vt:lpstr>
      <vt:lpstr>MigrationOutput_QP_CBA.AX!ExchangeSheetLink</vt:lpstr>
      <vt:lpstr>'WM and Life'!franking</vt:lpstr>
      <vt:lpstr>free_funds</vt:lpstr>
      <vt:lpstr>funds_management</vt:lpstr>
      <vt:lpstr>'WM and Life'!GNAL</vt:lpstr>
      <vt:lpstr>'WM and Life'!goodwill</vt:lpstr>
      <vt:lpstr>'WM and Life'!gross_impaired_assets</vt:lpstr>
      <vt:lpstr>'WM and Life'!gross_loans</vt:lpstr>
      <vt:lpstr>MigrationOutput_QP_CBA.AX!HiddenSheetLink</vt:lpstr>
      <vt:lpstr>housing_loans</vt:lpstr>
      <vt:lpstr>hybrids</vt:lpstr>
      <vt:lpstr>IFRS_adj_hedge</vt:lpstr>
      <vt:lpstr>IFRS_adj_super</vt:lpstr>
      <vt:lpstr>IFRS_adj_treasury</vt:lpstr>
      <vt:lpstr>'WM and Life'!income_tax</vt:lpstr>
      <vt:lpstr>'WM and Life'!intangibles</vt:lpstr>
      <vt:lpstr>'WM and Life'!interest_expense</vt:lpstr>
      <vt:lpstr>'WM and Life'!interest_income</vt:lpstr>
      <vt:lpstr>'WM and Life'!issued_shares</vt:lpstr>
      <vt:lpstr>IT</vt:lpstr>
      <vt:lpstr>MigrationOutput_QP_CBA.AX!LastProblemKeyword</vt:lpstr>
      <vt:lpstr>Lending_Fees</vt:lpstr>
      <vt:lpstr>liabilities_deposits</vt:lpstr>
      <vt:lpstr>liabilities_total</vt:lpstr>
      <vt:lpstr>life_insurance</vt:lpstr>
      <vt:lpstr>'WM and Life'!margin</vt:lpstr>
      <vt:lpstr>margin_CBA</vt:lpstr>
      <vt:lpstr>minorities</vt:lpstr>
      <vt:lpstr>'WM and Life'!Net_Interest_Income</vt:lpstr>
      <vt:lpstr>net_loans_company</vt:lpstr>
      <vt:lpstr>non_interest_expense</vt:lpstr>
      <vt:lpstr>'WM and Life'!Non_Interest_Income</vt:lpstr>
      <vt:lpstr>Non_Interest_Income_Bank</vt:lpstr>
      <vt:lpstr>'WM and Life'!NTA</vt:lpstr>
      <vt:lpstr>occupancy</vt:lpstr>
      <vt:lpstr>OEI</vt:lpstr>
      <vt:lpstr>operating_results</vt:lpstr>
      <vt:lpstr>other_commissions</vt:lpstr>
      <vt:lpstr>Other_expenses</vt:lpstr>
      <vt:lpstr>'WM and Life'!past_90</vt:lpstr>
      <vt:lpstr>'WM and Life'!period</vt:lpstr>
      <vt:lpstr>personnel</vt:lpstr>
      <vt:lpstr>'WM and Life'!Pre_Tax_Profit</vt:lpstr>
      <vt:lpstr>pref_divs_post_tax</vt:lpstr>
      <vt:lpstr>pref_divs_pre_tax</vt:lpstr>
      <vt:lpstr>FinSum!Print_Area</vt:lpstr>
      <vt:lpstr>Model!Print_Area</vt:lpstr>
      <vt:lpstr>RIM!Print_Area</vt:lpstr>
      <vt:lpstr>'WM and Life'!Print_Area</vt:lpstr>
      <vt:lpstr>Model!Print_Titles</vt:lpstr>
      <vt:lpstr>Summary!Print_Titles</vt:lpstr>
      <vt:lpstr>'WM and Life'!provisioning</vt:lpstr>
      <vt:lpstr>provisioning_specific</vt:lpstr>
      <vt:lpstr>'WM and Life'!provisions_general</vt:lpstr>
      <vt:lpstr>'WM and Life'!provisions_specific</vt:lpstr>
      <vt:lpstr>'WM and Life'!recoveries</vt:lpstr>
      <vt:lpstr>Reported_Profit</vt:lpstr>
      <vt:lpstr>'WM and Life'!ROE</vt:lpstr>
      <vt:lpstr>'WM and Life'!RWA</vt:lpstr>
      <vt:lpstr>'WM and Life'!RWA_credit</vt:lpstr>
      <vt:lpstr>salaries</vt:lpstr>
      <vt:lpstr>share_based_compensation</vt:lpstr>
      <vt:lpstr>Shareholders_funds</vt:lpstr>
      <vt:lpstr>significant_items_company</vt:lpstr>
      <vt:lpstr>spread</vt:lpstr>
      <vt:lpstr>'WM and Life'!staff</vt:lpstr>
      <vt:lpstr>staff_other</vt:lpstr>
      <vt:lpstr>tax_nri</vt:lpstr>
      <vt:lpstr>'WM and Life'!tier_1_ratio</vt:lpstr>
      <vt:lpstr>tier_2_ratio</vt:lpstr>
      <vt:lpstr>'WM and Life'!total_capital</vt:lpstr>
      <vt:lpstr>total_capital_ratio</vt:lpstr>
      <vt:lpstr>'WM and Life'!total_fee</vt:lpstr>
      <vt:lpstr>'WM and Life'!total_interest_assets</vt:lpstr>
      <vt:lpstr>'WM and Life'!total_revenue</vt:lpstr>
      <vt:lpstr>total_tier2</vt:lpstr>
      <vt:lpstr>'WM and Life'!trading_income</vt:lpstr>
      <vt:lpstr>'WM and Life'!write_offs_general</vt:lpstr>
      <vt:lpstr>'WM and Life'!write_offs_specific</vt:lpstr>
    </vt:vector>
  </TitlesOfParts>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creator>
  <cp:lastModifiedBy>Vaghani, Rushil [GIR]</cp:lastModifiedBy>
  <cp:lastPrinted>2025-04-10T01:07:58Z</cp:lastPrinted>
  <dcterms:created xsi:type="dcterms:W3CDTF">2012-12-15T08:59:51Z</dcterms:created>
  <dcterms:modified xsi:type="dcterms:W3CDTF">2026-02-11T23:06:35Z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{50F70F7B-01D3-4EA1-A6E9-2CB99B154088}</vt:lpwstr>
  </property>
  <property fmtid="{D5CDD505-2E9C-101B-9397-08002B2CF9AE}" pid="3" name="TitusGUID">
    <vt:lpwstr>2efd5b99-a4b1-4aad-8df3-544d6a8f48f1</vt:lpwstr>
  </property>
  <property fmtid="{D5CDD505-2E9C-101B-9397-08002B2CF9AE}" pid="4" name="Classification">
    <vt:lpwstr>I</vt:lpwstr>
  </property>
  <property fmtid="{D5CDD505-2E9C-101B-9397-08002B2CF9AE}" pid="5" name="Project">
    <vt:lpwstr>irroot</vt:lpwstr>
  </property>
  <property fmtid="{D5CDD505-2E9C-101B-9397-08002B2CF9AE}" pid="6" name="GSRUdf">
    <vt:lpwstr>True</vt:lpwstr>
  </property>
  <property fmtid="{D5CDD505-2E9C-101B-9397-08002B2CF9AE}" pid="7" name="DocNoClass">
    <vt:lpwstr>Not In Use</vt:lpwstr>
  </property>
</Properties>
</file>